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78.xml" ContentType="application/vnd.openxmlformats-officedocument.drawing+xml"/>
  <Override PartName="/xl/drawings/drawing79.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75.xml" ContentType="application/vnd.openxmlformats-officedocument.drawing+xml"/>
  <Override PartName="/xl/drawings/drawing80.xml" ContentType="application/vnd.openxmlformats-officedocument.drawing+xml"/>
  <Override PartName="/xl/slicers/slicer59.xml" ContentType="application/vnd.ms-excel.slicer+xml"/>
  <Override PartName="/xl/drawings/drawing83.xml" ContentType="application/vnd.openxmlformats-officedocument.drawing+xml"/>
  <Override PartName="/xl/pivotTables/pivotTable37.xml" ContentType="application/vnd.openxmlformats-officedocument.spreadsheetml.pivotTable+xml"/>
  <Override PartName="/xl/drawings/drawing82.xml" ContentType="application/vnd.openxmlformats-officedocument.drawing+xml"/>
  <Override PartName="/xl/drawings/drawing81.xml" ContentType="application/vnd.openxmlformats-officedocument.drawing+xml"/>
  <Override PartName="/xl/drawings/drawing74.xml" ContentType="application/vnd.openxmlformats-officedocument.drawing+xml"/>
  <Override PartName="/xl/drawings/drawing67.xml" ContentType="application/vnd.openxmlformats-officedocument.drawing+xml"/>
  <Override PartName="/xl/slicers/slicer55.xml" ContentType="application/vnd.ms-excel.slicer+xml"/>
  <Override PartName="/xl/drawings/drawing66.xml" ContentType="application/vnd.openxmlformats-officedocument.drawing+xml"/>
  <Override PartName="/xl/pivotTables/pivotTable36.xml" ContentType="application/vnd.openxmlformats-officedocument.spreadsheetml.pivotTable+xml"/>
  <Override PartName="/xl/slicers/slicer54.xml" ContentType="application/vnd.ms-excel.slicer+xml"/>
  <Override PartName="/xl/drawings/drawing65.xml" ContentType="application/vnd.openxmlformats-officedocument.drawing+xml"/>
  <Override PartName="/xl/pivotTables/pivotTable35.xml" ContentType="application/vnd.openxmlformats-officedocument.spreadsheetml.pivotTable+xml"/>
  <Override PartName="/xl/pivotTables/pivotTable34.xml" ContentType="application/vnd.openxmlformats-officedocument.spreadsheetml.pivotTable+xml"/>
  <Override PartName="/xl/slicers/slicer56.xml" ContentType="application/vnd.ms-excel.slicer+xml"/>
  <Override PartName="/xl/drawings/drawing68.xml" ContentType="application/vnd.openxmlformats-officedocument.drawing+xml"/>
  <Override PartName="/xl/slicers/slicer57.xml" ContentType="application/vnd.ms-excel.slicer+xml"/>
  <Override PartName="/xl/drawings/drawing73.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slicers/slicer58.xml" ContentType="application/vnd.ms-excel.slicer+xml"/>
  <Override PartName="/xl/drawings/drawing69.xml" ContentType="application/vnd.openxmlformats-officedocument.drawing+xml"/>
  <Override PartName="/xl/drawings/drawing84.xml" ContentType="application/vnd.openxmlformats-officedocument.drawing+xml"/>
  <Override PartName="/xl/slicers/slicer60.xml" ContentType="application/vnd.ms-excel.slicer+xml"/>
  <Override PartName="/xl/pivotTables/pivotTable38.xml" ContentType="application/vnd.openxmlformats-officedocument.spreadsheetml.pivotTable+xml"/>
  <Override PartName="/xl/worksheets/sheet2.xml" ContentType="application/vnd.openxmlformats-officedocument.spreadsheetml.worksheet+xml"/>
  <Override PartName="/xl/slicers/slicer64.xml" ContentType="application/vnd.ms-excel.slicer+xml"/>
  <Override PartName="/xl/drawings/drawing88.xml" ContentType="application/vnd.openxmlformats-officedocument.drawing+xml"/>
  <Override PartName="/xl/slicers/slicer63.xml" ContentType="application/vnd.ms-excel.slicer+xml"/>
  <Override PartName="/xl/drawings/drawing87.xml" ContentType="application/vnd.openxmlformats-officedocument.drawing+xml"/>
  <Override PartName="/xl/pivotTables/pivotTable39.xml" ContentType="application/vnd.openxmlformats-officedocument.spreadsheetml.pivotTable+xml"/>
  <Override PartName="/xl/slicers/slicer62.xml" ContentType="application/vnd.ms-excel.slicer+xml"/>
  <Override PartName="/xl/drawings/drawing86.xml" ContentType="application/vnd.openxmlformats-officedocument.drawing+xml"/>
  <Override PartName="/xl/slicers/slicer61.xml" ContentType="application/vnd.ms-excel.slicer+xml"/>
  <Override PartName="/xl/drawings/drawing85.xml" ContentType="application/vnd.openxmlformats-officedocument.drawing+xml"/>
  <Override PartName="/xl/pivotTables/pivotTable40.xml" ContentType="application/vnd.openxmlformats-officedocument.spreadsheetml.pivotTable+xml"/>
  <Override PartName="/xl/drawings/drawing89.xml" ContentType="application/vnd.openxmlformats-officedocument.drawing+xml"/>
  <Override PartName="/xl/slicers/slicer65.xml" ContentType="application/vnd.ms-excel.slicer+xml"/>
  <Override PartName="/xl/worksheets/sheet3.xml" ContentType="application/vnd.openxmlformats-officedocument.spreadsheetml.worksheet+xml"/>
  <Override PartName="/xl/drawings/drawing93.xml" ContentType="application/vnd.openxmlformats-officedocument.drawing+xml"/>
  <Override PartName="/xl/drawings/drawing92.xml" ContentType="application/vnd.openxmlformats-officedocument.drawing+xml"/>
  <Override PartName="/xl/drawings/drawing91.xml" ContentType="application/vnd.openxmlformats-officedocument.drawing+xml"/>
  <Override PartName="/xl/slicers/slicer66.xml" ContentType="application/vnd.ms-excel.slicer+xml"/>
  <Override PartName="/xl/drawings/drawing90.xml" ContentType="application/vnd.openxmlformats-officedocument.drawing+xml"/>
  <Override PartName="/xl/drawings/drawing64.xml" ContentType="application/vnd.openxmlformats-officedocument.drawing+xml"/>
  <Override PartName="/xl/drawings/drawing38.xml" ContentType="application/vnd.openxmlformats-officedocument.drawing+xml"/>
  <Override PartName="/xl/slicers/slicer35.xml" ContentType="application/vnd.ms-excel.slicer+xml"/>
  <Override PartName="/xl/pivotTables/pivotTable21.xml" ContentType="application/vnd.openxmlformats-officedocument.spreadsheetml.pivotTable+xml"/>
  <Override PartName="/xl/drawings/drawing39.xml" ContentType="application/vnd.openxmlformats-officedocument.drawing+xml"/>
  <Override PartName="/xl/slicers/slicer34.xml" ContentType="application/vnd.ms-excel.slicer+xml"/>
  <Override PartName="/xl/drawings/drawing37.xml" ContentType="application/vnd.openxmlformats-officedocument.drawing+xml"/>
  <Override PartName="/xl/pivotTables/pivotTable20.xml" ContentType="application/vnd.openxmlformats-officedocument.spreadsheetml.pivotTable+xml"/>
  <Override PartName="/xl/slicers/slicer33.xml" ContentType="application/vnd.ms-excel.slicer+xml"/>
  <Override PartName="/xl/drawings/drawing36.xml" ContentType="application/vnd.openxmlformats-officedocument.drawing+xml"/>
  <Override PartName="/xl/slicers/slicer32.xml" ContentType="application/vnd.ms-excel.slicer+xml"/>
  <Override PartName="/xl/slicers/slicer36.xml" ContentType="application/vnd.ms-excel.slicer+xml"/>
  <Override PartName="/xl/pivotTables/pivotTable22.xml" ContentType="application/vnd.openxmlformats-officedocument.spreadsheetml.pivotTable+xml"/>
  <Override PartName="/xl/drawings/drawing40.xml" ContentType="application/vnd.openxmlformats-officedocument.drawing+xml"/>
  <Override PartName="/xl/pivotTables/pivotTable24.xml" ContentType="application/vnd.openxmlformats-officedocument.spreadsheetml.pivotTable+xml"/>
  <Override PartName="/xl/slicers/slicer40.xml" ContentType="application/vnd.ms-excel.slicer+xml"/>
  <Override PartName="/xl/drawings/drawing43.xml" ContentType="application/vnd.openxmlformats-officedocument.drawing+xml"/>
  <Override PartName="/xl/slicers/slicer39.xml" ContentType="application/vnd.ms-excel.slicer+xml"/>
  <Override PartName="/xl/drawings/drawing42.xml" ContentType="application/vnd.openxmlformats-officedocument.drawing+xml"/>
  <Override PartName="/xl/pivotTables/pivotTable23.xml" ContentType="application/vnd.openxmlformats-officedocument.spreadsheetml.pivotTable+xml"/>
  <Override PartName="/xl/slicers/slicer38.xml" ContentType="application/vnd.ms-excel.slicer+xml"/>
  <Override PartName="/xl/drawings/drawing41.xml" ContentType="application/vnd.openxmlformats-officedocument.drawing+xml"/>
  <Override PartName="/xl/slicers/slicer37.xml" ContentType="application/vnd.ms-excel.slicer+xml"/>
  <Override PartName="/xl/drawings/drawing35.xml" ContentType="application/vnd.openxmlformats-officedocument.drawing+xml"/>
  <Override PartName="/xl/pivotTables/pivotTable19.xml" ContentType="application/vnd.openxmlformats-officedocument.spreadsheetml.pivotTable+xml"/>
  <Override PartName="/xl/slicers/slicer31.xml" ContentType="application/vnd.ms-excel.slicer+xml"/>
  <Override PartName="/xl/slicers/slicer26.xml" ContentType="application/vnd.ms-excel.slicer+xml"/>
  <Override PartName="/xl/drawings/drawing29.xml" ContentType="application/vnd.openxmlformats-officedocument.drawing+xml"/>
  <Override PartName="/xl/slicers/slicer25.xml" ContentType="application/vnd.ms-excel.slicer+xml"/>
  <Override PartName="/xl/drawings/drawing28.xml" ContentType="application/vnd.openxmlformats-officedocument.drawing+xml"/>
  <Override PartName="/xl/pivotTables/pivotTable15.xml" ContentType="application/vnd.openxmlformats-officedocument.spreadsheetml.pivotTable+xml"/>
  <Override PartName="/xl/slicers/slicer24.xml" ContentType="application/vnd.ms-excel.slicer+xml"/>
  <Override PartName="/xl/drawings/drawing27.xml" ContentType="application/vnd.openxmlformats-officedocument.drawing+xml"/>
  <Override PartName="/xl/slicers/slicer23.xml" ContentType="application/vnd.ms-excel.slicer+xml"/>
  <Override PartName="/xl/drawings/drawing26.xml" ContentType="application/vnd.openxmlformats-officedocument.drawing+xml"/>
  <Override PartName="/xl/pivotTables/pivotTable16.xml" ContentType="application/vnd.openxmlformats-officedocument.spreadsheetml.pivotTable+xml"/>
  <Override PartName="/xl/drawings/drawing30.xml" ContentType="application/vnd.openxmlformats-officedocument.drawing+xml"/>
  <Override PartName="/xl/slicers/slicer27.xml" ContentType="application/vnd.ms-excel.slicer+xml"/>
  <Override PartName="/xl/drawings/drawing34.xml" ContentType="application/vnd.openxmlformats-officedocument.drawing+xml"/>
  <Override PartName="/xl/slicers/slicer30.xml" ContentType="application/vnd.ms-excel.slicer+xml"/>
  <Override PartName="/xl/drawings/drawing33.xml" ContentType="application/vnd.openxmlformats-officedocument.drawing+xml"/>
  <Override PartName="/xl/pivotTables/pivotTable18.xml" ContentType="application/vnd.openxmlformats-officedocument.spreadsheetml.pivotTable+xml"/>
  <Override PartName="/xl/slicers/slicer29.xml" ContentType="application/vnd.ms-excel.slicer+xml"/>
  <Override PartName="/xl/drawings/drawing32.xml" ContentType="application/vnd.openxmlformats-officedocument.drawing+xml"/>
  <Override PartName="/xl/slicers/slicer28.xml" ContentType="application/vnd.ms-excel.slicer+xml"/>
  <Override PartName="/xl/drawings/drawing31.xml" ContentType="application/vnd.openxmlformats-officedocument.drawing+xml"/>
  <Override PartName="/xl/pivotTables/pivotTable17.xml" ContentType="application/vnd.openxmlformats-officedocument.spreadsheetml.pivotTable+xml"/>
  <Override PartName="/xl/drawings/drawing44.xml" ContentType="application/vnd.openxmlformats-officedocument.drawing+xml"/>
  <Override PartName="/xl/slicers/slicer41.xml" ContentType="application/vnd.ms-excel.slicer+xml"/>
  <Override PartName="/xl/drawings/drawing45.xml" ContentType="application/vnd.openxmlformats-officedocument.drawing+xml"/>
  <Override PartName="/xl/drawings/drawing57.xml" ContentType="application/vnd.openxmlformats-officedocument.drawing+xml"/>
  <Override PartName="/xl/slicers/slicer53.xml" ContentType="application/vnd.ms-excel.slicer+xml"/>
  <Override PartName="/xl/drawings/drawing56.xml" ContentType="application/vnd.openxmlformats-officedocument.drawing+xml"/>
  <Override PartName="/xl/slicers/slicer52.xml" ContentType="application/vnd.ms-excel.slicer+xml"/>
  <Override PartName="/xl/drawings/drawing55.xml" ContentType="application/vnd.openxmlformats-officedocument.drawing+xml"/>
  <Override PartName="/xl/slicers/slicer51.xml" ContentType="application/vnd.ms-excel.slicer+xml"/>
  <Override PartName="/xl/drawings/drawing54.xml" ContentType="application/vnd.openxmlformats-officedocument.drawing+xml"/>
  <Override PartName="/xl/worksheets/sheet1.xml" ContentType="application/vnd.openxmlformats-officedocument.spreadsheetml.worksheet+xml"/>
  <Override PartName="/xl/slicers/slicer50.xml" ContentType="application/vnd.ms-excel.slicer+xml"/>
  <Override PartName="/xl/drawings/drawing58.xml" ContentType="application/vnd.openxmlformats-officedocument.drawing+xml"/>
  <Override PartName="/xl/drawings/drawing63.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59.xml" ContentType="application/vnd.openxmlformats-officedocument.drawing+xml"/>
  <Override PartName="/xl/drawings/drawing53.xml" ContentType="application/vnd.openxmlformats-officedocument.drawing+xml"/>
  <Override PartName="/xl/pivotTables/pivotTable32.xml" ContentType="application/vnd.openxmlformats-officedocument.spreadsheetml.pivotTable+xml"/>
  <Override PartName="/xl/pivotTables/pivotTable31.xml" ContentType="application/vnd.openxmlformats-officedocument.spreadsheetml.pivotTable+xml"/>
  <Override PartName="/xl/slicers/slicer45.xml" ContentType="application/vnd.ms-excel.slicer+xml"/>
  <Override PartName="/xl/drawings/drawing48.xml" ContentType="application/vnd.openxmlformats-officedocument.drawing+xml"/>
  <Override PartName="/xl/pivotTables/pivotTable26.xml" ContentType="application/vnd.openxmlformats-officedocument.spreadsheetml.pivotTable+xml"/>
  <Override PartName="/xl/slicers/slicer44.xml" ContentType="application/vnd.ms-excel.slicer+xml"/>
  <Override PartName="/xl/drawings/drawing47.xml" ContentType="application/vnd.openxmlformats-officedocument.drawing+xml"/>
  <Override PartName="/xl/slicers/slicer43.xml" ContentType="application/vnd.ms-excel.slicer+xml"/>
  <Override PartName="/xl/drawings/drawing46.xml" ContentType="application/vnd.openxmlformats-officedocument.drawing+xml"/>
  <Override PartName="/xl/pivotTables/pivotTable25.xml" ContentType="application/vnd.openxmlformats-officedocument.spreadsheetml.pivotTable+xml"/>
  <Override PartName="/xl/slicers/slicer42.xml" ContentType="application/vnd.ms-excel.slicer+xml"/>
  <Override PartName="/xl/drawings/drawing49.xml" ContentType="application/vnd.openxmlformats-officedocument.drawing+xml"/>
  <Override PartName="/xl/slicers/slicer46.xml" ContentType="application/vnd.ms-excel.slicer+xml"/>
  <Override PartName="/xl/pivotTables/pivotTable27.xml" ContentType="application/vnd.openxmlformats-officedocument.spreadsheetml.pivotTable+xml"/>
  <Override PartName="/xl/pivotTables/pivotTable30.xml" ContentType="application/vnd.openxmlformats-officedocument.spreadsheetml.pivotTable+xml"/>
  <Override PartName="/xl/pivotTables/pivotTable29.xml" ContentType="application/vnd.openxmlformats-officedocument.spreadsheetml.pivotTable+xml"/>
  <Override PartName="/xl/slicers/slicer49.xml" ContentType="application/vnd.ms-excel.slicer+xml"/>
  <Override PartName="/xl/drawings/drawing52.xml" ContentType="application/vnd.openxmlformats-officedocument.drawing+xml"/>
  <Override PartName="/xl/pivotTables/pivotTable28.xml" ContentType="application/vnd.openxmlformats-officedocument.spreadsheetml.pivotTable+xml"/>
  <Override PartName="/xl/slicers/slicer48.xml" ContentType="application/vnd.ms-excel.slicer+xml"/>
  <Override PartName="/xl/drawings/drawing51.xml" ContentType="application/vnd.openxmlformats-officedocument.drawing+xml"/>
  <Override PartName="/xl/slicers/slicer47.xml" ContentType="application/vnd.ms-excel.slicer+xml"/>
  <Override PartName="/xl/drawings/drawing50.xml" ContentType="application/vnd.openxmlformats-officedocument.drawing+xml"/>
  <Override PartName="/xl/pivotTables/pivotTable14.xml" ContentType="application/vnd.openxmlformats-officedocument.spreadsheetml.pivotTable+xml"/>
  <Override PartName="/xl/pivotTables/pivotTable33.xml" ContentType="application/vnd.openxmlformats-officedocument.spreadsheetml.pivotTable+xml"/>
  <Override PartName="/xl/drawings/drawing25.xml" ContentType="application/vnd.openxmlformats-officedocument.drawing+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36.xml" ContentType="application/vnd.openxmlformats-officedocument.spreadsheetml.worksheet+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slicerCaches/slicerCache1.xml" ContentType="application/vnd.ms-excel.slicerCache+xml"/>
  <Override PartName="/xl/slicerCaches/slicerCache33.xml" ContentType="application/vnd.ms-excel.slicerCache+xml"/>
  <Override PartName="/xl/slicerCaches/slicerCache34.xml" ContentType="application/vnd.ms-excel.slicerCache+xml"/>
  <Override PartName="/xl/slicerCaches/slicerCache35.xml" ContentType="application/vnd.ms-excel.slicerCache+xml"/>
  <Override PartName="/xl/slicerCaches/slicerCache36.xml" ContentType="application/vnd.ms-excel.slicerCache+xml"/>
  <Override PartName="/xl/slicerCaches/slicerCache32.xml" ContentType="application/vnd.ms-excel.slicerCache+xml"/>
  <Override PartName="/xl/slicerCaches/slicerCache31.xml" ContentType="application/vnd.ms-excel.slicerCache+xml"/>
  <Override PartName="/xl/slicerCaches/slicerCache30.xml" ContentType="application/vnd.ms-excel.slicerCache+xml"/>
  <Override PartName="/xl/slicerCaches/slicerCache29.xml" ContentType="application/vnd.ms-excel.slicerCache+xml"/>
  <Override PartName="/xl/slicerCaches/slicerCache28.xml" ContentType="application/vnd.ms-excel.slicerCache+xml"/>
  <Override PartName="/xl/slicerCaches/slicerCache27.xml" ContentType="application/vnd.ms-excel.slicerCache+xml"/>
  <Override PartName="/xl/slicerCaches/slicerCache37.xml" ContentType="application/vnd.ms-excel.slicerCache+xml"/>
  <Override PartName="/xl/slicerCaches/slicerCache38.xml" ContentType="application/vnd.ms-excel.slicerCache+xml"/>
  <Override PartName="/xl/slicerCaches/slicerCache39.xml" ContentType="application/vnd.ms-excel.slicerCache+xml"/>
  <Override PartName="/xl/pivotTables/pivotTable1.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slicers/slicer1.xml" ContentType="application/vnd.ms-excel.slicer+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slicerCaches/slicerCache40.xml" ContentType="application/vnd.ms-excel.slicerCache+xml"/>
  <Override PartName="/xl/slicerCaches/slicerCache26.xml" ContentType="application/vnd.ms-excel.slicerCache+xml"/>
  <Override PartName="/xl/slicerCaches/slicerCache25.xml" ContentType="application/vnd.ms-excel.slicerCache+xml"/>
  <Override PartName="/xl/slicerCaches/slicerCache24.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7.xml" ContentType="application/vnd.ms-excel.slicerCache+xml"/>
  <Override PartName="/xl/slicerCaches/slicerCache6.xml" ContentType="application/vnd.ms-excel.slicerCache+xml"/>
  <Override PartName="/xl/slicerCaches/slicerCache5.xml" ContentType="application/vnd.ms-excel.slicerCache+xml"/>
  <Override PartName="/xl/slicerCaches/slicerCache4.xml" ContentType="application/vnd.ms-excel.slicerCache+xml"/>
  <Override PartName="/xl/slicerCaches/slicerCache3.xml" ContentType="application/vnd.ms-excel.slicerCache+xml"/>
  <Override PartName="/xl/slicerCaches/slicerCache2.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23.xml" ContentType="application/vnd.ms-excel.slicerCache+xml"/>
  <Override PartName="/xl/slicerCaches/slicerCache22.xml" ContentType="application/vnd.ms-excel.slicerCache+xml"/>
  <Override PartName="/xl/slicerCaches/slicerCache21.xml" ContentType="application/vnd.ms-excel.slicerCache+xml"/>
  <Override PartName="/xl/slicerCaches/slicerCache20.xml" ContentType="application/vnd.ms-excel.slicerCache+xml"/>
  <Override PartName="/xl/slicerCaches/slicerCache19.xml" ContentType="application/vnd.ms-excel.slicerCache+xml"/>
  <Override PartName="/xl/slicerCaches/slicerCache18.xml" ContentType="application/vnd.ms-excel.slicerCache+xml"/>
  <Override PartName="/xl/slicerCaches/slicerCache17.xml" ContentType="application/vnd.ms-excel.slicerCache+xml"/>
  <Override PartName="/xl/slicerCaches/slicerCache16.xml" ContentType="application/vnd.ms-excel.slicerCache+xml"/>
  <Override PartName="/xl/slicerCaches/slicerCache15.xml" ContentType="application/vnd.ms-excel.slicerCache+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slicers/slicer3.xml" ContentType="application/vnd.ms-excel.slicer+xml"/>
  <Override PartName="/xl/slicers/slicer22.xml" ContentType="application/vnd.ms-excel.slicer+xml"/>
  <Override PartName="/xl/slicers/slicer5.xml" ContentType="application/vnd.ms-excel.slicer+xml"/>
  <Override PartName="/xl/drawings/drawing9.xml" ContentType="application/vnd.openxmlformats-officedocument.drawing+xml"/>
  <Override PartName="/xl/drawings/drawing8.xml" ContentType="application/vnd.openxmlformats-officedocument.drawing+xml"/>
  <Override PartName="/xl/pivotTables/pivotTable7.xml" ContentType="application/vnd.openxmlformats-officedocument.spreadsheetml.pivotTable+xml"/>
  <Override PartName="/xl/pivotTables/pivotTable6.xml" ContentType="application/vnd.openxmlformats-officedocument.spreadsheetml.pivotTable+xml"/>
  <Override PartName="/xl/slicers/slicer11.xml" ContentType="application/vnd.ms-excel.slicer+xml"/>
  <Override PartName="/xl/pivotTables/pivotTable10.xml" ContentType="application/vnd.openxmlformats-officedocument.spreadsheetml.pivotTable+xml"/>
  <Override PartName="/xl/slicers/slicer17.xml" ContentType="application/vnd.ms-excel.slicer+xml"/>
  <Override PartName="/xl/pivotTables/pivotTable11.xml" ContentType="application/vnd.openxmlformats-officedocument.spreadsheetml.pivotTable+xml"/>
  <Override PartName="/xl/pivotTables/pivotTable12.xml" ContentType="application/vnd.openxmlformats-officedocument.spreadsheetml.pivotTable+xml"/>
  <Override PartName="/xl/slicers/slicer15.xml" ContentType="application/vnd.ms-excel.slicer+xml"/>
  <Override PartName="/xl/slicers/slicer18.xml" ContentType="application/vnd.ms-excel.slicer+xml"/>
  <Override PartName="/xl/drawings/drawing7.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slicers/slicer13.xml" ContentType="application/vnd.ms-excel.slicer+xml"/>
  <Override PartName="/xl/pivotTables/pivotTable3.xml" ContentType="application/vnd.openxmlformats-officedocument.spreadsheetml.pivotTable+xml"/>
  <Override PartName="/xl/drawings/drawing20.xml" ContentType="application/vnd.openxmlformats-officedocument.drawing+xml"/>
  <Override PartName="/xl/drawings/drawing5.xml" ContentType="application/vnd.openxmlformats-officedocument.drawing+xml"/>
  <Override PartName="/xl/pivotTables/pivotTable8.xml" ContentType="application/vnd.openxmlformats-officedocument.spreadsheetml.pivotTable+xml"/>
  <Override PartName="/xl/drawings/drawing21.xml" ContentType="application/vnd.openxmlformats-officedocument.drawing+xml"/>
  <Override PartName="/xl/slicers/slicer4.xml" ContentType="application/vnd.ms-excel.slicer+xml"/>
  <Override PartName="/xl/drawings/drawing4.xml" ContentType="application/vnd.openxmlformats-officedocument.drawing+xml"/>
  <Override PartName="/xl/slicers/slicer12.xml" ContentType="application/vnd.ms-excel.slicer+xml"/>
  <Override PartName="/xl/slicers/slicer6.xml" ContentType="application/vnd.ms-excel.slicer+xml"/>
  <Override PartName="/xl/drawings/drawing6.xml" ContentType="application/vnd.openxmlformats-officedocument.drawing+xml"/>
  <Override PartName="/xl/drawings/drawing18.xml" ContentType="application/vnd.openxmlformats-officedocument.drawing+xml"/>
  <Override PartName="/xl/pivotTables/pivotTable4.xml" ContentType="application/vnd.openxmlformats-officedocument.spreadsheetml.pivotTable+xml"/>
  <Override PartName="/xl/drawings/drawing22.xml" ContentType="application/vnd.openxmlformats-officedocument.drawing+xml"/>
  <Override PartName="/xl/slicers/slicer19.xml" ContentType="application/vnd.ms-excel.slicer+xml"/>
  <Override PartName="/xl/drawings/drawing13.xml" ContentType="application/vnd.openxmlformats-officedocument.drawing+xml"/>
  <Override PartName="/xl/pivotTables/pivotTable2.xml" ContentType="application/vnd.openxmlformats-officedocument.spreadsheetml.pivotTable+xml"/>
  <Override PartName="/xl/slicers/slicer10.xml" ContentType="application/vnd.ms-excel.slicer+xml"/>
  <Override PartName="/xl/slicers/slicer21.xml" ContentType="application/vnd.ms-excel.slicer+xml"/>
  <Override PartName="/xl/slicers/slicer14.xml" ContentType="application/vnd.ms-excel.slicer+xml"/>
  <Override PartName="/xl/drawings/drawing17.xml" ContentType="application/vnd.openxmlformats-officedocument.drawing+xml"/>
  <Override PartName="/xl/drawings/drawing19.xml" ContentType="application/vnd.openxmlformats-officedocument.drawing+xml"/>
  <Override PartName="/xl/slicers/slicer9.xml" ContentType="application/vnd.ms-excel.slicer+xml"/>
  <Override PartName="/xl/drawings/drawing12.xml" ContentType="application/vnd.openxmlformats-officedocument.drawing+xml"/>
  <Override PartName="/xl/pivotTables/pivotTable5.xml" ContentType="application/vnd.openxmlformats-officedocument.spreadsheetml.pivotTable+xml"/>
  <Override PartName="/xl/drawings/drawing24.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pivotTables/pivotTable9.xml" ContentType="application/vnd.openxmlformats-officedocument.spreadsheetml.pivotTable+xml"/>
  <Override PartName="/xl/drawings/drawing23.xml" ContentType="application/vnd.openxmlformats-officedocument.drawing+xml"/>
  <Override PartName="/xl/drawings/drawing11.xml" ContentType="application/vnd.openxmlformats-officedocument.drawing+xml"/>
  <Override PartName="/xl/slicers/slicer16.xml" ContentType="application/vnd.ms-excel.slicer+xml"/>
  <Override PartName="/xl/slicers/slicer8.xml" ContentType="application/vnd.ms-excel.slicer+xml"/>
  <Override PartName="/xl/slicers/slicer7.xml" ContentType="application/vnd.ms-excel.slicer+xml"/>
  <Override PartName="/xl/slicers/slicer20.xml" ContentType="application/vnd.ms-excel.slicer+xml"/>
  <Override PartName="/xl/pivotTables/pivotTable13.xml" ContentType="application/vnd.openxmlformats-officedocument.spreadsheetml.pivotTable+xml"/>
  <Override PartName="/xl/queryTables/queryTable52.xml" ContentType="application/vnd.openxmlformats-officedocument.spreadsheetml.queryTable+xml"/>
  <Override PartName="/xl/tables/table10.xml" ContentType="application/vnd.openxmlformats-officedocument.spreadsheetml.table+xml"/>
  <Override PartName="/xl/queryTables/queryTable9.xml" ContentType="application/vnd.openxmlformats-officedocument.spreadsheetml.queryTable+xml"/>
  <Override PartName="/xl/queryTables/queryTable23.xml" ContentType="application/vnd.openxmlformats-officedocument.spreadsheetml.queryTable+xml"/>
  <Override PartName="/xl/tables/table28.xml" ContentType="application/vnd.openxmlformats-officedocument.spreadsheetml.table+xml"/>
  <Override PartName="/xl/queryTables/queryTable24.xml" ContentType="application/vnd.openxmlformats-officedocument.spreadsheetml.queryTable+xml"/>
  <Override PartName="/xl/tables/table31.xml" ContentType="application/vnd.openxmlformats-officedocument.spreadsheetml.table+xml"/>
  <Override PartName="/xl/tables/table8.xml" ContentType="application/vnd.openxmlformats-officedocument.spreadsheetml.table+xml"/>
  <Override PartName="/xl/queryTables/queryTable7.xml" ContentType="application/vnd.openxmlformats-officedocument.spreadsheetml.queryTable+xml"/>
  <Override PartName="/xl/tables/table9.xml" ContentType="application/vnd.openxmlformats-officedocument.spreadsheetml.table+xml"/>
  <Override PartName="/xl/queryTables/queryTable8.xml" ContentType="application/vnd.openxmlformats-officedocument.spreadsheetml.queryTable+xml"/>
  <Override PartName="/xl/queryTables/queryTable26.xml" ContentType="application/vnd.openxmlformats-officedocument.spreadsheetml.queryTable+xml"/>
  <Override PartName="/xl/tables/table30.xml" ContentType="application/vnd.openxmlformats-officedocument.spreadsheetml.table+xml"/>
  <Override PartName="/xl/queryTables/queryTable27.xml" ContentType="application/vnd.openxmlformats-officedocument.spreadsheetml.queryTable+xml"/>
  <Override PartName="/xl/queryTables/queryTable5.xml" ContentType="application/vnd.openxmlformats-officedocument.spreadsheetml.queryTable+xml"/>
  <Override PartName="/xl/tables/table7.xml" ContentType="application/vnd.openxmlformats-officedocument.spreadsheetml.table+xml"/>
  <Override PartName="/xl/queryTables/queryTable28.xml" ContentType="application/vnd.openxmlformats-officedocument.spreadsheetml.queryTable+xml"/>
  <Override PartName="/xl/tables/table32.xml" ContentType="application/vnd.openxmlformats-officedocument.spreadsheetml.table+xml"/>
  <Override PartName="/xl/queryTables/queryTable6.xml" ContentType="application/vnd.openxmlformats-officedocument.spreadsheetml.queryTable+xml"/>
  <Override PartName="/xl/queryTables/queryTable25.xml" ContentType="application/vnd.openxmlformats-officedocument.spreadsheetml.queryTable+xml"/>
  <Override PartName="/xl/tables/table29.xml" ContentType="application/vnd.openxmlformats-officedocument.spreadsheetml.table+xml"/>
  <Override PartName="/xl/tables/table27.xml" ContentType="application/vnd.openxmlformats-officedocument.spreadsheetml.table+xml"/>
  <Override PartName="/xl/tables/table22.xml" ContentType="application/vnd.openxmlformats-officedocument.spreadsheetml.table+xml"/>
  <Override PartName="/xl/queryTables/queryTable18.xml" ContentType="application/vnd.openxmlformats-officedocument.spreadsheetml.queryTable+xml"/>
  <Override PartName="/xl/queryTables/queryTable17.xml" ContentType="application/vnd.openxmlformats-officedocument.spreadsheetml.queryTable+xml"/>
  <Override PartName="/xl/tables/table21.xml" ContentType="application/vnd.openxmlformats-officedocument.spreadsheetml.table+xml"/>
  <Override PartName="/xl/tables/table17.xml" ContentType="application/vnd.openxmlformats-officedocument.spreadsheetml.table+xml"/>
  <Override PartName="/xl/queryTables/queryTable15.xml" ContentType="application/vnd.openxmlformats-officedocument.spreadsheetml.queryTable+xml"/>
  <Override PartName="/xl/tables/table19.xml" ContentType="application/vnd.openxmlformats-officedocument.spreadsheetml.table+xml"/>
  <Override PartName="/xl/queryTables/queryTable14.xml" ContentType="application/vnd.openxmlformats-officedocument.spreadsheetml.queryTable+xml"/>
  <Override PartName="/xl/tables/table18.xml" ContentType="application/vnd.openxmlformats-officedocument.spreadsheetml.table+xml"/>
  <Override PartName="/xl/queryTables/queryTable13.xml" ContentType="application/vnd.openxmlformats-officedocument.spreadsheetml.queryTable+xml"/>
  <Override PartName="/xl/queryTables/queryTable16.xml" ContentType="application/vnd.openxmlformats-officedocument.spreadsheetml.queryTable+xml"/>
  <Override PartName="/xl/tables/table20.xml" ContentType="application/vnd.openxmlformats-officedocument.spreadsheetml.table+xml"/>
  <Override PartName="/xl/queryTables/queryTable12.xml" ContentType="application/vnd.openxmlformats-officedocument.spreadsheetml.queryTable+xml"/>
  <Override PartName="/xl/tables/table16.xml" ContentType="application/vnd.openxmlformats-officedocument.spreadsheetml.table+xml"/>
  <Override PartName="/xl/queryTables/queryTable21.xml" ContentType="application/vnd.openxmlformats-officedocument.spreadsheetml.queryTable+xml"/>
  <Override PartName="/xl/tables/table25.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22.xml" ContentType="application/vnd.openxmlformats-officedocument.spreadsheetml.queryTable+xml"/>
  <Override PartName="/xl/tables/table26.xml" ContentType="application/vnd.openxmlformats-officedocument.spreadsheetml.table+xml"/>
  <Override PartName="/xl/tables/table33.xml" ContentType="application/vnd.openxmlformats-officedocument.spreadsheetml.table+xml"/>
  <Override PartName="/xl/tables/table12.xml" ContentType="application/vnd.openxmlformats-officedocument.spreadsheetml.table+xml"/>
  <Override PartName="/xl/queryTables/queryTable11.xml" ContentType="application/vnd.openxmlformats-officedocument.spreadsheetml.queryTable+xml"/>
  <Override PartName="/xl/tables/table14.xml" ContentType="application/vnd.openxmlformats-officedocument.spreadsheetml.table+xml"/>
  <Override PartName="/xl/tables/table15.xml" ContentType="application/vnd.openxmlformats-officedocument.spreadsheetml.table+xml"/>
  <Override PartName="/xl/queryTables/queryTable19.xml" ContentType="application/vnd.openxmlformats-officedocument.spreadsheetml.queryTable+xml"/>
  <Override PartName="/xl/tables/table23.xml" ContentType="application/vnd.openxmlformats-officedocument.spreadsheetml.table+xml"/>
  <Override PartName="/xl/tables/table13.xml" ContentType="application/vnd.openxmlformats-officedocument.spreadsheetml.table+xml"/>
  <Override PartName="/xl/tables/table24.xml" ContentType="application/vnd.openxmlformats-officedocument.spreadsheetml.table+xml"/>
  <Override PartName="/xl/queryTables/queryTable20.xml" ContentType="application/vnd.openxmlformats-officedocument.spreadsheetml.queryTable+xml"/>
  <Override PartName="/xl/tables/table35.xml" ContentType="application/vnd.openxmlformats-officedocument.spreadsheetml.table+xml"/>
  <Override PartName="/xl/tables/table41.xml" ContentType="application/vnd.openxmlformats-officedocument.spreadsheetml.table+xml"/>
  <Override PartName="/xl/queryTables/queryTable37.xml" ContentType="application/vnd.openxmlformats-officedocument.spreadsheetml.queryTable+xml"/>
  <Override PartName="/xl/tables/table42.xml" ContentType="application/vnd.openxmlformats-officedocument.spreadsheetml.table+xml"/>
  <Override PartName="/xl/tables/table64.xml" ContentType="application/vnd.openxmlformats-officedocument.spreadsheetml.table+xml"/>
  <Override PartName="/xl/queryTables/queryTable60.xml" ContentType="application/vnd.openxmlformats-officedocument.spreadsheetml.queryTable+xml"/>
  <Override PartName="/xl/tables/table65.xml" ContentType="application/vnd.openxmlformats-officedocument.spreadsheetml.table+xml"/>
  <Override PartName="/xl/tables/table40.xml" ContentType="application/vnd.openxmlformats-officedocument.spreadsheetml.table+xml"/>
  <Override PartName="/xl/queryTables/queryTable36.xml" ContentType="application/vnd.openxmlformats-officedocument.spreadsheetml.queryTable+xml"/>
  <Override PartName="/xl/queryTables/queryTable59.xml" ContentType="application/vnd.openxmlformats-officedocument.spreadsheetml.queryTable+xml"/>
  <Override PartName="/xl/tables/table63.xml" ContentType="application/vnd.openxmlformats-officedocument.spreadsheetml.table+xml"/>
  <Override PartName="/xl/queryTables/queryTable38.xml" ContentType="application/vnd.openxmlformats-officedocument.spreadsheetml.queryTable+xml"/>
  <Override PartName="/xl/queryTables/queryTable57.xml" ContentType="application/vnd.openxmlformats-officedocument.spreadsheetml.queryTable+xml"/>
  <Override PartName="/xl/tables/table61.xml" ContentType="application/vnd.openxmlformats-officedocument.spreadsheetml.table+xml"/>
  <Override PartName="/xl/tables/table62.xml" ContentType="application/vnd.openxmlformats-officedocument.spreadsheetml.table+xml"/>
  <Override PartName="/xl/queryTables/queryTable58.xml" ContentType="application/vnd.openxmlformats-officedocument.spreadsheetml.queryTable+xml"/>
  <Override PartName="/xl/queryTables/queryTable61.xml" ContentType="application/vnd.openxmlformats-officedocument.spreadsheetml.queryTable+xml"/>
  <Override PartName="/xl/queryTables/queryTable35.xml" ContentType="application/vnd.openxmlformats-officedocument.spreadsheetml.queryTable+xml"/>
  <Override PartName="/xl/pivotCache/pivotCacheRecords39.xml" ContentType="application/vnd.openxmlformats-officedocument.spreadsheetml.pivotCacheRecords+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8.xml" ContentType="application/vnd.openxmlformats-officedocument.spreadsheetml.pivotCacheRecords+xml"/>
  <Override PartName="/xl/queryTables/queryTable62.xml" ContentType="application/vnd.openxmlformats-officedocument.spreadsheetml.queryTable+xml"/>
  <Override PartName="/xl/tables/table66.xml" ContentType="application/vnd.openxmlformats-officedocument.spreadsheetml.table+xml"/>
  <Override PartName="/xl/pivotCache/pivotCacheDefinition39.xml" ContentType="application/vnd.openxmlformats-officedocument.spreadsheetml.pivotCacheDefinition+xml"/>
  <Override PartName="/xl/pivotCache/pivotCacheDefinition38.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6.xml" ContentType="application/vnd.openxmlformats-officedocument.spreadsheetml.pivotCacheRecords+xml"/>
  <Override PartName="/xl/queryTables/queryTable56.xml" ContentType="application/vnd.openxmlformats-officedocument.spreadsheetml.queryTable+xml"/>
  <Override PartName="/xl/tables/table60.xml" ContentType="application/vnd.openxmlformats-officedocument.spreadsheetml.table+xml"/>
  <Override PartName="/xl/queryTables/queryTable55.xml" ContentType="application/vnd.openxmlformats-officedocument.spreadsheetml.queryTable+xml"/>
  <Override PartName="/xl/queryTables/queryTable49.xml" ContentType="application/vnd.openxmlformats-officedocument.spreadsheetml.queryTable+xml"/>
  <Override PartName="/xl/tables/table54.xml" ContentType="application/vnd.openxmlformats-officedocument.spreadsheetml.table+xml"/>
  <Override PartName="/xl/tables/table52.xml" ContentType="application/vnd.openxmlformats-officedocument.spreadsheetml.table+xml"/>
  <Override PartName="/xl/connections.xml" ContentType="application/vnd.openxmlformats-officedocument.spreadsheetml.connections+xml"/>
  <Override PartName="/xl/queryTables/queryTable48.xml" ContentType="application/vnd.openxmlformats-officedocument.spreadsheetml.queryTable+xml"/>
  <Override PartName="/xl/tables/table53.xml" ContentType="application/vnd.openxmlformats-officedocument.spreadsheetml.table+xml"/>
  <Override PartName="/xl/queryTables/queryTable50.xml" ContentType="application/vnd.openxmlformats-officedocument.spreadsheetml.queryTable+xml"/>
  <Override PartName="/xl/tables/table57.xml" ContentType="application/vnd.openxmlformats-officedocument.spreadsheetml.table+xml"/>
  <Override PartName="/xl/tables/table55.xml" ContentType="application/vnd.openxmlformats-officedocument.spreadsheetml.table+xml"/>
  <Override PartName="/xl/queryTables/queryTable51.xml" ContentType="application/vnd.openxmlformats-officedocument.spreadsheetml.queryTable+xml"/>
  <Override PartName="/xl/queryTables/queryTable53.xml" ContentType="application/vnd.openxmlformats-officedocument.spreadsheetml.queryTable+xml"/>
  <Override PartName="/xl/tables/table1.xml" ContentType="application/vnd.openxmlformats-officedocument.spreadsheetml.table+xml"/>
  <Override PartName="/xl/tables/table58.xml" ContentType="application/vnd.openxmlformats-officedocument.spreadsheetml.table+xml"/>
  <Override PartName="/xl/queryTables/queryTable54.xml" ContentType="application/vnd.openxmlformats-officedocument.spreadsheetml.queryTable+xml"/>
  <Override PartName="/xl/queryTables/queryTable47.xml" ContentType="application/vnd.openxmlformats-officedocument.spreadsheetml.queryTable+xml"/>
  <Override PartName="/xl/tables/table51.xml" ContentType="application/vnd.openxmlformats-officedocument.spreadsheetml.table+xml"/>
  <Override PartName="/xl/tables/table44.xml" ContentType="application/vnd.openxmlformats-officedocument.spreadsheetml.table+xml"/>
  <Override PartName="/xl/queryTables/queryTable40.xml" ContentType="application/vnd.openxmlformats-officedocument.spreadsheetml.queryTable+xml"/>
  <Override PartName="/xl/tables/table45.xml" ContentType="application/vnd.openxmlformats-officedocument.spreadsheetml.table+xml"/>
  <Override PartName="/xl/queryTables/queryTable41.xml" ContentType="application/vnd.openxmlformats-officedocument.spreadsheetml.queryTable+xml"/>
  <Override PartName="/xl/queryTables/queryTable39.xml" ContentType="application/vnd.openxmlformats-officedocument.spreadsheetml.queryTable+xml"/>
  <Override PartName="/xl/tables/table43.xml" ContentType="application/vnd.openxmlformats-officedocument.spreadsheetml.table+xml"/>
  <Override PartName="/xl/tables/table59.xml" ContentType="application/vnd.openxmlformats-officedocument.spreadsheetml.table+xml"/>
  <Override PartName="/xl/tables/table46.xml" ContentType="application/vnd.openxmlformats-officedocument.spreadsheetml.table+xml"/>
  <Override PartName="/xl/queryTables/queryTable42.xml" ContentType="application/vnd.openxmlformats-officedocument.spreadsheetml.queryTable+xml"/>
  <Override PartName="/xl/queryTables/queryTable45.xml" ContentType="application/vnd.openxmlformats-officedocument.spreadsheetml.queryTable+xml"/>
  <Override PartName="/xl/tables/table50.xml" ContentType="application/vnd.openxmlformats-officedocument.spreadsheetml.table+xml"/>
  <Override PartName="/xl/queryTables/queryTable46.xml" ContentType="application/vnd.openxmlformats-officedocument.spreadsheetml.queryTable+xml"/>
  <Override PartName="/xl/tables/table49.xml" ContentType="application/vnd.openxmlformats-officedocument.spreadsheetml.table+xml"/>
  <Override PartName="/xl/queryTables/queryTable44.xml" ContentType="application/vnd.openxmlformats-officedocument.spreadsheetml.queryTable+xml"/>
  <Override PartName="/xl/tables/table48.xml" ContentType="application/vnd.openxmlformats-officedocument.spreadsheetml.table+xml"/>
  <Override PartName="/xl/queryTables/queryTable43.xml" ContentType="application/vnd.openxmlformats-officedocument.spreadsheetml.queryTable+xml"/>
  <Override PartName="/xl/tables/table47.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pivotCache/pivotCacheRecords34.xml" ContentType="application/vnd.openxmlformats-officedocument.spreadsheetml.pivotCacheRecord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39.xml" ContentType="application/vnd.openxmlformats-officedocument.spreadsheetml.table+xml"/>
  <Override PartName="/xl/queryTables/queryTable34.xml" ContentType="application/vnd.openxmlformats-officedocument.spreadsheetml.queryTable+xml"/>
  <Override PartName="/xl/tables/table38.xml" ContentType="application/vnd.openxmlformats-officedocument.spreadsheetml.table+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Definition6.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ables/table2.xml" ContentType="application/vnd.openxmlformats-officedocument.spreadsheetml.table+xml"/>
  <Override PartName="/xl/tables/table56.xml" ContentType="application/vnd.openxmlformats-officedocument.spreadsheetml.table+xml"/>
  <Override PartName="/xl/queryTables/queryTable31.xml" ContentType="application/vnd.openxmlformats-officedocument.spreadsheetml.queryTable+xml"/>
  <Override PartName="/xl/tables/table36.xml" ContentType="application/vnd.openxmlformats-officedocument.spreadsheetml.table+xml"/>
  <Override PartName="/xl/queryTables/queryTable4.xml" ContentType="application/vnd.openxmlformats-officedocument.spreadsheetml.queryTable+xml"/>
  <Override PartName="/xl/queryTables/queryTable30.xml" ContentType="application/vnd.openxmlformats-officedocument.spreadsheetml.queryTable+xml"/>
  <Override PartName="/xl/tables/table34.xml" ContentType="application/vnd.openxmlformats-officedocument.spreadsheetml.table+xml"/>
  <Override PartName="/xl/tables/table6.xml" ContentType="application/vnd.openxmlformats-officedocument.spreadsheetml.table+xml"/>
  <Override PartName="/xl/queryTables/queryTable32.xml" ContentType="application/vnd.openxmlformats-officedocument.spreadsheetml.queryTable+xml"/>
  <Override PartName="/xl/tables/table5.xml" ContentType="application/vnd.openxmlformats-officedocument.spreadsheetml.table+xml"/>
  <Override PartName="/xl/tables/table37.xml" ContentType="application/vnd.openxmlformats-officedocument.spreadsheetml.table+xml"/>
  <Override PartName="/xl/queryTables/queryTable33.xml" ContentType="application/vnd.openxmlformats-officedocument.spreadsheetml.query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Records25.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3.xml" ContentType="application/vnd.openxmlformats-officedocument.spreadsheetml.pivotCacheDefinition+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Definition32.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29.xml" ContentType="application/vnd.openxmlformats-officedocument.spreadsheetml.pivotCacheRecords+xml"/>
  <Override PartName="/xl/pivotCache/pivotCacheRecords22.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Records12.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0.xml" ContentType="application/vnd.openxmlformats-officedocument.spreadsheetml.pivotCacheDefinition+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Definition19.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6.xml" ContentType="application/vnd.openxmlformats-officedocument.spreadsheetml.pivotCacheRecords+xml"/>
  <Override PartName="/xl/queryTables/queryTable29.xml" ContentType="application/vnd.openxmlformats-officedocument.spreadsheetml.queryTable+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sfrs\dfs\Directorates\Corporate Services\Data Intelligence\Reporting\Official Statistics\Statistics_FSO\2020-21\"/>
    </mc:Choice>
  </mc:AlternateContent>
  <workbookProtection workbookAlgorithmName="SHA-512" workbookHashValue="SyUrzsvszJ2DtWKdknK7gZ9w+u8k8/E7KbL7jQesdAbdVjOlS6D4d4WeMEWUlfOTYCcnAPydNFb0BS1vUHLe1Q==" workbookSaltValue="qwX2BE7FUBMYmxCbHWWJpQ==" workbookSpinCount="100000" lockStructure="1"/>
  <bookViews>
    <workbookView xWindow="0" yWindow="0" windowWidth="10220" windowHeight="6370" tabRatio="743"/>
  </bookViews>
  <sheets>
    <sheet name="Information" sheetId="4" r:id="rId1"/>
    <sheet name="Table of Contents" sheetId="99" r:id="rId2"/>
    <sheet name="StructureData" sheetId="232" state="hidden" r:id="rId3"/>
    <sheet name="Structure" sheetId="38" r:id="rId4"/>
    <sheet name="yrslicer" sheetId="231" state="hidden" r:id="rId5"/>
    <sheet name="Crewing Model" sheetId="100" r:id="rId6"/>
    <sheet name="Crewing Model - Area" sheetId="23" r:id="rId7"/>
    <sheet name="CrewingModelAreaPivot" sheetId="223" state="hidden" r:id="rId8"/>
    <sheet name="CrewingModelAreaData" sheetId="221" state="hidden" r:id="rId9"/>
    <sheet name="Primary Crewing" sheetId="22" r:id="rId10"/>
    <sheet name="PrimaryCrewingAreaPivot" sheetId="226" state="hidden" r:id="rId11"/>
    <sheet name="PrimaryCrewingAreaData" sheetId="224" state="hidden" r:id="rId12"/>
    <sheet name="Primary Crewing - Area" sheetId="101" r:id="rId13"/>
    <sheet name="Crewing Level" sheetId="124" r:id="rId14"/>
    <sheet name="Capabilities" sheetId="114" r:id="rId15"/>
    <sheet name="Chart - Station Type" sheetId="92" r:id="rId16"/>
    <sheet name="Chart - Area" sheetId="103" r:id="rId17"/>
    <sheet name="Chart - Map" sheetId="104" r:id="rId18"/>
    <sheet name="VehiclesData" sheetId="213" state="hidden" r:id="rId19"/>
    <sheet name="Vehicles" sheetId="24" r:id="rId20"/>
    <sheet name="AppliancesLAPivot" sheetId="215" state="hidden" r:id="rId21"/>
    <sheet name="AppliancesLAData" sheetId="214" state="hidden" r:id="rId22"/>
    <sheet name="Appliances LA" sheetId="25" r:id="rId23"/>
    <sheet name="Staffing" sheetId="2" r:id="rId24"/>
    <sheet name="DutySystem" sheetId="115" r:id="rId25"/>
    <sheet name="dutysystemlapivot" sheetId="174" state="hidden" r:id="rId26"/>
    <sheet name="dutysystemladata" sheetId="173" state="hidden" r:id="rId27"/>
    <sheet name="DutySytem LA" sheetId="125" r:id="rId28"/>
    <sheet name="Department" sheetId="61" r:id="rId29"/>
    <sheet name="hdep" sheetId="135" state="hidden" r:id="rId30"/>
    <sheet name="geographicpivot" sheetId="179" state="hidden" r:id="rId31"/>
    <sheet name="geographicdata" sheetId="178" state="hidden" r:id="rId32"/>
    <sheet name="Geographic Structure" sheetId="3" r:id="rId33"/>
    <sheet name="smallareapivot" sheetId="181" state="hidden" r:id="rId34"/>
    <sheet name="smallareadata" sheetId="180" state="hidden" r:id="rId35"/>
    <sheet name="StaffSmallAreaPivot" sheetId="236" state="hidden" r:id="rId36"/>
    <sheet name="StaffSmallAreaData" sheetId="235" state="hidden" r:id="rId37"/>
    <sheet name="Staff - Small Area" sheetId="7" r:id="rId38"/>
    <sheet name="rolepivot" sheetId="183" state="hidden" r:id="rId39"/>
    <sheet name="roledata" sheetId="182" state="hidden" r:id="rId40"/>
    <sheet name="Role" sheetId="94" r:id="rId41"/>
    <sheet name="roledutysystempivot" sheetId="185" state="hidden" r:id="rId42"/>
    <sheet name="roledutysystemdata" sheetId="184" state="hidden" r:id="rId43"/>
    <sheet name="Role DutySystem" sheetId="126" r:id="rId44"/>
    <sheet name="roleareapivot" sheetId="187" state="hidden" r:id="rId45"/>
    <sheet name="roleareadata" sheetId="186" state="hidden" r:id="rId46"/>
    <sheet name="Role - Area" sheetId="93" r:id="rId47"/>
    <sheet name="wtroleareapivot" sheetId="189" state="hidden" r:id="rId48"/>
    <sheet name="wtroleareadata" sheetId="188" state="hidden" r:id="rId49"/>
    <sheet name="WT Role - Area" sheetId="8" r:id="rId50"/>
    <sheet name="rdsroleareapivot" sheetId="192" state="hidden" r:id="rId51"/>
    <sheet name="rdsroleareadata" sheetId="191" state="hidden" r:id="rId52"/>
    <sheet name="RDS Role - Area" sheetId="9" r:id="rId53"/>
    <sheet name="csroledatapivot" sheetId="195" state="hidden" r:id="rId54"/>
    <sheet name="csroleareadata" sheetId="194" state="hidden" r:id="rId55"/>
    <sheet name="CSRoleAreaSupportPivot" sheetId="217" state="hidden" r:id="rId56"/>
    <sheet name="CSRoleAreaSupportData" sheetId="216" state="hidden" r:id="rId57"/>
    <sheet name="C&amp;S Role - Area" sheetId="10" r:id="rId58"/>
    <sheet name="volroleareapivot" sheetId="197" state="hidden" r:id="rId59"/>
    <sheet name="volroleareadata" sheetId="196" state="hidden" r:id="rId60"/>
    <sheet name="Vol Role - Area" sheetId="11" r:id="rId61"/>
    <sheet name="WTFTERoleAreaPivot" sheetId="199" state="hidden" r:id="rId62"/>
    <sheet name="WTFTERoleAreaData" sheetId="198" state="hidden" r:id="rId63"/>
    <sheet name="WT FTE Role - Area" sheetId="12" r:id="rId64"/>
    <sheet name="RDSFTERoleAreaPivot" sheetId="201" state="hidden" r:id="rId65"/>
    <sheet name="RDSFTERoleAreaData" sheetId="200" state="hidden" r:id="rId66"/>
    <sheet name="RDS FTE Role - Area" sheetId="13" r:id="rId67"/>
    <sheet name="CSFTERoleAreaControlPivot" sheetId="203" state="hidden" r:id="rId68"/>
    <sheet name="CSFTERoleAreaControlData" sheetId="202" state="hidden" r:id="rId69"/>
    <sheet name="CSFTERoleAreaSupportPivot" sheetId="205" state="hidden" r:id="rId70"/>
    <sheet name="CSFTERoleAreaSupportData" sheetId="204" state="hidden" r:id="rId71"/>
    <sheet name="C&amp;S FTE Role - Area" sheetId="14" r:id="rId72"/>
    <sheet name="Gender Timeseries" sheetId="15" r:id="rId73"/>
    <sheet name="GenderPivot" sheetId="207" state="hidden" r:id="rId74"/>
    <sheet name="GenderData" sheetId="206" state="hidden" r:id="rId75"/>
    <sheet name="Gender" sheetId="17" r:id="rId76"/>
    <sheet name="genderandrolepivot" sheetId="164" state="hidden" r:id="rId77"/>
    <sheet name="genderandroledata" sheetId="162" state="hidden" r:id="rId78"/>
    <sheet name="Gender and Role" sheetId="16" r:id="rId79"/>
    <sheet name="FTEGenderRolePivot" sheetId="209" state="hidden" r:id="rId80"/>
    <sheet name="FTEGenderRoleData" sheetId="208" state="hidden" r:id="rId81"/>
    <sheet name="FTE Gender and Role" sheetId="18" r:id="rId82"/>
    <sheet name="agepivot" sheetId="168" state="hidden" r:id="rId83"/>
    <sheet name="agedata" sheetId="167" state="hidden" r:id="rId84"/>
    <sheet name="Age" sheetId="19" r:id="rId85"/>
    <sheet name="servicepivot" sheetId="170" state="hidden" r:id="rId86"/>
    <sheet name="servicedata" sheetId="169" state="hidden" r:id="rId87"/>
    <sheet name="Service Length" sheetId="40" r:id="rId88"/>
    <sheet name="EthnicityData" sheetId="211" state="hidden" r:id="rId89"/>
    <sheet name="EthnicityPivot" sheetId="212" state="hidden" r:id="rId90"/>
    <sheet name="Ethnicity" sheetId="20" r:id="rId91"/>
    <sheet name="Disability" sheetId="21" r:id="rId92"/>
    <sheet name="Entrants - Demographics" sheetId="76" state="hidden" r:id="rId93"/>
    <sheet name="hentrant" sheetId="132" state="hidden" r:id="rId94"/>
    <sheet name="leaverspivot" sheetId="172" state="hidden" r:id="rId95"/>
    <sheet name="leaversdata" sheetId="171" state="hidden" r:id="rId96"/>
    <sheet name="Leavers" sheetId="96" r:id="rId97"/>
    <sheet name="Chart Headcount" sheetId="43" r:id="rId98"/>
    <sheet name="Chart FTE" sheetId="98" r:id="rId99"/>
    <sheet name="Chart Gender" sheetId="44" r:id="rId100"/>
    <sheet name="Chart Age" sheetId="45" r:id="rId101"/>
    <sheet name="Chart ServiceLength" sheetId="123" r:id="rId102"/>
    <sheet name="Attacks" sheetId="26" r:id="rId103"/>
    <sheet name="Attacks - Area" sheetId="27" r:id="rId104"/>
    <sheet name="Chart - Attacks" sheetId="48" r:id="rId105"/>
    <sheet name="Chart - Injuries" sheetId="58" r:id="rId106"/>
    <sheet name="Chart - AttacksMap" sheetId="122" r:id="rId107"/>
    <sheet name="HFSVs" sheetId="28" r:id="rId108"/>
    <sheet name="Distinct Properties" sheetId="105" r:id="rId109"/>
    <sheet name="Distinct Propert. Popul." sheetId="106" r:id="rId110"/>
    <sheet name="Residents" sheetId="81" r:id="rId111"/>
    <sheet name="Tenure" sheetId="120" r:id="rId112"/>
    <sheet name="SIMD-Visits" sheetId="82" r:id="rId113"/>
    <sheet name="SIMD-Alarms" sheetId="137" r:id="rId114"/>
    <sheet name="SIMD-%Alarm" sheetId="138" r:id="rId115"/>
    <sheet name="hSIMDAlarmsOwnerOcc" sheetId="234" state="hidden" r:id="rId116"/>
    <sheet name="Rurality" sheetId="107" r:id="rId117"/>
    <sheet name="hfsvla" sheetId="150" state="hidden" r:id="rId118"/>
    <sheet name="Sheet1" sheetId="148" state="hidden" r:id="rId119"/>
    <sheet name="HFSVLApivot" sheetId="242" state="hidden" r:id="rId120"/>
    <sheet name="HFSVLAdata" sheetId="241" state="hidden" r:id="rId121"/>
    <sheet name="HFSVs LA" sheetId="30" r:id="rId122"/>
    <sheet name="Outcome LA" sheetId="31" r:id="rId123"/>
    <sheet name="Rate LA" sheetId="32" r:id="rId124"/>
    <sheet name="Chart HFSVs" sheetId="50" r:id="rId125"/>
    <sheet name="Chart Alarms" sheetId="109" r:id="rId126"/>
    <sheet name="Chart Residents" sheetId="110" r:id="rId127"/>
    <sheet name="Chart SIMD" sheetId="116" r:id="rId128"/>
    <sheet name="Chart SIMD Alarms" sheetId="140" r:id="rId129"/>
    <sheet name="Chart SIMD AlarmRate" sheetId="141" r:id="rId130"/>
    <sheet name="Chart SIMD OwnerOcc" sheetId="142" r:id="rId131"/>
    <sheet name="Chart SIMD OwnerYears" sheetId="143" r:id="rId132"/>
    <sheet name="Chart Rurality" sheetId="111" r:id="rId133"/>
    <sheet name="Chart LA" sheetId="112" r:id="rId134"/>
    <sheet name="Chart Map" sheetId="144" r:id="rId135"/>
    <sheet name="Chart Alarms Map" sheetId="145" r:id="rId136"/>
    <sheet name="Chart %Install" sheetId="146" r:id="rId137"/>
    <sheet name="Workflows" sheetId="33" r:id="rId138"/>
    <sheet name="Audits" sheetId="113" r:id="rId139"/>
    <sheet name="auditlapivot" sheetId="154" state="hidden" r:id="rId140"/>
    <sheet name="auditla - raw data" sheetId="153" state="hidden" r:id="rId141"/>
    <sheet name="Audits LA" sheetId="34" r:id="rId142"/>
    <sheet name="auditsoutcomepremisespivot" sheetId="159" state="hidden" r:id="rId143"/>
    <sheet name="auditsoutcomepremises" sheetId="158" state="hidden" r:id="rId144"/>
    <sheet name="Audits Outcome" sheetId="35" r:id="rId145"/>
    <sheet name="auditsoutcomeLApivot" sheetId="157" state="hidden" r:id="rId146"/>
    <sheet name="auditsoutcomeLA" sheetId="156" state="hidden" r:id="rId147"/>
    <sheet name="Audits Outcome LA" sheetId="36" r:id="rId148"/>
    <sheet name="Notices" sheetId="42" r:id="rId149"/>
    <sheet name="riskpivot" sheetId="161" state="hidden" r:id="rId150"/>
    <sheet name="riskdata" sheetId="160" state="hidden" r:id="rId151"/>
    <sheet name="Risk" sheetId="89" r:id="rId152"/>
    <sheet name="Chart Workflows" sheetId="54" r:id="rId153"/>
    <sheet name="Chart Audits" sheetId="55" r:id="rId154"/>
    <sheet name="Chart Audit Share" sheetId="134" r:id="rId155"/>
  </sheets>
  <externalReferences>
    <externalReference r:id="rId156"/>
    <externalReference r:id="rId157"/>
  </externalReferences>
  <definedNames>
    <definedName name="_xlnm._FilterDatabase" localSheetId="2" hidden="1">StructureData!$A$1:$H$65</definedName>
    <definedName name="aa" localSheetId="127">#REF!</definedName>
    <definedName name="aa" localSheetId="115">#REF!</definedName>
    <definedName name="aa" localSheetId="2">#REF!</definedName>
    <definedName name="aa" localSheetId="4">#REF!</definedName>
    <definedName name="aa">#REF!</definedName>
    <definedName name="AllStaffExcVol">'[1]Table 1a and 1b'!$J$10</definedName>
    <definedName name="AllStaffTotal">'[1]Table 1a and 1b'!$H$10</definedName>
    <definedName name="AllStationRankings">'[2]Chart 4d'!$D$5:$D$36</definedName>
    <definedName name="AllStations">'[2]Chart 4d'!$C$5:$C$36</definedName>
    <definedName name="AuditRankings">'[2]Chart 12'!$D$5:$D$36</definedName>
    <definedName name="AuditRates">'[2]Chart 12'!$C$5:$C$36</definedName>
    <definedName name="ControlHeadcount">'[1]Table 1a and 1b'!$D$10</definedName>
    <definedName name="d" localSheetId="127">#REF!</definedName>
    <definedName name="d" localSheetId="115">#REF!</definedName>
    <definedName name="d" localSheetId="2">#REF!</definedName>
    <definedName name="d">#REF!</definedName>
    <definedName name="ExternalData_1" localSheetId="83" hidden="1">agedata!$A$1:$I$94</definedName>
    <definedName name="ExternalData_1" localSheetId="21" hidden="1">AppliancesLAData!$A$1:$J$97</definedName>
    <definedName name="ExternalData_1" localSheetId="103" hidden="1">'Attacks - Area'!$A$9:$H$41</definedName>
    <definedName name="ExternalData_1" localSheetId="140" hidden="1">'auditla - raw data'!$A$1:$R$229</definedName>
    <definedName name="ExternalData_1" localSheetId="138" hidden="1">Audits!$A$9:$M$24</definedName>
    <definedName name="ExternalData_1" localSheetId="146" hidden="1">auditsoutcomeLA!$A$1:$K$225</definedName>
    <definedName name="ExternalData_1" localSheetId="143" hidden="1">auditsoutcomepremises!$A$1:$K$106</definedName>
    <definedName name="ExternalData_1" localSheetId="68" hidden="1">CSFTERoleAreaControlData!$A$1:$K$9</definedName>
    <definedName name="ExternalData_1" localSheetId="70" hidden="1">CSFTERoleAreaSupportData!$A$1:$L$31</definedName>
    <definedName name="ExternalData_1" localSheetId="54" hidden="1">csroleareadata!$A$1:$J$9</definedName>
    <definedName name="ExternalData_1" localSheetId="56" hidden="1">CSRoleAreaSupportData!$A$1:$L$33</definedName>
    <definedName name="ExternalData_1" localSheetId="28" hidden="1">Department!$A$10:$I$53</definedName>
    <definedName name="ExternalData_1" localSheetId="91" hidden="1">Disability!$A$9:$I$19</definedName>
    <definedName name="ExternalData_1" localSheetId="109" hidden="1">'Distinct Propert. Popul.'!$A$10:$D$18</definedName>
    <definedName name="ExternalData_1" localSheetId="108" hidden="1">'Distinct Properties'!$A$10:$E$18</definedName>
    <definedName name="ExternalData_1" localSheetId="24" hidden="1">DutySystem!$A$10:$E$13</definedName>
    <definedName name="ExternalData_1" localSheetId="26" hidden="1">dutysystemladata!$A$1:$G$160</definedName>
    <definedName name="ExternalData_1" localSheetId="88" hidden="1">EthnicityData!$A$1:$E$73</definedName>
    <definedName name="ExternalData_1" localSheetId="80" hidden="1">FTEGenderRoleData!$A$1:$F$161</definedName>
    <definedName name="ExternalData_1" localSheetId="72" hidden="1">'Gender Timeseries'!$A$10:$M$21</definedName>
    <definedName name="ExternalData_1" localSheetId="77" hidden="1">genderandroledata!$A$1:$F$207</definedName>
    <definedName name="ExternalData_1" localSheetId="74" hidden="1">GenderData!$A$1:$E$44</definedName>
    <definedName name="ExternalData_1" localSheetId="31" hidden="1">geographicdata!$A$1:$G$33</definedName>
    <definedName name="ExternalData_1" localSheetId="120" hidden="1">HFSVLAdata!$E$41:$S$297</definedName>
    <definedName name="ExternalData_1" localSheetId="95" hidden="1">leaversdata!$A$1:$H$34</definedName>
    <definedName name="ExternalData_1" localSheetId="148" hidden="1">Notices!$A$9:$D$16</definedName>
    <definedName name="ExternalData_1" localSheetId="65" hidden="1">RDSFTERoleAreaData!$A$1:$H$256</definedName>
    <definedName name="ExternalData_1" localSheetId="51" hidden="1">rdsroleareadata!$A$1:$G$257</definedName>
    <definedName name="ExternalData_1" localSheetId="110" hidden="1">Residents!$A$30:$H$38</definedName>
    <definedName name="ExternalData_1" localSheetId="150" hidden="1">riskdata!$A$1:$J$106</definedName>
    <definedName name="ExternalData_1" localSheetId="45" hidden="1">roleareadata!$A$1:$J$33</definedName>
    <definedName name="ExternalData_1" localSheetId="39" hidden="1">roledata!$A$1:$J$36</definedName>
    <definedName name="ExternalData_1" localSheetId="42" hidden="1">roledutysystemdata!$A$1:$I$13</definedName>
    <definedName name="ExternalData_1" localSheetId="116" hidden="1">Rurality!$A$10:$H$17</definedName>
    <definedName name="ExternalData_1" localSheetId="86" hidden="1">servicedata!$A$1:$G$37</definedName>
    <definedName name="ExternalData_1" localSheetId="113" hidden="1">'SIMD-Alarms'!$A$31:$G$38</definedName>
    <definedName name="ExternalData_1" localSheetId="112" hidden="1">'SIMD-Visits'!$A$30:$G$37</definedName>
    <definedName name="ExternalData_1" localSheetId="34" hidden="1">smallareadata!$A$1:$I$509</definedName>
    <definedName name="ExternalData_1" localSheetId="36" hidden="1">StaffSmallAreaData!$A$1:$K$423</definedName>
    <definedName name="ExternalData_1" localSheetId="111" hidden="1">Tenure!$A$10:$G$17</definedName>
    <definedName name="ExternalData_1" localSheetId="18" hidden="1">VehiclesData!$A$1:$N$10</definedName>
    <definedName name="ExternalData_1" localSheetId="59" hidden="1">volroleareadata!$A$1:$H$258</definedName>
    <definedName name="ExternalData_1" localSheetId="137" hidden="1">Workflows!$A$9:$F$16</definedName>
    <definedName name="ExternalData_1" localSheetId="62" hidden="1">WTFTERoleAreaData!$A$1:$L$443</definedName>
    <definedName name="ExternalData_1" localSheetId="48" hidden="1">wtroleareadata!$A$1:$J$425</definedName>
    <definedName name="ExternalData_2" localSheetId="28" hidden="1">Department!$A$65:$H$108</definedName>
    <definedName name="ExternalData_2" localSheetId="91" hidden="1">Disability!$A$30:$I$37</definedName>
    <definedName name="ExternalData_2" localSheetId="109" hidden="1">'Distinct Propert. Popul.'!$A$30:$D$38</definedName>
    <definedName name="ExternalData_2" localSheetId="108" hidden="1">'Distinct Properties'!$A$31:$D$39</definedName>
    <definedName name="ExternalData_2" localSheetId="72" hidden="1">'Gender Timeseries'!#REF!</definedName>
    <definedName name="ExternalData_2" localSheetId="116" hidden="1">Rurality!#REF!</definedName>
    <definedName name="ExternalData_2" localSheetId="23" hidden="1">Staffing!$A$37:$F$47</definedName>
    <definedName name="ExternalData_3" localSheetId="144" hidden="1">'Audits Outcome'!$A$10:$K$23</definedName>
    <definedName name="ExternalData_3" localSheetId="116" hidden="1">Rurality!$A$30:$H$37</definedName>
    <definedName name="ExternalData_3" localSheetId="23" hidden="1">Staffing!$A$9:$G$19</definedName>
    <definedName name="FiscalYr">'[1]Fiscal Year - Set as Hidden'!$D$5</definedName>
    <definedName name="HFSV">'[2]Chart 10'!$C$5:$C$36</definedName>
    <definedName name="HFSVAbsRankings">'[2]Chart 10'!$D$5:$D$36</definedName>
    <definedName name="PremisesRankings">'[2]Chart 13'!$D$5:$D$19</definedName>
    <definedName name="PremisesRates">'[2]Chart 13'!$C$5:$C$19</definedName>
    <definedName name="_xlnm.Print_Area" localSheetId="32">'Geographic Structure'!$A$3:$J$26</definedName>
    <definedName name="_xlnm.Print_Area" localSheetId="0">Information!$A$1:$L$30</definedName>
    <definedName name="_xlnm.Print_Area" localSheetId="123">'Rate LA'!$B$9:$G$47</definedName>
    <definedName name="_xlnm.Print_Area" localSheetId="23">Staffing!$A$2:$K$67</definedName>
    <definedName name="RDSHeadcount">'[1]Table 1a and 1b'!$C$10</definedName>
    <definedName name="RDSStationRankings">'[2]Chart 4b'!$D$5:$D$36</definedName>
    <definedName name="RDSStations">'[2]Chart 4b'!$C$5:$C$36</definedName>
    <definedName name="s_srs_v01_pds_RAP_Attacks_Non_Operational" localSheetId="102" hidden="1">Attacks!$A$28:$F$34</definedName>
    <definedName name="s_srs_v01_pds_RAP_Attacks_Operational" localSheetId="102" hidden="1">Attacks!$A$10:$F$16</definedName>
    <definedName name="s_srs_v01_pds_RAP_HFSV_Outcome" localSheetId="107" hidden="1">HFSVs!$A$9:$G$20</definedName>
    <definedName name="s_srs_v01_pds_RAP_HFSV_Rate_LA_All" localSheetId="118" hidden="1">Sheet1!$A$1:$O$257</definedName>
    <definedName name="s_srs_v01_pds_RAP_Injuries_Non_Operational" localSheetId="102" hidden="1">Attacks!$H$28:$M$34</definedName>
    <definedName name="s_srs_v01_pds_RAP_Injuries_Operational" localSheetId="102" hidden="1">Attacks!$H$10:$M$16</definedName>
    <definedName name="s_srs_v01_pds_RAP_Percent_Age_Profile" localSheetId="110" hidden="1">Residents!#REF!</definedName>
    <definedName name="s_srs_v01_pds_RAP_Residents_Age_Profile" localSheetId="110" hidden="1">Residents!$A$10:$H$18</definedName>
    <definedName name="s_srs_v01_pds_RAP_SIMD_Alarms" localSheetId="113" hidden="1">'SIMD-Alarms'!$A$11:$G$18</definedName>
    <definedName name="s_srs_v01_pds_RAP_SIMD_Alarms_OccupiedDwellings" localSheetId="113" hidden="1">'SIMD-Alarms'!#REF!</definedName>
    <definedName name="s_srs_v01_pds_RAP_SIMD_Alarms_OccupiedDwellings" localSheetId="112" hidden="1">'SIMD-Visits'!#REF!</definedName>
    <definedName name="s_srs_v01_pds_RAP_SIMD_Visits" localSheetId="112" hidden="1">'SIMD-Visits'!$A$10:$G$17</definedName>
    <definedName name="s_srs_v01_pds_RAP_SIMD_Visits_OccupiedDwellings" localSheetId="112" hidden="1">'SIMD-Visits'!#REF!</definedName>
    <definedName name="Slicer_FinYear4">#N/A</definedName>
    <definedName name="Slicer_FinYear41">#N/A</definedName>
    <definedName name="Slicer_FinYear5">#N/A</definedName>
    <definedName name="Slicer_FinYear6">#N/A</definedName>
    <definedName name="Slicer_FisYr">#N/A</definedName>
    <definedName name="Slicer_FisYr11">#N/A</definedName>
    <definedName name="Slicer_FisYr12">#N/A</definedName>
    <definedName name="Slicer_FisYr13">#N/A</definedName>
    <definedName name="Slicer_FisYr15">#N/A</definedName>
    <definedName name="Slicer_FisYr16">#N/A</definedName>
    <definedName name="Slicer_FisYr19">#N/A</definedName>
    <definedName name="Slicer_FisYr2">#N/A</definedName>
    <definedName name="Slicer_FisYr20">#N/A</definedName>
    <definedName name="Slicer_FisYr3">#N/A</definedName>
    <definedName name="Slicer_FisYr8">#N/A</definedName>
    <definedName name="Slicer_Year">#N/A</definedName>
    <definedName name="Slicer_Year1">#N/A</definedName>
    <definedName name="Slicer_Year10">#N/A</definedName>
    <definedName name="Slicer_Year11">#N/A</definedName>
    <definedName name="Slicer_Year12">#N/A</definedName>
    <definedName name="Slicer_Year13">#N/A</definedName>
    <definedName name="Slicer_Year14">#N/A</definedName>
    <definedName name="Slicer_Year15">#N/A</definedName>
    <definedName name="Slicer_Year16">#N/A</definedName>
    <definedName name="Slicer_Year17">#N/A</definedName>
    <definedName name="Slicer_Year18">#N/A</definedName>
    <definedName name="Slicer_Year19">#N/A</definedName>
    <definedName name="Slicer_Year2">#N/A</definedName>
    <definedName name="Slicer_Year20">#N/A</definedName>
    <definedName name="Slicer_Year21">#N/A</definedName>
    <definedName name="Slicer_Year22">#N/A</definedName>
    <definedName name="Slicer_Year23">#N/A</definedName>
    <definedName name="Slicer_Year24">#N/A</definedName>
    <definedName name="Slicer_Year25">#N/A</definedName>
    <definedName name="Slicer_Year26">#N/A</definedName>
    <definedName name="Slicer_Year27">#N/A</definedName>
    <definedName name="Slicer_Year28">#N/A</definedName>
    <definedName name="Slicer_Year29">#N/A</definedName>
    <definedName name="Slicer_Year3">#N/A</definedName>
    <definedName name="Slicer_Year4">#N/A</definedName>
    <definedName name="Slicer_Year5">#N/A</definedName>
    <definedName name="Slicer_Year6">#N/A</definedName>
    <definedName name="Slicer_Year7">#N/A</definedName>
    <definedName name="Slicer_Year8">#N/A</definedName>
    <definedName name="Slicer_Year9">#N/A</definedName>
    <definedName name="SupportHeadcount">'[1]Table 1a and 1b'!$E$10</definedName>
    <definedName name="VolStationRankings">'[2]Chart 4c'!$D$5:$D$36</definedName>
    <definedName name="VolStations">'[2]Chart 4c'!$C$5:$C$36</definedName>
    <definedName name="VolunteerHeadcount">'[1]Table 1a and 1b'!$F$10</definedName>
    <definedName name="WTOperational">'[1]Table 1a and 1b'!$B$10</definedName>
    <definedName name="WTStationRankings">'[2]Chart 4a'!$D$5:$D$36</definedName>
    <definedName name="WTStations">'[2]Chart 4a'!$C$5:$C$36</definedName>
    <definedName name="x" localSheetId="127">#REF!</definedName>
    <definedName name="x" localSheetId="115">#REF!</definedName>
    <definedName name="x" localSheetId="2">#REF!</definedName>
    <definedName name="x">#REF!</definedName>
    <definedName name="z" localSheetId="127">#REF!</definedName>
    <definedName name="z" localSheetId="2">#REF!</definedName>
    <definedName name="z">#REF!</definedName>
  </definedNames>
  <calcPr calcId="171027"/>
  <pivotCaches>
    <pivotCache cacheId="0" r:id="rId158"/>
    <pivotCache cacheId="1" r:id="rId159"/>
    <pivotCache cacheId="2" r:id="rId160"/>
    <pivotCache cacheId="3" r:id="rId161"/>
    <pivotCache cacheId="4" r:id="rId162"/>
    <pivotCache cacheId="5" r:id="rId163"/>
    <pivotCache cacheId="6" r:id="rId164"/>
    <pivotCache cacheId="7" r:id="rId165"/>
    <pivotCache cacheId="8" r:id="rId166"/>
    <pivotCache cacheId="9" r:id="rId167"/>
    <pivotCache cacheId="10" r:id="rId168"/>
    <pivotCache cacheId="11" r:id="rId169"/>
    <pivotCache cacheId="12" r:id="rId170"/>
    <pivotCache cacheId="13" r:id="rId171"/>
    <pivotCache cacheId="14" r:id="rId172"/>
    <pivotCache cacheId="15" r:id="rId173"/>
    <pivotCache cacheId="16" r:id="rId174"/>
    <pivotCache cacheId="17" r:id="rId175"/>
    <pivotCache cacheId="18" r:id="rId176"/>
    <pivotCache cacheId="19" r:id="rId177"/>
    <pivotCache cacheId="20" r:id="rId178"/>
    <pivotCache cacheId="21" r:id="rId179"/>
    <pivotCache cacheId="22" r:id="rId180"/>
    <pivotCache cacheId="23" r:id="rId181"/>
    <pivotCache cacheId="24" r:id="rId182"/>
    <pivotCache cacheId="25" r:id="rId183"/>
    <pivotCache cacheId="26" r:id="rId184"/>
    <pivotCache cacheId="27" r:id="rId185"/>
    <pivotCache cacheId="28" r:id="rId186"/>
    <pivotCache cacheId="29" r:id="rId187"/>
    <pivotCache cacheId="30" r:id="rId188"/>
    <pivotCache cacheId="31" r:id="rId189"/>
    <pivotCache cacheId="32" r:id="rId190"/>
    <pivotCache cacheId="33" r:id="rId191"/>
    <pivotCache cacheId="34" r:id="rId192"/>
    <pivotCache cacheId="35" r:id="rId193"/>
    <pivotCache cacheId="36" r:id="rId194"/>
    <pivotCache cacheId="37" r:id="rId195"/>
    <pivotCache cacheId="38" r:id="rId196"/>
  </pivotCaches>
  <extLst>
    <ext xmlns:x14="http://schemas.microsoft.com/office/spreadsheetml/2009/9/main" uri="{BBE1A952-AA13-448e-AADC-164F8A28A991}">
      <x14:slicerCaches>
        <x14:slicerCache r:id="rId197"/>
        <x14:slicerCache r:id="rId198"/>
        <x14:slicerCache r:id="rId199"/>
        <x14:slicerCache r:id="rId200"/>
        <x14:slicerCache r:id="rId201"/>
        <x14:slicerCache r:id="rId202"/>
        <x14:slicerCache r:id="rId203"/>
        <x14:slicerCache r:id="rId204"/>
        <x14:slicerCache r:id="rId205"/>
        <x14:slicerCache r:id="rId206"/>
        <x14:slicerCache r:id="rId207"/>
        <x14:slicerCache r:id="rId208"/>
        <x14:slicerCache r:id="rId209"/>
        <x14:slicerCache r:id="rId210"/>
        <x14:slicerCache r:id="rId211"/>
        <x14:slicerCache r:id="rId212"/>
        <x14:slicerCache r:id="rId213"/>
        <x14:slicerCache r:id="rId214"/>
        <x14:slicerCache r:id="rId215"/>
        <x14:slicerCache r:id="rId216"/>
        <x14:slicerCache r:id="rId217"/>
        <x14:slicerCache r:id="rId218"/>
        <x14:slicerCache r:id="rId219"/>
        <x14:slicerCache r:id="rId220"/>
        <x14:slicerCache r:id="rId221"/>
        <x14:slicerCache r:id="rId222"/>
        <x14:slicerCache r:id="rId223"/>
        <x14:slicerCache r:id="rId224"/>
        <x14:slicerCache r:id="rId225"/>
        <x14:slicerCache r:id="rId226"/>
        <x14:slicerCache r:id="rId227"/>
        <x14:slicerCache r:id="rId228"/>
        <x14:slicerCache r:id="rId229"/>
        <x14:slicerCache r:id="rId230"/>
        <x14:slicerCache r:id="rId231"/>
        <x14:slicerCache r:id="rId232"/>
        <x14:slicerCache r:id="rId23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34"/>
        <x14:slicerCache r:id="rId235"/>
        <x14:slicerCache r:id="rId236"/>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38" l="1"/>
  <c r="D12" i="138"/>
  <c r="E12" i="138"/>
  <c r="F12" i="138"/>
  <c r="C13" i="138"/>
  <c r="D13" i="138"/>
  <c r="E13" i="138"/>
  <c r="F13" i="138"/>
  <c r="C14" i="138"/>
  <c r="D14" i="138"/>
  <c r="E14" i="138"/>
  <c r="F14" i="138"/>
  <c r="C15" i="138"/>
  <c r="D15" i="138"/>
  <c r="E15" i="138"/>
  <c r="F15" i="138"/>
  <c r="C16" i="138"/>
  <c r="D16" i="138"/>
  <c r="E16" i="138"/>
  <c r="F16" i="138"/>
  <c r="C17" i="138"/>
  <c r="D17" i="138"/>
  <c r="E17" i="138"/>
  <c r="F17" i="138"/>
  <c r="C18" i="138"/>
  <c r="D18" i="138"/>
  <c r="E18" i="138"/>
  <c r="F18" i="138"/>
  <c r="B13" i="138"/>
  <c r="B14" i="138"/>
  <c r="B15" i="138"/>
  <c r="B16" i="138"/>
  <c r="B17" i="138"/>
  <c r="B18" i="138"/>
  <c r="B12" i="138"/>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G10" i="30"/>
  <c r="G11" i="30"/>
  <c r="G12" i="30"/>
  <c r="G13" i="30"/>
  <c r="G14" i="30"/>
  <c r="G15" i="30"/>
  <c r="G16" i="30"/>
  <c r="G17" i="30"/>
  <c r="G18" i="30"/>
  <c r="G19" i="30"/>
  <c r="G20" i="30"/>
  <c r="G21" i="30"/>
  <c r="G22" i="30"/>
  <c r="G23" i="30"/>
  <c r="G24" i="30"/>
  <c r="G25" i="30"/>
  <c r="G26" i="30"/>
  <c r="G27" i="30"/>
  <c r="G28" i="30"/>
  <c r="G29" i="30"/>
  <c r="G30" i="30"/>
  <c r="G31" i="30"/>
  <c r="G32" i="30"/>
  <c r="G33" i="30"/>
  <c r="G34" i="30"/>
  <c r="G35" i="30"/>
  <c r="G36" i="30"/>
  <c r="G37" i="30"/>
  <c r="G38" i="30"/>
  <c r="G39" i="30"/>
  <c r="G40" i="30"/>
  <c r="G41"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E10" i="30"/>
  <c r="E11" i="30"/>
  <c r="E12"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10" i="30"/>
  <c r="C26" i="16"/>
  <c r="B26" i="16"/>
  <c r="F23" i="14"/>
  <c r="D23" i="14"/>
  <c r="G23" i="14"/>
  <c r="C23" i="14"/>
  <c r="H23" i="14"/>
  <c r="I23" i="14"/>
  <c r="B23" i="14"/>
  <c r="E23" i="14"/>
  <c r="I9" i="14"/>
  <c r="G38" i="12"/>
  <c r="G31" i="12"/>
  <c r="F36" i="12"/>
  <c r="F26" i="12"/>
  <c r="F17" i="12"/>
  <c r="E64" i="12"/>
  <c r="I72" i="12"/>
  <c r="C68" i="12"/>
  <c r="I61" i="12"/>
  <c r="G60" i="12"/>
  <c r="E59" i="12"/>
  <c r="I56" i="12"/>
  <c r="G55" i="12"/>
  <c r="E54" i="12"/>
  <c r="I52" i="12"/>
  <c r="G51" i="12"/>
  <c r="E50" i="12"/>
  <c r="I48" i="12"/>
  <c r="G47" i="12"/>
  <c r="H43" i="12"/>
  <c r="I40" i="12"/>
  <c r="G37" i="12"/>
  <c r="H33" i="12"/>
  <c r="I29" i="12"/>
  <c r="G27" i="12"/>
  <c r="H24" i="12"/>
  <c r="I21" i="12"/>
  <c r="G19" i="12"/>
  <c r="H15" i="12"/>
  <c r="I12" i="12"/>
  <c r="G67" i="12"/>
  <c r="D68" i="12"/>
  <c r="F27" i="12"/>
  <c r="D63" i="12"/>
  <c r="D53" i="12"/>
  <c r="H47" i="12"/>
  <c r="I24" i="12"/>
  <c r="I15" i="12"/>
  <c r="F38" i="12"/>
  <c r="F31" i="12"/>
  <c r="F35" i="12"/>
  <c r="F25" i="12"/>
  <c r="F16" i="12"/>
  <c r="F64" i="12"/>
  <c r="H72" i="12"/>
  <c r="C67" i="12"/>
  <c r="H61" i="12"/>
  <c r="F60" i="12"/>
  <c r="D59" i="12"/>
  <c r="H56" i="12"/>
  <c r="F55" i="12"/>
  <c r="D54" i="12"/>
  <c r="H52" i="12"/>
  <c r="F51" i="12"/>
  <c r="D50" i="12"/>
  <c r="H48" i="12"/>
  <c r="F47" i="12"/>
  <c r="G43" i="12"/>
  <c r="H40" i="12"/>
  <c r="G36" i="12"/>
  <c r="G33" i="12"/>
  <c r="H29" i="12"/>
  <c r="I26" i="12"/>
  <c r="G24" i="12"/>
  <c r="H21" i="12"/>
  <c r="I17" i="12"/>
  <c r="G15" i="12"/>
  <c r="H12" i="12"/>
  <c r="F69" i="12"/>
  <c r="D67" i="12"/>
  <c r="F19" i="12"/>
  <c r="H60" i="12"/>
  <c r="G50" i="12"/>
  <c r="H27" i="12"/>
  <c r="D69" i="12"/>
  <c r="F34" i="12"/>
  <c r="F43" i="12"/>
  <c r="F33" i="12"/>
  <c r="F24" i="12"/>
  <c r="F15" i="12"/>
  <c r="G64" i="12"/>
  <c r="G72" i="12"/>
  <c r="I63" i="12"/>
  <c r="G61" i="12"/>
  <c r="E60" i="12"/>
  <c r="I58" i="12"/>
  <c r="G56" i="12"/>
  <c r="E55" i="12"/>
  <c r="I53" i="12"/>
  <c r="G52" i="12"/>
  <c r="E51" i="12"/>
  <c r="I49" i="12"/>
  <c r="G48" i="12"/>
  <c r="E47" i="12"/>
  <c r="I42" i="12"/>
  <c r="G40" i="12"/>
  <c r="I36" i="12"/>
  <c r="I32" i="12"/>
  <c r="G29" i="12"/>
  <c r="H26" i="12"/>
  <c r="I23" i="12"/>
  <c r="G21" i="12"/>
  <c r="H17" i="12"/>
  <c r="I14" i="12"/>
  <c r="G12" i="12"/>
  <c r="F68" i="12"/>
  <c r="D64" i="12"/>
  <c r="H55" i="12"/>
  <c r="H37" i="12"/>
  <c r="G68" i="12"/>
  <c r="G34" i="12"/>
  <c r="F42" i="12"/>
  <c r="F32" i="12"/>
  <c r="F23" i="12"/>
  <c r="F14" i="12"/>
  <c r="H64" i="12"/>
  <c r="F72" i="12"/>
  <c r="H63" i="12"/>
  <c r="F61" i="12"/>
  <c r="D60" i="12"/>
  <c r="H58" i="12"/>
  <c r="F56" i="12"/>
  <c r="D55" i="12"/>
  <c r="H53" i="12"/>
  <c r="F52" i="12"/>
  <c r="D51" i="12"/>
  <c r="H49" i="12"/>
  <c r="F48" i="12"/>
  <c r="D47" i="12"/>
  <c r="H42" i="12"/>
  <c r="H39" i="12"/>
  <c r="H36" i="12"/>
  <c r="H32" i="12"/>
  <c r="I28" i="12"/>
  <c r="G26" i="12"/>
  <c r="H23" i="12"/>
  <c r="I20" i="12"/>
  <c r="G17" i="12"/>
  <c r="H14" i="12"/>
  <c r="H69" i="12"/>
  <c r="F67" i="12"/>
  <c r="I68" i="12"/>
  <c r="G41" i="12"/>
  <c r="H34" i="12"/>
  <c r="F41" i="12"/>
  <c r="F30" i="12"/>
  <c r="F22" i="12"/>
  <c r="F13" i="12"/>
  <c r="I64" i="12"/>
  <c r="E72" i="12"/>
  <c r="G63" i="12"/>
  <c r="E61" i="12"/>
  <c r="I59" i="12"/>
  <c r="G58" i="12"/>
  <c r="E56" i="12"/>
  <c r="I54" i="12"/>
  <c r="G53" i="12"/>
  <c r="E52" i="12"/>
  <c r="F50" i="12"/>
  <c r="G49" i="12"/>
  <c r="E48" i="12"/>
  <c r="I44" i="12"/>
  <c r="G42" i="12"/>
  <c r="I39" i="12"/>
  <c r="I35" i="12"/>
  <c r="G32" i="12"/>
  <c r="H28" i="12"/>
  <c r="I25" i="12"/>
  <c r="G23" i="12"/>
  <c r="H20" i="12"/>
  <c r="I16" i="12"/>
  <c r="G14" i="12"/>
  <c r="H68" i="12"/>
  <c r="E69" i="12"/>
  <c r="H38" i="12"/>
  <c r="D58" i="12"/>
  <c r="I43" i="12"/>
  <c r="G22" i="12"/>
  <c r="I34" i="12"/>
  <c r="F40" i="12"/>
  <c r="F29" i="12"/>
  <c r="F21" i="12"/>
  <c r="F12" i="12"/>
  <c r="I67" i="12"/>
  <c r="D72" i="12"/>
  <c r="F63" i="12"/>
  <c r="D61" i="12"/>
  <c r="H59" i="12"/>
  <c r="F58" i="12"/>
  <c r="D56" i="12"/>
  <c r="H54" i="12"/>
  <c r="F53" i="12"/>
  <c r="D52" i="12"/>
  <c r="I50" i="12"/>
  <c r="F49" i="12"/>
  <c r="D48" i="12"/>
  <c r="H44" i="12"/>
  <c r="I41" i="12"/>
  <c r="G39" i="12"/>
  <c r="H35" i="12"/>
  <c r="I30" i="12"/>
  <c r="G28" i="12"/>
  <c r="H25" i="12"/>
  <c r="I22" i="12"/>
  <c r="G20" i="12"/>
  <c r="H16" i="12"/>
  <c r="I13" i="12"/>
  <c r="H67" i="12"/>
  <c r="E68" i="12"/>
  <c r="H31" i="12"/>
  <c r="F59" i="12"/>
  <c r="H51" i="12"/>
  <c r="G30" i="12"/>
  <c r="G13" i="12"/>
  <c r="I38" i="12"/>
  <c r="I31" i="12"/>
  <c r="F39" i="12"/>
  <c r="F28" i="12"/>
  <c r="F20" i="12"/>
  <c r="C64" i="12"/>
  <c r="I69" i="12"/>
  <c r="C72" i="12"/>
  <c r="E63" i="12"/>
  <c r="I60" i="12"/>
  <c r="G59" i="12"/>
  <c r="E58" i="12"/>
  <c r="I55" i="12"/>
  <c r="G54" i="12"/>
  <c r="E53" i="12"/>
  <c r="I51" i="12"/>
  <c r="H50" i="12"/>
  <c r="E49" i="12"/>
  <c r="I47" i="12"/>
  <c r="G44" i="12"/>
  <c r="H41" i="12"/>
  <c r="I37" i="12"/>
  <c r="G35" i="12"/>
  <c r="H30" i="12"/>
  <c r="I27" i="12"/>
  <c r="G25" i="12"/>
  <c r="H22" i="12"/>
  <c r="I19" i="12"/>
  <c r="G16" i="12"/>
  <c r="H13" i="12"/>
  <c r="G69" i="12"/>
  <c r="E67" i="12"/>
  <c r="F37" i="12"/>
  <c r="C69" i="12"/>
  <c r="F54" i="12"/>
  <c r="D49" i="12"/>
  <c r="I33" i="12"/>
  <c r="H19" i="12"/>
  <c r="D26" i="16" l="1"/>
  <c r="D27" i="16" s="1"/>
  <c r="E26" i="16"/>
  <c r="B27" i="16"/>
  <c r="C27" i="16"/>
  <c r="F26" i="16"/>
  <c r="J44" i="12"/>
  <c r="E27" i="16" l="1"/>
  <c r="F27" i="16"/>
  <c r="D17" i="19" l="1"/>
  <c r="C26" i="18"/>
  <c r="B26" i="18"/>
  <c r="E42" i="30" l="1"/>
  <c r="E26" i="18"/>
  <c r="F26" i="18"/>
  <c r="B27" i="18"/>
  <c r="D26" i="18"/>
  <c r="D27" i="18" s="1"/>
  <c r="C27" i="18"/>
  <c r="E27" i="18" l="1"/>
  <c r="F27" i="18"/>
  <c r="P22" i="35" l="1"/>
  <c r="O22" i="35"/>
  <c r="N22" i="35"/>
  <c r="M22" i="35"/>
  <c r="L13" i="35"/>
  <c r="L14" i="35"/>
  <c r="L15" i="35"/>
  <c r="L17" i="35"/>
  <c r="L18" i="35"/>
  <c r="L19" i="35"/>
  <c r="L20" i="35"/>
  <c r="L21" i="35"/>
  <c r="L22" i="35"/>
  <c r="L23" i="35"/>
  <c r="L12" i="35"/>
  <c r="C43" i="32"/>
  <c r="D43" i="32"/>
  <c r="E43" i="32"/>
  <c r="A63" i="28"/>
  <c r="A64" i="28"/>
  <c r="A65" i="28"/>
  <c r="A66" i="28"/>
  <c r="A67" i="28"/>
  <c r="A68" i="28"/>
  <c r="A69" i="28"/>
  <c r="A70" i="28"/>
  <c r="A71" i="28"/>
  <c r="A62" i="28"/>
  <c r="A53" i="28"/>
  <c r="A44" i="28"/>
  <c r="A45" i="28"/>
  <c r="A46" i="28"/>
  <c r="A47" i="28"/>
  <c r="A48" i="28"/>
  <c r="A49" i="28"/>
  <c r="A50" i="28"/>
  <c r="A51" i="28"/>
  <c r="A52" i="28"/>
  <c r="A43" i="28"/>
  <c r="B62" i="28" l="1"/>
  <c r="F23" i="28"/>
  <c r="K12" i="20" l="1"/>
  <c r="L12" i="20"/>
  <c r="M12" i="20"/>
  <c r="N12" i="20"/>
  <c r="O12" i="20"/>
  <c r="P12" i="20"/>
  <c r="Q12" i="20"/>
  <c r="R12" i="20"/>
  <c r="S12" i="20"/>
  <c r="T12" i="20"/>
  <c r="U12" i="20"/>
  <c r="V12" i="20"/>
  <c r="W12" i="20"/>
  <c r="X12" i="20"/>
  <c r="Y12" i="20"/>
  <c r="K13" i="20"/>
  <c r="L13" i="20"/>
  <c r="M13" i="20"/>
  <c r="N13" i="20"/>
  <c r="O13" i="20"/>
  <c r="P13" i="20"/>
  <c r="Q13" i="20"/>
  <c r="R13" i="20"/>
  <c r="S13" i="20"/>
  <c r="T13" i="20"/>
  <c r="U13" i="20"/>
  <c r="V13" i="20"/>
  <c r="W13" i="20"/>
  <c r="X13" i="20"/>
  <c r="Y13" i="20"/>
  <c r="K14" i="20"/>
  <c r="L14" i="20"/>
  <c r="M14" i="20"/>
  <c r="N14" i="20"/>
  <c r="O14" i="20"/>
  <c r="P14" i="20"/>
  <c r="Q14" i="20"/>
  <c r="R14" i="20"/>
  <c r="S14" i="20"/>
  <c r="T14" i="20"/>
  <c r="U14" i="20"/>
  <c r="V14" i="20"/>
  <c r="W14" i="20"/>
  <c r="X14" i="20"/>
  <c r="Y14" i="20"/>
  <c r="K15" i="20"/>
  <c r="L15" i="20"/>
  <c r="M15" i="20"/>
  <c r="N15" i="20"/>
  <c r="O15" i="20"/>
  <c r="P15" i="20"/>
  <c r="Q15" i="20"/>
  <c r="R15" i="20"/>
  <c r="S15" i="20"/>
  <c r="T15" i="20"/>
  <c r="U15" i="20"/>
  <c r="V15" i="20"/>
  <c r="W15" i="20"/>
  <c r="X15" i="20"/>
  <c r="Y15" i="20"/>
  <c r="K16" i="20"/>
  <c r="L16" i="20"/>
  <c r="M16" i="20"/>
  <c r="N16" i="20"/>
  <c r="O16" i="20"/>
  <c r="P16" i="20"/>
  <c r="Q16" i="20"/>
  <c r="R16" i="20"/>
  <c r="S16" i="20"/>
  <c r="T16" i="20"/>
  <c r="U16" i="20"/>
  <c r="V16" i="20"/>
  <c r="W16" i="20"/>
  <c r="X16" i="20"/>
  <c r="Y16" i="20"/>
  <c r="K17" i="20"/>
  <c r="L17" i="20"/>
  <c r="M17" i="20"/>
  <c r="N17" i="20"/>
  <c r="O17" i="20"/>
  <c r="P17" i="20"/>
  <c r="Q17" i="20"/>
  <c r="R17" i="20"/>
  <c r="S17" i="20"/>
  <c r="T17" i="20"/>
  <c r="U17" i="20"/>
  <c r="V17" i="20"/>
  <c r="W17" i="20"/>
  <c r="X17" i="20"/>
  <c r="Y17" i="20"/>
  <c r="K18" i="20"/>
  <c r="L18" i="20"/>
  <c r="M18" i="20"/>
  <c r="N18" i="20"/>
  <c r="O18" i="20"/>
  <c r="P18" i="20"/>
  <c r="Q18" i="20"/>
  <c r="R18" i="20"/>
  <c r="S18" i="20"/>
  <c r="T18" i="20"/>
  <c r="U18" i="20"/>
  <c r="V18" i="20"/>
  <c r="W18" i="20"/>
  <c r="X18" i="20"/>
  <c r="Y18" i="20"/>
  <c r="H19" i="20"/>
  <c r="I19" i="20"/>
  <c r="J19" i="20"/>
  <c r="K19" i="20"/>
  <c r="L19" i="20"/>
  <c r="M19" i="20"/>
  <c r="N19" i="20"/>
  <c r="O19" i="20"/>
  <c r="P19" i="20"/>
  <c r="Q19" i="20"/>
  <c r="R19" i="20"/>
  <c r="S19" i="20"/>
  <c r="T19" i="20"/>
  <c r="U19" i="20"/>
  <c r="V19" i="20"/>
  <c r="W19" i="20"/>
  <c r="X19" i="20"/>
  <c r="Y19" i="20"/>
  <c r="H20" i="20"/>
  <c r="I20" i="20"/>
  <c r="J20" i="20"/>
  <c r="K20" i="20"/>
  <c r="L20" i="20"/>
  <c r="M20" i="20"/>
  <c r="N20" i="20"/>
  <c r="O20" i="20"/>
  <c r="P20" i="20"/>
  <c r="Q20" i="20"/>
  <c r="R20" i="20"/>
  <c r="S20" i="20"/>
  <c r="T20" i="20"/>
  <c r="U20" i="20"/>
  <c r="V20" i="20"/>
  <c r="W20" i="20"/>
  <c r="X20" i="20"/>
  <c r="Y20" i="20"/>
  <c r="Y11" i="20"/>
  <c r="X11" i="20"/>
  <c r="W11" i="20"/>
  <c r="V11" i="20"/>
  <c r="U11" i="20"/>
  <c r="T11" i="20"/>
  <c r="S11" i="20"/>
  <c r="R11" i="20"/>
  <c r="Q11" i="20"/>
  <c r="P11" i="20"/>
  <c r="O11" i="20"/>
  <c r="N11" i="20"/>
  <c r="M11" i="20"/>
  <c r="L11" i="20"/>
  <c r="K11" i="20"/>
  <c r="B12" i="20"/>
  <c r="C12" i="20"/>
  <c r="D12" i="20"/>
  <c r="E12" i="20"/>
  <c r="F12" i="20"/>
  <c r="G12" i="20"/>
  <c r="B13" i="20"/>
  <c r="C13" i="20"/>
  <c r="D13" i="20"/>
  <c r="E13" i="20"/>
  <c r="F13" i="20"/>
  <c r="G13" i="20"/>
  <c r="B14" i="20"/>
  <c r="C14" i="20"/>
  <c r="D14" i="20"/>
  <c r="E14" i="20"/>
  <c r="F14" i="20"/>
  <c r="G14" i="20"/>
  <c r="B15" i="20"/>
  <c r="C15" i="20"/>
  <c r="D15" i="20"/>
  <c r="E15" i="20"/>
  <c r="F15" i="20"/>
  <c r="G15" i="20"/>
  <c r="B16" i="20"/>
  <c r="C16" i="20"/>
  <c r="D16" i="20"/>
  <c r="E16" i="20"/>
  <c r="F16" i="20"/>
  <c r="G16" i="20"/>
  <c r="B17" i="20"/>
  <c r="C17" i="20"/>
  <c r="D17" i="20"/>
  <c r="E17" i="20"/>
  <c r="F17" i="20"/>
  <c r="G17" i="20"/>
  <c r="B18" i="20"/>
  <c r="C18" i="20"/>
  <c r="D18" i="20"/>
  <c r="E18" i="20"/>
  <c r="F18" i="20"/>
  <c r="G18" i="20"/>
  <c r="B19" i="20"/>
  <c r="C19" i="20"/>
  <c r="D19" i="20"/>
  <c r="E19" i="20"/>
  <c r="F19" i="20"/>
  <c r="G19" i="20"/>
  <c r="B20" i="20"/>
  <c r="C20" i="20"/>
  <c r="D20" i="20"/>
  <c r="E20" i="20"/>
  <c r="F20" i="20"/>
  <c r="G20" i="20"/>
  <c r="G11" i="20"/>
  <c r="F11" i="20"/>
  <c r="E11" i="20"/>
  <c r="D11" i="20"/>
  <c r="C11" i="20"/>
  <c r="B11" i="20"/>
  <c r="A10" i="19"/>
  <c r="A20" i="19"/>
  <c r="A19" i="19"/>
  <c r="A18" i="19"/>
  <c r="A17" i="19"/>
  <c r="A16" i="19"/>
  <c r="A15" i="19"/>
  <c r="A14" i="19"/>
  <c r="A13" i="19"/>
  <c r="A12" i="19"/>
  <c r="A11" i="19"/>
  <c r="B12" i="19"/>
  <c r="C13" i="19"/>
  <c r="D14" i="19"/>
  <c r="G16" i="19"/>
  <c r="G17" i="19"/>
  <c r="D20" i="19"/>
  <c r="F9" i="19"/>
  <c r="B11" i="19"/>
  <c r="B10" i="19"/>
  <c r="E9" i="19"/>
  <c r="D19" i="19"/>
  <c r="G10" i="19"/>
  <c r="G11" i="19"/>
  <c r="B13" i="19"/>
  <c r="E15" i="19"/>
  <c r="F16" i="19"/>
  <c r="F20" i="19"/>
  <c r="C18" i="19"/>
  <c r="E20" i="19"/>
  <c r="D13" i="19"/>
  <c r="D9" i="19"/>
  <c r="F10" i="19"/>
  <c r="F11" i="19"/>
  <c r="C14" i="19"/>
  <c r="D15" i="19"/>
  <c r="E16" i="19"/>
  <c r="B18" i="19"/>
  <c r="F17" i="19"/>
  <c r="G19" i="19"/>
  <c r="C12" i="19"/>
  <c r="B20" i="19"/>
  <c r="E19" i="19"/>
  <c r="C9" i="19"/>
  <c r="E10" i="19"/>
  <c r="G12" i="19"/>
  <c r="B14" i="19"/>
  <c r="C15" i="19"/>
  <c r="D18" i="19"/>
  <c r="C20" i="19"/>
  <c r="F19" i="19"/>
  <c r="E17" i="19"/>
  <c r="B19" i="19"/>
  <c r="B9" i="19"/>
  <c r="E11" i="19"/>
  <c r="F12" i="19"/>
  <c r="G13" i="19"/>
  <c r="D16" i="19"/>
  <c r="C16" i="19"/>
  <c r="G20" i="19"/>
  <c r="D12" i="19"/>
  <c r="B16" i="19"/>
  <c r="C17" i="19"/>
  <c r="G18" i="19"/>
  <c r="F18" i="19"/>
  <c r="D10" i="19"/>
  <c r="D11" i="19"/>
  <c r="E12" i="19"/>
  <c r="B15" i="19"/>
  <c r="G14" i="19"/>
  <c r="E14" i="19"/>
  <c r="G9" i="19"/>
  <c r="F14" i="19"/>
  <c r="G15" i="19"/>
  <c r="B17" i="19"/>
  <c r="E18" i="19"/>
  <c r="C19" i="19"/>
  <c r="C10" i="19"/>
  <c r="C11" i="19"/>
  <c r="F13" i="19"/>
  <c r="E13" i="19"/>
  <c r="F15" i="19"/>
  <c r="C39" i="18"/>
  <c r="C16" i="18"/>
  <c r="C12" i="18"/>
  <c r="B33" i="18"/>
  <c r="C11" i="18"/>
  <c r="B40" i="18"/>
  <c r="B42" i="18"/>
  <c r="C21" i="18"/>
  <c r="C35" i="18"/>
  <c r="B41" i="18"/>
  <c r="B11" i="18"/>
  <c r="B44" i="18"/>
  <c r="B43" i="18"/>
  <c r="C10" i="18"/>
  <c r="C32" i="18"/>
  <c r="C45" i="18"/>
  <c r="B15" i="18"/>
  <c r="B45" i="18"/>
  <c r="B32" i="18"/>
  <c r="C44" i="18"/>
  <c r="B39" i="18"/>
  <c r="C42" i="18"/>
  <c r="B22" i="18"/>
  <c r="B35" i="18"/>
  <c r="B21" i="18"/>
  <c r="C30" i="18"/>
  <c r="B30" i="18"/>
  <c r="B34" i="18"/>
  <c r="C40" i="18"/>
  <c r="C14" i="18"/>
  <c r="B14" i="18"/>
  <c r="C20" i="18"/>
  <c r="B20" i="18"/>
  <c r="B31" i="18"/>
  <c r="B10" i="18"/>
  <c r="C13" i="18"/>
  <c r="B13" i="18"/>
  <c r="B16" i="18"/>
  <c r="C22" i="18"/>
  <c r="C43" i="18"/>
  <c r="C31" i="18"/>
  <c r="C34" i="18"/>
  <c r="C41" i="18"/>
  <c r="B12" i="18"/>
  <c r="C15" i="18"/>
  <c r="C33" i="18"/>
  <c r="B42" i="16"/>
  <c r="F21" i="18" l="1"/>
  <c r="H17" i="19"/>
  <c r="I17" i="19" s="1"/>
  <c r="H10" i="19"/>
  <c r="C42" i="16"/>
  <c r="F44" i="13"/>
  <c r="D42" i="16" l="1"/>
  <c r="A9" i="9" l="1"/>
  <c r="A9" i="8"/>
  <c r="A11" i="126"/>
  <c r="E42" i="7"/>
  <c r="F42" i="7"/>
  <c r="G42" i="7"/>
  <c r="E43" i="7"/>
  <c r="F43" i="7"/>
  <c r="G43" i="7"/>
  <c r="E39" i="7"/>
  <c r="F39" i="7"/>
  <c r="G39" i="7"/>
  <c r="E40" i="7"/>
  <c r="F40" i="7"/>
  <c r="G40" i="7"/>
  <c r="E41" i="7"/>
  <c r="F41" i="7"/>
  <c r="G41" i="7"/>
  <c r="E36" i="7"/>
  <c r="F36" i="7"/>
  <c r="G36" i="7"/>
  <c r="E37" i="7"/>
  <c r="F37" i="7"/>
  <c r="G37" i="7"/>
  <c r="E38" i="7"/>
  <c r="F38" i="7"/>
  <c r="G38" i="7"/>
  <c r="E23" i="7"/>
  <c r="F23" i="7"/>
  <c r="G23" i="7"/>
  <c r="E24" i="7"/>
  <c r="F24" i="7"/>
  <c r="G24" i="7"/>
  <c r="E25" i="7"/>
  <c r="F25" i="7"/>
  <c r="G25" i="7"/>
  <c r="E26" i="7"/>
  <c r="F26" i="7"/>
  <c r="G26" i="7"/>
  <c r="E27" i="7"/>
  <c r="F27" i="7"/>
  <c r="G27" i="7"/>
  <c r="E28" i="7"/>
  <c r="F28" i="7"/>
  <c r="G28" i="7"/>
  <c r="E29" i="7"/>
  <c r="F29" i="7"/>
  <c r="G29" i="7"/>
  <c r="E30" i="7"/>
  <c r="F30" i="7"/>
  <c r="G30" i="7"/>
  <c r="E31" i="7"/>
  <c r="F31" i="7"/>
  <c r="G31" i="7"/>
  <c r="E32" i="7"/>
  <c r="F32" i="7"/>
  <c r="G32" i="7"/>
  <c r="E33" i="7"/>
  <c r="F33" i="7"/>
  <c r="G33" i="7"/>
  <c r="E34" i="7"/>
  <c r="F34" i="7"/>
  <c r="G34" i="7"/>
  <c r="E35" i="7"/>
  <c r="F35" i="7"/>
  <c r="G35" i="7"/>
  <c r="E13" i="7"/>
  <c r="F13" i="7"/>
  <c r="G13" i="7"/>
  <c r="E14" i="7"/>
  <c r="F14" i="7"/>
  <c r="G14" i="7"/>
  <c r="E15" i="7"/>
  <c r="F15" i="7"/>
  <c r="G15" i="7"/>
  <c r="E16" i="7"/>
  <c r="F16" i="7"/>
  <c r="G16" i="7"/>
  <c r="E17" i="7"/>
  <c r="F17" i="7"/>
  <c r="G17" i="7"/>
  <c r="E18" i="7"/>
  <c r="F18" i="7"/>
  <c r="G18" i="7"/>
  <c r="E19" i="7"/>
  <c r="F19" i="7"/>
  <c r="G19" i="7"/>
  <c r="E20" i="7"/>
  <c r="F20" i="7"/>
  <c r="G20" i="7"/>
  <c r="E21" i="7"/>
  <c r="F21" i="7"/>
  <c r="G21" i="7"/>
  <c r="E22" i="7"/>
  <c r="F22" i="7"/>
  <c r="G22" i="7"/>
  <c r="I67" i="61"/>
  <c r="I68" i="61"/>
  <c r="I69" i="61"/>
  <c r="I70" i="61"/>
  <c r="I71" i="61"/>
  <c r="I72" i="61"/>
  <c r="I73" i="61"/>
  <c r="I74" i="61"/>
  <c r="I75" i="61"/>
  <c r="I76" i="61"/>
  <c r="I77" i="61"/>
  <c r="I78" i="61"/>
  <c r="I79" i="61"/>
  <c r="I66" i="61"/>
  <c r="I81" i="61"/>
  <c r="I82" i="61"/>
  <c r="I83" i="61"/>
  <c r="I84" i="61"/>
  <c r="I85" i="61"/>
  <c r="I86" i="61"/>
  <c r="I87" i="61"/>
  <c r="I88" i="61"/>
  <c r="I89" i="61"/>
  <c r="I90" i="61"/>
  <c r="I91" i="61"/>
  <c r="I92" i="61"/>
  <c r="I93" i="61"/>
  <c r="I80" i="61"/>
  <c r="I95" i="61"/>
  <c r="I96" i="61"/>
  <c r="I97" i="61"/>
  <c r="I98" i="61"/>
  <c r="I99" i="61"/>
  <c r="I100" i="61"/>
  <c r="I101" i="61"/>
  <c r="I102" i="61"/>
  <c r="I103" i="61"/>
  <c r="I104" i="61"/>
  <c r="I105" i="61"/>
  <c r="I106" i="61"/>
  <c r="I107" i="61"/>
  <c r="I108" i="61"/>
  <c r="I94" i="61"/>
  <c r="J12" i="61"/>
  <c r="J13" i="61"/>
  <c r="J14" i="61"/>
  <c r="J15" i="61"/>
  <c r="J16" i="61"/>
  <c r="J17" i="61"/>
  <c r="J18" i="61"/>
  <c r="J19" i="61"/>
  <c r="J20" i="61"/>
  <c r="J21" i="61"/>
  <c r="J22" i="61"/>
  <c r="J23" i="61"/>
  <c r="J24" i="61"/>
  <c r="J11" i="61"/>
  <c r="J26" i="61"/>
  <c r="J27" i="61"/>
  <c r="J28" i="61"/>
  <c r="J29" i="61"/>
  <c r="J30" i="61"/>
  <c r="J31" i="61"/>
  <c r="J32" i="61"/>
  <c r="J33" i="61"/>
  <c r="J34" i="61"/>
  <c r="J35" i="61"/>
  <c r="J36" i="61"/>
  <c r="J37" i="61"/>
  <c r="J38" i="61"/>
  <c r="J25" i="61"/>
  <c r="J40" i="61"/>
  <c r="J41" i="61"/>
  <c r="J42" i="61"/>
  <c r="J43" i="61"/>
  <c r="J44" i="61"/>
  <c r="J45" i="61"/>
  <c r="J46" i="61"/>
  <c r="J47" i="61"/>
  <c r="J48" i="61"/>
  <c r="J49" i="61"/>
  <c r="J50" i="61"/>
  <c r="J51" i="61"/>
  <c r="J52" i="61"/>
  <c r="J53" i="61"/>
  <c r="J39" i="61"/>
  <c r="C44" i="13"/>
  <c r="C6" i="92" l="1"/>
  <c r="B7" i="92"/>
  <c r="C7" i="92"/>
  <c r="B8" i="92"/>
  <c r="C8" i="92"/>
  <c r="B9" i="92"/>
  <c r="C9" i="92"/>
  <c r="B10" i="92"/>
  <c r="C10" i="92"/>
  <c r="B10" i="101" l="1"/>
  <c r="B10" i="23" l="1"/>
  <c r="E44" i="13"/>
  <c r="D44" i="13"/>
  <c r="O21" i="15" l="1"/>
  <c r="O20" i="15"/>
  <c r="Q20" i="15" s="1"/>
  <c r="D60" i="125"/>
  <c r="E60" i="125"/>
  <c r="F60" i="125"/>
  <c r="G60" i="125"/>
  <c r="D61" i="125"/>
  <c r="E61" i="125"/>
  <c r="F61" i="125"/>
  <c r="G61" i="125"/>
  <c r="D62" i="125"/>
  <c r="E62" i="125"/>
  <c r="F62" i="125"/>
  <c r="G62" i="125"/>
  <c r="D63" i="125"/>
  <c r="E63" i="125"/>
  <c r="F63" i="125"/>
  <c r="G63" i="125"/>
  <c r="D64" i="125"/>
  <c r="E64" i="125"/>
  <c r="F64" i="125"/>
  <c r="G64" i="125"/>
  <c r="D65" i="125"/>
  <c r="E65" i="125"/>
  <c r="F65" i="125"/>
  <c r="G65" i="125"/>
  <c r="E59" i="125"/>
  <c r="F59" i="125"/>
  <c r="G59" i="125"/>
  <c r="C61" i="125"/>
  <c r="C62" i="125"/>
  <c r="C63" i="125"/>
  <c r="C64" i="125"/>
  <c r="C65" i="125"/>
  <c r="C60" i="125"/>
  <c r="J11" i="120"/>
  <c r="K11" i="120"/>
  <c r="L11" i="120"/>
  <c r="M11" i="120"/>
  <c r="N11" i="120"/>
  <c r="J12" i="120"/>
  <c r="K12" i="120"/>
  <c r="L12" i="120"/>
  <c r="M12" i="120"/>
  <c r="N12" i="120"/>
  <c r="J13" i="120"/>
  <c r="K13" i="120"/>
  <c r="L13" i="120"/>
  <c r="M13" i="120"/>
  <c r="N13" i="120"/>
  <c r="J14" i="120"/>
  <c r="K14" i="120"/>
  <c r="L14" i="120"/>
  <c r="M14" i="120"/>
  <c r="N14" i="120"/>
  <c r="J15" i="120"/>
  <c r="K15" i="120"/>
  <c r="L15" i="120"/>
  <c r="M15" i="120"/>
  <c r="N15" i="120"/>
  <c r="J16" i="120"/>
  <c r="K16" i="120"/>
  <c r="L16" i="120"/>
  <c r="M16" i="120"/>
  <c r="N16" i="120"/>
  <c r="I12" i="120"/>
  <c r="I13" i="120"/>
  <c r="I14" i="120"/>
  <c r="I15" i="120"/>
  <c r="I16" i="120"/>
  <c r="I11" i="120"/>
  <c r="C17" i="120"/>
  <c r="D17" i="120"/>
  <c r="E17" i="120"/>
  <c r="F17" i="120"/>
  <c r="G17" i="120"/>
  <c r="B17" i="120"/>
  <c r="R22" i="114"/>
  <c r="C39" i="16"/>
  <c r="B43" i="16"/>
  <c r="C30" i="16"/>
  <c r="B13" i="16"/>
  <c r="B12" i="16"/>
  <c r="B11" i="16"/>
  <c r="C44" i="16"/>
  <c r="B50" i="16"/>
  <c r="C32" i="16"/>
  <c r="B39" i="16"/>
  <c r="C20" i="16"/>
  <c r="B33" i="16"/>
  <c r="B22" i="16"/>
  <c r="C51" i="16"/>
  <c r="B45" i="16"/>
  <c r="C41" i="16"/>
  <c r="C40" i="16"/>
  <c r="B20" i="16"/>
  <c r="C21" i="16"/>
  <c r="B32" i="16"/>
  <c r="C13" i="16"/>
  <c r="C45" i="16"/>
  <c r="B51" i="16"/>
  <c r="C14" i="16"/>
  <c r="B21" i="16"/>
  <c r="B44" i="16"/>
  <c r="B41" i="16"/>
  <c r="C12" i="16"/>
  <c r="C10" i="16"/>
  <c r="B14" i="16"/>
  <c r="B49" i="16"/>
  <c r="C34" i="16"/>
  <c r="B34" i="16"/>
  <c r="C33" i="16"/>
  <c r="B16" i="16"/>
  <c r="C15" i="16"/>
  <c r="C43" i="16"/>
  <c r="C11" i="16"/>
  <c r="B10" i="16"/>
  <c r="B35" i="16"/>
  <c r="C31" i="16"/>
  <c r="B31" i="16"/>
  <c r="C22" i="16"/>
  <c r="B30" i="16"/>
  <c r="C35" i="16"/>
  <c r="C50" i="16"/>
  <c r="B40" i="16"/>
  <c r="C49" i="16"/>
  <c r="C16" i="16"/>
  <c r="B15" i="16"/>
  <c r="G24" i="10"/>
  <c r="F24" i="10"/>
  <c r="C24" i="10"/>
  <c r="D24" i="10"/>
  <c r="I24" i="10"/>
  <c r="E24" i="10"/>
  <c r="H24" i="10"/>
  <c r="H14" i="94"/>
  <c r="F14" i="94"/>
  <c r="D14" i="94"/>
  <c r="H10" i="94"/>
  <c r="B10" i="94"/>
  <c r="H16" i="94"/>
  <c r="D16" i="94"/>
  <c r="G10" i="94"/>
  <c r="G14" i="94"/>
  <c r="C14" i="94"/>
  <c r="B12" i="94"/>
  <c r="C16" i="94"/>
  <c r="E16" i="94"/>
  <c r="B14" i="94"/>
  <c r="G12" i="94"/>
  <c r="E12" i="94"/>
  <c r="C12" i="94"/>
  <c r="B16" i="94"/>
  <c r="D10" i="94"/>
  <c r="H12" i="94"/>
  <c r="F16" i="94"/>
  <c r="E14" i="94"/>
  <c r="D12" i="94"/>
  <c r="C10" i="94"/>
  <c r="G16" i="94"/>
  <c r="F10" i="94"/>
  <c r="F12" i="94"/>
  <c r="E10" i="94"/>
  <c r="E35" i="13"/>
  <c r="D40" i="13"/>
  <c r="C26" i="13"/>
  <c r="D29" i="13"/>
  <c r="D31" i="13"/>
  <c r="E43" i="13"/>
  <c r="C18" i="13"/>
  <c r="E37" i="13"/>
  <c r="D41" i="13"/>
  <c r="E14" i="13"/>
  <c r="E23" i="13"/>
  <c r="E19" i="13"/>
  <c r="E33" i="13"/>
  <c r="C19" i="13"/>
  <c r="D14" i="13"/>
  <c r="C37" i="13"/>
  <c r="C36" i="13"/>
  <c r="C12" i="13"/>
  <c r="E32" i="13"/>
  <c r="D34" i="13"/>
  <c r="C42" i="13"/>
  <c r="D27" i="13"/>
  <c r="C29" i="13"/>
  <c r="D21" i="13"/>
  <c r="E38" i="13"/>
  <c r="C20" i="13"/>
  <c r="E13" i="13"/>
  <c r="E27" i="13"/>
  <c r="E40" i="13"/>
  <c r="E39" i="13"/>
  <c r="D28" i="13"/>
  <c r="D37" i="13"/>
  <c r="C23" i="13"/>
  <c r="D30" i="13"/>
  <c r="E20" i="13"/>
  <c r="C43" i="13"/>
  <c r="D39" i="13"/>
  <c r="E34" i="13"/>
  <c r="E31" i="13"/>
  <c r="D23" i="13"/>
  <c r="E25" i="13"/>
  <c r="D13" i="13"/>
  <c r="E15" i="13"/>
  <c r="C25" i="13"/>
  <c r="D32" i="13"/>
  <c r="E41" i="13"/>
  <c r="E12" i="13"/>
  <c r="D16" i="13"/>
  <c r="D35" i="13"/>
  <c r="C32" i="13"/>
  <c r="C24" i="13"/>
  <c r="D15" i="13"/>
  <c r="D19" i="13"/>
  <c r="E16" i="13"/>
  <c r="C14" i="13"/>
  <c r="C41" i="13"/>
  <c r="D18" i="13"/>
  <c r="D42" i="13"/>
  <c r="D20" i="13"/>
  <c r="C17" i="13"/>
  <c r="C39" i="13"/>
  <c r="E36" i="13"/>
  <c r="D26" i="13"/>
  <c r="C31" i="13"/>
  <c r="E18" i="13"/>
  <c r="E26" i="13"/>
  <c r="D25" i="13"/>
  <c r="C35" i="13"/>
  <c r="D38" i="13"/>
  <c r="C34" i="13"/>
  <c r="C28" i="13"/>
  <c r="C22" i="13"/>
  <c r="E21" i="13"/>
  <c r="C13" i="13"/>
  <c r="D36" i="13"/>
  <c r="E29" i="13"/>
  <c r="C38" i="13"/>
  <c r="C33" i="13"/>
  <c r="E30" i="13"/>
  <c r="C15" i="13"/>
  <c r="D12" i="13"/>
  <c r="D43" i="13"/>
  <c r="C21" i="13"/>
  <c r="D17" i="13"/>
  <c r="D22" i="13"/>
  <c r="C30" i="13"/>
  <c r="E24" i="13"/>
  <c r="C27" i="13"/>
  <c r="E28" i="13"/>
  <c r="C16" i="13"/>
  <c r="E22" i="13"/>
  <c r="D33" i="13"/>
  <c r="E42" i="13"/>
  <c r="C40" i="13"/>
  <c r="D24" i="13"/>
  <c r="E17" i="13"/>
  <c r="F21" i="13" l="1"/>
  <c r="D13" i="7" l="1"/>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C67" i="7"/>
  <c r="C73" i="7"/>
  <c r="G73" i="7"/>
  <c r="F73" i="7"/>
  <c r="C68" i="7"/>
  <c r="C69" i="7"/>
  <c r="A9" i="7" l="1"/>
  <c r="F58" i="7" s="1"/>
  <c r="C47" i="7"/>
  <c r="C48" i="7"/>
  <c r="C49" i="7"/>
  <c r="C50" i="7"/>
  <c r="C51" i="7"/>
  <c r="C52" i="7"/>
  <c r="C53" i="7"/>
  <c r="C54" i="7"/>
  <c r="C55" i="7"/>
  <c r="C56" i="7"/>
  <c r="H73" i="7"/>
  <c r="I73" i="7" s="1"/>
  <c r="D67" i="7"/>
  <c r="E67" i="7"/>
  <c r="F67" i="7"/>
  <c r="G67" i="7"/>
  <c r="H67" i="7"/>
  <c r="D68" i="7"/>
  <c r="E68" i="7"/>
  <c r="F68" i="7"/>
  <c r="G68" i="7"/>
  <c r="H68" i="7"/>
  <c r="D69" i="7"/>
  <c r="E69" i="7"/>
  <c r="F69" i="7"/>
  <c r="G69" i="7"/>
  <c r="H69" i="7"/>
  <c r="G47" i="7"/>
  <c r="H47" i="7"/>
  <c r="G48" i="7"/>
  <c r="H48" i="7"/>
  <c r="G49" i="7"/>
  <c r="H49" i="7"/>
  <c r="G50" i="7"/>
  <c r="H50" i="7"/>
  <c r="G51" i="7"/>
  <c r="H51" i="7"/>
  <c r="G52" i="7"/>
  <c r="H52" i="7"/>
  <c r="G53" i="7"/>
  <c r="H53" i="7"/>
  <c r="G54" i="7"/>
  <c r="H54" i="7"/>
  <c r="G55" i="7"/>
  <c r="H55" i="7"/>
  <c r="G56" i="7"/>
  <c r="H56" i="7"/>
  <c r="D47" i="7"/>
  <c r="E47" i="7"/>
  <c r="F47" i="7"/>
  <c r="D48" i="7"/>
  <c r="E48" i="7"/>
  <c r="F48" i="7"/>
  <c r="D49" i="7"/>
  <c r="E49" i="7"/>
  <c r="F49" i="7"/>
  <c r="D50" i="7"/>
  <c r="E50" i="7"/>
  <c r="F50" i="7"/>
  <c r="D51" i="7"/>
  <c r="E51" i="7"/>
  <c r="F51" i="7"/>
  <c r="D52" i="7"/>
  <c r="E52" i="7"/>
  <c r="F52" i="7"/>
  <c r="D53" i="7"/>
  <c r="E53" i="7"/>
  <c r="F53" i="7"/>
  <c r="D54" i="7"/>
  <c r="E54" i="7"/>
  <c r="F54" i="7"/>
  <c r="D55" i="7"/>
  <c r="E55" i="7"/>
  <c r="F55" i="7"/>
  <c r="D56" i="7"/>
  <c r="E56" i="7"/>
  <c r="F56"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12" i="7"/>
  <c r="E12" i="7"/>
  <c r="E44" i="7" s="1"/>
  <c r="F12" i="7"/>
  <c r="F44" i="7" s="1"/>
  <c r="G12" i="7"/>
  <c r="G44" i="7" s="1"/>
  <c r="D12" i="7"/>
  <c r="D44" i="7" s="1"/>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17" i="14"/>
  <c r="I47" i="7" l="1"/>
  <c r="H44" i="7"/>
  <c r="C44" i="7"/>
  <c r="G60" i="7"/>
  <c r="H59" i="7"/>
  <c r="H63" i="7"/>
  <c r="G59" i="7"/>
  <c r="D63" i="7"/>
  <c r="D59" i="7"/>
  <c r="H62" i="7"/>
  <c r="E58" i="7"/>
  <c r="E62" i="7"/>
  <c r="D58" i="7"/>
  <c r="F61" i="7"/>
  <c r="F57" i="7"/>
  <c r="E61" i="7"/>
  <c r="A57" i="7"/>
  <c r="G62" i="7"/>
  <c r="D61" i="7"/>
  <c r="F59" i="7"/>
  <c r="H57" i="7"/>
  <c r="F62" i="7"/>
  <c r="H60" i="7"/>
  <c r="E59" i="7"/>
  <c r="G57" i="7"/>
  <c r="G63" i="7"/>
  <c r="D62" i="7"/>
  <c r="F60" i="7"/>
  <c r="H58" i="7"/>
  <c r="E57" i="7"/>
  <c r="F63" i="7"/>
  <c r="H61" i="7"/>
  <c r="E60" i="7"/>
  <c r="G58" i="7"/>
  <c r="D57" i="7"/>
  <c r="E63" i="7"/>
  <c r="G61" i="7"/>
  <c r="D60" i="7"/>
  <c r="C59" i="7"/>
  <c r="B57" i="7"/>
  <c r="C57" i="7"/>
  <c r="C58" i="7"/>
  <c r="C63" i="7"/>
  <c r="C62" i="7"/>
  <c r="C61" i="7"/>
  <c r="C60" i="7"/>
  <c r="I57" i="7" l="1"/>
  <c r="C64" i="7"/>
  <c r="F15" i="35" l="1"/>
  <c r="P13" i="35"/>
  <c r="P14" i="35"/>
  <c r="P15" i="35"/>
  <c r="P17" i="35"/>
  <c r="P18" i="35"/>
  <c r="P19" i="35"/>
  <c r="P20" i="35"/>
  <c r="P21" i="35"/>
  <c r="P23" i="35"/>
  <c r="P12" i="35"/>
  <c r="O13" i="35"/>
  <c r="O14" i="35"/>
  <c r="O15" i="35"/>
  <c r="O17" i="35"/>
  <c r="O18" i="35"/>
  <c r="O19" i="35"/>
  <c r="O20" i="35"/>
  <c r="O21" i="35"/>
  <c r="O23" i="35"/>
  <c r="O12" i="35"/>
  <c r="N13" i="35"/>
  <c r="N14" i="35"/>
  <c r="N15" i="35"/>
  <c r="N17" i="35"/>
  <c r="N18" i="35"/>
  <c r="N19" i="35"/>
  <c r="N20" i="35"/>
  <c r="N21" i="35"/>
  <c r="N23" i="35"/>
  <c r="N12" i="35"/>
  <c r="M13" i="35"/>
  <c r="M14" i="35"/>
  <c r="M15" i="35"/>
  <c r="M17" i="35"/>
  <c r="M18" i="35"/>
  <c r="M19" i="35"/>
  <c r="M20" i="35"/>
  <c r="M21" i="35"/>
  <c r="M23" i="35"/>
  <c r="M12" i="35"/>
  <c r="F12" i="35"/>
  <c r="F13" i="35"/>
  <c r="F14" i="35"/>
  <c r="F16" i="35"/>
  <c r="F17" i="35"/>
  <c r="F18" i="35"/>
  <c r="F19" i="35"/>
  <c r="F20" i="35"/>
  <c r="F21" i="35"/>
  <c r="F22" i="35"/>
  <c r="F23" i="35"/>
  <c r="G12" i="35"/>
  <c r="G13" i="35"/>
  <c r="G14" i="35"/>
  <c r="G15" i="35"/>
  <c r="G16" i="35"/>
  <c r="G17" i="35"/>
  <c r="G18" i="35"/>
  <c r="G19" i="35"/>
  <c r="G20" i="35"/>
  <c r="G21" i="35"/>
  <c r="G23" i="35"/>
  <c r="A10" i="36" l="1"/>
  <c r="I19" i="36"/>
  <c r="C32" i="138"/>
  <c r="D32" i="138"/>
  <c r="E32" i="138"/>
  <c r="F32" i="138"/>
  <c r="C33" i="138"/>
  <c r="D33" i="138"/>
  <c r="E33" i="138"/>
  <c r="F33" i="138"/>
  <c r="C34" i="138"/>
  <c r="D34" i="138"/>
  <c r="E34" i="138"/>
  <c r="F34" i="138"/>
  <c r="C35" i="138"/>
  <c r="D35" i="138"/>
  <c r="E35" i="138"/>
  <c r="F35" i="138"/>
  <c r="C36" i="138"/>
  <c r="D36" i="138"/>
  <c r="E36" i="138"/>
  <c r="F36" i="138"/>
  <c r="C37" i="138"/>
  <c r="D37" i="138"/>
  <c r="E37" i="138"/>
  <c r="F37" i="138"/>
  <c r="C38" i="138"/>
  <c r="D38" i="138"/>
  <c r="E38" i="138"/>
  <c r="F38" i="138"/>
  <c r="B33" i="138"/>
  <c r="B34" i="138"/>
  <c r="B35" i="138"/>
  <c r="B36" i="138"/>
  <c r="B37" i="138"/>
  <c r="B38" i="138"/>
  <c r="B32" i="138"/>
  <c r="A11" i="96" l="1"/>
  <c r="A9" i="13"/>
  <c r="A9" i="12"/>
  <c r="A9" i="11"/>
  <c r="B9" i="10"/>
  <c r="A11" i="125"/>
  <c r="F62" i="12"/>
  <c r="B57" i="12" l="1"/>
  <c r="B62" i="12"/>
  <c r="D42" i="27"/>
  <c r="E42" i="27"/>
  <c r="F42" i="27"/>
  <c r="G42" i="27"/>
  <c r="H42" i="27"/>
  <c r="C42" i="27"/>
  <c r="F41" i="38"/>
  <c r="G41" i="38"/>
  <c r="C41" i="38"/>
  <c r="E41" i="38"/>
  <c r="D41" i="38"/>
  <c r="A41" i="38"/>
  <c r="B41" i="38"/>
  <c r="F40" i="38"/>
  <c r="G40" i="38"/>
  <c r="C40" i="38"/>
  <c r="E40" i="38"/>
  <c r="D40" i="38"/>
  <c r="A40" i="38"/>
  <c r="B40" i="38"/>
  <c r="F39" i="38"/>
  <c r="G39" i="38"/>
  <c r="C39" i="38"/>
  <c r="D39" i="38"/>
  <c r="A39" i="38"/>
  <c r="B39" i="38"/>
  <c r="F38" i="38"/>
  <c r="G38" i="38"/>
  <c r="C38" i="38"/>
  <c r="E38" i="38"/>
  <c r="D38" i="38"/>
  <c r="A38" i="38"/>
  <c r="B38" i="38"/>
  <c r="F37" i="38"/>
  <c r="G37" i="38"/>
  <c r="C37" i="38"/>
  <c r="E37" i="38"/>
  <c r="D37" i="38"/>
  <c r="A37" i="38"/>
  <c r="B37" i="38"/>
  <c r="F36" i="38"/>
  <c r="G36" i="38"/>
  <c r="C36" i="38"/>
  <c r="E36" i="38"/>
  <c r="D36" i="38"/>
  <c r="A36" i="38"/>
  <c r="B36" i="38"/>
  <c r="F35" i="38"/>
  <c r="G35" i="38"/>
  <c r="C35" i="38"/>
  <c r="E35" i="38"/>
  <c r="D35" i="38"/>
  <c r="A35" i="38"/>
  <c r="B35" i="38"/>
  <c r="F34" i="38"/>
  <c r="G34" i="38"/>
  <c r="C34" i="38"/>
  <c r="E34" i="38"/>
  <c r="D34" i="38"/>
  <c r="A34" i="38"/>
  <c r="B34" i="38"/>
  <c r="F33" i="38"/>
  <c r="G33" i="38"/>
  <c r="C33" i="38"/>
  <c r="E33" i="38"/>
  <c r="D33" i="38"/>
  <c r="A33" i="38"/>
  <c r="B33" i="38"/>
  <c r="F32" i="38"/>
  <c r="G32" i="38"/>
  <c r="C32" i="38"/>
  <c r="E32" i="38"/>
  <c r="D32" i="38"/>
  <c r="A32" i="38"/>
  <c r="B32" i="38"/>
  <c r="F31" i="38"/>
  <c r="G31" i="38"/>
  <c r="E31" i="38"/>
  <c r="D31" i="38"/>
  <c r="B31" i="38"/>
  <c r="F30" i="38"/>
  <c r="G30" i="38"/>
  <c r="C30" i="38"/>
  <c r="E30" i="38"/>
  <c r="D30" i="38"/>
  <c r="A30" i="38"/>
  <c r="B30" i="38"/>
  <c r="F29" i="38"/>
  <c r="G29" i="38"/>
  <c r="C29" i="38"/>
  <c r="E29" i="38"/>
  <c r="D29" i="38"/>
  <c r="A29" i="38"/>
  <c r="B29" i="38"/>
  <c r="F28" i="38"/>
  <c r="G28" i="38"/>
  <c r="C28" i="38"/>
  <c r="E28" i="38"/>
  <c r="D28" i="38"/>
  <c r="A28" i="38"/>
  <c r="B28" i="38"/>
  <c r="F27" i="38"/>
  <c r="G27" i="38"/>
  <c r="C27" i="38"/>
  <c r="E27" i="38"/>
  <c r="D27" i="38"/>
  <c r="A27" i="38"/>
  <c r="B27" i="38"/>
  <c r="F26" i="38"/>
  <c r="G26" i="38"/>
  <c r="C26" i="38"/>
  <c r="E26" i="38"/>
  <c r="D26" i="38"/>
  <c r="A26" i="38"/>
  <c r="B26" i="38"/>
  <c r="F25" i="38"/>
  <c r="G25" i="38"/>
  <c r="C25" i="38"/>
  <c r="E25" i="38"/>
  <c r="D25" i="38"/>
  <c r="A25" i="38"/>
  <c r="B25" i="38"/>
  <c r="F24" i="38"/>
  <c r="G24" i="38"/>
  <c r="E24" i="38"/>
  <c r="D24" i="38"/>
  <c r="B24" i="38"/>
  <c r="F23" i="38"/>
  <c r="G23" i="38"/>
  <c r="C23" i="38"/>
  <c r="D23" i="38"/>
  <c r="A23" i="38"/>
  <c r="B23" i="38"/>
  <c r="F22" i="38"/>
  <c r="G22" i="38"/>
  <c r="C22" i="38"/>
  <c r="E22" i="38"/>
  <c r="D22" i="38"/>
  <c r="A22" i="38"/>
  <c r="B22" i="38"/>
  <c r="F21" i="38"/>
  <c r="G21" i="38"/>
  <c r="C21" i="38"/>
  <c r="E21" i="38"/>
  <c r="D21" i="38"/>
  <c r="A21" i="38"/>
  <c r="B21" i="38"/>
  <c r="F20" i="38"/>
  <c r="G20" i="38"/>
  <c r="C20" i="38"/>
  <c r="E20" i="38"/>
  <c r="D20" i="38"/>
  <c r="A20" i="38"/>
  <c r="B20" i="38"/>
  <c r="F19" i="38"/>
  <c r="G19" i="38"/>
  <c r="C19" i="38"/>
  <c r="E19" i="38"/>
  <c r="D19" i="38"/>
  <c r="A19" i="38"/>
  <c r="B19" i="38"/>
  <c r="F18" i="38"/>
  <c r="G18" i="38"/>
  <c r="C18" i="38"/>
  <c r="E18" i="38"/>
  <c r="D18" i="38"/>
  <c r="A18" i="38"/>
  <c r="B18" i="38"/>
  <c r="F17" i="38"/>
  <c r="G17" i="38"/>
  <c r="C17" i="38"/>
  <c r="E17" i="38"/>
  <c r="D17" i="38"/>
  <c r="A17" i="38"/>
  <c r="B17" i="38"/>
  <c r="F16" i="38"/>
  <c r="G16" i="38"/>
  <c r="C16" i="38"/>
  <c r="E16" i="38"/>
  <c r="D16" i="38"/>
  <c r="A16" i="38"/>
  <c r="B16" i="38"/>
  <c r="F15" i="38"/>
  <c r="G15" i="38"/>
  <c r="C15" i="38"/>
  <c r="D15" i="38"/>
  <c r="A15" i="38"/>
  <c r="B15" i="38"/>
  <c r="F14" i="38"/>
  <c r="G14" i="38"/>
  <c r="C14" i="38"/>
  <c r="E14" i="38"/>
  <c r="D14" i="38"/>
  <c r="A14" i="38"/>
  <c r="B14" i="38"/>
  <c r="F13" i="38"/>
  <c r="G13" i="38"/>
  <c r="C13" i="38"/>
  <c r="E13" i="38"/>
  <c r="D13" i="38"/>
  <c r="A13" i="38"/>
  <c r="B13" i="38"/>
  <c r="F12" i="38"/>
  <c r="G12" i="38"/>
  <c r="C12" i="38"/>
  <c r="E12" i="38"/>
  <c r="D12" i="38"/>
  <c r="A12" i="38"/>
  <c r="B12" i="38"/>
  <c r="F11" i="38"/>
  <c r="G11" i="38"/>
  <c r="C11" i="38"/>
  <c r="E11" i="38"/>
  <c r="D11" i="38"/>
  <c r="A11" i="38"/>
  <c r="B11" i="38"/>
  <c r="F10" i="38"/>
  <c r="G10" i="38"/>
  <c r="C10" i="38"/>
  <c r="E10" i="38"/>
  <c r="D10" i="38"/>
  <c r="A10" i="38"/>
  <c r="B10" i="38"/>
  <c r="F57" i="12"/>
  <c r="G57" i="12"/>
  <c r="I57" i="12"/>
  <c r="E57" i="12"/>
  <c r="H57" i="12"/>
  <c r="D57" i="12"/>
  <c r="E62" i="12"/>
  <c r="G62" i="12"/>
  <c r="G18" i="12"/>
  <c r="H18" i="12"/>
  <c r="D62" i="12"/>
  <c r="I62" i="12"/>
  <c r="F18" i="12"/>
  <c r="I18" i="12"/>
  <c r="H62" i="12"/>
  <c r="C14" i="231" l="1"/>
  <c r="A31" i="38" l="1"/>
  <c r="B8" i="38"/>
  <c r="N12" i="15"/>
  <c r="N13" i="15"/>
  <c r="N14" i="15"/>
  <c r="N15" i="15"/>
  <c r="N16" i="15"/>
  <c r="N17" i="15"/>
  <c r="N18" i="15"/>
  <c r="N20" i="15"/>
  <c r="N21" i="15"/>
  <c r="N19" i="15"/>
  <c r="F14" i="105" l="1"/>
  <c r="F15" i="105"/>
  <c r="F16" i="105"/>
  <c r="F17" i="105"/>
  <c r="F18" i="105"/>
  <c r="C13" i="101"/>
  <c r="D13" i="101"/>
  <c r="E13" i="101"/>
  <c r="C14" i="101"/>
  <c r="D14" i="101"/>
  <c r="E14" i="101"/>
  <c r="C15" i="101"/>
  <c r="D15" i="101"/>
  <c r="E15" i="101"/>
  <c r="C16" i="101"/>
  <c r="D16" i="101"/>
  <c r="E16" i="101"/>
  <c r="C17" i="101"/>
  <c r="D17" i="101"/>
  <c r="E17" i="101"/>
  <c r="C18" i="101"/>
  <c r="D18" i="101"/>
  <c r="E18" i="101"/>
  <c r="C19" i="101"/>
  <c r="D19" i="101"/>
  <c r="E19" i="101"/>
  <c r="C20" i="101"/>
  <c r="D20" i="101"/>
  <c r="E20" i="101"/>
  <c r="C21" i="101"/>
  <c r="D21" i="101"/>
  <c r="E21" i="101"/>
  <c r="C22" i="101"/>
  <c r="D22" i="101"/>
  <c r="E22" i="101"/>
  <c r="C23" i="101"/>
  <c r="D23" i="101"/>
  <c r="E23" i="101"/>
  <c r="C24" i="101"/>
  <c r="D24" i="101"/>
  <c r="E24" i="101"/>
  <c r="C25" i="101"/>
  <c r="D25" i="101"/>
  <c r="E25" i="101"/>
  <c r="C26" i="101"/>
  <c r="D26" i="101"/>
  <c r="E26" i="101"/>
  <c r="C27" i="101"/>
  <c r="D27" i="101"/>
  <c r="E27" i="101"/>
  <c r="C28" i="101"/>
  <c r="D28" i="101"/>
  <c r="E28" i="101"/>
  <c r="C29" i="101"/>
  <c r="D29" i="101"/>
  <c r="E29" i="101"/>
  <c r="C30" i="101"/>
  <c r="D30" i="101"/>
  <c r="E30" i="101"/>
  <c r="C31" i="101"/>
  <c r="D31" i="101"/>
  <c r="E31" i="101"/>
  <c r="C32" i="101"/>
  <c r="D32" i="101"/>
  <c r="E32" i="101"/>
  <c r="C33" i="101"/>
  <c r="D33" i="101"/>
  <c r="E33" i="101"/>
  <c r="C34" i="101"/>
  <c r="D34" i="101"/>
  <c r="E34" i="101"/>
  <c r="C35" i="101"/>
  <c r="D35" i="101"/>
  <c r="E35" i="101"/>
  <c r="C36" i="101"/>
  <c r="D36" i="101"/>
  <c r="E36" i="101"/>
  <c r="C37" i="101"/>
  <c r="D37" i="101"/>
  <c r="E37" i="101"/>
  <c r="C38" i="101"/>
  <c r="D38" i="101"/>
  <c r="E38" i="101"/>
  <c r="C39" i="101"/>
  <c r="D39" i="101"/>
  <c r="E39" i="101"/>
  <c r="C40" i="101"/>
  <c r="D40" i="101"/>
  <c r="E40" i="101"/>
  <c r="C41" i="101"/>
  <c r="D41" i="101"/>
  <c r="E41" i="101"/>
  <c r="C42" i="101"/>
  <c r="D42" i="101"/>
  <c r="E42" i="101"/>
  <c r="C43" i="101"/>
  <c r="D43" i="101"/>
  <c r="E43" i="101"/>
  <c r="D12" i="101"/>
  <c r="E12" i="101"/>
  <c r="C12" i="101"/>
  <c r="F225" i="224"/>
  <c r="F224" i="224"/>
  <c r="F223" i="224"/>
  <c r="F222" i="224"/>
  <c r="F221" i="224"/>
  <c r="F220" i="224"/>
  <c r="F219" i="224"/>
  <c r="F218" i="224"/>
  <c r="F217" i="224"/>
  <c r="F216" i="224"/>
  <c r="F215" i="224"/>
  <c r="F214" i="224"/>
  <c r="F213" i="224"/>
  <c r="F212" i="224"/>
  <c r="F211" i="224"/>
  <c r="F210" i="224"/>
  <c r="F209" i="224"/>
  <c r="F208" i="224"/>
  <c r="F207" i="224"/>
  <c r="F206" i="224"/>
  <c r="F205" i="224"/>
  <c r="F204" i="224"/>
  <c r="F203" i="224"/>
  <c r="F202" i="224"/>
  <c r="F201" i="224"/>
  <c r="F200" i="224"/>
  <c r="F199" i="224"/>
  <c r="F198" i="224"/>
  <c r="F197" i="224"/>
  <c r="F196" i="224"/>
  <c r="F195" i="224"/>
  <c r="F194" i="224"/>
  <c r="F193" i="224"/>
  <c r="F192" i="224"/>
  <c r="F191" i="224"/>
  <c r="F190" i="224"/>
  <c r="F189" i="224"/>
  <c r="F188" i="224"/>
  <c r="F187" i="224"/>
  <c r="F186" i="224"/>
  <c r="F185" i="224"/>
  <c r="F184" i="224"/>
  <c r="F183" i="224"/>
  <c r="F182" i="224"/>
  <c r="F181" i="224"/>
  <c r="F180" i="224"/>
  <c r="F179" i="224"/>
  <c r="F178" i="224"/>
  <c r="F177" i="224"/>
  <c r="F176" i="224"/>
  <c r="F175" i="224"/>
  <c r="F174" i="224"/>
  <c r="F173" i="224"/>
  <c r="F172" i="224"/>
  <c r="F171" i="224"/>
  <c r="F170" i="224"/>
  <c r="F169" i="224"/>
  <c r="F168" i="224"/>
  <c r="F167" i="224"/>
  <c r="F166" i="224"/>
  <c r="F165" i="224"/>
  <c r="F164" i="224"/>
  <c r="F163" i="224"/>
  <c r="F162" i="224"/>
  <c r="F161" i="224"/>
  <c r="F160" i="224"/>
  <c r="F159" i="224"/>
  <c r="F158" i="224"/>
  <c r="F157" i="224"/>
  <c r="F156" i="224"/>
  <c r="F155" i="224"/>
  <c r="F154" i="224"/>
  <c r="F153" i="224"/>
  <c r="F152" i="224"/>
  <c r="F151" i="224"/>
  <c r="F150" i="224"/>
  <c r="F149" i="224"/>
  <c r="F148" i="224"/>
  <c r="F147" i="224"/>
  <c r="F146" i="224"/>
  <c r="F145" i="224"/>
  <c r="F144" i="224"/>
  <c r="F143" i="224"/>
  <c r="F142" i="224"/>
  <c r="F141" i="224"/>
  <c r="F140" i="224"/>
  <c r="F139" i="224"/>
  <c r="F138" i="224"/>
  <c r="F137" i="224"/>
  <c r="F136" i="224"/>
  <c r="F135" i="224"/>
  <c r="F134" i="224"/>
  <c r="F133" i="224"/>
  <c r="F132" i="224"/>
  <c r="F131" i="224"/>
  <c r="F130" i="224"/>
  <c r="F129" i="224"/>
  <c r="F128" i="224"/>
  <c r="F127" i="224"/>
  <c r="F126" i="224"/>
  <c r="F125" i="224"/>
  <c r="F124" i="224"/>
  <c r="F123" i="224"/>
  <c r="F122" i="224"/>
  <c r="F121" i="224"/>
  <c r="F120" i="224"/>
  <c r="F119" i="224"/>
  <c r="F118" i="224"/>
  <c r="F117" i="224"/>
  <c r="F116" i="224"/>
  <c r="F115" i="224"/>
  <c r="F114" i="224"/>
  <c r="F113" i="224"/>
  <c r="F112" i="224"/>
  <c r="F111" i="224"/>
  <c r="F110" i="224"/>
  <c r="F109" i="224"/>
  <c r="F108" i="224"/>
  <c r="F107" i="224"/>
  <c r="F106" i="224"/>
  <c r="F105" i="224"/>
  <c r="F104" i="224"/>
  <c r="F103" i="224"/>
  <c r="F102" i="224"/>
  <c r="F101" i="224"/>
  <c r="F100" i="224"/>
  <c r="F99" i="224"/>
  <c r="F98" i="224"/>
  <c r="F97" i="224"/>
  <c r="F96" i="224"/>
  <c r="F95" i="224"/>
  <c r="F94" i="224"/>
  <c r="F93" i="224"/>
  <c r="F92" i="224"/>
  <c r="F91" i="224"/>
  <c r="F90" i="224"/>
  <c r="F89" i="224"/>
  <c r="F88" i="224"/>
  <c r="F87" i="224"/>
  <c r="F86" i="224"/>
  <c r="F85" i="224"/>
  <c r="F84" i="224"/>
  <c r="F83" i="224"/>
  <c r="F82" i="224"/>
  <c r="F81" i="224"/>
  <c r="F80" i="224"/>
  <c r="F79" i="224"/>
  <c r="F78" i="224"/>
  <c r="F77" i="224"/>
  <c r="F76" i="224"/>
  <c r="F75" i="224"/>
  <c r="F74" i="224"/>
  <c r="F73" i="224"/>
  <c r="F72" i="224"/>
  <c r="F71" i="224"/>
  <c r="F70" i="224"/>
  <c r="F69" i="224"/>
  <c r="F68" i="224"/>
  <c r="F67" i="224"/>
  <c r="F66" i="224"/>
  <c r="F65" i="224"/>
  <c r="F64" i="224"/>
  <c r="F63" i="224"/>
  <c r="F62" i="224"/>
  <c r="F61" i="224"/>
  <c r="F60" i="224"/>
  <c r="F59" i="224"/>
  <c r="F58" i="224"/>
  <c r="F57" i="224"/>
  <c r="F56" i="224"/>
  <c r="F55" i="224"/>
  <c r="F54" i="224"/>
  <c r="F53" i="224"/>
  <c r="F52" i="224"/>
  <c r="F51" i="224"/>
  <c r="F50" i="224"/>
  <c r="F49" i="224"/>
  <c r="F48" i="224"/>
  <c r="F47" i="224"/>
  <c r="F46" i="224"/>
  <c r="F45" i="224"/>
  <c r="F44" i="224"/>
  <c r="F43" i="224"/>
  <c r="F42" i="224"/>
  <c r="F41" i="224"/>
  <c r="F40" i="224"/>
  <c r="F39" i="224"/>
  <c r="F38" i="224"/>
  <c r="F37" i="224"/>
  <c r="F36" i="224"/>
  <c r="F35" i="224"/>
  <c r="F34" i="224"/>
  <c r="F3" i="224"/>
  <c r="F4" i="224"/>
  <c r="F5" i="224"/>
  <c r="F6" i="224"/>
  <c r="F7" i="224"/>
  <c r="F8" i="224"/>
  <c r="F9" i="224"/>
  <c r="F10" i="224"/>
  <c r="F11" i="224"/>
  <c r="F12" i="224"/>
  <c r="F13" i="224"/>
  <c r="F14" i="224"/>
  <c r="F15" i="224"/>
  <c r="F16" i="224"/>
  <c r="F17" i="224"/>
  <c r="F18" i="224"/>
  <c r="F19" i="224"/>
  <c r="F20" i="224"/>
  <c r="F21" i="224"/>
  <c r="F22" i="224"/>
  <c r="F23" i="224"/>
  <c r="F24" i="224"/>
  <c r="F25" i="224"/>
  <c r="F26" i="224"/>
  <c r="F27" i="224"/>
  <c r="F28" i="224"/>
  <c r="F29" i="224"/>
  <c r="F30" i="224"/>
  <c r="F31" i="224"/>
  <c r="F32" i="224"/>
  <c r="F33" i="224"/>
  <c r="F2" i="224"/>
  <c r="C13" i="23"/>
  <c r="D13" i="23"/>
  <c r="E13" i="23"/>
  <c r="F13" i="23"/>
  <c r="G13" i="23"/>
  <c r="C14" i="23"/>
  <c r="D14" i="23"/>
  <c r="E14" i="23"/>
  <c r="F14" i="23"/>
  <c r="G14" i="23"/>
  <c r="C15" i="23"/>
  <c r="D15" i="23"/>
  <c r="E15" i="23"/>
  <c r="F15" i="23"/>
  <c r="G15" i="23"/>
  <c r="C16" i="23"/>
  <c r="D16" i="23"/>
  <c r="E16" i="23"/>
  <c r="F16" i="23"/>
  <c r="G16" i="23"/>
  <c r="C17" i="23"/>
  <c r="D17" i="23"/>
  <c r="E17" i="23"/>
  <c r="F17" i="23"/>
  <c r="G17" i="23"/>
  <c r="C18" i="23"/>
  <c r="D18" i="23"/>
  <c r="E18" i="23"/>
  <c r="F18" i="23"/>
  <c r="G18" i="23"/>
  <c r="C19" i="23"/>
  <c r="D19" i="23"/>
  <c r="E19" i="23"/>
  <c r="F19" i="23"/>
  <c r="G19" i="23"/>
  <c r="C20" i="23"/>
  <c r="D20" i="23"/>
  <c r="E20" i="23"/>
  <c r="F20" i="23"/>
  <c r="G20" i="23"/>
  <c r="C21" i="23"/>
  <c r="D21" i="23"/>
  <c r="E21" i="23"/>
  <c r="F21" i="23"/>
  <c r="G21" i="23"/>
  <c r="C22" i="23"/>
  <c r="D22" i="23"/>
  <c r="E22" i="23"/>
  <c r="F22" i="23"/>
  <c r="G22" i="23"/>
  <c r="C23" i="23"/>
  <c r="D23" i="23"/>
  <c r="E23" i="23"/>
  <c r="F23" i="23"/>
  <c r="G23" i="23"/>
  <c r="C24" i="23"/>
  <c r="D24" i="23"/>
  <c r="E24" i="23"/>
  <c r="F24" i="23"/>
  <c r="G24" i="23"/>
  <c r="C25" i="23"/>
  <c r="D25" i="23"/>
  <c r="E25" i="23"/>
  <c r="F25" i="23"/>
  <c r="G25" i="23"/>
  <c r="C26" i="23"/>
  <c r="D26" i="23"/>
  <c r="E26" i="23"/>
  <c r="F26" i="23"/>
  <c r="G26" i="23"/>
  <c r="C27" i="23"/>
  <c r="D27" i="23"/>
  <c r="E27" i="23"/>
  <c r="F27" i="23"/>
  <c r="G27" i="23"/>
  <c r="C28" i="23"/>
  <c r="D28" i="23"/>
  <c r="E28" i="23"/>
  <c r="F28" i="23"/>
  <c r="G28" i="23"/>
  <c r="C29" i="23"/>
  <c r="D29" i="23"/>
  <c r="E29" i="23"/>
  <c r="F29" i="23"/>
  <c r="G29" i="23"/>
  <c r="C30" i="23"/>
  <c r="D30" i="23"/>
  <c r="E30" i="23"/>
  <c r="F30" i="23"/>
  <c r="G30" i="23"/>
  <c r="C31" i="23"/>
  <c r="D31" i="23"/>
  <c r="E31" i="23"/>
  <c r="F31" i="23"/>
  <c r="G31" i="23"/>
  <c r="C32" i="23"/>
  <c r="D32" i="23"/>
  <c r="E32" i="23"/>
  <c r="F32" i="23"/>
  <c r="G32" i="23"/>
  <c r="C33" i="23"/>
  <c r="D33" i="23"/>
  <c r="E33" i="23"/>
  <c r="F33" i="23"/>
  <c r="G33" i="23"/>
  <c r="C34" i="23"/>
  <c r="D34" i="23"/>
  <c r="E34" i="23"/>
  <c r="F34" i="23"/>
  <c r="G34" i="23"/>
  <c r="C35" i="23"/>
  <c r="D35" i="23"/>
  <c r="E35" i="23"/>
  <c r="F35" i="23"/>
  <c r="G35" i="23"/>
  <c r="C36" i="23"/>
  <c r="D36" i="23"/>
  <c r="E36" i="23"/>
  <c r="F36" i="23"/>
  <c r="G36" i="23"/>
  <c r="C37" i="23"/>
  <c r="D37" i="23"/>
  <c r="E37" i="23"/>
  <c r="F37" i="23"/>
  <c r="G37" i="23"/>
  <c r="C38" i="23"/>
  <c r="D38" i="23"/>
  <c r="E38" i="23"/>
  <c r="F38" i="23"/>
  <c r="G38" i="23"/>
  <c r="C39" i="23"/>
  <c r="D39" i="23"/>
  <c r="E39" i="23"/>
  <c r="F39" i="23"/>
  <c r="G39" i="23"/>
  <c r="C40" i="23"/>
  <c r="D40" i="23"/>
  <c r="E40" i="23"/>
  <c r="F40" i="23"/>
  <c r="G40" i="23"/>
  <c r="C41" i="23"/>
  <c r="D41" i="23"/>
  <c r="E41" i="23"/>
  <c r="F41" i="23"/>
  <c r="G41" i="23"/>
  <c r="C42" i="23"/>
  <c r="D42" i="23"/>
  <c r="E42" i="23"/>
  <c r="F42" i="23"/>
  <c r="G42" i="23"/>
  <c r="C43" i="23"/>
  <c r="D43" i="23"/>
  <c r="E43" i="23"/>
  <c r="F43" i="23"/>
  <c r="G43" i="23"/>
  <c r="D12" i="23"/>
  <c r="E12" i="23"/>
  <c r="F12" i="23"/>
  <c r="G12" i="23"/>
  <c r="C12" i="23"/>
  <c r="H3" i="221"/>
  <c r="H4" i="221"/>
  <c r="H5" i="221"/>
  <c r="H6" i="221"/>
  <c r="H7" i="221"/>
  <c r="H8" i="221"/>
  <c r="H9" i="221"/>
  <c r="H10" i="221"/>
  <c r="H11" i="221"/>
  <c r="H12" i="221"/>
  <c r="H13" i="221"/>
  <c r="H14" i="221"/>
  <c r="H15" i="221"/>
  <c r="H16" i="221"/>
  <c r="H17" i="221"/>
  <c r="H18" i="221"/>
  <c r="H19" i="221"/>
  <c r="H20" i="221"/>
  <c r="H21" i="221"/>
  <c r="H22" i="221"/>
  <c r="H23" i="221"/>
  <c r="H24" i="221"/>
  <c r="H25" i="221"/>
  <c r="H26" i="221"/>
  <c r="H27" i="221"/>
  <c r="H28" i="221"/>
  <c r="H29" i="221"/>
  <c r="H30" i="221"/>
  <c r="H31" i="221"/>
  <c r="H32" i="221"/>
  <c r="H33" i="221"/>
  <c r="H34" i="221"/>
  <c r="H35" i="221"/>
  <c r="H36" i="221"/>
  <c r="H37" i="221"/>
  <c r="H38" i="221"/>
  <c r="H39" i="221"/>
  <c r="H40" i="221"/>
  <c r="H41" i="221"/>
  <c r="H42" i="221"/>
  <c r="H43" i="221"/>
  <c r="H44" i="221"/>
  <c r="H45" i="221"/>
  <c r="H46" i="221"/>
  <c r="H47" i="221"/>
  <c r="H48" i="221"/>
  <c r="H49" i="221"/>
  <c r="H50" i="221"/>
  <c r="H51" i="221"/>
  <c r="H52" i="221"/>
  <c r="H53" i="221"/>
  <c r="H54" i="221"/>
  <c r="H55" i="221"/>
  <c r="H56" i="221"/>
  <c r="H57" i="221"/>
  <c r="H58" i="221"/>
  <c r="H59" i="221"/>
  <c r="H60" i="221"/>
  <c r="H61" i="221"/>
  <c r="H62" i="221"/>
  <c r="H63" i="221"/>
  <c r="H64" i="221"/>
  <c r="H65" i="221"/>
  <c r="H66" i="221"/>
  <c r="H67" i="221"/>
  <c r="H68" i="221"/>
  <c r="H69" i="221"/>
  <c r="H70" i="221"/>
  <c r="H71" i="221"/>
  <c r="H72" i="221"/>
  <c r="H73" i="221"/>
  <c r="H74" i="221"/>
  <c r="H75" i="221"/>
  <c r="H76" i="221"/>
  <c r="H77" i="221"/>
  <c r="H78" i="221"/>
  <c r="H79" i="221"/>
  <c r="H80" i="221"/>
  <c r="H81" i="221"/>
  <c r="H82" i="221"/>
  <c r="H83" i="221"/>
  <c r="H84" i="221"/>
  <c r="H85" i="221"/>
  <c r="H86" i="221"/>
  <c r="H87" i="221"/>
  <c r="H88" i="221"/>
  <c r="H89" i="221"/>
  <c r="H90" i="221"/>
  <c r="H91" i="221"/>
  <c r="H92" i="221"/>
  <c r="H93" i="221"/>
  <c r="H94" i="221"/>
  <c r="H95" i="221"/>
  <c r="H96" i="221"/>
  <c r="H97" i="221"/>
  <c r="H2" i="221"/>
  <c r="C12" i="17"/>
  <c r="B12" i="17"/>
  <c r="D12" i="17" l="1"/>
  <c r="E12" i="17" s="1"/>
  <c r="B15" i="17"/>
  <c r="B11" i="17"/>
  <c r="C15" i="17"/>
  <c r="B10" i="17"/>
  <c r="B14" i="17"/>
  <c r="C11" i="17"/>
  <c r="B13" i="17"/>
  <c r="C10" i="17"/>
  <c r="C13" i="17"/>
  <c r="C14" i="17"/>
  <c r="I10" i="25" l="1"/>
  <c r="I11" i="25"/>
  <c r="I12" i="25"/>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C11" i="25"/>
  <c r="D11" i="25"/>
  <c r="E11" i="25"/>
  <c r="F11" i="25"/>
  <c r="G11" i="25"/>
  <c r="H11" i="25"/>
  <c r="C12" i="25"/>
  <c r="D12" i="25"/>
  <c r="E12" i="25"/>
  <c r="F12" i="25"/>
  <c r="G12" i="25"/>
  <c r="H12" i="25"/>
  <c r="C13" i="25"/>
  <c r="D13" i="25"/>
  <c r="E13" i="25"/>
  <c r="F13" i="25"/>
  <c r="G13" i="25"/>
  <c r="H13" i="25"/>
  <c r="C14" i="25"/>
  <c r="D14" i="25"/>
  <c r="E14" i="25"/>
  <c r="F14" i="25"/>
  <c r="G14" i="25"/>
  <c r="H14" i="25"/>
  <c r="C15" i="25"/>
  <c r="D15" i="25"/>
  <c r="E15" i="25"/>
  <c r="F15" i="25"/>
  <c r="G15" i="25"/>
  <c r="H15" i="25"/>
  <c r="C16" i="25"/>
  <c r="D16" i="25"/>
  <c r="E16" i="25"/>
  <c r="F16" i="25"/>
  <c r="G16" i="25"/>
  <c r="H16" i="25"/>
  <c r="C17" i="25"/>
  <c r="D17" i="25"/>
  <c r="E17" i="25"/>
  <c r="F17" i="25"/>
  <c r="G17" i="25"/>
  <c r="H17" i="25"/>
  <c r="C18" i="25"/>
  <c r="D18" i="25"/>
  <c r="E18" i="25"/>
  <c r="F18" i="25"/>
  <c r="G18" i="25"/>
  <c r="H18" i="25"/>
  <c r="C19" i="25"/>
  <c r="D19" i="25"/>
  <c r="E19" i="25"/>
  <c r="F19" i="25"/>
  <c r="G19" i="25"/>
  <c r="H19" i="25"/>
  <c r="C20" i="25"/>
  <c r="D20" i="25"/>
  <c r="E20" i="25"/>
  <c r="F20" i="25"/>
  <c r="G20" i="25"/>
  <c r="H20" i="25"/>
  <c r="C21" i="25"/>
  <c r="D21" i="25"/>
  <c r="E21" i="25"/>
  <c r="F21" i="25"/>
  <c r="G21" i="25"/>
  <c r="H21" i="25"/>
  <c r="C22" i="25"/>
  <c r="D22" i="25"/>
  <c r="E22" i="25"/>
  <c r="F22" i="25"/>
  <c r="G22" i="25"/>
  <c r="H22" i="25"/>
  <c r="C23" i="25"/>
  <c r="D23" i="25"/>
  <c r="E23" i="25"/>
  <c r="F23" i="25"/>
  <c r="G23" i="25"/>
  <c r="H23" i="25"/>
  <c r="C24" i="25"/>
  <c r="D24" i="25"/>
  <c r="E24" i="25"/>
  <c r="F24" i="25"/>
  <c r="G24" i="25"/>
  <c r="H24" i="25"/>
  <c r="C25" i="25"/>
  <c r="D25" i="25"/>
  <c r="E25" i="25"/>
  <c r="F25" i="25"/>
  <c r="G25" i="25"/>
  <c r="H25" i="25"/>
  <c r="C26" i="25"/>
  <c r="D26" i="25"/>
  <c r="E26" i="25"/>
  <c r="F26" i="25"/>
  <c r="G26" i="25"/>
  <c r="H26" i="25"/>
  <c r="C27" i="25"/>
  <c r="D27" i="25"/>
  <c r="E27" i="25"/>
  <c r="F27" i="25"/>
  <c r="G27" i="25"/>
  <c r="H27" i="25"/>
  <c r="C28" i="25"/>
  <c r="D28" i="25"/>
  <c r="E28" i="25"/>
  <c r="F28" i="25"/>
  <c r="G28" i="25"/>
  <c r="H28" i="25"/>
  <c r="C29" i="25"/>
  <c r="D29" i="25"/>
  <c r="E29" i="25"/>
  <c r="F29" i="25"/>
  <c r="G29" i="25"/>
  <c r="H29" i="25"/>
  <c r="C30" i="25"/>
  <c r="D30" i="25"/>
  <c r="E30" i="25"/>
  <c r="F30" i="25"/>
  <c r="G30" i="25"/>
  <c r="H30" i="25"/>
  <c r="C31" i="25"/>
  <c r="D31" i="25"/>
  <c r="E31" i="25"/>
  <c r="F31" i="25"/>
  <c r="G31" i="25"/>
  <c r="H31" i="25"/>
  <c r="C32" i="25"/>
  <c r="D32" i="25"/>
  <c r="E32" i="25"/>
  <c r="F32" i="25"/>
  <c r="G32" i="25"/>
  <c r="H32" i="25"/>
  <c r="C33" i="25"/>
  <c r="D33" i="25"/>
  <c r="E33" i="25"/>
  <c r="F33" i="25"/>
  <c r="G33" i="25"/>
  <c r="H33" i="25"/>
  <c r="C34" i="25"/>
  <c r="D34" i="25"/>
  <c r="E34" i="25"/>
  <c r="F34" i="25"/>
  <c r="G34" i="25"/>
  <c r="H34" i="25"/>
  <c r="C35" i="25"/>
  <c r="D35" i="25"/>
  <c r="E35" i="25"/>
  <c r="F35" i="25"/>
  <c r="G35" i="25"/>
  <c r="H35" i="25"/>
  <c r="C36" i="25"/>
  <c r="D36" i="25"/>
  <c r="E36" i="25"/>
  <c r="F36" i="25"/>
  <c r="G36" i="25"/>
  <c r="H36" i="25"/>
  <c r="C37" i="25"/>
  <c r="D37" i="25"/>
  <c r="E37" i="25"/>
  <c r="F37" i="25"/>
  <c r="G37" i="25"/>
  <c r="H37" i="25"/>
  <c r="C38" i="25"/>
  <c r="D38" i="25"/>
  <c r="E38" i="25"/>
  <c r="F38" i="25"/>
  <c r="G38" i="25"/>
  <c r="H38" i="25"/>
  <c r="C39" i="25"/>
  <c r="D39" i="25"/>
  <c r="E39" i="25"/>
  <c r="F39" i="25"/>
  <c r="G39" i="25"/>
  <c r="H39" i="25"/>
  <c r="C40" i="25"/>
  <c r="D40" i="25"/>
  <c r="E40" i="25"/>
  <c r="F40" i="25"/>
  <c r="G40" i="25"/>
  <c r="H40" i="25"/>
  <c r="C41" i="25"/>
  <c r="D41" i="25"/>
  <c r="E41" i="25"/>
  <c r="F41" i="25"/>
  <c r="G41" i="25"/>
  <c r="H41" i="25"/>
  <c r="D10" i="25"/>
  <c r="E10" i="25"/>
  <c r="F10" i="25"/>
  <c r="G10" i="25"/>
  <c r="H10" i="25"/>
  <c r="C10" i="25"/>
  <c r="M12" i="24"/>
  <c r="N12" i="24"/>
  <c r="M13" i="24"/>
  <c r="N13" i="24"/>
  <c r="M14" i="24"/>
  <c r="N14" i="24"/>
  <c r="M15" i="24"/>
  <c r="N15" i="24"/>
  <c r="M16" i="24"/>
  <c r="N16" i="24"/>
  <c r="M17" i="24"/>
  <c r="N17" i="24"/>
  <c r="M18" i="24"/>
  <c r="N18" i="24"/>
  <c r="M19" i="24"/>
  <c r="N19" i="24"/>
  <c r="M20" i="24"/>
  <c r="N20" i="24"/>
  <c r="B17" i="24"/>
  <c r="C17" i="24"/>
  <c r="D17" i="24"/>
  <c r="E17" i="24"/>
  <c r="F17" i="24"/>
  <c r="G17" i="24"/>
  <c r="H17" i="24"/>
  <c r="I17" i="24"/>
  <c r="B18" i="24"/>
  <c r="C18" i="24"/>
  <c r="D18" i="24"/>
  <c r="E18" i="24"/>
  <c r="F18" i="24"/>
  <c r="G18" i="24"/>
  <c r="H18" i="24"/>
  <c r="I18" i="24"/>
  <c r="B19" i="24"/>
  <c r="C19" i="24"/>
  <c r="D19" i="24"/>
  <c r="E19" i="24"/>
  <c r="F19" i="24"/>
  <c r="G19" i="24"/>
  <c r="H19" i="24"/>
  <c r="I19" i="24"/>
  <c r="B20" i="24"/>
  <c r="C20" i="24"/>
  <c r="D20" i="24"/>
  <c r="E20" i="24"/>
  <c r="F20" i="24"/>
  <c r="G20" i="24"/>
  <c r="H20" i="24"/>
  <c r="I20" i="24"/>
  <c r="J18" i="24"/>
  <c r="J19" i="24"/>
  <c r="J20" i="24"/>
  <c r="J17" i="24"/>
  <c r="K17" i="24"/>
  <c r="L17" i="24"/>
  <c r="K18" i="24"/>
  <c r="L18" i="24"/>
  <c r="K19" i="24"/>
  <c r="L19" i="24"/>
  <c r="K20" i="24"/>
  <c r="L20" i="24"/>
  <c r="I12" i="24"/>
  <c r="K12" i="24"/>
  <c r="L12" i="24"/>
  <c r="I13" i="24"/>
  <c r="K13" i="24"/>
  <c r="L13" i="24"/>
  <c r="I14" i="24"/>
  <c r="K14" i="24"/>
  <c r="L14" i="24"/>
  <c r="I15" i="24"/>
  <c r="K15" i="24"/>
  <c r="L15" i="24"/>
  <c r="I16" i="24"/>
  <c r="K16" i="24"/>
  <c r="L16" i="24"/>
  <c r="D13" i="24"/>
  <c r="F13" i="24"/>
  <c r="G13" i="24"/>
  <c r="H13" i="24"/>
  <c r="D14" i="24"/>
  <c r="E14" i="24"/>
  <c r="F14" i="24"/>
  <c r="G14" i="24"/>
  <c r="H14" i="24"/>
  <c r="D15" i="24"/>
  <c r="E15" i="24"/>
  <c r="F15" i="24"/>
  <c r="G15" i="24"/>
  <c r="H15" i="24"/>
  <c r="D16" i="24"/>
  <c r="E16" i="24"/>
  <c r="F16" i="24"/>
  <c r="G16" i="24"/>
  <c r="H16" i="24"/>
  <c r="E12" i="24"/>
  <c r="F12" i="24"/>
  <c r="G12" i="24"/>
  <c r="H12" i="24"/>
  <c r="B13" i="24"/>
  <c r="C13" i="24"/>
  <c r="B14" i="24"/>
  <c r="C14" i="24"/>
  <c r="B15" i="24"/>
  <c r="C15" i="24"/>
  <c r="B16" i="24"/>
  <c r="C16" i="24"/>
  <c r="C12" i="24"/>
  <c r="D12" i="24"/>
  <c r="B12" i="24"/>
  <c r="D42" i="18"/>
  <c r="D31" i="18"/>
  <c r="D9" i="14"/>
  <c r="E9" i="14"/>
  <c r="F9" i="14"/>
  <c r="G9" i="14"/>
  <c r="H9" i="14"/>
  <c r="C9" i="14"/>
  <c r="C47" i="12"/>
  <c r="C48" i="12"/>
  <c r="C49" i="12"/>
  <c r="C50" i="12"/>
  <c r="C51" i="12"/>
  <c r="C52" i="12"/>
  <c r="C53" i="12"/>
  <c r="C54" i="12"/>
  <c r="C55" i="12"/>
  <c r="C56" i="12"/>
  <c r="C57" i="12"/>
  <c r="C58" i="12"/>
  <c r="C59" i="12"/>
  <c r="C60" i="12"/>
  <c r="C61" i="12"/>
  <c r="C62" i="12"/>
  <c r="C63" i="12"/>
  <c r="C16" i="11"/>
  <c r="D16" i="11"/>
  <c r="E16" i="11"/>
  <c r="C17" i="11"/>
  <c r="D17" i="11"/>
  <c r="E17" i="11"/>
  <c r="C18" i="11"/>
  <c r="D18" i="11"/>
  <c r="E18" i="11"/>
  <c r="C19" i="11"/>
  <c r="D19" i="11"/>
  <c r="E19" i="11"/>
  <c r="C20" i="11"/>
  <c r="D20" i="11"/>
  <c r="E20" i="11"/>
  <c r="C21" i="11"/>
  <c r="D21" i="11"/>
  <c r="E21" i="11"/>
  <c r="C22" i="11"/>
  <c r="D22" i="11"/>
  <c r="E22" i="11"/>
  <c r="C23" i="11"/>
  <c r="D23" i="11"/>
  <c r="E23" i="11"/>
  <c r="C24" i="11"/>
  <c r="D24" i="11"/>
  <c r="E24" i="11"/>
  <c r="C25" i="11"/>
  <c r="D25" i="11"/>
  <c r="E25" i="11"/>
  <c r="C26" i="11"/>
  <c r="D26" i="11"/>
  <c r="E26" i="11"/>
  <c r="C27" i="11"/>
  <c r="D27" i="11"/>
  <c r="E27" i="11"/>
  <c r="C28" i="11"/>
  <c r="D28" i="11"/>
  <c r="E28" i="11"/>
  <c r="C29" i="11"/>
  <c r="D29" i="11"/>
  <c r="E29" i="11"/>
  <c r="C30" i="11"/>
  <c r="D30" i="11"/>
  <c r="E30" i="11"/>
  <c r="C31" i="11"/>
  <c r="D31" i="11"/>
  <c r="E31" i="11"/>
  <c r="C32" i="11"/>
  <c r="D32" i="11"/>
  <c r="E32" i="11"/>
  <c r="C33" i="11"/>
  <c r="D33" i="11"/>
  <c r="E33" i="11"/>
  <c r="C34" i="11"/>
  <c r="D34" i="11"/>
  <c r="E34" i="11"/>
  <c r="C35" i="11"/>
  <c r="D35" i="11"/>
  <c r="E35" i="11"/>
  <c r="C36" i="11"/>
  <c r="D36" i="11"/>
  <c r="E36" i="11"/>
  <c r="C37" i="11"/>
  <c r="D37" i="11"/>
  <c r="E37" i="11"/>
  <c r="C38" i="11"/>
  <c r="D38" i="11"/>
  <c r="E38" i="11"/>
  <c r="C39" i="11"/>
  <c r="D39" i="11"/>
  <c r="E39" i="11"/>
  <c r="C40" i="11"/>
  <c r="D40" i="11"/>
  <c r="E40" i="11"/>
  <c r="C41" i="11"/>
  <c r="D41" i="11"/>
  <c r="E41" i="11"/>
  <c r="C42" i="11"/>
  <c r="D42" i="11"/>
  <c r="E42" i="11"/>
  <c r="C43" i="11"/>
  <c r="D43" i="11"/>
  <c r="E43" i="11"/>
  <c r="D12" i="11"/>
  <c r="E12" i="11"/>
  <c r="D13" i="11"/>
  <c r="E13" i="11"/>
  <c r="D14" i="11"/>
  <c r="E14" i="11"/>
  <c r="D15" i="11"/>
  <c r="E15" i="11"/>
  <c r="C12" i="11"/>
  <c r="C13" i="11"/>
  <c r="C14" i="11"/>
  <c r="C15" i="11"/>
  <c r="D12" i="10"/>
  <c r="E12" i="10"/>
  <c r="F12" i="10"/>
  <c r="G12" i="10"/>
  <c r="H12" i="10"/>
  <c r="C12" i="10"/>
  <c r="J55" i="12" l="1"/>
  <c r="D34" i="18"/>
  <c r="D35" i="18"/>
  <c r="D41" i="18"/>
  <c r="D22" i="18"/>
  <c r="D45" i="18"/>
  <c r="D43" i="18"/>
  <c r="J63" i="12"/>
  <c r="J47" i="12"/>
  <c r="J54" i="12"/>
  <c r="J61" i="12"/>
  <c r="J53" i="12"/>
  <c r="J60" i="12"/>
  <c r="J52" i="12"/>
  <c r="J59" i="12"/>
  <c r="J51" i="12"/>
  <c r="J58" i="12"/>
  <c r="J50" i="12"/>
  <c r="J57" i="12"/>
  <c r="J49" i="12"/>
  <c r="J56" i="12"/>
  <c r="J48" i="12"/>
  <c r="G70" i="12"/>
  <c r="I70" i="12"/>
  <c r="H70" i="12"/>
  <c r="F70" i="12"/>
  <c r="E70" i="12"/>
  <c r="D70" i="12"/>
  <c r="B23" i="18"/>
  <c r="B46" i="18"/>
  <c r="D11" i="18"/>
  <c r="D14" i="18"/>
  <c r="C23" i="18"/>
  <c r="D39" i="18"/>
  <c r="D21" i="18"/>
  <c r="C46" i="18"/>
  <c r="C17" i="18"/>
  <c r="D32" i="18"/>
  <c r="B17" i="18"/>
  <c r="D30" i="18"/>
  <c r="C36" i="18"/>
  <c r="B36" i="18"/>
  <c r="D40" i="18"/>
  <c r="D44" i="18"/>
  <c r="D33" i="18"/>
  <c r="D15" i="18"/>
  <c r="D20" i="18"/>
  <c r="D13" i="17"/>
  <c r="D10" i="18"/>
  <c r="D12" i="18"/>
  <c r="D16" i="18"/>
  <c r="D13" i="18"/>
  <c r="F37" i="13"/>
  <c r="F29" i="13"/>
  <c r="F24" i="13"/>
  <c r="F16" i="13"/>
  <c r="F14" i="13"/>
  <c r="F38" i="13"/>
  <c r="F30" i="13"/>
  <c r="F22" i="13"/>
  <c r="F40" i="13"/>
  <c r="F32" i="13"/>
  <c r="F42" i="13"/>
  <c r="F34" i="13"/>
  <c r="F26" i="13"/>
  <c r="F18" i="13"/>
  <c r="F39" i="13"/>
  <c r="F31" i="13"/>
  <c r="F23" i="13"/>
  <c r="F15" i="13"/>
  <c r="F12" i="13"/>
  <c r="F41" i="13"/>
  <c r="F36" i="13"/>
  <c r="F33" i="13"/>
  <c r="F28" i="13"/>
  <c r="F25" i="13"/>
  <c r="F20" i="13"/>
  <c r="F17" i="13"/>
  <c r="F43" i="13"/>
  <c r="F27" i="13"/>
  <c r="F19" i="13"/>
  <c r="F13" i="13"/>
  <c r="F35" i="13"/>
  <c r="F12" i="11"/>
  <c r="C48" i="18" l="1"/>
  <c r="B48" i="18"/>
  <c r="D46" i="18"/>
  <c r="D23" i="18"/>
  <c r="D17" i="18"/>
  <c r="D36" i="18"/>
  <c r="H44" i="15"/>
  <c r="I44" i="15"/>
  <c r="J44" i="15"/>
  <c r="M44" i="15"/>
  <c r="C43" i="15"/>
  <c r="C44" i="15" s="1"/>
  <c r="D43" i="15"/>
  <c r="D44" i="15" s="1"/>
  <c r="E43" i="15"/>
  <c r="E44" i="15" s="1"/>
  <c r="F43" i="15"/>
  <c r="G43" i="15"/>
  <c r="H43" i="15"/>
  <c r="I43" i="15"/>
  <c r="J43" i="15"/>
  <c r="K43" i="15"/>
  <c r="K44" i="15" s="1"/>
  <c r="L43" i="15"/>
  <c r="L44" i="15" s="1"/>
  <c r="M43" i="15"/>
  <c r="N43" i="15"/>
  <c r="N44" i="15" s="1"/>
  <c r="B43" i="15"/>
  <c r="B44" i="15" s="1"/>
  <c r="A42" i="15"/>
  <c r="C40" i="15"/>
  <c r="E40" i="15"/>
  <c r="F40" i="15"/>
  <c r="I40" i="15"/>
  <c r="J40" i="15"/>
  <c r="K40" i="15"/>
  <c r="M40" i="15"/>
  <c r="B40" i="15"/>
  <c r="C39" i="15"/>
  <c r="D39" i="15"/>
  <c r="D40" i="15" s="1"/>
  <c r="E39" i="15"/>
  <c r="F39" i="15"/>
  <c r="G39" i="15"/>
  <c r="G40" i="15" s="1"/>
  <c r="H39" i="15"/>
  <c r="H40" i="15" s="1"/>
  <c r="I39" i="15"/>
  <c r="J39" i="15"/>
  <c r="K39" i="15"/>
  <c r="L39" i="15"/>
  <c r="L40" i="15" s="1"/>
  <c r="M39" i="15"/>
  <c r="N39" i="15"/>
  <c r="N40" i="15" s="1"/>
  <c r="B39" i="15"/>
  <c r="A38" i="15"/>
  <c r="M28" i="15"/>
  <c r="M29" i="15"/>
  <c r="M30" i="15"/>
  <c r="M31" i="15"/>
  <c r="M32" i="15"/>
  <c r="M33" i="15"/>
  <c r="M34" i="15"/>
  <c r="M35" i="15"/>
  <c r="M36" i="15"/>
  <c r="M27" i="15"/>
  <c r="L28" i="15"/>
  <c r="L29" i="15"/>
  <c r="L30" i="15"/>
  <c r="L31" i="15"/>
  <c r="L32" i="15"/>
  <c r="L33" i="15"/>
  <c r="L34" i="15"/>
  <c r="L35" i="15"/>
  <c r="L36" i="15"/>
  <c r="L27" i="15"/>
  <c r="K28" i="15"/>
  <c r="K29" i="15"/>
  <c r="K30" i="15"/>
  <c r="K31" i="15"/>
  <c r="K32" i="15"/>
  <c r="K33" i="15"/>
  <c r="K34" i="15"/>
  <c r="K35" i="15"/>
  <c r="K36" i="15"/>
  <c r="K27" i="15"/>
  <c r="J28" i="15"/>
  <c r="J29" i="15"/>
  <c r="J30" i="15"/>
  <c r="J31" i="15"/>
  <c r="J32" i="15"/>
  <c r="J33" i="15"/>
  <c r="J34" i="15"/>
  <c r="J35" i="15"/>
  <c r="J36" i="15"/>
  <c r="J27" i="15"/>
  <c r="I28" i="15"/>
  <c r="I29" i="15"/>
  <c r="I30" i="15"/>
  <c r="I31" i="15"/>
  <c r="I32" i="15"/>
  <c r="I33" i="15"/>
  <c r="I34" i="15"/>
  <c r="I35" i="15"/>
  <c r="I36" i="15"/>
  <c r="I27" i="15"/>
  <c r="H28" i="15"/>
  <c r="H29" i="15"/>
  <c r="H30" i="15"/>
  <c r="H31" i="15"/>
  <c r="H32" i="15"/>
  <c r="H33" i="15"/>
  <c r="H34" i="15"/>
  <c r="H35" i="15"/>
  <c r="H36" i="15"/>
  <c r="H27" i="15"/>
  <c r="G36" i="15"/>
  <c r="G35" i="15"/>
  <c r="F36" i="15"/>
  <c r="F35" i="15"/>
  <c r="E28" i="15"/>
  <c r="E29" i="15"/>
  <c r="E30" i="15"/>
  <c r="E31" i="15"/>
  <c r="E32" i="15"/>
  <c r="E33" i="15"/>
  <c r="E34" i="15"/>
  <c r="E35" i="15"/>
  <c r="E36" i="15"/>
  <c r="E27" i="15"/>
  <c r="D28" i="15"/>
  <c r="D29" i="15"/>
  <c r="D30" i="15"/>
  <c r="D31" i="15"/>
  <c r="D32" i="15"/>
  <c r="D33" i="15"/>
  <c r="D34" i="15"/>
  <c r="D35" i="15"/>
  <c r="D36" i="15"/>
  <c r="D27" i="15"/>
  <c r="C28" i="15"/>
  <c r="C29" i="15"/>
  <c r="C30" i="15"/>
  <c r="C31" i="15"/>
  <c r="C32" i="15"/>
  <c r="C33" i="15"/>
  <c r="C34" i="15"/>
  <c r="C35" i="15"/>
  <c r="C36" i="15"/>
  <c r="C27" i="15"/>
  <c r="B28" i="15"/>
  <c r="B29" i="15"/>
  <c r="B30" i="15"/>
  <c r="B31" i="15"/>
  <c r="B32" i="15"/>
  <c r="B33" i="15"/>
  <c r="B34" i="15"/>
  <c r="B35" i="15"/>
  <c r="B36" i="15"/>
  <c r="B27" i="15"/>
  <c r="A28" i="15"/>
  <c r="A29" i="15"/>
  <c r="A30" i="15"/>
  <c r="A31" i="15"/>
  <c r="A32" i="15"/>
  <c r="A33" i="15"/>
  <c r="A34" i="15"/>
  <c r="A35" i="15"/>
  <c r="A36" i="15"/>
  <c r="A27" i="15"/>
  <c r="P13" i="15"/>
  <c r="P14" i="15"/>
  <c r="P15" i="15"/>
  <c r="P16" i="15"/>
  <c r="P17" i="15"/>
  <c r="P20" i="15"/>
  <c r="P21" i="15"/>
  <c r="P39" i="15" s="1"/>
  <c r="P40" i="15" s="1"/>
  <c r="P12" i="15"/>
  <c r="O13" i="15"/>
  <c r="Q13" i="15" s="1"/>
  <c r="O14" i="15"/>
  <c r="Q14" i="15" s="1"/>
  <c r="O15" i="15"/>
  <c r="Q15" i="15" s="1"/>
  <c r="O16" i="15"/>
  <c r="Q16" i="15" s="1"/>
  <c r="O17" i="15"/>
  <c r="Q17" i="15" s="1"/>
  <c r="O18" i="15"/>
  <c r="Q18" i="15" s="1"/>
  <c r="O19" i="15"/>
  <c r="Q19" i="15" s="1"/>
  <c r="O39" i="15"/>
  <c r="O40" i="15" s="1"/>
  <c r="O12" i="15"/>
  <c r="O27" i="15" s="1"/>
  <c r="P18" i="15"/>
  <c r="P19" i="15"/>
  <c r="E48" i="18" l="1"/>
  <c r="D48" i="18"/>
  <c r="F48" i="18"/>
  <c r="Q12" i="15"/>
  <c r="Q27" i="15" s="1"/>
  <c r="O43" i="15"/>
  <c r="O44" i="15" s="1"/>
  <c r="Q21" i="15"/>
  <c r="N27" i="15"/>
  <c r="P43" i="15"/>
  <c r="P44" i="15" s="1"/>
  <c r="P27" i="15"/>
  <c r="C13" i="9"/>
  <c r="D13" i="9"/>
  <c r="E13" i="9"/>
  <c r="C14" i="9"/>
  <c r="D14" i="9"/>
  <c r="E14" i="9"/>
  <c r="C15" i="9"/>
  <c r="D15" i="9"/>
  <c r="E15" i="9"/>
  <c r="C16" i="9"/>
  <c r="D16" i="9"/>
  <c r="E16" i="9"/>
  <c r="C17" i="9"/>
  <c r="D17" i="9"/>
  <c r="E17" i="9"/>
  <c r="C18" i="9"/>
  <c r="D18" i="9"/>
  <c r="E18" i="9"/>
  <c r="C19" i="9"/>
  <c r="D19" i="9"/>
  <c r="E19" i="9"/>
  <c r="C20" i="9"/>
  <c r="D20" i="9"/>
  <c r="E20" i="9"/>
  <c r="C21" i="9"/>
  <c r="D21" i="9"/>
  <c r="E21" i="9"/>
  <c r="C22" i="9"/>
  <c r="D22" i="9"/>
  <c r="E22" i="9"/>
  <c r="C23" i="9"/>
  <c r="D23" i="9"/>
  <c r="E23" i="9"/>
  <c r="C24" i="9"/>
  <c r="D24" i="9"/>
  <c r="E24" i="9"/>
  <c r="C25" i="9"/>
  <c r="D25" i="9"/>
  <c r="E25" i="9"/>
  <c r="C26" i="9"/>
  <c r="D26" i="9"/>
  <c r="E26" i="9"/>
  <c r="C27" i="9"/>
  <c r="D27" i="9"/>
  <c r="E27" i="9"/>
  <c r="C28" i="9"/>
  <c r="D28" i="9"/>
  <c r="E28" i="9"/>
  <c r="C29" i="9"/>
  <c r="D29" i="9"/>
  <c r="E29" i="9"/>
  <c r="C30" i="9"/>
  <c r="D30" i="9"/>
  <c r="E30" i="9"/>
  <c r="C31" i="9"/>
  <c r="D31" i="9"/>
  <c r="E31" i="9"/>
  <c r="C32" i="9"/>
  <c r="D32" i="9"/>
  <c r="E32" i="9"/>
  <c r="C33" i="9"/>
  <c r="D33" i="9"/>
  <c r="E33" i="9"/>
  <c r="C34" i="9"/>
  <c r="D34" i="9"/>
  <c r="E34" i="9"/>
  <c r="C35" i="9"/>
  <c r="D35" i="9"/>
  <c r="E35" i="9"/>
  <c r="C36" i="9"/>
  <c r="D36" i="9"/>
  <c r="E36" i="9"/>
  <c r="C37" i="9"/>
  <c r="D37" i="9"/>
  <c r="E37" i="9"/>
  <c r="C38" i="9"/>
  <c r="D38" i="9"/>
  <c r="E38" i="9"/>
  <c r="C39" i="9"/>
  <c r="D39" i="9"/>
  <c r="E39" i="9"/>
  <c r="C40" i="9"/>
  <c r="D40" i="9"/>
  <c r="E40" i="9"/>
  <c r="C41" i="9"/>
  <c r="D41" i="9"/>
  <c r="E41" i="9"/>
  <c r="C42" i="9"/>
  <c r="D42" i="9"/>
  <c r="E42" i="9"/>
  <c r="C43" i="9"/>
  <c r="D43" i="9"/>
  <c r="E43" i="9"/>
  <c r="D12" i="9"/>
  <c r="E12" i="9"/>
  <c r="C12" i="9"/>
  <c r="D72" i="8"/>
  <c r="E72" i="8"/>
  <c r="F72" i="8"/>
  <c r="G72" i="8"/>
  <c r="H72" i="8"/>
  <c r="I72" i="8"/>
  <c r="C72" i="8"/>
  <c r="C68" i="8"/>
  <c r="D68" i="8"/>
  <c r="E68" i="8"/>
  <c r="F68" i="8"/>
  <c r="G68" i="8"/>
  <c r="H68" i="8"/>
  <c r="I68" i="8"/>
  <c r="C69" i="8"/>
  <c r="D69" i="8"/>
  <c r="E69" i="8"/>
  <c r="F69" i="8"/>
  <c r="G69" i="8"/>
  <c r="H69" i="8"/>
  <c r="I69" i="8"/>
  <c r="D67" i="8"/>
  <c r="E67" i="8"/>
  <c r="F67" i="8"/>
  <c r="G67" i="8"/>
  <c r="H67" i="8"/>
  <c r="I67" i="8"/>
  <c r="C67" i="8"/>
  <c r="C48" i="8"/>
  <c r="D48" i="8"/>
  <c r="E48" i="8"/>
  <c r="F48" i="8"/>
  <c r="G48" i="8"/>
  <c r="H48" i="8"/>
  <c r="I48" i="8"/>
  <c r="C49" i="8"/>
  <c r="D49" i="8"/>
  <c r="E49" i="8"/>
  <c r="F49" i="8"/>
  <c r="G49" i="8"/>
  <c r="H49" i="8"/>
  <c r="I49" i="8"/>
  <c r="C50" i="8"/>
  <c r="D50" i="8"/>
  <c r="E50" i="8"/>
  <c r="F50" i="8"/>
  <c r="G50" i="8"/>
  <c r="H50" i="8"/>
  <c r="I50" i="8"/>
  <c r="C51" i="8"/>
  <c r="D51" i="8"/>
  <c r="E51" i="8"/>
  <c r="F51" i="8"/>
  <c r="G51" i="8"/>
  <c r="H51" i="8"/>
  <c r="I51" i="8"/>
  <c r="C52" i="8"/>
  <c r="D52" i="8"/>
  <c r="E52" i="8"/>
  <c r="F52" i="8"/>
  <c r="G52" i="8"/>
  <c r="H52" i="8"/>
  <c r="I52" i="8"/>
  <c r="C53" i="8"/>
  <c r="D53" i="8"/>
  <c r="E53" i="8"/>
  <c r="F53" i="8"/>
  <c r="G53" i="8"/>
  <c r="H53" i="8"/>
  <c r="I53" i="8"/>
  <c r="C54" i="8"/>
  <c r="D54" i="8"/>
  <c r="E54" i="8"/>
  <c r="F54" i="8"/>
  <c r="G54" i="8"/>
  <c r="H54" i="8"/>
  <c r="I54" i="8"/>
  <c r="C55" i="8"/>
  <c r="D55" i="8"/>
  <c r="E55" i="8"/>
  <c r="F55" i="8"/>
  <c r="G55" i="8"/>
  <c r="H55" i="8"/>
  <c r="I55" i="8"/>
  <c r="C56" i="8"/>
  <c r="D56" i="8"/>
  <c r="E56" i="8"/>
  <c r="F56" i="8"/>
  <c r="G56" i="8"/>
  <c r="H56" i="8"/>
  <c r="I56" i="8"/>
  <c r="C57" i="8"/>
  <c r="D57" i="8"/>
  <c r="E57" i="8"/>
  <c r="F57" i="8"/>
  <c r="G57" i="8"/>
  <c r="H57" i="8"/>
  <c r="I57" i="8"/>
  <c r="C58" i="8"/>
  <c r="D58" i="8"/>
  <c r="E58" i="8"/>
  <c r="F58" i="8"/>
  <c r="G58" i="8"/>
  <c r="H58" i="8"/>
  <c r="I58" i="8"/>
  <c r="C59" i="8"/>
  <c r="D59" i="8"/>
  <c r="E59" i="8"/>
  <c r="F59" i="8"/>
  <c r="G59" i="8"/>
  <c r="H59" i="8"/>
  <c r="I59" i="8"/>
  <c r="C60" i="8"/>
  <c r="D60" i="8"/>
  <c r="E60" i="8"/>
  <c r="F60" i="8"/>
  <c r="G60" i="8"/>
  <c r="H60" i="8"/>
  <c r="I60" i="8"/>
  <c r="C61" i="8"/>
  <c r="D61" i="8"/>
  <c r="E61" i="8"/>
  <c r="F61" i="8"/>
  <c r="G61" i="8"/>
  <c r="H61" i="8"/>
  <c r="I61" i="8"/>
  <c r="C62" i="8"/>
  <c r="D62" i="8"/>
  <c r="E62" i="8"/>
  <c r="F62" i="8"/>
  <c r="G62" i="8"/>
  <c r="H62" i="8"/>
  <c r="I62" i="8"/>
  <c r="C63" i="8"/>
  <c r="D63" i="8"/>
  <c r="E63" i="8"/>
  <c r="F63" i="8"/>
  <c r="G63" i="8"/>
  <c r="H63" i="8"/>
  <c r="I63" i="8"/>
  <c r="D47" i="8"/>
  <c r="E47" i="8"/>
  <c r="F47" i="8"/>
  <c r="G47" i="8"/>
  <c r="H47" i="8"/>
  <c r="I47" i="8"/>
  <c r="C47" i="8"/>
  <c r="C13" i="8"/>
  <c r="D13" i="8"/>
  <c r="E13" i="8"/>
  <c r="F13" i="8"/>
  <c r="G13" i="8"/>
  <c r="H13" i="8"/>
  <c r="I13" i="8"/>
  <c r="C14" i="8"/>
  <c r="D14" i="8"/>
  <c r="E14" i="8"/>
  <c r="F14" i="8"/>
  <c r="G14" i="8"/>
  <c r="H14" i="8"/>
  <c r="I14" i="8"/>
  <c r="C15" i="8"/>
  <c r="D15" i="8"/>
  <c r="E15" i="8"/>
  <c r="F15" i="8"/>
  <c r="G15" i="8"/>
  <c r="H15" i="8"/>
  <c r="I15" i="8"/>
  <c r="C16" i="8"/>
  <c r="D16" i="8"/>
  <c r="E16" i="8"/>
  <c r="F16" i="8"/>
  <c r="G16" i="8"/>
  <c r="H16" i="8"/>
  <c r="I16" i="8"/>
  <c r="C17" i="8"/>
  <c r="D17" i="8"/>
  <c r="E17" i="8"/>
  <c r="F17" i="8"/>
  <c r="G17" i="8"/>
  <c r="H17" i="8"/>
  <c r="I17" i="8"/>
  <c r="C18" i="8"/>
  <c r="D18" i="8"/>
  <c r="E18" i="8"/>
  <c r="F18" i="8"/>
  <c r="G18" i="8"/>
  <c r="H18" i="8"/>
  <c r="I18" i="8"/>
  <c r="C19" i="8"/>
  <c r="D19" i="8"/>
  <c r="E19" i="8"/>
  <c r="F19" i="8"/>
  <c r="G19" i="8"/>
  <c r="H19" i="8"/>
  <c r="I19" i="8"/>
  <c r="C20" i="8"/>
  <c r="D20" i="8"/>
  <c r="E20" i="8"/>
  <c r="F20" i="8"/>
  <c r="G20" i="8"/>
  <c r="H20" i="8"/>
  <c r="I20" i="8"/>
  <c r="C21" i="8"/>
  <c r="D21" i="8"/>
  <c r="E21" i="8"/>
  <c r="F21" i="8"/>
  <c r="G21" i="8"/>
  <c r="H21" i="8"/>
  <c r="I21" i="8"/>
  <c r="C22" i="8"/>
  <c r="D22" i="8"/>
  <c r="E22" i="8"/>
  <c r="F22" i="8"/>
  <c r="G22" i="8"/>
  <c r="H22" i="8"/>
  <c r="I22" i="8"/>
  <c r="C23" i="8"/>
  <c r="D23" i="8"/>
  <c r="E23" i="8"/>
  <c r="F23" i="8"/>
  <c r="G23" i="8"/>
  <c r="H23" i="8"/>
  <c r="I23" i="8"/>
  <c r="C24" i="8"/>
  <c r="D24" i="8"/>
  <c r="E24" i="8"/>
  <c r="F24" i="8"/>
  <c r="G24" i="8"/>
  <c r="H24" i="8"/>
  <c r="I24" i="8"/>
  <c r="C25" i="8"/>
  <c r="D25" i="8"/>
  <c r="E25" i="8"/>
  <c r="F25" i="8"/>
  <c r="G25" i="8"/>
  <c r="H25" i="8"/>
  <c r="I25" i="8"/>
  <c r="C26" i="8"/>
  <c r="D26" i="8"/>
  <c r="E26" i="8"/>
  <c r="F26" i="8"/>
  <c r="G26" i="8"/>
  <c r="H26" i="8"/>
  <c r="I26" i="8"/>
  <c r="C27" i="8"/>
  <c r="D27" i="8"/>
  <c r="E27" i="8"/>
  <c r="F27" i="8"/>
  <c r="G27" i="8"/>
  <c r="H27" i="8"/>
  <c r="I27" i="8"/>
  <c r="C28" i="8"/>
  <c r="D28" i="8"/>
  <c r="E28" i="8"/>
  <c r="F28" i="8"/>
  <c r="G28" i="8"/>
  <c r="H28" i="8"/>
  <c r="I28" i="8"/>
  <c r="C29" i="8"/>
  <c r="D29" i="8"/>
  <c r="E29" i="8"/>
  <c r="F29" i="8"/>
  <c r="G29" i="8"/>
  <c r="H29" i="8"/>
  <c r="I29" i="8"/>
  <c r="C30" i="8"/>
  <c r="D30" i="8"/>
  <c r="E30" i="8"/>
  <c r="F30" i="8"/>
  <c r="G30" i="8"/>
  <c r="H30" i="8"/>
  <c r="I30" i="8"/>
  <c r="C31" i="8"/>
  <c r="D31" i="8"/>
  <c r="E31" i="8"/>
  <c r="F31" i="8"/>
  <c r="G31" i="8"/>
  <c r="H31" i="8"/>
  <c r="I31" i="8"/>
  <c r="C32" i="8"/>
  <c r="D32" i="8"/>
  <c r="E32" i="8"/>
  <c r="F32" i="8"/>
  <c r="G32" i="8"/>
  <c r="H32" i="8"/>
  <c r="I32" i="8"/>
  <c r="C33" i="8"/>
  <c r="D33" i="8"/>
  <c r="E33" i="8"/>
  <c r="F33" i="8"/>
  <c r="G33" i="8"/>
  <c r="H33" i="8"/>
  <c r="I33" i="8"/>
  <c r="C34" i="8"/>
  <c r="D34" i="8"/>
  <c r="E34" i="8"/>
  <c r="F34" i="8"/>
  <c r="G34" i="8"/>
  <c r="H34" i="8"/>
  <c r="I34" i="8"/>
  <c r="C35" i="8"/>
  <c r="D35" i="8"/>
  <c r="E35" i="8"/>
  <c r="F35" i="8"/>
  <c r="G35" i="8"/>
  <c r="H35" i="8"/>
  <c r="I35" i="8"/>
  <c r="C36" i="8"/>
  <c r="D36" i="8"/>
  <c r="E36" i="8"/>
  <c r="F36" i="8"/>
  <c r="G36" i="8"/>
  <c r="H36" i="8"/>
  <c r="I36" i="8"/>
  <c r="C37" i="8"/>
  <c r="D37" i="8"/>
  <c r="E37" i="8"/>
  <c r="F37" i="8"/>
  <c r="G37" i="8"/>
  <c r="H37" i="8"/>
  <c r="I37" i="8"/>
  <c r="C38" i="8"/>
  <c r="D38" i="8"/>
  <c r="E38" i="8"/>
  <c r="F38" i="8"/>
  <c r="G38" i="8"/>
  <c r="H38" i="8"/>
  <c r="I38" i="8"/>
  <c r="C39" i="8"/>
  <c r="D39" i="8"/>
  <c r="E39" i="8"/>
  <c r="F39" i="8"/>
  <c r="G39" i="8"/>
  <c r="H39" i="8"/>
  <c r="I39" i="8"/>
  <c r="C40" i="8"/>
  <c r="D40" i="8"/>
  <c r="E40" i="8"/>
  <c r="F40" i="8"/>
  <c r="G40" i="8"/>
  <c r="H40" i="8"/>
  <c r="I40" i="8"/>
  <c r="C41" i="8"/>
  <c r="D41" i="8"/>
  <c r="E41" i="8"/>
  <c r="F41" i="8"/>
  <c r="G41" i="8"/>
  <c r="H41" i="8"/>
  <c r="I41" i="8"/>
  <c r="C42" i="8"/>
  <c r="D42" i="8"/>
  <c r="E42" i="8"/>
  <c r="F42" i="8"/>
  <c r="G42" i="8"/>
  <c r="H42" i="8"/>
  <c r="I42" i="8"/>
  <c r="C43" i="8"/>
  <c r="D43" i="8"/>
  <c r="E43" i="8"/>
  <c r="F43" i="8"/>
  <c r="G43" i="8"/>
  <c r="H43" i="8"/>
  <c r="I43" i="8"/>
  <c r="D12" i="8"/>
  <c r="E12" i="8"/>
  <c r="F12" i="8"/>
  <c r="G12" i="8"/>
  <c r="H12" i="8"/>
  <c r="I12" i="8"/>
  <c r="C12" i="8"/>
  <c r="C10" i="93"/>
  <c r="D10" i="93"/>
  <c r="E10" i="93"/>
  <c r="F10" i="93"/>
  <c r="G10" i="93"/>
  <c r="H10" i="93"/>
  <c r="C11" i="93"/>
  <c r="D11" i="93"/>
  <c r="E11" i="93"/>
  <c r="F11" i="93"/>
  <c r="G11" i="93"/>
  <c r="H11" i="93"/>
  <c r="C12" i="93"/>
  <c r="D12" i="93"/>
  <c r="E12" i="93"/>
  <c r="F12" i="93"/>
  <c r="G12" i="93"/>
  <c r="H12" i="93"/>
  <c r="C13" i="93"/>
  <c r="D13" i="93"/>
  <c r="E13" i="93"/>
  <c r="F13" i="93"/>
  <c r="G13" i="93"/>
  <c r="H13" i="93"/>
  <c r="B11" i="93"/>
  <c r="B12" i="93"/>
  <c r="B13" i="93"/>
  <c r="B10" i="93"/>
  <c r="C16" i="126"/>
  <c r="D16" i="126"/>
  <c r="E16" i="126"/>
  <c r="F16" i="126"/>
  <c r="G16" i="126"/>
  <c r="H16" i="126"/>
  <c r="B16" i="126"/>
  <c r="C15" i="126"/>
  <c r="D15" i="126"/>
  <c r="E15" i="126"/>
  <c r="F15" i="126"/>
  <c r="G15" i="126"/>
  <c r="H15" i="126"/>
  <c r="B15" i="126"/>
  <c r="C14" i="126"/>
  <c r="D14" i="126"/>
  <c r="E14" i="126"/>
  <c r="F14" i="126"/>
  <c r="G14" i="126"/>
  <c r="H14" i="126"/>
  <c r="B14" i="126"/>
  <c r="C13" i="126"/>
  <c r="D13" i="126"/>
  <c r="E13" i="126"/>
  <c r="F13" i="126"/>
  <c r="G13" i="126"/>
  <c r="H13" i="126"/>
  <c r="B13" i="126"/>
  <c r="Q43" i="15" l="1"/>
  <c r="Q44" i="15" s="1"/>
  <c r="Q39" i="15"/>
  <c r="Q40" i="15" s="1"/>
  <c r="J20" i="8"/>
  <c r="J35" i="8"/>
  <c r="J27" i="8"/>
  <c r="J19" i="8"/>
  <c r="J43" i="8"/>
  <c r="J36" i="8"/>
  <c r="J28" i="8"/>
  <c r="J40" i="8"/>
  <c r="J24" i="8"/>
  <c r="J41" i="8"/>
  <c r="J33" i="8"/>
  <c r="J25" i="8"/>
  <c r="J17" i="8"/>
  <c r="J32" i="8"/>
  <c r="J16" i="8"/>
  <c r="J42" i="8"/>
  <c r="J34" i="8"/>
  <c r="J26" i="8"/>
  <c r="J18" i="8"/>
  <c r="J37" i="8"/>
  <c r="J29" i="8"/>
  <c r="J21" i="8"/>
  <c r="J13" i="8"/>
  <c r="J38" i="8"/>
  <c r="J30" i="8"/>
  <c r="J22" i="8"/>
  <c r="J14" i="8"/>
  <c r="J39" i="8"/>
  <c r="J31" i="8"/>
  <c r="J23" i="8"/>
  <c r="J15" i="8"/>
  <c r="J12" i="8"/>
  <c r="C10" i="3" l="1"/>
  <c r="D10" i="3"/>
  <c r="E10" i="3"/>
  <c r="F10" i="3"/>
  <c r="C11" i="3"/>
  <c r="D11" i="3"/>
  <c r="E11" i="3"/>
  <c r="F11" i="3"/>
  <c r="C12" i="3"/>
  <c r="D12" i="3"/>
  <c r="E12" i="3"/>
  <c r="F12" i="3"/>
  <c r="C13" i="3"/>
  <c r="D13" i="3"/>
  <c r="E13" i="3"/>
  <c r="F13" i="3"/>
  <c r="B11" i="3"/>
  <c r="B12" i="3"/>
  <c r="B13" i="3"/>
  <c r="B10" i="3"/>
  <c r="D74" i="125"/>
  <c r="E74" i="125"/>
  <c r="F74" i="125"/>
  <c r="C74" i="125"/>
  <c r="D69" i="125"/>
  <c r="E69" i="125"/>
  <c r="F69" i="125"/>
  <c r="G69" i="125"/>
  <c r="D70" i="125"/>
  <c r="E70" i="125"/>
  <c r="F70" i="125"/>
  <c r="G70" i="125"/>
  <c r="D71" i="125"/>
  <c r="E71" i="125"/>
  <c r="F71" i="125"/>
  <c r="G71" i="125"/>
  <c r="C70" i="125"/>
  <c r="C71" i="125"/>
  <c r="C69" i="125"/>
  <c r="D49" i="125"/>
  <c r="E49" i="125"/>
  <c r="F49" i="125"/>
  <c r="G49" i="125"/>
  <c r="D50" i="125"/>
  <c r="E50" i="125"/>
  <c r="F50" i="125"/>
  <c r="G50" i="125"/>
  <c r="D51" i="125"/>
  <c r="E51" i="125"/>
  <c r="F51" i="125"/>
  <c r="G51" i="125"/>
  <c r="D52" i="125"/>
  <c r="E52" i="125"/>
  <c r="F52" i="125"/>
  <c r="G52" i="125"/>
  <c r="D53" i="125"/>
  <c r="E53" i="125"/>
  <c r="F53" i="125"/>
  <c r="G53" i="125"/>
  <c r="D54" i="125"/>
  <c r="E54" i="125"/>
  <c r="F54" i="125"/>
  <c r="G54" i="125"/>
  <c r="D55" i="125"/>
  <c r="E55" i="125"/>
  <c r="F55" i="125"/>
  <c r="G55" i="125"/>
  <c r="D56" i="125"/>
  <c r="E56" i="125"/>
  <c r="F56" i="125"/>
  <c r="G56" i="125"/>
  <c r="D57" i="125"/>
  <c r="E57" i="125"/>
  <c r="F57" i="125"/>
  <c r="G57" i="125"/>
  <c r="D58" i="125"/>
  <c r="E58" i="125"/>
  <c r="F58" i="125"/>
  <c r="G58" i="125"/>
  <c r="D59" i="125"/>
  <c r="C50" i="125"/>
  <c r="C51" i="125"/>
  <c r="C52" i="125"/>
  <c r="C53" i="125"/>
  <c r="C54" i="125"/>
  <c r="C55" i="125"/>
  <c r="C56" i="125"/>
  <c r="C57" i="125"/>
  <c r="C58" i="125"/>
  <c r="C59" i="125"/>
  <c r="C49" i="125"/>
  <c r="G74" i="125" l="1"/>
  <c r="I12" i="94"/>
  <c r="I13" i="94" s="1"/>
  <c r="I16" i="94"/>
  <c r="I14" i="94"/>
  <c r="I15" i="94" s="1"/>
  <c r="I10" i="94"/>
  <c r="B11" i="94" s="1"/>
  <c r="D14" i="125"/>
  <c r="E14" i="125"/>
  <c r="F14" i="125"/>
  <c r="D15" i="125"/>
  <c r="E15" i="125"/>
  <c r="F15" i="125"/>
  <c r="D16" i="125"/>
  <c r="E16" i="125"/>
  <c r="F16" i="125"/>
  <c r="D17" i="125"/>
  <c r="E17" i="125"/>
  <c r="F17" i="125"/>
  <c r="D18" i="125"/>
  <c r="E18" i="125"/>
  <c r="F18" i="125"/>
  <c r="D19" i="125"/>
  <c r="E19" i="125"/>
  <c r="F19" i="125"/>
  <c r="D20" i="125"/>
  <c r="E20" i="125"/>
  <c r="F20" i="125"/>
  <c r="D21" i="125"/>
  <c r="E21" i="125"/>
  <c r="F21" i="125"/>
  <c r="D22" i="125"/>
  <c r="E22" i="125"/>
  <c r="F22" i="125"/>
  <c r="D23" i="125"/>
  <c r="E23" i="125"/>
  <c r="F23" i="125"/>
  <c r="D24" i="125"/>
  <c r="E24" i="125"/>
  <c r="F24" i="125"/>
  <c r="D25" i="125"/>
  <c r="E25" i="125"/>
  <c r="F25" i="125"/>
  <c r="D26" i="125"/>
  <c r="E26" i="125"/>
  <c r="F26" i="125"/>
  <c r="D27" i="125"/>
  <c r="E27" i="125"/>
  <c r="F27" i="125"/>
  <c r="D28" i="125"/>
  <c r="E28" i="125"/>
  <c r="F28" i="125"/>
  <c r="D29" i="125"/>
  <c r="E29" i="125"/>
  <c r="F29" i="125"/>
  <c r="D30" i="125"/>
  <c r="E30" i="125"/>
  <c r="F30" i="125"/>
  <c r="D31" i="125"/>
  <c r="E31" i="125"/>
  <c r="F31" i="125"/>
  <c r="D32" i="125"/>
  <c r="E32" i="125"/>
  <c r="F32" i="125"/>
  <c r="D33" i="125"/>
  <c r="E33" i="125"/>
  <c r="F33" i="125"/>
  <c r="D34" i="125"/>
  <c r="E34" i="125"/>
  <c r="F34" i="125"/>
  <c r="D35" i="125"/>
  <c r="E35" i="125"/>
  <c r="F35" i="125"/>
  <c r="D36" i="125"/>
  <c r="E36" i="125"/>
  <c r="F36" i="125"/>
  <c r="D37" i="125"/>
  <c r="E37" i="125"/>
  <c r="F37" i="125"/>
  <c r="D38" i="125"/>
  <c r="E38" i="125"/>
  <c r="F38" i="125"/>
  <c r="D39" i="125"/>
  <c r="E39" i="125"/>
  <c r="F39" i="125"/>
  <c r="D40" i="125"/>
  <c r="E40" i="125"/>
  <c r="F40" i="125"/>
  <c r="D41" i="125"/>
  <c r="E41" i="125"/>
  <c r="F41" i="125"/>
  <c r="D42" i="125"/>
  <c r="E42" i="125"/>
  <c r="F42" i="125"/>
  <c r="D43" i="125"/>
  <c r="E43" i="125"/>
  <c r="F43" i="125"/>
  <c r="D44" i="125"/>
  <c r="E44" i="125"/>
  <c r="F44" i="125"/>
  <c r="D45" i="125"/>
  <c r="E45" i="125"/>
  <c r="F45" i="125"/>
  <c r="C15" i="125"/>
  <c r="C16" i="125"/>
  <c r="C17" i="125"/>
  <c r="C18" i="125"/>
  <c r="C19" i="125"/>
  <c r="C20" i="125"/>
  <c r="C21" i="125"/>
  <c r="C22" i="125"/>
  <c r="C23" i="125"/>
  <c r="C24" i="125"/>
  <c r="C25" i="125"/>
  <c r="C26" i="125"/>
  <c r="C27" i="125"/>
  <c r="C28" i="125"/>
  <c r="C29" i="125"/>
  <c r="C30" i="125"/>
  <c r="C31" i="125"/>
  <c r="C32" i="125"/>
  <c r="C33" i="125"/>
  <c r="C34" i="125"/>
  <c r="C35" i="125"/>
  <c r="C36" i="125"/>
  <c r="C37" i="125"/>
  <c r="C38" i="125"/>
  <c r="C39" i="125"/>
  <c r="C40" i="125"/>
  <c r="C41" i="125"/>
  <c r="C42" i="125"/>
  <c r="C43" i="125"/>
  <c r="C44" i="125"/>
  <c r="C45" i="125"/>
  <c r="C14" i="125"/>
  <c r="F13" i="115"/>
  <c r="A53" i="2"/>
  <c r="E55" i="2"/>
  <c r="C54" i="2"/>
  <c r="C55" i="2" s="1"/>
  <c r="D54" i="2"/>
  <c r="E54" i="2"/>
  <c r="F54" i="2"/>
  <c r="F55" i="2" s="1"/>
  <c r="B54" i="2"/>
  <c r="B55" i="2" s="1"/>
  <c r="C50" i="2"/>
  <c r="C51" i="2" s="1"/>
  <c r="D50" i="2"/>
  <c r="D51" i="2" s="1"/>
  <c r="E50" i="2"/>
  <c r="E51" i="2" s="1"/>
  <c r="F50" i="2"/>
  <c r="F51" i="2" s="1"/>
  <c r="B50" i="2"/>
  <c r="B51" i="2" s="1"/>
  <c r="A49" i="2"/>
  <c r="A25" i="2"/>
  <c r="C26" i="2"/>
  <c r="D26" i="2"/>
  <c r="E26" i="2"/>
  <c r="F26" i="2"/>
  <c r="G26" i="2"/>
  <c r="B26" i="2"/>
  <c r="B22" i="2"/>
  <c r="B23" i="2" s="1"/>
  <c r="C22" i="2"/>
  <c r="C23" i="2" s="1"/>
  <c r="D22" i="2"/>
  <c r="D23" i="2" s="1"/>
  <c r="E22" i="2"/>
  <c r="E23" i="2" s="1"/>
  <c r="F22" i="2"/>
  <c r="F23" i="2" s="1"/>
  <c r="G22" i="2"/>
  <c r="G23" i="2" s="1"/>
  <c r="A21" i="2"/>
  <c r="I17" i="94" l="1"/>
  <c r="C17" i="94"/>
  <c r="I11" i="94"/>
  <c r="F46" i="125"/>
  <c r="E46" i="125"/>
  <c r="D46" i="125"/>
  <c r="G38" i="2"/>
  <c r="G39" i="2"/>
  <c r="G40" i="2"/>
  <c r="G41" i="2"/>
  <c r="G42" i="2"/>
  <c r="G43" i="2"/>
  <c r="G44" i="2"/>
  <c r="G45" i="2"/>
  <c r="G46" i="2"/>
  <c r="G47" i="2"/>
  <c r="C27" i="2"/>
  <c r="E27" i="2"/>
  <c r="F27" i="2"/>
  <c r="G27" i="2"/>
  <c r="B27" i="2"/>
  <c r="H19" i="2"/>
  <c r="H18" i="2"/>
  <c r="G54" i="2" l="1"/>
  <c r="G55" i="2" s="1"/>
  <c r="G50" i="2"/>
  <c r="G51" i="2" s="1"/>
  <c r="H22" i="2"/>
  <c r="H23" i="2" s="1"/>
  <c r="C13" i="96"/>
  <c r="D13" i="96"/>
  <c r="E13" i="96"/>
  <c r="F13" i="96"/>
  <c r="C14" i="96"/>
  <c r="D14" i="96"/>
  <c r="E14" i="96"/>
  <c r="F14" i="96"/>
  <c r="C15" i="96"/>
  <c r="D15" i="96"/>
  <c r="E15" i="96"/>
  <c r="F15" i="96"/>
  <c r="C16" i="96"/>
  <c r="D16" i="96"/>
  <c r="E16" i="96"/>
  <c r="F16" i="96"/>
  <c r="C17" i="96"/>
  <c r="D17" i="96"/>
  <c r="E17" i="96"/>
  <c r="F17" i="96"/>
  <c r="C18" i="96"/>
  <c r="D18" i="96"/>
  <c r="E18" i="96"/>
  <c r="F18" i="96"/>
  <c r="C19" i="96"/>
  <c r="D19" i="96"/>
  <c r="E19" i="96"/>
  <c r="F19" i="96"/>
  <c r="C20" i="96"/>
  <c r="D20" i="96"/>
  <c r="E20" i="96"/>
  <c r="F20" i="96"/>
  <c r="C21" i="96"/>
  <c r="D21" i="96"/>
  <c r="E21" i="96"/>
  <c r="F21" i="96"/>
  <c r="C22" i="96"/>
  <c r="D22" i="96"/>
  <c r="E22" i="96"/>
  <c r="F22" i="96"/>
  <c r="C23" i="96"/>
  <c r="D23" i="96"/>
  <c r="E23" i="96"/>
  <c r="F23" i="96"/>
  <c r="B22" i="96"/>
  <c r="B23" i="96"/>
  <c r="B21" i="96"/>
  <c r="B20" i="96"/>
  <c r="B19" i="96"/>
  <c r="B18" i="96"/>
  <c r="B17" i="96"/>
  <c r="B14" i="96"/>
  <c r="B15" i="96"/>
  <c r="B16" i="96"/>
  <c r="B13" i="96"/>
  <c r="G23" i="96" l="1"/>
  <c r="G22" i="96"/>
  <c r="G19" i="96"/>
  <c r="G17" i="96"/>
  <c r="G15" i="96"/>
  <c r="G21" i="96"/>
  <c r="G16" i="96"/>
  <c r="G20" i="96"/>
  <c r="G14" i="96"/>
  <c r="G13" i="96"/>
  <c r="G18" i="96"/>
  <c r="C10" i="40" l="1"/>
  <c r="D10" i="40"/>
  <c r="E10" i="40"/>
  <c r="F10" i="40"/>
  <c r="C11" i="40"/>
  <c r="D11" i="40"/>
  <c r="E11" i="40"/>
  <c r="F11" i="40"/>
  <c r="C12" i="40"/>
  <c r="D12" i="40"/>
  <c r="E12" i="40"/>
  <c r="F12" i="40"/>
  <c r="C13" i="40"/>
  <c r="D13" i="40"/>
  <c r="E13" i="40"/>
  <c r="F13" i="40"/>
  <c r="C14" i="40"/>
  <c r="D14" i="40"/>
  <c r="E14" i="40"/>
  <c r="F14" i="40"/>
  <c r="C15" i="40"/>
  <c r="D15" i="40"/>
  <c r="E15" i="40"/>
  <c r="F15" i="40"/>
  <c r="C16" i="40"/>
  <c r="D16" i="40"/>
  <c r="E16" i="40"/>
  <c r="F16" i="40"/>
  <c r="C17" i="40"/>
  <c r="D17" i="40"/>
  <c r="E17" i="40"/>
  <c r="F17" i="40"/>
  <c r="C18" i="40"/>
  <c r="D18" i="40"/>
  <c r="E18" i="40"/>
  <c r="F18" i="40"/>
  <c r="B18" i="40"/>
  <c r="B13" i="40"/>
  <c r="B14" i="40"/>
  <c r="B15" i="40"/>
  <c r="B16" i="40"/>
  <c r="B17" i="40"/>
  <c r="B12" i="40"/>
  <c r="B11" i="40"/>
  <c r="B10" i="40"/>
  <c r="C21" i="19" l="1"/>
  <c r="C34" i="19" s="1"/>
  <c r="H20" i="19"/>
  <c r="I20" i="19" s="1"/>
  <c r="D21" i="19"/>
  <c r="D45" i="19" s="1"/>
  <c r="H14" i="19"/>
  <c r="H18" i="19"/>
  <c r="I18" i="19" s="1"/>
  <c r="B21" i="19"/>
  <c r="B43" i="19" s="1"/>
  <c r="H9" i="19"/>
  <c r="G21" i="19"/>
  <c r="G36" i="19" s="1"/>
  <c r="H19" i="19"/>
  <c r="I19" i="19" s="1"/>
  <c r="H15" i="19"/>
  <c r="H11" i="19"/>
  <c r="F21" i="19"/>
  <c r="F43" i="19" s="1"/>
  <c r="E21" i="19"/>
  <c r="E34" i="19" s="1"/>
  <c r="H16" i="19"/>
  <c r="H13" i="19"/>
  <c r="H12" i="19"/>
  <c r="D34" i="19" l="1"/>
  <c r="D37" i="19"/>
  <c r="D38" i="19"/>
  <c r="D33" i="19"/>
  <c r="D35" i="19"/>
  <c r="D41" i="19"/>
  <c r="D39" i="19"/>
  <c r="D36" i="19"/>
  <c r="D43" i="19"/>
  <c r="D40" i="19"/>
  <c r="D42" i="19"/>
  <c r="D44" i="19"/>
  <c r="N36" i="15"/>
  <c r="N28" i="15"/>
  <c r="O30" i="15"/>
  <c r="N35" i="15"/>
  <c r="O29" i="15"/>
  <c r="O31" i="15"/>
  <c r="O36" i="15"/>
  <c r="N33" i="15"/>
  <c r="O35" i="15"/>
  <c r="N34" i="15"/>
  <c r="O28" i="15"/>
  <c r="N32" i="15"/>
  <c r="O34" i="15"/>
  <c r="N29" i="15"/>
  <c r="N31" i="15"/>
  <c r="O33" i="15"/>
  <c r="N30" i="15"/>
  <c r="O32" i="15"/>
  <c r="C38" i="19"/>
  <c r="E43" i="19"/>
  <c r="C33" i="19"/>
  <c r="C42" i="19"/>
  <c r="C44" i="19"/>
  <c r="E33" i="19"/>
  <c r="F35" i="19"/>
  <c r="E38" i="19"/>
  <c r="C35" i="19"/>
  <c r="C36" i="19"/>
  <c r="E35" i="19"/>
  <c r="C43" i="19"/>
  <c r="E39" i="19"/>
  <c r="C37" i="19"/>
  <c r="G37" i="19"/>
  <c r="C41" i="19"/>
  <c r="C40" i="19"/>
  <c r="E37" i="19"/>
  <c r="C39" i="19"/>
  <c r="H21" i="19"/>
  <c r="I21" i="19" s="1"/>
  <c r="B35" i="19"/>
  <c r="B36" i="19"/>
  <c r="B44" i="19"/>
  <c r="B40" i="19"/>
  <c r="B38" i="19"/>
  <c r="I12" i="19"/>
  <c r="B39" i="19"/>
  <c r="G44" i="19"/>
  <c r="I13" i="19"/>
  <c r="B33" i="19"/>
  <c r="I10" i="19"/>
  <c r="G34" i="19"/>
  <c r="B42" i="19"/>
  <c r="I11" i="19"/>
  <c r="I15" i="19"/>
  <c r="I14" i="19"/>
  <c r="B37" i="19"/>
  <c r="G39" i="19"/>
  <c r="G38" i="19"/>
  <c r="G41" i="19"/>
  <c r="E36" i="19"/>
  <c r="E40" i="19"/>
  <c r="E42" i="19"/>
  <c r="E41" i="19"/>
  <c r="E44" i="19"/>
  <c r="I16" i="19"/>
  <c r="F42" i="19"/>
  <c r="F34" i="19"/>
  <c r="F36" i="19"/>
  <c r="F38" i="19"/>
  <c r="F40" i="19"/>
  <c r="F41" i="19"/>
  <c r="F37" i="19"/>
  <c r="F44" i="19"/>
  <c r="G35" i="19"/>
  <c r="G33" i="19"/>
  <c r="G43" i="19"/>
  <c r="F39" i="19"/>
  <c r="G42" i="19"/>
  <c r="B34" i="19"/>
  <c r="I9" i="19"/>
  <c r="B41" i="19"/>
  <c r="F33" i="19"/>
  <c r="G40" i="19"/>
  <c r="D22" i="16"/>
  <c r="C46" i="16"/>
  <c r="H36" i="19" l="1"/>
  <c r="Q36" i="15"/>
  <c r="Q34" i="15"/>
  <c r="Q33" i="15"/>
  <c r="Q28" i="15"/>
  <c r="Q31" i="15"/>
  <c r="P32" i="15"/>
  <c r="Q35" i="15"/>
  <c r="P29" i="15"/>
  <c r="Q30" i="15"/>
  <c r="Q29" i="15"/>
  <c r="Q32" i="15"/>
  <c r="P31" i="15"/>
  <c r="P28" i="15"/>
  <c r="P33" i="15"/>
  <c r="P30" i="15"/>
  <c r="P34" i="15"/>
  <c r="P36" i="15"/>
  <c r="P35" i="15"/>
  <c r="I36" i="19"/>
  <c r="H44" i="19"/>
  <c r="I41" i="19"/>
  <c r="H42" i="19"/>
  <c r="H34" i="19"/>
  <c r="H35" i="19"/>
  <c r="H43" i="19"/>
  <c r="H38" i="19"/>
  <c r="I42" i="19"/>
  <c r="I34" i="19"/>
  <c r="I38" i="19"/>
  <c r="I44" i="19"/>
  <c r="H39" i="19"/>
  <c r="I37" i="19"/>
  <c r="G45" i="19"/>
  <c r="I43" i="19"/>
  <c r="I35" i="19"/>
  <c r="H37" i="19"/>
  <c r="H33" i="19"/>
  <c r="H40" i="19"/>
  <c r="I39" i="19"/>
  <c r="I33" i="19"/>
  <c r="I40" i="19"/>
  <c r="H41" i="19"/>
  <c r="G11" i="89"/>
  <c r="G12" i="89"/>
  <c r="G13" i="89"/>
  <c r="G14" i="89"/>
  <c r="G15" i="89"/>
  <c r="G16" i="89"/>
  <c r="G17" i="89"/>
  <c r="G18" i="89"/>
  <c r="G19" i="89"/>
  <c r="G20" i="89"/>
  <c r="G21" i="89"/>
  <c r="G22" i="89"/>
  <c r="G23" i="89"/>
  <c r="G24" i="89"/>
  <c r="G10" i="89"/>
  <c r="G25" i="89" l="1"/>
  <c r="I45" i="19"/>
  <c r="H45" i="19"/>
  <c r="E10" i="42"/>
  <c r="E11" i="42"/>
  <c r="E12" i="42"/>
  <c r="E13" i="42"/>
  <c r="E14" i="42"/>
  <c r="E15" i="42"/>
  <c r="E16" i="42"/>
  <c r="B11" i="89" l="1"/>
  <c r="C11" i="89"/>
  <c r="D11" i="89"/>
  <c r="E11" i="89"/>
  <c r="F11" i="89"/>
  <c r="B12" i="89"/>
  <c r="C12" i="89"/>
  <c r="D12" i="89"/>
  <c r="E12" i="89"/>
  <c r="F12" i="89"/>
  <c r="B13" i="89"/>
  <c r="C13" i="89"/>
  <c r="D13" i="89"/>
  <c r="E13" i="89"/>
  <c r="F13" i="89"/>
  <c r="B14" i="89"/>
  <c r="C14" i="89"/>
  <c r="D14" i="89"/>
  <c r="E14" i="89"/>
  <c r="F14" i="89"/>
  <c r="B15" i="89"/>
  <c r="C15" i="89"/>
  <c r="D15" i="89"/>
  <c r="E15" i="89"/>
  <c r="F15" i="89"/>
  <c r="B16" i="89"/>
  <c r="C16" i="89"/>
  <c r="D16" i="89"/>
  <c r="E16" i="89"/>
  <c r="F16" i="89"/>
  <c r="B17" i="89"/>
  <c r="C17" i="89"/>
  <c r="D17" i="89"/>
  <c r="E17" i="89"/>
  <c r="F17" i="89"/>
  <c r="B18" i="89"/>
  <c r="C18" i="89"/>
  <c r="D18" i="89"/>
  <c r="E18" i="89"/>
  <c r="F18" i="89"/>
  <c r="B19" i="89"/>
  <c r="C19" i="89"/>
  <c r="D19" i="89"/>
  <c r="E19" i="89"/>
  <c r="F19" i="89"/>
  <c r="B20" i="89"/>
  <c r="C20" i="89"/>
  <c r="D20" i="89"/>
  <c r="E20" i="89"/>
  <c r="F20" i="89"/>
  <c r="B21" i="89"/>
  <c r="C21" i="89"/>
  <c r="D21" i="89"/>
  <c r="E21" i="89"/>
  <c r="F21" i="89"/>
  <c r="B22" i="89"/>
  <c r="C22" i="89"/>
  <c r="D22" i="89"/>
  <c r="E22" i="89"/>
  <c r="F22" i="89"/>
  <c r="B23" i="89"/>
  <c r="C23" i="89"/>
  <c r="D23" i="89"/>
  <c r="E23" i="89"/>
  <c r="F23" i="89"/>
  <c r="B24" i="89"/>
  <c r="C24" i="89"/>
  <c r="D24" i="89"/>
  <c r="E24" i="89"/>
  <c r="F24" i="89"/>
  <c r="C10" i="89"/>
  <c r="D10" i="89"/>
  <c r="E10" i="89"/>
  <c r="F10" i="89"/>
  <c r="B10" i="89"/>
  <c r="H40" i="35"/>
  <c r="O40" i="35" s="1"/>
  <c r="I40" i="35"/>
  <c r="J40" i="35"/>
  <c r="K40" i="35"/>
  <c r="P40" i="35" s="1"/>
  <c r="H41" i="35"/>
  <c r="O41" i="35" s="1"/>
  <c r="I41" i="35"/>
  <c r="J41" i="35"/>
  <c r="K41" i="35"/>
  <c r="P41" i="35" s="1"/>
  <c r="H42" i="35"/>
  <c r="O42" i="35" s="1"/>
  <c r="I42" i="35"/>
  <c r="J42" i="35"/>
  <c r="K42" i="35"/>
  <c r="P42" i="35" s="1"/>
  <c r="H43" i="35"/>
  <c r="O43" i="35" s="1"/>
  <c r="I43" i="35"/>
  <c r="J43" i="35"/>
  <c r="K43" i="35"/>
  <c r="P43" i="35" s="1"/>
  <c r="H44" i="35"/>
  <c r="I44" i="35"/>
  <c r="J44" i="35"/>
  <c r="K44" i="35"/>
  <c r="P44" i="35" s="1"/>
  <c r="H45" i="35"/>
  <c r="O45" i="35" s="1"/>
  <c r="I45" i="35"/>
  <c r="J45" i="35"/>
  <c r="K45" i="35"/>
  <c r="P45" i="35" s="1"/>
  <c r="H46" i="35"/>
  <c r="O46" i="35" s="1"/>
  <c r="I46" i="35"/>
  <c r="J46" i="35"/>
  <c r="K46" i="35"/>
  <c r="P46" i="35" s="1"/>
  <c r="H47" i="35"/>
  <c r="O47" i="35" s="1"/>
  <c r="I47" i="35"/>
  <c r="J47" i="35"/>
  <c r="K47" i="35"/>
  <c r="P47" i="35" s="1"/>
  <c r="H48" i="35"/>
  <c r="O48" i="35" s="1"/>
  <c r="I48" i="35"/>
  <c r="J48" i="35"/>
  <c r="K48" i="35"/>
  <c r="P48" i="35" s="1"/>
  <c r="H49" i="35"/>
  <c r="O49" i="35" s="1"/>
  <c r="I49" i="35"/>
  <c r="J49" i="35"/>
  <c r="K49" i="35"/>
  <c r="P49" i="35" s="1"/>
  <c r="H50" i="35"/>
  <c r="O50" i="35" s="1"/>
  <c r="I50" i="35"/>
  <c r="J50" i="35"/>
  <c r="K50" i="35"/>
  <c r="P50" i="35" s="1"/>
  <c r="H51" i="35"/>
  <c r="O51" i="35" s="1"/>
  <c r="I51" i="35"/>
  <c r="J51" i="35"/>
  <c r="K51" i="35"/>
  <c r="P51" i="35" s="1"/>
  <c r="H52" i="35"/>
  <c r="O52" i="35" s="1"/>
  <c r="I52" i="35"/>
  <c r="J52" i="35"/>
  <c r="K52" i="35"/>
  <c r="P52" i="35" s="1"/>
  <c r="H53" i="35"/>
  <c r="O53" i="35" s="1"/>
  <c r="I53" i="35"/>
  <c r="J53" i="35"/>
  <c r="K53" i="35"/>
  <c r="P53" i="35" s="1"/>
  <c r="I39" i="35"/>
  <c r="J39" i="35"/>
  <c r="K39" i="35"/>
  <c r="H39" i="35"/>
  <c r="O39" i="35" s="1"/>
  <c r="B40" i="35"/>
  <c r="C40" i="35"/>
  <c r="D40" i="35"/>
  <c r="E40" i="35"/>
  <c r="B41" i="35"/>
  <c r="C41" i="35"/>
  <c r="D41" i="35"/>
  <c r="E41" i="35"/>
  <c r="B42" i="35"/>
  <c r="C42" i="35"/>
  <c r="D42" i="35"/>
  <c r="E42" i="35"/>
  <c r="B43" i="35"/>
  <c r="C43" i="35"/>
  <c r="D43" i="35"/>
  <c r="E43" i="35"/>
  <c r="B44" i="35"/>
  <c r="C44" i="35"/>
  <c r="D44" i="35"/>
  <c r="E44" i="35"/>
  <c r="B45" i="35"/>
  <c r="C45" i="35"/>
  <c r="D45" i="35"/>
  <c r="E45" i="35"/>
  <c r="B46" i="35"/>
  <c r="C46" i="35"/>
  <c r="D46" i="35"/>
  <c r="E46" i="35"/>
  <c r="N46" i="35" s="1"/>
  <c r="B47" i="35"/>
  <c r="C47" i="35"/>
  <c r="D47" i="35"/>
  <c r="E47" i="35"/>
  <c r="B48" i="35"/>
  <c r="C48" i="35"/>
  <c r="D48" i="35"/>
  <c r="E48" i="35"/>
  <c r="B49" i="35"/>
  <c r="C49" i="35"/>
  <c r="D49" i="35"/>
  <c r="E49" i="35"/>
  <c r="B50" i="35"/>
  <c r="C50" i="35"/>
  <c r="D50" i="35"/>
  <c r="E50" i="35"/>
  <c r="B51" i="35"/>
  <c r="C51" i="35"/>
  <c r="D51" i="35"/>
  <c r="E51" i="35"/>
  <c r="B52" i="35"/>
  <c r="C52" i="35"/>
  <c r="D52" i="35"/>
  <c r="E52" i="35"/>
  <c r="N52" i="35" s="1"/>
  <c r="B53" i="35"/>
  <c r="C53" i="35"/>
  <c r="D53" i="35"/>
  <c r="E53" i="35"/>
  <c r="B39" i="35"/>
  <c r="C39" i="35"/>
  <c r="D39" i="35"/>
  <c r="E39" i="35"/>
  <c r="P39" i="35" l="1"/>
  <c r="O44" i="35"/>
  <c r="H17" i="89"/>
  <c r="G43" i="89" s="1"/>
  <c r="H12" i="89"/>
  <c r="G38" i="89" s="1"/>
  <c r="H20" i="89"/>
  <c r="G46" i="89" s="1"/>
  <c r="H15" i="89"/>
  <c r="G41" i="89" s="1"/>
  <c r="H23" i="89"/>
  <c r="G49" i="89" s="1"/>
  <c r="H18" i="89"/>
  <c r="G44" i="89" s="1"/>
  <c r="H10" i="89"/>
  <c r="G36" i="89" s="1"/>
  <c r="H21" i="89"/>
  <c r="G47" i="89" s="1"/>
  <c r="F43" i="89"/>
  <c r="H13" i="89"/>
  <c r="G39" i="89" s="1"/>
  <c r="H24" i="89"/>
  <c r="G50" i="89" s="1"/>
  <c r="H16" i="89"/>
  <c r="G42" i="89" s="1"/>
  <c r="H19" i="89"/>
  <c r="G45" i="89" s="1"/>
  <c r="H11" i="89"/>
  <c r="G37" i="89" s="1"/>
  <c r="H22" i="89"/>
  <c r="G48" i="89" s="1"/>
  <c r="H14" i="89"/>
  <c r="G40" i="89" s="1"/>
  <c r="I13" i="36"/>
  <c r="J13" i="36"/>
  <c r="K13" i="36"/>
  <c r="L13" i="36"/>
  <c r="I14" i="36"/>
  <c r="J14" i="36"/>
  <c r="K14" i="36"/>
  <c r="L14" i="36"/>
  <c r="I15" i="36"/>
  <c r="J15" i="36"/>
  <c r="K15" i="36"/>
  <c r="L15" i="36"/>
  <c r="I16" i="36"/>
  <c r="J16" i="36"/>
  <c r="K16" i="36"/>
  <c r="L16" i="36"/>
  <c r="I17" i="36"/>
  <c r="J17" i="36"/>
  <c r="K17" i="36"/>
  <c r="L17" i="36"/>
  <c r="I18" i="36"/>
  <c r="J18" i="36"/>
  <c r="K18" i="36"/>
  <c r="L18" i="36"/>
  <c r="J19" i="36"/>
  <c r="K19" i="36"/>
  <c r="L19" i="36"/>
  <c r="I20" i="36"/>
  <c r="J20" i="36"/>
  <c r="K20" i="36"/>
  <c r="L20" i="36"/>
  <c r="I21" i="36"/>
  <c r="J21" i="36"/>
  <c r="K21" i="36"/>
  <c r="L21" i="36"/>
  <c r="I22" i="36"/>
  <c r="J22" i="36"/>
  <c r="K22" i="36"/>
  <c r="L22" i="36"/>
  <c r="I23" i="36"/>
  <c r="J23" i="36"/>
  <c r="K23" i="36"/>
  <c r="L23" i="36"/>
  <c r="I24" i="36"/>
  <c r="J24" i="36"/>
  <c r="K24" i="36"/>
  <c r="L24" i="36"/>
  <c r="I25" i="36"/>
  <c r="J25" i="36"/>
  <c r="K25" i="36"/>
  <c r="L25" i="36"/>
  <c r="I26" i="36"/>
  <c r="J26" i="36"/>
  <c r="K26" i="36"/>
  <c r="L26" i="36"/>
  <c r="I27" i="36"/>
  <c r="J27" i="36"/>
  <c r="K27" i="36"/>
  <c r="L27" i="36"/>
  <c r="I28" i="36"/>
  <c r="J28" i="36"/>
  <c r="K28" i="36"/>
  <c r="L28" i="36"/>
  <c r="I29" i="36"/>
  <c r="J29" i="36"/>
  <c r="K29" i="36"/>
  <c r="L29" i="36"/>
  <c r="I30" i="36"/>
  <c r="J30" i="36"/>
  <c r="K30" i="36"/>
  <c r="L30" i="36"/>
  <c r="I31" i="36"/>
  <c r="J31" i="36"/>
  <c r="K31" i="36"/>
  <c r="L31" i="36"/>
  <c r="I32" i="36"/>
  <c r="J32" i="36"/>
  <c r="K32" i="36"/>
  <c r="L32" i="36"/>
  <c r="I33" i="36"/>
  <c r="J33" i="36"/>
  <c r="K33" i="36"/>
  <c r="L33" i="36"/>
  <c r="I34" i="36"/>
  <c r="J34" i="36"/>
  <c r="K34" i="36"/>
  <c r="L34" i="36"/>
  <c r="I35" i="36"/>
  <c r="J35" i="36"/>
  <c r="K35" i="36"/>
  <c r="L35" i="36"/>
  <c r="I36" i="36"/>
  <c r="J36" i="36"/>
  <c r="K36" i="36"/>
  <c r="L36" i="36"/>
  <c r="I37" i="36"/>
  <c r="J37" i="36"/>
  <c r="K37" i="36"/>
  <c r="L37" i="36"/>
  <c r="I38" i="36"/>
  <c r="J38" i="36"/>
  <c r="K38" i="36"/>
  <c r="L38" i="36"/>
  <c r="I39" i="36"/>
  <c r="J39" i="36"/>
  <c r="K39" i="36"/>
  <c r="L39" i="36"/>
  <c r="I40" i="36"/>
  <c r="J40" i="36"/>
  <c r="K40" i="36"/>
  <c r="L40" i="36"/>
  <c r="I41" i="36"/>
  <c r="J41" i="36"/>
  <c r="K41" i="36"/>
  <c r="L41" i="36"/>
  <c r="I42" i="36"/>
  <c r="J42" i="36"/>
  <c r="K42" i="36"/>
  <c r="L42" i="36"/>
  <c r="I43" i="36"/>
  <c r="J43" i="36"/>
  <c r="K43" i="36"/>
  <c r="L43" i="36"/>
  <c r="J12" i="36"/>
  <c r="K12" i="36"/>
  <c r="L12" i="36"/>
  <c r="I12" i="36"/>
  <c r="C13" i="36"/>
  <c r="D13" i="36"/>
  <c r="E13" i="36"/>
  <c r="F13" i="36"/>
  <c r="O13" i="36" s="1"/>
  <c r="C14" i="36"/>
  <c r="D14" i="36"/>
  <c r="E14" i="36"/>
  <c r="F14" i="36"/>
  <c r="O14" i="36" s="1"/>
  <c r="C15" i="36"/>
  <c r="D15" i="36"/>
  <c r="N15" i="36" s="1"/>
  <c r="E15" i="36"/>
  <c r="F15" i="36"/>
  <c r="O15" i="36" s="1"/>
  <c r="C16" i="36"/>
  <c r="D16" i="36"/>
  <c r="E16" i="36"/>
  <c r="F16" i="36"/>
  <c r="O16" i="36" s="1"/>
  <c r="C17" i="36"/>
  <c r="D17" i="36"/>
  <c r="N17" i="36" s="1"/>
  <c r="E17" i="36"/>
  <c r="F17" i="36"/>
  <c r="O17" i="36" s="1"/>
  <c r="C18" i="36"/>
  <c r="D18" i="36"/>
  <c r="E18" i="36"/>
  <c r="F18" i="36"/>
  <c r="O18" i="36" s="1"/>
  <c r="C19" i="36"/>
  <c r="D19" i="36"/>
  <c r="N19" i="36" s="1"/>
  <c r="E19" i="36"/>
  <c r="F19" i="36"/>
  <c r="O19" i="36" s="1"/>
  <c r="C20" i="36"/>
  <c r="D20" i="36"/>
  <c r="E20" i="36"/>
  <c r="F20" i="36"/>
  <c r="O20" i="36" s="1"/>
  <c r="C21" i="36"/>
  <c r="D21" i="36"/>
  <c r="N21" i="36" s="1"/>
  <c r="E21" i="36"/>
  <c r="F21" i="36"/>
  <c r="O21" i="36" s="1"/>
  <c r="C22" i="36"/>
  <c r="D22" i="36"/>
  <c r="E22" i="36"/>
  <c r="F22" i="36"/>
  <c r="O22" i="36" s="1"/>
  <c r="C23" i="36"/>
  <c r="D23" i="36"/>
  <c r="N23" i="36" s="1"/>
  <c r="E23" i="36"/>
  <c r="F23" i="36"/>
  <c r="O23" i="36" s="1"/>
  <c r="C24" i="36"/>
  <c r="D24" i="36"/>
  <c r="E24" i="36"/>
  <c r="F24" i="36"/>
  <c r="O24" i="36" s="1"/>
  <c r="C25" i="36"/>
  <c r="D25" i="36"/>
  <c r="N25" i="36" s="1"/>
  <c r="E25" i="36"/>
  <c r="F25" i="36"/>
  <c r="O25" i="36" s="1"/>
  <c r="C26" i="36"/>
  <c r="D26" i="36"/>
  <c r="E26" i="36"/>
  <c r="F26" i="36"/>
  <c r="O26" i="36" s="1"/>
  <c r="C27" i="36"/>
  <c r="D27" i="36"/>
  <c r="N27" i="36" s="1"/>
  <c r="E27" i="36"/>
  <c r="F27" i="36"/>
  <c r="O27" i="36" s="1"/>
  <c r="C28" i="36"/>
  <c r="D28" i="36"/>
  <c r="E28" i="36"/>
  <c r="F28" i="36"/>
  <c r="O28" i="36" s="1"/>
  <c r="C29" i="36"/>
  <c r="D29" i="36"/>
  <c r="N29" i="36" s="1"/>
  <c r="E29" i="36"/>
  <c r="F29" i="36"/>
  <c r="O29" i="36" s="1"/>
  <c r="C30" i="36"/>
  <c r="D30" i="36"/>
  <c r="E30" i="36"/>
  <c r="F30" i="36"/>
  <c r="O30" i="36" s="1"/>
  <c r="C31" i="36"/>
  <c r="D31" i="36"/>
  <c r="N31" i="36" s="1"/>
  <c r="E31" i="36"/>
  <c r="F31" i="36"/>
  <c r="O31" i="36" s="1"/>
  <c r="C32" i="36"/>
  <c r="D32" i="36"/>
  <c r="E32" i="36"/>
  <c r="F32" i="36"/>
  <c r="O32" i="36" s="1"/>
  <c r="C33" i="36"/>
  <c r="D33" i="36"/>
  <c r="N33" i="36" s="1"/>
  <c r="E33" i="36"/>
  <c r="F33" i="36"/>
  <c r="O33" i="36" s="1"/>
  <c r="C34" i="36"/>
  <c r="D34" i="36"/>
  <c r="E34" i="36"/>
  <c r="F34" i="36"/>
  <c r="O34" i="36" s="1"/>
  <c r="C35" i="36"/>
  <c r="D35" i="36"/>
  <c r="N35" i="36" s="1"/>
  <c r="E35" i="36"/>
  <c r="F35" i="36"/>
  <c r="O35" i="36" s="1"/>
  <c r="C36" i="36"/>
  <c r="D36" i="36"/>
  <c r="E36" i="36"/>
  <c r="F36" i="36"/>
  <c r="O36" i="36" s="1"/>
  <c r="C37" i="36"/>
  <c r="D37" i="36"/>
  <c r="N37" i="36" s="1"/>
  <c r="E37" i="36"/>
  <c r="F37" i="36"/>
  <c r="O37" i="36" s="1"/>
  <c r="C38" i="36"/>
  <c r="D38" i="36"/>
  <c r="E38" i="36"/>
  <c r="F38" i="36"/>
  <c r="O38" i="36" s="1"/>
  <c r="C39" i="36"/>
  <c r="D39" i="36"/>
  <c r="N39" i="36" s="1"/>
  <c r="E39" i="36"/>
  <c r="F39" i="36"/>
  <c r="O39" i="36" s="1"/>
  <c r="C40" i="36"/>
  <c r="D40" i="36"/>
  <c r="E40" i="36"/>
  <c r="F40" i="36"/>
  <c r="O40" i="36" s="1"/>
  <c r="C41" i="36"/>
  <c r="D41" i="36"/>
  <c r="N41" i="36" s="1"/>
  <c r="E41" i="36"/>
  <c r="F41" i="36"/>
  <c r="O41" i="36" s="1"/>
  <c r="C42" i="36"/>
  <c r="D42" i="36"/>
  <c r="E42" i="36"/>
  <c r="F42" i="36"/>
  <c r="O42" i="36" s="1"/>
  <c r="C43" i="36"/>
  <c r="D43" i="36"/>
  <c r="N43" i="36" s="1"/>
  <c r="E43" i="36"/>
  <c r="F43" i="36"/>
  <c r="O43" i="36" s="1"/>
  <c r="D12" i="36"/>
  <c r="E12" i="36"/>
  <c r="F12" i="36"/>
  <c r="C12" i="36"/>
  <c r="C11" i="34"/>
  <c r="D11" i="34"/>
  <c r="E11" i="34"/>
  <c r="F11" i="34"/>
  <c r="G11" i="34"/>
  <c r="H11" i="34"/>
  <c r="I11" i="34"/>
  <c r="J11" i="34"/>
  <c r="K11" i="34"/>
  <c r="L11" i="34"/>
  <c r="M11" i="34"/>
  <c r="N11" i="34"/>
  <c r="O11" i="34"/>
  <c r="P11" i="34"/>
  <c r="Q11" i="34"/>
  <c r="C12" i="34"/>
  <c r="D12" i="34"/>
  <c r="E12" i="34"/>
  <c r="F12" i="34"/>
  <c r="G12" i="34"/>
  <c r="H12" i="34"/>
  <c r="I12" i="34"/>
  <c r="J12" i="34"/>
  <c r="K12" i="34"/>
  <c r="L12" i="34"/>
  <c r="M12" i="34"/>
  <c r="N12" i="34"/>
  <c r="O12" i="34"/>
  <c r="P12" i="34"/>
  <c r="Q12" i="34"/>
  <c r="C13" i="34"/>
  <c r="D13" i="34"/>
  <c r="E13" i="34"/>
  <c r="F13" i="34"/>
  <c r="G13" i="34"/>
  <c r="H13" i="34"/>
  <c r="I13" i="34"/>
  <c r="J13" i="34"/>
  <c r="K13" i="34"/>
  <c r="L13" i="34"/>
  <c r="M13" i="34"/>
  <c r="N13" i="34"/>
  <c r="O13" i="34"/>
  <c r="P13" i="34"/>
  <c r="Q13" i="34"/>
  <c r="C14" i="34"/>
  <c r="D14" i="34"/>
  <c r="E14" i="34"/>
  <c r="F14" i="34"/>
  <c r="G14" i="34"/>
  <c r="H14" i="34"/>
  <c r="I14" i="34"/>
  <c r="J14" i="34"/>
  <c r="K14" i="34"/>
  <c r="L14" i="34"/>
  <c r="M14" i="34"/>
  <c r="N14" i="34"/>
  <c r="O14" i="34"/>
  <c r="P14" i="34"/>
  <c r="Q14" i="34"/>
  <c r="C15" i="34"/>
  <c r="D15" i="34"/>
  <c r="E15" i="34"/>
  <c r="F15" i="34"/>
  <c r="G15" i="34"/>
  <c r="H15" i="34"/>
  <c r="I15" i="34"/>
  <c r="J15" i="34"/>
  <c r="K15" i="34"/>
  <c r="L15" i="34"/>
  <c r="M15" i="34"/>
  <c r="N15" i="34"/>
  <c r="O15" i="34"/>
  <c r="P15" i="34"/>
  <c r="Q15" i="34"/>
  <c r="C16" i="34"/>
  <c r="D16" i="34"/>
  <c r="E16" i="34"/>
  <c r="F16" i="34"/>
  <c r="G16" i="34"/>
  <c r="H16" i="34"/>
  <c r="I16" i="34"/>
  <c r="J16" i="34"/>
  <c r="K16" i="34"/>
  <c r="L16" i="34"/>
  <c r="M16" i="34"/>
  <c r="N16" i="34"/>
  <c r="O16" i="34"/>
  <c r="P16" i="34"/>
  <c r="Q16" i="34"/>
  <c r="C17" i="34"/>
  <c r="D17" i="34"/>
  <c r="E17" i="34"/>
  <c r="F17" i="34"/>
  <c r="G17" i="34"/>
  <c r="H17" i="34"/>
  <c r="I17" i="34"/>
  <c r="J17" i="34"/>
  <c r="K17" i="34"/>
  <c r="L17" i="34"/>
  <c r="M17" i="34"/>
  <c r="N17" i="34"/>
  <c r="O17" i="34"/>
  <c r="P17" i="34"/>
  <c r="Q17" i="34"/>
  <c r="C18" i="34"/>
  <c r="D18" i="34"/>
  <c r="E18" i="34"/>
  <c r="F18" i="34"/>
  <c r="G18" i="34"/>
  <c r="H18" i="34"/>
  <c r="I18" i="34"/>
  <c r="J18" i="34"/>
  <c r="K18" i="34"/>
  <c r="L18" i="34"/>
  <c r="M18" i="34"/>
  <c r="N18" i="34"/>
  <c r="O18" i="34"/>
  <c r="P18" i="34"/>
  <c r="Q18" i="34"/>
  <c r="C19" i="34"/>
  <c r="D19" i="34"/>
  <c r="E19" i="34"/>
  <c r="F19" i="34"/>
  <c r="G19" i="34"/>
  <c r="H19" i="34"/>
  <c r="I19" i="34"/>
  <c r="J19" i="34"/>
  <c r="K19" i="34"/>
  <c r="L19" i="34"/>
  <c r="M19" i="34"/>
  <c r="N19" i="34"/>
  <c r="O19" i="34"/>
  <c r="P19" i="34"/>
  <c r="Q19" i="34"/>
  <c r="C20" i="34"/>
  <c r="D20" i="34"/>
  <c r="E20" i="34"/>
  <c r="F20" i="34"/>
  <c r="G20" i="34"/>
  <c r="H20" i="34"/>
  <c r="I20" i="34"/>
  <c r="J20" i="34"/>
  <c r="K20" i="34"/>
  <c r="L20" i="34"/>
  <c r="M20" i="34"/>
  <c r="N20" i="34"/>
  <c r="O20" i="34"/>
  <c r="P20" i="34"/>
  <c r="Q20" i="34"/>
  <c r="C21" i="34"/>
  <c r="D21" i="34"/>
  <c r="E21" i="34"/>
  <c r="F21" i="34"/>
  <c r="G21" i="34"/>
  <c r="H21" i="34"/>
  <c r="I21" i="34"/>
  <c r="J21" i="34"/>
  <c r="K21" i="34"/>
  <c r="L21" i="34"/>
  <c r="M21" i="34"/>
  <c r="N21" i="34"/>
  <c r="O21" i="34"/>
  <c r="P21" i="34"/>
  <c r="Q21" i="34"/>
  <c r="C22" i="34"/>
  <c r="D22" i="34"/>
  <c r="E22" i="34"/>
  <c r="F22" i="34"/>
  <c r="G22" i="34"/>
  <c r="H22" i="34"/>
  <c r="I22" i="34"/>
  <c r="J22" i="34"/>
  <c r="K22" i="34"/>
  <c r="L22" i="34"/>
  <c r="M22" i="34"/>
  <c r="N22" i="34"/>
  <c r="O22" i="34"/>
  <c r="P22" i="34"/>
  <c r="Q22" i="34"/>
  <c r="C23" i="34"/>
  <c r="D23" i="34"/>
  <c r="E23" i="34"/>
  <c r="F23" i="34"/>
  <c r="G23" i="34"/>
  <c r="H23" i="34"/>
  <c r="I23" i="34"/>
  <c r="J23" i="34"/>
  <c r="K23" i="34"/>
  <c r="L23" i="34"/>
  <c r="M23" i="34"/>
  <c r="N23" i="34"/>
  <c r="O23" i="34"/>
  <c r="P23" i="34"/>
  <c r="Q23" i="34"/>
  <c r="C24" i="34"/>
  <c r="D24" i="34"/>
  <c r="E24" i="34"/>
  <c r="F24" i="34"/>
  <c r="G24" i="34"/>
  <c r="H24" i="34"/>
  <c r="I24" i="34"/>
  <c r="J24" i="34"/>
  <c r="K24" i="34"/>
  <c r="L24" i="34"/>
  <c r="M24" i="34"/>
  <c r="N24" i="34"/>
  <c r="O24" i="34"/>
  <c r="P24" i="34"/>
  <c r="Q24" i="34"/>
  <c r="C25" i="34"/>
  <c r="D25" i="34"/>
  <c r="E25" i="34"/>
  <c r="F25" i="34"/>
  <c r="G25" i="34"/>
  <c r="H25" i="34"/>
  <c r="I25" i="34"/>
  <c r="J25" i="34"/>
  <c r="K25" i="34"/>
  <c r="L25" i="34"/>
  <c r="M25" i="34"/>
  <c r="N25" i="34"/>
  <c r="O25" i="34"/>
  <c r="P25" i="34"/>
  <c r="Q25" i="34"/>
  <c r="C26" i="34"/>
  <c r="D26" i="34"/>
  <c r="E26" i="34"/>
  <c r="F26" i="34"/>
  <c r="G26" i="34"/>
  <c r="H26" i="34"/>
  <c r="I26" i="34"/>
  <c r="J26" i="34"/>
  <c r="K26" i="34"/>
  <c r="L26" i="34"/>
  <c r="M26" i="34"/>
  <c r="N26" i="34"/>
  <c r="O26" i="34"/>
  <c r="P26" i="34"/>
  <c r="Q26" i="34"/>
  <c r="C27" i="34"/>
  <c r="D27" i="34"/>
  <c r="E27" i="34"/>
  <c r="F27" i="34"/>
  <c r="G27" i="34"/>
  <c r="H27" i="34"/>
  <c r="I27" i="34"/>
  <c r="J27" i="34"/>
  <c r="K27" i="34"/>
  <c r="L27" i="34"/>
  <c r="M27" i="34"/>
  <c r="N27" i="34"/>
  <c r="O27" i="34"/>
  <c r="P27" i="34"/>
  <c r="Q27" i="34"/>
  <c r="C28" i="34"/>
  <c r="D28" i="34"/>
  <c r="E28" i="34"/>
  <c r="F28" i="34"/>
  <c r="G28" i="34"/>
  <c r="H28" i="34"/>
  <c r="I28" i="34"/>
  <c r="J28" i="34"/>
  <c r="K28" i="34"/>
  <c r="L28" i="34"/>
  <c r="M28" i="34"/>
  <c r="N28" i="34"/>
  <c r="O28" i="34"/>
  <c r="P28" i="34"/>
  <c r="Q28" i="34"/>
  <c r="C29" i="34"/>
  <c r="D29" i="34"/>
  <c r="E29" i="34"/>
  <c r="F29" i="34"/>
  <c r="G29" i="34"/>
  <c r="H29" i="34"/>
  <c r="I29" i="34"/>
  <c r="J29" i="34"/>
  <c r="K29" i="34"/>
  <c r="L29" i="34"/>
  <c r="M29" i="34"/>
  <c r="N29" i="34"/>
  <c r="O29" i="34"/>
  <c r="P29" i="34"/>
  <c r="Q29" i="34"/>
  <c r="C30" i="34"/>
  <c r="D30" i="34"/>
  <c r="E30" i="34"/>
  <c r="F30" i="34"/>
  <c r="G30" i="34"/>
  <c r="H30" i="34"/>
  <c r="I30" i="34"/>
  <c r="J30" i="34"/>
  <c r="K30" i="34"/>
  <c r="L30" i="34"/>
  <c r="M30" i="34"/>
  <c r="N30" i="34"/>
  <c r="O30" i="34"/>
  <c r="P30" i="34"/>
  <c r="Q30" i="34"/>
  <c r="C31" i="34"/>
  <c r="D31" i="34"/>
  <c r="E31" i="34"/>
  <c r="F31" i="34"/>
  <c r="G31" i="34"/>
  <c r="H31" i="34"/>
  <c r="I31" i="34"/>
  <c r="J31" i="34"/>
  <c r="K31" i="34"/>
  <c r="L31" i="34"/>
  <c r="M31" i="34"/>
  <c r="N31" i="34"/>
  <c r="O31" i="34"/>
  <c r="P31" i="34"/>
  <c r="Q31" i="34"/>
  <c r="C32" i="34"/>
  <c r="D32" i="34"/>
  <c r="E32" i="34"/>
  <c r="F32" i="34"/>
  <c r="G32" i="34"/>
  <c r="H32" i="34"/>
  <c r="I32" i="34"/>
  <c r="J32" i="34"/>
  <c r="K32" i="34"/>
  <c r="L32" i="34"/>
  <c r="M32" i="34"/>
  <c r="N32" i="34"/>
  <c r="O32" i="34"/>
  <c r="P32" i="34"/>
  <c r="Q32" i="34"/>
  <c r="C33" i="34"/>
  <c r="D33" i="34"/>
  <c r="E33" i="34"/>
  <c r="F33" i="34"/>
  <c r="G33" i="34"/>
  <c r="H33" i="34"/>
  <c r="I33" i="34"/>
  <c r="J33" i="34"/>
  <c r="K33" i="34"/>
  <c r="L33" i="34"/>
  <c r="M33" i="34"/>
  <c r="N33" i="34"/>
  <c r="O33" i="34"/>
  <c r="P33" i="34"/>
  <c r="Q33" i="34"/>
  <c r="C34" i="34"/>
  <c r="D34" i="34"/>
  <c r="E34" i="34"/>
  <c r="F34" i="34"/>
  <c r="G34" i="34"/>
  <c r="H34" i="34"/>
  <c r="I34" i="34"/>
  <c r="J34" i="34"/>
  <c r="K34" i="34"/>
  <c r="L34" i="34"/>
  <c r="M34" i="34"/>
  <c r="N34" i="34"/>
  <c r="O34" i="34"/>
  <c r="P34" i="34"/>
  <c r="Q34" i="34"/>
  <c r="C35" i="34"/>
  <c r="D35" i="34"/>
  <c r="E35" i="34"/>
  <c r="F35" i="34"/>
  <c r="G35" i="34"/>
  <c r="H35" i="34"/>
  <c r="I35" i="34"/>
  <c r="J35" i="34"/>
  <c r="K35" i="34"/>
  <c r="L35" i="34"/>
  <c r="M35" i="34"/>
  <c r="N35" i="34"/>
  <c r="O35" i="34"/>
  <c r="P35" i="34"/>
  <c r="Q35" i="34"/>
  <c r="C36" i="34"/>
  <c r="D36" i="34"/>
  <c r="E36" i="34"/>
  <c r="F36" i="34"/>
  <c r="G36" i="34"/>
  <c r="H36" i="34"/>
  <c r="I36" i="34"/>
  <c r="J36" i="34"/>
  <c r="K36" i="34"/>
  <c r="L36" i="34"/>
  <c r="M36" i="34"/>
  <c r="N36" i="34"/>
  <c r="O36" i="34"/>
  <c r="P36" i="34"/>
  <c r="Q36" i="34"/>
  <c r="C37" i="34"/>
  <c r="D37" i="34"/>
  <c r="E37" i="34"/>
  <c r="F37" i="34"/>
  <c r="G37" i="34"/>
  <c r="H37" i="34"/>
  <c r="I37" i="34"/>
  <c r="J37" i="34"/>
  <c r="K37" i="34"/>
  <c r="L37" i="34"/>
  <c r="M37" i="34"/>
  <c r="N37" i="34"/>
  <c r="O37" i="34"/>
  <c r="P37" i="34"/>
  <c r="Q37" i="34"/>
  <c r="C38" i="34"/>
  <c r="D38" i="34"/>
  <c r="E38" i="34"/>
  <c r="F38" i="34"/>
  <c r="G38" i="34"/>
  <c r="H38" i="34"/>
  <c r="I38" i="34"/>
  <c r="J38" i="34"/>
  <c r="K38" i="34"/>
  <c r="L38" i="34"/>
  <c r="M38" i="34"/>
  <c r="N38" i="34"/>
  <c r="O38" i="34"/>
  <c r="P38" i="34"/>
  <c r="Q38" i="34"/>
  <c r="C39" i="34"/>
  <c r="D39" i="34"/>
  <c r="E39" i="34"/>
  <c r="F39" i="34"/>
  <c r="G39" i="34"/>
  <c r="H39" i="34"/>
  <c r="I39" i="34"/>
  <c r="J39" i="34"/>
  <c r="K39" i="34"/>
  <c r="L39" i="34"/>
  <c r="M39" i="34"/>
  <c r="N39" i="34"/>
  <c r="O39" i="34"/>
  <c r="P39" i="34"/>
  <c r="Q39" i="34"/>
  <c r="C40" i="34"/>
  <c r="D40" i="34"/>
  <c r="E40" i="34"/>
  <c r="F40" i="34"/>
  <c r="G40" i="34"/>
  <c r="H40" i="34"/>
  <c r="I40" i="34"/>
  <c r="J40" i="34"/>
  <c r="K40" i="34"/>
  <c r="L40" i="34"/>
  <c r="M40" i="34"/>
  <c r="N40" i="34"/>
  <c r="O40" i="34"/>
  <c r="P40" i="34"/>
  <c r="Q40" i="34"/>
  <c r="C41" i="34"/>
  <c r="D41" i="34"/>
  <c r="E41" i="34"/>
  <c r="F41" i="34"/>
  <c r="G41" i="34"/>
  <c r="H41" i="34"/>
  <c r="I41" i="34"/>
  <c r="J41" i="34"/>
  <c r="K41" i="34"/>
  <c r="L41" i="34"/>
  <c r="M41" i="34"/>
  <c r="N41" i="34"/>
  <c r="O41" i="34"/>
  <c r="P41" i="34"/>
  <c r="Q41" i="34"/>
  <c r="D10" i="34"/>
  <c r="E10" i="34"/>
  <c r="F10" i="34"/>
  <c r="G10" i="34"/>
  <c r="H10" i="34"/>
  <c r="I10" i="34"/>
  <c r="J10" i="34"/>
  <c r="K10" i="34"/>
  <c r="L10" i="34"/>
  <c r="M10" i="34"/>
  <c r="N10" i="34"/>
  <c r="O10" i="34"/>
  <c r="P10" i="34"/>
  <c r="Q10" i="34"/>
  <c r="C10" i="34"/>
  <c r="H25" i="113"/>
  <c r="I25" i="113"/>
  <c r="J25" i="113"/>
  <c r="K25" i="113"/>
  <c r="L25" i="113"/>
  <c r="M25" i="113"/>
  <c r="G25" i="113"/>
  <c r="H27" i="113"/>
  <c r="I27" i="113"/>
  <c r="J27" i="113"/>
  <c r="K27" i="113"/>
  <c r="L27" i="113"/>
  <c r="M27" i="113"/>
  <c r="G27" i="113"/>
  <c r="C25" i="113"/>
  <c r="D25" i="113"/>
  <c r="E25" i="113"/>
  <c r="F25" i="113"/>
  <c r="B25" i="113"/>
  <c r="G10" i="33"/>
  <c r="G11" i="33"/>
  <c r="G12" i="33"/>
  <c r="G13" i="33"/>
  <c r="G14" i="33"/>
  <c r="G15" i="33"/>
  <c r="G16" i="33"/>
  <c r="F38" i="89" l="1"/>
  <c r="F41" i="89"/>
  <c r="N42" i="36"/>
  <c r="N40" i="36"/>
  <c r="N38" i="36"/>
  <c r="N36" i="36"/>
  <c r="N34" i="36"/>
  <c r="N32" i="36"/>
  <c r="N30" i="36"/>
  <c r="N28" i="36"/>
  <c r="N26" i="36"/>
  <c r="N24" i="36"/>
  <c r="N22" i="36"/>
  <c r="N20" i="36"/>
  <c r="N18" i="36"/>
  <c r="N16" i="36"/>
  <c r="F46" i="89"/>
  <c r="F44" i="89"/>
  <c r="F42" i="89"/>
  <c r="F48" i="89"/>
  <c r="F37" i="89"/>
  <c r="F49" i="89"/>
  <c r="F45" i="89"/>
  <c r="F50" i="89"/>
  <c r="F40" i="89"/>
  <c r="F39" i="89"/>
  <c r="F47" i="89"/>
  <c r="C42" i="34"/>
  <c r="O12" i="36"/>
  <c r="N12" i="36"/>
  <c r="N14" i="36"/>
  <c r="N13" i="36"/>
  <c r="G13" i="36"/>
  <c r="M13" i="36" s="1"/>
  <c r="H19" i="36"/>
  <c r="H39" i="36"/>
  <c r="H17" i="36"/>
  <c r="H30" i="36"/>
  <c r="H43" i="36"/>
  <c r="H41" i="36"/>
  <c r="H37" i="36"/>
  <c r="H33" i="36"/>
  <c r="H29" i="36"/>
  <c r="H27" i="36"/>
  <c r="H23" i="36"/>
  <c r="H15" i="36"/>
  <c r="G39" i="36"/>
  <c r="M39" i="36" s="1"/>
  <c r="G35" i="36"/>
  <c r="M35" i="36" s="1"/>
  <c r="G31" i="36"/>
  <c r="M31" i="36" s="1"/>
  <c r="G27" i="36"/>
  <c r="M27" i="36" s="1"/>
  <c r="G25" i="36"/>
  <c r="M25" i="36" s="1"/>
  <c r="H16" i="36"/>
  <c r="G19" i="36"/>
  <c r="M19" i="36" s="1"/>
  <c r="G23" i="36"/>
  <c r="M23" i="36" s="1"/>
  <c r="G43" i="36"/>
  <c r="M43" i="36" s="1"/>
  <c r="G29" i="36"/>
  <c r="M29" i="36" s="1"/>
  <c r="G33" i="36"/>
  <c r="M33" i="36" s="1"/>
  <c r="G21" i="36"/>
  <c r="M21" i="36" s="1"/>
  <c r="G17" i="36"/>
  <c r="M17" i="36" s="1"/>
  <c r="G15" i="36"/>
  <c r="M15" i="36" s="1"/>
  <c r="G40" i="36"/>
  <c r="M40" i="36" s="1"/>
  <c r="G38" i="36"/>
  <c r="M38" i="36" s="1"/>
  <c r="G32" i="36"/>
  <c r="M32" i="36" s="1"/>
  <c r="G30" i="36"/>
  <c r="M30" i="36" s="1"/>
  <c r="G28" i="36"/>
  <c r="M28" i="36" s="1"/>
  <c r="G26" i="36"/>
  <c r="M26" i="36" s="1"/>
  <c r="H13" i="36"/>
  <c r="H40" i="36"/>
  <c r="G24" i="36"/>
  <c r="M24" i="36" s="1"/>
  <c r="G22" i="36"/>
  <c r="M22" i="36" s="1"/>
  <c r="G20" i="36"/>
  <c r="M20" i="36" s="1"/>
  <c r="G18" i="36"/>
  <c r="M18" i="36" s="1"/>
  <c r="G16" i="36"/>
  <c r="M16" i="36" s="1"/>
  <c r="G14" i="36"/>
  <c r="M14" i="36" s="1"/>
  <c r="G41" i="36"/>
  <c r="M41" i="36" s="1"/>
  <c r="G37" i="36"/>
  <c r="M37" i="36" s="1"/>
  <c r="H35" i="36"/>
  <c r="H31" i="36"/>
  <c r="H25" i="36"/>
  <c r="H21" i="36"/>
  <c r="H42" i="36"/>
  <c r="H38" i="36"/>
  <c r="H36" i="36"/>
  <c r="H34" i="36"/>
  <c r="H32" i="36"/>
  <c r="H28" i="36"/>
  <c r="H26" i="36"/>
  <c r="H24" i="36"/>
  <c r="H22" i="36"/>
  <c r="H20" i="36"/>
  <c r="H18" i="36"/>
  <c r="H14" i="36"/>
  <c r="G12" i="36"/>
  <c r="M12" i="36" s="1"/>
  <c r="H12" i="36"/>
  <c r="G42" i="36"/>
  <c r="M42" i="36" s="1"/>
  <c r="G36" i="36"/>
  <c r="M36" i="36" s="1"/>
  <c r="G34" i="36"/>
  <c r="M34" i="36" s="1"/>
  <c r="G12" i="32" l="1"/>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11" i="32"/>
  <c r="C11" i="31" l="1"/>
  <c r="C42" i="30"/>
  <c r="N10" i="120"/>
  <c r="J10" i="120"/>
  <c r="K10" i="120"/>
  <c r="L10" i="120"/>
  <c r="M10" i="120"/>
  <c r="I10" i="120"/>
  <c r="E71" i="28"/>
  <c r="D71" i="28"/>
  <c r="C71" i="28"/>
  <c r="B71" i="28"/>
  <c r="E45" i="28"/>
  <c r="E46" i="28"/>
  <c r="E47" i="28"/>
  <c r="E48" i="28"/>
  <c r="E49" i="28"/>
  <c r="E50" i="28"/>
  <c r="E51" i="28"/>
  <c r="E52" i="28"/>
  <c r="E53" i="28"/>
  <c r="E44" i="28"/>
  <c r="D45" i="28"/>
  <c r="D46" i="28"/>
  <c r="D47" i="28"/>
  <c r="D48" i="28"/>
  <c r="D49" i="28"/>
  <c r="D50" i="28"/>
  <c r="D51" i="28"/>
  <c r="D52" i="28"/>
  <c r="D53" i="28"/>
  <c r="D44" i="28"/>
  <c r="C45" i="28"/>
  <c r="C46" i="28"/>
  <c r="C47" i="28"/>
  <c r="C48" i="28"/>
  <c r="C49" i="28"/>
  <c r="C50" i="28"/>
  <c r="C51" i="28"/>
  <c r="C52" i="28"/>
  <c r="C53" i="28"/>
  <c r="B45" i="28"/>
  <c r="B46" i="28"/>
  <c r="B47" i="28"/>
  <c r="B48" i="28"/>
  <c r="B49" i="28"/>
  <c r="B50" i="28"/>
  <c r="B51" i="28"/>
  <c r="B52" i="28"/>
  <c r="B53" i="28"/>
  <c r="C44" i="28"/>
  <c r="B44" i="28"/>
  <c r="C43" i="28"/>
  <c r="B43" i="28"/>
  <c r="C27" i="28"/>
  <c r="C28" i="28" s="1"/>
  <c r="D27" i="28"/>
  <c r="D28" i="28" s="1"/>
  <c r="E27" i="28"/>
  <c r="E28" i="28" s="1"/>
  <c r="F27" i="28"/>
  <c r="F28" i="28" s="1"/>
  <c r="G27" i="28"/>
  <c r="G28" i="28" s="1"/>
  <c r="B27" i="28"/>
  <c r="B28" i="28" s="1"/>
  <c r="A26" i="28"/>
  <c r="C23" i="28"/>
  <c r="C24" i="28" s="1"/>
  <c r="D23" i="28"/>
  <c r="D24" i="28" s="1"/>
  <c r="E23" i="28"/>
  <c r="E24" i="28" s="1"/>
  <c r="F24" i="28"/>
  <c r="G23" i="28"/>
  <c r="G24" i="28" s="1"/>
  <c r="B23" i="28"/>
  <c r="B24" i="28" s="1"/>
  <c r="A22" i="28"/>
  <c r="J19" i="2" l="1"/>
  <c r="E14" i="114"/>
  <c r="N14" i="114"/>
  <c r="F14" i="124"/>
  <c r="A32" i="22"/>
  <c r="D70" i="28" l="1"/>
  <c r="C70" i="28"/>
  <c r="B70" i="28"/>
  <c r="E70" i="28"/>
  <c r="F12" i="115"/>
  <c r="A31" i="25"/>
  <c r="E15" i="38"/>
  <c r="A24" i="25" l="1"/>
  <c r="B32" i="22"/>
  <c r="D32" i="22"/>
  <c r="E32" i="22"/>
  <c r="J18" i="2"/>
  <c r="J22" i="2" s="1"/>
  <c r="J23" i="2" s="1"/>
  <c r="C32" i="22"/>
  <c r="A26" i="23"/>
  <c r="A33" i="23"/>
  <c r="E23" i="38"/>
  <c r="A24" i="38"/>
  <c r="C24" i="38"/>
  <c r="C31" i="38"/>
  <c r="E39" i="38"/>
  <c r="E71" i="76"/>
  <c r="D56" i="76"/>
  <c r="F72" i="76"/>
  <c r="H72" i="76"/>
  <c r="B72" i="76"/>
  <c r="D38" i="76"/>
  <c r="B70" i="76"/>
  <c r="D70" i="76"/>
  <c r="C70" i="76"/>
  <c r="D54" i="76"/>
  <c r="D55" i="76"/>
  <c r="E72" i="76"/>
  <c r="G71" i="76"/>
  <c r="D72" i="76"/>
  <c r="G70" i="76"/>
  <c r="E70" i="76"/>
  <c r="B71" i="76"/>
  <c r="H71" i="76"/>
  <c r="F71" i="76"/>
  <c r="C72" i="76"/>
  <c r="D71" i="76"/>
  <c r="F70" i="76"/>
  <c r="H70" i="76"/>
  <c r="C71" i="76"/>
  <c r="G72" i="76"/>
  <c r="F32" i="22" l="1"/>
  <c r="A72" i="76" l="1"/>
  <c r="A71" i="76"/>
  <c r="A70" i="76"/>
  <c r="A39" i="76"/>
  <c r="A38" i="76"/>
  <c r="D23" i="132"/>
  <c r="A36" i="76" s="1"/>
  <c r="D43" i="132"/>
  <c r="A11" i="76" s="1"/>
  <c r="D1" i="135"/>
  <c r="D27" i="135"/>
  <c r="D16" i="76"/>
  <c r="E16" i="76"/>
  <c r="C16" i="76"/>
  <c r="B21" i="76"/>
  <c r="F39" i="76"/>
  <c r="G55" i="76"/>
  <c r="C18" i="76"/>
  <c r="B16" i="76"/>
  <c r="G56" i="76"/>
  <c r="B18" i="76"/>
  <c r="F54" i="76"/>
  <c r="E17" i="76"/>
  <c r="F17" i="76"/>
  <c r="F14" i="76"/>
  <c r="H55" i="76"/>
  <c r="B38" i="76"/>
  <c r="B19" i="76"/>
  <c r="F55" i="76"/>
  <c r="F22" i="76"/>
  <c r="C13" i="76"/>
  <c r="B55" i="76"/>
  <c r="B15" i="76"/>
  <c r="F16" i="76"/>
  <c r="B17" i="76"/>
  <c r="D23" i="76"/>
  <c r="D39" i="76"/>
  <c r="D19" i="76"/>
  <c r="B54" i="76"/>
  <c r="E38" i="76"/>
  <c r="C15" i="76"/>
  <c r="E54" i="76"/>
  <c r="D13" i="76"/>
  <c r="C38" i="76"/>
  <c r="C56" i="76"/>
  <c r="E19" i="76"/>
  <c r="D15" i="76"/>
  <c r="C21" i="76"/>
  <c r="F56" i="76"/>
  <c r="D14" i="76"/>
  <c r="B20" i="76"/>
  <c r="D17" i="76"/>
  <c r="B13" i="76"/>
  <c r="E20" i="76"/>
  <c r="E55" i="76"/>
  <c r="E14" i="76"/>
  <c r="D18" i="76"/>
  <c r="E39" i="76"/>
  <c r="E56" i="76"/>
  <c r="C19" i="76"/>
  <c r="B22" i="76"/>
  <c r="C54" i="76"/>
  <c r="D21" i="76"/>
  <c r="F18" i="76"/>
  <c r="B23" i="76"/>
  <c r="E23" i="76"/>
  <c r="H56" i="76"/>
  <c r="D22" i="76"/>
  <c r="C14" i="76"/>
  <c r="G54" i="76"/>
  <c r="B39" i="76"/>
  <c r="F19" i="76"/>
  <c r="E21" i="76"/>
  <c r="H54" i="76"/>
  <c r="B14" i="76"/>
  <c r="C39" i="76"/>
  <c r="C17" i="76"/>
  <c r="E13" i="76"/>
  <c r="B56" i="76"/>
  <c r="C20" i="76"/>
  <c r="C23" i="76"/>
  <c r="C55" i="76"/>
  <c r="F23" i="76"/>
  <c r="E18" i="76"/>
  <c r="F21" i="76"/>
  <c r="F38" i="76"/>
  <c r="F15" i="76"/>
  <c r="E15" i="76"/>
  <c r="E22" i="76"/>
  <c r="F13" i="76"/>
  <c r="D20" i="76"/>
  <c r="F20" i="76"/>
  <c r="C22" i="76"/>
  <c r="G39" i="76" l="1"/>
  <c r="G38" i="76"/>
  <c r="G13" i="76"/>
  <c r="B24" i="76"/>
  <c r="G20" i="76"/>
  <c r="G17" i="76"/>
  <c r="G23" i="76"/>
  <c r="G15" i="76"/>
  <c r="G14" i="76"/>
  <c r="G21" i="76"/>
  <c r="G16" i="76"/>
  <c r="G22" i="76"/>
  <c r="G18" i="76"/>
  <c r="G19" i="76"/>
  <c r="A37" i="76" l="1"/>
  <c r="D13" i="132"/>
  <c r="A52" i="76" s="1"/>
  <c r="D1" i="132"/>
  <c r="A69" i="76" s="1"/>
  <c r="F64" i="7" l="1"/>
  <c r="F12" i="124"/>
  <c r="F13" i="124"/>
  <c r="F15" i="124"/>
  <c r="F11" i="124"/>
  <c r="D17" i="126" l="1"/>
  <c r="I69" i="7"/>
  <c r="I58" i="7"/>
  <c r="I50" i="7"/>
  <c r="I49" i="7"/>
  <c r="I67" i="7"/>
  <c r="I52" i="7"/>
  <c r="H17" i="126"/>
  <c r="I15" i="126"/>
  <c r="I16" i="126"/>
  <c r="E17" i="126"/>
  <c r="B17" i="126"/>
  <c r="I13" i="126"/>
  <c r="I61" i="7"/>
  <c r="I53" i="7"/>
  <c r="G17" i="126"/>
  <c r="I56" i="7"/>
  <c r="I60" i="7"/>
  <c r="I48" i="7"/>
  <c r="F70" i="7"/>
  <c r="F9" i="7" s="1"/>
  <c r="C17" i="126"/>
  <c r="I59" i="7"/>
  <c r="I54" i="7"/>
  <c r="J73" i="7"/>
  <c r="I63" i="7"/>
  <c r="I68" i="7"/>
  <c r="I55" i="7"/>
  <c r="I51" i="7"/>
  <c r="I14" i="126"/>
  <c r="F17" i="126"/>
  <c r="A33" i="11"/>
  <c r="A26" i="11"/>
  <c r="A26" i="12"/>
  <c r="A33" i="12"/>
  <c r="A26" i="13"/>
  <c r="A33" i="13"/>
  <c r="A60" i="12"/>
  <c r="A58" i="12"/>
  <c r="A57" i="12"/>
  <c r="A62" i="12"/>
  <c r="G70" i="7"/>
  <c r="G64" i="7"/>
  <c r="G15" i="125"/>
  <c r="G24" i="125"/>
  <c r="G25" i="125"/>
  <c r="G41" i="125"/>
  <c r="G18" i="125"/>
  <c r="G26" i="125"/>
  <c r="G34" i="125"/>
  <c r="G42" i="125"/>
  <c r="G14" i="125"/>
  <c r="G27" i="125"/>
  <c r="G28" i="125"/>
  <c r="G44" i="125"/>
  <c r="G45" i="125"/>
  <c r="G20" i="125"/>
  <c r="G36" i="125"/>
  <c r="G21" i="125"/>
  <c r="G29" i="125"/>
  <c r="G37" i="125"/>
  <c r="G43" i="125"/>
  <c r="G19" i="125"/>
  <c r="G22" i="125"/>
  <c r="G30" i="125"/>
  <c r="G38" i="125"/>
  <c r="G23" i="125"/>
  <c r="G35" i="125"/>
  <c r="G31" i="125"/>
  <c r="G16" i="125"/>
  <c r="G40" i="125"/>
  <c r="G39" i="125"/>
  <c r="G32" i="125"/>
  <c r="G17" i="125"/>
  <c r="G33" i="125"/>
  <c r="A35" i="125"/>
  <c r="C46" i="125"/>
  <c r="D72" i="125"/>
  <c r="E72" i="125"/>
  <c r="F72" i="125"/>
  <c r="C72" i="125"/>
  <c r="R23" i="114"/>
  <c r="N15" i="114"/>
  <c r="E15" i="114"/>
  <c r="I70" i="7" l="1"/>
  <c r="I17" i="126"/>
  <c r="G9" i="7"/>
  <c r="H70" i="7"/>
  <c r="J60" i="7"/>
  <c r="J49" i="7"/>
  <c r="J50" i="7"/>
  <c r="J61" i="7"/>
  <c r="J58" i="7"/>
  <c r="J55" i="7"/>
  <c r="J53" i="7"/>
  <c r="J54" i="7"/>
  <c r="J63" i="7"/>
  <c r="J56" i="7"/>
  <c r="J59" i="7"/>
  <c r="J52" i="7"/>
  <c r="J48" i="7"/>
  <c r="H64" i="7"/>
  <c r="J51" i="7"/>
  <c r="G46" i="125"/>
  <c r="A28" i="125"/>
  <c r="B59" i="125"/>
  <c r="A64" i="125"/>
  <c r="A62" i="125"/>
  <c r="B64" i="125"/>
  <c r="A60" i="125"/>
  <c r="A59" i="125"/>
  <c r="G72" i="125"/>
  <c r="H9" i="7" l="1"/>
  <c r="J47" i="7"/>
  <c r="F66" i="125" l="1"/>
  <c r="F11" i="125" s="1"/>
  <c r="E66" i="125"/>
  <c r="E11" i="125" s="1"/>
  <c r="D66" i="125"/>
  <c r="D11" i="125" s="1"/>
  <c r="C66" i="125"/>
  <c r="C11" i="125" s="1"/>
  <c r="G66" i="125" l="1"/>
  <c r="G11" i="125" s="1"/>
  <c r="B69" i="28" l="1"/>
  <c r="E69" i="28"/>
  <c r="D69" i="28"/>
  <c r="C69" i="28"/>
  <c r="D19" i="40" l="1"/>
  <c r="F12" i="17"/>
  <c r="F11" i="115"/>
  <c r="D33" i="40" l="1"/>
  <c r="D34" i="40"/>
  <c r="D36" i="40"/>
  <c r="D37" i="40"/>
  <c r="D39" i="40"/>
  <c r="D35" i="40"/>
  <c r="D40" i="40"/>
  <c r="D38" i="40"/>
  <c r="D32" i="40"/>
  <c r="D41" i="40" l="1"/>
  <c r="H17" i="2" l="1"/>
  <c r="J17" i="2" s="1"/>
  <c r="A33" i="22"/>
  <c r="A31" i="22"/>
  <c r="B33" i="22" l="1"/>
  <c r="E31" i="22"/>
  <c r="C33" i="22" l="1"/>
  <c r="D33" i="22"/>
  <c r="E33" i="22"/>
  <c r="D31" i="22"/>
  <c r="C31" i="22"/>
  <c r="B31" i="22"/>
  <c r="F33" i="22" l="1"/>
  <c r="F31" i="22"/>
  <c r="J68" i="7" l="1"/>
  <c r="I43" i="7"/>
  <c r="J43" i="7" s="1"/>
  <c r="I42" i="7"/>
  <c r="J42" i="7" s="1"/>
  <c r="I41" i="7"/>
  <c r="J41" i="7" s="1"/>
  <c r="I40" i="7"/>
  <c r="J40" i="7" s="1"/>
  <c r="I39" i="7"/>
  <c r="J39" i="7" s="1"/>
  <c r="I38" i="7"/>
  <c r="J38" i="7" s="1"/>
  <c r="I37" i="7"/>
  <c r="J37" i="7" s="1"/>
  <c r="I36" i="7"/>
  <c r="J36" i="7" s="1"/>
  <c r="I35" i="7"/>
  <c r="J35" i="7" s="1"/>
  <c r="I34" i="7"/>
  <c r="J34" i="7" s="1"/>
  <c r="I33" i="7"/>
  <c r="J33" i="7" s="1"/>
  <c r="I32" i="7"/>
  <c r="J32" i="7" s="1"/>
  <c r="I31" i="7"/>
  <c r="J31" i="7" s="1"/>
  <c r="I30" i="7"/>
  <c r="J30" i="7" s="1"/>
  <c r="I29" i="7"/>
  <c r="J29" i="7" s="1"/>
  <c r="I28" i="7"/>
  <c r="J28" i="7" s="1"/>
  <c r="I27" i="7"/>
  <c r="J27" i="7" s="1"/>
  <c r="I26" i="7"/>
  <c r="J26" i="7" s="1"/>
  <c r="I25" i="7"/>
  <c r="J25" i="7" s="1"/>
  <c r="I24" i="7"/>
  <c r="J24" i="7" s="1"/>
  <c r="I23" i="7"/>
  <c r="J23" i="7" s="1"/>
  <c r="I22" i="7"/>
  <c r="J22" i="7" s="1"/>
  <c r="I21" i="7"/>
  <c r="J21" i="7" s="1"/>
  <c r="I20" i="7"/>
  <c r="J20" i="7" s="1"/>
  <c r="I19" i="7"/>
  <c r="J19" i="7" s="1"/>
  <c r="I18" i="7"/>
  <c r="J18" i="7" s="1"/>
  <c r="I17" i="7"/>
  <c r="I16" i="7"/>
  <c r="J16" i="7" s="1"/>
  <c r="I15" i="7"/>
  <c r="J15" i="7" s="1"/>
  <c r="I14" i="7"/>
  <c r="J14" i="7" s="1"/>
  <c r="I13" i="7"/>
  <c r="J13" i="7" s="1"/>
  <c r="I12" i="7"/>
  <c r="I44" i="7" l="1"/>
  <c r="J17" i="7"/>
  <c r="J69" i="7"/>
  <c r="J12" i="7"/>
  <c r="H11" i="2"/>
  <c r="J11" i="2" s="1"/>
  <c r="H13" i="2"/>
  <c r="H15" i="2"/>
  <c r="H10" i="2"/>
  <c r="J10" i="2" s="1"/>
  <c r="H12" i="2"/>
  <c r="J12" i="2" s="1"/>
  <c r="H14" i="2"/>
  <c r="H26" i="2" s="1"/>
  <c r="H16" i="2"/>
  <c r="J16" i="2" s="1"/>
  <c r="J15" i="2" l="1"/>
  <c r="H27" i="2"/>
  <c r="J14" i="2"/>
  <c r="J26" i="2" s="1"/>
  <c r="J44" i="7"/>
  <c r="J67" i="7"/>
  <c r="J70" i="7" s="1"/>
  <c r="J13" i="2"/>
  <c r="J27" i="2" l="1"/>
  <c r="A33" i="19"/>
  <c r="A44" i="19"/>
  <c r="A43" i="19"/>
  <c r="A42" i="19"/>
  <c r="A40" i="19"/>
  <c r="A39" i="19"/>
  <c r="A38" i="19"/>
  <c r="A37" i="19"/>
  <c r="A36" i="19"/>
  <c r="A35" i="19"/>
  <c r="A34" i="19"/>
  <c r="A41" i="19" l="1"/>
  <c r="G24" i="96" l="1"/>
  <c r="D24" i="96"/>
  <c r="F24" i="96"/>
  <c r="B24" i="96"/>
  <c r="E24" i="96"/>
  <c r="C24" i="96"/>
  <c r="I13" i="93"/>
  <c r="I12" i="93" l="1"/>
  <c r="G10" i="40"/>
  <c r="I11" i="93"/>
  <c r="B17" i="94" l="1"/>
  <c r="H17" i="94"/>
  <c r="B14" i="93"/>
  <c r="I10" i="93"/>
  <c r="C14" i="93"/>
  <c r="D14" i="93"/>
  <c r="E14" i="93"/>
  <c r="F14" i="93"/>
  <c r="G14" i="93"/>
  <c r="H14" i="93"/>
  <c r="D17" i="94"/>
  <c r="E17" i="94"/>
  <c r="F17" i="94"/>
  <c r="G17" i="94"/>
  <c r="F24" i="101" l="1"/>
  <c r="G24" i="101" s="1"/>
  <c r="F35" i="101"/>
  <c r="H35" i="101" s="1"/>
  <c r="F27" i="101"/>
  <c r="G27" i="101" s="1"/>
  <c r="F36" i="101"/>
  <c r="H36" i="101" s="1"/>
  <c r="F39" i="101"/>
  <c r="H39" i="101" s="1"/>
  <c r="F41" i="101"/>
  <c r="H41" i="101" s="1"/>
  <c r="F25" i="101"/>
  <c r="G25" i="101" s="1"/>
  <c r="F19" i="101"/>
  <c r="G19" i="101" s="1"/>
  <c r="J72" i="12"/>
  <c r="F12" i="101"/>
  <c r="I12" i="101" s="1"/>
  <c r="C44" i="101"/>
  <c r="F34" i="101"/>
  <c r="G34" i="101" s="1"/>
  <c r="F20" i="101"/>
  <c r="G20" i="101" s="1"/>
  <c r="D44" i="101"/>
  <c r="F17" i="101"/>
  <c r="G17" i="101" s="1"/>
  <c r="F40" i="101"/>
  <c r="H40" i="101" s="1"/>
  <c r="F21" i="101"/>
  <c r="G21" i="101" s="1"/>
  <c r="F23" i="101"/>
  <c r="G23" i="101" s="1"/>
  <c r="F43" i="101"/>
  <c r="H43" i="101" s="1"/>
  <c r="F42" i="101"/>
  <c r="H42" i="101" s="1"/>
  <c r="F37" i="101"/>
  <c r="H37" i="101" s="1"/>
  <c r="F29" i="101"/>
  <c r="G29" i="101" s="1"/>
  <c r="F38" i="101"/>
  <c r="H38" i="101" s="1"/>
  <c r="F26" i="101"/>
  <c r="G26" i="101" s="1"/>
  <c r="F13" i="101"/>
  <c r="I13" i="101" s="1"/>
  <c r="F28" i="101"/>
  <c r="G28" i="101" s="1"/>
  <c r="F33" i="101"/>
  <c r="G33" i="101" s="1"/>
  <c r="F14" i="101"/>
  <c r="H14" i="101" s="1"/>
  <c r="F15" i="101"/>
  <c r="I15" i="101" s="1"/>
  <c r="E44" i="101"/>
  <c r="B16" i="17"/>
  <c r="F18" i="101"/>
  <c r="G18" i="101" s="1"/>
  <c r="C16" i="17"/>
  <c r="F16" i="101"/>
  <c r="I16" i="101" s="1"/>
  <c r="F22" i="101"/>
  <c r="G22" i="101" s="1"/>
  <c r="F32" i="101"/>
  <c r="G32" i="101" s="1"/>
  <c r="F30" i="101"/>
  <c r="H30" i="101" s="1"/>
  <c r="I35" i="101"/>
  <c r="F31" i="101"/>
  <c r="I31" i="101" s="1"/>
  <c r="I36" i="101"/>
  <c r="G15" i="94"/>
  <c r="D15" i="94"/>
  <c r="H15" i="94"/>
  <c r="E15" i="94"/>
  <c r="B15" i="94"/>
  <c r="F15" i="94"/>
  <c r="C15" i="94"/>
  <c r="I14" i="93"/>
  <c r="J10" i="93" s="1"/>
  <c r="H27" i="101" l="1"/>
  <c r="H18" i="101"/>
  <c r="I25" i="101"/>
  <c r="H25" i="101"/>
  <c r="I27" i="101"/>
  <c r="I30" i="101"/>
  <c r="G38" i="101"/>
  <c r="H24" i="101"/>
  <c r="G37" i="101"/>
  <c r="I24" i="101"/>
  <c r="I32" i="101"/>
  <c r="I17" i="101"/>
  <c r="I39" i="101"/>
  <c r="G41" i="101"/>
  <c r="I37" i="101"/>
  <c r="I41" i="101"/>
  <c r="I20" i="101"/>
  <c r="I42" i="101"/>
  <c r="H20" i="101"/>
  <c r="I28" i="101"/>
  <c r="G42" i="101"/>
  <c r="G30" i="101"/>
  <c r="I43" i="101"/>
  <c r="G14" i="101"/>
  <c r="H13" i="101"/>
  <c r="I14" i="101"/>
  <c r="G43" i="101"/>
  <c r="H26" i="101"/>
  <c r="H33" i="101"/>
  <c r="G39" i="101"/>
  <c r="H32" i="101"/>
  <c r="G13" i="101"/>
  <c r="G16" i="101"/>
  <c r="D16" i="17"/>
  <c r="G12" i="17" s="1"/>
  <c r="I23" i="101"/>
  <c r="H22" i="101"/>
  <c r="H15" i="101"/>
  <c r="I40" i="101"/>
  <c r="G40" i="101"/>
  <c r="G12" i="101"/>
  <c r="H28" i="101"/>
  <c r="H29" i="101"/>
  <c r="H31" i="101"/>
  <c r="G36" i="101"/>
  <c r="H34" i="101"/>
  <c r="H23" i="101"/>
  <c r="I22" i="101"/>
  <c r="I19" i="101"/>
  <c r="H17" i="101"/>
  <c r="I34" i="101"/>
  <c r="F44" i="101"/>
  <c r="H44" i="101" s="1"/>
  <c r="I38" i="101"/>
  <c r="I21" i="101"/>
  <c r="H16" i="101"/>
  <c r="H12" i="101"/>
  <c r="G35" i="101"/>
  <c r="G31" i="101"/>
  <c r="H21" i="101"/>
  <c r="G15" i="101"/>
  <c r="I18" i="101"/>
  <c r="H19" i="101"/>
  <c r="I29" i="101"/>
  <c r="I33" i="101"/>
  <c r="I26" i="101"/>
  <c r="H13" i="94"/>
  <c r="B13" i="94"/>
  <c r="J14" i="93"/>
  <c r="J13" i="93"/>
  <c r="J12" i="93"/>
  <c r="J11" i="93"/>
  <c r="C13" i="94"/>
  <c r="D13" i="94"/>
  <c r="E13" i="94"/>
  <c r="F13" i="94"/>
  <c r="G13" i="94"/>
  <c r="G44" i="101" l="1"/>
  <c r="I44" i="101"/>
  <c r="H11" i="94"/>
  <c r="C11" i="94"/>
  <c r="D11" i="94"/>
  <c r="E11" i="94"/>
  <c r="F11" i="94"/>
  <c r="G11" i="94"/>
  <c r="E62" i="28" l="1"/>
  <c r="D62" i="28"/>
  <c r="C62" i="28"/>
  <c r="E63" i="28"/>
  <c r="D63" i="28"/>
  <c r="C63" i="28"/>
  <c r="B63" i="28"/>
  <c r="D64" i="28"/>
  <c r="E64" i="28"/>
  <c r="C64" i="28"/>
  <c r="B64" i="28"/>
  <c r="B65" i="28"/>
  <c r="E65" i="28"/>
  <c r="D65" i="28"/>
  <c r="C65" i="28"/>
  <c r="B66" i="28"/>
  <c r="E66" i="28"/>
  <c r="D66" i="28"/>
  <c r="C66" i="28"/>
  <c r="C67" i="28"/>
  <c r="B67" i="28"/>
  <c r="D67" i="28"/>
  <c r="E67" i="28"/>
  <c r="C68" i="28"/>
  <c r="B68" i="28"/>
  <c r="E68" i="28"/>
  <c r="D68" i="28"/>
  <c r="N45" i="35"/>
  <c r="F43" i="35"/>
  <c r="L43" i="35" s="1"/>
  <c r="R33" i="34"/>
  <c r="S33" i="34" s="1"/>
  <c r="R41" i="34"/>
  <c r="S41" i="34" s="1"/>
  <c r="R14" i="34"/>
  <c r="S14" i="34" s="1"/>
  <c r="R27" i="34"/>
  <c r="S27" i="34" s="1"/>
  <c r="R18" i="34"/>
  <c r="S18" i="34" s="1"/>
  <c r="R10" i="34"/>
  <c r="S10" i="34" s="1"/>
  <c r="R22" i="34"/>
  <c r="S22" i="34" s="1"/>
  <c r="R13" i="34"/>
  <c r="S13" i="34" s="1"/>
  <c r="R12" i="34"/>
  <c r="S12" i="34" s="1"/>
  <c r="R20" i="34"/>
  <c r="S20" i="34" s="1"/>
  <c r="R28" i="34"/>
  <c r="S28" i="34" s="1"/>
  <c r="R36" i="34"/>
  <c r="S36" i="34" s="1"/>
  <c r="R11" i="34"/>
  <c r="S11" i="34" s="1"/>
  <c r="R19" i="34"/>
  <c r="S19" i="34" s="1"/>
  <c r="R35" i="34"/>
  <c r="S35" i="34" s="1"/>
  <c r="R26" i="34"/>
  <c r="S26" i="34" s="1"/>
  <c r="R34" i="34"/>
  <c r="S34" i="34" s="1"/>
  <c r="R17" i="34"/>
  <c r="S17" i="34" s="1"/>
  <c r="R25" i="34"/>
  <c r="S25" i="34" s="1"/>
  <c r="R16" i="34"/>
  <c r="S16" i="34" s="1"/>
  <c r="R24" i="34"/>
  <c r="S24" i="34" s="1"/>
  <c r="R32" i="34"/>
  <c r="S32" i="34" s="1"/>
  <c r="R40" i="34"/>
  <c r="S40" i="34" s="1"/>
  <c r="R15" i="34"/>
  <c r="S15" i="34" s="1"/>
  <c r="R23" i="34"/>
  <c r="S23" i="34" s="1"/>
  <c r="R31" i="34"/>
  <c r="S31" i="34" s="1"/>
  <c r="R39" i="34"/>
  <c r="S39" i="34" s="1"/>
  <c r="R30" i="34"/>
  <c r="S30" i="34" s="1"/>
  <c r="R38" i="34"/>
  <c r="S38" i="34" s="1"/>
  <c r="R21" i="34"/>
  <c r="S21" i="34" s="1"/>
  <c r="R29" i="34"/>
  <c r="S29" i="34" s="1"/>
  <c r="R37" i="34"/>
  <c r="S37" i="34" s="1"/>
  <c r="E12" i="31"/>
  <c r="C17" i="31"/>
  <c r="G43" i="32"/>
  <c r="F43" i="32"/>
  <c r="E33" i="31" l="1"/>
  <c r="E31" i="31"/>
  <c r="E29" i="31"/>
  <c r="E27" i="31"/>
  <c r="E25" i="31"/>
  <c r="E23" i="31"/>
  <c r="E21" i="31"/>
  <c r="E19" i="31"/>
  <c r="E17" i="31"/>
  <c r="E15" i="31"/>
  <c r="E13" i="31"/>
  <c r="C42" i="31"/>
  <c r="D42" i="31" s="1"/>
  <c r="C41" i="31"/>
  <c r="D41" i="31" s="1"/>
  <c r="C40" i="31"/>
  <c r="D40" i="31" s="1"/>
  <c r="C39" i="31"/>
  <c r="D39" i="31" s="1"/>
  <c r="C38" i="31"/>
  <c r="D38" i="31" s="1"/>
  <c r="C37" i="31"/>
  <c r="D37" i="31" s="1"/>
  <c r="C36" i="31"/>
  <c r="D36" i="31" s="1"/>
  <c r="C35" i="31"/>
  <c r="D35" i="31" s="1"/>
  <c r="C34" i="31"/>
  <c r="D34" i="31" s="1"/>
  <c r="C33" i="31"/>
  <c r="D33" i="31" s="1"/>
  <c r="C32" i="31"/>
  <c r="D32" i="31" s="1"/>
  <c r="C31" i="31"/>
  <c r="D31" i="31" s="1"/>
  <c r="C30" i="31"/>
  <c r="D30" i="31" s="1"/>
  <c r="C29" i="31"/>
  <c r="D29" i="31" s="1"/>
  <c r="C28" i="31"/>
  <c r="D28" i="31" s="1"/>
  <c r="C27" i="31"/>
  <c r="D27" i="31" s="1"/>
  <c r="C26" i="31"/>
  <c r="D26" i="31" s="1"/>
  <c r="C25" i="31"/>
  <c r="D25" i="31" s="1"/>
  <c r="C24" i="31"/>
  <c r="D24" i="31" s="1"/>
  <c r="C23" i="31"/>
  <c r="D23" i="31" s="1"/>
  <c r="C22" i="31"/>
  <c r="D22" i="31" s="1"/>
  <c r="C21" i="31"/>
  <c r="D21" i="31" s="1"/>
  <c r="C20" i="31"/>
  <c r="D20" i="31" s="1"/>
  <c r="C19" i="31"/>
  <c r="D19" i="31" s="1"/>
  <c r="C18" i="31"/>
  <c r="D18" i="31" s="1"/>
  <c r="D17" i="31"/>
  <c r="C16" i="31"/>
  <c r="D16" i="31" s="1"/>
  <c r="C15" i="31"/>
  <c r="D15" i="31" s="1"/>
  <c r="C14" i="31"/>
  <c r="D14" i="31" s="1"/>
  <c r="C13" i="31"/>
  <c r="D13" i="31" s="1"/>
  <c r="C12" i="31"/>
  <c r="D12" i="31" s="1"/>
  <c r="G42" i="30"/>
  <c r="D42" i="30"/>
  <c r="F42" i="30"/>
  <c r="H42" i="30"/>
  <c r="E11" i="31"/>
  <c r="F11" i="31"/>
  <c r="E40" i="31"/>
  <c r="E34" i="31"/>
  <c r="E42" i="31"/>
  <c r="E38" i="31"/>
  <c r="E36" i="31"/>
  <c r="E32" i="31"/>
  <c r="E30" i="31"/>
  <c r="E28" i="31"/>
  <c r="E26" i="31"/>
  <c r="E24" i="31"/>
  <c r="E22" i="31"/>
  <c r="E20" i="31"/>
  <c r="E18" i="31"/>
  <c r="E16" i="31"/>
  <c r="E14" i="31"/>
  <c r="E41" i="31"/>
  <c r="F41" i="31"/>
  <c r="E39" i="31"/>
  <c r="F39" i="31"/>
  <c r="E37" i="31"/>
  <c r="F37" i="31"/>
  <c r="E35" i="31"/>
  <c r="F35" i="31"/>
  <c r="F33" i="31"/>
  <c r="F31" i="31"/>
  <c r="F29" i="31"/>
  <c r="F27" i="31"/>
  <c r="F25" i="31"/>
  <c r="F23" i="31"/>
  <c r="F21" i="31"/>
  <c r="F19" i="31"/>
  <c r="F17" i="31"/>
  <c r="F15" i="31"/>
  <c r="F13" i="31"/>
  <c r="D11" i="31"/>
  <c r="F42" i="31"/>
  <c r="F40" i="31"/>
  <c r="F38" i="31"/>
  <c r="F36" i="31"/>
  <c r="F34" i="31"/>
  <c r="F32" i="31"/>
  <c r="F30" i="31"/>
  <c r="F28" i="31"/>
  <c r="F26" i="31"/>
  <c r="F24" i="31"/>
  <c r="F22" i="31"/>
  <c r="F20" i="31"/>
  <c r="F18" i="31"/>
  <c r="F16" i="31"/>
  <c r="F14" i="31"/>
  <c r="F12" i="31"/>
  <c r="E43" i="31" l="1"/>
  <c r="F43" i="31"/>
  <c r="C43" i="31"/>
  <c r="D43" i="31" s="1"/>
  <c r="D37" i="89"/>
  <c r="C37" i="89"/>
  <c r="B37" i="89"/>
  <c r="E37" i="89"/>
  <c r="D25" i="89"/>
  <c r="B25" i="89"/>
  <c r="F25" i="89"/>
  <c r="E25" i="89"/>
  <c r="C25" i="89"/>
  <c r="H37" i="89" l="1"/>
  <c r="E39" i="18"/>
  <c r="F30" i="18"/>
  <c r="F39" i="18"/>
  <c r="E40" i="89"/>
  <c r="D40" i="89"/>
  <c r="C40" i="89"/>
  <c r="B40" i="89"/>
  <c r="E43" i="89"/>
  <c r="D43" i="89"/>
  <c r="C43" i="89"/>
  <c r="B43" i="89"/>
  <c r="C50" i="89"/>
  <c r="B50" i="89"/>
  <c r="E50" i="89"/>
  <c r="D50" i="89"/>
  <c r="E44" i="89"/>
  <c r="C44" i="89"/>
  <c r="B44" i="89"/>
  <c r="D44" i="89"/>
  <c r="E39" i="89"/>
  <c r="D39" i="89"/>
  <c r="C39" i="89"/>
  <c r="B39" i="89"/>
  <c r="B46" i="89"/>
  <c r="E46" i="89"/>
  <c r="C46" i="89"/>
  <c r="D46" i="89"/>
  <c r="C49" i="89"/>
  <c r="B49" i="89"/>
  <c r="E49" i="89"/>
  <c r="D49" i="89"/>
  <c r="D36" i="89"/>
  <c r="C36" i="89"/>
  <c r="B36" i="89"/>
  <c r="E36" i="89"/>
  <c r="F36" i="89"/>
  <c r="B47" i="89"/>
  <c r="C47" i="89"/>
  <c r="E47" i="89"/>
  <c r="D47" i="89"/>
  <c r="D38" i="89"/>
  <c r="C38" i="89"/>
  <c r="E38" i="89"/>
  <c r="B38" i="89"/>
  <c r="B48" i="89"/>
  <c r="D48" i="89"/>
  <c r="E48" i="89"/>
  <c r="C48" i="89"/>
  <c r="E41" i="89"/>
  <c r="D41" i="89"/>
  <c r="C41" i="89"/>
  <c r="B41" i="89"/>
  <c r="E42" i="89"/>
  <c r="D42" i="89"/>
  <c r="B42" i="89"/>
  <c r="C42" i="89"/>
  <c r="E45" i="89"/>
  <c r="B45" i="89"/>
  <c r="D45" i="89"/>
  <c r="C45" i="89"/>
  <c r="H25" i="23"/>
  <c r="H19" i="23"/>
  <c r="H24" i="23"/>
  <c r="H14" i="23"/>
  <c r="H38" i="23"/>
  <c r="H37" i="23"/>
  <c r="H29" i="23"/>
  <c r="H32" i="23"/>
  <c r="H35" i="23"/>
  <c r="H41" i="23"/>
  <c r="H42" i="23"/>
  <c r="H12" i="23"/>
  <c r="H18" i="23"/>
  <c r="H17" i="23"/>
  <c r="H31" i="23"/>
  <c r="H34" i="23"/>
  <c r="H28" i="23"/>
  <c r="H39" i="23"/>
  <c r="H30" i="23"/>
  <c r="H33" i="23"/>
  <c r="H26" i="23"/>
  <c r="H40" i="23"/>
  <c r="H21" i="23"/>
  <c r="H20" i="23"/>
  <c r="H16" i="23"/>
  <c r="H43" i="23"/>
  <c r="H22" i="23"/>
  <c r="H13" i="23"/>
  <c r="H15" i="23"/>
  <c r="H36" i="23"/>
  <c r="H27" i="23"/>
  <c r="H23" i="23"/>
  <c r="D30" i="16"/>
  <c r="F43" i="9"/>
  <c r="F42" i="9"/>
  <c r="F42" i="11"/>
  <c r="H25" i="89"/>
  <c r="H43" i="89" l="1"/>
  <c r="H41" i="89"/>
  <c r="H38" i="89"/>
  <c r="H48" i="89"/>
  <c r="H47" i="89"/>
  <c r="H49" i="89"/>
  <c r="H50" i="89"/>
  <c r="H45" i="89"/>
  <c r="H44" i="89"/>
  <c r="B51" i="89"/>
  <c r="G51" i="89"/>
  <c r="H46" i="89"/>
  <c r="F51" i="89"/>
  <c r="H36" i="89"/>
  <c r="H42" i="89"/>
  <c r="H39" i="89"/>
  <c r="H40" i="89"/>
  <c r="D51" i="89"/>
  <c r="E51" i="89"/>
  <c r="C51" i="89"/>
  <c r="H51" i="89" l="1"/>
  <c r="C54" i="35"/>
  <c r="F44" i="35" l="1"/>
  <c r="L44" i="35" s="1"/>
  <c r="G44" i="35"/>
  <c r="F46" i="35"/>
  <c r="L46" i="35" s="1"/>
  <c r="G46" i="35"/>
  <c r="G48" i="35"/>
  <c r="F50" i="35"/>
  <c r="L50" i="35" s="1"/>
  <c r="G50" i="35"/>
  <c r="G52" i="35"/>
  <c r="G40" i="35"/>
  <c r="F40" i="35"/>
  <c r="L40" i="35" s="1"/>
  <c r="G42" i="35"/>
  <c r="F48" i="35"/>
  <c r="L48" i="35" s="1"/>
  <c r="F39" i="35"/>
  <c r="L39" i="35" s="1"/>
  <c r="G39" i="35" l="1"/>
  <c r="F53" i="35"/>
  <c r="L53" i="35" s="1"/>
  <c r="F52" i="35"/>
  <c r="L52" i="35" s="1"/>
  <c r="F51" i="35"/>
  <c r="L51" i="35" s="1"/>
  <c r="F49" i="35"/>
  <c r="L49" i="35" s="1"/>
  <c r="F47" i="35"/>
  <c r="L47" i="35" s="1"/>
  <c r="F45" i="35"/>
  <c r="L45" i="35" s="1"/>
  <c r="F42" i="35"/>
  <c r="L42" i="35" s="1"/>
  <c r="F41" i="35"/>
  <c r="L41" i="35" s="1"/>
  <c r="G53" i="35"/>
  <c r="G51" i="35"/>
  <c r="G49" i="35"/>
  <c r="G47" i="35"/>
  <c r="G45" i="35"/>
  <c r="G43" i="35"/>
  <c r="G41" i="35"/>
  <c r="F54" i="35" l="1"/>
  <c r="G54" i="35"/>
  <c r="R42" i="34"/>
  <c r="S42" i="34" l="1"/>
  <c r="G11" i="40" l="1"/>
  <c r="E9" i="13"/>
  <c r="E21" i="16"/>
  <c r="F30" i="16"/>
  <c r="C36" i="16"/>
  <c r="E35" i="16"/>
  <c r="E31" i="18"/>
  <c r="E30" i="16"/>
  <c r="B36" i="16"/>
  <c r="F31" i="18"/>
  <c r="F35" i="18"/>
  <c r="E30" i="18"/>
  <c r="C9" i="13"/>
  <c r="D9" i="13"/>
  <c r="F9" i="13"/>
  <c r="C44" i="23" l="1"/>
  <c r="J48" i="8"/>
  <c r="I44" i="8"/>
  <c r="J72" i="8"/>
  <c r="G44" i="23"/>
  <c r="F44" i="23"/>
  <c r="D44" i="23"/>
  <c r="E44" i="23"/>
  <c r="H44" i="23" l="1"/>
  <c r="D40" i="76" l="1"/>
  <c r="B40" i="76"/>
  <c r="C24" i="76"/>
  <c r="D24" i="76" l="1"/>
  <c r="F40" i="76"/>
  <c r="G40" i="76"/>
  <c r="F24" i="76"/>
  <c r="G24" i="76"/>
  <c r="E40" i="76"/>
  <c r="E24" i="76"/>
  <c r="C40" i="76"/>
  <c r="F23" i="9"/>
  <c r="F21" i="9"/>
  <c r="I12" i="10" l="1"/>
  <c r="G10" i="3"/>
  <c r="G11" i="3"/>
  <c r="G12" i="3"/>
  <c r="G13" i="3"/>
  <c r="A30" i="22"/>
  <c r="J35" i="12" l="1"/>
  <c r="J36" i="12"/>
  <c r="J33" i="12"/>
  <c r="J69" i="12"/>
  <c r="J16" i="12"/>
  <c r="J41" i="12"/>
  <c r="J23" i="12"/>
  <c r="J29" i="12"/>
  <c r="J24" i="12"/>
  <c r="J40" i="12"/>
  <c r="J14" i="12"/>
  <c r="J68" i="12"/>
  <c r="J43" i="12"/>
  <c r="J37" i="12"/>
  <c r="J32" i="12"/>
  <c r="J18" i="12"/>
  <c r="J31" i="12"/>
  <c r="J27" i="12"/>
  <c r="J26" i="12"/>
  <c r="J67" i="12"/>
  <c r="J22" i="12"/>
  <c r="J15" i="12"/>
  <c r="J19" i="12"/>
  <c r="J25" i="12"/>
  <c r="J21" i="12"/>
  <c r="J20" i="12"/>
  <c r="J30" i="12"/>
  <c r="J13" i="12"/>
  <c r="J34" i="12"/>
  <c r="J42" i="12"/>
  <c r="J39" i="12"/>
  <c r="J12" i="12"/>
  <c r="J38" i="12"/>
  <c r="J28" i="12"/>
  <c r="J17" i="12"/>
  <c r="C30" i="22"/>
  <c r="J70" i="12" l="1"/>
  <c r="E30" i="22"/>
  <c r="B30" i="22"/>
  <c r="D30" i="22"/>
  <c r="F30" i="22" l="1"/>
  <c r="H42" i="25" l="1"/>
  <c r="G42" i="25"/>
  <c r="F42" i="25"/>
  <c r="E42" i="25"/>
  <c r="D42" i="25"/>
  <c r="C42" i="25"/>
  <c r="I42" i="25" l="1"/>
  <c r="A29" i="22" l="1"/>
  <c r="A28" i="22"/>
  <c r="E10" i="16" l="1"/>
  <c r="D14" i="3"/>
  <c r="C44" i="36"/>
  <c r="N53" i="35" l="1"/>
  <c r="N51" i="35"/>
  <c r="N49" i="35"/>
  <c r="N47" i="35"/>
  <c r="N43" i="35"/>
  <c r="N41" i="35"/>
  <c r="M39" i="35"/>
  <c r="M53" i="35"/>
  <c r="M52" i="35"/>
  <c r="M51" i="35"/>
  <c r="M50" i="35"/>
  <c r="M49" i="35"/>
  <c r="M48" i="35"/>
  <c r="M47" i="35"/>
  <c r="M46" i="35"/>
  <c r="M45" i="35"/>
  <c r="M44" i="35"/>
  <c r="M43" i="35"/>
  <c r="M42" i="35"/>
  <c r="M41" i="35"/>
  <c r="M40" i="35"/>
  <c r="J44" i="36"/>
  <c r="P42" i="34"/>
  <c r="N50" i="35"/>
  <c r="N42" i="35"/>
  <c r="I44" i="36"/>
  <c r="N48" i="35"/>
  <c r="N44" i="35"/>
  <c r="N40" i="35"/>
  <c r="Q42" i="34"/>
  <c r="N39" i="35"/>
  <c r="D44" i="36"/>
  <c r="N44" i="36" s="1"/>
  <c r="K44" i="36"/>
  <c r="L44" i="36"/>
  <c r="G44" i="36" l="1"/>
  <c r="M44" i="36" s="1"/>
  <c r="H44" i="36"/>
  <c r="G14" i="40" l="1"/>
  <c r="G18" i="40"/>
  <c r="C19" i="40"/>
  <c r="F19" i="40"/>
  <c r="F39" i="40" s="1"/>
  <c r="B19" i="40"/>
  <c r="G15" i="40"/>
  <c r="G13" i="40"/>
  <c r="E19" i="40"/>
  <c r="G12" i="40"/>
  <c r="G16" i="40"/>
  <c r="G17" i="40"/>
  <c r="C32" i="40" l="1"/>
  <c r="C34" i="40"/>
  <c r="B35" i="40"/>
  <c r="B32" i="40"/>
  <c r="F38" i="40"/>
  <c r="C36" i="40"/>
  <c r="C35" i="40"/>
  <c r="C40" i="40"/>
  <c r="B38" i="40"/>
  <c r="B33" i="40"/>
  <c r="B39" i="40"/>
  <c r="B34" i="40"/>
  <c r="B36" i="40"/>
  <c r="F32" i="40"/>
  <c r="C39" i="40"/>
  <c r="C37" i="40"/>
  <c r="C33" i="40"/>
  <c r="B40" i="40"/>
  <c r="C38" i="40"/>
  <c r="B37" i="40"/>
  <c r="F36" i="40"/>
  <c r="F33" i="40"/>
  <c r="F40" i="40"/>
  <c r="F37" i="40"/>
  <c r="F34" i="40"/>
  <c r="F35" i="40"/>
  <c r="E34" i="40"/>
  <c r="E39" i="40"/>
  <c r="E35" i="40"/>
  <c r="E40" i="40"/>
  <c r="E37" i="40"/>
  <c r="E32" i="40"/>
  <c r="E36" i="40"/>
  <c r="E38" i="40"/>
  <c r="G19" i="40"/>
  <c r="E33" i="40"/>
  <c r="A25" i="22"/>
  <c r="A26" i="22"/>
  <c r="A27" i="22"/>
  <c r="A24" i="22"/>
  <c r="G35" i="40" l="1"/>
  <c r="G33" i="40"/>
  <c r="C41" i="40"/>
  <c r="G37" i="40"/>
  <c r="B41" i="40"/>
  <c r="F41" i="40"/>
  <c r="G34" i="40"/>
  <c r="G39" i="40"/>
  <c r="E41" i="40"/>
  <c r="G36" i="40"/>
  <c r="G32" i="40"/>
  <c r="G40" i="40"/>
  <c r="G38" i="40"/>
  <c r="B24" i="22"/>
  <c r="C25" i="22"/>
  <c r="D26" i="22"/>
  <c r="D29" i="22" l="1"/>
  <c r="C29" i="22"/>
  <c r="E29" i="22"/>
  <c r="B29" i="22"/>
  <c r="D28" i="22"/>
  <c r="C28" i="22"/>
  <c r="E28" i="22"/>
  <c r="B28" i="22"/>
  <c r="E27" i="22"/>
  <c r="C27" i="22"/>
  <c r="B27" i="22"/>
  <c r="G41" i="40"/>
  <c r="E26" i="22"/>
  <c r="B26" i="22"/>
  <c r="C24" i="22"/>
  <c r="D25" i="22"/>
  <c r="E24" i="22"/>
  <c r="C26" i="22"/>
  <c r="D24" i="22"/>
  <c r="D27" i="22"/>
  <c r="E25" i="22"/>
  <c r="B25" i="22"/>
  <c r="F28" i="22" l="1"/>
  <c r="F29" i="22"/>
  <c r="F27" i="22"/>
  <c r="F26" i="22"/>
  <c r="F24" i="22"/>
  <c r="D10" i="16" l="1"/>
  <c r="D51" i="16"/>
  <c r="F41" i="9"/>
  <c r="F37" i="9"/>
  <c r="F33" i="9"/>
  <c r="F29" i="9"/>
  <c r="F25" i="9"/>
  <c r="F19" i="9"/>
  <c r="F15" i="9"/>
  <c r="F10" i="18"/>
  <c r="E43" i="18"/>
  <c r="F38" i="9"/>
  <c r="F34" i="9"/>
  <c r="F31" i="9"/>
  <c r="F30" i="9"/>
  <c r="F27" i="9"/>
  <c r="F26" i="9"/>
  <c r="F22" i="9"/>
  <c r="F20" i="9"/>
  <c r="F17" i="9"/>
  <c r="F16" i="9"/>
  <c r="F13" i="9"/>
  <c r="J51" i="8"/>
  <c r="J58" i="8"/>
  <c r="J50" i="8"/>
  <c r="J67" i="8"/>
  <c r="D20" i="16"/>
  <c r="J59" i="8"/>
  <c r="F12" i="9"/>
  <c r="J54" i="8"/>
  <c r="J63" i="8"/>
  <c r="J55" i="8"/>
  <c r="B46" i="16"/>
  <c r="D46" i="16" s="1"/>
  <c r="D50" i="16"/>
  <c r="C52" i="16"/>
  <c r="J61" i="8"/>
  <c r="J53" i="8"/>
  <c r="J49" i="8"/>
  <c r="G44" i="8"/>
  <c r="J47" i="8"/>
  <c r="J60" i="8"/>
  <c r="J56" i="8"/>
  <c r="J52" i="8"/>
  <c r="D15" i="17"/>
  <c r="E15" i="17" s="1"/>
  <c r="E40" i="18"/>
  <c r="J68" i="8"/>
  <c r="F39" i="9"/>
  <c r="F35" i="9"/>
  <c r="F40" i="9"/>
  <c r="F36" i="9"/>
  <c r="F32" i="9"/>
  <c r="F28" i="9"/>
  <c r="F24" i="9"/>
  <c r="F18" i="9"/>
  <c r="F14" i="9"/>
  <c r="B23" i="16"/>
  <c r="F14" i="18"/>
  <c r="F43" i="18"/>
  <c r="F41" i="18"/>
  <c r="F12" i="18"/>
  <c r="E16" i="18"/>
  <c r="E13" i="18"/>
  <c r="E33" i="18"/>
  <c r="E34" i="18"/>
  <c r="F20" i="18"/>
  <c r="F16" i="18"/>
  <c r="F15" i="18"/>
  <c r="E42" i="18"/>
  <c r="F45" i="18"/>
  <c r="E44" i="18"/>
  <c r="F44" i="18"/>
  <c r="F42" i="18"/>
  <c r="E35" i="18"/>
  <c r="F34" i="18"/>
  <c r="F33" i="18"/>
  <c r="F22" i="18"/>
  <c r="D34" i="16"/>
  <c r="F10" i="16"/>
  <c r="B17" i="16"/>
  <c r="B52" i="16"/>
  <c r="C23" i="16"/>
  <c r="C17" i="16"/>
  <c r="D12" i="16"/>
  <c r="D49" i="16"/>
  <c r="E14" i="18"/>
  <c r="E10" i="18"/>
  <c r="F13" i="18"/>
  <c r="E12" i="18"/>
  <c r="E20" i="18"/>
  <c r="E22" i="18"/>
  <c r="E41" i="18"/>
  <c r="E45" i="18"/>
  <c r="E11" i="18"/>
  <c r="E15" i="18"/>
  <c r="E21" i="18"/>
  <c r="E32" i="18"/>
  <c r="F11" i="18"/>
  <c r="F32" i="18"/>
  <c r="F40" i="18"/>
  <c r="B54" i="16" l="1"/>
  <c r="B56" i="16" s="1"/>
  <c r="C54" i="16"/>
  <c r="C56" i="16" s="1"/>
  <c r="J44" i="8"/>
  <c r="D17" i="16"/>
  <c r="D52" i="16"/>
  <c r="D23" i="16"/>
  <c r="D36" i="16"/>
  <c r="F15" i="17"/>
  <c r="E36" i="18"/>
  <c r="F17" i="18"/>
  <c r="F46" i="18"/>
  <c r="F36" i="18"/>
  <c r="E17" i="18"/>
  <c r="E23" i="18"/>
  <c r="F23" i="18"/>
  <c r="E46" i="18"/>
  <c r="D54" i="16" l="1"/>
  <c r="B14" i="3"/>
  <c r="F44" i="36" l="1"/>
  <c r="O44" i="36" s="1"/>
  <c r="E44" i="36"/>
  <c r="K54" i="35"/>
  <c r="J54" i="35"/>
  <c r="I54" i="35"/>
  <c r="H54" i="35"/>
  <c r="E54" i="35"/>
  <c r="D54" i="35"/>
  <c r="B54" i="35"/>
  <c r="O42" i="34"/>
  <c r="N42" i="34"/>
  <c r="M42" i="34"/>
  <c r="L42" i="34"/>
  <c r="K42" i="34"/>
  <c r="J42" i="34"/>
  <c r="I42" i="34"/>
  <c r="H42" i="34"/>
  <c r="G42" i="34"/>
  <c r="F42" i="34"/>
  <c r="E42" i="34"/>
  <c r="D42" i="34"/>
  <c r="O54" i="35" l="1"/>
  <c r="P54" i="35"/>
  <c r="M54" i="35"/>
  <c r="L54" i="35"/>
  <c r="N54" i="35"/>
  <c r="E52" i="16" l="1"/>
  <c r="F51" i="16"/>
  <c r="E51" i="16"/>
  <c r="F50" i="16"/>
  <c r="E50" i="16"/>
  <c r="F49" i="16"/>
  <c r="E49" i="16"/>
  <c r="F45" i="16"/>
  <c r="E45" i="16"/>
  <c r="D45" i="16"/>
  <c r="F44" i="16"/>
  <c r="E44" i="16"/>
  <c r="D44" i="16"/>
  <c r="F43" i="16"/>
  <c r="E43" i="16"/>
  <c r="D43" i="16"/>
  <c r="F42" i="16"/>
  <c r="E42" i="16"/>
  <c r="F41" i="16"/>
  <c r="E41" i="16"/>
  <c r="D41" i="16"/>
  <c r="F40" i="16"/>
  <c r="E40" i="16"/>
  <c r="D40" i="16"/>
  <c r="F39" i="16"/>
  <c r="E39" i="16"/>
  <c r="D39" i="16"/>
  <c r="F35" i="16"/>
  <c r="D35" i="16"/>
  <c r="F34" i="16"/>
  <c r="E34" i="16"/>
  <c r="F33" i="16"/>
  <c r="E33" i="16"/>
  <c r="D33" i="16"/>
  <c r="F32" i="16"/>
  <c r="E32" i="16"/>
  <c r="D32" i="16"/>
  <c r="F31" i="16"/>
  <c r="E31" i="16"/>
  <c r="D31" i="16"/>
  <c r="F22" i="16"/>
  <c r="E22" i="16"/>
  <c r="F21" i="16"/>
  <c r="D21" i="16"/>
  <c r="F20" i="16"/>
  <c r="E20" i="16"/>
  <c r="F16" i="16"/>
  <c r="E16" i="16"/>
  <c r="D16" i="16"/>
  <c r="F15" i="16"/>
  <c r="E15" i="16"/>
  <c r="D15" i="16"/>
  <c r="F14" i="16"/>
  <c r="E14" i="16"/>
  <c r="D14" i="16"/>
  <c r="F13" i="16"/>
  <c r="E13" i="16"/>
  <c r="D13" i="16"/>
  <c r="F12" i="16"/>
  <c r="E12" i="16"/>
  <c r="F11" i="16"/>
  <c r="E11" i="16"/>
  <c r="D11" i="16"/>
  <c r="C70" i="12"/>
  <c r="F44" i="12"/>
  <c r="F9" i="12" s="1"/>
  <c r="E44" i="12"/>
  <c r="E9" i="12" s="1"/>
  <c r="D44" i="12"/>
  <c r="D9" i="12" s="1"/>
  <c r="C44" i="12"/>
  <c r="E44" i="11"/>
  <c r="E9" i="11" s="1"/>
  <c r="D44" i="11"/>
  <c r="D9" i="11" s="1"/>
  <c r="C44" i="11"/>
  <c r="C9" i="11" s="1"/>
  <c r="F43"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J24" i="10"/>
  <c r="E44" i="9"/>
  <c r="E9" i="9" s="1"/>
  <c r="D44" i="9"/>
  <c r="D9" i="9" s="1"/>
  <c r="C44" i="9"/>
  <c r="C9" i="9" s="1"/>
  <c r="I70" i="8"/>
  <c r="H70" i="8"/>
  <c r="G70" i="8"/>
  <c r="F70" i="8"/>
  <c r="E70" i="8"/>
  <c r="D70" i="8"/>
  <c r="C70" i="8"/>
  <c r="J69" i="8"/>
  <c r="H44" i="8"/>
  <c r="F44" i="8"/>
  <c r="E44" i="8"/>
  <c r="D44" i="8"/>
  <c r="C44" i="8"/>
  <c r="E70" i="7"/>
  <c r="D70" i="7"/>
  <c r="C70" i="7"/>
  <c r="D64" i="7"/>
  <c r="E14" i="3"/>
  <c r="F14" i="3"/>
  <c r="H9" i="12" l="1"/>
  <c r="I9" i="12"/>
  <c r="C9" i="12"/>
  <c r="F44" i="11"/>
  <c r="F9" i="11" s="1"/>
  <c r="D9" i="7"/>
  <c r="F25" i="22"/>
  <c r="E13" i="17"/>
  <c r="F13" i="17"/>
  <c r="H12" i="3"/>
  <c r="F44" i="9"/>
  <c r="F9" i="9" s="1"/>
  <c r="E17" i="16"/>
  <c r="F52" i="16"/>
  <c r="F46" i="16"/>
  <c r="F36" i="16"/>
  <c r="E23" i="16"/>
  <c r="C14" i="3"/>
  <c r="J70" i="8"/>
  <c r="E46" i="16"/>
  <c r="E36" i="16"/>
  <c r="F23" i="16"/>
  <c r="D11" i="17"/>
  <c r="D14" i="17"/>
  <c r="D10" i="17"/>
  <c r="F17" i="16"/>
  <c r="H13" i="3"/>
  <c r="H10" i="3"/>
  <c r="H11" i="3"/>
  <c r="G9" i="12" l="1"/>
  <c r="J9" i="12" s="1"/>
  <c r="J62" i="12"/>
  <c r="J64" i="12" s="1"/>
  <c r="C45" i="19"/>
  <c r="E45" i="19"/>
  <c r="F45" i="19"/>
  <c r="B45" i="19"/>
  <c r="G11" i="17"/>
  <c r="E11" i="17"/>
  <c r="F11" i="17"/>
  <c r="G16" i="17"/>
  <c r="G15" i="17"/>
  <c r="G14" i="17"/>
  <c r="F14" i="17"/>
  <c r="E14" i="17"/>
  <c r="G13" i="17"/>
  <c r="G10" i="17"/>
  <c r="F10" i="17"/>
  <c r="E10" i="17"/>
  <c r="G14" i="3"/>
  <c r="E54" i="16"/>
  <c r="F16" i="17"/>
  <c r="E16" i="17"/>
  <c r="F56" i="16"/>
  <c r="F54" i="16"/>
  <c r="H14" i="3"/>
  <c r="J14" i="3" s="1"/>
  <c r="I14" i="3" l="1"/>
  <c r="I10" i="3"/>
  <c r="I13" i="3"/>
  <c r="I12" i="3"/>
  <c r="I11" i="3"/>
  <c r="J12" i="3"/>
  <c r="J11" i="3"/>
  <c r="J13" i="3"/>
  <c r="J10" i="3"/>
  <c r="E56" i="16"/>
  <c r="D56" i="16"/>
  <c r="A33" i="7" l="1"/>
  <c r="A26" i="7"/>
  <c r="B62" i="7"/>
  <c r="A62" i="7"/>
  <c r="A60" i="7"/>
  <c r="A58" i="7"/>
  <c r="A26" i="9" l="1"/>
  <c r="A33" i="9"/>
  <c r="E64" i="7"/>
  <c r="E9" i="7" s="1"/>
  <c r="J57" i="7" l="1"/>
  <c r="I62" i="7"/>
  <c r="C9" i="7"/>
  <c r="J62" i="7" l="1"/>
  <c r="J64" i="7" s="1"/>
  <c r="J9" i="7" s="1"/>
  <c r="I64" i="7"/>
  <c r="I9" i="7" s="1"/>
  <c r="A26" i="101" l="1"/>
  <c r="A33" i="101"/>
  <c r="A33" i="8" l="1"/>
  <c r="A26" i="8"/>
  <c r="A57" i="8"/>
  <c r="A62" i="8"/>
  <c r="A60" i="8"/>
  <c r="A58" i="8"/>
  <c r="B57" i="8"/>
  <c r="B62" i="8"/>
  <c r="F64" i="8" l="1"/>
  <c r="F9" i="8" s="1"/>
  <c r="D64" i="8"/>
  <c r="D9" i="8" s="1"/>
  <c r="I64" i="8"/>
  <c r="I9" i="8" s="1"/>
  <c r="E64" i="8"/>
  <c r="E9" i="8" s="1"/>
  <c r="J62" i="8"/>
  <c r="G64" i="8"/>
  <c r="G9" i="8" s="1"/>
  <c r="H64" i="8"/>
  <c r="H9" i="8" s="1"/>
  <c r="C64" i="8"/>
  <c r="C9" i="8" s="1"/>
  <c r="J57" i="8"/>
  <c r="J64" i="8" l="1"/>
  <c r="J9" i="8" s="1"/>
</calcChain>
</file>

<file path=xl/connections.xml><?xml version="1.0" encoding="utf-8"?>
<connections xmlns="http://schemas.openxmlformats.org/spreadsheetml/2006/main">
  <connection id="1" keepAlive="1" name="Query - cset DistinctAlarms" type="5" refreshedVersion="6" deleted="1" background="1" saveData="1">
    <dbPr connection="" command=""/>
  </connection>
  <connection id="2" keepAlive="1" name="Query - cset DistinctAlarms_percent" type="5" refreshedVersion="6" deleted="1" background="1" saveData="1">
    <dbPr connection="" command=""/>
  </connection>
  <connection id="3" keepAlive="1" name="Query - cset DistinctProperties" type="5" refreshedVersion="6" deleted="1" background="1" saveData="1">
    <dbPr connection="" command=""/>
  </connection>
  <connection id="4" keepAlive="1" name="Query - cset DistinctVisits_percent" type="5" refreshedVersion="6" deleted="1" background="1" saveData="1">
    <dbPr connection="" command=""/>
  </connection>
  <connection id="5" keepAlive="1" name="Query - cset HFSV_Rate_LA" type="5" refreshedVersion="6" deleted="1" background="1" saveData="1">
    <dbPr connection="" command=""/>
  </connection>
  <connection id="6" keepAlive="1" name="Query - cset HFSV_Tenure_Outcome" type="5" refreshedVersion="6" deleted="1" background="1" saveData="1">
    <dbPr connection="" command=""/>
  </connection>
  <connection id="7" keepAlive="1" name="Query - cset Percent_Age_Profile" type="5" refreshedVersion="6" deleted="1" background="1" saveData="1">
    <dbPr connection="" command=""/>
  </connection>
  <connection id="8" keepAlive="1" name="Query - cset SIMD_Alarms_OccupiedDwellings" type="5" refreshedVersion="6" deleted="1" background="1" saveData="1">
    <dbPr connection="" command=""/>
  </connection>
  <connection id="9" keepAlive="1" name="Query - cset SIMD_Visits_OccupiedDwellings (2)" type="5" refreshedVersion="6" deleted="1" background="1" saveData="1">
    <dbPr connection="" command=""/>
  </connection>
  <connection id="10" keepAlive="1" name="Query - cset UrbanRural (2)" type="5" refreshedVersion="6" deleted="1" background="1" saveData="1">
    <dbPr connection="" command=""/>
  </connection>
  <connection id="11" keepAlive="1" name="Query - cset UrbanRural_OccupiedDwellings (2)" type="5" refreshedVersion="6" deleted="1" background="1" saveData="1">
    <dbPr connection="" command=""/>
  </connection>
  <connection id="12" keepAlive="1" name="Query - fleet LocalAuthority" type="5" refreshedVersion="6" deleted="1" background="1" saveData="1">
    <dbPr connection="" command=""/>
  </connection>
  <connection id="13" keepAlive="1" name="Query - fleet National" type="5" refreshedVersion="6" deleted="1" background="1" saveData="1">
    <dbPr connection="" command=""/>
  </connection>
  <connection id="14" keepAlive="1" name="Query - hrod HR_Age (2)" type="5" refreshedVersion="6" deleted="1" background="1" saveData="1">
    <dbPr connection="" command=""/>
  </connection>
  <connection id="15" keepAlive="1" name="Query - hrod HR_CS_FTE_RoleArea_Control" type="5" refreshedVersion="6" deleted="1" background="1" saveData="1">
    <dbPr connection="" command=""/>
  </connection>
  <connection id="16" keepAlive="1" name="Query - hrod HR_CS_FTE_RoleArea_Support" type="5" refreshedVersion="6" deleted="1" background="1" saveData="1">
    <dbPr connection="" command=""/>
  </connection>
  <connection id="17" keepAlive="1" name="Query - hrod HR_CS_RoleArea" type="5" refreshedVersion="6" deleted="1" background="1" saveData="1">
    <dbPr connection="" command=""/>
  </connection>
  <connection id="18" keepAlive="1" name="Query - hrod HR_CS_RoleArea_Support" type="5" refreshedVersion="6" deleted="1" background="1" saveData="1">
    <dbPr connection="" command=""/>
  </connection>
  <connection id="19" keepAlive="1" name="Query - hrod HR_Department_FTE" type="5" refreshedVersion="6" deleted="1" background="1" saveData="1">
    <dbPr connection="" command=""/>
  </connection>
  <connection id="20" keepAlive="1" name="Query - hrod HR_Department_Headcount (2)" type="5" refreshedVersion="6" deleted="1" background="1" saveData="1">
    <dbPr connection="" command=""/>
  </connection>
  <connection id="21" keepAlive="1" name="Query - hrod HR_Disability_Known" type="5" refreshedVersion="6" deleted="1" background="1" saveData="1">
    <dbPr connection="" command=""/>
  </connection>
  <connection id="22" keepAlive="1" name="Query - hrod HR_Disability_NotKnown" type="5" refreshedVersion="6" deleted="1" background="1" saveData="1">
    <dbPr connection="" command=""/>
  </connection>
  <connection id="23" keepAlive="1" name="Query - hrod HR_DutySystem" type="5" refreshedVersion="6" deleted="1" background="1" saveData="1">
    <dbPr connection="" command=""/>
  </connection>
  <connection id="24" keepAlive="1" name="Query - hrod HR_DutySystem_LA" type="5" refreshedVersion="6" deleted="1" background="1" saveData="1">
    <dbPr connection="" command=""/>
  </connection>
  <connection id="25" keepAlive="1" name="Query - hrod HR_Ethnicity" type="5" refreshedVersion="6" deleted="1" background="1" saveData="1">
    <dbPr connection="" command=""/>
  </connection>
  <connection id="26" keepAlive="1" name="Query - hrod HR_FTE_Gender_Role" type="5" refreshedVersion="6" deleted="1" background="1" saveData="1">
    <dbPr connection="" command=""/>
  </connection>
  <connection id="27" keepAlive="1" name="Query - hrod HR_Gender" type="5" refreshedVersion="6" deleted="1" background="1" saveData="1">
    <dbPr connection="" command=""/>
  </connection>
  <connection id="28" keepAlive="1" name="Query - hrod HR_Gender_Role" type="5" refreshedVersion="6" deleted="1" background="1" saveData="1">
    <dbPr connection="" command=""/>
  </connection>
  <connection id="29" keepAlive="1" name="Query - hrod HR_Gender_Timeseries" type="5" refreshedVersion="6" deleted="1" background="1" saveData="1">
    <dbPr connection="" command=""/>
  </connection>
  <connection id="30" keepAlive="1" name="Query - hrod HR_GeographicStructure" type="5" refreshedVersion="6" deleted="1" background="1" saveData="1">
    <dbPr connection="" command=""/>
  </connection>
  <connection id="31" keepAlive="1" name="Query - hrod HR_Leavers" type="5" refreshedVersion="6" deleted="1" background="1" saveData="1">
    <dbPr connection="" command=""/>
  </connection>
  <connection id="32" keepAlive="1" name="Query - hrod HR_RDS_FTE_RoleArea" type="5" refreshedVersion="6" deleted="1" background="1" saveData="1">
    <dbPr connection="" command=""/>
  </connection>
  <connection id="33" keepAlive="1" name="Query - hrod HR_RDS_RoleArea" type="5" refreshedVersion="6" deleted="1" background="1" saveData="1">
    <dbPr connection="" command=""/>
  </connection>
  <connection id="34" keepAlive="1" name="Query - hrod HR_Role" type="5" refreshedVersion="6" deleted="1" background="1" saveData="1">
    <dbPr connection="" command=""/>
  </connection>
  <connection id="35" keepAlive="1" name="Query - hrod HR_Role_Area" type="5" refreshedVersion="6" deleted="1" background="1" saveData="1">
    <dbPr connection="" command=""/>
  </connection>
  <connection id="36" keepAlive="1" name="Query - hrod HR_Role_DutySystem" type="5" refreshedVersion="6" deleted="1" background="1" saveData="1">
    <dbPr connection="" command=""/>
  </connection>
  <connection id="37" keepAlive="1" name="Query - hrod HR_Service" type="5" refreshedVersion="6" deleted="1" background="1">
    <dbPr connection="" command=""/>
  </connection>
  <connection id="38" keepAlive="1" name="Query - hrod HR_StaffingFTE (2)" type="5" refreshedVersion="6" deleted="1" background="1" saveData="1">
    <dbPr connection="" command=""/>
  </connection>
  <connection id="39" keepAlive="1" name="Query - hrod HR_StaffingHeadcount (3)" type="5" refreshedVersion="6" deleted="1" background="1" saveData="1">
    <dbPr connection="" command=""/>
  </connection>
  <connection id="40" keepAlive="1" name="Query - hrod HR_StaffSmallArea" type="5" refreshedVersion="6" deleted="1" background="1" saveData="1">
    <dbPr connection="" command=""/>
  </connection>
  <connection id="41" keepAlive="1" name="Query - hrod HR_StaffSmallArea (2)" type="5" refreshedVersion="6" deleted="1" background="1" saveData="1">
    <dbPr connection="" command=""/>
  </connection>
  <connection id="42" keepAlive="1" name="Query - hrod HR_Vol_RoleArea" type="5" refreshedVersion="6" deleted="1" background="1" saveData="1">
    <dbPr connection="" command=""/>
  </connection>
  <connection id="43" keepAlive="1" name="Query - hrod HR_WT_FTE_RoleArea" type="5" refreshedVersion="6" deleted="1" background="1" saveData="1">
    <dbPr connection="" command=""/>
  </connection>
  <connection id="44" keepAlive="1" name="Query - hrod HR_WT_RoleArea" type="5" refreshedVersion="6" deleted="1" background="1" saveData="1">
    <dbPr connection="" command=""/>
  </connection>
  <connection id="45" keepAlive="1" name="Query - hsw vlatable" type="5" refreshedVersion="6" deleted="1" background="1" saveData="1">
    <dbPr connection="" command=""/>
  </connection>
  <connection id="46" keepAlive="1" name="Query - pp PPED_Audits" type="5" refreshedVersion="6" deleted="1" background="1" saveData="1">
    <dbPr connection="" command=""/>
  </connection>
  <connection id="47" keepAlive="1" name="Query - pp PPED_Audits_LA" type="5" refreshedVersion="6" deleted="1" background="1" saveData="1">
    <dbPr connection="" command=""/>
  </connection>
  <connection id="48" keepAlive="1" name="Query - pp PPED_Audits_Outcome_LA" type="5" refreshedVersion="6" deleted="1" background="1" saveData="1">
    <dbPr connection="" command=""/>
  </connection>
  <connection id="49" keepAlive="1" name="Query - pp PPED_Audits_Outcome_Premises" type="5" refreshedVersion="6" deleted="1" background="1" saveData="1">
    <dbPr connection="" command=""/>
  </connection>
  <connection id="50" keepAlive="1" name="Query - pp PPED_Audits_Outcome1" type="5" refreshedVersion="6" deleted="1" background="1" saveData="1">
    <dbPr connection="" command=""/>
  </connection>
  <connection id="51" keepAlive="1" name="Query - pp PPED_Notices" type="5" refreshedVersion="6" deleted="1" background="1" saveData="1">
    <dbPr connection="" command=""/>
  </connection>
  <connection id="52" keepAlive="1" name="Query - pp PPED_Risk" type="5" refreshedVersion="6" deleted="1" background="1" saveData="1">
    <dbPr connection="" command=""/>
  </connection>
  <connection id="53" keepAlive="1" name="Query - pp PPED_Workflows" type="5" refreshedVersion="6" deleted="1" background="1" saveData="1">
    <dbPr connection="" command=""/>
  </connection>
  <connection id="54" keepAlive="1" name="s-srs-v01_pds RAP Attacks_Non_Operational" type="5" refreshedVersion="6" deleted="1" background="1" saveData="1">
    <dbPr connection="" command="" commandType="3"/>
  </connection>
  <connection id="55" keepAlive="1" name="s-srs-v01_pds RAP Attacks_Operational" type="5" refreshedVersion="6" deleted="1" background="1" saveData="1">
    <dbPr connection="" command="" commandType="3"/>
  </connection>
  <connection id="56" keepAlive="1" name="s-srs-v01_pds RAP HFSV_Outcome" type="5" refreshedVersion="6" deleted="1" background="1" saveData="1">
    <dbPr connection="" command="" commandType="3"/>
  </connection>
  <connection id="57" keepAlive="1" name="s-srs-v01_pds RAP HFSV_Rate_LA_All" type="5" refreshedVersion="6" deleted="1" background="1" saveData="1">
    <dbPr connection="" command="" commandType="3"/>
  </connection>
  <connection id="58" keepAlive="1" name="s-srs-v01_pds RAP Injuries_Non_Operational" type="5" refreshedVersion="6" deleted="1" background="1" saveData="1">
    <dbPr connection="" command="" commandType="3"/>
  </connection>
  <connection id="59" keepAlive="1" name="s-srs-v01_pds RAP Injuries_Operational" type="5" refreshedVersion="6" deleted="1" background="1" saveData="1">
    <dbPr connection="" command="" commandType="3"/>
  </connection>
  <connection id="60" keepAlive="1" name="s-srs-v01_pds RAP Residents_Age_Profile" type="5" refreshedVersion="6" deleted="1" background="1" saveData="1">
    <dbPr connection="" command="" commandType="3"/>
  </connection>
  <connection id="61" keepAlive="1" name="s-srs-v01_pds RAP SIMD_Alarms" type="5" refreshedVersion="6" deleted="1" background="1" saveData="1">
    <dbPr connection="" command="" commandType="3"/>
  </connection>
  <connection id="62" keepAlive="1" name="s-srs-v01_pds RAP SIMD_Visits" type="5" refreshedVersion="6" deleted="1" background="1" saveData="1">
    <dbPr connection="" command="" commandType="3"/>
  </connection>
</connections>
</file>

<file path=xl/sharedStrings.xml><?xml version="1.0" encoding="utf-8"?>
<sst xmlns="http://schemas.openxmlformats.org/spreadsheetml/2006/main" count="39463" uniqueCount="17490">
  <si>
    <t>(formerly Fire and Rescue Service Statistics Scotland)</t>
  </si>
  <si>
    <t>Year</t>
  </si>
  <si>
    <t>Control</t>
  </si>
  <si>
    <t>Support</t>
  </si>
  <si>
    <t>All staff total</t>
  </si>
  <si>
    <t>All staff (excluding volunteers)</t>
  </si>
  <si>
    <t>Number</t>
  </si>
  <si>
    <t>Percentage</t>
  </si>
  <si>
    <t>Notes</t>
  </si>
  <si>
    <t>RDS</t>
  </si>
  <si>
    <t>All Staff Total</t>
  </si>
  <si>
    <t xml:space="preserve">All Staff (excl. volunteers) </t>
  </si>
  <si>
    <t>All Staff (excl. volunteers)</t>
  </si>
  <si>
    <t xml:space="preserve">Local Authority Area </t>
  </si>
  <si>
    <t xml:space="preserve">Local Senior Officer Area </t>
  </si>
  <si>
    <t>Service Delivery Area</t>
  </si>
  <si>
    <t>National</t>
  </si>
  <si>
    <t>SCOTLAND (total)</t>
  </si>
  <si>
    <t>Area Manager</t>
  </si>
  <si>
    <t>Group Manager</t>
  </si>
  <si>
    <t>Station Manager</t>
  </si>
  <si>
    <t>Watch Manager</t>
  </si>
  <si>
    <t>Crew Manager</t>
  </si>
  <si>
    <t>Firefighter</t>
  </si>
  <si>
    <t>Wholetime Operational Staff Total</t>
  </si>
  <si>
    <t>Wholetime Operational Staff</t>
  </si>
  <si>
    <t>Total</t>
  </si>
  <si>
    <t>Wholetime Operational</t>
  </si>
  <si>
    <t>Retained Duty System</t>
  </si>
  <si>
    <t>Volunteer</t>
  </si>
  <si>
    <t>Local Authority Area</t>
  </si>
  <si>
    <t>Aberdeen City</t>
  </si>
  <si>
    <t>Aberdeenshire</t>
  </si>
  <si>
    <t>Angus</t>
  </si>
  <si>
    <t>Argyll and Bute</t>
  </si>
  <si>
    <t>Clackmannanshire</t>
  </si>
  <si>
    <t>Dumfries and Galloway</t>
  </si>
  <si>
    <t>Dundee City</t>
  </si>
  <si>
    <t>East Ayrshire</t>
  </si>
  <si>
    <t>East Dunbartonshire</t>
  </si>
  <si>
    <t>East Lothian</t>
  </si>
  <si>
    <t>East Renfrewshire</t>
  </si>
  <si>
    <t>Falkirk</t>
  </si>
  <si>
    <t>Fife</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</si>
  <si>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</si>
  <si>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</si>
  <si>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</si>
  <si>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</si>
  <si>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</si>
  <si>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</si>
  <si>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</si>
  <si>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</si>
  <si>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</si>
  <si>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</si>
  <si>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</si>
  <si>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</si>
  <si>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</si>
  <si>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</si>
  <si>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</si>
  <si>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</si>
  <si>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</si>
  <si>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Local Authority Area (total)</t>
  </si>
  <si>
    <t>Local Senior Officer Area</t>
  </si>
  <si>
    <t>Aberdeenshire and Moray</t>
  </si>
  <si>
    <t>Argyll and Bute, East Dunbartonshire and West Dunbartonshire</t>
  </si>
  <si>
    <t>Dundee, Angus, Perth and Kinross</t>
  </si>
  <si>
    <t>East Ayrshire, North Ayrshire and South Ayrshire</t>
  </si>
  <si>
    <t>East Lothian, Midlothian and the Scottish Borders</t>
  </si>
  <si>
    <t>East Renfrewshire, Renfrewshire and Inverclyde</t>
  </si>
  <si>
    <t>Falkirk and West Lothian</t>
  </si>
  <si>
    <t>Highlands</t>
  </si>
  <si>
    <t>Western Isles, Orkney and Shetland Islands</t>
  </si>
  <si>
    <t>Local Senior Officer Area (total)</t>
  </si>
  <si>
    <t>Service Delivery Area (total)</t>
  </si>
  <si>
    <t>National Level</t>
  </si>
  <si>
    <t>Scotland Total</t>
  </si>
  <si>
    <t>Control Operator</t>
  </si>
  <si>
    <t>Service Manager</t>
  </si>
  <si>
    <t>Professional</t>
  </si>
  <si>
    <t>Technical Support</t>
  </si>
  <si>
    <t>Team Leader</t>
  </si>
  <si>
    <t>Headcount</t>
  </si>
  <si>
    <t>Wholetime operational</t>
  </si>
  <si>
    <t>Support Staff</t>
  </si>
  <si>
    <t>Total (excluding volunteers)</t>
  </si>
  <si>
    <t>Female</t>
  </si>
  <si>
    <t>Male</t>
  </si>
  <si>
    <t>Retained Duty System (total)</t>
  </si>
  <si>
    <t xml:space="preserve">Control </t>
  </si>
  <si>
    <t>Control (total)</t>
  </si>
  <si>
    <t>Specialist/Technical</t>
  </si>
  <si>
    <t>Administration</t>
  </si>
  <si>
    <t>Support Staff (total)</t>
  </si>
  <si>
    <t>Volunteer (total)</t>
  </si>
  <si>
    <t>All Staff (total)</t>
  </si>
  <si>
    <t>All Staff (excluding volunteers)</t>
  </si>
  <si>
    <t xml:space="preserve"> </t>
  </si>
  <si>
    <t>All Staff</t>
  </si>
  <si>
    <t>20-24</t>
  </si>
  <si>
    <t>25-29</t>
  </si>
  <si>
    <t>30-34</t>
  </si>
  <si>
    <t>35-39</t>
  </si>
  <si>
    <t>40-44</t>
  </si>
  <si>
    <t>45-49</t>
  </si>
  <si>
    <t>50-54</t>
  </si>
  <si>
    <t>55-59</t>
  </si>
  <si>
    <t>60-64</t>
  </si>
  <si>
    <t>65-69</t>
  </si>
  <si>
    <t>70-74</t>
  </si>
  <si>
    <t>Total
(excl volunteers)</t>
  </si>
  <si>
    <t>White</t>
  </si>
  <si>
    <t>Ethnic Minority</t>
  </si>
  <si>
    <t>Wholetime</t>
  </si>
  <si>
    <t>Local Authority</t>
  </si>
  <si>
    <t>Glasgow City</t>
  </si>
  <si>
    <t>Pumping Appliances</t>
  </si>
  <si>
    <t>Reserve Appliances</t>
  </si>
  <si>
    <t>Training Appliances</t>
  </si>
  <si>
    <t>Type of Attack</t>
  </si>
  <si>
    <t>HFSV with alarms installed</t>
  </si>
  <si>
    <t>Total HFSV</t>
  </si>
  <si>
    <t>New</t>
  </si>
  <si>
    <t>Replacement</t>
  </si>
  <si>
    <t>Rate</t>
  </si>
  <si>
    <t>HFSV - advice only</t>
  </si>
  <si>
    <t xml:space="preserve">Total HFSV </t>
  </si>
  <si>
    <t>Smoke alarms installed</t>
  </si>
  <si>
    <t>HFSV
 - alarms installed</t>
  </si>
  <si>
    <t>HFSV
 - advice only</t>
  </si>
  <si>
    <t>Smoke alarms installed during HFSV</t>
  </si>
  <si>
    <t xml:space="preserve">Rate of alarms installed </t>
  </si>
  <si>
    <t>HFSV - 
alarms installed</t>
  </si>
  <si>
    <t>HFSV - 
advice only</t>
  </si>
  <si>
    <t>All visits</t>
  </si>
  <si>
    <t>Premises type</t>
  </si>
  <si>
    <t>Hospital / Prison</t>
  </si>
  <si>
    <t>Care Home</t>
  </si>
  <si>
    <t>Hostel</t>
  </si>
  <si>
    <t>Hotel</t>
  </si>
  <si>
    <t>Other Sleeping Accommodation</t>
  </si>
  <si>
    <t>Further Education</t>
  </si>
  <si>
    <t>Public Building</t>
  </si>
  <si>
    <t>Licensed Premises</t>
  </si>
  <si>
    <t>School</t>
  </si>
  <si>
    <t>Shop</t>
  </si>
  <si>
    <t>Other Premises Open to Public</t>
  </si>
  <si>
    <t>Factory or Warehouse</t>
  </si>
  <si>
    <t>Office</t>
  </si>
  <si>
    <t>Other workplace</t>
  </si>
  <si>
    <t>Total audits without HMOs</t>
  </si>
  <si>
    <t>Total audits including HMOs</t>
  </si>
  <si>
    <t>Hospital/ Prison</t>
  </si>
  <si>
    <t>HMO</t>
  </si>
  <si>
    <t>Other Sleeping Accom.</t>
  </si>
  <si>
    <t>Total audits</t>
  </si>
  <si>
    <t>Enforcement Notice</t>
  </si>
  <si>
    <t>Prohibition Notice</t>
  </si>
  <si>
    <t>Average time (hours)</t>
  </si>
  <si>
    <t>Hours</t>
  </si>
  <si>
    <t>Audits</t>
  </si>
  <si>
    <t>Percentage of Type A</t>
  </si>
  <si>
    <t>Enforcement notices</t>
  </si>
  <si>
    <t>Type of Premises</t>
  </si>
  <si>
    <t>Total hours</t>
  </si>
  <si>
    <t>North</t>
  </si>
  <si>
    <t>West</t>
  </si>
  <si>
    <t>East</t>
  </si>
  <si>
    <t>Edinburgh City</t>
  </si>
  <si>
    <t>Wholetime Operational - Number</t>
  </si>
  <si>
    <t>Wholetime Operational - Percent</t>
  </si>
  <si>
    <t>RDS - Number</t>
  </si>
  <si>
    <t>RDS - Percent</t>
  </si>
  <si>
    <t>Control - Number</t>
  </si>
  <si>
    <t>Control - Percent</t>
  </si>
  <si>
    <t>&lt;5</t>
  </si>
  <si>
    <t>5-9</t>
  </si>
  <si>
    <t>10-14</t>
  </si>
  <si>
    <t>15-19</t>
  </si>
  <si>
    <t>&gt;40</t>
  </si>
  <si>
    <t>Service Length (Years)</t>
  </si>
  <si>
    <t>Aerial Appliances</t>
  </si>
  <si>
    <t>Other Appliances</t>
  </si>
  <si>
    <t>Consultations</t>
  </si>
  <si>
    <t>Alterations Notice</t>
  </si>
  <si>
    <t>Prohibition Notices</t>
  </si>
  <si>
    <t>Retained</t>
  </si>
  <si>
    <t>All</t>
  </si>
  <si>
    <t>Non-Operational</t>
  </si>
  <si>
    <t>Vehicles for Rescue Work</t>
  </si>
  <si>
    <t>Small Firefighting Vehicles</t>
  </si>
  <si>
    <t>Other</t>
  </si>
  <si>
    <t>Total Vehicles (incl. boats)</t>
  </si>
  <si>
    <t>2015-16</t>
  </si>
  <si>
    <t>2014-15</t>
  </si>
  <si>
    <t>2013-14</t>
  </si>
  <si>
    <t>2012-13</t>
  </si>
  <si>
    <t>Vehicles Primarily for Rescue Work</t>
  </si>
  <si>
    <t>Operational Total</t>
  </si>
  <si>
    <t>Brigade Manager</t>
  </si>
  <si>
    <t>Director</t>
  </si>
  <si>
    <t>Age Range</t>
  </si>
  <si>
    <t>Age range</t>
  </si>
  <si>
    <t>Operational</t>
  </si>
  <si>
    <t>Fire Boats</t>
  </si>
  <si>
    <t>Officer Response Vehicles</t>
  </si>
  <si>
    <t xml:space="preserve"> - Workforce</t>
  </si>
  <si>
    <t xml:space="preserve">In 2014 SFRS could not return suitable fire safety data and the statistics were not published.  </t>
  </si>
  <si>
    <t>Area</t>
  </si>
  <si>
    <t xml:space="preserve">Other Operational </t>
  </si>
  <si>
    <t xml:space="preserve"> - Home Fire Safety Visits</t>
  </si>
  <si>
    <t>National.Statistics@firescotland.gov.uk</t>
  </si>
  <si>
    <t xml:space="preserve">  Crew Manager</t>
  </si>
  <si>
    <t xml:space="preserve">  Firefighter</t>
  </si>
  <si>
    <t>FTE is not calculated for Volunteers.</t>
  </si>
  <si>
    <t>Full Time Equivalent (FTE) counts the ratio of a staff member’s contracted working hours to the standard contract hours for that staff group.</t>
  </si>
  <si>
    <t>The statistics are rounded after they are calculated.</t>
  </si>
  <si>
    <t>The Brigade Manager category had included Deputy Assistant Chief Officers (DACOs) in 2014-15 and 2015-16.  This has now been amended so that DACOs are included in the Area manager category and Brigade Manager now includes only Chief Officer, Deputy Chief Officer and Assistant Chief Officer.</t>
  </si>
  <si>
    <t>Support staff sub-categories changed in 2013-14 to reflect the sub-categories used in the new organisational structure of the Scottish Fire and Rescue Service.</t>
  </si>
  <si>
    <t xml:space="preserve">Until the 2015-16 statistics the Director category in Support Staff had been included in the Service Manager category.  From the 2015-16 publication this has been presented in a separate category. Comparisons with former statistics can be made by adding the Director category to the Service Manager category.  </t>
  </si>
  <si>
    <t>Grey shaded cells indicate where area breakdown by staff type is not applicable.</t>
  </si>
  <si>
    <t>All control staff are reported nationally for these statistics.</t>
  </si>
  <si>
    <t>All volunteer staff are reported at Local Authority Area for these statistics.</t>
  </si>
  <si>
    <t>Retirement age varies according to type of staffing and individual circumstance.</t>
  </si>
  <si>
    <t>Service Length counts the number of full years spent in public service. It is possible for staff to move between Fire and Rescue Services within the UK and keep their accrued service length.</t>
  </si>
  <si>
    <t>Percentages are calculated based on headcount.</t>
  </si>
  <si>
    <t>A count of Operatioal Fire Boats could not be provided in 2013-14.</t>
  </si>
  <si>
    <t>Operational Boats are provided at national level only.</t>
  </si>
  <si>
    <t>Workflow refers to all of the work completed related to non-domestic property. Workflows are counted according to the financial year in which they are fully completed.</t>
  </si>
  <si>
    <t xml:space="preserve">In 2013-14 the fire safety audit data was not included in the publication due to quality and completeness concerns.  </t>
  </si>
  <si>
    <t>Where a premise had multiple owners who each received a formal Notice, this has been counted only once. The figure therefore reflects the number of unique buildings where a notice has been issued by financial year.</t>
  </si>
  <si>
    <t xml:space="preserve">For enquiries or feedback please contact - </t>
  </si>
  <si>
    <t>The merger of HR data from the former Scottish Fire and Rescue services in 2013-14 led to a reduction in reliable ethnicity data for staff. Improvements over recent years stem from data collection on new staff and through the provision of an employee digital self-service tool for HR data.</t>
  </si>
  <si>
    <t>All Retained Duty System staff are reported at Local Authority Area for these statistics.</t>
  </si>
  <si>
    <t>FinYear</t>
  </si>
  <si>
    <t>Row Labels</t>
  </si>
  <si>
    <t>1:LA</t>
  </si>
  <si>
    <t>2:LSO</t>
  </si>
  <si>
    <t>3:SDA</t>
  </si>
  <si>
    <t>4:National</t>
  </si>
  <si>
    <t>Grand Total</t>
  </si>
  <si>
    <t>Sum of Total</t>
  </si>
  <si>
    <t>2018-19</t>
  </si>
  <si>
    <t>2017-18</t>
  </si>
  <si>
    <t>Sum of Watch Manager</t>
  </si>
  <si>
    <t>Code</t>
  </si>
  <si>
    <t>City of Edinburgh</t>
  </si>
  <si>
    <t>Scotland</t>
  </si>
  <si>
    <t>Sum of RDS</t>
  </si>
  <si>
    <t>Sum of Control</t>
  </si>
  <si>
    <t>Sum of Support</t>
  </si>
  <si>
    <t>Sum of Brigade Manager</t>
  </si>
  <si>
    <t>Sum of Area Manager</t>
  </si>
  <si>
    <t>Sum of Group Manager</t>
  </si>
  <si>
    <t>Sum of Station Manager</t>
  </si>
  <si>
    <t>Sum of Crew Manager</t>
  </si>
  <si>
    <t>Sum of Firefighter</t>
  </si>
  <si>
    <t>Column Labels</t>
  </si>
  <si>
    <t>Sum of Control Operator</t>
  </si>
  <si>
    <t>2016-17</t>
  </si>
  <si>
    <t>Sum of Director</t>
  </si>
  <si>
    <t>Sum of Service Manager</t>
  </si>
  <si>
    <t>Sum of Team Leader</t>
  </si>
  <si>
    <t>Sum of Professional</t>
  </si>
  <si>
    <t>Sum of Specialist Technical</t>
  </si>
  <si>
    <t>Sum of Tech Support</t>
  </si>
  <si>
    <t>Sum of Administration</t>
  </si>
  <si>
    <t>ALL</t>
  </si>
  <si>
    <t>S12000005</t>
  </si>
  <si>
    <t>S12000006</t>
  </si>
  <si>
    <t>S12000008</t>
  </si>
  <si>
    <t>S12000010</t>
  </si>
  <si>
    <t>S12000011</t>
  </si>
  <si>
    <t>S12000013</t>
  </si>
  <si>
    <t>S12000014</t>
  </si>
  <si>
    <t>S12000017</t>
  </si>
  <si>
    <t>S12000018</t>
  </si>
  <si>
    <t>S12000019</t>
  </si>
  <si>
    <t>S12000020</t>
  </si>
  <si>
    <t>S12000021</t>
  </si>
  <si>
    <t>S12000023</t>
  </si>
  <si>
    <t>S12000024</t>
  </si>
  <si>
    <t>S12000026</t>
  </si>
  <si>
    <t>S12000027</t>
  </si>
  <si>
    <t>S12000028</t>
  </si>
  <si>
    <t>S12000029</t>
  </si>
  <si>
    <t>S12000030</t>
  </si>
  <si>
    <t>S12000033</t>
  </si>
  <si>
    <t>S12000034</t>
  </si>
  <si>
    <t>S12000035</t>
  </si>
  <si>
    <t>S12000036</t>
  </si>
  <si>
    <t>S12000038</t>
  </si>
  <si>
    <t>S12000039</t>
  </si>
  <si>
    <t>S12000040</t>
  </si>
  <si>
    <t>S12000041</t>
  </si>
  <si>
    <t>S12000042</t>
  </si>
  <si>
    <t>S12000044</t>
  </si>
  <si>
    <t>S12000045</t>
  </si>
  <si>
    <t>S12000046</t>
  </si>
  <si>
    <t>S12000047</t>
  </si>
  <si>
    <t>(blank)</t>
  </si>
  <si>
    <t>Vol</t>
  </si>
  <si>
    <t>WT</t>
  </si>
  <si>
    <t>Specialist Technical</t>
  </si>
  <si>
    <t>Tech Support</t>
  </si>
  <si>
    <t>Sum of Female</t>
  </si>
  <si>
    <t>Sum of Male</t>
  </si>
  <si>
    <t>Under 20</t>
  </si>
  <si>
    <t>Total (ex Vol)</t>
  </si>
  <si>
    <t>2011-12</t>
  </si>
  <si>
    <t>Sum of White</t>
  </si>
  <si>
    <t>Sum of Not Stated</t>
  </si>
  <si>
    <t>Sum of Ethnic Minority</t>
  </si>
  <si>
    <t>FisYr</t>
  </si>
  <si>
    <t>Sum of Wholetime</t>
  </si>
  <si>
    <t>Sum of Retained</t>
  </si>
  <si>
    <t>Sum of Volunteer</t>
  </si>
  <si>
    <t>Sum of Wholetime and Retained</t>
  </si>
  <si>
    <t>Sum of Wholetime and Day</t>
  </si>
  <si>
    <t>Sum of Pumping Appliances</t>
  </si>
  <si>
    <t>Sum of Aerial Appliances</t>
  </si>
  <si>
    <t>Table code</t>
  </si>
  <si>
    <t>Update frequency</t>
  </si>
  <si>
    <t>Revisions policy</t>
  </si>
  <si>
    <t>Annual</t>
  </si>
  <si>
    <t>Revisions are not anticipated</t>
  </si>
  <si>
    <t>SDA Code</t>
  </si>
  <si>
    <t>S39000001</t>
  </si>
  <si>
    <t>S39000002</t>
  </si>
  <si>
    <t>S39000018</t>
  </si>
  <si>
    <t>S39000003</t>
  </si>
  <si>
    <t>S39000004</t>
  </si>
  <si>
    <t>S39000006</t>
  </si>
  <si>
    <t>S39000007</t>
  </si>
  <si>
    <t>S39000008</t>
  </si>
  <si>
    <t>S39000009</t>
  </si>
  <si>
    <t>S39000010</t>
  </si>
  <si>
    <t>S39000013</t>
  </si>
  <si>
    <t>S39000015</t>
  </si>
  <si>
    <t>S39000017</t>
  </si>
  <si>
    <t>S92000003</t>
  </si>
  <si>
    <t>Not Stated</t>
  </si>
  <si>
    <t>Wholetime and Retained</t>
  </si>
  <si>
    <t>Wholetime and Day</t>
  </si>
  <si>
    <t>Under 5s</t>
  </si>
  <si>
    <t>5 to 10</t>
  </si>
  <si>
    <t>11 to 16</t>
  </si>
  <si>
    <t>17 to 30</t>
  </si>
  <si>
    <t>31 to 60</t>
  </si>
  <si>
    <t>Over 60</t>
  </si>
  <si>
    <t>All Residents</t>
  </si>
  <si>
    <t>Over Three Years</t>
  </si>
  <si>
    <t>Over Five Years</t>
  </si>
  <si>
    <t>Non-repeat Visits</t>
  </si>
  <si>
    <t>S40000004</t>
  </si>
  <si>
    <t>S40000003</t>
  </si>
  <si>
    <t>S40000005</t>
  </si>
  <si>
    <t>All Uniformed Staff</t>
  </si>
  <si>
    <t>TOTAL</t>
  </si>
  <si>
    <t>1 - Most Deprived 20%</t>
  </si>
  <si>
    <t>5 - Least Deprived 20%</t>
  </si>
  <si>
    <t>1 - Large Urban Areas</t>
  </si>
  <si>
    <t>2 - Other Urban Areas</t>
  </si>
  <si>
    <t>3 - Accessible Small Towns</t>
  </si>
  <si>
    <t>4 - Remote Small Towns</t>
  </si>
  <si>
    <t>5 - Accessible Rural</t>
  </si>
  <si>
    <t>6 - Remote Rural</t>
  </si>
  <si>
    <t>Sum of Hospital / Prison</t>
  </si>
  <si>
    <t>Sum of Care Home</t>
  </si>
  <si>
    <t>Sum of HMO</t>
  </si>
  <si>
    <t>Sum of Hostel</t>
  </si>
  <si>
    <t>Sum of Hotel</t>
  </si>
  <si>
    <t>Sum of Other Sleeping Accommodation</t>
  </si>
  <si>
    <t>Sum of Further Education</t>
  </si>
  <si>
    <t>Sum of Public Building</t>
  </si>
  <si>
    <t>Sum of Licensed Premises</t>
  </si>
  <si>
    <t>Sum of School</t>
  </si>
  <si>
    <t>Sum of Shop</t>
  </si>
  <si>
    <t>Sum of Factory or Warehouse</t>
  </si>
  <si>
    <t>Sum of Office</t>
  </si>
  <si>
    <t>Sum of Other Workplace</t>
  </si>
  <si>
    <t>S12000015</t>
  </si>
  <si>
    <t>A</t>
  </si>
  <si>
    <t>B</t>
  </si>
  <si>
    <t>C</t>
  </si>
  <si>
    <t>E</t>
  </si>
  <si>
    <t>F</t>
  </si>
  <si>
    <t>H</t>
  </si>
  <si>
    <t>J</t>
  </si>
  <si>
    <t>K</t>
  </si>
  <si>
    <t>L</t>
  </si>
  <si>
    <t>M</t>
  </si>
  <si>
    <t>N</t>
  </si>
  <si>
    <t>P</t>
  </si>
  <si>
    <t>R</t>
  </si>
  <si>
    <t>S</t>
  </si>
  <si>
    <t>T</t>
  </si>
  <si>
    <t>Sum of A_Tally</t>
  </si>
  <si>
    <t>Sum of A_Hours</t>
  </si>
  <si>
    <t>Sum of B_Tally</t>
  </si>
  <si>
    <t>Sum of B_Hours</t>
  </si>
  <si>
    <t>Sum of Enforcement_Tally</t>
  </si>
  <si>
    <t>Sum of Prohibition_Tally</t>
  </si>
  <si>
    <t>Sum of Enforcement_Hours</t>
  </si>
  <si>
    <t>Sum of Prohibition_Hours</t>
  </si>
  <si>
    <t>Sum of Small Firefighting Vehicles</t>
  </si>
  <si>
    <t>All Scotland</t>
  </si>
  <si>
    <t>Sum of TotalAlarms</t>
  </si>
  <si>
    <t>Sum of TotalNewAlarms</t>
  </si>
  <si>
    <t>Sum of TotalReplacedAlarms</t>
  </si>
  <si>
    <t>Sum of Dwellings</t>
  </si>
  <si>
    <t>Sum of VisitsPer100Dwelling</t>
  </si>
  <si>
    <t>Sum of AlarmsPer100Dwelling</t>
  </si>
  <si>
    <t>Sum of Households</t>
  </si>
  <si>
    <t>Sum of VisitsPer100Household</t>
  </si>
  <si>
    <t>Sum of AlarmsPer100Household</t>
  </si>
  <si>
    <t>Premises</t>
  </si>
  <si>
    <t>Sum of M</t>
  </si>
  <si>
    <t>Sum of H</t>
  </si>
  <si>
    <t>Sum of VL</t>
  </si>
  <si>
    <t>Sum of L</t>
  </si>
  <si>
    <t>Sum of VH</t>
  </si>
  <si>
    <t>New Alarms</t>
  </si>
  <si>
    <t>Replaced Alarms</t>
  </si>
  <si>
    <t>Households</t>
  </si>
  <si>
    <t>Alarms Installed</t>
  </si>
  <si>
    <t>Percent of Scottish Housholds Visited</t>
  </si>
  <si>
    <t>Percent of Scottish Households Visited with Alarms Installed</t>
  </si>
  <si>
    <t>Department</t>
  </si>
  <si>
    <t>HFSV - alarms installed</t>
  </si>
  <si>
    <t>ALL STAFF</t>
  </si>
  <si>
    <t>Fire Safety and Organisational Statistics, Scotland</t>
  </si>
  <si>
    <t>Scottish Fire and Rescue Service</t>
  </si>
  <si>
    <t>Fire Safety and Organisational Statistics - Tables and Charts</t>
  </si>
  <si>
    <t xml:space="preserve"> - Fire and Rescue Vehicles</t>
  </si>
  <si>
    <t xml:space="preserve"> - Attacks on Fire and Rescue Personnel</t>
  </si>
  <si>
    <t xml:space="preserve"> - Non-Domestic Fire Safety</t>
  </si>
  <si>
    <t>Please see the most recent Fire Safety and Organisational Statistics publication for commentary on the statistics included in this workbook.</t>
  </si>
  <si>
    <t>Please see the Guidance Notes on Statistics publication for further details on these statistics including definitions and advice on interpretation.</t>
  </si>
  <si>
    <t>This workbook provides statistics on the Scottish Fire and Rescue Service. Covering:</t>
  </si>
  <si>
    <t>Workforce Statistics</t>
  </si>
  <si>
    <t>FTE statistics are rounded after they are calculated.</t>
  </si>
  <si>
    <t>Geographic Reporting Structure</t>
  </si>
  <si>
    <t>Uniformed Staff by Role</t>
  </si>
  <si>
    <t>Volunteer - Number</t>
  </si>
  <si>
    <t>Volunteer - Percent</t>
  </si>
  <si>
    <t>Experimental Statistics introduced in 2018-19</t>
  </si>
  <si>
    <t>Please see the Guidance Notes for Statistics for descriptions of each department.</t>
  </si>
  <si>
    <t>GSS Code</t>
  </si>
  <si>
    <t>The Station Manager category included a small number of staff at Local Authority level, since 2016-17 they have all been reported at Local Senior Officer Area.</t>
  </si>
  <si>
    <t>LA Code</t>
  </si>
  <si>
    <t>LSO Code</t>
  </si>
  <si>
    <t>Scotland total</t>
  </si>
  <si>
    <t>Control Operators are also referred to as Firefighters where appropriate</t>
  </si>
  <si>
    <t>Staff Type by Gender</t>
  </si>
  <si>
    <t>Staff Type by Gender and Role</t>
  </si>
  <si>
    <t>Wholetime Operational (total)</t>
  </si>
  <si>
    <t>Staff Type by Gender Timeseries</t>
  </si>
  <si>
    <t>Staff Type</t>
  </si>
  <si>
    <t>Staff Type by Gender and Role - Full-time Equivalent</t>
  </si>
  <si>
    <t>Staff Type by Age Range - Headcount</t>
  </si>
  <si>
    <t>Staff Type by Age Range - Percentage</t>
  </si>
  <si>
    <t>Control Staff by Role and Geographic Area - Full-time Equivalent</t>
  </si>
  <si>
    <t>Support Staff by Role and Geographic Area - Full-time Equivalent</t>
  </si>
  <si>
    <t>RDS Staff by Role and Geographic Area - Full-time Equivalent</t>
  </si>
  <si>
    <t>Wholetime Operational Staff by Role and Geographic Area - Full-time Equivalent</t>
  </si>
  <si>
    <t>Volunteers by Role and Geographic Area - Headcount</t>
  </si>
  <si>
    <t>Control Staff by Role and Geographic Area  - Headcount</t>
  </si>
  <si>
    <t>Support Staff by Role and Geographic Area -  Headcount</t>
  </si>
  <si>
    <t>Retained Duty Staff by Role and Geographical Area - Headcount</t>
  </si>
  <si>
    <t>Wholetime Operational Staff by Role and Geographical Area - Headcount</t>
  </si>
  <si>
    <t>Staff Type by Department  - Headcount</t>
  </si>
  <si>
    <t>Staff Type by Department - Full Time Equivalent</t>
  </si>
  <si>
    <t>SFRS Headcount by Staff Type</t>
  </si>
  <si>
    <t>SFRS Full-time Equivalent by Staff Type</t>
  </si>
  <si>
    <t>Experimental Statistics introduced in 2017-18</t>
  </si>
  <si>
    <t>Staff Type by Service Length - Percentage</t>
  </si>
  <si>
    <t>Staff Type by Service Length - Headcount</t>
  </si>
  <si>
    <t>Support Staff has been removed from this table due to quality concerns.</t>
  </si>
  <si>
    <t>Staff Type by Ethnicity - Percentage</t>
  </si>
  <si>
    <t>Staff Type by Disability Status - Percentage</t>
  </si>
  <si>
    <t>Staff Type where Disability Status is Not Known - Percentage</t>
  </si>
  <si>
    <t>Volunteers</t>
  </si>
  <si>
    <t>Reason for Leaving</t>
  </si>
  <si>
    <t>Staff Total (excluding volunteers)</t>
  </si>
  <si>
    <t>Ethnicity</t>
  </si>
  <si>
    <t>New Entrants by Age Range</t>
  </si>
  <si>
    <t>New Entrants by Gender</t>
  </si>
  <si>
    <t>New Entrants by Ethnicity</t>
  </si>
  <si>
    <t>New Entrants by Disability</t>
  </si>
  <si>
    <t>Workforce Leavers by Reason for Leaving</t>
  </si>
  <si>
    <t>These figures present the ratio of staff headcount by disability response to total headcount for each staff group.</t>
  </si>
  <si>
    <t>Headcount by Type of Staffing</t>
  </si>
  <si>
    <t>Full Time Equivalent by Type of Staffing</t>
  </si>
  <si>
    <t>Staff Type by Gender - Headcount</t>
  </si>
  <si>
    <t>Table of Contents</t>
  </si>
  <si>
    <t>Click on a hyperlink to select the corresponding worksheet</t>
  </si>
  <si>
    <t>Topic</t>
  </si>
  <si>
    <t>Full Time Equivalent</t>
  </si>
  <si>
    <t>Metric</t>
  </si>
  <si>
    <t>Staffing Type by Geographic Area - Headcount</t>
  </si>
  <si>
    <t>Staff Type by Geographical Reporting Structure - Headcount</t>
  </si>
  <si>
    <t>Geographic Area</t>
  </si>
  <si>
    <t>Role</t>
  </si>
  <si>
    <t>Gender</t>
  </si>
  <si>
    <t>Service Length</t>
  </si>
  <si>
    <t>Wholetime Operational Staff by Role and Geographical Reporting Structure - Headcount</t>
  </si>
  <si>
    <t>Leavers</t>
  </si>
  <si>
    <t>Disability</t>
  </si>
  <si>
    <t>Sum</t>
  </si>
  <si>
    <t>Back to Table of Contents</t>
  </si>
  <si>
    <t>Workforce Tables</t>
  </si>
  <si>
    <t>Workforce Charts</t>
  </si>
  <si>
    <t>Staff Type - Wholetime Operational</t>
  </si>
  <si>
    <t>Staff Type - Retained Duty System</t>
  </si>
  <si>
    <t>Staff Type - Control</t>
  </si>
  <si>
    <t>Staff Type - Support Staff</t>
  </si>
  <si>
    <t>Staff Type - Volunteers</t>
  </si>
  <si>
    <t>&lt;20</t>
  </si>
  <si>
    <t>Fire Stations by Primary Crewing Type</t>
  </si>
  <si>
    <t>Day-Crewed</t>
  </si>
  <si>
    <t>Fire Stations by Station Crewing Model</t>
  </si>
  <si>
    <t>Fire Station Statistics</t>
  </si>
  <si>
    <t>Fire Stations by Primary Crewing Type and Local Authority</t>
  </si>
  <si>
    <t>Fire Stations by Crewing Model and Local Authority</t>
  </si>
  <si>
    <t>Fire Station Types</t>
  </si>
  <si>
    <t>Map of Fire Stations by Type</t>
  </si>
  <si>
    <t>Attacks on SFRS Personnel Statistics</t>
  </si>
  <si>
    <t>Incidents</t>
  </si>
  <si>
    <t>Two previous years are revised at each update</t>
  </si>
  <si>
    <t>Attacks on SFRS Personnel by Type of Attack</t>
  </si>
  <si>
    <t>Attacks on SFRS Personnel Resulting in Injuries by Type of Attack</t>
  </si>
  <si>
    <t>Home Fire Safety Visit Statistics</t>
  </si>
  <si>
    <t>One Year is revised at each update</t>
  </si>
  <si>
    <t>Home Fire Safety Visits (HFSV) by Outcome and Smoke Alarms Installed</t>
  </si>
  <si>
    <t>Home Fire Safety Visits to Distinct Properties</t>
  </si>
  <si>
    <t>Home Fire Safety Visits with Alarms Installed in Distinct Properties</t>
  </si>
  <si>
    <t>Distinct Properties Visited</t>
  </si>
  <si>
    <t>In One Year</t>
  </si>
  <si>
    <t>Percentage of Non-repeat Visits</t>
  </si>
  <si>
    <t>Distinct Properties Visited where Alarms were Installed</t>
  </si>
  <si>
    <t>Percentage of Scottish Households visited in Home Fire Safety Visits</t>
  </si>
  <si>
    <t>Percentage of Scottish Population living in Households who had a HFSV</t>
  </si>
  <si>
    <t>Home Fire Safety Visits by Deprivation of Area</t>
  </si>
  <si>
    <t>Home Fire Safety Visits by SIMD Quintile</t>
  </si>
  <si>
    <t>Rate of Home Fire Safety Visits per 100 Occupied Dwellings by SIMD Quintile</t>
  </si>
  <si>
    <t>HFSVs by Urban Rural 6 Fold Category</t>
  </si>
  <si>
    <t>Home Fire Safety Visits by Rurality</t>
  </si>
  <si>
    <t>Rate of HFSVs per 100 Occupied Dwellings by Urban Rural 6 Fold Category</t>
  </si>
  <si>
    <t>Rate of Alarms Installed</t>
  </si>
  <si>
    <t>Percentage of Scottish Households</t>
  </si>
  <si>
    <t>Percentage of Households</t>
  </si>
  <si>
    <t>Total Alarms Installed</t>
  </si>
  <si>
    <t>Total HFSVs</t>
  </si>
  <si>
    <t>Home Fire Safety Visits by Outcome</t>
  </si>
  <si>
    <t>Home Fire Safety Visits Statistics</t>
  </si>
  <si>
    <t>Rate of Home Fire Safety Visits by Age Group of Residents</t>
  </si>
  <si>
    <t>Rate of Home Fire Safety Visits by Rurality</t>
  </si>
  <si>
    <t>Rate of Home Fire Safety Visits by Local Authority</t>
  </si>
  <si>
    <t>Non-domestic Fire Safety Workflows</t>
  </si>
  <si>
    <t>Non-domestic Fire Safety Statistics</t>
  </si>
  <si>
    <t>Non-domestic Fire Safety Audits by Premises Type</t>
  </si>
  <si>
    <t>Other Premises open to Public</t>
  </si>
  <si>
    <t>HMO stands for Houses in Multiple Occupation</t>
  </si>
  <si>
    <t>-</t>
  </si>
  <si>
    <t>Audit - Broadly Compliant</t>
  </si>
  <si>
    <t>Audit - Notable Deficiencies</t>
  </si>
  <si>
    <t>Percentage Broadly Compliant</t>
  </si>
  <si>
    <t>Audits by Outcome and Average Time for Completion</t>
  </si>
  <si>
    <t>Audits by Outcome and Average Time for Completion, by Premises Type</t>
  </si>
  <si>
    <t>Notices Issued by Type</t>
  </si>
  <si>
    <t>This table was introduced in 2017-18 to provide details of the number of formal Notices issued within the financial year. This contrasts with the number of workflows completed each year which in the Audits Outcome tab.</t>
  </si>
  <si>
    <t>Please see Guidance Notes for detailed discussion.</t>
  </si>
  <si>
    <t>Audits by Outcome and Average Time for Completion, by Local Authority</t>
  </si>
  <si>
    <t>Audits by Risk Recorded</t>
  </si>
  <si>
    <t>Very Low</t>
  </si>
  <si>
    <t>Low</t>
  </si>
  <si>
    <t>Medium</t>
  </si>
  <si>
    <t>High</t>
  </si>
  <si>
    <t>Very High</t>
  </si>
  <si>
    <t>Audits by Risk Recorded - Percentage in Each Premises Type</t>
  </si>
  <si>
    <t>Non-domestic Workflows</t>
  </si>
  <si>
    <t>Audits by Premises Type and Risk</t>
  </si>
  <si>
    <t>Fire and Rescue Vehicles Statistics</t>
  </si>
  <si>
    <t>Fire and Rescue Vehicles by Type</t>
  </si>
  <si>
    <t>Total Appliances</t>
  </si>
  <si>
    <t>Resilience Appliances</t>
  </si>
  <si>
    <t>Other Fleet Vehicles (excl. Officer Response Vehicles)</t>
  </si>
  <si>
    <t>Fire and Rescue Vehicles by Type, by Local Authority</t>
  </si>
  <si>
    <t>Attacks Related to Operational Incidents</t>
  </si>
  <si>
    <t>Attacks Not Related to Operational Incidents</t>
  </si>
  <si>
    <t>Attacks Related to Operational Incidents by Local Authority</t>
  </si>
  <si>
    <t>Home Fire Safety Visits (HFSV) by Outcome and Smoke Alarms Installed - Percentage and Rate</t>
  </si>
  <si>
    <t>Percentage of Scottish Households with Alarms Installed in Home Fire Safety Visits</t>
  </si>
  <si>
    <t>Residents of Households Visited in Home Fire Safety Visits by Age Range - Percentage of Population</t>
  </si>
  <si>
    <t>Residents of Households Visited in Home Fire Safety Visits by Age Range</t>
  </si>
  <si>
    <t>Home Fire Safety Visits by Deprivation of Area - Percentage of Occupied Dwellings</t>
  </si>
  <si>
    <t>Home Fire Safety Visits (HFSV) by Outcome and Smoke Alarms Installed, by Local Authority</t>
  </si>
  <si>
    <t>Home Fire Safety Visits by Rurality - Percentage of Occupied Dwellings</t>
  </si>
  <si>
    <t>Home Fire Safety Visits (HFSV) Percentage of Scottish Households</t>
  </si>
  <si>
    <t>Non-domestic Fire Safety Audits by Premises Type, by Local Authority</t>
  </si>
  <si>
    <t>Crewing Model</t>
  </si>
  <si>
    <t>Primary Crewing Type</t>
  </si>
  <si>
    <t>Fire Station Charts</t>
  </si>
  <si>
    <t>Primary Crewing Type and Crewing Model</t>
  </si>
  <si>
    <t>Map</t>
  </si>
  <si>
    <t>Fire and Rescue Vehicles</t>
  </si>
  <si>
    <t>Type of Vehicle</t>
  </si>
  <si>
    <t>Attacks on SFRS Personnel</t>
  </si>
  <si>
    <t>Related to Operational Incidents</t>
  </si>
  <si>
    <t>Not Related to Operational Incidents</t>
  </si>
  <si>
    <t>Attacks on SFRS Personnel Charts</t>
  </si>
  <si>
    <t>Type of Attack Resulting in Injuries</t>
  </si>
  <si>
    <t>Home Fire Safety Visits</t>
  </si>
  <si>
    <t>Residents of Households Visited</t>
  </si>
  <si>
    <t>Home Fire Safety Visit Charts</t>
  </si>
  <si>
    <t>Outcome</t>
  </si>
  <si>
    <t>Rurality</t>
  </si>
  <si>
    <t>Outcome and Smoke Alarms Installed</t>
  </si>
  <si>
    <t>Distinct Properties</t>
  </si>
  <si>
    <t>Households Visited</t>
  </si>
  <si>
    <t>Deprivation</t>
  </si>
  <si>
    <t>Home Fire Safety Visits (HFSV) by Outcome and Smoke Alarms Installed, by Local Authority - Percentage</t>
  </si>
  <si>
    <t>Home Fire Safety Visits (HFSV) by Outcome, by Local Authority - Percentage of Households</t>
  </si>
  <si>
    <t>Non-domestic Fire Safety</t>
  </si>
  <si>
    <t>Workflows</t>
  </si>
  <si>
    <t>Risk</t>
  </si>
  <si>
    <t>Premises Type</t>
  </si>
  <si>
    <t>Outcome and Time for Completion</t>
  </si>
  <si>
    <t>Notices Issued</t>
  </si>
  <si>
    <t>Non-domestic Fire Safety Charts</t>
  </si>
  <si>
    <t>Category</t>
  </si>
  <si>
    <t xml:space="preserve"> Resilience Appliances</t>
  </si>
  <si>
    <t>Link</t>
  </si>
  <si>
    <t>link</t>
  </si>
  <si>
    <t>Reporting Structure</t>
  </si>
  <si>
    <t>GRS1</t>
  </si>
  <si>
    <t>FS_CM1</t>
  </si>
  <si>
    <t>FS_CMLA1</t>
  </si>
  <si>
    <t>FS_PC1</t>
  </si>
  <si>
    <t>FS_PCLA1</t>
  </si>
  <si>
    <t>C_FS_P1</t>
  </si>
  <si>
    <t>C_FS_M1</t>
  </si>
  <si>
    <t>FL_LA1</t>
  </si>
  <si>
    <t>FL_TY1</t>
  </si>
  <si>
    <t>Disability - Not Known</t>
  </si>
  <si>
    <t>C_FS_LAB1</t>
  </si>
  <si>
    <t>WF_STH1</t>
  </si>
  <si>
    <t>WF_STF1</t>
  </si>
  <si>
    <t>WF_STDEF1</t>
  </si>
  <si>
    <t>WF_STDEH1</t>
  </si>
  <si>
    <t>WF_STRSH1</t>
  </si>
  <si>
    <t>WF_STGAH1</t>
  </si>
  <si>
    <t>WF_STRH1</t>
  </si>
  <si>
    <t>WF_STRRSH1</t>
  </si>
  <si>
    <t>WF_WRGAH1</t>
  </si>
  <si>
    <t>WF_RRGH1</t>
  </si>
  <si>
    <t>C_WF_STH1</t>
  </si>
  <si>
    <t>C_WF_STF1</t>
  </si>
  <si>
    <t>C_WF_STGH1</t>
  </si>
  <si>
    <t>C_WF_STARH1</t>
  </si>
  <si>
    <t>AT_ROIS1</t>
  </si>
  <si>
    <t>AT_NOIS1</t>
  </si>
  <si>
    <t>AT_ROILAS1</t>
  </si>
  <si>
    <t>C_ATS1</t>
  </si>
  <si>
    <t>C_ATIS1</t>
  </si>
  <si>
    <t>Rate of Households</t>
  </si>
  <si>
    <t>C_HV_OS1</t>
  </si>
  <si>
    <t>C_HV_AIS1</t>
  </si>
  <si>
    <t>C_HV_RURP1</t>
  </si>
  <si>
    <t>C_HV_RESP1</t>
  </si>
  <si>
    <t>C_HV_LAP1</t>
  </si>
  <si>
    <t>C_ND_WS1</t>
  </si>
  <si>
    <t>C_ND_RS1</t>
  </si>
  <si>
    <t>WF_CRGH1</t>
  </si>
  <si>
    <t>WF_SRGH1</t>
  </si>
  <si>
    <t>WF_VRGH1</t>
  </si>
  <si>
    <t>WF_WRGF1</t>
  </si>
  <si>
    <t>WF_RRGF1</t>
  </si>
  <si>
    <t>WF_CRGF1</t>
  </si>
  <si>
    <t>WF_SRGF1</t>
  </si>
  <si>
    <t>WF_STGH1</t>
  </si>
  <si>
    <t>WF_STG2H1</t>
  </si>
  <si>
    <t>WF_STGRH1</t>
  </si>
  <si>
    <t>WF_STGRF1</t>
  </si>
  <si>
    <t>WF_STARH1</t>
  </si>
  <si>
    <t>WF_STARP1</t>
  </si>
  <si>
    <t>WF_STSLH1</t>
  </si>
  <si>
    <t>WF_STSLP1</t>
  </si>
  <si>
    <t>WF_STETP1</t>
  </si>
  <si>
    <t>WF_STDIP1</t>
  </si>
  <si>
    <t>WF_STDNP1</t>
  </si>
  <si>
    <t>WF_NEARS1</t>
  </si>
  <si>
    <t>WF_NEGS1</t>
  </si>
  <si>
    <t>WF_NEETP1</t>
  </si>
  <si>
    <t>WF_NEDIP1</t>
  </si>
  <si>
    <t>WF_LERLP1</t>
  </si>
  <si>
    <t>HV_OS1</t>
  </si>
  <si>
    <t>HV_OR1</t>
  </si>
  <si>
    <t>HV_HR1</t>
  </si>
  <si>
    <t>HV_DPS1</t>
  </si>
  <si>
    <t>HV_DPAIS1</t>
  </si>
  <si>
    <t>HV_DPP1</t>
  </si>
  <si>
    <t>HV_DPAIP1</t>
  </si>
  <si>
    <t>HV_RESARS1</t>
  </si>
  <si>
    <t>HV_RESARP1</t>
  </si>
  <si>
    <t>HV_DEPS1</t>
  </si>
  <si>
    <t>HV_DEPP1</t>
  </si>
  <si>
    <t>HV_RURS1</t>
  </si>
  <si>
    <t>HV_RURP1</t>
  </si>
  <si>
    <t>HV_OLAS1</t>
  </si>
  <si>
    <t>HV_OLAP1</t>
  </si>
  <si>
    <t>HV_OLAR1</t>
  </si>
  <si>
    <t>ND_WS1</t>
  </si>
  <si>
    <t>ND_APTS1</t>
  </si>
  <si>
    <t>ND_APTLA1</t>
  </si>
  <si>
    <t>ND_OTS1</t>
  </si>
  <si>
    <t>ND_OTPTS1</t>
  </si>
  <si>
    <t>ND_OTPTLAS1</t>
  </si>
  <si>
    <t>ND_NIS1</t>
  </si>
  <si>
    <t>ND_ARS1</t>
  </si>
  <si>
    <t>ND_ARP1</t>
  </si>
  <si>
    <t>There are five station crewing models in use in Scotland. These aggregate into the three primary crewing types which are also published. Please see the Guidance Notes publication for definitions and further details.</t>
  </si>
  <si>
    <t>Stations which operate with more than one crewing model are counted in the category with the highest level of cover. Please see the Guidance Notes document for definitions and further details.</t>
  </si>
  <si>
    <t>Chart Code</t>
  </si>
  <si>
    <t>It was not possible to publish data on the number of fire boats in 2013-14. The total appliances figure is consequently lower than other years, this is provided for information and should not be used for comparison between years.</t>
  </si>
  <si>
    <t>The Resilience Appliances figure for 2015-16 is an undercount. Year-to-year comparison in both the Resilience and Other Operational categories is not recommended. The issue stems from a mismatch between the CIPFA categories and those recorded on the national fleet system. This longstanding issue has led to variation in definitions prior to the formation of SFRS. Subsequently, while efforts have been made to mitigate this issue, it is still challenging to match these categories.</t>
  </si>
  <si>
    <t>It was not possible to backdate the Officer Response Vehicles or Other Vehicles categories as we can not determine, according to the CIPFA guidelines,  which cars were used operationaly in 2016-17 or previously. The figure for 2017-18 should be considered a foor value as this was mid way through the rollout of an officer provided car scheme. The count for 2018-19 should also be considered a lower estimate albeit more robust.</t>
  </si>
  <si>
    <t>Department' is not a term used internally by SFRS, rather SFRS is split into Directorates, Units and Functions. These departments are a merger of internal structures which have been produced for clarity.</t>
  </si>
  <si>
    <t>- in cells indicates where area breakdown by staff type is not applicable.</t>
  </si>
  <si>
    <t>Staff counts are provided at the geographic area appropriate for the staff type and position in the SFRS working structure. For example wholetime operational staff crewing an appliance in a fire station are reported at local authority while wholetime operational staff who work in prevention would report at Local Senior Officer Area as their work relates to that geographic area. Support staff are reported at a Service Delivery Area level where their work relates to that geography and reported nationally otherwise.</t>
  </si>
  <si>
    <t>The Brigade Manager category had included Deputy Assistant Chief Officers (DACOs) in 2014-15 and 2015-16, these are now counted in the Area manager category. This change could not be backdated.</t>
  </si>
  <si>
    <t>The Station Manager category formerly included a small number of staff at Local Authority level, since 2016-17 they have all been reported at Local Senior Officer Area.</t>
  </si>
  <si>
    <t>Please note that support staff category definitions are not as consistently applied as uniformed role categories.</t>
  </si>
  <si>
    <t>There were 12 volunteers whose age was not known in 2015-16, they have been excluded from the figures.</t>
  </si>
  <si>
    <t>Scotland (total)</t>
  </si>
  <si>
    <t>These figures present the ratio of staff headcount where a disability has been recorded, to the total headcount for each staff group.</t>
  </si>
  <si>
    <t>These figures present the ratio of staff headcount where SFRS does not know a disability status, to the total headcount for each staff group. Please note this does not include staff who have a record showing no disability.</t>
  </si>
  <si>
    <t>This table presents the age range of people who joined SFRS in 2018-19. Please note that the difference between those who joined SFRS and those who left is not the same as the change in headcount. It is possible for people to have multiple roles and staff already in the SFRS database will not be counted in these figures.</t>
  </si>
  <si>
    <t>Please note that the difference between those who joined SFRS and those who left is not the same as the change in headcount. It is possible for people to have multiple roles and staff already in the SFRS database will not be counted in these figures.</t>
  </si>
  <si>
    <t>This table presents the reason recorded for those who left SFRS in 2018-19. Please note that the difference between those who joined SFRS and those who left is not the same as the change in headcount. Staff are recorded as leaving when they are no longer in a post with SFRS.</t>
  </si>
  <si>
    <t>Percentages are based on a headcount which is the average of the figure published at the end of the previous financial year and the end of the current one.</t>
  </si>
  <si>
    <t>An attack on SFRS personnel is recorded as 'Related to Operational Incidents' if it occurred on the way to, at the scene of, or returning from an operational incident, or affects Control Room staff responding to emergency calls.</t>
  </si>
  <si>
    <t>An attack on SFRS personnel is recorded as 'not Related to Operational Incidents' if it did not occur on the way to, during or returning from an operational incident, and did not affect Control Room staff responding to emergency calls.</t>
  </si>
  <si>
    <t>A systematic error in the smoke alarms data used for these statistics was discovered in 2018-19; this caused an overestimation of the number of smoke alarms installed between the years 2013-14 and 2018-19 by an average of 29%. This has now been corrected. All home fire safety visit statistics for these years have also been revised. Please see the Statistical News publication for further discussion.</t>
  </si>
  <si>
    <t>The smoke alarm figures publsihed should be considered a lower estimate as it has not been possible to fully resolve a data quality issue. Please see Guidance Notes for further details.</t>
  </si>
  <si>
    <t>Light greyed cells have quality issues that should be considered before using the statistics.</t>
  </si>
  <si>
    <t>All home fire safety visit statistics publied since 2013-14 were revised in 2018-19.</t>
  </si>
  <si>
    <r>
      <t xml:space="preserve">Household data comes from </t>
    </r>
    <r>
      <rPr>
        <i/>
        <sz val="11"/>
        <rFont val="Calibri"/>
        <family val="2"/>
        <scheme val="minor"/>
      </rPr>
      <t>National Records of Scotland, Estimates of Households and Dwellings in Scotland</t>
    </r>
  </si>
  <si>
    <t>https://www.nrscotland.gov.uk/statistics-and-data/statistics/statistics-by-theme/households/household-estimates</t>
  </si>
  <si>
    <t>Non-repeat visits are those where the premises was not visited in the previous three years.</t>
  </si>
  <si>
    <t>A small proportion of home fire safety visits are to properties which were previously visited within the year. This table provides figures of the numbers of distinct properties visited in a one year, three year and five year period.</t>
  </si>
  <si>
    <t>A small proportion of home fire safety visits are to properties which were previously visited within the year. This table provides figures of the numbers of distinct properties visited in a one year, three year and five year period where smoke alarms were installed.</t>
  </si>
  <si>
    <t>These statistics are based on the number of distinct properties visited by SFRS over one year, three years and five years compared to the National Records of Scotland published Households statistics.</t>
  </si>
  <si>
    <t>These statistics are based on the number of distinct properties visited by SFRS over one year, three years and five years where smoke alarms were installed compared to the National Records of Scotland published Households statistics.</t>
  </si>
  <si>
    <t>This table presents aggregate figures of the residents of households visited. Where two people live in a household where one is aged 31 to 60 and the other aged over 60 then each person would be included in the appropriate total in this table regardless of whether they were in the home at the time of the visit. The total therefore provides the sum of all of the residents of every household which had a home fire safety visit.</t>
  </si>
  <si>
    <t>This table presents aggregate figures of the residents of households visited compared to the population of Scotland in each age range. In other words this is the percentage of the Scottish population who live in housholds which had a home fire safety visit by age range.</t>
  </si>
  <si>
    <r>
      <t xml:space="preserve">Population statistics are sourced from the National Records of Scotland </t>
    </r>
    <r>
      <rPr>
        <i/>
        <sz val="11"/>
        <color theme="1"/>
        <rFont val="Calibri"/>
        <family val="2"/>
        <scheme val="minor"/>
      </rPr>
      <t>Mid-year Population Estimates</t>
    </r>
  </si>
  <si>
    <t>https://www.nrscotland.gov.uk/statistics-and-data/statistics/statistics-by-theme/population/population-estimates/mid-year-population-estimates</t>
  </si>
  <si>
    <t>https://www2.gov.scot/Topics/Statistics/SIMD</t>
  </si>
  <si>
    <t>This table provides the number of home fire safety visits by the Scottish Index of Multiple Deprivation quintiles where 1 is the 20% most deprived areas and 5 is the 20% least deprived areas.</t>
  </si>
  <si>
    <t>All years will be revised at the next update</t>
  </si>
  <si>
    <t>This table provides the number of home fire safety visits by the Scottish Government published Urban-Rural 6 Fold index.</t>
  </si>
  <si>
    <t>This table provides the rate of home fire safety visits per 100 Occupied Dwellings, by the Scottish Index of Multiple Deprivation quintiles where 1 is the 20% most deprived areas and 5 is the 20% least deprived areas.</t>
  </si>
  <si>
    <t>https://www.nrscotland.gov.uk/statistics-and-data/statistics/statistics-by-theme/households/household-estimates/small-area-statistics-on-households-and-dwellings</t>
  </si>
  <si>
    <t>https://www2.gov.scot/Topics/Statistics/About/Methodology/UrbanRuralClassification</t>
  </si>
  <si>
    <t>This table provides the rate of home fire safety visits per 100 Occupied Dwellings, by the Scottish Government published Urban-Rural 6 Fold index.</t>
  </si>
  <si>
    <t>The number of Enforcement and Prohibition Notices provided is the count of workflows fully completed rather than the count of notices issued within the financial year. Workflows which require Formal Notices can take years to fully complete. We also publish a table on notices issued by financial year.</t>
  </si>
  <si>
    <t>The number of Enforcement and Prohibition Notices provided is the count of workflows fully completed rather than the count of notices issued within the financial year. Workflows which require formal Notices can take years to fully complete. We also publish a table on the number of Formal Notices issued by financial year.</t>
  </si>
  <si>
    <t>Prohibition Notices may be issued without having first completed an audit, they are therefore recorded as Site Visits rather than Audits and are presented here for reader interest.</t>
  </si>
  <si>
    <t>Please note that risks should only be compared within category, i.e. a medium risk hotel does not contain the same risk as a medium risk shop.</t>
  </si>
  <si>
    <t>Scotland (excluding boats)</t>
  </si>
  <si>
    <t xml:space="preserve"> - Geographic Reporting Structure</t>
  </si>
  <si>
    <t>Retained Full Time</t>
  </si>
  <si>
    <t>2019-20</t>
  </si>
  <si>
    <t>RDS Fulltime</t>
  </si>
  <si>
    <t>Stirling, Clackmannanshire and Fife</t>
  </si>
  <si>
    <t>Capabilities</t>
  </si>
  <si>
    <t>Target Crewing Level</t>
  </si>
  <si>
    <t>Duty System</t>
  </si>
  <si>
    <t>Operational Crewing</t>
  </si>
  <si>
    <t>Incident Command Officers</t>
  </si>
  <si>
    <t>Wholetime Operational Staff by Duty System - Headcount</t>
  </si>
  <si>
    <t>Office Duties</t>
  </si>
  <si>
    <t>Trainees</t>
  </si>
  <si>
    <t>Rate of Home Fire Safety Visits by SIMD</t>
  </si>
  <si>
    <t>Visits</t>
  </si>
  <si>
    <t>Tenure</t>
  </si>
  <si>
    <t>Housing Association</t>
  </si>
  <si>
    <t>Not Known</t>
  </si>
  <si>
    <t>Owner Occupier</t>
  </si>
  <si>
    <t>Private Let</t>
  </si>
  <si>
    <t>Column1</t>
  </si>
  <si>
    <t>Fire Engineering Consultation</t>
  </si>
  <si>
    <t>Day</t>
  </si>
  <si>
    <t>Firefighting Capabilities</t>
  </si>
  <si>
    <t>Water Pumping</t>
  </si>
  <si>
    <t>Tactical Ability within Water Pumping</t>
  </si>
  <si>
    <t>1 Pump</t>
  </si>
  <si>
    <t>2 Pumps</t>
  </si>
  <si>
    <t>3 Pumps</t>
  </si>
  <si>
    <t>Rapid Response Unit</t>
  </si>
  <si>
    <t>High Volume Pump</t>
  </si>
  <si>
    <t>Water Carrier</t>
  </si>
  <si>
    <t>Marine</t>
  </si>
  <si>
    <t>Foam</t>
  </si>
  <si>
    <t>Wildfire</t>
  </si>
  <si>
    <t>Specialist Capabilities</t>
  </si>
  <si>
    <t>Flooding</t>
  </si>
  <si>
    <t>Swift Water Response</t>
  </si>
  <si>
    <t>Environ-mental Protection Unit</t>
  </si>
  <si>
    <t>Hazmat Support Unit</t>
  </si>
  <si>
    <t>High Reach Rescue</t>
  </si>
  <si>
    <t>Rope Rescue</t>
  </si>
  <si>
    <t>Urban Search and Rescue</t>
  </si>
  <si>
    <t>Heavy Rescue</t>
  </si>
  <si>
    <t>Prime Mover Unit</t>
  </si>
  <si>
    <t>Command Support Unit</t>
  </si>
  <si>
    <t>Detection, Identification and Monitoring Unit</t>
  </si>
  <si>
    <t>Mass Decontamination</t>
  </si>
  <si>
    <t>Welfare</t>
  </si>
  <si>
    <t>Ballistic Protection</t>
  </si>
  <si>
    <t>Target Crewing Level By Type</t>
  </si>
  <si>
    <t>Owner Occupied</t>
  </si>
  <si>
    <t>The statistics included in this workbook are classed as Official Statistics. This means that they were produced in complinance with the Code of Practice for Statistics and without political interference.</t>
  </si>
  <si>
    <t>Updates are published annually in this workbook, please source statistics from the latest version.</t>
  </si>
  <si>
    <t>SFRS Local Senior Officer Area</t>
  </si>
  <si>
    <t>Formal Local Senior Officer Area</t>
  </si>
  <si>
    <t>Council</t>
  </si>
  <si>
    <t>Please note that in 2019-20 SFRS merged the 'Stirling and Clackmannanshire' and 'Fife' LSO areas to form the new 'Stirling, Clackmannanshire and Fife' area. This new area does not have a formal geographical code. The workforce section of these statistics is based on the administrative areas used by SFRS rather than the formal geographies.</t>
  </si>
  <si>
    <t>We have implemented a methodology change for counting Fire Stations which results in the number of volunteer stations increasing by 1 to 43. This change has been backdated. This follows user consultation in 2019.</t>
  </si>
  <si>
    <t>Experimental Statistics introduced in 2019-20</t>
  </si>
  <si>
    <t>Day crewing is wholetime during the day and retained at night.</t>
  </si>
  <si>
    <t>Wholetime crewing involves 24 hour cover.</t>
  </si>
  <si>
    <t>Retained is on-call cover. This kind of crewing uses pooled resources within individual stations.</t>
  </si>
  <si>
    <t>Volunteer crewing does not involve agreed periods of on-call cover.</t>
  </si>
  <si>
    <t>Stations with Tactical Capabilities</t>
  </si>
  <si>
    <t>Total Tactical Capabilities</t>
  </si>
  <si>
    <t>Stations with Specialist Capabilities</t>
  </si>
  <si>
    <t>Total Specialist Capabilities</t>
  </si>
  <si>
    <t>Capabilities can be determined both by the presence of equipment or vehicles, and trained personnel.</t>
  </si>
  <si>
    <t>A single crew can be trained and resourced for multiple capabilites which are mobiliesed based on need, this 'Dual Crewing' is common place.</t>
  </si>
  <si>
    <t>High Reach Rescue vehicles, while a specialist capability in their own right, can also be used as a tactical capabiltiy in firefighting where water is pumped down onto a fire from height.</t>
  </si>
  <si>
    <t>FS_TCL1</t>
  </si>
  <si>
    <t>FS_CAP1</t>
  </si>
  <si>
    <t>Fire Stations and Capabilities</t>
  </si>
  <si>
    <t xml:space="preserve"> - Fire Stations and Capabilities</t>
  </si>
  <si>
    <t>Fire Station Capabilities</t>
  </si>
  <si>
    <t>SFRS Fleet data is administed principally for the purpose of managing the lifecycle and maintenance of vehicles. Identifying vehicles as operational, reserve or training is conducted as accurately as possible but may not be exact. Please see station capabilites for details of what is available for operational response.</t>
  </si>
  <si>
    <t>In 2020 we introduced a new staff type, Retained Full-time. This staff group work in areas with a cluster of Retained Duty System stations and supplement the local on-call cover, as well as conduct local community engagement.</t>
  </si>
  <si>
    <t>Retained Full-time</t>
  </si>
  <si>
    <t>Staff on Office Duties includes those working in Fire Investigation and Fire Safety Enforcement as well as those involved in planning and in other departments.</t>
  </si>
  <si>
    <t>1:LA Total</t>
  </si>
  <si>
    <t>2:LSO Total</t>
  </si>
  <si>
    <t>3:SDA Total</t>
  </si>
  <si>
    <t>4:National Total</t>
  </si>
  <si>
    <t>Wholetime Operational Staff by Duty System and Local Authority - Headcount</t>
  </si>
  <si>
    <t>Brigade Commander</t>
  </si>
  <si>
    <t>Area Commander</t>
  </si>
  <si>
    <t>Group Commander</t>
  </si>
  <si>
    <t>Station Commander</t>
  </si>
  <si>
    <t>Watch Commander</t>
  </si>
  <si>
    <t>Crew Commander</t>
  </si>
  <si>
    <t>The Brigade Commander category had included Deputy Assistant Chief Officers (DACOs) in 2014-15 and 2015-16, these are now counted in the Area Commander category. This change could not be backdated.</t>
  </si>
  <si>
    <t>The staff role category names were changed in 2020 from 'Manager' to 'Commander' as SFRS changed this language internally, this ensures consistency of language in describing Uniformed Staff Roles in Scotland. There has been no change to the definitions of the roles and they remain comparable with categories used elsewhere, e.g. Area Commander is synonymous with Area Manager.</t>
  </si>
  <si>
    <t>Operational Crews</t>
  </si>
  <si>
    <t>Sum of Brigade Commander</t>
  </si>
  <si>
    <t>Sum of Area Commander</t>
  </si>
  <si>
    <t>Sum of Group Commander</t>
  </si>
  <si>
    <t>Sum of Station Commander</t>
  </si>
  <si>
    <t>Sum of Watch Commander</t>
  </si>
  <si>
    <t>Sum of Crew Commander</t>
  </si>
  <si>
    <t>It was not possible to backdate Ethnicity figures for Retained Full-time staff to their inception in 2017-18.</t>
  </si>
  <si>
    <t>It was not possible to backdate Disability figures for Retained Full-time staff to their inception in 2017-18.</t>
  </si>
  <si>
    <t>Disabled</t>
  </si>
  <si>
    <t>Not Disabled</t>
  </si>
  <si>
    <t>Dismissal</t>
  </si>
  <si>
    <t>End of contract</t>
  </si>
  <si>
    <t>Resignation</t>
  </si>
  <si>
    <t>Retirement - 30 Years Service</t>
  </si>
  <si>
    <t>Retirement - Age</t>
  </si>
  <si>
    <t>Retirement - Early</t>
  </si>
  <si>
    <t>Retirement - Health</t>
  </si>
  <si>
    <t>Transfer - To another F&amp;R Service</t>
  </si>
  <si>
    <t>TUPE Transfer</t>
  </si>
  <si>
    <t>Voluntary Severance</t>
  </si>
  <si>
    <t>C_WF_STSLH1</t>
  </si>
  <si>
    <t>WF_STDSH1</t>
  </si>
  <si>
    <t>WF_STDSLAH1</t>
  </si>
  <si>
    <t>WF_STRDSH1</t>
  </si>
  <si>
    <t>Uniformed Staff by Role and Duty System - Headcount</t>
  </si>
  <si>
    <t>C_ATSLA1</t>
  </si>
  <si>
    <t>Attacks</t>
  </si>
  <si>
    <t>Two new categories of work initiated in 2019-20. Post Fire Short Audits take place when a premises which has been fully audited in the last year has a fire incident. Fire Engineering Consultations are provided by a specialist team to advise new building works.</t>
  </si>
  <si>
    <t>The 2017-18, 2018-19 and 2019-20 figures for Audits do not include partial audits of the communal areas of multi-story residential buildings of which there were 76, 24 and 5 respectively. Please see Guidance Notes for discussion.</t>
  </si>
  <si>
    <t>Due to quality concerns arising from a change in data collection software, hours recorded cannot be reported for 2019-20.</t>
  </si>
  <si>
    <t>Audits by Premises Type and Risk Share</t>
  </si>
  <si>
    <t>C_ND_RS2</t>
  </si>
  <si>
    <t>Risk Share</t>
  </si>
  <si>
    <t>FTE</t>
  </si>
  <si>
    <t>Asset Management</t>
  </si>
  <si>
    <t>Business Support</t>
  </si>
  <si>
    <t>Finance &amp; Procurement</t>
  </si>
  <si>
    <t>Health and Safety</t>
  </si>
  <si>
    <t xml:space="preserve">Information Communication Technology </t>
  </si>
  <si>
    <t>People &amp; Organisational Development</t>
  </si>
  <si>
    <t>Prevention and Protection</t>
  </si>
  <si>
    <t>Response and Resilience</t>
  </si>
  <si>
    <t>Senior Leadership Team</t>
  </si>
  <si>
    <t>Service Delivery</t>
  </si>
  <si>
    <t>Service Transformation</t>
  </si>
  <si>
    <t>Strategic Planning Performance and Communication</t>
  </si>
  <si>
    <t>Training and Employee Development</t>
  </si>
  <si>
    <t>Sum of Per</t>
  </si>
  <si>
    <t>Sum of Total Of PositionRef</t>
  </si>
  <si>
    <t>Of the smoke alarms installed:</t>
  </si>
  <si>
    <t>Data from 2013-14 to 2018-19 was revised as a one-off in 2020, this was both to ensure consistency with newly developed tables as well as to address an instance of double counting which is proportionally very small.</t>
  </si>
  <si>
    <t>Tenure of Households Visited in Home Fire Safety Visits</t>
  </si>
  <si>
    <t>HV_TENS1</t>
  </si>
  <si>
    <t>Alarms Installed in Home Fire Safety Visits by Deprivation of Area</t>
  </si>
  <si>
    <t>Home Fire Safety Visits with Alarms Installed by Deprivation of Area - Percentage of Occupied Dwellings</t>
  </si>
  <si>
    <t>Alarms Installed by SIMD Quintile</t>
  </si>
  <si>
    <t>Rate of Home Fire Safety Visits with Alarms Installed per 100 Occupied Dwellings by SIMD Quintile</t>
  </si>
  <si>
    <t>Percentage of Home Fire Safety Visits with Alarms Installed by SIMD Quintile</t>
  </si>
  <si>
    <t>Percentage of Home Fire Safety Visits with Alarms Installed in Owner Occupied Properties by SIMD Quintile</t>
  </si>
  <si>
    <t>Percentage of Home Fire Safety Visits with Alarms Installed by Deprivation of Area</t>
  </si>
  <si>
    <t>Percentage of Home Fire Safety Visits with Alarms Installed in Owner Occupied Properties by Deprivation of Area</t>
  </si>
  <si>
    <t>This table uses the Scottish Index of Multiple Deprivation quintiles where 1 is the 20% most deprived areas and 5 is the 20% least deprived areas.</t>
  </si>
  <si>
    <t>C_HV_SIMDP1</t>
  </si>
  <si>
    <t>Rate of Home Fire Safety Visits with Alarms Installed by SIMD Quintile</t>
  </si>
  <si>
    <t>C_HV_SIMDAR1</t>
  </si>
  <si>
    <t>C_HV_SIMDAP1</t>
  </si>
  <si>
    <t>C_HV_SIMDOOP1</t>
  </si>
  <si>
    <t>Alarms</t>
  </si>
  <si>
    <t>HV_DEPALS1</t>
  </si>
  <si>
    <t>HV_DEPALR1</t>
  </si>
  <si>
    <t>HV_DEPALPER1</t>
  </si>
  <si>
    <t>HV_DEPALOOCP1</t>
  </si>
  <si>
    <t>Trend</t>
  </si>
  <si>
    <t>C_HV_SIMDOOCT1</t>
  </si>
  <si>
    <t>C_HV_LAM1</t>
  </si>
  <si>
    <t>C_HV_LAALM1</t>
  </si>
  <si>
    <t>Rate of Alarms Installed per 100 Occupied Dwellings by Local Authority</t>
  </si>
  <si>
    <t>Rate of Home Fire Safety Visits per 100 Occupied Dwellings by Local Authority - Map</t>
  </si>
  <si>
    <t>Percentage of Alarms Installed Home Fire Safety Visits by Local Authority</t>
  </si>
  <si>
    <t>C_HV_LAALPM1</t>
  </si>
  <si>
    <t>Note</t>
  </si>
  <si>
    <t>Volunteer staff figures presented in this table differ from that in the headline Staffing table as a methodology revision was not backdated in order to protect privacy.</t>
  </si>
  <si>
    <t>TotalExVol</t>
  </si>
  <si>
    <t>In 2020 the Percentage of Non-repeat Visits was corrected to include the total number of visits rather than the number of distinct properties.</t>
  </si>
  <si>
    <t xml:space="preserve">These figures were revised in 2020 to resolve a small instance of double counting. </t>
  </si>
  <si>
    <t>This table was revised in 2020 to remove a small instance of double counting.</t>
  </si>
  <si>
    <t>2020-21</t>
  </si>
  <si>
    <t>In 2019-20 we implemented a methodology change for counting Fire Stations which results in the number of volunteer stations increasing by 1 to 43. This change has been backdated. This follows user consultation in 2019.</t>
  </si>
  <si>
    <t>In 2019-20, we implemented a methodology change for counting Fire Stations which results in the number of volunteer stations increasing by 1 to 43. This change has been backdated. This follows user consultation in 2019.</t>
  </si>
  <si>
    <t>2019-19</t>
  </si>
  <si>
    <t>Incidents Resulting in Injuries</t>
  </si>
  <si>
    <t>Other acts of aggression</t>
  </si>
  <si>
    <t>Verbal abuse</t>
  </si>
  <si>
    <t>Physical abuse</t>
  </si>
  <si>
    <t>S12000049</t>
  </si>
  <si>
    <t>S12000050</t>
  </si>
  <si>
    <t>2010-11</t>
  </si>
  <si>
    <t>2</t>
  </si>
  <si>
    <t>3</t>
  </si>
  <si>
    <t>4</t>
  </si>
  <si>
    <t>GSSCode</t>
  </si>
  <si>
    <t>TotalNewAlarms</t>
  </si>
  <si>
    <t>TotalReplacedAlarms</t>
  </si>
  <si>
    <t>TotalAlarms</t>
  </si>
  <si>
    <t>Dwellings</t>
  </si>
  <si>
    <t>VisitsPer100Dwelling</t>
  </si>
  <si>
    <t>AlarmsPer100Dwelling</t>
  </si>
  <si>
    <t>VisitsPer100Household</t>
  </si>
  <si>
    <t>AlarmsPer100Household</t>
  </si>
  <si>
    <t>Sum of HFSV - alarms installed</t>
  </si>
  <si>
    <t>Sum of HFSV - advice only</t>
  </si>
  <si>
    <t>Sum of Total HFSV</t>
  </si>
  <si>
    <t>Number of Scottish Population living in Households who had a HFSV</t>
  </si>
  <si>
    <t>Post Fire Short Audits</t>
  </si>
  <si>
    <t>Site Visits</t>
  </si>
  <si>
    <t>2009-10</t>
  </si>
  <si>
    <t>Other Workplace</t>
  </si>
  <si>
    <t>Other Sleeping Accomm</t>
  </si>
  <si>
    <t>S12000048</t>
  </si>
  <si>
    <t>Sum of Other Sleeping Accomm</t>
  </si>
  <si>
    <t>A_Tally</t>
  </si>
  <si>
    <t>A_Hours</t>
  </si>
  <si>
    <t>B_Tally</t>
  </si>
  <si>
    <t>B_Hours</t>
  </si>
  <si>
    <t>Enforcement_Tally</t>
  </si>
  <si>
    <t>Enforcement_Hours</t>
  </si>
  <si>
    <t>Prohibition_Tally</t>
  </si>
  <si>
    <t>Prohibition_Hours</t>
  </si>
  <si>
    <t>Hours5</t>
  </si>
  <si>
    <t>FSEC</t>
  </si>
  <si>
    <t>PremisesType</t>
  </si>
  <si>
    <t>VL</t>
  </si>
  <si>
    <t>VH</t>
  </si>
  <si>
    <t>Sum of Not Known</t>
  </si>
  <si>
    <t>In 2020-21, Remote Audits were introduced due to the Covid-19 pandemic. These accounted for 1,018 of full audits reported in 2020-21.</t>
  </si>
  <si>
    <t>Type</t>
  </si>
  <si>
    <t>PostConv</t>
  </si>
  <si>
    <t>Watch manager</t>
  </si>
  <si>
    <t>Control Total</t>
  </si>
  <si>
    <t>RDS Total</t>
  </si>
  <si>
    <t>Support Total</t>
  </si>
  <si>
    <t>Vol Total</t>
  </si>
  <si>
    <t>WT Total</t>
  </si>
  <si>
    <t xml:space="preserve">  Watch Manager</t>
  </si>
  <si>
    <t>WTFemale</t>
  </si>
  <si>
    <t>WTMale</t>
  </si>
  <si>
    <t>RDSFemale</t>
  </si>
  <si>
    <t>RDSMale</t>
  </si>
  <si>
    <t>RDS FulltimeMale</t>
  </si>
  <si>
    <t>RDS FulltimeFemale</t>
  </si>
  <si>
    <t>ControlFemale</t>
  </si>
  <si>
    <t>ControlMale</t>
  </si>
  <si>
    <t>SupportFemale</t>
  </si>
  <si>
    <t>SupportMale</t>
  </si>
  <si>
    <t>VolFemale</t>
  </si>
  <si>
    <t>VolMale</t>
  </si>
  <si>
    <t>20-29</t>
  </si>
  <si>
    <t>30-39</t>
  </si>
  <si>
    <t>55-65</t>
  </si>
  <si>
    <t>Not Recorded</t>
  </si>
  <si>
    <t>Attribute</t>
  </si>
  <si>
    <t>Value</t>
  </si>
  <si>
    <t>&gt;66</t>
  </si>
  <si>
    <t>Sum of Wholetime Operational</t>
  </si>
  <si>
    <t>Sum of Retained Duty System</t>
  </si>
  <si>
    <t>Sum of Retained Full-time</t>
  </si>
  <si>
    <t>Sum of Support Staff</t>
  </si>
  <si>
    <t>Column2</t>
  </si>
  <si>
    <t>Column3</t>
  </si>
  <si>
    <t>Column4</t>
  </si>
  <si>
    <t>Column5</t>
  </si>
  <si>
    <t>Column6</t>
  </si>
  <si>
    <t>Column7</t>
  </si>
  <si>
    <t>Sum of Volunteers</t>
  </si>
  <si>
    <t>TUPE Tranfer</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</si>
  <si>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</si>
  <si>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</si>
  <si>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</si>
  <si>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</si>
  <si>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</si>
  <si>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</si>
  <si>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</si>
  <si>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</si>
  <si>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</si>
  <si>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</si>
  <si>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</si>
  <si>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</si>
  <si>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</si>
  <si>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</si>
  <si>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</si>
  <si>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</si>
  <si>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</si>
  <si>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</si>
  <si>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</si>
  <si>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</si>
  <si>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</si>
  <si>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</si>
  <si>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</si>
  <si>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</si>
  <si>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</si>
  <si>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</si>
  <si>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</si>
  <si>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</si>
  <si>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</si>
  <si>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</si>
  <si>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</si>
  <si>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</si>
  <si>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</si>
  <si>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</si>
  <si>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</si>
  <si>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</si>
  <si>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</si>
  <si>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</si>
  <si>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</si>
  <si>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</si>
  <si>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</si>
  <si>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</si>
  <si>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</si>
  <si>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</si>
  <si>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</si>
  <si>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</si>
  <si>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</si>
  <si>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</si>
  <si>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</si>
  <si>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</si>
  <si>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</si>
  <si>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</si>
  <si>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</si>
  <si>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</si>
  <si>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</si>
  <si>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</si>
  <si>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</si>
  <si>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</si>
  <si>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</si>
  <si>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</si>
  <si>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</si>
  <si>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</si>
  <si>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</si>
  <si>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</si>
  <si>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</si>
  <si>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</si>
  <si>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</si>
  <si>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</si>
  <si>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</si>
  <si>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</si>
  <si>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</si>
  <si>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</si>
  <si>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</si>
  <si>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</si>
  <si>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</si>
  <si>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</si>
  <si>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</si>
  <si>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</si>
  <si>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</si>
  <si>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</si>
  <si>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</si>
  <si>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</si>
  <si>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</si>
  <si>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</si>
  <si>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</si>
  <si>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</si>
  <si>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</si>
  <si>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</si>
  <si>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</si>
  <si>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</si>
  <si>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</si>
  <si>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</si>
  <si>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</si>
  <si>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</si>
  <si>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</si>
  <si>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</si>
  <si>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</si>
  <si>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</si>
  <si>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</si>
  <si>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</si>
  <si>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</si>
  <si>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</si>
  <si>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</si>
  <si>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</si>
  <si>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</si>
  <si>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</si>
  <si>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</si>
  <si>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</si>
  <si>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</si>
  <si>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</si>
  <si>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</si>
  <si>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</si>
  <si>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</si>
  <si>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</si>
  <si>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</si>
  <si>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</si>
  <si>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</si>
  <si>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</si>
  <si>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</si>
  <si>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</si>
  <si>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</si>
  <si>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</si>
  <si>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</si>
  <si>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</si>
  <si>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</si>
  <si>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</si>
  <si>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</si>
  <si>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</si>
  <si>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</si>
  <si>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</si>
  <si>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</si>
  <si>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</si>
  <si>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</si>
  <si>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</si>
  <si>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</si>
  <si>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</si>
  <si>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</si>
  <si>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</si>
  <si>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</si>
  <si>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</si>
  <si>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</si>
  <si>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</si>
  <si>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</si>
  <si>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</si>
  <si>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</si>
  <si>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</si>
  <si>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</si>
  <si>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</si>
  <si>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</si>
  <si>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</si>
  <si>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</si>
  <si>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</si>
  <si>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</si>
  <si>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</si>
  <si>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</si>
  <si>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</si>
  <si>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</si>
  <si>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</si>
  <si>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</si>
  <si>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</si>
  <si>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</si>
  <si>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</si>
  <si>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</si>
  <si>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</si>
  <si>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</si>
  <si>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</si>
  <si>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</si>
  <si>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</si>
  <si>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</si>
  <si>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</si>
  <si>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</si>
  <si>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</si>
  <si>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</si>
  <si>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</si>
  <si>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</si>
  <si>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</si>
  <si>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</si>
  <si>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</si>
  <si>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</si>
  <si>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</si>
  <si>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</si>
  <si>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</si>
  <si>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</si>
  <si>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</si>
  <si>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</si>
  <si>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</si>
  <si>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</si>
  <si>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</si>
  <si>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</si>
  <si>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</si>
  <si>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</si>
  <si>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</si>
  <si>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</si>
  <si>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</si>
  <si>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</si>
  <si>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</si>
  <si>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</si>
  <si>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</si>
  <si>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</si>
  <si>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</si>
  <si>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</si>
  <si>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</si>
  <si>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</si>
  <si>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</si>
  <si>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</si>
  <si>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</si>
  <si>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</si>
  <si>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</si>
  <si>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</si>
  <si>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</si>
  <si>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</si>
  <si>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</si>
  <si>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</si>
  <si>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</si>
  <si>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</si>
  <si>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</si>
  <si>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</si>
  <si>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</si>
  <si>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</si>
  <si>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</si>
  <si>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</si>
  <si>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</si>
  <si>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</si>
  <si>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</si>
  <si>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</si>
  <si>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</si>
  <si>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</si>
  <si>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</si>
  <si>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</si>
  <si>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</si>
  <si>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</si>
  <si>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</si>
  <si>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</si>
  <si>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</si>
  <si>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</si>
  <si>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</si>
  <si>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</si>
  <si>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</si>
  <si>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</si>
  <si>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</si>
  <si>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</si>
  <si>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</si>
  <si>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</si>
  <si>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</si>
  <si>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</si>
  <si>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</si>
  <si>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</si>
  <si>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</si>
  <si>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</si>
  <si>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</si>
  <si>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</si>
  <si>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</si>
  <si>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</si>
  <si>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</si>
  <si>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</si>
  <si>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</si>
  <si>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</si>
  <si>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</si>
  <si>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</si>
  <si>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</si>
  <si>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</si>
  <si>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</si>
  <si>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</si>
  <si>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</si>
  <si>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</si>
  <si>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</si>
  <si>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</si>
  <si>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</si>
  <si>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</si>
  <si>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</si>
  <si>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</si>
  <si>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</si>
  <si>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</si>
  <si>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</si>
  <si>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</si>
  <si>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</si>
  <si>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</si>
  <si>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</si>
  <si>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</si>
  <si>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</si>
  <si>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</si>
  <si>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</si>
  <si>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</si>
  <si>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</si>
  <si>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</si>
  <si>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</si>
  <si>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</si>
  <si>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</si>
  <si>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</si>
  <si>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</si>
  <si>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</si>
  <si>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</si>
  <si>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</si>
  <si>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</si>
  <si>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</si>
  <si>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</si>
  <si>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</si>
  <si>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</si>
  <si>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</si>
  <si>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</si>
  <si>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</si>
  <si>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</si>
  <si>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</si>
  <si>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</si>
  <si>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</si>
  <si>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</si>
  <si>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</si>
  <si>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</si>
  <si>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</si>
  <si>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</si>
  <si>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</si>
  <si>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</si>
  <si>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</si>
  <si>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</si>
  <si>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</si>
  <si>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</si>
  <si>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</si>
  <si>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</si>
  <si>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</si>
  <si>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</si>
  <si>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</si>
  <si>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</si>
  <si>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</si>
  <si>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</si>
  <si>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</si>
  <si>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</si>
  <si>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</si>
  <si>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</si>
  <si>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</si>
  <si>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</si>
  <si>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</si>
  <si>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</si>
  <si>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</si>
  <si>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</si>
  <si>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</si>
  <si>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</si>
  <si>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</si>
  <si>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</si>
  <si>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</si>
  <si>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</si>
  <si>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</si>
  <si>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</si>
  <si>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</si>
  <si>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</si>
  <si>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</si>
  <si>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</si>
  <si>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</si>
  <si>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</si>
  <si>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</si>
  <si>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</si>
  <si>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</si>
  <si>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</si>
  <si>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</si>
  <si>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</si>
  <si>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</si>
  <si>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</si>
  <si>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</si>
  <si>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</si>
  <si>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</si>
  <si>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</si>
  <si>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</si>
  <si>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</si>
  <si>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</si>
  <si>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</si>
  <si>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</si>
  <si>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</si>
  <si>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</si>
  <si>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</si>
  <si>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</si>
  <si>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</si>
  <si>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</si>
  <si>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</si>
  <si>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</si>
  <si>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</si>
  <si>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</si>
  <si>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</si>
  <si>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</si>
  <si>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</si>
  <si>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</si>
  <si>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</si>
  <si>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</si>
  <si>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</si>
  <si>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</si>
  <si>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</si>
  <si>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</si>
  <si>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</si>
  <si>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</si>
  <si>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</si>
  <si>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</si>
  <si>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</si>
  <si>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</si>
  <si>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</si>
  <si>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</si>
  <si>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</si>
  <si>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</si>
  <si>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</si>
  <si>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</si>
  <si>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</si>
  <si>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</si>
  <si>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</si>
  <si>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</si>
  <si>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</si>
  <si>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</si>
  <si>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</si>
  <si>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</si>
  <si>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</si>
  <si>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</si>
  <si>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</si>
  <si>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</si>
  <si>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</si>
  <si>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</si>
  <si>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</si>
  <si>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</si>
  <si>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</si>
  <si>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</si>
  <si>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</si>
  <si>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</si>
  <si>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</si>
  <si>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</si>
  <si>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</si>
  <si>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</si>
  <si>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</si>
  <si>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</si>
  <si>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</si>
  <si>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</si>
  <si>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</si>
  <si>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</si>
  <si>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</si>
  <si>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</si>
  <si>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</si>
  <si>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</si>
  <si>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</si>
  <si>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</si>
  <si>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</si>
  <si>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</si>
  <si>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</si>
  <si>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</si>
  <si>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</si>
  <si>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</si>
  <si>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</si>
  <si>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</si>
  <si>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</si>
  <si>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</si>
  <si>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</si>
  <si>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</si>
  <si>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</si>
  <si>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</si>
  <si>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</si>
  <si>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</si>
  <si>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</si>
  <si>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</si>
  <si>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</si>
  <si>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</si>
  <si>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</si>
  <si>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</si>
  <si>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</si>
  <si>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</si>
  <si>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</si>
  <si>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</si>
  <si>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</si>
  <si>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</si>
  <si>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</si>
  <si>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</si>
  <si>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</si>
  <si>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</si>
  <si>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</si>
  <si>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</si>
  <si>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</si>
  <si>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</si>
  <si>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</si>
  <si>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</si>
  <si>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</si>
  <si>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</si>
  <si>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</si>
  <si>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</si>
  <si>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</si>
  <si>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</si>
  <si>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</si>
  <si>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</si>
  <si>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</si>
  <si>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</si>
  <si>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</si>
  <si>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</si>
  <si>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</si>
  <si>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</si>
  <si>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</si>
  <si>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</si>
  <si>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</si>
  <si>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</si>
  <si>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</si>
  <si>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</si>
  <si>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</si>
  <si>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</si>
  <si>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</si>
  <si>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</si>
  <si>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</si>
  <si>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</si>
  <si>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</si>
  <si>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</si>
  <si>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</si>
  <si>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</si>
  <si>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</si>
  <si>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</si>
  <si>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</si>
  <si>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</si>
  <si>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</si>
  <si>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</si>
  <si>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</si>
  <si>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</si>
  <si>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</si>
  <si>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</si>
  <si>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</si>
  <si>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</si>
  <si>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</si>
  <si>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</si>
  <si>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</si>
  <si>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</si>
  <si>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</si>
  <si>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</si>
  <si>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</si>
  <si>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</si>
  <si>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</si>
  <si>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</si>
  <si>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</si>
  <si>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</si>
  <si>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</si>
  <si>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</si>
  <si>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</si>
  <si>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</si>
  <si>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</si>
  <si>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</si>
  <si>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</si>
  <si>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</si>
  <si>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</si>
  <si>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</si>
  <si>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</si>
  <si>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</si>
  <si>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</si>
  <si>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</si>
  <si>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</si>
  <si>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</si>
  <si>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</si>
  <si>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</si>
  <si>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</si>
  <si>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</si>
  <si>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</si>
  <si>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</si>
  <si>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</si>
  <si>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</si>
  <si>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</si>
  <si>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</si>
  <si>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</si>
  <si>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</si>
  <si>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</si>
  <si>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</si>
  <si>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</si>
  <si>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</si>
  <si>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</si>
  <si>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</si>
  <si>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</si>
  <si>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</si>
  <si>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</si>
  <si>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</si>
  <si>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</si>
  <si>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</si>
  <si>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</si>
  <si>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</si>
  <si>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</si>
  <si>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</si>
  <si>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</si>
  <si>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</si>
  <si>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</si>
  <si>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</si>
  <si>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</si>
  <si>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</si>
  <si>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</si>
  <si>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</si>
  <si>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</si>
  <si>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</si>
  <si>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</si>
  <si>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</si>
  <si>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</si>
  <si>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</si>
  <si>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</si>
  <si>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</si>
  <si>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</si>
  <si>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</si>
  <si>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</si>
  <si>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</si>
  <si>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</si>
  <si>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</si>
  <si>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</si>
  <si>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</si>
  <si>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</si>
  <si>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</si>
  <si>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</si>
  <si>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</si>
  <si>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</si>
  <si>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</si>
  <si>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</si>
  <si>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</si>
  <si>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</si>
  <si>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</si>
  <si>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</si>
  <si>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</si>
  <si>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</si>
  <si>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</si>
  <si>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</si>
  <si>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</si>
  <si>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</si>
  <si>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</si>
  <si>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</si>
  <si>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</si>
  <si>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</si>
  <si>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</si>
  <si>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</si>
  <si>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</si>
  <si>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</si>
  <si>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</si>
  <si>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</si>
  <si>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</si>
  <si>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</si>
  <si>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</si>
  <si>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</si>
  <si>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</si>
  <si>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</si>
  <si>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</si>
  <si>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</si>
  <si>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</si>
  <si>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</si>
  <si>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</si>
  <si>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</si>
  <si>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</si>
  <si>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</si>
  <si>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</si>
  <si>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</si>
  <si>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</si>
  <si>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</si>
  <si>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</si>
  <si>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</si>
  <si>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</si>
  <si>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</si>
  <si>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</si>
  <si>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</si>
  <si>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</si>
  <si>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</si>
  <si>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</si>
  <si>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</si>
  <si>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</si>
  <si>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</si>
  <si>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</si>
  <si>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</si>
  <si>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</si>
  <si>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</si>
  <si>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</si>
  <si>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</si>
  <si>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</si>
  <si>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</si>
  <si>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</si>
  <si>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</si>
  <si>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</si>
  <si>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</si>
  <si>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</si>
  <si>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</si>
  <si>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</si>
  <si>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</si>
  <si>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</si>
  <si>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</si>
  <si>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</si>
  <si>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</si>
  <si>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</si>
  <si>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</si>
  <si>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</si>
  <si>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</si>
  <si>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</si>
  <si>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</si>
  <si>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</si>
  <si>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</si>
  <si>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</si>
  <si>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</si>
  <si>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</si>
  <si>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</si>
  <si>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</si>
  <si>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</si>
  <si>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</si>
  <si>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</si>
  <si>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</si>
  <si>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</si>
  <si>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</si>
  <si>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</si>
  <si>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</si>
  <si>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</si>
  <si>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</si>
  <si>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</si>
  <si>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</si>
  <si>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</si>
  <si>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</si>
  <si>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</si>
  <si>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</si>
  <si>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</si>
  <si>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</si>
  <si>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</si>
  <si>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</si>
  <si>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</si>
  <si>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</si>
  <si>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</si>
  <si>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</si>
  <si>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</si>
  <si>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</si>
  <si>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</si>
  <si>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</si>
  <si>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</si>
  <si>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</si>
  <si>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</si>
  <si>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</si>
  <si>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</si>
  <si>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</si>
  <si>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</si>
  <si>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</si>
  <si>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</si>
  <si>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</si>
  <si>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</si>
  <si>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</si>
  <si>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</si>
  <si>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</si>
  <si>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</si>
  <si>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</si>
  <si>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</si>
  <si>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</si>
  <si>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</si>
  <si>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</si>
  <si>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</si>
  <si>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</si>
  <si>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</si>
  <si>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</si>
  <si>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</si>
  <si>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</si>
  <si>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</si>
  <si>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</si>
  <si>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</si>
  <si>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</si>
  <si>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</si>
  <si>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</si>
  <si>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</si>
  <si>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</si>
  <si>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</si>
  <si>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</si>
  <si>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</si>
  <si>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</si>
  <si>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</si>
  <si>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</si>
  <si>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</si>
  <si>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</si>
  <si>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</si>
  <si>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</si>
  <si>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</si>
  <si>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</si>
  <si>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</si>
  <si>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</si>
  <si>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</si>
  <si>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</si>
  <si>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</si>
  <si>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</si>
  <si>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</si>
  <si>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</si>
  <si>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</si>
  <si>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</si>
  <si>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</si>
  <si>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</si>
  <si>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</si>
  <si>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</si>
  <si>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</si>
  <si>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</si>
  <si>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</si>
  <si>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</si>
  <si>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</si>
  <si>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</si>
  <si>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</si>
  <si>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</si>
  <si>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</si>
  <si>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</si>
  <si>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</si>
  <si>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</si>
  <si>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</si>
  <si>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</si>
  <si>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</si>
  <si>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</si>
  <si>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</si>
  <si>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</si>
  <si>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</si>
  <si>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</si>
  <si>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</si>
  <si>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</si>
  <si>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</si>
  <si>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</si>
  <si>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</si>
  <si>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</si>
  <si>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</si>
  <si>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</si>
  <si>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</si>
  <si>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</si>
  <si>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</si>
  <si>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</si>
  <si>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</si>
  <si>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</si>
  <si>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</si>
  <si>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</si>
  <si>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</si>
  <si>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</si>
  <si>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</si>
  <si>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</si>
  <si>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</si>
  <si>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</si>
  <si>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</si>
  <si>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</si>
  <si>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</si>
  <si>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</si>
  <si>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</si>
  <si>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</si>
  <si>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</si>
  <si>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</si>
  <si>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</si>
  <si>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</si>
  <si>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</si>
  <si>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</si>
  <si>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</si>
  <si>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</si>
  <si>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</si>
  <si>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</si>
  <si>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</si>
  <si>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</si>
  <si>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</si>
  <si>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</si>
  <si>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</si>
  <si>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</si>
  <si>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</si>
  <si>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</si>
  <si>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</si>
  <si>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</si>
  <si>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</si>
  <si>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</si>
  <si>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</si>
  <si>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</si>
  <si>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</si>
  <si>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</si>
  <si>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</si>
  <si>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</si>
  <si>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</si>
  <si>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</si>
  <si>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</si>
  <si>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</si>
  <si>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</si>
  <si>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</si>
  <si>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</si>
  <si>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</si>
  <si>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</si>
  <si>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</si>
  <si>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</si>
  <si>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</si>
  <si>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</si>
  <si>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</si>
  <si>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</si>
  <si>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</si>
  <si>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</si>
  <si>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</si>
  <si>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</si>
  <si>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</si>
  <si>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</si>
  <si>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</si>
  <si>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</si>
  <si>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</si>
  <si>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</si>
  <si>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</si>
  <si>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</si>
  <si>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</si>
  <si>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</si>
  <si>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</si>
  <si>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</si>
  <si>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</si>
  <si>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</si>
  <si>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</si>
  <si>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</si>
  <si>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</si>
  <si>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</si>
  <si>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</si>
  <si>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</si>
  <si>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</si>
  <si>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</si>
  <si>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</si>
  <si>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</si>
  <si>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</si>
  <si>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</si>
  <si>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</si>
  <si>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</si>
  <si>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</si>
  <si>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</si>
  <si>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</si>
  <si>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</si>
  <si>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</si>
  <si>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</si>
  <si>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</si>
  <si>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</si>
  <si>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</si>
  <si>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</si>
  <si>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</si>
  <si>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</si>
  <si>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</si>
  <si>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</si>
  <si>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</si>
  <si>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</si>
  <si>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</si>
  <si>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</si>
  <si>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</si>
  <si>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</si>
  <si>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</si>
  <si>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</si>
  <si>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</si>
  <si>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</si>
  <si>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</si>
  <si>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</si>
  <si>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</si>
  <si>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</si>
  <si>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</si>
  <si>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</si>
  <si>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</si>
  <si>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</si>
  <si>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</si>
  <si>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</si>
  <si>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</si>
  <si>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</si>
  <si>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</si>
  <si>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</si>
  <si>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</si>
  <si>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</si>
  <si>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</si>
  <si>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</si>
  <si>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</si>
  <si>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</si>
  <si>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</si>
  <si>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</si>
  <si>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</si>
  <si>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</si>
  <si>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</si>
  <si>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</si>
  <si>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</si>
  <si>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</si>
  <si>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</si>
  <si>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</si>
  <si>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</si>
  <si>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</si>
  <si>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</si>
  <si>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</si>
  <si>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</si>
  <si>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</si>
  <si>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</si>
  <si>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</si>
  <si>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</si>
  <si>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</si>
  <si>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</si>
  <si>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</si>
  <si>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</si>
  <si>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</si>
  <si>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</si>
  <si>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</si>
  <si>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</si>
  <si>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</si>
  <si>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</si>
  <si>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</si>
  <si>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</si>
  <si>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</si>
  <si>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</si>
  <si>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</si>
  <si>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</si>
  <si>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</si>
  <si>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</si>
  <si>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</si>
  <si>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</si>
  <si>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</si>
  <si>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</si>
  <si>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</si>
  <si>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</si>
  <si>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</si>
  <si>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</si>
  <si>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</si>
  <si>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</si>
  <si>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</si>
  <si>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</si>
  <si>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</si>
  <si>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</si>
  <si>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</si>
  <si>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</si>
  <si>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</si>
  <si>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</si>
  <si>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</si>
  <si>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</si>
  <si>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</si>
  <si>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</si>
  <si>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</si>
  <si>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</si>
  <si>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</si>
  <si>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</si>
  <si>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</si>
  <si>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</si>
  <si>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</si>
  <si>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</si>
  <si>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</si>
  <si>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</si>
  <si>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</si>
  <si>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</si>
  <si>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</si>
  <si>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</si>
  <si>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</si>
  <si>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</si>
  <si>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</si>
  <si>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</si>
  <si>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</si>
  <si>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</si>
  <si>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</si>
  <si>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</si>
  <si>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</si>
  <si>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</si>
  <si>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</si>
  <si>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</si>
  <si>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</si>
  <si>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</si>
  <si>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</si>
  <si>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</si>
  <si>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</si>
  <si>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</si>
  <si>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</si>
  <si>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</si>
  <si>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</si>
  <si>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</si>
  <si>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</si>
  <si>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</si>
  <si>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</si>
  <si>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</si>
  <si>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</si>
  <si>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</si>
  <si>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</si>
  <si>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</si>
  <si>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</si>
  <si>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</si>
  <si>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</si>
  <si>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</si>
  <si>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</si>
  <si>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</si>
  <si>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</si>
  <si>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</si>
  <si>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</si>
  <si>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</si>
  <si>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</si>
  <si>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</si>
  <si>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</si>
  <si>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</si>
  <si>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</si>
  <si>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</si>
  <si>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</si>
  <si>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</si>
  <si>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</si>
  <si>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</si>
  <si>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</si>
  <si>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</si>
  <si>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</si>
  <si>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</si>
  <si>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</si>
  <si>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</si>
  <si>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</si>
  <si>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</si>
  <si>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</si>
  <si>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</si>
  <si>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</si>
  <si>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</si>
  <si>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</si>
  <si>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</si>
  <si>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</si>
  <si>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</si>
  <si>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</si>
  <si>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</si>
  <si>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</si>
  <si>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</si>
  <si>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</si>
  <si>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</si>
  <si>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</si>
  <si>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</si>
  <si>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</si>
  <si>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</si>
  <si>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</si>
  <si>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</si>
  <si>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</si>
  <si>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</si>
  <si>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</si>
  <si>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</si>
  <si>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</si>
  <si>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</si>
  <si>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</si>
  <si>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</si>
  <si>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</si>
  <si>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</si>
  <si>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</si>
  <si>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</si>
  <si>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</si>
  <si>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</si>
  <si>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</si>
  <si>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</si>
  <si>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</si>
  <si>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</si>
  <si>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</si>
  <si>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</si>
  <si>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</si>
  <si>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</si>
  <si>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</si>
  <si>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</si>
  <si>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</si>
  <si>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</si>
  <si>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</si>
  <si>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</si>
  <si>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</si>
  <si>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</si>
  <si>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</si>
  <si>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</si>
  <si>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</si>
  <si>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</si>
  <si>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</si>
  <si>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</si>
  <si>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</si>
  <si>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</si>
  <si>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</si>
  <si>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</si>
  <si>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</si>
  <si>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</si>
  <si>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</si>
  <si>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</si>
  <si>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</si>
  <si>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</si>
  <si>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</si>
  <si>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</si>
  <si>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</si>
  <si>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</si>
  <si>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</si>
  <si>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</si>
  <si>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</si>
  <si>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</si>
  <si>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</si>
  <si>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</si>
  <si>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</si>
  <si>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</si>
  <si>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</si>
  <si>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</si>
  <si>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</si>
  <si>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</si>
  <si>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</si>
  <si>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</si>
  <si>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</si>
  <si>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</si>
  <si>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</si>
  <si>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</si>
  <si>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</si>
  <si>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</si>
  <si>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</si>
  <si>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</si>
  <si>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</si>
  <si>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</si>
  <si>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</si>
  <si>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</si>
  <si>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</si>
  <si>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</si>
  <si>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</si>
  <si>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</si>
  <si>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</si>
  <si>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</si>
  <si>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</si>
  <si>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</si>
  <si>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</si>
  <si>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</si>
  <si>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</si>
  <si>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</si>
  <si>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</si>
  <si>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</si>
  <si>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</si>
  <si>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</si>
  <si>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</si>
  <si>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</si>
  <si>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</si>
  <si>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</si>
  <si>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</si>
  <si>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</si>
  <si>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</si>
  <si>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</si>
  <si>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</si>
  <si>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</si>
  <si>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</si>
  <si>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</si>
  <si>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</si>
  <si>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</si>
  <si>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</si>
  <si>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</si>
  <si>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</si>
  <si>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</si>
  <si>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</si>
  <si>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</si>
  <si>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</si>
  <si>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</si>
  <si>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</si>
  <si>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</si>
  <si>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</si>
  <si>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</si>
  <si>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</si>
  <si>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</si>
  <si>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</si>
  <si>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</si>
  <si>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</si>
  <si>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</si>
  <si>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</si>
  <si>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</si>
  <si>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</si>
  <si>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</si>
  <si>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</si>
  <si>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</si>
  <si>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</si>
  <si>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</si>
  <si>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</si>
  <si>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</si>
  <si>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</si>
  <si>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</si>
  <si>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</si>
  <si>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</si>
  <si>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</si>
  <si>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</si>
  <si>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</si>
  <si>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</si>
  <si>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</si>
  <si>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</si>
  <si>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</si>
  <si>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</si>
  <si>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</si>
  <si>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</si>
  <si>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</si>
  <si>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</si>
  <si>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</si>
  <si>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</si>
  <si>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</si>
  <si>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</si>
  <si>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</si>
  <si>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</si>
  <si>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</si>
  <si>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</si>
  <si>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</si>
  <si>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</si>
  <si>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</si>
  <si>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</si>
  <si>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</si>
  <si>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</si>
  <si>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</si>
  <si>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</si>
  <si>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</si>
  <si>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</si>
  <si>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</si>
  <si>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</si>
  <si>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</si>
  <si>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</si>
  <si>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</si>
  <si>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</si>
  <si>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</si>
  <si>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</si>
  <si>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</si>
  <si>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</si>
  <si>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</si>
  <si>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</si>
  <si>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</si>
  <si>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</si>
  <si>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</si>
  <si>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</si>
  <si>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</si>
  <si>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</si>
  <si>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</si>
  <si>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</si>
  <si>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</si>
  <si>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</si>
  <si>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</si>
  <si>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</si>
  <si>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</si>
  <si>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</si>
  <si>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</si>
  <si>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</si>
  <si>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</si>
  <si>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</si>
  <si>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</si>
  <si>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</si>
  <si>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</si>
  <si>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</si>
  <si>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</si>
  <si>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</si>
  <si>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</si>
  <si>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</si>
  <si>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</si>
  <si>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</si>
  <si>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</si>
  <si>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</si>
  <si>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</si>
  <si>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</si>
  <si>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</si>
  <si>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</si>
  <si>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</si>
  <si>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</si>
  <si>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</si>
  <si>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</si>
  <si>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</si>
  <si>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</si>
  <si>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</si>
  <si>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</si>
  <si>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</si>
  <si>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</si>
  <si>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</si>
  <si>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</si>
  <si>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</si>
  <si>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</si>
  <si>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</si>
  <si>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</si>
  <si>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</si>
  <si>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</si>
  <si>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</si>
  <si>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</si>
  <si>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</si>
  <si>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</si>
  <si>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</si>
  <si>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</si>
  <si>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</si>
  <si>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</si>
  <si>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</si>
  <si>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</si>
  <si>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</si>
  <si>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</si>
  <si>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</si>
  <si>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</si>
  <si>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</si>
  <si>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</si>
  <si>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</si>
  <si>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</si>
  <si>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</si>
  <si>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</si>
  <si>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</si>
  <si>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</si>
  <si>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</si>
  <si>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</si>
  <si>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</si>
  <si>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</si>
  <si>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</si>
  <si>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</si>
  <si>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</si>
  <si>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</si>
  <si>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</si>
  <si>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</si>
  <si>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</si>
  <si>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</si>
  <si>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</si>
  <si>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</si>
  <si>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</si>
  <si>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</si>
  <si>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</si>
  <si>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</si>
  <si>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</si>
  <si>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</si>
  <si>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</si>
  <si>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</si>
  <si>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</si>
  <si>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</si>
  <si>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</si>
  <si>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</si>
  <si>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</si>
  <si>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</si>
  <si>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</si>
  <si>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</si>
  <si>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</si>
  <si>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</si>
  <si>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</si>
  <si>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</si>
  <si>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</si>
  <si>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</si>
  <si>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</si>
  <si>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</si>
  <si>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</si>
  <si>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</si>
  <si>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</si>
  <si>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</si>
  <si>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</si>
  <si>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</si>
  <si>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</si>
  <si>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</si>
  <si>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</si>
  <si>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</si>
  <si>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</si>
  <si>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</si>
  <si>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</si>
  <si>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</si>
  <si>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</si>
  <si>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</si>
  <si>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</si>
  <si>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</si>
  <si>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</si>
  <si>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</si>
  <si>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</si>
  <si>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</si>
  <si>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</si>
  <si>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</si>
  <si>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</si>
  <si>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</si>
  <si>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</si>
  <si>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</si>
  <si>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</si>
  <si>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</si>
  <si>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</si>
  <si>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</si>
  <si>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</si>
  <si>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</si>
  <si>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</si>
  <si>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</si>
  <si>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</si>
  <si>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</si>
  <si>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</si>
  <si>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</si>
  <si>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</si>
  <si>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</si>
  <si>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</si>
  <si>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</si>
  <si>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</si>
  <si>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</si>
  <si>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</si>
  <si>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</si>
  <si>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</si>
  <si>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</si>
  <si>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</si>
  <si>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</si>
  <si>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</si>
  <si>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</si>
  <si>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</si>
  <si>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</si>
  <si>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</si>
  <si>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</si>
  <si>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</si>
  <si>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</si>
  <si>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</si>
  <si>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</si>
  <si>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</si>
  <si>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</si>
  <si>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</si>
  <si>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</si>
  <si>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</si>
  <si>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</si>
  <si>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</si>
  <si>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</si>
  <si>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</si>
  <si>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</si>
  <si>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</si>
  <si>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</si>
  <si>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</si>
  <si>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</si>
  <si>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</si>
  <si>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</si>
  <si>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</si>
  <si>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</si>
  <si>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</si>
  <si>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</si>
  <si>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</si>
  <si>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</si>
  <si>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</si>
  <si>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</si>
  <si>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</si>
  <si>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</si>
  <si>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</si>
  <si>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</si>
  <si>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</si>
  <si>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</si>
  <si>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</si>
  <si>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</si>
  <si>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</si>
  <si>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</si>
  <si>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</si>
  <si>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</si>
  <si>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</si>
  <si>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</si>
  <si>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</si>
  <si>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</si>
  <si>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</si>
  <si>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</si>
  <si>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</si>
  <si>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</si>
  <si>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</si>
  <si>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</si>
  <si>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</si>
  <si>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</si>
  <si>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</si>
  <si>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</si>
  <si>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</si>
  <si>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</si>
  <si>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</si>
  <si>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</si>
  <si>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</si>
  <si>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</si>
  <si>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</si>
  <si>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</si>
  <si>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</si>
  <si>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</si>
  <si>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</si>
  <si>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</si>
  <si>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</si>
  <si>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</si>
  <si>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</si>
  <si>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</si>
  <si>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</si>
  <si>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</si>
  <si>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</si>
  <si>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</si>
  <si>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</si>
  <si>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</si>
  <si>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</si>
  <si>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</si>
  <si>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</si>
  <si>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</si>
  <si>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</si>
  <si>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</si>
  <si>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</si>
  <si>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</si>
  <si>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</si>
  <si>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</si>
  <si>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</si>
  <si>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</si>
  <si>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</si>
  <si>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</si>
  <si>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</si>
  <si>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</si>
  <si>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</si>
  <si>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</si>
  <si>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</si>
  <si>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</si>
  <si>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</si>
  <si>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</si>
  <si>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</si>
  <si>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</si>
  <si>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</si>
  <si>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</si>
  <si>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</si>
  <si>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</si>
  <si>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</si>
  <si>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</si>
  <si>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</si>
  <si>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</si>
  <si>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</si>
  <si>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</si>
  <si>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</si>
  <si>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</si>
  <si>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</si>
  <si>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</si>
  <si>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</si>
  <si>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</si>
  <si>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</si>
  <si>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</si>
  <si>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</si>
  <si>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</si>
  <si>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</si>
  <si>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</si>
  <si>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</si>
  <si>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</si>
  <si>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</si>
  <si>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</si>
  <si>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</si>
  <si>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</si>
  <si>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</si>
  <si>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</si>
  <si>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</si>
  <si>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</si>
  <si>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</si>
  <si>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</si>
  <si>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</si>
  <si>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</si>
  <si>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</si>
  <si>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</si>
  <si>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</si>
  <si>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</si>
  <si>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</si>
  <si>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</si>
  <si>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</si>
  <si>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</si>
  <si>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</si>
  <si>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</si>
  <si>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</si>
  <si>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</si>
  <si>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</si>
  <si>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</si>
  <si>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</si>
  <si>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</si>
  <si>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</si>
  <si>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</si>
  <si>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</si>
  <si>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</si>
  <si>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</si>
  <si>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</si>
  <si>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</si>
  <si>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</si>
  <si>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</si>
  <si>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</si>
  <si>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</si>
  <si>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</si>
  <si>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</si>
  <si>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</si>
  <si>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</si>
  <si>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</si>
  <si>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</si>
  <si>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</si>
  <si>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</si>
  <si>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</si>
  <si>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</si>
  <si>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</si>
  <si>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</si>
  <si>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</si>
  <si>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</si>
  <si>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</si>
  <si>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</si>
  <si>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</si>
  <si>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</si>
  <si>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</si>
  <si>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</si>
  <si>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</si>
  <si>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</si>
  <si>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</si>
  <si>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</si>
  <si>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</si>
  <si>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</si>
  <si>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</si>
  <si>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</si>
  <si>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</si>
  <si>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</si>
  <si>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</si>
  <si>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</si>
  <si>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</si>
  <si>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</si>
  <si>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</si>
  <si>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</si>
  <si>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</si>
  <si>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</si>
  <si>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</si>
  <si>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</si>
  <si>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</si>
  <si>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</si>
  <si>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</si>
  <si>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</si>
  <si>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</si>
  <si>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</si>
  <si>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</si>
  <si>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</si>
  <si>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</si>
  <si>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</si>
  <si>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</si>
  <si>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</si>
  <si>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</si>
  <si>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</si>
  <si>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</si>
  <si>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</si>
  <si>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</si>
  <si>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</si>
  <si>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</si>
  <si>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</si>
  <si>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</si>
  <si>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</si>
  <si>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</si>
  <si>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</si>
  <si>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</si>
  <si>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</si>
  <si>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</si>
  <si>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</si>
  <si>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</si>
  <si>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</si>
  <si>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</si>
  <si>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</si>
  <si>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</si>
  <si>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</si>
  <si>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</si>
  <si>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</si>
  <si>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</si>
  <si>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</si>
  <si>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</si>
  <si>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</si>
  <si>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</si>
  <si>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</si>
  <si>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</si>
  <si>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</si>
  <si>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</si>
  <si>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</si>
  <si>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</si>
  <si>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</si>
  <si>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</si>
  <si>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</si>
  <si>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</si>
  <si>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</si>
  <si>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</si>
  <si>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</si>
  <si>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</si>
  <si>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</si>
  <si>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</si>
  <si>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</si>
  <si>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</si>
  <si>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</si>
  <si>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</si>
  <si>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</si>
  <si>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</si>
  <si>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</si>
  <si>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</si>
  <si>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</si>
  <si>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</si>
  <si>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</si>
  <si>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</si>
  <si>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</si>
  <si>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</si>
  <si>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</si>
  <si>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</si>
  <si>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</si>
  <si>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</si>
  <si>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</si>
  <si>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</si>
  <si>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</si>
  <si>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</si>
  <si>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</si>
  <si>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</si>
  <si>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</si>
  <si>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</si>
  <si>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</si>
  <si>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</si>
  <si>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</si>
  <si>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</si>
  <si>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</si>
  <si>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</si>
  <si>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</si>
  <si>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</si>
  <si>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</si>
  <si>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</si>
  <si>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</si>
  <si>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</si>
  <si>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</si>
  <si>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</si>
  <si>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</si>
  <si>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</si>
  <si>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</si>
  <si>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</si>
  <si>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</si>
  <si>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</si>
  <si>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</si>
  <si>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</si>
  <si>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</si>
  <si>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</si>
  <si>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</si>
  <si>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</si>
  <si>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</si>
  <si>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</si>
  <si>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</si>
  <si>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</si>
  <si>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</si>
  <si>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</si>
  <si>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</si>
  <si>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</si>
  <si>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</si>
  <si>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</si>
  <si>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</si>
  <si>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</si>
  <si>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</si>
  <si>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</si>
  <si>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</si>
  <si>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</si>
  <si>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</si>
  <si>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</si>
  <si>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</si>
  <si>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</si>
  <si>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</si>
  <si>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</si>
  <si>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</si>
  <si>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</si>
  <si>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</si>
  <si>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</si>
  <si>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</si>
  <si>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</si>
  <si>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</si>
  <si>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</si>
  <si>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</si>
  <si>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</si>
  <si>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</si>
  <si>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</si>
  <si>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</si>
  <si>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</si>
  <si>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</si>
  <si>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</si>
  <si>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</si>
  <si>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</si>
  <si>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</si>
  <si>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</si>
  <si>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</si>
  <si>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</si>
  <si>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</si>
  <si>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</si>
  <si>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</si>
  <si>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</si>
  <si>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</si>
  <si>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</si>
  <si>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</si>
  <si>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</si>
  <si>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</si>
  <si>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</si>
  <si>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</si>
  <si>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</si>
  <si>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</si>
  <si>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</si>
  <si>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</si>
  <si>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</si>
  <si>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</si>
  <si>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</si>
  <si>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</si>
  <si>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</si>
  <si>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</si>
  <si>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</si>
  <si>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</si>
  <si>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</si>
  <si>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</si>
  <si>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</si>
  <si>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</si>
  <si>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</si>
  <si>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</si>
  <si>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</si>
  <si>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</si>
  <si>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</si>
  <si>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</si>
  <si>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</si>
  <si>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</si>
  <si>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</si>
  <si>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</si>
  <si>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</si>
  <si>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</si>
  <si>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</si>
  <si>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</si>
  <si>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</si>
  <si>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</si>
  <si>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</si>
  <si>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</si>
  <si>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</si>
  <si>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</si>
  <si>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</si>
  <si>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</si>
  <si>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</si>
  <si>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</si>
  <si>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</si>
  <si>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</si>
  <si>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</si>
  <si>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</si>
  <si>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</si>
  <si>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</si>
  <si>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</si>
  <si>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</si>
  <si>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</si>
  <si>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</si>
  <si>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</si>
  <si>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</si>
  <si>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</si>
  <si>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</si>
  <si>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</si>
  <si>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</si>
  <si>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</si>
  <si>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</si>
  <si>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</si>
  <si>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</si>
  <si>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</si>
  <si>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</si>
  <si>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</si>
  <si>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</si>
  <si>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</si>
  <si>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</si>
  <si>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</si>
  <si>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</si>
  <si>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</si>
  <si>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</si>
  <si>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</si>
  <si>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</si>
  <si>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</si>
  <si>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</si>
  <si>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</si>
  <si>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</si>
  <si>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</si>
  <si>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</si>
  <si>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</si>
  <si>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</si>
  <si>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</si>
  <si>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</si>
  <si>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</si>
  <si>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</si>
  <si>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</si>
  <si>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</si>
  <si>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</si>
  <si>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</si>
  <si>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</si>
  <si>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</si>
  <si>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</si>
  <si>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</si>
  <si>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</si>
  <si>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</si>
  <si>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</si>
  <si>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</si>
  <si>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</si>
  <si>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</si>
  <si>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</si>
  <si>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</si>
  <si>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</si>
  <si>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</si>
  <si>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</si>
  <si>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</si>
  <si>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</si>
  <si>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</si>
  <si>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</si>
  <si>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</si>
  <si>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</si>
  <si>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</si>
  <si>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</si>
  <si>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</si>
  <si>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</si>
  <si>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</si>
  <si>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</si>
  <si>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</si>
  <si>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</si>
  <si>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</si>
  <si>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</si>
  <si>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</si>
  <si>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</si>
  <si>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</si>
  <si>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</si>
  <si>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</si>
  <si>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</si>
  <si>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</si>
  <si>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</si>
  <si>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</si>
  <si>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</si>
  <si>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</si>
  <si>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</si>
  <si>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</si>
  <si>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</si>
  <si>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</si>
  <si>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</si>
  <si>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</si>
  <si>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</si>
  <si>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</si>
  <si>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</si>
  <si>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</si>
  <si>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</si>
  <si>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</si>
  <si>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</si>
  <si>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</si>
  <si>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</si>
  <si>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</si>
  <si>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</si>
  <si>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</si>
  <si>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</si>
  <si>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</si>
  <si>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</si>
  <si>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</si>
  <si>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</si>
  <si>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</si>
  <si>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</si>
  <si>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</si>
  <si>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</si>
  <si>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</si>
  <si>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</si>
  <si>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</si>
  <si>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</si>
  <si>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</si>
  <si>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</si>
  <si>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</si>
  <si>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</si>
  <si>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</si>
  <si>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</si>
  <si>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</si>
  <si>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</si>
  <si>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</si>
  <si>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</si>
  <si>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</si>
  <si>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</si>
  <si>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</si>
  <si>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</si>
  <si>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</si>
  <si>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</si>
  <si>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</si>
  <si>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</si>
  <si>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</si>
  <si>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</si>
  <si>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</si>
  <si>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</si>
  <si>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</si>
  <si>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</si>
  <si>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</si>
  <si>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</si>
  <si>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</si>
  <si>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</si>
  <si>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</si>
  <si>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</si>
  <si>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</si>
  <si>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</si>
  <si>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</si>
  <si>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</si>
  <si>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</si>
  <si>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</si>
  <si>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</si>
  <si>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</si>
  <si>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</si>
  <si>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</si>
  <si>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</si>
  <si>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</si>
  <si>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</si>
  <si>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</si>
  <si>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</si>
  <si>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</si>
  <si>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</si>
  <si>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</si>
  <si>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</si>
  <si>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</si>
  <si>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</si>
  <si>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</si>
  <si>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</si>
  <si>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</si>
  <si>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</si>
  <si>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</si>
  <si>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</si>
  <si>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</si>
  <si>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</si>
  <si>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</si>
  <si>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</si>
  <si>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</si>
  <si>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</si>
  <si>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</si>
  <si>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</si>
  <si>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</si>
  <si>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</si>
  <si>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</si>
  <si>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</si>
  <si>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</si>
  <si>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</si>
  <si>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</si>
  <si>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</si>
  <si>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</si>
  <si>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</si>
  <si>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</si>
  <si>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</si>
  <si>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</si>
  <si>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</si>
  <si>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</si>
  <si>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</si>
  <si>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</si>
  <si>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</si>
  <si>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</si>
  <si>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</si>
  <si>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</si>
  <si>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</si>
  <si>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</si>
  <si>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</si>
  <si>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</si>
  <si>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</si>
  <si>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</si>
  <si>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</si>
  <si>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</si>
  <si>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</si>
  <si>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</si>
  <si>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</si>
  <si>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</si>
  <si>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</si>
  <si>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</si>
  <si>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</si>
  <si>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</si>
  <si>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</si>
  <si>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</si>
  <si>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</si>
  <si>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</si>
  <si>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</si>
  <si>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</si>
  <si>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</si>
  <si>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</si>
  <si>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</si>
  <si>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</si>
  <si>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</si>
  <si>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</si>
  <si>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</si>
  <si>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</si>
  <si>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</si>
  <si>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</si>
  <si>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</si>
  <si>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</si>
  <si>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</si>
  <si>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</si>
  <si>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</si>
  <si>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</si>
  <si>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</si>
  <si>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</si>
  <si>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</si>
  <si>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</si>
  <si>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</si>
  <si>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</si>
  <si>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</si>
  <si>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</si>
  <si>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</si>
  <si>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</si>
  <si>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</si>
  <si>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</si>
  <si>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</si>
  <si>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</si>
  <si>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</si>
  <si>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</si>
  <si>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</si>
  <si>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</si>
  <si>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</si>
  <si>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</si>
  <si>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</si>
  <si>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</si>
  <si>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</si>
  <si>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</si>
  <si>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</si>
  <si>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</si>
  <si>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</si>
  <si>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</si>
  <si>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</si>
  <si>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</si>
  <si>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</si>
  <si>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</si>
  <si>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</si>
  <si>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</si>
  <si>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</si>
  <si>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</si>
  <si>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</si>
  <si>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</si>
  <si>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</si>
  <si>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</si>
  <si>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</si>
  <si>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</si>
  <si>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</si>
  <si>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</si>
  <si>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</si>
  <si>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</si>
  <si>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</si>
  <si>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</si>
  <si>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</si>
  <si>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</si>
  <si>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</si>
  <si>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</si>
  <si>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</si>
  <si>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</si>
  <si>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</si>
  <si>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</si>
  <si>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</si>
  <si>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</si>
  <si>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</si>
  <si>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</si>
  <si>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</si>
  <si>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</si>
  <si>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</si>
  <si>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</si>
  <si>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</si>
  <si>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</si>
  <si>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</si>
  <si>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</si>
  <si>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</si>
  <si>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</si>
  <si>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</si>
  <si>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</si>
  <si>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</si>
  <si>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</si>
  <si>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</si>
  <si>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</si>
  <si>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</si>
  <si>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</si>
  <si>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</si>
  <si>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</si>
  <si>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</si>
  <si>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</si>
  <si>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</si>
  <si>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</si>
  <si>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</si>
  <si>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</si>
  <si>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</si>
  <si>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</si>
  <si>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</si>
  <si>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</si>
  <si>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</si>
  <si>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</si>
  <si>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</si>
  <si>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</si>
  <si>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</si>
  <si>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</si>
  <si>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</si>
  <si>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</si>
  <si>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</si>
  <si>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</si>
  <si>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</si>
  <si>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</si>
  <si>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</si>
  <si>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</si>
  <si>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</si>
  <si>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</si>
  <si>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</si>
  <si>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</si>
  <si>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</si>
  <si>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</si>
  <si>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</si>
  <si>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</si>
  <si>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</si>
  <si>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</si>
  <si>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</si>
  <si>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</si>
  <si>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</si>
  <si>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</si>
  <si>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</si>
  <si>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</si>
  <si>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</si>
  <si>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</si>
  <si>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</si>
  <si>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</si>
  <si>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</si>
  <si>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</si>
  <si>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</si>
  <si>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</si>
  <si>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</si>
  <si>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</si>
  <si>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</si>
  <si>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</si>
  <si>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</si>
  <si>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</si>
  <si>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</si>
  <si>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</si>
  <si>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</si>
  <si>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</si>
  <si>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</si>
  <si>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</si>
  <si>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</si>
  <si>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</si>
  <si>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</si>
  <si>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</si>
  <si>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</si>
  <si>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</si>
  <si>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</si>
  <si>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</si>
  <si>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</si>
  <si>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</si>
  <si>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</si>
  <si>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</si>
  <si>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</si>
  <si>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</si>
  <si>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</si>
  <si>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</si>
  <si>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</si>
  <si>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</si>
  <si>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</si>
  <si>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</si>
  <si>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</si>
  <si>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</si>
  <si>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</si>
  <si>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</si>
  <si>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</si>
  <si>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</si>
  <si>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</si>
  <si>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</si>
  <si>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</si>
  <si>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</si>
  <si>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</si>
  <si>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</si>
  <si>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</si>
  <si>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</si>
  <si>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</si>
  <si>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</si>
  <si>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</si>
  <si>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</si>
  <si>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</si>
  <si>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</si>
  <si>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</si>
  <si>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</si>
  <si>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</si>
  <si>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</si>
  <si>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</si>
  <si>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</si>
  <si>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</si>
  <si>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</si>
  <si>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</si>
  <si>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</si>
  <si>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</si>
  <si>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</si>
  <si>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</si>
  <si>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</si>
  <si>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</si>
  <si>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</si>
  <si>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</si>
  <si>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</si>
  <si>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</si>
  <si>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</si>
  <si>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</si>
  <si>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</si>
  <si>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</si>
  <si>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</si>
  <si>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</si>
  <si>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</si>
  <si>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</si>
  <si>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</si>
  <si>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</si>
  <si>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</si>
  <si>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</si>
  <si>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</si>
  <si>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</si>
  <si>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</si>
  <si>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</si>
  <si>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</si>
  <si>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</si>
  <si>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</si>
  <si>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</si>
  <si>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</si>
  <si>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</si>
  <si>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</si>
  <si>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</si>
  <si>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</si>
  <si>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</si>
  <si>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</si>
  <si>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</si>
  <si>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</si>
  <si>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</si>
  <si>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</si>
  <si>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</si>
  <si>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</si>
  <si>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</si>
  <si>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</si>
  <si>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</si>
  <si>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</si>
  <si>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</si>
  <si>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</si>
  <si>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</si>
  <si>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</si>
  <si>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</si>
  <si>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</si>
  <si>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</si>
  <si>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</si>
  <si>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</si>
  <si>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</si>
  <si>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</si>
  <si>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</si>
  <si>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</si>
  <si>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</si>
  <si>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</si>
  <si>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</si>
  <si>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</si>
  <si>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</si>
  <si>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</si>
  <si>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</si>
  <si>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</si>
  <si>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</si>
  <si>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</si>
  <si>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</si>
  <si>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</si>
  <si>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</si>
  <si>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</si>
  <si>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</si>
  <si>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</si>
  <si>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</si>
  <si>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</si>
  <si>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</si>
  <si>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</si>
  <si>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</si>
  <si>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</si>
  <si>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</si>
  <si>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</si>
  <si>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</si>
  <si>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</si>
  <si>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</si>
  <si>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</si>
  <si>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</si>
  <si>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</si>
  <si>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</si>
  <si>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</si>
  <si>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</si>
  <si>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</si>
  <si>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</si>
  <si>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</si>
  <si>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</si>
  <si>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</si>
  <si>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</si>
  <si>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</si>
  <si>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</si>
  <si>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</si>
  <si>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</si>
  <si>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</si>
  <si>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</si>
  <si>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</si>
  <si>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</si>
  <si>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</si>
  <si>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</si>
  <si>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</si>
  <si>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</si>
  <si>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</si>
  <si>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</si>
  <si>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</si>
  <si>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</si>
  <si>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</si>
  <si>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</si>
  <si>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</si>
  <si>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</si>
  <si>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</si>
  <si>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</si>
  <si>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</si>
  <si>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</si>
  <si>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</si>
  <si>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</si>
  <si>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</si>
  <si>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</si>
  <si>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</si>
  <si>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</si>
  <si>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</si>
  <si>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</si>
  <si>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</si>
  <si>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</si>
  <si>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</si>
  <si>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</si>
  <si>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</si>
  <si>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</si>
  <si>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</si>
  <si>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</si>
  <si>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</si>
  <si>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</si>
  <si>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</si>
  <si>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</si>
  <si>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</si>
  <si>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</si>
  <si>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</si>
  <si>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</si>
  <si>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</si>
  <si>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</si>
  <si>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</si>
  <si>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</si>
  <si>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</si>
  <si>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</si>
  <si>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</si>
  <si>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</si>
  <si>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</si>
  <si>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</si>
  <si>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</si>
  <si>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</si>
  <si>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</si>
  <si>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</si>
  <si>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</si>
  <si>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</si>
  <si>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</si>
  <si>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</si>
  <si>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</si>
  <si>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</si>
  <si>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</si>
  <si>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</si>
  <si>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</si>
  <si>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</si>
  <si>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</si>
  <si>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</si>
  <si>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</si>
  <si>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</si>
  <si>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</si>
  <si>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</si>
  <si>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</si>
  <si>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</si>
  <si>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</si>
  <si>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</si>
  <si>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</si>
  <si>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</si>
  <si>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</si>
  <si>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</si>
  <si>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</si>
  <si>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</si>
  <si>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</si>
  <si>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</si>
  <si>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</si>
  <si>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</si>
  <si>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</si>
  <si>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</si>
  <si>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</si>
  <si>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</si>
  <si>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</si>
  <si>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</si>
  <si>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</si>
  <si>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</si>
  <si>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</si>
  <si>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</si>
  <si>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</si>
  <si>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</si>
  <si>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</si>
  <si>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</si>
  <si>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</si>
  <si>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</si>
  <si>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</si>
  <si>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</si>
  <si>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</si>
  <si>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</si>
  <si>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</si>
  <si>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</si>
  <si>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</si>
  <si>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</si>
  <si>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</si>
  <si>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</si>
  <si>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</si>
  <si>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</si>
  <si>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</si>
  <si>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</si>
  <si>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</si>
  <si>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</si>
  <si>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</si>
  <si>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</si>
  <si>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</si>
  <si>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</si>
  <si>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</si>
  <si>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</si>
  <si>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</si>
  <si>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</si>
  <si>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</si>
  <si>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</si>
  <si>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</si>
  <si>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</si>
  <si>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</si>
  <si>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</si>
  <si>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</si>
  <si>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</si>
  <si>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</si>
  <si>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</si>
  <si>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</si>
  <si>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</si>
  <si>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</si>
  <si>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</si>
  <si>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</si>
  <si>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</si>
  <si>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</si>
  <si>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</si>
  <si>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</si>
  <si>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</si>
  <si>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</si>
  <si>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</si>
  <si>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</si>
  <si>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</si>
  <si>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</si>
  <si>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</si>
  <si>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</si>
  <si>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</si>
  <si>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</si>
  <si>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</si>
  <si>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</si>
  <si>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</si>
  <si>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</si>
  <si>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</si>
  <si>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</si>
  <si>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</si>
  <si>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</si>
  <si>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</si>
  <si>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</si>
  <si>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</si>
  <si>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</si>
  <si>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</si>
  <si>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</si>
  <si>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</si>
  <si>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</si>
  <si>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</si>
  <si>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</si>
  <si>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</si>
  <si>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</si>
  <si>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</si>
  <si>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</si>
  <si>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</si>
  <si>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</si>
  <si>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</si>
  <si>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</si>
  <si>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</si>
  <si>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</si>
  <si>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</si>
  <si>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</si>
  <si>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</si>
  <si>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</si>
  <si>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</si>
  <si>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</si>
  <si>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</si>
  <si>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</si>
  <si>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</si>
  <si>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</si>
  <si>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</si>
  <si>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</si>
  <si>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</si>
  <si>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</si>
  <si>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</si>
  <si>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</si>
  <si>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</si>
  <si>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</si>
  <si>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</si>
  <si>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</si>
  <si>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</si>
  <si>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</si>
  <si>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</si>
  <si>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</si>
  <si>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</si>
  <si>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</si>
  <si>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</si>
  <si>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</si>
  <si>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</si>
  <si>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</si>
  <si>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</si>
  <si>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</si>
  <si>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</si>
  <si>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</si>
  <si>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</si>
  <si>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</si>
  <si>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</si>
  <si>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</si>
  <si>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</si>
  <si>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</si>
  <si>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</si>
  <si>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</si>
  <si>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</si>
  <si>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</si>
  <si>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</si>
  <si>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</si>
  <si>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</si>
  <si>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</si>
  <si>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</si>
  <si>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</si>
  <si>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</si>
  <si>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</si>
  <si>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</si>
  <si>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</si>
  <si>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</si>
  <si>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</si>
  <si>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</si>
  <si>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</si>
  <si>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</si>
  <si>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</si>
  <si>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</si>
  <si>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</si>
  <si>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</si>
  <si>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</si>
  <si>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</si>
  <si>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</si>
  <si>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</si>
  <si>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</si>
  <si>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</si>
  <si>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</si>
  <si>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</si>
  <si>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</si>
  <si>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</si>
  <si>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</si>
  <si>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</si>
  <si>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</si>
  <si>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</si>
  <si>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</si>
  <si>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</si>
  <si>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</si>
  <si>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</si>
  <si>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</si>
  <si>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</si>
  <si>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</si>
  <si>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</si>
  <si>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</si>
  <si>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</si>
  <si>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</si>
  <si>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</si>
  <si>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</si>
  <si>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</si>
  <si>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</si>
  <si>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</si>
  <si>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</si>
  <si>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</si>
  <si>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</si>
  <si>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</si>
  <si>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</si>
  <si>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</si>
  <si>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</si>
  <si>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</si>
  <si>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</si>
  <si>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</si>
  <si>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</si>
  <si>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</si>
  <si>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</si>
  <si>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</si>
  <si>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</si>
  <si>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</si>
  <si>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</si>
  <si>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</si>
  <si>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</si>
  <si>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</si>
  <si>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</si>
  <si>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</si>
  <si>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</si>
  <si>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</si>
  <si>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</si>
  <si>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</si>
  <si>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</si>
  <si>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</si>
  <si>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</si>
  <si>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</si>
  <si>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</si>
  <si>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</si>
  <si>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</si>
  <si>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</si>
  <si>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</si>
  <si>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</si>
  <si>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</si>
  <si>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</si>
  <si>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</si>
  <si>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</si>
  <si>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</si>
  <si>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</si>
  <si>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</si>
  <si>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</si>
  <si>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</si>
  <si>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</si>
  <si>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</si>
  <si>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</si>
  <si>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</si>
  <si>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</si>
  <si>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</si>
  <si>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</si>
  <si>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</si>
  <si>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</si>
  <si>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</si>
  <si>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</si>
  <si>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</si>
  <si>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</si>
  <si>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</si>
  <si>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</si>
  <si>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</si>
  <si>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</si>
  <si>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</si>
  <si>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</si>
  <si>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</si>
  <si>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</si>
  <si>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</si>
  <si>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</si>
  <si>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</si>
  <si>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</si>
  <si>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</si>
  <si>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</si>
  <si>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</si>
  <si>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</si>
  <si>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</si>
  <si>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</si>
  <si>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</si>
  <si>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</si>
  <si>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</si>
  <si>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</si>
  <si>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</si>
  <si>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</si>
  <si>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</si>
  <si>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</si>
  <si>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</si>
  <si>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</si>
  <si>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</si>
  <si>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</si>
  <si>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</si>
  <si>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</si>
  <si>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</si>
  <si>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</si>
  <si>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</si>
  <si>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</si>
  <si>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</si>
  <si>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</si>
  <si>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</si>
  <si>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</si>
  <si>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</si>
  <si>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</si>
  <si>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</si>
  <si>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</si>
  <si>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</si>
  <si>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</si>
  <si>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</si>
  <si>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</si>
  <si>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</si>
  <si>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</si>
  <si>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</si>
  <si>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</si>
  <si>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</si>
  <si>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</si>
  <si>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</si>
  <si>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</si>
  <si>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</si>
  <si>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</si>
  <si>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</si>
  <si>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</si>
  <si>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</si>
  <si>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</si>
  <si>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</si>
  <si>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</si>
  <si>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</si>
  <si>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</si>
  <si>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</si>
  <si>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</si>
  <si>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</si>
  <si>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</si>
  <si>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</si>
  <si>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</si>
  <si>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</si>
  <si>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</si>
  <si>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</si>
  <si>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</si>
  <si>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</si>
  <si>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</si>
  <si>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</si>
  <si>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</si>
  <si>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</si>
  <si>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</si>
  <si>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</si>
  <si>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</si>
  <si>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</si>
  <si>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</si>
  <si>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</si>
  <si>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</si>
  <si>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</si>
  <si>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</si>
  <si>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</si>
  <si>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</si>
  <si>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</si>
  <si>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</si>
  <si>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</si>
  <si>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</si>
  <si>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</si>
  <si>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</si>
  <si>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</si>
  <si>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</si>
  <si>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</si>
  <si>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</si>
  <si>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</si>
  <si>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</si>
  <si>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</si>
  <si>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</si>
  <si>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</si>
  <si>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</si>
  <si>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</si>
  <si>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</si>
  <si>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</si>
  <si>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</si>
  <si>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</si>
  <si>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</si>
  <si>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</si>
  <si>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</si>
  <si>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</si>
  <si>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</si>
  <si>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</si>
  <si>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</si>
  <si>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</si>
  <si>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</si>
  <si>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</si>
  <si>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</si>
  <si>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</si>
  <si>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</si>
  <si>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</si>
  <si>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</si>
  <si>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</si>
  <si>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</si>
  <si>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</si>
  <si>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</si>
  <si>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</si>
  <si>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</si>
  <si>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</si>
  <si>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</si>
  <si>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</si>
  <si>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</si>
  <si>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</si>
  <si>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</si>
  <si>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</si>
  <si>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</si>
  <si>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</si>
  <si>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</si>
  <si>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</si>
  <si>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</si>
  <si>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</si>
  <si>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</si>
  <si>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</si>
  <si>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</si>
  <si>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</si>
  <si>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</si>
  <si>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</si>
  <si>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</si>
  <si>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</si>
  <si>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</si>
  <si>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</si>
  <si>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</si>
  <si>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</si>
  <si>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</si>
  <si>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</si>
  <si>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</si>
  <si>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</si>
  <si>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</si>
  <si>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</si>
  <si>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</si>
  <si>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</si>
  <si>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</si>
  <si>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</si>
  <si>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</si>
  <si>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</si>
  <si>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</si>
  <si>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</si>
  <si>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</si>
  <si>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</si>
  <si>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</si>
  <si>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</si>
  <si>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</si>
  <si>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</si>
  <si>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</si>
  <si>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</si>
  <si>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</si>
  <si>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</si>
  <si>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</si>
  <si>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</si>
  <si>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</si>
  <si>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</si>
  <si>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</si>
  <si>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</si>
  <si>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</si>
  <si>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</si>
  <si>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</si>
  <si>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</si>
  <si>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</si>
  <si>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</si>
  <si>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</si>
  <si>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</si>
  <si>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</si>
  <si>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</si>
  <si>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</si>
  <si>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</si>
  <si>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</si>
  <si>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</si>
  <si>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</si>
  <si>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</si>
  <si>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</si>
  <si>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</si>
  <si>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</si>
  <si>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</si>
  <si>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</si>
  <si>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</si>
  <si>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</si>
  <si>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</si>
  <si>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</si>
  <si>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</si>
  <si>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</si>
  <si>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</si>
  <si>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</si>
  <si>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</si>
  <si>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</si>
  <si>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</si>
  <si>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</si>
  <si>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</si>
  <si>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</si>
  <si>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</si>
  <si>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</si>
  <si>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</si>
  <si>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</si>
  <si>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</si>
  <si>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</si>
  <si>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</si>
  <si>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</si>
  <si>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</si>
  <si>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</si>
  <si>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</si>
  <si>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</si>
  <si>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</si>
  <si>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</si>
  <si>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</si>
  <si>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</si>
  <si>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</si>
  <si>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</si>
  <si>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</si>
  <si>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</si>
  <si>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</si>
  <si>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</si>
  <si>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</si>
  <si>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</si>
  <si>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</si>
  <si>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</si>
  <si>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</si>
  <si>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</si>
  <si>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</si>
  <si>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</si>
  <si>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</si>
  <si>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</si>
  <si>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</si>
  <si>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</si>
  <si>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</si>
  <si>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</si>
  <si>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</si>
  <si>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</si>
  <si>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</si>
  <si>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</si>
  <si>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</si>
  <si>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</si>
  <si>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</si>
  <si>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</si>
  <si>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</si>
  <si>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</si>
  <si>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</si>
  <si>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</si>
  <si>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</si>
  <si>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</si>
  <si>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</si>
  <si>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</si>
  <si>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</si>
  <si>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</si>
  <si>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</si>
  <si>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</si>
  <si>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</si>
  <si>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</si>
  <si>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</si>
  <si>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</si>
  <si>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</si>
  <si>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</si>
  <si>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</si>
  <si>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</si>
  <si>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</si>
  <si>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</si>
  <si>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</si>
  <si>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</si>
  <si>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</si>
  <si>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</si>
  <si>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</si>
  <si>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</si>
  <si>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</si>
  <si>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</si>
  <si>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</si>
  <si>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</si>
  <si>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</si>
  <si>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</si>
  <si>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</si>
  <si>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</si>
  <si>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</si>
  <si>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</si>
  <si>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</si>
  <si>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</si>
  <si>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</si>
  <si>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</si>
  <si>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</si>
  <si>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</si>
  <si>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</si>
  <si>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</si>
  <si>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</si>
  <si>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</si>
  <si>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</si>
  <si>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</si>
  <si>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</si>
  <si>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</si>
  <si>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</si>
  <si>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</si>
  <si>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</si>
  <si>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</si>
  <si>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</si>
  <si>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</si>
  <si>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</si>
  <si>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</si>
  <si>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</si>
  <si>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</si>
  <si>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</si>
  <si>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</si>
  <si>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</si>
  <si>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</si>
  <si>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</si>
  <si>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</si>
  <si>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</si>
  <si>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</si>
  <si>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</si>
  <si>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</si>
  <si>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</si>
  <si>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</si>
  <si>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</si>
  <si>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</si>
  <si>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</si>
  <si>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</si>
  <si>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</si>
  <si>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</si>
  <si>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</si>
  <si>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</si>
  <si>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</si>
  <si>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</si>
  <si>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</si>
  <si>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</si>
  <si>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</si>
  <si>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</si>
  <si>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</si>
  <si>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</si>
  <si>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</si>
  <si>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</si>
  <si>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</si>
  <si>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</si>
  <si>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</si>
  <si>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</si>
  <si>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</si>
  <si>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</si>
  <si>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</si>
  <si>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</si>
  <si>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</si>
  <si>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</si>
  <si>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</si>
  <si>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</si>
  <si>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</si>
  <si>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</si>
  <si>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</si>
  <si>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</si>
  <si>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</si>
  <si>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</si>
  <si>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</si>
  <si>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</si>
  <si>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</si>
  <si>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</si>
  <si>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</si>
  <si>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</si>
  <si>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</si>
  <si>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</si>
  <si>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</si>
  <si>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</si>
  <si>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</si>
  <si>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</si>
  <si>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</si>
  <si>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</si>
  <si>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</si>
  <si>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</si>
  <si>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</si>
  <si>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</si>
  <si>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</si>
  <si>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</si>
  <si>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</si>
  <si>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</si>
  <si>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</si>
  <si>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</si>
  <si>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</si>
  <si>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</si>
  <si>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</si>
  <si>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</si>
  <si>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</si>
  <si>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</si>
  <si>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</si>
  <si>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</si>
  <si>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</si>
  <si>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</si>
  <si>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</si>
  <si>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</si>
  <si>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</si>
  <si>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</si>
  <si>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</si>
  <si>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</si>
  <si>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</si>
  <si>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</si>
  <si>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</si>
  <si>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</si>
  <si>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</si>
  <si>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</si>
  <si>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</si>
  <si>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</si>
  <si>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</si>
  <si>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</si>
  <si>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</si>
  <si>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</si>
  <si>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</si>
  <si>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</si>
  <si>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</si>
  <si>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</si>
  <si>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</si>
  <si>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</si>
  <si>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</si>
  <si>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</si>
  <si>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</si>
  <si>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</si>
  <si>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</si>
  <si>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</si>
  <si>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</si>
  <si>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</si>
  <si>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</si>
  <si>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</si>
  <si>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</si>
  <si>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</si>
  <si>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</si>
  <si>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</si>
  <si>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</si>
  <si>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</si>
  <si>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</si>
  <si>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</si>
  <si>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</si>
  <si>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</si>
  <si>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</si>
  <si>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</si>
  <si>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</si>
  <si>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</si>
  <si>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</si>
  <si>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</si>
  <si>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</si>
  <si>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</si>
  <si>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</si>
  <si>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</si>
  <si>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</si>
  <si>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</si>
  <si>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</si>
  <si>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</si>
  <si>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</si>
  <si>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</si>
  <si>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</si>
  <si>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</si>
  <si>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</si>
  <si>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</si>
  <si>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</si>
  <si>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</si>
  <si>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</si>
  <si>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</si>
  <si>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</si>
  <si>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</si>
  <si>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</si>
  <si>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</si>
  <si>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</si>
  <si>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</si>
  <si>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</si>
  <si>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</si>
  <si>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</si>
  <si>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</si>
  <si>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</si>
  <si>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</si>
  <si>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</si>
  <si>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</si>
  <si>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</si>
  <si>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</si>
  <si>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</si>
  <si>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</si>
  <si>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</si>
  <si>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</si>
  <si>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</si>
  <si>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</si>
  <si>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</si>
  <si>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</si>
  <si>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</si>
  <si>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</si>
  <si>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</si>
  <si>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</si>
  <si>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</si>
  <si>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</si>
  <si>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</si>
  <si>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</si>
  <si>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</si>
  <si>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</si>
  <si>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</si>
  <si>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</si>
  <si>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</si>
  <si>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</si>
  <si>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</si>
  <si>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</si>
  <si>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</si>
  <si>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</si>
  <si>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</si>
  <si>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</si>
  <si>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</si>
  <si>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</si>
  <si>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</si>
  <si>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</si>
  <si>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</si>
  <si>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</si>
  <si>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</si>
  <si>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</si>
  <si>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</si>
  <si>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</si>
  <si>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</si>
  <si>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</si>
  <si>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</si>
  <si>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</si>
  <si>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</si>
  <si>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</si>
  <si>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</si>
  <si>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</si>
  <si>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</si>
  <si>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</si>
  <si>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</si>
  <si>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</si>
  <si>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</si>
  <si>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</si>
  <si>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</si>
  <si>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</si>
  <si>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</si>
  <si>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</si>
  <si>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</si>
  <si>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</si>
  <si>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</si>
  <si>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</si>
  <si>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</si>
  <si>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</si>
  <si>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</si>
  <si>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</si>
  <si>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</si>
  <si>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</si>
  <si>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</si>
  <si>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</si>
  <si>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</si>
  <si>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</si>
  <si>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</si>
  <si>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</si>
  <si>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</si>
  <si>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</si>
  <si>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</si>
  <si>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</si>
  <si>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</si>
  <si>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</si>
  <si>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</si>
  <si>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</si>
  <si>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</si>
  <si>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</si>
  <si>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</si>
  <si>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</si>
  <si>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</si>
  <si>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</si>
  <si>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</si>
  <si>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</si>
  <si>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</si>
  <si>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</si>
  <si>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</si>
  <si>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</si>
  <si>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</si>
  <si>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</si>
  <si>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</si>
  <si>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</si>
  <si>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</si>
  <si>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</si>
  <si>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</si>
  <si>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</si>
  <si>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</si>
  <si>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</si>
  <si>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</si>
  <si>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</si>
  <si>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</si>
  <si>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</si>
  <si>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</si>
  <si>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</si>
  <si>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</si>
  <si>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</si>
  <si>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</si>
  <si>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</si>
  <si>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</si>
  <si>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</si>
  <si>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</si>
  <si>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</si>
  <si>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</si>
  <si>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</si>
  <si>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</si>
  <si>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</si>
  <si>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</si>
  <si>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</si>
  <si>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</si>
  <si>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</si>
  <si>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</si>
  <si>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</si>
  <si>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</si>
  <si>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</si>
  <si>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</si>
  <si>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</si>
  <si>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</si>
  <si>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</si>
  <si>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</si>
  <si>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</si>
  <si>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</si>
  <si>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</si>
  <si>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</si>
  <si>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</si>
  <si>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</si>
  <si>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</si>
  <si>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</si>
  <si>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</si>
  <si>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</si>
  <si>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</si>
  <si>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</si>
  <si>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</si>
  <si>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</si>
  <si>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</si>
  <si>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</si>
  <si>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</si>
  <si>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</si>
  <si>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</si>
  <si>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</si>
  <si>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</si>
  <si>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</si>
  <si>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</si>
  <si>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</si>
  <si>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</si>
  <si>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</si>
  <si>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</si>
  <si>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</si>
  <si>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</si>
  <si>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</si>
  <si>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</si>
  <si>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</si>
  <si>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</si>
  <si>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</si>
  <si>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</si>
  <si>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</si>
  <si>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</si>
  <si>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</si>
  <si>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</si>
  <si>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</si>
  <si>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</si>
  <si>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</si>
  <si>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</si>
  <si>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</si>
  <si>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</si>
  <si>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</si>
  <si>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</si>
  <si>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</si>
  <si>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</si>
  <si>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</si>
  <si>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</si>
  <si>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</si>
  <si>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</si>
  <si>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</si>
  <si>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</si>
  <si>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</si>
  <si>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</si>
  <si>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</si>
  <si>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</si>
  <si>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</si>
  <si>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</si>
  <si>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</si>
  <si>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</si>
  <si>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</si>
  <si>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</si>
  <si>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</si>
  <si>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</si>
  <si>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</si>
  <si>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</si>
  <si>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</si>
  <si>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</si>
  <si>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</si>
  <si>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</si>
  <si>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</si>
  <si>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</si>
  <si>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</si>
  <si>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</si>
  <si>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</si>
  <si>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</si>
  <si>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</si>
  <si>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</si>
  <si>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</si>
  <si>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</si>
  <si>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</si>
  <si>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</si>
  <si>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</si>
  <si>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</si>
  <si>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</si>
  <si>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</si>
  <si>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</si>
  <si>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</si>
  <si>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</si>
  <si>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</si>
  <si>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</si>
  <si>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</si>
  <si>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</si>
  <si>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</si>
  <si>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</si>
  <si>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</si>
  <si>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</si>
  <si>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</si>
  <si>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</si>
  <si>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</si>
  <si>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</si>
  <si>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</si>
  <si>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</si>
  <si>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</si>
  <si>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</si>
  <si>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</si>
  <si>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</si>
  <si>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</si>
  <si>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</si>
  <si>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</si>
  <si>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</si>
  <si>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</si>
  <si>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</si>
  <si>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</si>
  <si>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</si>
  <si>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</si>
  <si>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</si>
  <si>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</si>
  <si>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</si>
  <si>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</si>
  <si>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</si>
  <si>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</si>
  <si>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</si>
  <si>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</si>
  <si>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</si>
  <si>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</si>
  <si>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</si>
  <si>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</si>
  <si>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</si>
  <si>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</si>
  <si>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</si>
  <si>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</si>
  <si>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</si>
  <si>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</si>
  <si>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</si>
  <si>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</si>
  <si>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</si>
  <si>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</si>
  <si>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</si>
  <si>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</si>
  <si>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</si>
  <si>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</si>
  <si>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</si>
  <si>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</si>
  <si>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</si>
  <si>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</si>
  <si>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</si>
  <si>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</si>
  <si>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</si>
  <si>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</si>
  <si>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</si>
  <si>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</si>
  <si>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</si>
  <si>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</si>
  <si>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</si>
  <si>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</si>
  <si>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</si>
  <si>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</si>
  <si>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</si>
  <si>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</si>
  <si>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</si>
  <si>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</si>
  <si>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</si>
  <si>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</si>
  <si>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</si>
  <si>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</si>
  <si>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</si>
  <si>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</si>
  <si>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</si>
  <si>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</si>
  <si>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</si>
  <si>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</si>
  <si>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</si>
  <si>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</si>
  <si>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</si>
  <si>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</si>
  <si>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</si>
  <si>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</si>
  <si>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</si>
  <si>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</si>
  <si>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</si>
  <si>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</si>
  <si>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</si>
  <si>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</si>
  <si>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</si>
  <si>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</si>
  <si>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</si>
  <si>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</si>
  <si>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</si>
  <si>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</si>
  <si>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</si>
  <si>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</si>
  <si>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</si>
  <si>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</si>
  <si>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</si>
  <si>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</si>
  <si>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</si>
  <si>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</si>
  <si>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</si>
  <si>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</si>
  <si>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</si>
  <si>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</si>
  <si>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</si>
  <si>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</si>
  <si>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</si>
  <si>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</si>
  <si>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</si>
  <si>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</si>
  <si>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</si>
  <si>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</si>
  <si>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</si>
  <si>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</si>
  <si>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</si>
  <si>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</si>
  <si>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</si>
  <si>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</si>
  <si>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</si>
  <si>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</si>
  <si>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</si>
  <si>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</si>
  <si>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</si>
  <si>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</si>
  <si>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</si>
  <si>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</si>
  <si>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</si>
  <si>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</si>
  <si>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</si>
  <si>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</si>
  <si>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</si>
  <si>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</si>
  <si>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</si>
  <si>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</si>
  <si>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</si>
  <si>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</si>
  <si>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</si>
  <si>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</si>
  <si>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</si>
  <si>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</si>
  <si>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</si>
  <si>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</si>
  <si>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</si>
  <si>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</si>
  <si>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</si>
  <si>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</si>
  <si>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</si>
  <si>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</si>
  <si>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</si>
  <si>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</si>
  <si>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</si>
  <si>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</si>
  <si>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</si>
  <si>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</si>
  <si>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</si>
  <si>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</si>
  <si>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</si>
  <si>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</si>
  <si>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</si>
  <si>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</si>
  <si>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</si>
  <si>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</si>
  <si>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</si>
  <si>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</si>
  <si>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</si>
  <si>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</si>
  <si>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</si>
  <si>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</si>
  <si>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</si>
  <si>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</si>
  <si>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</si>
  <si>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</si>
  <si>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</si>
  <si>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</si>
  <si>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</si>
  <si>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</si>
  <si>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</si>
  <si>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</si>
  <si>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</si>
  <si>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</si>
  <si>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</si>
  <si>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</si>
  <si>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</si>
  <si>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</si>
  <si>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</si>
  <si>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</si>
  <si>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</si>
  <si>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</si>
  <si>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</si>
  <si>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</si>
  <si>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</si>
  <si>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</si>
  <si>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</si>
  <si>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</si>
  <si>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</si>
  <si>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</si>
  <si>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</si>
  <si>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</si>
  <si>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</si>
  <si>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</si>
  <si>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</si>
  <si>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</si>
  <si>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</si>
  <si>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</si>
  <si>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</si>
  <si>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</si>
  <si>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</si>
  <si>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</si>
  <si>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</si>
  <si>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</si>
  <si>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</si>
  <si>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</si>
  <si>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</si>
  <si>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</si>
  <si>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</si>
  <si>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</si>
  <si>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</si>
  <si>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</si>
  <si>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</si>
  <si>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</si>
  <si>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</si>
  <si>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</si>
  <si>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</si>
  <si>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</si>
  <si>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</si>
  <si>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</si>
  <si>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</si>
  <si>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</si>
  <si>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</si>
  <si>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</si>
  <si>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</si>
  <si>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</si>
  <si>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</si>
  <si>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</si>
  <si>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</si>
  <si>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</si>
  <si>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</si>
  <si>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</si>
  <si>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</si>
  <si>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</si>
  <si>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</si>
  <si>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</si>
  <si>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</si>
  <si>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</si>
  <si>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</si>
  <si>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</si>
  <si>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</si>
  <si>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</si>
  <si>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</si>
  <si>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</si>
  <si>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</si>
  <si>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</si>
  <si>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</si>
  <si>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</si>
  <si>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</si>
  <si>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</si>
  <si>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</si>
  <si>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</si>
  <si>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</si>
  <si>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</si>
  <si>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</si>
  <si>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</si>
  <si>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</si>
  <si>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</si>
  <si>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</si>
  <si>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</si>
  <si>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</si>
  <si>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</si>
  <si>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</si>
  <si>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</si>
  <si>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</si>
  <si>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</si>
  <si>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</si>
  <si>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</si>
  <si>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</si>
  <si>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</si>
  <si>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</si>
  <si>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</si>
  <si>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</si>
  <si>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</si>
  <si>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</si>
  <si>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</si>
  <si>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</si>
  <si>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</si>
  <si>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</si>
  <si>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</si>
  <si>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</si>
  <si>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</si>
  <si>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</si>
  <si>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</si>
  <si>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</si>
  <si>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</si>
  <si>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</si>
  <si>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</si>
  <si>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</si>
  <si>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</si>
  <si>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</si>
  <si>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</si>
  <si>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</si>
  <si>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</si>
  <si>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</si>
  <si>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</si>
  <si>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</si>
  <si>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</si>
  <si>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</si>
  <si>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</si>
  <si>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</si>
  <si>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</si>
  <si>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</si>
  <si>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</si>
  <si>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</si>
  <si>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</si>
  <si>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</si>
  <si>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</si>
  <si>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</si>
  <si>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</si>
  <si>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</si>
  <si>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</si>
  <si>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</si>
  <si>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</si>
  <si>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</si>
  <si>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</si>
  <si>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</si>
  <si>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</si>
  <si>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</si>
  <si>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</si>
  <si>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</si>
  <si>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</si>
  <si>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</si>
  <si>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</si>
  <si>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</si>
  <si>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</si>
  <si>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</si>
  <si>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</si>
  <si>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</si>
  <si>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</si>
  <si>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</si>
  <si>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</si>
  <si>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</si>
  <si>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</si>
  <si>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</si>
  <si>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</si>
  <si>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</si>
  <si>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</si>
  <si>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</si>
  <si>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</si>
  <si>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</si>
  <si>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</si>
  <si>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</si>
  <si>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</si>
  <si>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</si>
  <si>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</si>
  <si>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</si>
  <si>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</si>
  <si>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</si>
  <si>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</si>
  <si>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</si>
  <si>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</si>
  <si>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</si>
  <si>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</si>
  <si>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</si>
  <si>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</si>
  <si>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</si>
  <si>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</si>
  <si>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</si>
  <si>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</si>
  <si>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</si>
  <si>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</si>
  <si>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</si>
  <si>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</si>
  <si>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</si>
  <si>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</si>
  <si>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</si>
  <si>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</si>
  <si>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</si>
  <si>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</si>
  <si>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</si>
  <si>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</si>
  <si>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</si>
  <si>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</si>
  <si>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</si>
  <si>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</si>
  <si>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</si>
  <si>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</si>
  <si>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</si>
  <si>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</si>
  <si>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</si>
  <si>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</si>
  <si>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</si>
  <si>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</si>
  <si>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</si>
  <si>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</si>
  <si>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</si>
  <si>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</si>
  <si>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</si>
  <si>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</si>
  <si>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</si>
  <si>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</si>
  <si>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</si>
  <si>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</si>
  <si>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</si>
  <si>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</si>
  <si>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</si>
  <si>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</si>
  <si>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</si>
  <si>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</si>
  <si>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</si>
  <si>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</si>
  <si>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</si>
  <si>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</si>
  <si>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</si>
  <si>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</si>
  <si>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</si>
  <si>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</si>
  <si>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</si>
  <si>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</si>
  <si>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</si>
  <si>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</si>
  <si>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</si>
  <si>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</si>
  <si>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</si>
  <si>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</si>
  <si>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</si>
  <si>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</si>
  <si>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</si>
  <si>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</si>
  <si>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</si>
  <si>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</si>
  <si>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</si>
  <si>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</si>
  <si>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</si>
  <si>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</si>
  <si>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</si>
  <si>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</si>
  <si>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</si>
  <si>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</si>
  <si>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</si>
  <si>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</si>
  <si>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</si>
  <si>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</si>
  <si>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</si>
  <si>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</si>
  <si>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</si>
  <si>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</si>
  <si>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</si>
  <si>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</si>
  <si>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</si>
  <si>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</si>
  <si>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</si>
  <si>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</si>
  <si>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</si>
  <si>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</si>
  <si>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</si>
  <si>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</si>
  <si>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</si>
  <si>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</si>
  <si>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</si>
  <si>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</si>
  <si>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</si>
  <si>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</si>
  <si>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</si>
  <si>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</si>
  <si>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</si>
  <si>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</si>
  <si>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</si>
  <si>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</si>
  <si>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</si>
  <si>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</si>
  <si>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</si>
  <si>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</si>
  <si>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</si>
  <si>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</si>
  <si>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</si>
  <si>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</si>
  <si>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</si>
  <si>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</si>
  <si>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</si>
  <si>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</si>
  <si>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</si>
  <si>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</si>
  <si>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</si>
  <si>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</si>
  <si>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</si>
  <si>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</si>
  <si>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</si>
  <si>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</si>
  <si>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</si>
  <si>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</si>
  <si>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</si>
  <si>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</si>
  <si>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</si>
  <si>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</si>
  <si>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</si>
  <si>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</si>
  <si>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</si>
  <si>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</si>
  <si>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</si>
  <si>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</si>
  <si>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</si>
  <si>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</si>
  <si>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</si>
  <si>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</si>
  <si>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</si>
  <si>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</si>
  <si>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</si>
  <si>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</si>
  <si>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</si>
  <si>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</si>
  <si>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</si>
  <si>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</si>
  <si>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</si>
  <si>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</si>
  <si>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</si>
  <si>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</si>
  <si>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</si>
  <si>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</si>
  <si>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</si>
  <si>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</si>
  <si>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</si>
  <si>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</si>
  <si>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</si>
  <si>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</si>
  <si>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</si>
  <si>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</si>
  <si>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</si>
  <si>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</si>
  <si>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</si>
  <si>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</si>
  <si>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</si>
  <si>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</si>
  <si>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</si>
  <si>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</si>
  <si>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</si>
  <si>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</si>
  <si>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</si>
  <si>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</si>
  <si>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</si>
  <si>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</si>
  <si>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</si>
  <si>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</si>
  <si>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</si>
  <si>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</si>
  <si>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</si>
  <si>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</si>
  <si>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</si>
  <si>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</si>
  <si>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</si>
  <si>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</si>
  <si>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</si>
  <si>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</si>
  <si>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</si>
  <si>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</si>
  <si>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</si>
  <si>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</si>
  <si>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</si>
  <si>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</si>
  <si>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</si>
  <si>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</si>
  <si>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</si>
  <si>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</si>
  <si>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</si>
  <si>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</si>
  <si>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</si>
  <si>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</si>
  <si>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</si>
  <si>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</si>
  <si>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</si>
  <si>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</si>
  <si>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</si>
  <si>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</si>
  <si>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</si>
  <si>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</si>
  <si>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</si>
  <si>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</si>
  <si>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</si>
  <si>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</si>
  <si>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</si>
  <si>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</si>
  <si>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</si>
  <si>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</si>
  <si>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</si>
  <si>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</si>
  <si>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</si>
  <si>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</si>
  <si>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</si>
  <si>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</si>
  <si>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</si>
  <si>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</si>
  <si>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</si>
  <si>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</si>
  <si>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</si>
  <si>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</si>
  <si>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</si>
  <si>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</si>
  <si>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</si>
  <si>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</si>
  <si>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</si>
  <si>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</si>
  <si>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</si>
  <si>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</si>
  <si>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</si>
  <si>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</si>
  <si>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</si>
  <si>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</si>
  <si>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</si>
  <si>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</si>
  <si>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</si>
  <si>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</si>
  <si>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</si>
  <si>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</si>
  <si>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</si>
  <si>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</si>
  <si>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</si>
  <si>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</si>
  <si>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</si>
  <si>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</si>
  <si>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</si>
  <si>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</si>
  <si>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</si>
  <si>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</si>
  <si>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</si>
  <si>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</si>
  <si>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</si>
  <si>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</si>
  <si>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</si>
  <si>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</si>
  <si>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</si>
  <si>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</si>
  <si>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</si>
  <si>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</si>
  <si>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</si>
  <si>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</si>
  <si>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</si>
  <si>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</si>
  <si>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</si>
  <si>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</si>
  <si>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</si>
  <si>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</si>
  <si>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</si>
  <si>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</si>
  <si>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</si>
  <si>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</si>
  <si>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</si>
  <si>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</si>
  <si>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</si>
  <si>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</si>
  <si>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</si>
  <si>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</si>
  <si>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</si>
  <si>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</si>
  <si>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</si>
  <si>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</si>
  <si>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</si>
  <si>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</si>
  <si>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</si>
  <si>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</si>
  <si>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</si>
  <si>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</si>
  <si>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</si>
  <si>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</si>
  <si>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</si>
  <si>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</si>
  <si>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</si>
  <si>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</si>
  <si>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</si>
  <si>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</si>
  <si>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</si>
  <si>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</si>
  <si>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</si>
  <si>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</si>
  <si>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</si>
  <si>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</si>
  <si>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</si>
  <si>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</si>
  <si>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</si>
  <si>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</si>
  <si>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</si>
  <si>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</si>
  <si>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</si>
  <si>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</si>
  <si>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</si>
  <si>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</si>
  <si>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</si>
  <si>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</si>
  <si>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</si>
  <si>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</si>
  <si>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</si>
  <si>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</si>
  <si>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</si>
  <si>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</si>
  <si>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</si>
  <si>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</si>
  <si>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</si>
  <si>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</si>
  <si>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</si>
  <si>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</si>
  <si>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</si>
  <si>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</si>
  <si>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</si>
  <si>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</si>
  <si>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</si>
  <si>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</si>
  <si>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</si>
  <si>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</si>
  <si>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</si>
  <si>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</si>
  <si>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</si>
  <si>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</si>
  <si>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</si>
  <si>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</si>
  <si>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</si>
  <si>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</si>
  <si>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</si>
  <si>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</si>
  <si>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</si>
  <si>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</si>
  <si>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</si>
  <si>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</si>
  <si>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</si>
  <si>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</si>
  <si>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</si>
  <si>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</si>
  <si>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</si>
  <si>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</si>
  <si>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</si>
  <si>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</si>
  <si>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</si>
  <si>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</si>
  <si>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</si>
  <si>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</si>
  <si>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</si>
  <si>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</si>
  <si>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</si>
  <si>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</si>
  <si>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</si>
  <si>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</si>
  <si>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</si>
  <si>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</si>
  <si>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</si>
  <si>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</si>
  <si>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</si>
  <si>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</si>
  <si>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</si>
  <si>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</si>
  <si>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</si>
  <si>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</si>
  <si>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</si>
  <si>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</si>
  <si>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</si>
  <si>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</si>
  <si>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</si>
  <si>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</si>
  <si>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</si>
  <si>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</si>
  <si>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</si>
  <si>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</si>
  <si>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</si>
  <si>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</si>
  <si>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</si>
  <si>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</si>
  <si>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</si>
  <si>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</si>
  <si>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</si>
  <si>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</si>
  <si>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</si>
  <si>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</si>
  <si>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</si>
  <si>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</si>
  <si>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</si>
  <si>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</si>
  <si>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</si>
  <si>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</si>
  <si>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</si>
  <si>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</si>
  <si>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</si>
  <si>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</si>
  <si>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</si>
  <si>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</si>
  <si>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</si>
  <si>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</si>
  <si>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</si>
  <si>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</si>
  <si>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</si>
  <si>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</si>
  <si>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</si>
  <si>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</si>
  <si>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</si>
  <si>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</si>
  <si>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</si>
  <si>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</si>
  <si>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</si>
  <si>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</si>
  <si>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</si>
  <si>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</si>
  <si>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</si>
  <si>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</si>
  <si>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</si>
  <si>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</si>
  <si>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</si>
  <si>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</si>
  <si>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</si>
  <si>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</si>
  <si>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</si>
  <si>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</si>
  <si>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</si>
  <si>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</si>
  <si>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</si>
  <si>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</si>
  <si>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</si>
  <si>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</si>
  <si>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</si>
  <si>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</si>
  <si>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</si>
  <si>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</si>
  <si>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</si>
  <si>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</si>
  <si>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</si>
  <si>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</si>
  <si>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</si>
  <si>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</si>
  <si>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</si>
  <si>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</si>
  <si>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</si>
  <si>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</si>
  <si>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</si>
  <si>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</si>
  <si>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</si>
  <si>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</si>
  <si>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</si>
  <si>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</si>
  <si>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</si>
  <si>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</si>
  <si>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</si>
  <si>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</si>
  <si>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</si>
  <si>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</si>
  <si>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</si>
  <si>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</si>
  <si>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</si>
  <si>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</si>
  <si>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</si>
  <si>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</si>
  <si>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</si>
  <si>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</si>
  <si>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</si>
  <si>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</si>
  <si>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</si>
  <si>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</si>
  <si>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</si>
  <si>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</si>
  <si>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</si>
  <si>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</si>
  <si>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</si>
  <si>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</si>
  <si>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</si>
  <si>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</si>
  <si>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</si>
  <si>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</si>
  <si>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</si>
  <si>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</si>
  <si>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</si>
  <si>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</si>
  <si>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</si>
  <si>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</si>
  <si>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</si>
  <si>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</si>
  <si>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</si>
  <si>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</si>
  <si>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</si>
  <si>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</si>
  <si>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</si>
  <si>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</si>
  <si>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</si>
  <si>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</si>
  <si>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</si>
  <si>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</si>
  <si>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</si>
  <si>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</si>
  <si>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</si>
  <si>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</si>
  <si>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</si>
  <si>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</si>
  <si>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</si>
  <si>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</si>
  <si>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</si>
  <si>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</si>
  <si>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</si>
  <si>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</si>
  <si>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</si>
  <si>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</si>
  <si>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</si>
  <si>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</si>
  <si>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</si>
  <si>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</si>
  <si>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</si>
  <si>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</si>
  <si>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</si>
  <si>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</si>
  <si>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</si>
  <si>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</si>
  <si>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</si>
  <si>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</si>
  <si>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</si>
  <si>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</si>
  <si>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</si>
  <si>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</si>
  <si>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</si>
  <si>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</si>
  <si>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</si>
  <si>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</si>
  <si>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</si>
  <si>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</si>
  <si>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</si>
  <si>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</si>
  <si>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</si>
  <si>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</si>
  <si>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</si>
  <si>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</si>
  <si>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</si>
  <si>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</si>
  <si>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</si>
  <si>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</si>
  <si>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</si>
  <si>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</si>
  <si>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</si>
  <si>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</si>
  <si>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</si>
  <si>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</si>
  <si>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</si>
  <si>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</si>
  <si>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</si>
  <si>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</si>
  <si>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</si>
  <si>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</si>
  <si>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</si>
  <si>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</si>
  <si>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</si>
  <si>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</si>
  <si>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</si>
  <si>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</si>
  <si>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</si>
  <si>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</si>
  <si>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</si>
  <si>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</si>
  <si>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</si>
  <si>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</si>
  <si>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</si>
  <si>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</si>
  <si>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</si>
  <si>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</si>
  <si>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</si>
  <si>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</si>
  <si>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</si>
  <si>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</si>
  <si>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</si>
  <si>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</si>
  <si>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</si>
  <si>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</si>
  <si>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</si>
  <si>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</si>
  <si>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</si>
  <si>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</si>
  <si>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</si>
  <si>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</si>
  <si>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</si>
  <si>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</si>
  <si>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</si>
  <si>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</si>
  <si>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</si>
  <si>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</si>
  <si>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</si>
  <si>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</si>
  <si>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</si>
  <si>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</si>
  <si>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</si>
  <si>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</si>
  <si>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</si>
  <si>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</si>
  <si>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</si>
  <si>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</si>
  <si>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</si>
  <si>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</si>
  <si>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</si>
  <si>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</si>
  <si>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</si>
  <si>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</si>
  <si>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</si>
  <si>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</si>
  <si>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</si>
  <si>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</si>
  <si>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</si>
  <si>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</si>
  <si>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</si>
  <si>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</si>
  <si>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</si>
  <si>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</si>
  <si>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</si>
  <si>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</si>
  <si>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</si>
  <si>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</si>
  <si>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</si>
  <si>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</si>
  <si>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</si>
  <si>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</si>
  <si>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</si>
  <si>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</si>
  <si>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</si>
  <si>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</si>
  <si>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</si>
  <si>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</si>
  <si>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</si>
  <si>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</si>
  <si>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</si>
  <si>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</si>
  <si>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</si>
  <si>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</si>
  <si>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</si>
  <si>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</si>
  <si>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</si>
  <si>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</si>
  <si>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</si>
  <si>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</si>
  <si>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</si>
  <si>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</si>
  <si>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</si>
  <si>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</si>
  <si>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</si>
  <si>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</si>
  <si>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</si>
  <si>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</si>
  <si>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</si>
  <si>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</si>
  <si>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</si>
  <si>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</si>
  <si>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</si>
  <si>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</si>
  <si>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</si>
  <si>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</si>
  <si>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</si>
  <si>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</si>
  <si>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</si>
  <si>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</si>
  <si>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</si>
  <si>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</si>
  <si>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</si>
  <si>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</si>
  <si>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</si>
  <si>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</si>
  <si>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</si>
  <si>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</si>
  <si>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</si>
  <si>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</si>
  <si>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</si>
  <si>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</si>
  <si>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</si>
  <si>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</si>
  <si>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</si>
  <si>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</si>
  <si>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</si>
  <si>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</si>
  <si>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</si>
  <si>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</si>
  <si>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</si>
  <si>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</si>
  <si>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</si>
  <si>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</si>
  <si>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</si>
  <si>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</si>
  <si>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</si>
  <si>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</si>
  <si>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</si>
  <si>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</si>
  <si>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</si>
  <si>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</si>
  <si>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</si>
  <si>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</si>
  <si>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</si>
  <si>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</si>
  <si>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</si>
  <si>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</si>
  <si>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</si>
  <si>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</si>
  <si>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</si>
  <si>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</si>
  <si>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</si>
  <si>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</si>
  <si>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</si>
  <si>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</si>
  <si>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</si>
  <si>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</si>
  <si>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</si>
  <si>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</si>
  <si>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</si>
  <si>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</si>
  <si>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</si>
  <si>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</si>
  <si>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</si>
  <si>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</si>
  <si>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</si>
  <si>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</si>
  <si>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</si>
  <si>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</si>
  <si>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</si>
  <si>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</si>
  <si>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</si>
  <si>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</si>
  <si>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</si>
  <si>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</si>
  <si>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</si>
  <si>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</si>
  <si>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</si>
  <si>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</si>
  <si>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</si>
  <si>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</si>
  <si>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</si>
  <si>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</si>
  <si>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</si>
  <si>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</si>
  <si>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</si>
  <si>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</si>
  <si>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</si>
  <si>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</si>
  <si>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</si>
  <si>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</si>
  <si>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</si>
  <si>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</si>
  <si>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</si>
  <si>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</si>
  <si>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</si>
  <si>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</si>
  <si>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</si>
  <si>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</si>
  <si>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</si>
  <si>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</si>
  <si>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</si>
  <si>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</si>
  <si>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</si>
  <si>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</si>
  <si>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</si>
  <si>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</si>
  <si>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</si>
  <si>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</si>
  <si>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</si>
  <si>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</si>
  <si>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</si>
  <si>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</si>
  <si>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</si>
  <si>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</si>
  <si>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</si>
  <si>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</si>
  <si>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</si>
  <si>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</si>
  <si>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</si>
  <si>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</si>
  <si>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</si>
  <si>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</si>
  <si>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</si>
  <si>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</si>
  <si>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</si>
  <si>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</si>
  <si>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</si>
  <si>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</si>
  <si>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</si>
  <si>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</si>
  <si>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</si>
  <si>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</si>
  <si>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</si>
  <si>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</si>
  <si>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</si>
  <si>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</si>
  <si>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</si>
  <si>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</si>
  <si>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</si>
  <si>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</si>
  <si>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</si>
  <si>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</si>
  <si>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</si>
  <si>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</si>
  <si>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</si>
  <si>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</si>
  <si>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</si>
  <si>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</si>
  <si>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</si>
  <si>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</si>
  <si>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</si>
  <si>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</si>
  <si>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</si>
  <si>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</si>
  <si>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</si>
  <si>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</si>
  <si>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</si>
  <si>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</si>
  <si>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</si>
  <si>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</si>
  <si>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</si>
  <si>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</si>
  <si>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</si>
  <si>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</si>
  <si>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</si>
  <si>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</si>
  <si>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</si>
  <si>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</si>
  <si>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</si>
  <si>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</si>
  <si>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</si>
  <si>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</si>
  <si>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</si>
  <si>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</si>
  <si>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</si>
  <si>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</si>
  <si>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</si>
  <si>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</si>
  <si>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</si>
  <si>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</si>
  <si>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</si>
  <si>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</si>
  <si>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</si>
  <si>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</si>
  <si>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</si>
  <si>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</si>
  <si>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</si>
  <si>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</si>
  <si>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</si>
  <si>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</si>
  <si>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</si>
  <si>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</si>
  <si>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</si>
  <si>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</si>
  <si>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</si>
  <si>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</si>
  <si>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</si>
  <si>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</si>
  <si>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</si>
  <si>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</si>
  <si>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</si>
  <si>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</si>
  <si>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</si>
  <si>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</si>
  <si>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</si>
  <si>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</si>
  <si>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</si>
  <si>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</si>
  <si>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</si>
  <si>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</si>
  <si>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</si>
  <si>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</si>
  <si>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</si>
  <si>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</si>
  <si>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</si>
  <si>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</si>
  <si>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</si>
  <si>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</si>
  <si>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</si>
  <si>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</si>
  <si>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</si>
  <si>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</si>
  <si>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</si>
  <si>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</si>
  <si>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</si>
  <si>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</si>
  <si>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</si>
  <si>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</si>
  <si>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</si>
  <si>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</si>
  <si>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</si>
  <si>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</si>
  <si>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</si>
  <si>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</si>
  <si>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</si>
  <si>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</si>
  <si>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</si>
  <si>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</si>
  <si>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</si>
  <si>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</si>
  <si>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</si>
  <si>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</si>
  <si>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</si>
  <si>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</si>
  <si>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</si>
  <si>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</si>
  <si>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</si>
  <si>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</si>
  <si>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</si>
  <si>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</si>
  <si>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</si>
  <si>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</si>
  <si>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</si>
  <si>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</si>
  <si>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</si>
  <si>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</si>
  <si>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</si>
  <si>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</si>
  <si>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</si>
  <si>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</si>
  <si>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</si>
  <si>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</si>
  <si>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</si>
  <si>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</si>
  <si>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</si>
  <si>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</si>
  <si>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</si>
  <si>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</si>
  <si>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</si>
  <si>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</si>
  <si>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</si>
  <si>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</si>
  <si>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</si>
  <si>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</si>
  <si>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</si>
  <si>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</si>
  <si>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</si>
  <si>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</si>
  <si>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</si>
  <si>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</si>
  <si>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</si>
  <si>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</si>
  <si>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</si>
  <si>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</si>
  <si>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</si>
  <si>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</si>
  <si>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</si>
  <si>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</si>
  <si>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</si>
  <si>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</si>
  <si>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</si>
  <si>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</si>
  <si>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</si>
  <si>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</si>
  <si>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</si>
  <si>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</si>
  <si>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</si>
  <si>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</si>
  <si>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</si>
  <si>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</si>
  <si>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</si>
  <si>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</si>
  <si>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</si>
  <si>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</si>
  <si>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</si>
  <si>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</si>
  <si>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</si>
  <si>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</si>
  <si>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</si>
  <si>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</si>
  <si>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</si>
  <si>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</si>
  <si>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</si>
  <si>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</si>
  <si>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</si>
  <si>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</si>
  <si>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</si>
  <si>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</si>
  <si>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</si>
  <si>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</si>
  <si>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</si>
  <si>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</si>
  <si>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</si>
  <si>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</si>
  <si>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</si>
  <si>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</si>
  <si>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</si>
  <si>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</si>
  <si>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</si>
  <si>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</si>
  <si>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</si>
  <si>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</si>
  <si>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</si>
  <si>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</si>
  <si>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</si>
  <si>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</si>
  <si>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</si>
  <si>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</si>
  <si>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</si>
  <si>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</si>
  <si>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</si>
  <si>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</si>
  <si>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</si>
  <si>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</si>
  <si>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</si>
  <si>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</si>
  <si>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</si>
  <si>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</si>
  <si>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</si>
  <si>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</si>
  <si>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</si>
  <si>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</si>
  <si>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</si>
  <si>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</si>
  <si>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</si>
  <si>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</si>
  <si>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</si>
  <si>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</si>
  <si>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</si>
  <si>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</si>
  <si>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</si>
  <si>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</si>
  <si>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</si>
  <si>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</si>
  <si>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</si>
  <si>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</si>
  <si>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</si>
  <si>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</si>
  <si>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</si>
  <si>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</si>
  <si>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</si>
  <si>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</si>
  <si>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</si>
  <si>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</si>
  <si>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</si>
  <si>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</si>
  <si>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</si>
  <si>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</si>
  <si>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</si>
  <si>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</si>
  <si>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</si>
  <si>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</si>
  <si>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</si>
  <si>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</si>
  <si>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</si>
  <si>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</si>
  <si>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</si>
  <si>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</si>
  <si>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</si>
  <si>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</si>
  <si>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</si>
  <si>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</si>
  <si>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</si>
  <si>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</si>
  <si>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</si>
  <si>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</si>
  <si>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</si>
  <si>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</si>
  <si>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</si>
  <si>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</si>
  <si>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</si>
  <si>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</si>
  <si>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</si>
  <si>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</si>
  <si>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</si>
  <si>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</si>
  <si>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</si>
  <si>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</si>
  <si>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</si>
  <si>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</si>
  <si>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</si>
  <si>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</si>
  <si>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</si>
  <si>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</si>
  <si>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</si>
  <si>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</si>
  <si>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</si>
  <si>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</si>
  <si>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</si>
  <si>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</si>
  <si>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</si>
  <si>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</si>
  <si>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</si>
  <si>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</si>
  <si>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</si>
  <si>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</si>
  <si>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</si>
  <si>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</si>
  <si>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</si>
  <si>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</si>
  <si>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</si>
  <si>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</si>
  <si>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</si>
  <si>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</si>
  <si>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</si>
  <si>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</si>
  <si>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</si>
  <si>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</si>
  <si>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</si>
  <si>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</si>
  <si>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</si>
  <si>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</si>
  <si>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</si>
  <si>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</si>
  <si>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</si>
  <si>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</si>
  <si>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</si>
  <si>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</si>
  <si>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</si>
  <si>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</si>
  <si>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</si>
  <si>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</si>
  <si>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</si>
  <si>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</si>
  <si>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</si>
  <si>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</si>
  <si>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</si>
  <si>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</si>
  <si>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</si>
  <si>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</si>
  <si>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</si>
  <si>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</si>
  <si>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</si>
  <si>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</si>
  <si>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</si>
  <si>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</si>
  <si>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</si>
  <si>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</si>
  <si>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</si>
  <si>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</si>
  <si>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</si>
  <si>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</si>
  <si>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</si>
  <si>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</si>
  <si>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</si>
  <si>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</si>
  <si>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</si>
  <si>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</si>
  <si>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</si>
  <si>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</si>
  <si>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</si>
  <si>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</si>
  <si>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</si>
  <si>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</si>
  <si>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</si>
  <si>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</si>
  <si>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</si>
  <si>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</si>
  <si>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</si>
  <si>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</si>
  <si>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</si>
  <si>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</si>
  <si>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</si>
  <si>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</si>
  <si>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</si>
  <si>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</si>
  <si>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</si>
  <si>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</si>
  <si>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</si>
  <si>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</si>
  <si>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</si>
  <si>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</si>
  <si>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</si>
  <si>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</si>
  <si>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</si>
  <si>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</si>
  <si>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</si>
  <si>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</si>
  <si>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</si>
  <si>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</si>
  <si>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</si>
  <si>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</si>
  <si>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</si>
  <si>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</si>
  <si>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</si>
  <si>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</si>
  <si>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</si>
  <si>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</si>
  <si>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</si>
  <si>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</si>
  <si>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</si>
  <si>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</si>
  <si>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</si>
  <si>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</si>
  <si>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</si>
  <si>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</si>
  <si>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</si>
  <si>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</si>
  <si>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</si>
  <si>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</si>
  <si>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</si>
  <si>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</si>
  <si>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</si>
  <si>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</si>
  <si>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</si>
  <si>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</si>
  <si>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</si>
  <si>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</si>
  <si>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</si>
  <si>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</si>
  <si>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</si>
  <si>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</si>
  <si>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</si>
  <si>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</si>
  <si>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</si>
  <si>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</si>
  <si>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</si>
  <si>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</si>
  <si>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</si>
  <si>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</si>
  <si>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</si>
  <si>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</si>
  <si>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</si>
  <si>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</si>
  <si>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</si>
  <si>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</si>
  <si>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</si>
  <si>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</si>
  <si>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</si>
  <si>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</si>
  <si>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</si>
  <si>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</si>
  <si>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</si>
  <si>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</si>
  <si>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</si>
  <si>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</si>
  <si>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</si>
  <si>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</si>
  <si>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</si>
  <si>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</si>
  <si>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</si>
  <si>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</si>
  <si>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</si>
  <si>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</si>
  <si>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</si>
  <si>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</si>
  <si>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</si>
  <si>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</si>
  <si>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</si>
  <si>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</si>
  <si>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</si>
  <si>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</si>
  <si>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</si>
  <si>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</si>
  <si>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</si>
  <si>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</si>
  <si>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</si>
  <si>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</si>
  <si>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</si>
  <si>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</si>
  <si>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</si>
  <si>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</si>
  <si>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</si>
  <si>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</si>
  <si>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</si>
  <si>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</si>
  <si>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</si>
  <si>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</si>
  <si>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</si>
  <si>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</si>
  <si>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</si>
  <si>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</si>
  <si>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</si>
  <si>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</si>
  <si>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</si>
  <si>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</si>
  <si>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</si>
  <si>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</si>
  <si>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</si>
  <si>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</si>
  <si>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</si>
  <si>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</si>
  <si>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</si>
  <si>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</si>
  <si>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</si>
  <si>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</si>
  <si>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</si>
  <si>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</si>
  <si>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</si>
  <si>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</si>
  <si>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</si>
  <si>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</si>
  <si>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</si>
  <si>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</si>
  <si>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</si>
  <si>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</si>
  <si>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</si>
  <si>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</si>
  <si>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</si>
  <si>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</si>
  <si>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</si>
  <si>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</si>
  <si>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</si>
  <si>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</si>
  <si>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</si>
  <si>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</si>
  <si>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</si>
  <si>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</si>
  <si>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</si>
  <si>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</si>
  <si>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</si>
  <si>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</si>
  <si>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</si>
  <si>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</si>
  <si>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</si>
  <si>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</si>
  <si>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</si>
  <si>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</si>
  <si>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</si>
  <si>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</si>
  <si>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</si>
  <si>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</si>
  <si>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</si>
  <si>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</si>
  <si>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</si>
  <si>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</si>
  <si>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</si>
  <si>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</si>
  <si>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</si>
  <si>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</si>
  <si>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</si>
  <si>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</si>
  <si>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</si>
  <si>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</si>
  <si>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</si>
  <si>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</si>
  <si>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</si>
  <si>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</si>
  <si>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</si>
  <si>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</si>
  <si>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</si>
  <si>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</si>
  <si>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</si>
  <si>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</si>
  <si>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</si>
  <si>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</si>
  <si>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</si>
  <si>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</si>
  <si>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</si>
  <si>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</si>
  <si>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</si>
  <si>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</si>
  <si>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</si>
  <si>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</si>
  <si>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</si>
  <si>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</si>
  <si>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</si>
  <si>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</si>
  <si>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</si>
  <si>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</si>
  <si>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</si>
  <si>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</si>
  <si>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</si>
  <si>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</si>
  <si>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</si>
  <si>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</si>
  <si>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</si>
  <si>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</si>
  <si>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</si>
  <si>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</si>
  <si>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</si>
  <si>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</si>
  <si>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</si>
  <si>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</si>
  <si>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</si>
  <si>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</si>
  <si>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</si>
  <si>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</si>
  <si>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</si>
  <si>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</si>
  <si>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</si>
  <si>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</si>
  <si>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</si>
  <si>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</si>
  <si>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</si>
  <si>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</si>
  <si>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</si>
  <si>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</si>
  <si>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</si>
  <si>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</si>
  <si>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</si>
  <si>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</si>
  <si>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</si>
  <si>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</si>
  <si>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</si>
  <si>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</si>
  <si>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</si>
  <si>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</si>
  <si>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</si>
  <si>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</si>
  <si>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</si>
  <si>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</si>
  <si>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</si>
  <si>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</si>
  <si>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</si>
  <si>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</si>
  <si>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</si>
  <si>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</si>
  <si>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</si>
  <si>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</si>
  <si>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</si>
  <si>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</si>
  <si>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</si>
  <si>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</si>
  <si>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</si>
  <si>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</si>
  <si>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</si>
  <si>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</si>
  <si>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</si>
  <si>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</si>
  <si>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</si>
  <si>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</si>
  <si>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</si>
  <si>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</si>
  <si>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</si>
  <si>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</si>
  <si>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</si>
  <si>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</si>
  <si>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</si>
  <si>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</si>
  <si>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</si>
  <si>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</si>
  <si>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</si>
  <si>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</si>
  <si>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</si>
  <si>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</si>
  <si>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</si>
  <si>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</si>
  <si>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</si>
  <si>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</si>
  <si>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</si>
  <si>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</si>
  <si>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</si>
  <si>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</si>
  <si>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</si>
  <si>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</si>
  <si>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</si>
  <si>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</si>
  <si>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</si>
  <si>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</si>
  <si>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</si>
  <si>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</si>
  <si>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</si>
  <si>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</si>
  <si>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</si>
  <si>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</si>
  <si>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</si>
  <si>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</si>
  <si>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</si>
  <si>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</si>
  <si>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</si>
  <si>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</si>
  <si>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</si>
  <si>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</si>
  <si>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</si>
  <si>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</si>
  <si>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</si>
  <si>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</si>
  <si>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</si>
  <si>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</si>
  <si>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</si>
  <si>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</si>
  <si>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</si>
  <si>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</si>
  <si>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</si>
  <si>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</si>
  <si>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</si>
  <si>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</si>
  <si>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</si>
  <si>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</si>
  <si>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</si>
  <si>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</si>
  <si>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</si>
  <si>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</si>
  <si>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</si>
  <si>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</si>
  <si>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</si>
  <si>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</si>
  <si>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</si>
  <si>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</si>
  <si>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</si>
  <si>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</si>
  <si>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</si>
  <si>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</si>
  <si>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</si>
  <si>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</si>
  <si>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</si>
  <si>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</si>
  <si>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</si>
  <si>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</si>
  <si>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</si>
  <si>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</si>
  <si>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</si>
  <si>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</si>
  <si>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</si>
  <si>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</si>
  <si>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</si>
  <si>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</si>
  <si>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</si>
  <si>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</si>
  <si>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</si>
  <si>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</si>
  <si>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</si>
  <si>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</si>
  <si>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</si>
  <si>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</si>
  <si>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</si>
  <si>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</si>
  <si>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</si>
  <si>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</si>
  <si>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</si>
  <si>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</si>
  <si>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</si>
  <si>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</si>
  <si>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</si>
  <si>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</si>
  <si>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</si>
  <si>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</si>
  <si>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</si>
  <si>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</si>
  <si>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</si>
  <si>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</si>
  <si>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</si>
  <si>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</si>
  <si>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</si>
  <si>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</si>
  <si>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</si>
  <si>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</si>
  <si>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</si>
  <si>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</si>
  <si>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</si>
  <si>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</si>
  <si>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</si>
  <si>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</si>
  <si>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</si>
  <si>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</si>
  <si>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</si>
  <si>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</si>
  <si>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</si>
  <si>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</si>
  <si>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</si>
  <si>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</si>
  <si>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</si>
  <si>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</si>
  <si>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</si>
  <si>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</si>
  <si>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</si>
  <si>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</si>
  <si>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</si>
  <si>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</si>
  <si>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</si>
  <si>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</si>
  <si>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</si>
  <si>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</si>
  <si>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</si>
  <si>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</si>
  <si>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</si>
  <si>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</si>
  <si>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</si>
  <si>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</si>
  <si>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</si>
  <si>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</si>
  <si>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</si>
  <si>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</si>
  <si>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</si>
  <si>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</si>
  <si>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</si>
  <si>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</si>
  <si>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</si>
  <si>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</si>
  <si>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</si>
  <si>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</si>
  <si>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</si>
  <si>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</si>
  <si>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</si>
  <si>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</si>
  <si>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</si>
  <si>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</si>
  <si>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</si>
  <si>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</si>
  <si>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</si>
  <si>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</si>
  <si>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</si>
  <si>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</si>
  <si>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</si>
  <si>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</si>
  <si>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</si>
  <si>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</si>
  <si>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</si>
  <si>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</si>
  <si>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</si>
  <si>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</si>
  <si>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</si>
  <si>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</si>
  <si>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</si>
  <si>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</si>
  <si>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</si>
  <si>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</si>
  <si>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</si>
  <si>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</si>
  <si>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</si>
  <si>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</si>
  <si>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</si>
  <si>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</si>
  <si>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</si>
  <si>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</si>
  <si>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</si>
  <si>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</si>
  <si>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</si>
  <si>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</si>
  <si>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</si>
  <si>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</si>
  <si>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</si>
  <si>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</si>
  <si>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</si>
  <si>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</si>
  <si>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</si>
  <si>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</si>
  <si>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</si>
  <si>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</si>
  <si>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</si>
  <si>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</si>
  <si>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</si>
  <si>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</si>
  <si>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</si>
  <si>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</si>
  <si>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</si>
  <si>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</si>
  <si>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</si>
  <si>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</si>
  <si>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</si>
  <si>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</si>
  <si>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</si>
  <si>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</si>
  <si>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</si>
  <si>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</si>
  <si>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</si>
  <si>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</si>
  <si>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</si>
  <si>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</si>
  <si>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</si>
  <si>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</si>
  <si>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</si>
  <si>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</si>
  <si>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</si>
  <si>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</si>
  <si>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</si>
  <si>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</si>
  <si>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</si>
  <si>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</si>
  <si>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</si>
  <si>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</si>
  <si>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</si>
  <si>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</si>
  <si>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</si>
  <si>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</si>
  <si>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</si>
  <si>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</si>
  <si>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</si>
  <si>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</si>
  <si>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</si>
  <si>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</si>
  <si>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</si>
  <si>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</si>
  <si>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</si>
  <si>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</si>
  <si>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</si>
  <si>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</si>
  <si>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</si>
  <si>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</si>
  <si>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</si>
  <si>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</si>
  <si>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</si>
  <si>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</si>
  <si>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</si>
  <si>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</si>
  <si>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</si>
  <si>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</si>
  <si>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</si>
  <si>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</si>
  <si>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</si>
  <si>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</si>
  <si>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</si>
  <si>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</si>
  <si>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</si>
  <si>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</si>
  <si>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</si>
  <si>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</si>
  <si>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</si>
  <si>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</si>
  <si>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</si>
  <si>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</si>
  <si>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</si>
  <si>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</si>
  <si>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</si>
  <si>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</si>
  <si>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</si>
  <si>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</si>
  <si>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</si>
  <si>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</si>
  <si>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</si>
  <si>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</si>
  <si>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</si>
  <si>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</si>
  <si>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</si>
  <si>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</si>
  <si>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</si>
  <si>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</si>
  <si>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</si>
  <si>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</si>
  <si>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</si>
  <si>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</si>
  <si>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</si>
  <si>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</si>
  <si>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</si>
  <si>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</si>
  <si>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</si>
  <si>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</si>
  <si>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</si>
  <si>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</si>
  <si>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</si>
  <si>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</si>
  <si>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</si>
  <si>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</si>
  <si>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</si>
  <si>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</si>
  <si>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</si>
  <si>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</si>
  <si>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</si>
  <si>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</si>
  <si>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</si>
  <si>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</si>
  <si>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</si>
  <si>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</si>
  <si>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</si>
  <si>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</si>
  <si>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</si>
  <si>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</si>
  <si>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</si>
  <si>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</si>
  <si>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</si>
  <si>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</si>
  <si>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</si>
  <si>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</si>
  <si>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</si>
  <si>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</si>
  <si>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</si>
  <si>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</si>
  <si>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</si>
  <si>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</si>
  <si>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</si>
  <si>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</si>
  <si>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</si>
  <si>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</si>
  <si>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</si>
  <si>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</si>
  <si>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</si>
  <si>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</si>
  <si>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</si>
  <si>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</si>
  <si>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</si>
  <si>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</si>
  <si>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</si>
  <si>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</si>
  <si>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</si>
  <si>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</si>
  <si>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</si>
  <si>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</si>
  <si>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</si>
  <si>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</si>
  <si>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</si>
  <si>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</si>
  <si>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</si>
  <si>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</si>
  <si>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</si>
  <si>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</si>
  <si>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</si>
  <si>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</si>
  <si>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</si>
  <si>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</si>
  <si>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</si>
  <si>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</si>
  <si>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</si>
  <si>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</si>
  <si>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</si>
  <si>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</si>
  <si>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</si>
  <si>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</si>
  <si>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</si>
  <si>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</si>
  <si>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</si>
  <si>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</si>
  <si>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</si>
  <si>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</si>
  <si>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</si>
  <si>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</si>
  <si>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</si>
  <si>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</si>
  <si>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</si>
  <si>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</si>
  <si>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</si>
  <si>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</si>
  <si>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</si>
  <si>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</si>
  <si>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</si>
  <si>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</si>
  <si>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</si>
  <si>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</si>
  <si>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</si>
  <si>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</si>
  <si>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</si>
  <si>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</si>
  <si>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</si>
  <si>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</si>
  <si>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</si>
  <si>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</si>
  <si>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</si>
  <si>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</si>
  <si>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</si>
  <si>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</si>
  <si>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</si>
  <si>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</si>
  <si>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</si>
  <si>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</si>
  <si>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</si>
  <si>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</si>
  <si>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</si>
  <si>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</si>
  <si>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</si>
  <si>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</si>
  <si>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</si>
  <si>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</si>
  <si>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</si>
  <si>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</si>
  <si>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</si>
  <si>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</si>
  <si>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</si>
  <si>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</si>
  <si>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</si>
  <si>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</si>
  <si>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</si>
  <si>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</si>
  <si>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</si>
  <si>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</si>
  <si>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</si>
  <si>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</si>
  <si>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</si>
  <si>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</si>
  <si>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</si>
  <si>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</si>
  <si>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</si>
  <si>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</si>
  <si>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</si>
  <si>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</si>
  <si>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</si>
  <si>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</si>
  <si>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</si>
  <si>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</si>
  <si>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</si>
  <si>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</si>
  <si>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</si>
  <si>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</si>
  <si>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</si>
  <si>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</si>
  <si>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</si>
  <si>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</si>
  <si>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</si>
  <si>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</si>
  <si>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</si>
  <si>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</si>
  <si>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</si>
  <si>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</si>
  <si>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</si>
  <si>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</si>
  <si>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</si>
  <si>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</si>
  <si>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</si>
  <si>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</si>
  <si>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</si>
  <si>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</si>
  <si>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</si>
  <si>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</si>
  <si>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</si>
  <si>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</si>
  <si>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</si>
  <si>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</si>
  <si>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</si>
  <si>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</si>
  <si>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</si>
  <si>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</si>
  <si>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</si>
  <si>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</si>
  <si>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</si>
  <si>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</si>
  <si>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</si>
  <si>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</si>
  <si>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</si>
  <si>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</si>
  <si>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</si>
  <si>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</si>
  <si>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</si>
  <si>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</si>
  <si>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</si>
  <si>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</si>
  <si>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</si>
  <si>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</si>
  <si>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</si>
  <si>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</si>
  <si>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</si>
  <si>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</si>
  <si>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</si>
  <si>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</si>
  <si>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</si>
  <si>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</si>
  <si>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</si>
  <si>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</si>
  <si>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</si>
  <si>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</si>
  <si>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</si>
  <si>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</si>
  <si>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</si>
  <si>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</si>
  <si>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</si>
  <si>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</si>
  <si>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</si>
  <si>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</si>
  <si>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</si>
  <si>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</si>
  <si>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</si>
  <si>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</si>
  <si>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</si>
  <si>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</si>
  <si>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</si>
  <si>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</si>
  <si>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</si>
  <si>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</si>
  <si>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</si>
  <si>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</si>
  <si>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</si>
  <si>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</si>
  <si>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</si>
  <si>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</si>
  <si>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</si>
  <si>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</si>
  <si>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</si>
  <si>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</si>
  <si>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</si>
  <si>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</si>
  <si>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</si>
  <si>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</si>
  <si>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</si>
  <si>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</si>
  <si>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</si>
  <si>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</si>
  <si>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</si>
  <si>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</si>
  <si>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</si>
  <si>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</si>
  <si>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</si>
  <si>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</si>
  <si>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</si>
  <si>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</si>
  <si>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</si>
  <si>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</si>
  <si>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</si>
  <si>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</si>
  <si>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</si>
  <si>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</si>
  <si>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</si>
  <si>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</si>
  <si>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</si>
  <si>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</si>
  <si>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</si>
  <si>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</si>
  <si>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</si>
  <si>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</si>
  <si>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</si>
  <si>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</si>
  <si>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</si>
  <si>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</si>
  <si>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</si>
  <si>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</si>
  <si>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</si>
  <si>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</si>
  <si>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</si>
  <si>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</si>
  <si>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</si>
  <si>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</si>
  <si>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</si>
  <si>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</si>
  <si>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</si>
  <si>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</si>
  <si>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</si>
  <si>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</si>
  <si>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</si>
  <si>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</si>
  <si>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</si>
  <si>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</si>
  <si>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</si>
  <si>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</si>
  <si>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</si>
  <si>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</si>
  <si>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</si>
  <si>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</si>
  <si>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</si>
  <si>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</si>
  <si>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</si>
  <si>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</si>
  <si>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</si>
  <si>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</si>
  <si>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</si>
  <si>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</si>
  <si>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</si>
  <si>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</si>
  <si>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</si>
  <si>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</si>
  <si>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</si>
  <si>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</si>
  <si>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</si>
  <si>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</si>
  <si>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</si>
  <si>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</si>
  <si>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</si>
  <si>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</si>
  <si>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</si>
  <si>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</si>
  <si>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</si>
  <si>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</si>
  <si>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</si>
  <si>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</si>
  <si>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</si>
  <si>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</si>
  <si>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</si>
  <si>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</si>
  <si>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</si>
  <si>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</si>
  <si>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</si>
  <si>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</si>
  <si>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</si>
  <si>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</si>
  <si>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</si>
  <si>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</si>
  <si>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</si>
  <si>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</si>
  <si>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</si>
  <si>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</si>
  <si>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</si>
  <si>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</si>
  <si>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</si>
  <si>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</si>
  <si>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</si>
  <si>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</si>
  <si>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</si>
  <si>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</si>
  <si>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</si>
  <si>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</si>
  <si>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</si>
  <si>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</si>
  <si>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</si>
  <si>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</si>
  <si>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</si>
  <si>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</si>
  <si>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</si>
  <si>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</si>
  <si>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</si>
  <si>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</si>
  <si>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</si>
  <si>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</si>
  <si>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</si>
  <si>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</si>
  <si>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</si>
  <si>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</si>
  <si>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</si>
  <si>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</si>
  <si>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</si>
  <si>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</si>
  <si>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</si>
  <si>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</si>
  <si>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</si>
  <si>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</si>
  <si>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</si>
  <si>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</si>
  <si>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</si>
  <si>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</si>
  <si>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</si>
  <si>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</si>
  <si>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</si>
  <si>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</si>
  <si>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</si>
  <si>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</si>
  <si>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</si>
  <si>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</si>
  <si>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</si>
  <si>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</si>
  <si>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</si>
  <si>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</si>
  <si>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</si>
  <si>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</si>
  <si>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</si>
  <si>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</si>
  <si>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</si>
  <si>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</si>
  <si>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</si>
  <si>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</si>
  <si>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</si>
  <si>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</si>
  <si>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</si>
  <si>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</si>
  <si>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</si>
  <si>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</si>
  <si>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</si>
  <si>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</si>
  <si>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</si>
  <si>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</si>
  <si>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</si>
  <si>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</si>
  <si>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</si>
  <si>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</si>
  <si>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</si>
  <si>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</si>
  <si>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</si>
  <si>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</si>
  <si>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</si>
  <si>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</si>
  <si>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</si>
  <si>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</si>
  <si>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</si>
  <si>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</si>
  <si>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</si>
  <si>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</si>
  <si>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</si>
  <si>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</si>
  <si>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</si>
  <si>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</si>
  <si>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</si>
  <si>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</si>
  <si>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</si>
  <si>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</si>
  <si>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</si>
  <si>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</si>
  <si>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</si>
  <si>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</si>
  <si>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</si>
  <si>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</si>
  <si>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</si>
  <si>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</si>
  <si>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</si>
  <si>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</si>
  <si>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</si>
  <si>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</si>
  <si>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</si>
  <si>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</si>
  <si>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</si>
  <si>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</si>
  <si>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</si>
  <si>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</si>
  <si>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</si>
  <si>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</si>
  <si>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</si>
  <si>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</si>
  <si>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</si>
  <si>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</si>
  <si>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</si>
  <si>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</si>
  <si>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</si>
  <si>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</si>
  <si>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</si>
  <si>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</si>
  <si>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</si>
  <si>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</si>
  <si>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</si>
  <si>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</si>
  <si>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</si>
  <si>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</si>
  <si>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</si>
  <si>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</si>
  <si>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</si>
  <si>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</si>
  <si>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</si>
  <si>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</si>
  <si>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</si>
  <si>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</si>
  <si>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</si>
  <si>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</si>
  <si>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</si>
  <si>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</si>
  <si>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</si>
  <si>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</si>
  <si>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</si>
  <si>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</si>
  <si>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</si>
  <si>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</si>
  <si>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</si>
  <si>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</si>
  <si>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</si>
  <si>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</si>
  <si>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</si>
  <si>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</si>
  <si>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</si>
  <si>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</si>
  <si>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</si>
  <si>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</si>
  <si>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</si>
  <si>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</si>
  <si>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</si>
  <si>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</si>
  <si>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</si>
  <si>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</si>
  <si>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</si>
  <si>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</si>
  <si>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</si>
  <si>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</si>
  <si>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</si>
  <si>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</si>
  <si>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</si>
  <si>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</si>
  <si>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</si>
  <si>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</si>
  <si>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</si>
  <si>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</si>
  <si>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</si>
  <si>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</si>
  <si>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</si>
  <si>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</si>
  <si>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</si>
  <si>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</si>
  <si>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</si>
  <si>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</si>
  <si>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</si>
  <si>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</si>
  <si>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</si>
  <si>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</si>
  <si>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</si>
  <si>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</si>
  <si>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</si>
  <si>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</si>
  <si>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</si>
  <si>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</si>
  <si>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</si>
  <si>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</si>
  <si>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</si>
  <si>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</si>
  <si>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</si>
  <si>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</si>
  <si>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</si>
  <si>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</si>
  <si>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</si>
  <si>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</si>
  <si>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</si>
  <si>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</si>
  <si>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</si>
  <si>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</si>
  <si>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</si>
  <si>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</si>
  <si>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</si>
  <si>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</si>
  <si>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</si>
  <si>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</si>
  <si>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</si>
  <si>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</si>
  <si>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</si>
  <si>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</si>
  <si>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</si>
  <si>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</si>
  <si>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</si>
  <si>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</si>
  <si>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</si>
  <si>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</si>
  <si>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</si>
  <si>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</si>
  <si>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</si>
  <si>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</si>
  <si>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</si>
  <si>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</si>
  <si>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</si>
  <si>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</si>
  <si>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</si>
  <si>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</si>
  <si>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</si>
  <si>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</si>
  <si>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</si>
  <si>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</si>
  <si>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</si>
  <si>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</si>
  <si>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</si>
  <si>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</si>
  <si>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</si>
  <si>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</si>
  <si>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</si>
  <si>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</si>
  <si>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</si>
  <si>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</si>
  <si>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</si>
  <si>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</si>
  <si>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</si>
  <si>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</si>
  <si>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</si>
  <si>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</si>
  <si>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</si>
  <si>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</si>
  <si>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</si>
  <si>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</si>
  <si>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</si>
  <si>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</si>
  <si>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</si>
  <si>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</si>
  <si>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</si>
  <si>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</si>
  <si>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</si>
  <si>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</si>
  <si>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</si>
  <si>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</si>
  <si>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</si>
  <si>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</si>
  <si>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</si>
  <si>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</si>
  <si>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</si>
  <si>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</si>
  <si>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</si>
  <si>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</si>
  <si>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</si>
  <si>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</si>
  <si>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</si>
  <si>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</si>
  <si>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</si>
  <si>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</si>
  <si>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</si>
  <si>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</si>
  <si>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</si>
  <si>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</si>
  <si>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</si>
  <si>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</si>
  <si>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</si>
  <si>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</si>
  <si>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</si>
  <si>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</si>
  <si>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</si>
  <si>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</si>
  <si>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</si>
  <si>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</si>
  <si>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</si>
  <si>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</si>
  <si>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</si>
  <si>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</si>
  <si>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</si>
  <si>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</si>
  <si>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</si>
  <si>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</si>
  <si>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</si>
  <si>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</si>
  <si>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</si>
  <si>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</si>
  <si>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</si>
  <si>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</si>
  <si>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</si>
  <si>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</si>
  <si>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</si>
  <si>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</si>
  <si>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</si>
  <si>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</si>
  <si>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</si>
  <si>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</si>
  <si>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</si>
  <si>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</si>
  <si>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</si>
  <si>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</si>
  <si>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</si>
  <si>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</si>
  <si>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</si>
  <si>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</si>
  <si>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</si>
  <si>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</si>
  <si>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</si>
  <si>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</si>
  <si>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</si>
  <si>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</si>
  <si>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</si>
  <si>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</si>
  <si>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</si>
  <si>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</si>
  <si>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</si>
  <si>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</si>
  <si>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</si>
  <si>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</si>
  <si>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</si>
  <si>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</si>
  <si>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</si>
  <si>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</si>
  <si>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</si>
  <si>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</si>
  <si>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</si>
  <si>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</si>
  <si>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</si>
  <si>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</si>
  <si>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</si>
  <si>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</si>
  <si>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</si>
  <si>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</si>
  <si>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</si>
  <si>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</si>
  <si>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</si>
  <si>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</si>
  <si>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</si>
  <si>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</si>
  <si>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</si>
  <si>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</si>
  <si>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</si>
  <si>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</si>
  <si>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</si>
  <si>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</si>
  <si>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</si>
  <si>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</si>
  <si>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</si>
  <si>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</si>
  <si>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</si>
  <si>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</si>
  <si>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</si>
  <si>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</si>
  <si>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</si>
  <si>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</si>
  <si>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</si>
  <si>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</si>
  <si>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</si>
  <si>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</si>
  <si>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</si>
  <si>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</si>
  <si>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</si>
  <si>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</si>
  <si>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</si>
  <si>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</si>
  <si>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</si>
  <si>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</si>
  <si>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</si>
  <si>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</si>
  <si>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</si>
  <si>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</si>
  <si>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</si>
  <si>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</si>
  <si>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</si>
  <si>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</si>
  <si>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</si>
  <si>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</si>
  <si>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</si>
  <si>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</si>
  <si>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</si>
  <si>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</si>
  <si>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</si>
  <si>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</si>
  <si>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</si>
  <si>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</si>
  <si>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</si>
  <si>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</si>
  <si>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</si>
  <si>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</si>
  <si>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</si>
  <si>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</si>
  <si>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</si>
  <si>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</si>
  <si>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</si>
  <si>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</si>
  <si>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</si>
  <si>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</si>
  <si>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</si>
  <si>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</si>
  <si>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</si>
  <si>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</si>
  <si>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</si>
  <si>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</si>
  <si>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</si>
  <si>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</si>
  <si>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</si>
  <si>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</si>
  <si>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</si>
  <si>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</si>
  <si>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</si>
  <si>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</si>
  <si>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</si>
  <si>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</si>
  <si>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</si>
  <si>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</si>
  <si>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</si>
  <si>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</si>
  <si>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</si>
  <si>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</si>
  <si>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</si>
  <si>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</si>
  <si>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</si>
  <si>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</si>
  <si>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</si>
  <si>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</si>
  <si>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</si>
  <si>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</si>
  <si>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</si>
  <si>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</si>
  <si>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</si>
  <si>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</si>
  <si>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</si>
  <si>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</si>
  <si>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</si>
  <si>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</si>
  <si>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</si>
  <si>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</si>
  <si>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</si>
  <si>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</si>
  <si>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</si>
  <si>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</si>
  <si>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</si>
  <si>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</si>
  <si>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</si>
  <si>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</si>
  <si>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</si>
  <si>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</si>
  <si>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</si>
  <si>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</si>
  <si>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</si>
  <si>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</si>
  <si>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</si>
  <si>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</si>
  <si>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</si>
  <si>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</si>
  <si>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</si>
  <si>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</si>
  <si>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</si>
  <si>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</si>
  <si>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</si>
  <si>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</si>
  <si>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</si>
  <si>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</si>
  <si>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</si>
  <si>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</si>
  <si>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</si>
  <si>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</si>
  <si>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</si>
  <si>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</si>
  <si>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</si>
  <si>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</si>
  <si>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</si>
  <si>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</si>
  <si>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</si>
  <si>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</si>
  <si>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</si>
  <si>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</si>
  <si>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</si>
  <si>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</si>
  <si>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</si>
  <si>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</si>
  <si>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</si>
  <si>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</si>
  <si>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</si>
  <si>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</si>
  <si>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</si>
  <si>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</si>
  <si>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</si>
  <si>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</si>
  <si>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</si>
  <si>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</si>
  <si>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</si>
  <si>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</si>
  <si>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</si>
  <si>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</si>
  <si>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</si>
  <si>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</si>
  <si>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</si>
  <si>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</si>
  <si>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</si>
  <si>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</si>
  <si>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</si>
  <si>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</si>
  <si>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</si>
  <si>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</si>
  <si>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</si>
  <si>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</si>
  <si>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</si>
  <si>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</si>
  <si>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</si>
  <si>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</si>
  <si>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</si>
  <si>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</si>
  <si>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</si>
  <si>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</si>
  <si>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</si>
  <si>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</si>
  <si>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</si>
  <si>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</si>
  <si>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</si>
  <si>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</si>
  <si>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</si>
  <si>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</si>
  <si>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</si>
  <si>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</si>
  <si>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</si>
  <si>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</si>
  <si>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</si>
  <si>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</si>
  <si>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</si>
  <si>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</si>
  <si>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</si>
  <si>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</si>
  <si>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</si>
  <si>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</si>
  <si>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</si>
  <si>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</si>
  <si>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</si>
  <si>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</si>
  <si>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</si>
  <si>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</si>
  <si>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</si>
  <si>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</si>
  <si>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</si>
  <si>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</si>
  <si>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</si>
  <si>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</si>
  <si>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</si>
  <si>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</si>
  <si>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</si>
  <si>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</si>
  <si>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</si>
  <si>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</si>
  <si>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</si>
  <si>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</si>
  <si>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</si>
  <si>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</si>
  <si>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</si>
  <si>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</si>
  <si>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</si>
  <si>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</si>
  <si>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</si>
  <si>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</si>
  <si>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</si>
  <si>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</si>
  <si>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</si>
  <si>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</si>
  <si>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</si>
  <si>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</si>
  <si>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</si>
  <si>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</si>
  <si>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</si>
  <si>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</si>
  <si>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</si>
  <si>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</si>
  <si>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</si>
  <si>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</si>
  <si>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</si>
  <si>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</si>
  <si>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</si>
  <si>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</si>
  <si>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</si>
  <si>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</si>
  <si>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</si>
  <si>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</si>
  <si>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</si>
  <si>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</si>
  <si>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</si>
  <si>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</si>
  <si>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</si>
  <si>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</si>
  <si>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</si>
  <si>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</si>
  <si>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</si>
  <si>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</si>
  <si>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</si>
  <si>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</si>
  <si>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</si>
  <si>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</si>
  <si>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</si>
  <si>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</si>
  <si>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</si>
  <si>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</si>
  <si>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</si>
  <si>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</si>
  <si>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</si>
  <si>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</si>
  <si>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</si>
  <si>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</si>
  <si>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</si>
  <si>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</si>
  <si>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</si>
  <si>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</si>
  <si>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</si>
  <si>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</si>
  <si>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</si>
  <si>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</si>
  <si>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</si>
  <si>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</si>
  <si>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</si>
  <si>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</si>
  <si>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</si>
  <si>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</si>
  <si>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</si>
  <si>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</si>
  <si>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</si>
  <si>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</si>
  <si>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</si>
  <si>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</si>
  <si>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</si>
  <si>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</si>
  <si>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</si>
  <si>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</si>
  <si>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</si>
  <si>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</si>
  <si>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</si>
  <si>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</si>
  <si>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</si>
  <si>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</si>
  <si>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</si>
  <si>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</si>
  <si>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</si>
  <si>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</si>
  <si>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</si>
  <si>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</si>
  <si>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</si>
  <si>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</si>
  <si>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</si>
  <si>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</si>
  <si>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</si>
  <si>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</si>
  <si>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</si>
  <si>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</si>
  <si>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</si>
  <si>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</si>
  <si>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</si>
  <si>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</si>
  <si>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</si>
  <si>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</si>
  <si>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</si>
  <si>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</si>
  <si>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</si>
  <si>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</si>
  <si>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</si>
  <si>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</si>
  <si>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</si>
  <si>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</si>
  <si>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</si>
  <si>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</si>
  <si>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</si>
  <si>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</si>
  <si>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</si>
  <si>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</si>
  <si>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</si>
  <si>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</si>
  <si>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</si>
  <si>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</si>
  <si>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</si>
  <si>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</si>
  <si>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</si>
  <si>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</si>
  <si>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</si>
  <si>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</si>
  <si>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</si>
  <si>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</si>
  <si>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</si>
  <si>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</si>
  <si>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</si>
  <si>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</si>
  <si>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</si>
  <si>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</si>
  <si>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</si>
  <si>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</si>
  <si>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</si>
  <si>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</si>
  <si>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</si>
  <si>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</si>
  <si>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</si>
  <si>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</si>
  <si>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</si>
  <si>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</si>
  <si>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</si>
  <si>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</si>
  <si>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</si>
  <si>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</si>
  <si>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</si>
  <si>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</si>
  <si>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</si>
  <si>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</si>
  <si>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</si>
  <si>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</si>
  <si>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</si>
  <si>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</si>
  <si>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</si>
  <si>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</si>
  <si>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</si>
  <si>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</si>
  <si>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</si>
  <si>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</si>
  <si>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</si>
  <si>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</si>
  <si>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</si>
  <si>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</si>
  <si>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</si>
  <si>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</si>
  <si>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</si>
  <si>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</si>
  <si>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</si>
  <si>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</si>
  <si>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</si>
  <si>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</si>
  <si>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</si>
  <si>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</si>
  <si>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</si>
  <si>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</si>
  <si>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</si>
  <si>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</si>
  <si>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</si>
  <si>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</si>
  <si>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</si>
  <si>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</si>
  <si>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</si>
  <si>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</si>
  <si>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</si>
  <si>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</si>
  <si>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</si>
  <si>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</si>
  <si>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</si>
  <si>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</si>
  <si>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</si>
  <si>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</si>
  <si>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</si>
  <si>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</si>
  <si>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</si>
  <si>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</si>
  <si>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</si>
  <si>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</si>
  <si>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</si>
  <si>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</si>
  <si>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</si>
  <si>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</si>
  <si>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</si>
  <si>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</si>
  <si>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</si>
  <si>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</si>
  <si>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</si>
  <si>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</si>
  <si>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</si>
  <si>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</si>
  <si>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</si>
  <si>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</si>
  <si>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</si>
  <si>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</si>
  <si>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</si>
  <si>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</si>
  <si>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</si>
  <si>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</si>
  <si>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</si>
  <si>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</si>
  <si>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</si>
  <si>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</si>
  <si>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</si>
  <si>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</si>
  <si>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</si>
  <si>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</si>
  <si>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</si>
  <si>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</si>
  <si>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</si>
  <si>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</si>
  <si>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</si>
  <si>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</si>
  <si>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</si>
  <si>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</si>
  <si>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</si>
  <si>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</si>
  <si>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</si>
  <si>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</si>
  <si>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</si>
  <si>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</si>
  <si>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</si>
  <si>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</si>
  <si>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</si>
  <si>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</si>
  <si>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</si>
  <si>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</si>
  <si>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</si>
  <si>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</si>
  <si>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</si>
  <si>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</si>
  <si>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</si>
  <si>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</si>
  <si>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</si>
  <si>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</si>
  <si>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</si>
  <si>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</si>
  <si>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</si>
  <si>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</si>
  <si>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</si>
  <si>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</si>
  <si>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</si>
  <si>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</si>
  <si>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</si>
  <si>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</si>
  <si>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</si>
  <si>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</si>
  <si>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</si>
  <si>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</si>
  <si>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</si>
  <si>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</si>
  <si>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</si>
  <si>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</si>
  <si>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</si>
  <si>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</si>
  <si>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</si>
  <si>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</si>
  <si>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</si>
  <si>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</si>
  <si>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</si>
  <si>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</si>
  <si>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</si>
  <si>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</si>
  <si>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</si>
  <si>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</si>
  <si>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</si>
  <si>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</si>
  <si>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</si>
  <si>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</si>
  <si>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</si>
  <si>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</si>
  <si>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</si>
  <si>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</si>
  <si>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</si>
  <si>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</si>
  <si>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</si>
  <si>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</si>
  <si>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</si>
  <si>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</si>
  <si>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</si>
  <si>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</si>
  <si>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</si>
  <si>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</si>
  <si>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</si>
  <si>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</si>
  <si>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</si>
  <si>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</si>
  <si>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</si>
  <si>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</si>
  <si>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</si>
  <si>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</si>
  <si>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</si>
  <si>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</si>
  <si>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</si>
  <si>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</si>
  <si>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</si>
  <si>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</si>
  <si>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</si>
  <si>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</si>
  <si>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</si>
  <si>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</si>
  <si>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</si>
  <si>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</si>
  <si>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</si>
  <si>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</si>
  <si>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</si>
  <si>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</si>
  <si>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</si>
  <si>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</si>
  <si>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</si>
  <si>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</si>
  <si>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</si>
  <si>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</si>
  <si>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</si>
  <si>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</si>
  <si>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</si>
  <si>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</si>
  <si>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</si>
  <si>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</si>
  <si>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</si>
  <si>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</si>
  <si>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</si>
  <si>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</si>
  <si>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</si>
  <si>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</si>
  <si>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</si>
  <si>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</si>
  <si>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</si>
  <si>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</si>
  <si>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</si>
  <si>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</si>
  <si>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</si>
  <si>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</si>
  <si>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</si>
  <si>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</si>
  <si>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</si>
  <si>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</si>
  <si>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</si>
  <si>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</si>
  <si>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</si>
  <si>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</si>
  <si>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</si>
  <si>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</si>
  <si>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</si>
  <si>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</si>
  <si>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</si>
  <si>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</si>
  <si>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</si>
  <si>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</si>
  <si>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</si>
  <si>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</si>
  <si>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</si>
  <si>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</si>
  <si>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</si>
  <si>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</si>
  <si>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</si>
  <si>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</si>
  <si>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</si>
  <si>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</si>
  <si>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</si>
  <si>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</si>
  <si>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</si>
  <si>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</si>
  <si>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</si>
  <si>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</si>
  <si>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</si>
  <si>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</si>
  <si>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</si>
  <si>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</si>
  <si>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</si>
  <si>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</si>
  <si>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</si>
  <si>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</si>
  <si>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</si>
  <si>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</si>
  <si>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</si>
  <si>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</si>
  <si>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</si>
  <si>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</si>
  <si>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</si>
  <si>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</si>
  <si>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</si>
  <si>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</si>
  <si>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</si>
  <si>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</si>
  <si>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</si>
  <si>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</si>
  <si>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</si>
  <si>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</si>
  <si>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</si>
  <si>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</si>
  <si>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</si>
  <si>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</si>
  <si>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</si>
  <si>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</si>
  <si>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</si>
  <si>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</si>
  <si>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</si>
  <si>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</si>
  <si>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</si>
  <si>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</si>
  <si>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</si>
  <si>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</si>
  <si>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</si>
  <si>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</si>
  <si>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</si>
  <si>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</si>
  <si>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</si>
  <si>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</si>
  <si>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</si>
  <si>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</si>
  <si>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</si>
  <si>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</si>
  <si>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</si>
  <si>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</si>
  <si>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</si>
  <si>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</si>
  <si>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</si>
  <si>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</si>
  <si>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</si>
  <si>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</si>
  <si>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</si>
  <si>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</si>
  <si>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</si>
  <si>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</si>
  <si>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</si>
  <si>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</si>
  <si>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</si>
  <si>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</si>
  <si>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</si>
  <si>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</si>
  <si>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</si>
  <si>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</si>
  <si>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</si>
  <si>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</si>
  <si>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</si>
  <si>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</si>
  <si>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</si>
  <si>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</si>
  <si>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</si>
  <si>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</si>
  <si>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</si>
  <si>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</si>
  <si>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</si>
  <si>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</si>
  <si>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</si>
  <si>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</si>
  <si>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</si>
  <si>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</si>
  <si>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</si>
  <si>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</si>
  <si>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</si>
  <si>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</si>
  <si>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</si>
  <si>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</si>
  <si>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</si>
  <si>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</si>
  <si>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</si>
  <si>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</si>
  <si>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</si>
  <si>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</si>
  <si>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</si>
  <si>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</si>
  <si>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</si>
  <si>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</si>
  <si>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</si>
  <si>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</si>
  <si>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</si>
  <si>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</si>
  <si>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</si>
  <si>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</si>
  <si>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</si>
  <si>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</si>
  <si>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</si>
  <si>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</si>
  <si>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</si>
  <si>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</si>
  <si>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</si>
  <si>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</si>
  <si>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</si>
  <si>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</si>
  <si>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</si>
  <si>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</si>
  <si>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</si>
  <si>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</si>
  <si>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</si>
  <si>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</si>
  <si>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</si>
  <si>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</si>
  <si>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</si>
  <si>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</si>
  <si>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</si>
  <si>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</si>
  <si>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</si>
  <si>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</si>
  <si>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</si>
  <si>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</si>
  <si>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</si>
  <si>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</si>
  <si>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</si>
  <si>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</si>
  <si>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</si>
  <si>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</si>
  <si>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</si>
  <si>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</si>
  <si>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</si>
  <si>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</si>
  <si>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</si>
  <si>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</si>
  <si>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</si>
  <si>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</si>
  <si>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</si>
  <si>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</si>
  <si>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</si>
  <si>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</si>
  <si>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</si>
  <si>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</si>
  <si>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</si>
  <si>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</si>
  <si>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</si>
  <si>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</si>
  <si>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</si>
  <si>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</si>
  <si>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</si>
  <si>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</si>
  <si>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</si>
  <si>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</si>
  <si>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</si>
  <si>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</si>
  <si>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</si>
  <si>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</si>
  <si>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</si>
  <si>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</si>
  <si>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</si>
  <si>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</si>
  <si>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</si>
  <si>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</si>
  <si>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</si>
  <si>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</si>
  <si>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</si>
  <si>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</si>
  <si>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</si>
  <si>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</si>
  <si>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</si>
  <si>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</si>
  <si>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</si>
  <si>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</si>
  <si>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</si>
  <si>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</si>
  <si>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</si>
  <si>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</si>
  <si>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</si>
  <si>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</si>
  <si>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</si>
  <si>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</si>
  <si>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</si>
  <si>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</si>
  <si>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</si>
  <si>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</si>
  <si>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</si>
  <si>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</si>
  <si>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</si>
  <si>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</si>
  <si>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</si>
  <si>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</si>
  <si>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</si>
  <si>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</si>
  <si>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</si>
  <si>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</si>
  <si>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</si>
  <si>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</si>
  <si>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</si>
  <si>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</si>
  <si>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</si>
  <si>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</si>
  <si>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</si>
  <si>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</si>
  <si>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</si>
  <si>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</si>
  <si>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</si>
  <si>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</si>
  <si>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</si>
  <si>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</si>
  <si>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</si>
  <si>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</si>
  <si>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</si>
  <si>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</si>
  <si>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</si>
  <si>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</si>
  <si>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</si>
  <si>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</si>
  <si>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</si>
  <si>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</si>
  <si>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</si>
  <si>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</si>
  <si>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</si>
  <si>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</si>
  <si>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</si>
  <si>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</si>
  <si>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</si>
  <si>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</si>
  <si>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</si>
  <si>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</si>
  <si>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</si>
  <si>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</si>
  <si>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</si>
  <si>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</si>
  <si>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</si>
  <si>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</si>
  <si>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</si>
  <si>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</si>
  <si>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</si>
  <si>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</si>
  <si>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</si>
  <si>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</si>
  <si>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</si>
  <si>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</si>
  <si>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</si>
  <si>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</si>
  <si>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</si>
  <si>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</si>
  <si>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</si>
  <si>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</si>
  <si>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</si>
  <si>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</si>
  <si>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</si>
  <si>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</si>
  <si>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</si>
  <si>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</si>
  <si>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</si>
  <si>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</si>
  <si>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</si>
  <si>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</si>
  <si>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</si>
  <si>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</si>
  <si>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</si>
  <si>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</si>
  <si>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</si>
  <si>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</si>
  <si>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</si>
  <si>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</si>
  <si>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</si>
  <si>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</si>
  <si>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</si>
  <si>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</si>
  <si>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</si>
  <si>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</si>
  <si>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</si>
  <si>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</si>
  <si>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</si>
  <si>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</si>
  <si>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</si>
  <si>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</si>
  <si>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</si>
  <si>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</si>
  <si>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</si>
  <si>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</si>
  <si>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</si>
  <si>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</si>
  <si>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</si>
  <si>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</si>
  <si>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</si>
  <si>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</si>
  <si>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</si>
  <si>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</si>
  <si>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</si>
  <si>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</si>
  <si>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</si>
  <si>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</si>
  <si>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</si>
  <si>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</si>
  <si>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</si>
  <si>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</si>
  <si>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</si>
  <si>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</si>
  <si>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</si>
  <si>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</si>
  <si>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</si>
  <si>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</si>
  <si>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</si>
  <si>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</si>
  <si>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</si>
  <si>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</si>
  <si>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</si>
  <si>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</si>
  <si>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</si>
  <si>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</si>
  <si>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</si>
  <si>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</si>
  <si>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</si>
  <si>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</si>
  <si>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</si>
  <si>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</si>
  <si>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</si>
  <si>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</si>
  <si>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</si>
  <si>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</si>
  <si>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</si>
  <si>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</si>
  <si>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</si>
  <si>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</si>
  <si>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</si>
  <si>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</si>
  <si>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</si>
  <si>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</si>
  <si>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</si>
  <si>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</si>
  <si>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</si>
  <si>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</si>
  <si>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</si>
  <si>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</si>
  <si>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</si>
  <si>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</si>
  <si>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</si>
  <si>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</si>
  <si>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</si>
  <si>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</si>
  <si>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</si>
  <si>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</si>
  <si>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</si>
  <si>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</si>
  <si>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</si>
  <si>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</si>
  <si>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</si>
  <si>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</si>
  <si>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</si>
  <si>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</si>
  <si>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</si>
  <si>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</si>
  <si>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</si>
  <si>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</si>
  <si>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</si>
  <si>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</si>
  <si>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</si>
  <si>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</si>
  <si>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</si>
  <si>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</si>
  <si>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</si>
  <si>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</si>
  <si>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</si>
  <si>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</si>
  <si>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</si>
  <si>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</si>
  <si>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</si>
  <si>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</si>
  <si>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</si>
  <si>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</si>
  <si>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</si>
  <si>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</si>
  <si>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</si>
  <si>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</si>
  <si>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</si>
  <si>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</si>
  <si>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</si>
  <si>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</si>
  <si>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</si>
  <si>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</si>
  <si>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</si>
  <si>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</si>
  <si>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</si>
  <si>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</si>
  <si>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</si>
  <si>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</si>
  <si>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</si>
  <si>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</si>
  <si>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</si>
  <si>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</si>
  <si>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</si>
  <si>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</si>
  <si>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</si>
  <si>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</si>
  <si>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</si>
  <si>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</si>
  <si>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</si>
  <si>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</si>
  <si>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</si>
  <si>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</si>
  <si>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</si>
  <si>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</si>
  <si>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</si>
  <si>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</si>
  <si>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</si>
  <si>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</si>
  <si>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</si>
  <si>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</si>
  <si>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</si>
  <si>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</si>
  <si>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</si>
  <si>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</si>
  <si>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</si>
  <si>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</si>
  <si>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</si>
  <si>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</si>
  <si>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</si>
  <si>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</si>
  <si>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</si>
  <si>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</si>
  <si>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</si>
  <si>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</si>
  <si>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</si>
  <si>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</si>
  <si>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</si>
  <si>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</si>
  <si>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</si>
  <si>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</si>
  <si>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</si>
  <si>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</si>
  <si>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</si>
  <si>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</si>
  <si>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</si>
  <si>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</si>
  <si>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</si>
  <si>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</si>
  <si>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</si>
  <si>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</si>
  <si>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</si>
  <si>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</si>
  <si>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</si>
  <si>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</si>
  <si>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</si>
  <si>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</si>
  <si>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</si>
  <si>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</si>
  <si>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</si>
  <si>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</si>
  <si>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</si>
  <si>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</si>
  <si>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</si>
  <si>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</si>
  <si>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</si>
  <si>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</si>
  <si>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</si>
  <si>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</si>
  <si>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</si>
  <si>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</si>
  <si>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</si>
  <si>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</si>
  <si>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</si>
  <si>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</si>
  <si>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</si>
  <si>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</si>
  <si>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</si>
  <si>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</si>
  <si>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</si>
  <si>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</si>
  <si>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</si>
  <si>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</si>
  <si>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</si>
  <si>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</si>
  <si>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</si>
  <si>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</si>
  <si>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</si>
  <si>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</si>
  <si>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</si>
  <si>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</si>
  <si>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</si>
  <si>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</si>
  <si>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</si>
  <si>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</si>
  <si>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</si>
  <si>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</si>
  <si>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</si>
  <si>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</si>
  <si>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</si>
  <si>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</si>
  <si>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</si>
  <si>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</si>
  <si>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</si>
  <si>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</si>
  <si>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</si>
  <si>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</si>
  <si>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</si>
  <si>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</si>
  <si>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</si>
  <si>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</si>
  <si>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</si>
  <si>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</si>
  <si>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</si>
  <si>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</si>
  <si>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</si>
  <si>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</si>
  <si>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</si>
  <si>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</si>
  <si>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</si>
  <si>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</si>
  <si>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</si>
  <si>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</si>
  <si>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</si>
  <si>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</si>
  <si>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</si>
  <si>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</si>
  <si>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</si>
  <si>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</si>
  <si>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</si>
  <si>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</si>
  <si>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</si>
  <si>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</si>
  <si>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</si>
  <si>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</si>
  <si>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</si>
  <si>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</si>
  <si>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</si>
  <si>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</si>
  <si>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</si>
  <si>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</si>
  <si>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</si>
  <si>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</si>
  <si>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</si>
  <si>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</si>
  <si>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</si>
  <si>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</si>
  <si>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</si>
  <si>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</si>
  <si>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</si>
  <si>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</si>
  <si>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</si>
  <si>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</si>
  <si>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</si>
  <si>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</si>
  <si>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</si>
  <si>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</si>
  <si>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</si>
  <si>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</si>
  <si>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</si>
  <si>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</si>
  <si>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</si>
  <si>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</si>
  <si>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</si>
  <si>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</si>
  <si>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</si>
  <si>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</si>
  <si>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</si>
  <si>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</si>
  <si>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</si>
  <si>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</si>
  <si>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</si>
  <si>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</si>
  <si>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</si>
  <si>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</si>
  <si>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</si>
  <si>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</si>
  <si>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</si>
  <si>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</si>
  <si>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</si>
  <si>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</si>
  <si>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</si>
  <si>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</si>
  <si>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</si>
  <si>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</si>
  <si>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</si>
  <si>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</si>
  <si>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</si>
  <si>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</si>
  <si>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</si>
  <si>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</si>
  <si>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</si>
  <si>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</si>
  <si>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</si>
  <si>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</si>
  <si>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</si>
  <si>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</si>
  <si>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</si>
  <si>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</si>
  <si>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</si>
  <si>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</si>
  <si>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</si>
  <si>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</si>
  <si>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</si>
  <si>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</si>
  <si>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</si>
  <si>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</si>
  <si>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</si>
  <si>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</si>
  <si>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</si>
  <si>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</si>
  <si>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</si>
  <si>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</si>
  <si>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</si>
  <si>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</si>
  <si>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</si>
  <si>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</si>
  <si>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</si>
  <si>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</si>
  <si>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</si>
  <si>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</si>
  <si>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</si>
  <si>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</si>
  <si>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</si>
  <si>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</si>
  <si>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</si>
  <si>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</si>
  <si>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</si>
  <si>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</si>
  <si>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</si>
  <si>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</si>
  <si>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</si>
  <si>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</si>
  <si>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</si>
  <si>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</si>
  <si>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</si>
  <si>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</si>
  <si>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</si>
  <si>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</si>
  <si>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</si>
  <si>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</si>
  <si>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</si>
  <si>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</si>
  <si>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</si>
  <si>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</si>
  <si>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</si>
  <si>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</si>
  <si>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</si>
  <si>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</si>
  <si>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</si>
  <si>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</si>
  <si>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</si>
  <si>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</si>
  <si>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</si>
  <si>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</si>
  <si>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</si>
  <si>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</si>
  <si>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</si>
  <si>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</si>
  <si>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</si>
  <si>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</si>
  <si>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</si>
  <si>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</si>
  <si>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</si>
  <si>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</si>
  <si>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</si>
  <si>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</si>
  <si>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</si>
  <si>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</si>
  <si>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</si>
  <si>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</si>
  <si>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</si>
  <si>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</si>
  <si>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</si>
  <si>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</si>
  <si>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</si>
  <si>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</si>
  <si>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</si>
  <si>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</si>
  <si>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</si>
  <si>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</si>
  <si>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</si>
  <si>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</si>
  <si>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</si>
  <si>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</si>
  <si>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</si>
  <si>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</si>
  <si>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</si>
  <si>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</si>
  <si>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</si>
  <si>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</si>
  <si>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</si>
  <si>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</si>
  <si>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</si>
  <si>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</si>
  <si>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</si>
  <si>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</si>
  <si>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</si>
  <si>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</si>
  <si>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</si>
  <si>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</si>
  <si>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</si>
  <si>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</si>
  <si>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</si>
  <si>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</si>
  <si>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</si>
  <si>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</si>
  <si>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</si>
  <si>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</si>
  <si>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</si>
  <si>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</si>
  <si>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</si>
  <si>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</si>
  <si>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</si>
  <si>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</si>
  <si>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</si>
  <si>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</si>
  <si>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</si>
  <si>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</si>
  <si>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</si>
  <si>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</si>
  <si>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</si>
  <si>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</si>
  <si>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</si>
  <si>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</si>
  <si>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</si>
  <si>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</si>
  <si>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</si>
  <si>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</si>
  <si>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</si>
  <si>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</si>
  <si>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</si>
  <si>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</si>
  <si>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</si>
  <si>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</si>
  <si>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</si>
  <si>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</si>
  <si>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</si>
  <si>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</si>
  <si>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</si>
  <si>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</si>
  <si>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</si>
  <si>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</si>
  <si>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</si>
  <si>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</si>
  <si>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</si>
  <si>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</si>
  <si>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</si>
  <si>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</si>
  <si>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</si>
  <si>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</si>
  <si>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</si>
  <si>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</si>
  <si>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</si>
  <si>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</si>
  <si>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</si>
  <si>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</si>
  <si>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</si>
  <si>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</si>
  <si>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</si>
  <si>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</si>
  <si>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</si>
  <si>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</si>
  <si>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</si>
  <si>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</si>
  <si>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</si>
  <si>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</si>
  <si>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</si>
  <si>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</si>
  <si>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</si>
  <si>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</si>
  <si>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</si>
  <si>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</si>
  <si>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</si>
  <si>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</si>
  <si>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</si>
  <si>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</si>
  <si>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</si>
  <si>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</si>
  <si>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</si>
  <si>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</si>
  <si>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</si>
  <si>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</si>
  <si>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</si>
  <si>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</si>
  <si>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</si>
  <si>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</si>
  <si>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</si>
  <si>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</si>
  <si>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</si>
  <si>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</si>
  <si>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</si>
  <si>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</si>
  <si>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</si>
  <si>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</si>
  <si>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</si>
  <si>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</si>
  <si>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</si>
  <si>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</si>
  <si>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</si>
  <si>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</si>
  <si>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</si>
  <si>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</si>
  <si>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</si>
  <si>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</si>
  <si>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</si>
  <si>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</si>
  <si>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</si>
  <si>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</si>
  <si>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</si>
  <si>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</si>
  <si>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</si>
  <si>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</si>
  <si>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</si>
  <si>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</si>
  <si>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</si>
  <si>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</si>
  <si>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</si>
  <si>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</si>
  <si>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</si>
  <si>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</si>
  <si>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</si>
  <si>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</si>
  <si>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</si>
  <si>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</si>
  <si>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</si>
  <si>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</si>
  <si>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</si>
  <si>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</si>
  <si>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</si>
  <si>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</si>
  <si>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</si>
  <si>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</si>
  <si>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</si>
  <si>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</si>
  <si>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</si>
  <si>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</si>
  <si>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</si>
  <si>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</si>
  <si>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</si>
  <si>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</si>
  <si>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</si>
  <si>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</si>
  <si>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</si>
  <si>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</si>
  <si>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</si>
  <si>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</si>
  <si>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</si>
  <si>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</si>
  <si>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</si>
  <si>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</si>
  <si>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</si>
  <si>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</si>
  <si>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</si>
  <si>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</si>
  <si>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</si>
  <si>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</si>
  <si>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</si>
  <si>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</si>
  <si>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</si>
  <si>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</si>
  <si>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</si>
  <si>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</si>
  <si>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</si>
  <si>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</si>
  <si>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</si>
  <si>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</si>
  <si>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</si>
  <si>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</si>
  <si>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</si>
  <si>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</si>
  <si>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</si>
  <si>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</si>
  <si>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</si>
  <si>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</si>
  <si>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</si>
  <si>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</si>
  <si>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</si>
  <si>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</si>
  <si>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</si>
  <si>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</si>
  <si>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</si>
  <si>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</si>
  <si>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</si>
  <si>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</si>
  <si>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</si>
  <si>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</si>
  <si>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</si>
  <si>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</si>
  <si>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</si>
  <si>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</si>
  <si>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</si>
  <si>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</si>
  <si>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</si>
  <si>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</si>
  <si>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</si>
  <si>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</si>
  <si>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</si>
  <si>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</si>
  <si>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</si>
  <si>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</si>
  <si>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</si>
  <si>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</si>
  <si>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</si>
  <si>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</si>
  <si>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</si>
  <si>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</si>
  <si>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</si>
  <si>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</si>
  <si>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</si>
  <si>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</si>
  <si>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</si>
  <si>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</si>
  <si>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</si>
  <si>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</si>
  <si>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</si>
  <si>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</si>
  <si>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</si>
  <si>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</si>
  <si>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</si>
  <si>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</si>
  <si>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</si>
  <si>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</si>
  <si>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</si>
  <si>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</si>
  <si>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</si>
  <si>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</si>
  <si>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</si>
  <si>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</si>
  <si>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</si>
  <si>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</si>
  <si>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</si>
  <si>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</si>
  <si>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</si>
  <si>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</si>
  <si>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</si>
  <si>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</si>
  <si>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</si>
  <si>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</si>
  <si>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</si>
  <si>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</si>
  <si>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</si>
  <si>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</si>
  <si>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</si>
  <si>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</si>
  <si>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</si>
  <si>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</si>
  <si>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</si>
  <si>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</si>
  <si>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</si>
  <si>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</si>
  <si>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</si>
  <si>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</si>
  <si>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</si>
  <si>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</si>
  <si>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</si>
  <si>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</si>
  <si>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</si>
  <si>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</si>
  <si>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</si>
  <si>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</si>
  <si>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</si>
  <si>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</si>
  <si>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</si>
  <si>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</si>
  <si>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</si>
  <si>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</si>
  <si>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</si>
  <si>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</si>
  <si>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</si>
  <si>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</si>
  <si>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</si>
  <si>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</si>
  <si>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</si>
  <si>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</si>
  <si>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</si>
  <si>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</si>
  <si>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</si>
  <si>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</si>
  <si>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</si>
  <si>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</si>
  <si>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</si>
  <si>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</si>
  <si>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</si>
  <si>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</si>
  <si>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</si>
  <si>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</si>
  <si>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</si>
  <si>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</si>
  <si>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</si>
  <si>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</si>
  <si>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</si>
  <si>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</si>
  <si>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</si>
  <si>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</si>
  <si>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</si>
  <si>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</si>
  <si>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</si>
  <si>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</si>
  <si>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</si>
  <si>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</si>
  <si>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</si>
  <si>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</si>
  <si>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</si>
  <si>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</si>
  <si>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</si>
  <si>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</si>
  <si>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</si>
  <si>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</si>
  <si>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</si>
  <si>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</si>
  <si>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</si>
  <si>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</si>
  <si>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</si>
  <si>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</si>
  <si>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</si>
  <si>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</si>
  <si>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</si>
  <si>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</si>
  <si>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</si>
  <si>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</si>
  <si>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</si>
  <si>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</si>
  <si>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</si>
  <si>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</si>
  <si>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</si>
  <si>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</si>
  <si>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</si>
  <si>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</si>
  <si>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</si>
  <si>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</si>
  <si>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</si>
  <si>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</si>
  <si>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</si>
  <si>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</si>
  <si>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</si>
  <si>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</si>
  <si>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</si>
  <si>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</si>
  <si>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</si>
  <si>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</si>
  <si>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</si>
  <si>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</si>
  <si>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</si>
  <si>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</si>
  <si>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</si>
  <si>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</si>
  <si>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</si>
  <si>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</si>
  <si>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</si>
  <si>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</si>
  <si>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</si>
  <si>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</si>
  <si>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</si>
  <si>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</si>
  <si>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</si>
  <si>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</si>
  <si>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</si>
  <si>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</si>
  <si>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</si>
  <si>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</si>
  <si>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</si>
  <si>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</si>
  <si>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</si>
  <si>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</si>
  <si>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</si>
  <si>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</si>
  <si>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</si>
  <si>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</si>
  <si>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</si>
  <si>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</si>
  <si>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</si>
  <si>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</si>
  <si>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</si>
  <si>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</si>
  <si>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</si>
  <si>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</si>
  <si>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</si>
  <si>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</si>
  <si>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</si>
  <si>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</si>
  <si>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</si>
  <si>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</si>
  <si>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</si>
  <si>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</si>
  <si>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</si>
  <si>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</si>
  <si>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</si>
  <si>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</si>
  <si>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</si>
  <si>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</si>
  <si>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</si>
  <si>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</si>
  <si>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</si>
  <si>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</si>
  <si>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</si>
  <si>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</si>
  <si>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</si>
  <si>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</si>
  <si>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</si>
  <si>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</si>
  <si>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</si>
  <si>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</si>
  <si>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</si>
  <si>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</si>
  <si>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</si>
  <si>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</si>
  <si>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</si>
  <si>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</si>
  <si>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</si>
  <si>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</si>
  <si>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</si>
  <si>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</si>
  <si>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</si>
  <si>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</si>
  <si>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</si>
  <si>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</si>
  <si>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</si>
  <si>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</si>
  <si>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</si>
  <si>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</si>
  <si>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</si>
  <si>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</si>
  <si>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</si>
  <si>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</si>
  <si>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</si>
  <si>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</si>
  <si>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</si>
  <si>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</si>
  <si>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</si>
  <si>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</si>
  <si>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</si>
  <si>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</si>
  <si>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</si>
  <si>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</si>
  <si>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</si>
  <si>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</si>
  <si>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</si>
  <si>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</si>
  <si>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</si>
  <si>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</si>
  <si>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</si>
  <si>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</si>
  <si>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</si>
  <si>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</si>
  <si>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</si>
  <si>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</si>
  <si>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</si>
  <si>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</si>
  <si>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</si>
  <si>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</si>
  <si>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</si>
  <si>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</si>
  <si>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</si>
  <si>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</si>
  <si>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</si>
  <si>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</si>
  <si>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</si>
  <si>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</si>
  <si>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</si>
  <si>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</si>
  <si>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</si>
  <si>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</si>
  <si>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</si>
  <si>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</si>
  <si>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</si>
  <si>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</si>
  <si>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</si>
  <si>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</si>
  <si>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</si>
  <si>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</si>
  <si>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</si>
  <si>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</si>
  <si>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</si>
  <si>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</si>
  <si>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</si>
  <si>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</si>
  <si>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</si>
  <si>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</si>
  <si>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</si>
  <si>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</si>
  <si>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</si>
  <si>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</si>
  <si>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</si>
  <si>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</si>
  <si>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</si>
  <si>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</si>
  <si>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</si>
  <si>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</si>
  <si>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</si>
  <si>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</si>
  <si>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</si>
  <si>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</si>
  <si>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</si>
  <si>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</si>
  <si>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</si>
  <si>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</si>
  <si>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</si>
  <si>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</si>
  <si>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</si>
  <si>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</si>
  <si>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</si>
  <si>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</si>
  <si>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</si>
  <si>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</si>
  <si>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</si>
  <si>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</si>
  <si>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</si>
  <si>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</si>
  <si>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</si>
  <si>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</si>
  <si>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</si>
  <si>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</si>
  <si>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</si>
  <si>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</si>
  <si>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</si>
  <si>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</si>
  <si>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</si>
  <si>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</si>
  <si>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</si>
  <si>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</si>
  <si>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</si>
  <si>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</si>
  <si>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</si>
  <si>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</si>
  <si>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</si>
  <si>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</si>
  <si>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</si>
  <si>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</si>
  <si>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</si>
  <si>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</si>
  <si>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</si>
  <si>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</si>
  <si>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</si>
  <si>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</si>
  <si>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</si>
  <si>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</si>
  <si>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</si>
  <si>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</si>
  <si>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</si>
  <si>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</si>
  <si>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</si>
  <si>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</si>
  <si>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</si>
  <si>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</si>
  <si>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</si>
  <si>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</si>
  <si>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</si>
  <si>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</si>
  <si>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</si>
  <si>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</si>
  <si>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</si>
  <si>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</si>
  <si>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</si>
  <si>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</si>
  <si>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</si>
  <si>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</si>
  <si>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</si>
  <si>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</si>
  <si>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</si>
  <si>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</si>
  <si>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</si>
  <si>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</si>
  <si>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</si>
  <si>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</si>
  <si>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</si>
  <si>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</si>
  <si>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</si>
  <si>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</si>
  <si>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</si>
  <si>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</si>
  <si>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</si>
  <si>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</si>
  <si>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</si>
  <si>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</si>
  <si>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</si>
  <si>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</si>
  <si>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</si>
  <si>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</si>
  <si>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</si>
  <si>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</si>
  <si>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</si>
  <si>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</si>
  <si>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</si>
  <si>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</si>
  <si>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</si>
  <si>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</si>
  <si>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</si>
  <si>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</si>
  <si>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</si>
  <si>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</si>
  <si>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</si>
  <si>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</si>
  <si>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</si>
  <si>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</si>
  <si>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</si>
  <si>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</si>
  <si>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</si>
  <si>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</si>
  <si>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</si>
  <si>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</si>
  <si>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</si>
  <si>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</si>
  <si>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</si>
  <si>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</si>
  <si>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</si>
  <si>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</si>
  <si>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</si>
  <si>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</si>
  <si>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</si>
  <si>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</si>
  <si>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</si>
  <si>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</si>
  <si>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</si>
  <si>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</si>
  <si>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</si>
  <si>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</si>
  <si>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</si>
  <si>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</si>
  <si>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</si>
  <si>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</si>
  <si>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</si>
  <si>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</si>
  <si>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</si>
  <si>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</si>
  <si>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</si>
  <si>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</si>
  <si>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</si>
  <si>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</si>
  <si>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</si>
  <si>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</si>
  <si>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</si>
  <si>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</si>
  <si>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</si>
  <si>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</si>
  <si>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</si>
  <si>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</si>
  <si>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</si>
  <si>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</si>
  <si>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</si>
  <si>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</si>
  <si>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</si>
  <si>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</si>
  <si>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</si>
  <si>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</si>
  <si>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</si>
  <si>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</si>
  <si>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</si>
  <si>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</si>
  <si>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</si>
  <si>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</si>
  <si>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</si>
  <si>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</si>
  <si>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</si>
  <si>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</si>
  <si>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</si>
  <si>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</si>
  <si>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</si>
  <si>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</si>
  <si>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</si>
  <si>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</si>
  <si>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</si>
  <si>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</si>
  <si>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</si>
  <si>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</si>
  <si>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</si>
  <si>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</si>
  <si>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</si>
  <si>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</si>
  <si>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</si>
  <si>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</si>
  <si>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</si>
  <si>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</si>
  <si>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</si>
  <si>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</si>
  <si>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</si>
  <si>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</si>
  <si>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</si>
  <si>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</si>
  <si>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</si>
  <si>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</si>
  <si>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</si>
  <si>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</si>
  <si>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</si>
  <si>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</si>
  <si>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</si>
  <si>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</si>
  <si>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</si>
  <si>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</si>
  <si>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</si>
  <si>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</si>
  <si>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</si>
  <si>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</si>
  <si>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</si>
  <si>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</si>
  <si>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</si>
  <si>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</si>
  <si>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</si>
  <si>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</si>
  <si>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</si>
  <si>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</si>
  <si>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</si>
  <si>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</si>
  <si>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</si>
  <si>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</si>
  <si>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</si>
  <si>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</si>
  <si>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</si>
  <si>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</si>
  <si>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</si>
  <si>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</si>
  <si>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</si>
  <si>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</si>
  <si>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</si>
  <si>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</si>
  <si>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</si>
  <si>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</si>
  <si>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</si>
  <si>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</si>
  <si>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</si>
  <si>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</si>
  <si>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</si>
  <si>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</si>
  <si>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</si>
  <si>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</si>
  <si>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</si>
  <si>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</si>
  <si>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</si>
  <si>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</si>
  <si>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</si>
  <si>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</si>
  <si>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</si>
  <si>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</si>
  <si>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</si>
  <si>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</si>
  <si>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</si>
  <si>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</si>
  <si>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</si>
  <si>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</si>
  <si>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</si>
  <si>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</si>
  <si>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</si>
  <si>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</si>
  <si>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</si>
  <si>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</si>
  <si>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</si>
  <si>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</si>
  <si>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</si>
  <si>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</si>
  <si>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</si>
  <si>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</si>
  <si>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</si>
  <si>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</si>
  <si>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</si>
  <si>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</si>
  <si>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</si>
  <si>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</si>
  <si>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</si>
  <si>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</si>
  <si>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</si>
  <si>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</si>
  <si>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</si>
  <si>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</si>
  <si>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</si>
  <si>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</si>
  <si>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</si>
  <si>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</si>
  <si>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</si>
  <si>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</si>
  <si>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</si>
  <si>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</si>
  <si>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</si>
  <si>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</si>
  <si>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</si>
  <si>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</si>
  <si>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</si>
  <si>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</si>
  <si>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</si>
  <si>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</si>
  <si>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</si>
  <si>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</si>
  <si>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</si>
  <si>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</si>
  <si>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</si>
  <si>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</si>
  <si>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</si>
  <si>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</si>
  <si>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</si>
  <si>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</si>
  <si>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</si>
  <si>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</si>
  <si>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</si>
  <si>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</si>
  <si>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</si>
  <si>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</si>
  <si>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</si>
  <si>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</si>
  <si>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</si>
  <si>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</si>
  <si>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</si>
  <si>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</si>
  <si>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</si>
  <si>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</si>
  <si>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</si>
  <si>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</si>
  <si>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</si>
  <si>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</si>
  <si>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</si>
  <si>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</si>
  <si>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</si>
  <si>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</si>
  <si>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</si>
  <si>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</si>
  <si>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</si>
  <si>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</si>
  <si>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</si>
  <si>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</si>
  <si>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</si>
  <si>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</si>
  <si>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</si>
  <si>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</si>
  <si>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</si>
  <si>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</si>
  <si>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</si>
  <si>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</si>
  <si>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</si>
  <si>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</si>
  <si>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</si>
  <si>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</si>
  <si>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</si>
  <si>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</si>
  <si>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</si>
  <si>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</si>
  <si>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</si>
  <si>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</si>
  <si>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</si>
  <si>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</si>
  <si>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</si>
  <si>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</si>
  <si>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</si>
  <si>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</si>
  <si>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</si>
  <si>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</si>
  <si>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</si>
  <si>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</si>
  <si>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</si>
  <si>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</si>
  <si>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</si>
  <si>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</si>
  <si>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</si>
  <si>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</si>
  <si>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</si>
  <si>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</si>
  <si>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</si>
  <si>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</si>
  <si>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</si>
  <si>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</si>
  <si>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</si>
  <si>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</si>
  <si>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</si>
  <si>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</si>
  <si>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</si>
  <si>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</si>
  <si>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</si>
  <si>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</si>
  <si>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</si>
  <si>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</si>
  <si>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</si>
  <si>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</si>
  <si>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</si>
  <si>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</si>
  <si>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</si>
  <si>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</si>
  <si>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</si>
  <si>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</si>
  <si>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</si>
  <si>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</si>
  <si>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</si>
  <si>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</si>
  <si>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</si>
  <si>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</si>
  <si>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</si>
  <si>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</si>
  <si>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</si>
  <si>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</si>
  <si>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</si>
  <si>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</si>
  <si>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</si>
  <si>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</si>
  <si>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</si>
  <si>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</si>
  <si>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</si>
  <si>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</si>
  <si>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</si>
  <si>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</si>
  <si>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</si>
  <si>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</si>
  <si>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</si>
  <si>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</si>
  <si>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</si>
  <si>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</si>
  <si>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</si>
  <si>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</si>
  <si>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</si>
  <si>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</si>
  <si>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</si>
  <si>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</si>
  <si>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</si>
  <si>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</si>
  <si>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</si>
  <si>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</si>
  <si>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</si>
  <si>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</si>
  <si>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</si>
  <si>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</si>
  <si>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</si>
  <si>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</si>
  <si>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</si>
  <si>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</si>
  <si>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</si>
  <si>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</si>
  <si>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</si>
  <si>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</si>
  <si>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</si>
  <si>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</si>
  <si>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</si>
  <si>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</si>
  <si>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</si>
  <si>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</si>
  <si>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</si>
  <si>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</si>
  <si>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</si>
  <si>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</si>
  <si>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</si>
  <si>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</si>
  <si>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</si>
  <si>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</si>
  <si>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</si>
  <si>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</si>
  <si>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</si>
  <si>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</si>
  <si>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</si>
  <si>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</si>
  <si>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</si>
  <si>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</si>
  <si>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</si>
  <si>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</si>
  <si>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</si>
  <si>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</si>
  <si>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</si>
  <si>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</si>
  <si>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</si>
  <si>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</si>
  <si>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</si>
  <si>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</si>
  <si>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</si>
  <si>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</si>
  <si>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</si>
  <si>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</si>
  <si>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</si>
  <si>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</si>
  <si>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</si>
  <si>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</si>
  <si>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</si>
  <si>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</si>
  <si>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</si>
  <si>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</si>
  <si>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</si>
  <si>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</si>
  <si>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</si>
  <si>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</si>
  <si>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</si>
  <si>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</si>
  <si>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</si>
  <si>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</si>
  <si>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</si>
  <si>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</si>
  <si>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</si>
  <si>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</si>
  <si>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</si>
  <si>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</si>
  <si>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</si>
  <si>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</si>
  <si>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</si>
  <si>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</si>
  <si>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</si>
  <si>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</si>
  <si>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</si>
  <si>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</si>
  <si>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</si>
  <si>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</si>
  <si>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</si>
  <si>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</si>
  <si>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</si>
  <si>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</si>
  <si>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</si>
  <si>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</si>
  <si>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</si>
  <si>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</si>
  <si>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</si>
  <si>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</si>
  <si>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</si>
  <si>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</si>
  <si>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</si>
  <si>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</si>
  <si>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</si>
  <si>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</si>
  <si>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</si>
  <si>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</si>
  <si>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</si>
  <si>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</si>
  <si>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</si>
  <si>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</si>
  <si>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</si>
  <si>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</si>
  <si>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</si>
  <si>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</si>
  <si>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</si>
  <si>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</si>
  <si>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</si>
  <si>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</si>
  <si>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</si>
  <si>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</si>
  <si>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</si>
  <si>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</si>
  <si>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</si>
  <si>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</si>
  <si>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</si>
  <si>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</si>
  <si>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</si>
  <si>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</si>
  <si>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</si>
  <si>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</si>
  <si>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</si>
  <si>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</si>
  <si>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</si>
  <si>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</si>
  <si>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</si>
  <si>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</si>
  <si>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</si>
  <si>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</si>
  <si>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</si>
  <si>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</si>
  <si>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</si>
  <si>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</si>
  <si>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</si>
  <si>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</si>
  <si>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</si>
  <si>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</si>
  <si>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</si>
  <si>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</si>
  <si>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</si>
  <si>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</si>
  <si>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</si>
  <si>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</si>
  <si>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</si>
  <si>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</si>
  <si>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</si>
  <si>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</si>
  <si>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</si>
  <si>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</si>
  <si>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</si>
  <si>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</si>
  <si>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</si>
  <si>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</si>
  <si>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</si>
  <si>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</si>
  <si>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</si>
  <si>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</si>
  <si>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</si>
  <si>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</si>
  <si>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</si>
  <si>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</si>
  <si>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</si>
  <si>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</si>
  <si>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</si>
  <si>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</si>
  <si>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</si>
  <si>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</si>
  <si>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</si>
  <si>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</si>
  <si>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</si>
  <si>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</si>
  <si>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</si>
  <si>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</si>
  <si>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</si>
  <si>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</si>
  <si>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</si>
  <si>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</si>
  <si>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</si>
  <si>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</si>
  <si>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</si>
  <si>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</si>
  <si>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</si>
  <si>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</si>
  <si>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</si>
  <si>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</si>
  <si>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</si>
  <si>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</si>
  <si>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</si>
  <si>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</si>
  <si>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</si>
  <si>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</si>
  <si>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</si>
  <si>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</si>
  <si>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</si>
  <si>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</si>
  <si>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</si>
  <si>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</si>
  <si>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</si>
  <si>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</si>
  <si>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</si>
  <si>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</si>
  <si>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</si>
  <si>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</si>
  <si>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</si>
  <si>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</si>
  <si>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</si>
  <si>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</si>
  <si>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</si>
  <si>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</si>
  <si>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</si>
  <si>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</si>
  <si>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</si>
  <si>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</si>
  <si>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</si>
  <si>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</si>
  <si>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</si>
  <si>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</si>
  <si>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</si>
  <si>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</si>
  <si>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</si>
  <si>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</si>
  <si>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</si>
  <si>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</si>
  <si>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</si>
  <si>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</si>
  <si>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</si>
  <si>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</si>
  <si>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</si>
  <si>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</si>
  <si>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</si>
  <si>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</si>
  <si>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</si>
  <si>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</si>
  <si>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</si>
  <si>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</si>
  <si>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</si>
  <si>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</si>
  <si>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</si>
  <si>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</si>
  <si>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</si>
  <si>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</si>
  <si>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</si>
  <si>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</si>
  <si>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</si>
  <si>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</si>
  <si>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</si>
  <si>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</si>
  <si>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</si>
  <si>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</si>
  <si>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</si>
  <si>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</si>
  <si>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</si>
  <si>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</si>
  <si>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</si>
  <si>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</si>
  <si>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</si>
  <si>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</si>
  <si>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</si>
  <si>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</si>
  <si>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</si>
  <si>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</si>
  <si>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</si>
  <si>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</si>
  <si>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</si>
  <si>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</si>
  <si>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</si>
  <si>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</si>
  <si>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</si>
  <si>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</si>
  <si>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</si>
  <si>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</si>
  <si>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</si>
  <si>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</si>
  <si>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</si>
  <si>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</si>
  <si>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</si>
  <si>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</si>
  <si>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</si>
  <si>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</si>
  <si>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</si>
  <si>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</si>
  <si>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</si>
  <si>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</si>
  <si>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</si>
  <si>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</si>
  <si>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</si>
  <si>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</si>
  <si>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</si>
  <si>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</si>
  <si>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</si>
  <si>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</si>
  <si>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</si>
  <si>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</si>
  <si>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</si>
  <si>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</si>
  <si>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</si>
  <si>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</si>
  <si>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</si>
  <si>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</si>
  <si>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</si>
  <si>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</si>
  <si>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</si>
  <si>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</si>
  <si>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</si>
  <si>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</si>
  <si>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</si>
  <si>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</si>
  <si>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</si>
  <si>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</si>
  <si>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</si>
  <si>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</si>
  <si>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</si>
  <si>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</si>
  <si>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</si>
  <si>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</si>
  <si>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</si>
  <si>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</si>
  <si>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</si>
  <si>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</si>
  <si>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</si>
  <si>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</si>
  <si>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</si>
  <si>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</si>
  <si>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</si>
  <si>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</si>
  <si>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</si>
  <si>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</si>
  <si>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</si>
  <si>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</si>
  <si>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</si>
  <si>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</si>
  <si>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</si>
  <si>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</si>
  <si>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</si>
  <si>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</si>
  <si>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</si>
  <si>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</si>
  <si>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</si>
  <si>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</si>
  <si>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</si>
  <si>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</si>
  <si>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</si>
  <si>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</si>
  <si>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</si>
  <si>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</si>
  <si>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</si>
  <si>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</si>
  <si>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</si>
  <si>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</si>
  <si>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</si>
  <si>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</si>
  <si>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</si>
  <si>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</si>
  <si>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</si>
  <si>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</si>
  <si>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</si>
  <si>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</si>
  <si>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</si>
  <si>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</si>
  <si>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</si>
  <si>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</si>
  <si>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</si>
  <si>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</si>
  <si>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</si>
  <si>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</si>
  <si>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</si>
  <si>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</si>
  <si>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</si>
  <si>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</si>
  <si>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</si>
  <si>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</si>
  <si>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</si>
  <si>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</si>
  <si>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</si>
  <si>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</si>
  <si>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</si>
  <si>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</si>
  <si>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</si>
  <si>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</si>
  <si>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</si>
  <si>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</si>
  <si>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</si>
  <si>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</si>
  <si>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</si>
  <si>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</si>
  <si>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</si>
  <si>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</si>
  <si>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</si>
  <si>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</si>
  <si>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</si>
  <si>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</si>
  <si>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</si>
  <si>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</si>
  <si>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</si>
  <si>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</si>
  <si>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</si>
  <si>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</si>
  <si>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</si>
  <si>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</si>
  <si>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</si>
  <si>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</si>
  <si>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</si>
  <si>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</si>
  <si>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</si>
  <si>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</si>
  <si>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</si>
  <si>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</si>
  <si>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</si>
  <si>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</si>
  <si>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</si>
  <si>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</si>
  <si>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</si>
  <si>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</si>
  <si>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</si>
  <si>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</si>
  <si>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</si>
  <si>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</si>
  <si>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</si>
  <si>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</si>
  <si>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</si>
  <si>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</si>
  <si>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</si>
  <si>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</si>
  <si>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</si>
  <si>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</si>
  <si>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</si>
  <si>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</si>
  <si>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</si>
  <si>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</si>
  <si>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</si>
  <si>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</si>
  <si>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</si>
  <si>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</si>
  <si>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</si>
  <si>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</si>
  <si>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</si>
  <si>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</si>
  <si>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</si>
  <si>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</si>
  <si>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</si>
  <si>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</si>
  <si>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</si>
  <si>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</si>
  <si>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</si>
  <si>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</si>
  <si>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</si>
  <si>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</si>
  <si>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</si>
  <si>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</si>
  <si>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</si>
  <si>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</si>
  <si>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</si>
  <si>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</si>
  <si>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</si>
  <si>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</si>
  <si>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</si>
  <si>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</si>
  <si>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</si>
  <si>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</si>
  <si>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</si>
  <si>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</si>
  <si>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</si>
  <si>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</si>
  <si>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</si>
  <si>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</si>
  <si>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</si>
  <si>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</si>
  <si>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</si>
  <si>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</si>
  <si>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</si>
  <si>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</si>
  <si>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</si>
  <si>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</si>
  <si>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</si>
  <si>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</si>
  <si>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</si>
  <si>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</si>
  <si>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</si>
  <si>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</si>
  <si>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</si>
  <si>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</si>
  <si>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</si>
  <si>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</si>
  <si>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</si>
  <si>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</si>
  <si>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</si>
  <si>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</si>
  <si>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</si>
  <si>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</si>
  <si>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</si>
  <si>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</si>
  <si>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</si>
  <si>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</si>
  <si>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</si>
  <si>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</si>
  <si>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</si>
  <si>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</si>
  <si>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</si>
  <si>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</si>
  <si>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</si>
  <si>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</si>
  <si>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</si>
  <si>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</si>
  <si>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</si>
  <si>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</si>
  <si>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</si>
  <si>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</si>
  <si>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</si>
  <si>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</si>
  <si>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</si>
  <si>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</si>
  <si>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</si>
  <si>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</si>
  <si>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</si>
  <si>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</si>
  <si>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</si>
  <si>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</si>
  <si>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</si>
  <si>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</si>
  <si>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</si>
  <si>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</si>
  <si>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</si>
  <si>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</si>
  <si>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</si>
  <si>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</si>
  <si>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</si>
  <si>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</si>
  <si>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</si>
  <si>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</si>
  <si>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</si>
  <si>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</si>
  <si>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</si>
  <si>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</si>
  <si>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</si>
  <si>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</si>
  <si>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</si>
  <si>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</si>
  <si>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</si>
  <si>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</si>
  <si>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</si>
  <si>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</si>
  <si>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</si>
  <si>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</si>
  <si>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</si>
  <si>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</si>
  <si>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</si>
  <si>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</si>
  <si>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</si>
  <si>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</si>
  <si>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</si>
  <si>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</si>
  <si>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</si>
  <si>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</si>
  <si>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</si>
  <si>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</si>
  <si>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</si>
  <si>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</si>
  <si>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</si>
  <si>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</si>
  <si>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</si>
  <si>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</si>
  <si>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</si>
  <si>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</si>
  <si>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</si>
  <si>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</si>
  <si>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</si>
  <si>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</si>
  <si>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</si>
  <si>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</si>
  <si>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</si>
  <si>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</si>
  <si>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</si>
  <si>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</si>
  <si>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</si>
  <si>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</si>
  <si>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</si>
  <si>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</si>
  <si>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</si>
  <si>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</si>
  <si>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</si>
  <si>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</si>
  <si>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</si>
  <si>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</si>
  <si>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</si>
  <si>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</si>
  <si>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</si>
  <si>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</si>
  <si>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</si>
  <si>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</si>
  <si>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</si>
  <si>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</si>
  <si>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</si>
  <si>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</si>
  <si>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</si>
  <si>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</si>
  <si>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</si>
  <si>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</si>
  <si>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</si>
  <si>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</si>
  <si>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</si>
  <si>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</si>
  <si>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</si>
  <si>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</si>
  <si>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</si>
  <si>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</si>
  <si>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</si>
  <si>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</si>
  <si>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</si>
  <si>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</si>
  <si>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</si>
  <si>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</si>
  <si>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</si>
  <si>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</si>
  <si>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</si>
  <si>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</si>
  <si>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</si>
  <si>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</si>
  <si>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</si>
  <si>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</si>
  <si>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</si>
  <si>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</si>
  <si>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</si>
  <si>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</si>
  <si>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</si>
  <si>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</si>
  <si>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</si>
  <si>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</si>
  <si>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</si>
  <si>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</si>
  <si>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</si>
  <si>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</si>
  <si>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</si>
  <si>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</si>
  <si>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</si>
  <si>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</si>
  <si>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</si>
  <si>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</si>
  <si>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</si>
  <si>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</si>
  <si>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</si>
  <si>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</si>
  <si>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</si>
  <si>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</si>
  <si>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</si>
  <si>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</si>
  <si>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</si>
  <si>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</si>
  <si>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</si>
  <si>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</si>
  <si>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</si>
  <si>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</si>
  <si>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</si>
  <si>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</si>
  <si>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</si>
  <si>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</si>
  <si>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</si>
  <si>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</si>
  <si>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</si>
  <si>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</si>
  <si>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</si>
  <si>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</si>
  <si>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</si>
  <si>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</si>
  <si>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</si>
  <si>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</si>
  <si>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</si>
  <si>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</si>
  <si>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</si>
  <si>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</si>
  <si>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</si>
  <si>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</si>
  <si>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</si>
  <si>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</si>
  <si>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</si>
  <si>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</si>
  <si>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</si>
  <si>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</si>
  <si>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</si>
  <si>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</si>
  <si>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</si>
  <si>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</si>
  <si>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</si>
  <si>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</si>
  <si>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</si>
  <si>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</si>
  <si>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</si>
  <si>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</si>
  <si>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</si>
  <si>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</si>
  <si>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</si>
  <si>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</si>
  <si>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</si>
  <si>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</si>
  <si>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</si>
  <si>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</si>
  <si>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</si>
  <si>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</si>
  <si>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</si>
  <si>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</si>
  <si>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</si>
  <si>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</si>
  <si>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</si>
  <si>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</si>
  <si>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</si>
  <si>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</si>
  <si>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</si>
  <si>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</si>
  <si>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</si>
  <si>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</si>
  <si>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</si>
  <si>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</si>
  <si>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</si>
  <si>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</si>
  <si>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</si>
  <si>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</si>
  <si>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</si>
  <si>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</si>
  <si>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</si>
  <si>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</si>
  <si>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</si>
  <si>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</si>
  <si>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</si>
  <si>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</si>
  <si>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</si>
  <si>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</si>
  <si>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</si>
  <si>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</si>
  <si>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</si>
  <si>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</si>
  <si>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</si>
  <si>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</si>
  <si>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</si>
  <si>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</si>
  <si>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</si>
  <si>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</si>
  <si>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</si>
  <si>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</si>
  <si>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</si>
  <si>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</si>
  <si>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</si>
  <si>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</si>
  <si>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</si>
  <si>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</si>
  <si>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</si>
  <si>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</si>
  <si>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</si>
  <si>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</si>
  <si>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</si>
  <si>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</si>
  <si>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</si>
  <si>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</si>
  <si>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</si>
  <si>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</si>
  <si>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</si>
  <si>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</si>
  <si>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</si>
  <si>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</si>
  <si>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</si>
  <si>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</si>
  <si>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</si>
  <si>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</si>
  <si>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</si>
  <si>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</si>
  <si>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</si>
  <si>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</si>
  <si>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</si>
  <si>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</si>
  <si>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</si>
  <si>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</si>
  <si>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</si>
  <si>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</si>
  <si>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</si>
  <si>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</si>
  <si>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</si>
  <si>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</si>
  <si>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</si>
  <si>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</si>
  <si>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</si>
  <si>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</si>
  <si>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</si>
  <si>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</si>
  <si>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</si>
  <si>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</si>
  <si>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</si>
  <si>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</si>
  <si>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</si>
  <si>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</si>
  <si>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</si>
  <si>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</si>
  <si>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</si>
  <si>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</si>
  <si>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</si>
  <si>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</si>
  <si>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</si>
  <si>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</si>
  <si>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</si>
  <si>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</si>
  <si>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</si>
  <si>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</si>
  <si>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</si>
  <si>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</si>
  <si>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</si>
  <si>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</si>
  <si>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</si>
  <si>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</si>
  <si>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</si>
  <si>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</si>
  <si>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</si>
  <si>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</si>
  <si>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</si>
  <si>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</si>
  <si>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</si>
  <si>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</si>
  <si>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</si>
  <si>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</si>
  <si>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</si>
  <si>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</si>
  <si>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</si>
  <si>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</si>
  <si>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</si>
  <si>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</si>
  <si>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</si>
  <si>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</si>
  <si>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</si>
  <si>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</si>
  <si>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</si>
  <si>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</si>
  <si>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</si>
  <si>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</si>
  <si>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</si>
  <si>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</si>
  <si>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</si>
  <si>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</si>
  <si>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</si>
  <si>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</si>
  <si>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</si>
  <si>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</si>
  <si>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</si>
  <si>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</si>
  <si>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</si>
  <si>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</si>
  <si>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</si>
  <si>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</si>
  <si>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</si>
  <si>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</si>
  <si>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</si>
  <si>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</si>
  <si>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</si>
  <si>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</si>
  <si>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</si>
  <si>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</si>
  <si>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</si>
  <si>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</si>
  <si>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</si>
  <si>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</si>
  <si>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</si>
  <si>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</si>
  <si>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</si>
  <si>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</si>
  <si>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</si>
  <si>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</si>
  <si>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</si>
  <si>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</si>
  <si>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</si>
  <si>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</si>
  <si>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</si>
  <si>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</si>
  <si>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</si>
  <si>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</si>
  <si>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</si>
  <si>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</si>
  <si>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</si>
  <si>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</si>
  <si>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</si>
  <si>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</si>
  <si>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</si>
  <si>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</si>
  <si>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</si>
  <si>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</si>
  <si>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</si>
  <si>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</si>
  <si>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</si>
  <si>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</si>
  <si>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</si>
  <si>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</si>
  <si>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</si>
  <si>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</si>
  <si>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</si>
  <si>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</si>
  <si>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</si>
  <si>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</si>
  <si>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</si>
  <si>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</si>
  <si>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</si>
  <si>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</si>
  <si>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</si>
  <si>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</si>
  <si>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</si>
  <si>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</si>
  <si>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</si>
  <si>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</si>
  <si>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</si>
  <si>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</si>
  <si>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</si>
  <si>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</si>
  <si>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</si>
  <si>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</si>
  <si>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</si>
  <si>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</si>
  <si>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</si>
  <si>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</si>
  <si>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</si>
  <si>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</si>
  <si>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</si>
  <si>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</si>
  <si>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</si>
  <si>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</si>
  <si>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</si>
  <si>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</si>
  <si>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</si>
  <si>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</si>
  <si>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</si>
  <si>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</si>
  <si>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</si>
  <si>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</si>
  <si>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</si>
  <si>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</si>
  <si>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</si>
  <si>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</si>
  <si>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</si>
  <si>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</si>
  <si>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</si>
  <si>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</si>
  <si>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</si>
  <si>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</si>
  <si>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</si>
  <si>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</si>
  <si>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</si>
  <si>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</si>
  <si>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</si>
  <si>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</si>
  <si>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</si>
  <si>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</si>
  <si>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</si>
  <si>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</si>
  <si>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</si>
  <si>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</si>
  <si>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</si>
  <si>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</si>
  <si>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</si>
  <si>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</si>
  <si>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</si>
  <si>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</si>
  <si>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</si>
  <si>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</si>
  <si>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</si>
  <si>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</si>
  <si>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</si>
  <si>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</si>
  <si>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</si>
  <si>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</si>
  <si>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</si>
  <si>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</si>
  <si>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</si>
  <si>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</si>
  <si>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</si>
  <si>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</si>
  <si>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</si>
  <si>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</si>
  <si>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</si>
  <si>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</si>
  <si>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</si>
  <si>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</si>
  <si>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</si>
  <si>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</si>
  <si>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</si>
  <si>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</si>
  <si>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</si>
  <si>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</si>
  <si>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</si>
  <si>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</si>
  <si>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</si>
  <si>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</si>
  <si>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</si>
  <si>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</si>
  <si>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</si>
  <si>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</si>
  <si>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</si>
  <si>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</si>
  <si>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</si>
  <si>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</si>
  <si>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</si>
  <si>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</si>
  <si>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</si>
  <si>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</si>
  <si>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</si>
  <si>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</si>
  <si>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</si>
  <si>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</si>
  <si>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</si>
  <si>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</si>
  <si>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</si>
  <si>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</si>
  <si>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</si>
  <si>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</si>
  <si>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</si>
  <si>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</si>
  <si>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</si>
  <si>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</si>
  <si>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</si>
  <si>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</si>
  <si>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</si>
  <si>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</si>
  <si>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</si>
  <si>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</si>
  <si>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</si>
  <si>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</si>
  <si>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</si>
  <si>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</si>
  <si>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</si>
  <si>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</si>
  <si>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</si>
  <si>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</si>
  <si>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</si>
  <si>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</si>
  <si>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</si>
  <si>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</si>
  <si>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</si>
  <si>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</si>
  <si>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</si>
  <si>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</si>
  <si>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</si>
  <si>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</si>
  <si>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</si>
  <si>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</si>
  <si>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</si>
  <si>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</si>
  <si>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</si>
  <si>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</si>
  <si>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</si>
  <si>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</si>
  <si>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</si>
  <si>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</si>
  <si>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</si>
  <si>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</si>
  <si>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</si>
  <si>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</si>
  <si>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</si>
  <si>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</si>
  <si>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</si>
  <si>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</si>
  <si>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</si>
  <si>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</si>
  <si>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</si>
  <si>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</si>
  <si>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</si>
  <si>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</si>
  <si>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</si>
  <si>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</si>
  <si>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</si>
  <si>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</si>
  <si>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</si>
  <si>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</si>
  <si>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</si>
  <si>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</si>
  <si>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</si>
  <si>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</si>
  <si>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</si>
  <si>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</si>
  <si>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</si>
  <si>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</si>
  <si>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</si>
  <si>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</si>
  <si>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</si>
  <si>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</si>
  <si>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</si>
  <si>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</si>
  <si>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</si>
  <si>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</si>
  <si>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</si>
  <si>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</si>
  <si>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</si>
  <si>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</si>
  <si>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</si>
  <si>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</si>
  <si>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</si>
  <si>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</si>
  <si>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</si>
  <si>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</si>
  <si>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</si>
  <si>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</si>
  <si>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</si>
  <si>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</si>
  <si>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</si>
  <si>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</si>
  <si>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</si>
  <si>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</si>
  <si>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</si>
  <si>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</si>
  <si>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</si>
  <si>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</si>
  <si>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</si>
  <si>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</si>
  <si>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</si>
  <si>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</si>
  <si>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</si>
  <si>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</si>
  <si>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</si>
  <si>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</si>
  <si>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</si>
  <si>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</si>
  <si>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</si>
  <si>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</si>
  <si>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</si>
  <si>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</si>
  <si>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</si>
  <si>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</si>
  <si>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</si>
  <si>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</si>
  <si>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</si>
  <si>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</si>
  <si>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</si>
  <si>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</si>
  <si>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</si>
  <si>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</si>
  <si>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</si>
  <si>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</si>
  <si>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</si>
  <si>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</si>
  <si>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</si>
  <si>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</si>
  <si>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</si>
  <si>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</si>
  <si>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</si>
  <si>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</si>
  <si>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</si>
  <si>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</si>
  <si>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</si>
  <si>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</si>
  <si>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</si>
  <si>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</si>
  <si>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</si>
  <si>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</si>
  <si>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</si>
  <si>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</si>
  <si>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</si>
  <si>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</si>
  <si>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</si>
  <si>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</si>
  <si>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</si>
  <si>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</si>
  <si>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</si>
  <si>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</si>
  <si>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</si>
  <si>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</si>
  <si>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</si>
  <si>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</si>
  <si>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</si>
  <si>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</si>
  <si>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</si>
  <si>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</si>
  <si>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</si>
  <si>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</si>
  <si>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</si>
  <si>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</si>
  <si>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</si>
  <si>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</si>
  <si>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</si>
  <si>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</si>
  <si>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</si>
  <si>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</si>
  <si>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</si>
  <si>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</si>
  <si>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</si>
  <si>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</si>
  <si>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</si>
  <si>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</si>
  <si>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</si>
  <si>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</si>
  <si>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</si>
  <si>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</si>
  <si>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</si>
  <si>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</si>
  <si>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</si>
  <si>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</si>
  <si>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</si>
  <si>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</si>
  <si>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</si>
  <si>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</si>
  <si>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</si>
  <si>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</si>
  <si>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</si>
  <si>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</si>
  <si>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</si>
  <si>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</si>
  <si>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</si>
  <si>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</si>
  <si>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</si>
  <si>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</si>
  <si>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</si>
  <si>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</si>
  <si>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</si>
  <si>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</si>
  <si>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</si>
  <si>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</si>
  <si>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</si>
  <si>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</si>
  <si>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</si>
  <si>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</si>
  <si>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</si>
  <si>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</si>
  <si>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</si>
  <si>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</si>
  <si>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</si>
  <si>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</si>
  <si>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</si>
  <si>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</si>
  <si>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</si>
  <si>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</si>
  <si>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</si>
  <si>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</si>
  <si>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</si>
  <si>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</si>
  <si>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</si>
  <si>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</si>
  <si>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</si>
  <si>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</si>
  <si>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</si>
  <si>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</si>
  <si>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</si>
  <si>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</si>
  <si>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</si>
  <si>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</si>
  <si>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</si>
  <si>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</si>
  <si>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</si>
  <si>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</si>
  <si>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</si>
  <si>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</si>
  <si>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</si>
  <si>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</si>
  <si>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</si>
  <si>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</si>
  <si>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</si>
  <si>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</si>
  <si>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</si>
  <si>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</si>
  <si>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</si>
  <si>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</si>
  <si>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</si>
  <si>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</si>
  <si>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</si>
  <si>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</si>
  <si>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</si>
  <si>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</si>
  <si>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</si>
  <si>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</si>
  <si>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</si>
  <si>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</si>
  <si>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</si>
  <si>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</si>
  <si>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</si>
  <si>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</si>
  <si>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</si>
  <si>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</si>
  <si>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</si>
  <si>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</si>
  <si>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</si>
  <si>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</si>
  <si>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</si>
  <si>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</si>
  <si>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</si>
  <si>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</si>
  <si>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</si>
  <si>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</si>
  <si>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</si>
  <si>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</si>
  <si>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</si>
  <si>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</si>
  <si>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</si>
  <si>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</si>
  <si>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</si>
  <si>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</si>
  <si>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</si>
  <si>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</si>
  <si>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</si>
  <si>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</si>
  <si>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</si>
  <si>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</si>
  <si>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</si>
  <si>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</si>
  <si>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</si>
  <si>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</si>
  <si>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</si>
  <si>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</si>
  <si>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</si>
  <si>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</si>
  <si>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</si>
  <si>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</si>
  <si>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</si>
  <si>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</si>
  <si>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</si>
  <si>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</si>
  <si>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</si>
  <si>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</si>
  <si>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</si>
  <si>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</si>
  <si>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</si>
  <si>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</si>
  <si>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</si>
  <si>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</si>
  <si>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</si>
  <si>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</si>
  <si>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</si>
  <si>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</si>
  <si>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</si>
  <si>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</si>
  <si>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</si>
  <si>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</si>
  <si>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</si>
  <si>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</si>
  <si>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</si>
  <si>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</si>
  <si>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</si>
  <si>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</si>
  <si>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</si>
  <si>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</si>
  <si>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</si>
  <si>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</si>
  <si>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</si>
  <si>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</si>
  <si>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</si>
  <si>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</si>
  <si>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</si>
  <si>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</si>
  <si>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</si>
  <si>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</si>
  <si>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</si>
  <si>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</si>
  <si>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</si>
  <si>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</si>
  <si>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</si>
  <si>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</si>
  <si>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</si>
  <si>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</si>
  <si>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</si>
  <si>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</si>
  <si>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</si>
  <si>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</si>
  <si>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</si>
  <si>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</si>
  <si>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</si>
  <si>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</si>
  <si>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</si>
  <si>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</si>
  <si>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</si>
  <si>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</si>
  <si>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</si>
  <si>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</si>
  <si>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</si>
  <si>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</si>
  <si>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</si>
  <si>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</si>
  <si>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</si>
  <si>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</si>
  <si>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</si>
  <si>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</si>
  <si>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</si>
  <si>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</si>
  <si>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</si>
  <si>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</si>
  <si>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</si>
  <si>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</si>
  <si>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</si>
  <si>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</si>
  <si>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</si>
  <si>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</si>
  <si>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</si>
  <si>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</si>
  <si>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</si>
  <si>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</si>
  <si>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</si>
  <si>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</si>
  <si>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</si>
  <si>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</si>
  <si>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</si>
  <si>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</si>
  <si>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</si>
  <si>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</si>
  <si>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</si>
  <si>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</si>
  <si>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</si>
  <si>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</si>
  <si>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</si>
  <si>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</si>
  <si>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</si>
  <si>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</si>
  <si>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</si>
  <si>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</si>
  <si>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</si>
  <si>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</si>
  <si>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</si>
  <si>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</si>
  <si>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</si>
  <si>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</si>
  <si>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</si>
  <si>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</si>
  <si>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</si>
  <si>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</si>
  <si>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</si>
  <si>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</si>
  <si>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</si>
  <si>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</si>
  <si>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</si>
  <si>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</si>
  <si>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</si>
  <si>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</si>
  <si>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</si>
  <si>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</si>
  <si>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</si>
  <si>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</si>
  <si>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</si>
  <si>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</si>
  <si>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</si>
  <si>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</si>
  <si>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</si>
  <si>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</si>
  <si>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</si>
  <si>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</si>
  <si>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</si>
  <si>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</si>
  <si>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</si>
  <si>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</si>
  <si>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</si>
  <si>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</si>
  <si>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</si>
  <si>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</si>
  <si>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</si>
  <si>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</si>
  <si>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</si>
  <si>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</si>
  <si>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</si>
  <si>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</si>
  <si>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</si>
  <si>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</si>
  <si>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</si>
  <si>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</si>
  <si>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</si>
  <si>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</si>
  <si>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</si>
  <si>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</si>
  <si>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</si>
  <si>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</si>
  <si>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</si>
  <si>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</si>
  <si>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</si>
  <si>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</si>
  <si>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</si>
  <si>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</si>
  <si>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</si>
  <si>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</si>
  <si>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</si>
  <si>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</si>
  <si>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</si>
  <si>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</si>
  <si>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</si>
  <si>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</si>
  <si>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</si>
  <si>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</si>
  <si>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</si>
  <si>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</si>
  <si>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</si>
  <si>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</si>
  <si>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</si>
  <si>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</si>
  <si>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</si>
  <si>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</si>
  <si>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</si>
  <si>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</si>
  <si>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</si>
  <si>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</si>
  <si>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</si>
  <si>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</si>
  <si>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</si>
  <si>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</si>
  <si>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</si>
  <si>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</si>
  <si>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</si>
  <si>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</si>
  <si>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</si>
  <si>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</si>
  <si>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</si>
  <si>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</si>
  <si>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</si>
  <si>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</si>
  <si>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</si>
  <si>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</si>
  <si>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</si>
  <si>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</si>
  <si>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</si>
  <si>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</si>
  <si>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</si>
  <si>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</si>
  <si>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</si>
  <si>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</si>
  <si>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</si>
  <si>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</si>
  <si>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</si>
  <si>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</si>
  <si>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</si>
  <si>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</si>
  <si>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</si>
  <si>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</si>
  <si>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</si>
  <si>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</si>
  <si>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</si>
  <si>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</si>
  <si>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</si>
  <si>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</si>
  <si>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</si>
  <si>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</si>
  <si>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</si>
  <si>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</si>
  <si>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</si>
  <si>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</si>
  <si>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</si>
  <si>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</si>
  <si>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</si>
  <si>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</si>
  <si>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</si>
  <si>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</si>
  <si>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</si>
  <si>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</si>
  <si>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</si>
  <si>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</si>
  <si>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</si>
  <si>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</si>
  <si>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</si>
  <si>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</si>
  <si>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</si>
  <si>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</si>
  <si>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</si>
  <si>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</si>
  <si>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</si>
  <si>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</si>
  <si>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</si>
  <si>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</si>
  <si>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</si>
  <si>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</si>
  <si>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</si>
  <si>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</si>
  <si>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</si>
  <si>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</si>
  <si>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</si>
  <si>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</si>
  <si>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</si>
  <si>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</si>
  <si>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</si>
  <si>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</si>
  <si>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</si>
  <si>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</si>
  <si>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</si>
  <si>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</si>
  <si>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</si>
  <si>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</si>
  <si>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</si>
  <si>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</si>
  <si>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</si>
  <si>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</si>
  <si>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</si>
  <si>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</si>
  <si>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</si>
  <si>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</si>
  <si>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</si>
  <si>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</si>
  <si>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</si>
  <si>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</si>
  <si>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</si>
  <si>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</si>
  <si>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</si>
  <si>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</si>
  <si>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</si>
  <si>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</si>
  <si>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</si>
  <si>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</si>
  <si>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</si>
  <si>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</si>
  <si>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</si>
  <si>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</si>
  <si>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</si>
  <si>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</si>
  <si>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</si>
  <si>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</si>
  <si>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</si>
  <si>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</si>
  <si>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</si>
  <si>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</si>
  <si>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</si>
  <si>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</si>
  <si>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</si>
  <si>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</si>
  <si>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</si>
  <si>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</si>
  <si>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</si>
  <si>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</si>
  <si>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</si>
  <si>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</si>
  <si>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</si>
  <si>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</si>
  <si>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</si>
  <si>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</si>
  <si>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</si>
  <si>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</si>
  <si>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</si>
  <si>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</si>
  <si>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</si>
  <si>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</si>
  <si>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</si>
  <si>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</si>
  <si>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</si>
  <si>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</si>
  <si>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</si>
  <si>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</si>
  <si>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</si>
  <si>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</si>
  <si>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</si>
  <si>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</si>
  <si>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</si>
  <si>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</si>
  <si>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</si>
  <si>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</si>
  <si>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</si>
  <si>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</si>
  <si>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</si>
  <si>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</si>
  <si>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</si>
  <si>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</si>
  <si>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</si>
  <si>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</si>
  <si>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</si>
  <si>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</si>
  <si>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</si>
  <si>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</si>
  <si>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</si>
  <si>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</si>
  <si>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</si>
  <si>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</si>
  <si>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</si>
  <si>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</si>
  <si>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</si>
  <si>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</si>
  <si>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</si>
  <si>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</si>
  <si>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</si>
  <si>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</si>
  <si>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</si>
  <si>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</si>
  <si>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</si>
  <si>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</si>
  <si>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</si>
  <si>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</si>
  <si>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</si>
  <si>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</si>
  <si>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</si>
  <si>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</si>
  <si>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</si>
  <si>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</si>
  <si>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</si>
  <si>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</si>
  <si>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</si>
  <si>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</si>
  <si>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</si>
  <si>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</si>
  <si>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</si>
  <si>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</si>
  <si>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</si>
  <si>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</si>
  <si>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</si>
  <si>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</si>
  <si>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</si>
  <si>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</si>
  <si>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</si>
  <si>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</si>
  <si>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</si>
  <si>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</si>
  <si>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</si>
  <si>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</si>
  <si>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</si>
  <si>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</si>
  <si>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</si>
  <si>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</si>
  <si>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</si>
  <si>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</si>
  <si>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</si>
  <si>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</si>
  <si>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</si>
  <si>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</si>
  <si>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</si>
  <si>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</si>
  <si>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</si>
  <si>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</si>
  <si>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</si>
  <si>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</si>
  <si>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</si>
  <si>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</si>
  <si>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</si>
  <si>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</si>
  <si>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</si>
  <si>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</si>
  <si>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</si>
  <si>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</si>
  <si>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</si>
  <si>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</si>
  <si>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</si>
  <si>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</si>
  <si>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</si>
  <si>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</si>
  <si>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</si>
  <si>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</si>
  <si>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</si>
  <si>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</si>
  <si>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</si>
  <si>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</si>
  <si>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</si>
  <si>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</si>
  <si>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</si>
  <si>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</si>
  <si>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</si>
  <si>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</si>
  <si>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</si>
  <si>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</si>
  <si>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</si>
  <si>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</si>
  <si>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</si>
  <si>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</si>
  <si>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</si>
  <si>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</si>
  <si>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</si>
  <si>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</si>
  <si>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</si>
  <si>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</si>
  <si>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</si>
  <si>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</si>
  <si>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</si>
  <si>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</si>
  <si>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</si>
  <si>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</si>
  <si>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</si>
  <si>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</si>
  <si>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</si>
  <si>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</si>
  <si>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</si>
  <si>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</si>
  <si>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</si>
  <si>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</si>
  <si>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</si>
  <si>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</si>
  <si>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</si>
  <si>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</si>
  <si>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</si>
  <si>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</si>
  <si>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</si>
  <si>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</si>
  <si>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</si>
  <si>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</si>
  <si>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</si>
  <si>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</si>
  <si>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</si>
  <si>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</si>
  <si>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</si>
  <si>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</si>
  <si>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</si>
  <si>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</si>
  <si>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</si>
  <si>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</si>
  <si>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</si>
  <si>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</si>
  <si>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</si>
  <si>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</si>
  <si>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</si>
  <si>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</si>
  <si>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</si>
  <si>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</si>
  <si>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</si>
  <si>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</si>
  <si>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</si>
  <si>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</si>
  <si>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</si>
  <si>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</si>
  <si>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</si>
  <si>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</si>
  <si>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</si>
  <si>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</si>
  <si>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</si>
  <si>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</si>
  <si>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</si>
  <si>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</si>
  <si>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</si>
  <si>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</si>
  <si>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</si>
  <si>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</si>
  <si>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</si>
  <si>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</si>
  <si>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</si>
  <si>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</si>
  <si>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</si>
  <si>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</si>
  <si>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</si>
  <si>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</si>
  <si>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</si>
  <si>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</si>
  <si>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</si>
  <si>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</si>
  <si>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</si>
  <si>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</si>
  <si>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</si>
  <si>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</si>
  <si>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</si>
  <si>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</si>
  <si>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</si>
  <si>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</si>
  <si>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</si>
  <si>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</si>
  <si>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</si>
  <si>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</si>
  <si>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</si>
  <si>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</si>
  <si>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</si>
  <si>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</si>
  <si>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</si>
  <si>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</si>
  <si>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</si>
  <si>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</si>
  <si>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</si>
  <si>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</si>
  <si>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</si>
  <si>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</si>
  <si>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</si>
  <si>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</si>
  <si>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</si>
  <si>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</si>
  <si>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</si>
  <si>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</si>
  <si>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</si>
  <si>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</si>
  <si>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</si>
  <si>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</si>
  <si>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</si>
  <si>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</si>
  <si>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</si>
  <si>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</si>
  <si>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</si>
  <si>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</si>
  <si>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</si>
  <si>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</si>
  <si>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</si>
  <si>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</si>
  <si>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</si>
  <si>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</si>
  <si>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</si>
  <si>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</si>
  <si>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</si>
  <si>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</si>
  <si>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</si>
  <si>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</si>
  <si>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</si>
  <si>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</si>
  <si>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</si>
  <si>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</si>
  <si>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</si>
  <si>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</si>
  <si>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</si>
  <si>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</si>
  <si>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</si>
  <si>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</si>
  <si>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</si>
  <si>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</si>
  <si>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</si>
  <si>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</si>
  <si>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</si>
  <si>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</si>
  <si>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</si>
  <si>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</si>
  <si>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</si>
  <si>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</si>
  <si>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</si>
  <si>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</si>
  <si>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</si>
  <si>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</si>
  <si>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</si>
  <si>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</si>
  <si>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</si>
  <si>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</si>
  <si>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</si>
  <si>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</si>
  <si>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</si>
  <si>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</si>
  <si>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</si>
  <si>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</si>
  <si>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</si>
  <si>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</si>
  <si>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</si>
  <si>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</si>
  <si>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</si>
  <si>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</si>
  <si>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</si>
  <si>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</si>
  <si>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</si>
  <si>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</si>
  <si>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</si>
  <si>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</si>
  <si>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</si>
  <si>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</si>
  <si>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</si>
  <si>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</si>
  <si>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</si>
  <si>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</si>
  <si>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</si>
  <si>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</si>
  <si>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</si>
  <si>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</si>
  <si>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</si>
  <si>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</si>
  <si>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</si>
  <si>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</si>
  <si>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</si>
  <si>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</si>
  <si>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</si>
  <si>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</si>
  <si>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</si>
  <si>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</si>
  <si>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</si>
  <si>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</si>
  <si>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</si>
  <si>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</si>
  <si>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</si>
  <si>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</si>
  <si>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</si>
  <si>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</si>
  <si>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</si>
  <si>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</si>
  <si>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</si>
  <si>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</si>
  <si>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</si>
  <si>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</si>
  <si>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</si>
  <si>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</si>
  <si>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</si>
  <si>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</si>
  <si>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</si>
  <si>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</si>
  <si>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</si>
  <si>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</si>
  <si>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</si>
  <si>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</si>
  <si>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</si>
  <si>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</si>
  <si>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</si>
  <si>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</si>
  <si>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</si>
  <si>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</si>
  <si>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</si>
  <si>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</si>
  <si>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</si>
  <si>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</si>
  <si>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</si>
  <si>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</si>
  <si>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</si>
  <si>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</si>
  <si>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</si>
  <si>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</si>
  <si>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</si>
  <si>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</si>
  <si>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</si>
  <si>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</si>
  <si>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</si>
  <si>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</si>
  <si>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</si>
  <si>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</si>
  <si>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</si>
  <si>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</si>
  <si>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</si>
  <si>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</si>
  <si>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</si>
  <si>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</si>
  <si>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</si>
  <si>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</si>
  <si>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</si>
  <si>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</si>
  <si>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</si>
  <si>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</si>
  <si>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</si>
  <si>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</si>
  <si>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</si>
  <si>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</si>
  <si>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</si>
  <si>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</si>
  <si>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</si>
  <si>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</si>
  <si>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</si>
  <si>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</si>
  <si>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</si>
  <si>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</si>
  <si>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</si>
  <si>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</si>
  <si>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</si>
  <si>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</si>
  <si>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</si>
  <si>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</si>
  <si>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</si>
  <si>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</si>
  <si>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</si>
  <si>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</si>
  <si>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</si>
  <si>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</si>
  <si>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</si>
  <si>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</si>
  <si>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</si>
  <si>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</si>
  <si>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</si>
  <si>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</si>
  <si>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</si>
  <si>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</si>
  <si>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</si>
  <si>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</si>
  <si>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</si>
  <si>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</si>
  <si>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</si>
  <si>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</si>
  <si>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</si>
  <si>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</si>
  <si>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</si>
  <si>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</si>
  <si>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</si>
  <si>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</si>
  <si>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</si>
  <si>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</si>
  <si>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</si>
  <si>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</si>
  <si>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</si>
  <si>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</si>
  <si>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</si>
  <si>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</si>
  <si>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</si>
  <si>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</si>
  <si>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</si>
  <si>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</si>
  <si>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</si>
  <si>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</si>
  <si>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</si>
  <si>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</si>
  <si>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</si>
  <si>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</si>
  <si>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</si>
  <si>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</si>
  <si>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</si>
  <si>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</si>
  <si>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</si>
  <si>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</si>
  <si>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</si>
  <si>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</si>
  <si>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</si>
  <si>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</si>
  <si>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</si>
  <si>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</si>
  <si>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</si>
  <si>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</si>
  <si>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</si>
  <si>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</si>
  <si>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</si>
  <si>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</si>
  <si>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</si>
  <si>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</si>
  <si>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</si>
  <si>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</si>
  <si>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</si>
  <si>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</si>
  <si>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</si>
  <si>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</si>
  <si>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</si>
  <si>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</si>
  <si>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</si>
  <si>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</si>
  <si>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</si>
  <si>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</si>
  <si>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</si>
  <si>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</si>
  <si>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</si>
  <si>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</si>
  <si>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</si>
  <si>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</si>
  <si>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</si>
  <si>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</si>
  <si>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</si>
  <si>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</si>
  <si>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</si>
  <si>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</si>
  <si>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</si>
  <si>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</si>
  <si>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</si>
  <si>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</si>
  <si>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</si>
  <si>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</si>
  <si>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</si>
  <si>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</si>
  <si>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</si>
  <si>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</si>
  <si>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</si>
  <si>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</si>
  <si>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</si>
  <si>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</si>
  <si>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</si>
  <si>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</si>
  <si>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</si>
  <si>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</si>
  <si>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</si>
  <si>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</si>
  <si>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</si>
  <si>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</si>
  <si>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</si>
  <si>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</si>
  <si>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</si>
  <si>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</si>
  <si>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</si>
  <si>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</si>
  <si>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</si>
  <si>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</si>
  <si>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</si>
  <si>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</si>
  <si>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</si>
  <si>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</si>
  <si>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</si>
  <si>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</si>
  <si>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</si>
  <si>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</si>
  <si>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</si>
  <si>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</si>
  <si>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</si>
  <si>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</si>
  <si>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</si>
  <si>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</si>
  <si>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</si>
  <si>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</si>
  <si>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</si>
  <si>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</si>
  <si>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</si>
  <si>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</si>
  <si>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</si>
  <si>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</si>
  <si>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</si>
  <si>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</si>
  <si>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</si>
  <si>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</si>
  <si>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</si>
  <si>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</si>
  <si>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</si>
  <si>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</si>
  <si>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</si>
  <si>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</si>
  <si>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</si>
  <si>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</si>
  <si>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</si>
  <si>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</si>
  <si>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</si>
  <si>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</si>
  <si>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</si>
  <si>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</si>
  <si>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</si>
  <si>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</si>
  <si>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</si>
  <si>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</si>
  <si>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</si>
  <si>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</si>
  <si>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</si>
  <si>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</si>
  <si>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</si>
  <si>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</si>
  <si>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</si>
  <si>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</si>
  <si>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</si>
  <si>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</si>
  <si>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</si>
  <si>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</si>
  <si>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</si>
  <si>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</si>
  <si>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</si>
  <si>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</si>
  <si>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</si>
  <si>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</si>
  <si>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</si>
  <si>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</si>
  <si>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</si>
  <si>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</si>
  <si>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</si>
  <si>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</si>
  <si>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</si>
  <si>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</si>
  <si>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</si>
  <si>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</si>
  <si>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</si>
  <si>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</si>
  <si>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</si>
  <si>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</si>
  <si>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</si>
  <si>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</si>
  <si>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</si>
  <si>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</si>
  <si>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</si>
  <si>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</si>
  <si>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</si>
  <si>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</si>
  <si>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</si>
  <si>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</si>
  <si>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</si>
  <si>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</si>
  <si>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</si>
  <si>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</si>
  <si>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</si>
  <si>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</si>
  <si>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</si>
  <si>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</si>
  <si>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</si>
  <si>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</si>
  <si>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</si>
  <si>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</si>
  <si>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</si>
  <si>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</si>
  <si>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</si>
  <si>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</si>
  <si>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</si>
  <si>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</si>
  <si>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</si>
  <si>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</si>
  <si>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</si>
  <si>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</si>
  <si>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</si>
  <si>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</si>
  <si>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</si>
  <si>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</si>
  <si>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</si>
  <si>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</si>
  <si>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</si>
  <si>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</si>
  <si>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</si>
  <si>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</si>
  <si>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</si>
  <si>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</si>
  <si>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</si>
  <si>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</si>
  <si>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</si>
  <si>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</si>
  <si>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</si>
  <si>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</si>
  <si>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</si>
  <si>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</si>
  <si>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</si>
  <si>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</si>
  <si>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</si>
  <si>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</si>
  <si>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</si>
  <si>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</si>
  <si>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</si>
  <si>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</si>
  <si>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</si>
  <si>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</si>
  <si>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</si>
  <si>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</si>
  <si>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</si>
  <si>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</si>
  <si>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</si>
  <si>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</si>
  <si>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</si>
  <si>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</si>
  <si>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</si>
  <si>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</si>
  <si>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</si>
  <si>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</si>
  <si>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</si>
  <si>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</si>
  <si>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</si>
  <si>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</si>
  <si>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</si>
  <si>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</si>
  <si>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</si>
  <si>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</si>
  <si>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</si>
  <si>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</si>
  <si>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</si>
  <si>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</si>
  <si>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</si>
  <si>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</si>
  <si>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</si>
  <si>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</si>
  <si>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</si>
  <si>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</si>
  <si>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</si>
  <si>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</si>
  <si>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</si>
  <si>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</si>
  <si>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</si>
  <si>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</si>
  <si>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</si>
  <si>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</si>
  <si>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</si>
  <si>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</si>
  <si>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</si>
  <si>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</si>
  <si>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</si>
  <si>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</si>
  <si>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</si>
  <si>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</si>
  <si>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</si>
  <si>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</si>
  <si>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</si>
  <si>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</si>
  <si>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</si>
  <si>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</si>
  <si>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</si>
  <si>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</si>
  <si>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</si>
  <si>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</si>
  <si>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</si>
  <si>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</si>
  <si>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</si>
  <si>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</si>
  <si>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</si>
  <si>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</si>
  <si>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</si>
  <si>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</si>
  <si>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</si>
  <si>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</si>
  <si>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</si>
  <si>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</si>
  <si>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</si>
  <si>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</si>
  <si>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</si>
  <si>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</si>
  <si>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</si>
  <si>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</si>
  <si>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</si>
  <si>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</si>
  <si>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</si>
  <si>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</si>
  <si>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</si>
  <si>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</si>
  <si>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</si>
  <si>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</si>
  <si>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</si>
  <si>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</si>
  <si>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</si>
  <si>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</si>
  <si>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</si>
  <si>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</si>
  <si>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</si>
  <si>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</si>
  <si>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</si>
  <si>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</si>
  <si>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</si>
  <si>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</si>
  <si>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</si>
  <si>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</si>
  <si>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</si>
  <si>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</si>
  <si>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</si>
  <si>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</si>
  <si>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</si>
  <si>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</si>
  <si>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</si>
  <si>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</si>
  <si>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</si>
  <si>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</si>
  <si>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</si>
  <si>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</si>
  <si>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</si>
  <si>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</si>
  <si>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</si>
  <si>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</si>
  <si>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</si>
  <si>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</si>
  <si>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</si>
  <si>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</si>
  <si>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</si>
  <si>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</si>
  <si>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</si>
  <si>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</si>
  <si>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</si>
  <si>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</si>
  <si>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</si>
  <si>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</si>
  <si>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</si>
  <si>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</si>
  <si>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</si>
  <si>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</si>
  <si>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</si>
  <si>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</si>
  <si>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</si>
  <si>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</si>
  <si>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</si>
  <si>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</si>
  <si>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</si>
  <si>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</si>
  <si>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</si>
  <si>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</si>
  <si>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</si>
  <si>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</si>
  <si>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</si>
  <si>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</si>
  <si>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</si>
  <si>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</si>
  <si>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</si>
  <si>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</si>
  <si>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</si>
  <si>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</si>
  <si>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</si>
  <si>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</si>
  <si>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</si>
  <si>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</si>
  <si>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</si>
  <si>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</si>
  <si>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</si>
  <si>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</si>
  <si>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</si>
  <si>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</si>
  <si>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</si>
  <si>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</si>
  <si>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</si>
  <si>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</si>
  <si>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</si>
  <si>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</si>
  <si>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</si>
  <si>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</si>
  <si>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</si>
  <si>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</si>
  <si>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</si>
  <si>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</si>
  <si>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</si>
  <si>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</si>
  <si>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</si>
  <si>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</si>
  <si>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</si>
  <si>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</si>
  <si>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</si>
  <si>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</si>
  <si>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</si>
  <si>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</si>
  <si>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</si>
  <si>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</si>
  <si>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</si>
  <si>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</si>
  <si>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</si>
  <si>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</si>
  <si>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</si>
  <si>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</si>
  <si>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</si>
  <si>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</si>
  <si>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</si>
  <si>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</si>
  <si>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</si>
  <si>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</si>
  <si>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</si>
  <si>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</si>
  <si>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</si>
  <si>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</si>
  <si>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</si>
  <si>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</si>
  <si>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</si>
  <si>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</si>
  <si>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</si>
  <si>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</si>
  <si>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</si>
  <si>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</si>
  <si>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</si>
  <si>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</si>
  <si>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</si>
  <si>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</si>
  <si>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</si>
  <si>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</si>
  <si>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</si>
  <si>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</si>
  <si>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</si>
  <si>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</si>
  <si>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</si>
  <si>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</si>
  <si>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</si>
  <si>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</si>
  <si>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</si>
  <si>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</si>
  <si>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</si>
  <si>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</si>
  <si>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</si>
  <si>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</si>
  <si>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</si>
  <si>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</si>
  <si>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</si>
  <si>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</si>
  <si>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</si>
  <si>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</si>
  <si>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</si>
  <si>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</si>
  <si>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</si>
  <si>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</si>
  <si>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</si>
  <si>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</si>
  <si>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</si>
  <si>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</si>
  <si>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</si>
  <si>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</si>
  <si>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</si>
  <si>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</si>
  <si>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</si>
  <si>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</si>
  <si>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</si>
  <si>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</si>
  <si>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</si>
  <si>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</si>
  <si>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</si>
  <si>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</si>
  <si>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</si>
  <si>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</si>
  <si>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</si>
  <si>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</si>
  <si>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</si>
  <si>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</si>
  <si>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</si>
  <si>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</si>
  <si>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</si>
  <si>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</si>
  <si>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</si>
  <si>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</si>
  <si>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</si>
  <si>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</si>
  <si>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</si>
  <si>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</si>
  <si>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</si>
  <si>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</si>
  <si>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</si>
  <si>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</si>
  <si>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</si>
  <si>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</si>
  <si>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</si>
  <si>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</si>
  <si>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</si>
  <si>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</si>
  <si>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</si>
  <si>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</si>
  <si>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</si>
  <si>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</si>
  <si>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</si>
  <si>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</si>
  <si>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</si>
  <si>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</si>
  <si>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</si>
  <si>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</si>
  <si>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</si>
  <si>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</si>
  <si>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</si>
  <si>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</si>
  <si>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</si>
  <si>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</si>
  <si>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</si>
  <si>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</si>
  <si>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</si>
  <si>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</si>
  <si>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</si>
  <si>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</si>
  <si>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</si>
  <si>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</si>
  <si>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</si>
  <si>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</si>
  <si>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</si>
  <si>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</si>
  <si>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</si>
  <si>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</si>
  <si>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</si>
  <si>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</si>
  <si>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</si>
  <si>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</si>
  <si>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</si>
  <si>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</si>
  <si>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</si>
  <si>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</si>
  <si>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</si>
  <si>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</si>
  <si>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</si>
  <si>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</si>
  <si>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</si>
  <si>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</si>
  <si>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</si>
  <si>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</si>
  <si>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</si>
  <si>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</si>
  <si>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</si>
  <si>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</si>
  <si>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</si>
  <si>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</si>
  <si>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</si>
  <si>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</si>
  <si>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</si>
  <si>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</si>
  <si>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</si>
  <si>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</si>
  <si>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</si>
  <si>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</si>
  <si>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</si>
  <si>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</si>
  <si>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</si>
  <si>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</si>
  <si>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</si>
  <si>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</si>
  <si>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</si>
  <si>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</si>
  <si>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</si>
  <si>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</si>
  <si>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</si>
  <si>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</si>
  <si>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</si>
  <si>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</si>
  <si>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</si>
  <si>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</si>
  <si>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</si>
  <si>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</si>
  <si>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</si>
  <si>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</si>
  <si>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</si>
  <si>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</si>
  <si>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</si>
  <si>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</si>
  <si>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</si>
  <si>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</si>
  <si>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</si>
  <si>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</si>
  <si>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</si>
  <si>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</si>
  <si>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</si>
  <si>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</si>
  <si>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</si>
  <si>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</si>
  <si>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</si>
  <si>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</si>
  <si>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</si>
  <si>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</si>
  <si>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</si>
  <si>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</si>
  <si>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</si>
  <si>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</si>
  <si>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</si>
  <si>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</si>
  <si>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</si>
  <si>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</si>
  <si>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</si>
  <si>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</si>
  <si>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</si>
  <si>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</si>
  <si>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</si>
  <si>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</si>
  <si>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</si>
  <si>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</si>
  <si>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</si>
  <si>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</si>
  <si>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</si>
  <si>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</si>
  <si>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</si>
  <si>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</si>
  <si>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</si>
  <si>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</si>
  <si>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</si>
  <si>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</si>
  <si>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</si>
  <si>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</si>
  <si>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</si>
  <si>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</si>
  <si>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</si>
  <si>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</si>
  <si>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</si>
  <si>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</si>
  <si>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</si>
  <si>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</si>
  <si>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</si>
  <si>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</si>
  <si>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</si>
  <si>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</si>
  <si>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</si>
  <si>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</si>
  <si>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</si>
  <si>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</si>
  <si>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</si>
  <si>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</si>
  <si>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</si>
  <si>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</si>
  <si>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</si>
  <si>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</si>
  <si>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</si>
  <si>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</si>
  <si>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</si>
  <si>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</si>
  <si>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</si>
  <si>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</si>
  <si>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</si>
  <si>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</si>
  <si>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</si>
  <si>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</si>
  <si>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</si>
  <si>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</si>
  <si>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</si>
  <si>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</si>
  <si>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</si>
  <si>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</si>
  <si>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</si>
  <si>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</si>
  <si>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</si>
  <si>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</si>
  <si>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</si>
  <si>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</si>
  <si>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</si>
  <si>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</si>
  <si>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</si>
  <si>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</si>
  <si>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</si>
  <si>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</si>
  <si>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</si>
  <si>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</si>
  <si>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</si>
  <si>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</si>
  <si>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</si>
  <si>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</si>
  <si>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</si>
  <si>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</si>
  <si>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</si>
  <si>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</si>
  <si>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</si>
  <si>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</si>
  <si>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</si>
  <si>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</si>
  <si>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</si>
  <si>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</si>
  <si>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</si>
  <si>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</si>
  <si>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</si>
  <si>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</si>
  <si>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</si>
  <si>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</si>
  <si>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</si>
  <si>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</si>
  <si>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</si>
  <si>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</si>
  <si>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</si>
  <si>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</si>
  <si>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</si>
  <si>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</si>
  <si>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</si>
  <si>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</si>
  <si>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</si>
  <si>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</si>
  <si>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</si>
  <si>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</si>
  <si>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</si>
  <si>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</si>
  <si>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</si>
  <si>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</si>
  <si>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</si>
  <si>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</si>
  <si>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</si>
  <si>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</si>
  <si>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</si>
  <si>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</si>
  <si>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</si>
  <si>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</si>
  <si>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</si>
  <si>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</si>
  <si>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</si>
  <si>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</si>
  <si>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</si>
  <si>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</si>
  <si>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</si>
  <si>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</si>
  <si>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</si>
  <si>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</si>
  <si>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</si>
  <si>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</si>
  <si>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</si>
  <si>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</si>
  <si>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</si>
  <si>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</si>
  <si>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</si>
  <si>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</si>
  <si>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</si>
  <si>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</si>
  <si>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</si>
  <si>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</si>
  <si>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</si>
  <si>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</si>
  <si>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</si>
  <si>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</si>
  <si>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</si>
  <si>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</si>
  <si>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</si>
  <si>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</si>
  <si>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</si>
  <si>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</si>
  <si>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</si>
  <si>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</si>
  <si>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</si>
  <si>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</si>
  <si>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</si>
  <si>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</si>
  <si>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</si>
  <si>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</si>
  <si>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</si>
  <si>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</si>
  <si>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</si>
  <si>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</si>
  <si>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</si>
  <si>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</si>
  <si>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</si>
  <si>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</si>
  <si>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</si>
  <si>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</si>
  <si>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</si>
  <si>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</si>
  <si>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</si>
  <si>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</si>
  <si>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</si>
  <si>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</si>
  <si>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</si>
  <si>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</si>
  <si>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</si>
  <si>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</si>
  <si>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</si>
  <si>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</si>
  <si>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</si>
  <si>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</si>
  <si>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</si>
  <si>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</si>
  <si>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</si>
  <si>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</si>
  <si>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</si>
  <si>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</si>
  <si>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</si>
  <si>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</si>
  <si>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</si>
  <si>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</si>
  <si>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</si>
  <si>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</si>
  <si>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</si>
  <si>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</si>
  <si>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</si>
  <si>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</si>
  <si>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</si>
  <si>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</si>
  <si>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</si>
  <si>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</si>
  <si>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</si>
  <si>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</si>
  <si>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</si>
  <si>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</si>
  <si>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</si>
  <si>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</si>
  <si>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</si>
  <si>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</si>
  <si>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</si>
  <si>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</si>
  <si>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</si>
  <si>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</si>
  <si>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</si>
  <si>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</si>
  <si>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</si>
  <si>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</si>
  <si>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</si>
  <si>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</si>
  <si>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</si>
  <si>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</si>
  <si>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</si>
  <si>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</si>
  <si>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</si>
  <si>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</si>
  <si>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</si>
  <si>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</si>
  <si>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</si>
  <si>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</si>
  <si>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</si>
  <si>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</si>
  <si>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</si>
  <si>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</si>
  <si>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</si>
  <si>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</si>
  <si>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</si>
  <si>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</si>
  <si>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</si>
  <si>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</si>
  <si>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</si>
  <si>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</si>
  <si>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</si>
  <si>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</si>
  <si>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</si>
  <si>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</si>
  <si>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</si>
  <si>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</si>
  <si>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</si>
  <si>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</si>
  <si>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</si>
  <si>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</si>
  <si>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</si>
  <si>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</si>
  <si>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</si>
  <si>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</si>
  <si>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</si>
  <si>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</si>
  <si>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</si>
  <si>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</si>
  <si>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</si>
  <si>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</si>
  <si>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</si>
  <si>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</si>
  <si>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</si>
  <si>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</si>
  <si>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</si>
  <si>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</si>
  <si>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</si>
  <si>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</si>
  <si>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</si>
  <si>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</si>
  <si>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</si>
  <si>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</si>
  <si>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</si>
  <si>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</si>
  <si>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</si>
  <si>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</si>
  <si>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</si>
  <si>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</si>
  <si>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</si>
  <si>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</si>
  <si>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</si>
  <si>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</si>
  <si>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</si>
  <si>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</si>
  <si>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</si>
  <si>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</si>
  <si>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</si>
  <si>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</si>
  <si>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</si>
  <si>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</si>
  <si>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</si>
  <si>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</si>
  <si>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</si>
  <si>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</si>
  <si>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</si>
  <si>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</si>
  <si>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</si>
  <si>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</si>
  <si>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</si>
  <si>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</si>
  <si>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</si>
  <si>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</si>
  <si>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</si>
  <si>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</si>
  <si>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</si>
  <si>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</si>
  <si>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</si>
  <si>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</si>
  <si>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</si>
  <si>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</si>
  <si>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</si>
  <si>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</si>
  <si>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</si>
  <si>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</si>
  <si>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</si>
  <si>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</si>
  <si>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</si>
  <si>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</si>
  <si>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</si>
  <si>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</si>
  <si>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</si>
  <si>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</si>
  <si>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</si>
  <si>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</si>
  <si>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</si>
  <si>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</si>
  <si>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</si>
  <si>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</si>
  <si>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</si>
  <si>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</si>
  <si>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</si>
  <si>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</si>
  <si>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</si>
  <si>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</si>
  <si>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</si>
  <si>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</si>
  <si>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</si>
  <si>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</si>
  <si>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</si>
  <si>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</si>
  <si>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</si>
  <si>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</si>
  <si>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</si>
  <si>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</si>
  <si>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</si>
  <si>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</si>
  <si>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</si>
  <si>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</si>
  <si>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</si>
  <si>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</si>
  <si>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</si>
  <si>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</si>
  <si>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</si>
  <si>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</si>
  <si>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</si>
  <si>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</si>
  <si>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</si>
  <si>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</si>
  <si>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</si>
  <si>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</si>
  <si>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</si>
  <si>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</si>
  <si>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</si>
  <si>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</si>
  <si>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</si>
  <si>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</si>
  <si>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</si>
  <si>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</si>
  <si>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</si>
  <si>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</si>
  <si>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</si>
  <si>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</si>
  <si>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</si>
  <si>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</si>
  <si>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</si>
  <si>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</si>
  <si>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</si>
  <si>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</si>
  <si>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</si>
  <si>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</si>
  <si>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</si>
  <si>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</si>
  <si>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</si>
  <si>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</si>
  <si>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</si>
  <si>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</si>
  <si>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</si>
  <si>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</si>
  <si>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</si>
  <si>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</si>
  <si>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</si>
  <si>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</si>
  <si>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</si>
  <si>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</si>
  <si>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</si>
  <si>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</si>
  <si>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</si>
  <si>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</si>
  <si>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</si>
  <si>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</si>
  <si>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</si>
  <si>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</si>
  <si>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</si>
  <si>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</si>
  <si>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</si>
  <si>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</si>
  <si>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</si>
  <si>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</si>
  <si>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</si>
  <si>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</si>
  <si>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</si>
  <si>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</si>
  <si>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</si>
  <si>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</si>
  <si>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</si>
  <si>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</si>
  <si>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</si>
  <si>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</si>
  <si>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</si>
  <si>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</si>
  <si>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</si>
  <si>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</si>
  <si>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</si>
  <si>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</si>
  <si>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</si>
  <si>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</si>
  <si>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</si>
  <si>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</si>
  <si>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</si>
  <si>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</si>
  <si>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</si>
  <si>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</si>
  <si>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</si>
  <si>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</si>
  <si>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</si>
  <si>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</si>
  <si>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</si>
  <si>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</si>
  <si>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</si>
  <si>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</si>
  <si>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</si>
  <si>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</si>
  <si>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</si>
  <si>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</si>
  <si>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</si>
  <si>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</si>
  <si>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</si>
  <si>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</si>
  <si>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</si>
  <si>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</si>
  <si>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</si>
  <si>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</si>
  <si>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</si>
  <si>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</si>
  <si>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</si>
  <si>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</si>
  <si>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</si>
  <si>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</si>
  <si>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</si>
  <si>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</si>
  <si>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</si>
  <si>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</si>
  <si>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</si>
  <si>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</si>
  <si>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</si>
  <si>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</si>
  <si>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</si>
  <si>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</si>
  <si>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</si>
  <si>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</si>
  <si>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</si>
  <si>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</si>
  <si>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</si>
  <si>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</si>
  <si>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</si>
  <si>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</si>
  <si>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</si>
  <si>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</si>
  <si>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</si>
  <si>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</si>
  <si>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</si>
  <si>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</si>
  <si>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</si>
  <si>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</si>
  <si>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</si>
  <si>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</si>
  <si>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</si>
  <si>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</si>
  <si>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</si>
  <si>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</si>
  <si>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</si>
  <si>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</si>
  <si>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</si>
  <si>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</si>
  <si>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</si>
  <si>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</si>
  <si>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</si>
  <si>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</si>
  <si>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</si>
  <si>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</si>
  <si>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</si>
  <si>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</si>
  <si>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</si>
  <si>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</si>
  <si>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</si>
  <si>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</si>
  <si>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</si>
  <si>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</si>
  <si>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</si>
  <si>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</si>
  <si>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</si>
  <si>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</si>
  <si>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</si>
  <si>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</si>
  <si>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</si>
  <si>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</si>
  <si>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</si>
  <si>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</si>
  <si>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</si>
  <si>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</si>
  <si>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</si>
  <si>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</si>
  <si>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</si>
  <si>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</si>
  <si>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</si>
  <si>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</si>
  <si>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</si>
  <si>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</si>
  <si>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</si>
  <si>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</si>
  <si>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</si>
  <si>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</si>
  <si>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</si>
  <si>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</si>
  <si>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</si>
  <si>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</si>
  <si>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</si>
  <si>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</si>
  <si>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</si>
  <si>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</si>
  <si>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</si>
  <si>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</si>
  <si>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</si>
  <si>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</si>
  <si>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</si>
  <si>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</si>
  <si>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</si>
  <si>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</si>
  <si>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</si>
  <si>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</si>
  <si>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</si>
  <si>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</si>
  <si>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</si>
  <si>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</si>
  <si>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</si>
  <si>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</si>
  <si>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</si>
  <si>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</si>
  <si>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</si>
  <si>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</si>
  <si>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</si>
  <si>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</si>
  <si>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</si>
  <si>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</si>
  <si>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</si>
  <si>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</si>
  <si>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</si>
  <si>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</si>
  <si>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</si>
  <si>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</si>
  <si>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</si>
  <si>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</si>
  <si>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</si>
  <si>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</si>
  <si>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</si>
  <si>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</si>
  <si>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</si>
  <si>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</si>
  <si>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</si>
  <si>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</si>
  <si>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</si>
  <si>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</si>
  <si>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</si>
  <si>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</si>
  <si>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</si>
  <si>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</si>
  <si>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</si>
  <si>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</si>
  <si>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</si>
  <si>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</si>
  <si>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</si>
  <si>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</si>
  <si>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</si>
  <si>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</si>
  <si>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</si>
  <si>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</si>
  <si>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</si>
  <si>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</si>
  <si>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</si>
  <si>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</si>
  <si>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</si>
  <si>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</si>
  <si>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</si>
  <si>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</si>
  <si>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</si>
  <si>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</si>
  <si>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</si>
  <si>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</si>
  <si>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</si>
  <si>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</si>
  <si>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</si>
  <si>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</si>
  <si>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</si>
  <si>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</si>
  <si>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</si>
  <si>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</si>
  <si>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</si>
  <si>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</si>
  <si>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</si>
  <si>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</si>
  <si>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</si>
  <si>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</si>
  <si>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</si>
  <si>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</si>
  <si>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</si>
  <si>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</si>
  <si>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</si>
  <si>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</si>
  <si>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</si>
  <si>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</si>
  <si>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</si>
  <si>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</si>
  <si>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</si>
  <si>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</si>
  <si>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</si>
  <si>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</si>
  <si>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</si>
  <si>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</si>
  <si>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</si>
  <si>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</si>
  <si>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</si>
  <si>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</si>
  <si>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</si>
  <si>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</si>
  <si>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</si>
  <si>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</si>
  <si>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</si>
  <si>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</si>
  <si>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</si>
  <si>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</si>
  <si>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</si>
  <si>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</si>
  <si>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</si>
  <si>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</si>
  <si>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</si>
  <si>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</si>
  <si>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</si>
  <si>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</si>
  <si>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</si>
  <si>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</si>
  <si>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</si>
  <si>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</si>
  <si>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</si>
  <si>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</si>
  <si>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</si>
  <si>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</si>
  <si>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</si>
  <si>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</si>
  <si>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</si>
  <si>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</si>
  <si>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</si>
  <si>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</si>
  <si>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</si>
  <si>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</si>
  <si>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</si>
  <si>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</si>
  <si>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</si>
  <si>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</si>
  <si>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</si>
  <si>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</si>
  <si>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</si>
  <si>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</si>
  <si>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</si>
  <si>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</si>
  <si>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</si>
  <si>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</si>
  <si>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</si>
  <si>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</si>
  <si>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</si>
  <si>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</si>
  <si>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</si>
  <si>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</si>
  <si>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</si>
  <si>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</si>
  <si>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</si>
  <si>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</si>
  <si>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</si>
  <si>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</si>
  <si>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</si>
  <si>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</si>
  <si>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</si>
  <si>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</si>
  <si>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</si>
  <si>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</si>
  <si>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</si>
  <si>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</si>
  <si>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</si>
  <si>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</si>
  <si>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</si>
  <si>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</si>
  <si>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</si>
  <si>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</si>
  <si>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</si>
  <si>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</si>
  <si>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</si>
  <si>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</si>
  <si>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</si>
  <si>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</si>
  <si>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</si>
  <si>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</si>
  <si>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</si>
  <si>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</si>
  <si>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</si>
  <si>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</si>
  <si>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</si>
  <si>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</si>
  <si>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</si>
  <si>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</si>
  <si>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</si>
  <si>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</si>
  <si>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</si>
  <si>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</si>
  <si>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</si>
  <si>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</si>
  <si>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</si>
  <si>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</si>
  <si>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</si>
  <si>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</si>
  <si>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</si>
  <si>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</si>
  <si>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</si>
  <si>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</si>
  <si>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</si>
  <si>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</si>
  <si>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</si>
  <si>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</si>
  <si>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</si>
  <si>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</si>
  <si>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</si>
  <si>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</si>
  <si>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</si>
  <si>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</si>
  <si>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</si>
  <si>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</si>
  <si>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</si>
  <si>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</si>
  <si>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</si>
  <si>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</si>
  <si>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</si>
  <si>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</si>
  <si>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</si>
  <si>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</si>
  <si>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</si>
  <si>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</si>
  <si>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</si>
  <si>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</si>
  <si>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</si>
  <si>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</si>
  <si>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</si>
  <si>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</si>
  <si>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</si>
  <si>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</si>
  <si>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</si>
  <si>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</si>
  <si>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</si>
  <si>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</si>
  <si>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</si>
  <si>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</si>
  <si>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</si>
  <si>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</si>
  <si>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</si>
  <si>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</si>
  <si>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</si>
  <si>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</si>
  <si>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</si>
  <si>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</si>
  <si>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</si>
  <si>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</si>
  <si>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</si>
  <si>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</si>
  <si>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</si>
  <si>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</si>
  <si>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</si>
  <si>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</si>
  <si>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</si>
  <si>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</si>
  <si>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</si>
  <si>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</si>
  <si>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</si>
  <si>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</si>
  <si>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</si>
  <si>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</si>
  <si>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</si>
  <si>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</si>
  <si>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</si>
  <si>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</si>
  <si>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</si>
  <si>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</si>
  <si>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</si>
  <si>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</si>
  <si>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</si>
  <si>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</si>
  <si>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</si>
  <si>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</si>
  <si>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</si>
  <si>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</si>
  <si>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</si>
  <si>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</si>
  <si>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</si>
  <si>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</si>
  <si>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</si>
  <si>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</si>
  <si>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</si>
  <si>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</si>
  <si>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</si>
  <si>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</si>
  <si>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</si>
  <si>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</si>
  <si>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</si>
  <si>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</si>
  <si>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</si>
  <si>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</si>
  <si>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</si>
  <si>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</si>
  <si>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</si>
  <si>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</si>
  <si>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</si>
  <si>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</si>
  <si>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</si>
  <si>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</si>
  <si>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</si>
  <si>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</si>
  <si>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</si>
  <si>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</si>
  <si>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</si>
  <si>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</si>
  <si>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</si>
  <si>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</si>
  <si>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</si>
  <si>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</si>
  <si>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</si>
  <si>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</si>
  <si>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</si>
  <si>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</si>
  <si>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</si>
  <si>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</si>
  <si>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</si>
  <si>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</si>
  <si>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</si>
  <si>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</si>
  <si>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</si>
  <si>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</si>
  <si>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</si>
  <si>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</si>
  <si>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</si>
  <si>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</si>
  <si>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</si>
  <si>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</si>
  <si>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</si>
  <si>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</si>
  <si>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</si>
  <si>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</si>
  <si>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</si>
  <si>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</si>
  <si>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</si>
  <si>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</si>
  <si>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</si>
  <si>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</si>
  <si>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</si>
  <si>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</si>
  <si>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</si>
  <si>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</si>
  <si>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</si>
  <si>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</si>
  <si>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</si>
  <si>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</si>
  <si>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</si>
  <si>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</si>
  <si>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</si>
  <si>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</si>
  <si>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</si>
  <si>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</si>
  <si>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</si>
  <si>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</si>
  <si>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</si>
  <si>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</si>
  <si>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</si>
  <si>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</si>
  <si>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</si>
  <si>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</si>
  <si>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</si>
  <si>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</si>
  <si>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</si>
  <si>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</si>
  <si>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</si>
  <si>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</si>
  <si>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</si>
  <si>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</si>
  <si>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</si>
  <si>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</si>
  <si>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</si>
  <si>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</si>
  <si>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</si>
  <si>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</si>
  <si>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</si>
  <si>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</si>
  <si>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</si>
  <si>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</si>
  <si>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</si>
  <si>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</si>
  <si>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</si>
  <si>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</si>
  <si>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</si>
  <si>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</si>
  <si>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</si>
  <si>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</si>
  <si>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</si>
  <si>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</si>
  <si>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</si>
  <si>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</si>
  <si>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</si>
  <si>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</si>
  <si>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</si>
  <si>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</si>
  <si>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</si>
  <si>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</si>
  <si>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</si>
  <si>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</si>
  <si>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</si>
  <si>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</si>
  <si>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</si>
  <si>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</si>
  <si>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</si>
  <si>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</si>
  <si>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</si>
  <si>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</si>
  <si>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</si>
  <si>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</si>
  <si>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</si>
  <si>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</si>
  <si>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</si>
  <si>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</si>
  <si>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</si>
  <si>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</si>
  <si>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</si>
  <si>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</si>
  <si>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</si>
  <si>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</si>
  <si>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</si>
  <si>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</si>
  <si>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</si>
  <si>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</si>
  <si>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</si>
  <si>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</si>
  <si>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</si>
  <si>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</si>
  <si>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</si>
  <si>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</si>
  <si>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</si>
  <si>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</si>
  <si>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</si>
  <si>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</si>
  <si>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</si>
  <si>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</si>
  <si>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</si>
  <si>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</si>
  <si>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</si>
  <si>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</si>
  <si>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</si>
  <si>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</si>
  <si>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</si>
  <si>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</si>
  <si>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</si>
  <si>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</si>
  <si>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</si>
  <si>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</si>
  <si>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</si>
  <si>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</si>
  <si>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</si>
  <si>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</si>
  <si>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</si>
  <si>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</si>
  <si>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</si>
  <si>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</si>
  <si>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</si>
  <si>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</si>
  <si>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</si>
  <si>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</si>
  <si>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</si>
  <si>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</si>
  <si>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</si>
  <si>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</si>
  <si>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</si>
  <si>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</si>
  <si>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</si>
  <si>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</si>
  <si>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</si>
  <si>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</si>
  <si>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</si>
  <si>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</si>
  <si>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</si>
  <si>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</si>
  <si>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</si>
  <si>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</si>
  <si>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</si>
  <si>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</si>
  <si>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</si>
  <si>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</si>
  <si>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</si>
  <si>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</si>
  <si>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</si>
  <si>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</si>
  <si>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</si>
  <si>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</si>
  <si>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</si>
  <si>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</si>
  <si>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</si>
  <si>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</si>
  <si>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</si>
  <si>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</si>
  <si>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</si>
  <si>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</si>
  <si>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</si>
  <si>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</si>
  <si>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</si>
  <si>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</si>
  <si>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</si>
  <si>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</si>
  <si>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</si>
  <si>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</si>
  <si>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</si>
  <si>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</si>
  <si>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</si>
  <si>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</si>
  <si>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</si>
  <si>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</si>
  <si>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</si>
  <si>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</si>
  <si>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</si>
  <si>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</si>
  <si>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</si>
  <si>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</si>
  <si>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</si>
  <si>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</si>
  <si>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</si>
  <si>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</si>
  <si>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</si>
  <si>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</si>
  <si>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</si>
  <si>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</si>
  <si>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</si>
  <si>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</si>
  <si>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</si>
  <si>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</si>
  <si>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</si>
  <si>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</si>
  <si>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</si>
  <si>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</si>
  <si>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</si>
  <si>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</si>
  <si>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</si>
  <si>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</si>
  <si>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</si>
  <si>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</si>
  <si>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</si>
  <si>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</si>
  <si>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</si>
  <si>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</si>
  <si>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</si>
  <si>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</si>
  <si>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</si>
  <si>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</si>
  <si>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</si>
  <si>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</si>
  <si>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</si>
  <si>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</si>
  <si>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</si>
  <si>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</si>
  <si>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</si>
  <si>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</si>
  <si>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</si>
  <si>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</si>
  <si>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</si>
  <si>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</si>
  <si>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</si>
  <si>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</si>
  <si>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</si>
  <si>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</si>
  <si>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</si>
  <si>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</si>
  <si>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</si>
  <si>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</si>
  <si>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</si>
  <si>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</si>
  <si>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</si>
  <si>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</si>
  <si>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</si>
  <si>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</si>
  <si>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</si>
  <si>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</si>
  <si>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</si>
  <si>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</si>
  <si>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</si>
  <si>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</si>
  <si>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</si>
  <si>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</si>
  <si>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</si>
  <si>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</si>
  <si>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</si>
  <si>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</si>
  <si>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</si>
  <si>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</si>
  <si>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</si>
  <si>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</si>
  <si>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</si>
  <si>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</si>
  <si>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</si>
  <si>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</si>
  <si>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</si>
  <si>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</si>
  <si>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</si>
  <si>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</si>
  <si>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</si>
  <si>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</si>
  <si>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</si>
  <si>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</si>
  <si>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</si>
  <si>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</si>
  <si>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</si>
  <si>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</si>
  <si>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</si>
  <si>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</si>
  <si>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</si>
  <si>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</si>
  <si>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</si>
  <si>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</si>
  <si>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</si>
  <si>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</si>
  <si>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</si>
  <si>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</si>
  <si>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</si>
  <si>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</si>
  <si>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</si>
  <si>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</si>
  <si>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</si>
  <si>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</si>
  <si>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</si>
  <si>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</si>
  <si>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</si>
  <si>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</si>
  <si>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</si>
  <si>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</si>
  <si>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</si>
  <si>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</si>
  <si>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</si>
  <si>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</si>
  <si>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</si>
  <si>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</si>
  <si>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</si>
  <si>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</si>
  <si>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</si>
  <si>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</si>
  <si>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</si>
  <si>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</si>
  <si>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</si>
  <si>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</si>
  <si>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</si>
  <si>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</si>
  <si>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</si>
  <si>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</si>
  <si>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</si>
  <si>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</si>
  <si>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</si>
  <si>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</si>
  <si>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</si>
  <si>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</si>
  <si>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</si>
  <si>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</si>
  <si>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</si>
  <si>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</si>
  <si>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</si>
  <si>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</si>
  <si>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</si>
  <si>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</si>
  <si>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</si>
  <si>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</si>
  <si>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</si>
  <si>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</si>
  <si>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</si>
  <si>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</si>
  <si>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</si>
  <si>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</si>
  <si>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</si>
  <si>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</si>
  <si>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</si>
  <si>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</si>
  <si>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</si>
  <si>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</si>
  <si>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</si>
  <si>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</si>
  <si>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</si>
  <si>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</si>
  <si>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</si>
  <si>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</si>
  <si>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</si>
  <si>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</si>
  <si>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</si>
  <si>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</si>
  <si>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</si>
  <si>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</si>
  <si>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</si>
  <si>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</si>
  <si>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</si>
  <si>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</si>
  <si>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</si>
  <si>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</si>
  <si>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</si>
  <si>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</si>
  <si>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</si>
  <si>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</si>
  <si>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</si>
  <si>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</si>
  <si>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</si>
  <si>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</si>
  <si>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</si>
  <si>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</si>
  <si>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</si>
  <si>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</si>
  <si>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</si>
  <si>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</si>
  <si>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</si>
  <si>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</si>
  <si>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</si>
  <si>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</si>
  <si>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</si>
  <si>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</si>
  <si>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</si>
  <si>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</si>
  <si>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</si>
  <si>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</si>
  <si>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</si>
  <si>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</si>
  <si>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</si>
  <si>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</si>
  <si>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</si>
  <si>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</si>
  <si>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</si>
  <si>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</si>
  <si>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</si>
  <si>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</si>
  <si>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</si>
  <si>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</si>
  <si>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</si>
  <si>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</si>
  <si>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</si>
  <si>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</si>
  <si>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</si>
  <si>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</si>
  <si>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</si>
  <si>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</si>
  <si>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</si>
  <si>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</si>
  <si>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</si>
  <si>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</si>
  <si>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</si>
  <si>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</si>
  <si>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</si>
  <si>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</si>
  <si>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</si>
  <si>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</si>
  <si>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</si>
  <si>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</si>
  <si>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</si>
  <si>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</si>
  <si>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</si>
  <si>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</si>
  <si>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</si>
  <si>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</si>
  <si>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</si>
  <si>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</si>
  <si>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</si>
  <si>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</si>
  <si>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</si>
  <si>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</si>
  <si>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</si>
  <si>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</si>
  <si>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</si>
  <si>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</si>
  <si>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</si>
  <si>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</si>
  <si>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</si>
  <si>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</si>
  <si>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</si>
  <si>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</si>
  <si>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</si>
  <si>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</si>
  <si>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</si>
  <si>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</si>
  <si>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</si>
  <si>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</si>
  <si>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</si>
  <si>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</si>
  <si>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</si>
  <si>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</si>
  <si>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</si>
  <si>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</si>
  <si>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</si>
  <si>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</si>
  <si>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</si>
  <si>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</si>
  <si>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</si>
  <si>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</si>
  <si>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</si>
  <si>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</si>
  <si>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</si>
  <si>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</si>
  <si>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</si>
  <si>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</si>
  <si>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</si>
  <si>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</si>
  <si>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</si>
  <si>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</si>
  <si>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</si>
  <si>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</si>
  <si>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</si>
  <si>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</si>
  <si>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</si>
  <si>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</si>
  <si>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</si>
  <si>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</si>
  <si>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</si>
  <si>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</si>
  <si>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</si>
  <si>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</si>
  <si>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</si>
  <si>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</si>
  <si>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</si>
  <si>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</si>
  <si>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</si>
  <si>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</si>
  <si>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</si>
  <si>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</si>
  <si>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</si>
  <si>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</si>
  <si>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</si>
  <si>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</si>
  <si>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</si>
  <si>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</si>
  <si>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</si>
  <si>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</si>
  <si>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</si>
  <si>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</si>
  <si>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</si>
  <si>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</si>
  <si>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</si>
  <si>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</si>
  <si>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</si>
  <si>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</si>
  <si>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</si>
  <si>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</si>
  <si>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</si>
  <si>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</si>
  <si>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</si>
  <si>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</si>
  <si>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</si>
  <si>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</si>
  <si>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</si>
  <si>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</si>
  <si>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</si>
  <si>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</si>
  <si>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</si>
  <si>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</si>
  <si>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</si>
  <si>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</si>
  <si>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</si>
  <si>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</si>
  <si>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</si>
  <si>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</si>
  <si>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</si>
  <si>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</si>
  <si>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</si>
  <si>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</si>
  <si>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</si>
  <si>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</si>
  <si>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</si>
  <si>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</si>
  <si>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</si>
  <si>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</si>
  <si>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</si>
  <si>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</si>
  <si>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</si>
  <si>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</si>
  <si>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</si>
  <si>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</si>
  <si>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</si>
  <si>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</si>
  <si>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</si>
  <si>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</si>
  <si>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</si>
  <si>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</si>
  <si>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</si>
  <si>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</si>
  <si>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</si>
  <si>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</si>
  <si>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</si>
  <si>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</si>
  <si>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</si>
  <si>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</si>
  <si>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</si>
  <si>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</si>
  <si>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</si>
  <si>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</si>
  <si>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</si>
  <si>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</si>
  <si>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</si>
  <si>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</si>
  <si>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</si>
  <si>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</si>
  <si>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</si>
  <si>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</si>
  <si>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</si>
  <si>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</si>
  <si>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</si>
  <si>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</si>
  <si>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</si>
  <si>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</si>
  <si>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</si>
  <si>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</si>
  <si>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</si>
  <si>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</si>
  <si>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</si>
  <si>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</si>
  <si>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</si>
  <si>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</si>
  <si>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</si>
  <si>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</si>
  <si>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</si>
  <si>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</si>
  <si>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</si>
  <si>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</si>
  <si>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</si>
  <si>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</si>
  <si>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</si>
  <si>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</si>
  <si>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</si>
  <si>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</si>
  <si>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</si>
  <si>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</si>
  <si>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</si>
  <si>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</si>
  <si>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</si>
  <si>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</si>
  <si>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</si>
  <si>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</si>
  <si>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</si>
  <si>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</si>
  <si>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</si>
  <si>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</si>
  <si>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</si>
  <si>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</si>
  <si>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</si>
  <si>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</si>
  <si>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</si>
  <si>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</si>
  <si>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</si>
  <si>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</si>
  <si>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</si>
  <si>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</si>
  <si>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</si>
  <si>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</si>
  <si>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</si>
  <si>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</si>
  <si>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</si>
  <si>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</si>
  <si>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</si>
  <si>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</si>
  <si>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</si>
  <si>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</si>
  <si>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</si>
  <si>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</si>
  <si>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</si>
  <si>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</si>
  <si>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</si>
  <si>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</si>
  <si>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</si>
  <si>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</si>
  <si>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</si>
  <si>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</si>
  <si>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</si>
  <si>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</si>
  <si>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</si>
  <si>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</si>
  <si>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</si>
  <si>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</si>
  <si>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</si>
  <si>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</si>
  <si>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</si>
  <si>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</si>
  <si>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</si>
  <si>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</si>
  <si>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</si>
  <si>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</si>
  <si>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</si>
  <si>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</si>
  <si>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</si>
  <si>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</si>
  <si>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</si>
  <si>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</si>
  <si>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</si>
  <si>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</si>
  <si>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</si>
  <si>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</si>
  <si>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</si>
  <si>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</si>
  <si>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</si>
  <si>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</si>
  <si>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</si>
  <si>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</si>
  <si>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</si>
  <si>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</si>
  <si>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</si>
  <si>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</si>
  <si>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</si>
  <si>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</si>
  <si>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</si>
  <si>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</si>
  <si>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</si>
  <si>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</si>
  <si>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</si>
  <si>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</si>
  <si>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</si>
  <si>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</si>
  <si>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</si>
  <si>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</si>
  <si>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</si>
  <si>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</si>
  <si>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</si>
  <si>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</si>
  <si>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</si>
  <si>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</si>
  <si>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</si>
  <si>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</si>
  <si>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</si>
  <si>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</si>
  <si>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</si>
  <si>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</si>
  <si>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</si>
  <si>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</si>
  <si>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</si>
  <si>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</si>
  <si>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</si>
  <si>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</si>
  <si>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</si>
  <si>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</si>
  <si>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</si>
  <si>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</si>
  <si>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</si>
  <si>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</si>
  <si>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</si>
  <si>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</si>
  <si>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</si>
  <si>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</si>
  <si>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</si>
  <si>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</si>
  <si>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</si>
  <si>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</si>
  <si>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</si>
  <si>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</si>
  <si>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</si>
  <si>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</si>
  <si>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</si>
  <si>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</si>
  <si>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</si>
  <si>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</si>
  <si>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</si>
  <si>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</si>
  <si>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</si>
  <si>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</si>
  <si>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</si>
  <si>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</si>
  <si>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</si>
  <si>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</si>
  <si>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</si>
  <si>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</si>
  <si>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</si>
  <si>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</si>
  <si>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</si>
  <si>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</si>
  <si>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</si>
  <si>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</si>
  <si>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</si>
  <si>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</si>
  <si>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</si>
  <si>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</si>
  <si>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</si>
  <si>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</si>
  <si>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</si>
  <si>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</si>
  <si>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</si>
  <si>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</si>
  <si>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</si>
  <si>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</si>
  <si>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</si>
  <si>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</si>
  <si>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</si>
  <si>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</si>
  <si>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</si>
  <si>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</si>
  <si>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</si>
  <si>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</si>
  <si>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</si>
  <si>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</si>
  <si>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</si>
  <si>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</si>
  <si>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</si>
  <si>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</si>
  <si>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</si>
  <si>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</si>
  <si>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</si>
  <si>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</si>
  <si>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</si>
  <si>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</si>
  <si>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</si>
  <si>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</si>
  <si>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</si>
  <si>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</si>
  <si>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</si>
  <si>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</si>
  <si>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</si>
  <si>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</si>
  <si>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</si>
  <si>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</si>
  <si>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</si>
  <si>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</si>
  <si>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</si>
  <si>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</si>
  <si>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</si>
  <si>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</si>
  <si>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</si>
  <si>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</si>
  <si>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</si>
  <si>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</si>
  <si>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</si>
  <si>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</si>
  <si>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</si>
  <si>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</si>
  <si>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</si>
  <si>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</si>
  <si>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</si>
  <si>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</si>
  <si>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</si>
  <si>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</si>
  <si>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</si>
  <si>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</si>
  <si>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</si>
  <si>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</si>
  <si>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</si>
  <si>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</si>
  <si>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</si>
  <si>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</si>
  <si>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</si>
  <si>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</si>
  <si>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</si>
  <si>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</si>
  <si>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</si>
  <si>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</si>
  <si>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</si>
  <si>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</si>
  <si>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</si>
  <si>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</si>
  <si>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</si>
  <si>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</si>
  <si>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</si>
  <si>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</si>
  <si>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</si>
  <si>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</si>
  <si>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</si>
  <si>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</si>
  <si>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</si>
  <si>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</si>
  <si>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</si>
  <si>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</si>
  <si>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</si>
  <si>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</si>
  <si>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</si>
  <si>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</si>
  <si>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</si>
  <si>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</si>
  <si>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</si>
  <si>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</si>
  <si>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</si>
  <si>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</si>
  <si>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</si>
  <si>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</si>
  <si>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</si>
  <si>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</si>
  <si>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</si>
  <si>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</si>
  <si>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</si>
  <si>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</si>
  <si>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</si>
  <si>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</si>
  <si>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</si>
  <si>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</si>
  <si>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</si>
  <si>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</si>
  <si>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</si>
  <si>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</si>
  <si>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</si>
  <si>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</si>
  <si>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</si>
  <si>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</si>
  <si>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</si>
  <si>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</si>
  <si>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</si>
  <si>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</si>
  <si>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</si>
  <si>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</si>
  <si>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</si>
  <si>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</si>
  <si>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</si>
  <si>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</si>
  <si>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</si>
  <si>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</si>
  <si>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</si>
  <si>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</si>
  <si>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</si>
  <si>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</si>
  <si>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</si>
  <si>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</si>
  <si>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</si>
  <si>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</si>
  <si>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</si>
  <si>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</si>
  <si>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</si>
  <si>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</si>
  <si>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</si>
  <si>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</si>
  <si>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</si>
  <si>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</si>
  <si>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</si>
  <si>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</si>
  <si>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</si>
  <si>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</si>
  <si>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</si>
  <si>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</si>
  <si>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</si>
  <si>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</si>
  <si>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</si>
  <si>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</si>
  <si>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</si>
  <si>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</si>
  <si>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</si>
  <si>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</si>
  <si>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</si>
  <si>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</si>
  <si>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</si>
  <si>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</si>
  <si>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</si>
  <si>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</si>
  <si>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</si>
  <si>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</si>
  <si>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</si>
  <si>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</si>
  <si>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</si>
  <si>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</si>
  <si>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</si>
  <si>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</si>
  <si>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</si>
  <si>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</si>
  <si>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</si>
  <si>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</si>
  <si>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</si>
  <si>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</si>
  <si>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</si>
  <si>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</si>
  <si>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</si>
  <si>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</si>
  <si>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</si>
  <si>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</si>
  <si>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</si>
  <si>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</si>
  <si>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</si>
  <si>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</si>
  <si>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</si>
  <si>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</si>
  <si>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</si>
  <si>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</si>
  <si>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</si>
  <si>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</si>
  <si>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</si>
  <si>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</si>
  <si>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</si>
  <si>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</si>
  <si>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</si>
  <si>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</si>
  <si>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</si>
  <si>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</si>
  <si>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</si>
  <si>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</si>
  <si>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</si>
  <si>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</si>
  <si>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</si>
  <si>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</si>
  <si>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</si>
  <si>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</si>
  <si>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</si>
  <si>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</si>
  <si>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</si>
  <si>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</si>
  <si>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</si>
  <si>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</si>
  <si>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</si>
  <si>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</si>
  <si>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</si>
  <si>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</si>
  <si>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</si>
  <si>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</si>
  <si>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</si>
  <si>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</si>
  <si>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</si>
  <si>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</si>
  <si>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</si>
  <si>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</si>
  <si>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</si>
  <si>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</si>
  <si>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</si>
  <si>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</si>
  <si>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</si>
  <si>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</si>
  <si>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</si>
  <si>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</si>
  <si>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</si>
  <si>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</si>
  <si>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</si>
  <si>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</si>
  <si>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</si>
  <si>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</si>
  <si>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</si>
  <si>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</si>
  <si>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</si>
  <si>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</si>
  <si>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</si>
  <si>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</si>
  <si>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</si>
  <si>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</si>
  <si>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</si>
  <si>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</si>
  <si>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</si>
  <si>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</si>
  <si>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</si>
  <si>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</si>
  <si>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</si>
  <si>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</si>
  <si>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</si>
  <si>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</si>
  <si>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</si>
  <si>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</si>
  <si>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</si>
  <si>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</si>
  <si>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</si>
  <si>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</si>
  <si>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</si>
  <si>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</si>
  <si>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</si>
  <si>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</si>
  <si>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</si>
  <si>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</si>
  <si>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</si>
  <si>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</si>
  <si>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</si>
  <si>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</si>
  <si>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</si>
  <si>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</si>
  <si>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</si>
  <si>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</si>
  <si>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</si>
  <si>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</si>
  <si>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</si>
  <si>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</si>
  <si>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</si>
  <si>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</si>
  <si>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</si>
  <si>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</si>
  <si>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</si>
  <si>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</si>
  <si>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</si>
  <si>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</si>
  <si>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</si>
  <si>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</si>
  <si>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</si>
  <si>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</si>
  <si>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</si>
  <si>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</si>
  <si>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</si>
  <si>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</si>
  <si>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</si>
  <si>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</si>
  <si>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</si>
  <si>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</si>
  <si>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</si>
  <si>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</si>
  <si>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</si>
  <si>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</si>
  <si>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</si>
  <si>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</si>
  <si>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</si>
  <si>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</si>
  <si>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</si>
  <si>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</si>
  <si>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</si>
  <si>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</si>
  <si>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</si>
  <si>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</si>
  <si>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</si>
  <si>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</si>
  <si>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</si>
  <si>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</si>
  <si>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</si>
  <si>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</si>
  <si>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</si>
  <si>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</si>
  <si>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</si>
  <si>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</si>
  <si>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</si>
  <si>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</si>
  <si>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</si>
  <si>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</si>
  <si>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</si>
  <si>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</si>
  <si>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</si>
  <si>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</si>
  <si>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</si>
  <si>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</si>
  <si>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</si>
  <si>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</si>
  <si>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</si>
  <si>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</si>
  <si>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</si>
  <si>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</si>
  <si>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</si>
  <si>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</si>
  <si>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</si>
  <si>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</si>
  <si>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</si>
  <si>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</si>
  <si>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</si>
  <si>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</si>
  <si>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</si>
  <si>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</si>
  <si>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</si>
  <si>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</si>
  <si>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</si>
  <si>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</si>
  <si>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</si>
  <si>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</si>
  <si>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</si>
  <si>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</si>
  <si>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</si>
  <si>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</si>
  <si>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</si>
  <si>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</si>
  <si>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</si>
  <si>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</si>
  <si>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</si>
  <si>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</si>
  <si>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</si>
  <si>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</si>
  <si>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</si>
  <si>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</si>
  <si>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</si>
  <si>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</si>
  <si>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</si>
  <si>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</si>
  <si>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</si>
  <si>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</si>
  <si>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</si>
  <si>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</si>
  <si>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</si>
  <si>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</si>
  <si>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</si>
  <si>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</si>
  <si>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</si>
  <si>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</si>
  <si>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</si>
  <si>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</si>
  <si>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</si>
  <si>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</si>
  <si>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</si>
  <si>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</si>
  <si>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</si>
  <si>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</si>
  <si>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</si>
  <si>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</si>
  <si>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</si>
  <si>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</si>
  <si>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</si>
  <si>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</si>
  <si>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</si>
  <si>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</si>
  <si>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</si>
  <si>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</si>
  <si>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</si>
  <si>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</si>
  <si>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</si>
  <si>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</si>
  <si>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</si>
  <si>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</si>
  <si>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</si>
  <si>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</si>
  <si>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</si>
  <si>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</si>
  <si>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</si>
  <si>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</si>
  <si>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</si>
  <si>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</si>
  <si>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</si>
  <si>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</si>
  <si>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</si>
  <si>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</si>
  <si>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</si>
  <si>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</si>
  <si>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</si>
  <si>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</si>
  <si>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</si>
  <si>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</si>
  <si>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</si>
  <si>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</si>
  <si>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</si>
  <si>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</si>
  <si>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</si>
  <si>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</si>
  <si>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</si>
  <si>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</si>
  <si>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</si>
  <si>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</si>
  <si>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</si>
  <si>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</si>
  <si>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</si>
  <si>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</si>
  <si>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</si>
  <si>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</si>
  <si>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</si>
  <si>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</si>
  <si>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</si>
  <si>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</si>
  <si>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</si>
  <si>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</si>
  <si>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</si>
  <si>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</si>
  <si>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</si>
  <si>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</si>
  <si>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</si>
  <si>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</si>
  <si>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</si>
  <si>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</si>
  <si>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</si>
  <si>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</si>
  <si>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</si>
  <si>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</si>
  <si>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</si>
  <si>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</si>
  <si>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</si>
  <si>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</si>
  <si>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</si>
  <si>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</si>
  <si>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</si>
  <si>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</si>
  <si>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</si>
  <si>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</si>
  <si>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</si>
  <si>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</si>
  <si>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</si>
  <si>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</si>
  <si>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</si>
  <si>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</si>
  <si>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</si>
  <si>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</si>
  <si>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</si>
  <si>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</si>
  <si>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</si>
  <si>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</si>
  <si>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</si>
  <si>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</si>
  <si>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</si>
  <si>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</si>
  <si>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</si>
  <si>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</si>
  <si>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</si>
  <si>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</si>
  <si>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</si>
  <si>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</si>
  <si>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</si>
  <si>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</si>
  <si>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</si>
  <si>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</si>
  <si>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</si>
  <si>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</si>
  <si>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</si>
  <si>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</si>
  <si>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</si>
  <si>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</si>
  <si>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</si>
  <si>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</si>
  <si>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</si>
  <si>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</si>
  <si>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</si>
  <si>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</si>
  <si>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</si>
  <si>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</si>
  <si>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</si>
  <si>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</si>
  <si>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</si>
  <si>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</si>
  <si>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</si>
  <si>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</si>
  <si>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</si>
  <si>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</si>
  <si>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</si>
  <si>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</si>
  <si>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</si>
  <si>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</si>
  <si>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</si>
  <si>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</si>
  <si>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</si>
  <si>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</si>
  <si>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</si>
  <si>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</si>
  <si>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</si>
  <si>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</si>
  <si>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</si>
  <si>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</si>
  <si>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</si>
  <si>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</si>
  <si>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</si>
  <si>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</si>
  <si>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</si>
  <si>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</si>
  <si>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</si>
  <si>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</si>
  <si>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</si>
  <si>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</si>
  <si>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</si>
  <si>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</si>
  <si>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</si>
  <si>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</si>
  <si>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</si>
  <si>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</si>
  <si>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</si>
  <si>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</si>
  <si>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</si>
  <si>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</si>
  <si>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</si>
  <si>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</si>
  <si>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</si>
  <si>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</si>
  <si>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</si>
  <si>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</si>
  <si>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</si>
  <si>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</si>
  <si>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</si>
  <si>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</si>
  <si>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</si>
  <si>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</si>
  <si>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</si>
  <si>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</si>
  <si>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</si>
  <si>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</si>
  <si>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</si>
  <si>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</si>
  <si>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</si>
  <si>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</si>
  <si>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</si>
  <si>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</si>
  <si>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</si>
  <si>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</si>
  <si>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</si>
  <si>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</si>
  <si>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</si>
  <si>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</si>
  <si>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</si>
  <si>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</si>
  <si>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</si>
  <si>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</si>
  <si>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</si>
  <si>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</si>
  <si>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</si>
  <si>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</si>
  <si>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</si>
  <si>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</si>
  <si>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</si>
  <si>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</si>
  <si>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</si>
  <si>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</si>
  <si>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</si>
  <si>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</si>
  <si>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</si>
  <si>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</si>
  <si>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</si>
  <si>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</si>
  <si>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</si>
  <si>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</si>
  <si>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</si>
  <si>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</si>
  <si>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</si>
  <si>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</si>
  <si>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</si>
  <si>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</si>
  <si>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</si>
  <si>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</si>
  <si>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</si>
  <si>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</si>
  <si>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</si>
  <si>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</si>
  <si>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</si>
  <si>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</si>
  <si>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</si>
  <si>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</si>
  <si>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</si>
  <si>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</si>
  <si>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</si>
  <si>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</si>
  <si>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</si>
  <si>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</si>
  <si>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</si>
  <si>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</si>
  <si>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</si>
  <si>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</si>
  <si>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</si>
  <si>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</si>
  <si>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</si>
  <si>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</si>
  <si>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</si>
  <si>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</si>
  <si>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</si>
  <si>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</si>
  <si>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</si>
  <si>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</si>
  <si>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</si>
  <si>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</si>
  <si>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</si>
  <si>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</si>
  <si>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</si>
  <si>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</si>
  <si>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</si>
  <si>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</si>
  <si>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</si>
  <si>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</si>
  <si>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</si>
  <si>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</si>
  <si>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</si>
  <si>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</si>
  <si>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</si>
  <si>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</si>
  <si>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</si>
  <si>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</si>
  <si>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</si>
  <si>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</si>
  <si>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</si>
  <si>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</si>
  <si>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</si>
  <si>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</si>
  <si>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</si>
  <si>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</si>
  <si>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</si>
  <si>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</si>
  <si>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</si>
  <si>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</si>
  <si>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</si>
  <si>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</si>
  <si>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</si>
  <si>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</si>
  <si>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</si>
  <si>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</si>
  <si>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</si>
  <si>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</si>
  <si>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</si>
  <si>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</si>
  <si>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</si>
  <si>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</si>
  <si>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</si>
  <si>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</si>
  <si>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</si>
  <si>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</si>
  <si>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</si>
  <si>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</si>
  <si>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</si>
  <si>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</si>
  <si>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</si>
  <si>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</si>
  <si>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</si>
  <si>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</si>
  <si>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</si>
  <si>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</si>
  <si>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</si>
  <si>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</si>
  <si>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</si>
  <si>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</si>
  <si>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</si>
  <si>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</si>
  <si>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</si>
  <si>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</si>
  <si>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</si>
  <si>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</si>
  <si>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</si>
  <si>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</si>
  <si>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</si>
  <si>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</si>
  <si>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</si>
  <si>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</si>
  <si>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</si>
  <si>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</si>
  <si>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</si>
  <si>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</si>
  <si>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</si>
  <si>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</si>
  <si>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</si>
  <si>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</si>
  <si>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</si>
  <si>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</si>
  <si>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</si>
  <si>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</si>
  <si>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</si>
  <si>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</si>
  <si>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</si>
  <si>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</si>
  <si>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</si>
  <si>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</si>
  <si>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</si>
  <si>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</si>
  <si>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</si>
  <si>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</si>
  <si>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</si>
  <si>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</si>
  <si>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</si>
  <si>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</si>
  <si>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</si>
  <si>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</si>
  <si>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</si>
  <si>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</si>
  <si>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</si>
  <si>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</si>
  <si>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</si>
  <si>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</si>
  <si>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</si>
  <si>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</si>
  <si>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</si>
  <si>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</si>
  <si>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</si>
  <si>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</si>
  <si>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</si>
  <si>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</si>
  <si>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</si>
  <si>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</si>
  <si>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</si>
  <si>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</si>
  <si>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</si>
  <si>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</si>
  <si>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</si>
  <si>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</si>
  <si>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</si>
  <si>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</si>
  <si>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</si>
  <si>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</si>
  <si>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</si>
  <si>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</si>
  <si>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</si>
  <si>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</si>
  <si>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</si>
  <si>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</si>
  <si>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</si>
  <si>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</si>
  <si>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</si>
  <si>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</si>
  <si>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</si>
  <si>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</si>
  <si>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</si>
  <si>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</si>
  <si>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</si>
  <si>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</si>
  <si>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</si>
  <si>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</si>
  <si>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</si>
  <si>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</si>
  <si>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</si>
  <si>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</si>
  <si>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</si>
  <si>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</si>
  <si>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</si>
  <si>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</si>
  <si>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</si>
  <si>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</si>
  <si>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</si>
  <si>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</si>
  <si>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</si>
  <si>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</si>
  <si>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</si>
  <si>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</si>
  <si>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</si>
  <si>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</si>
  <si>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</si>
  <si>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</si>
  <si>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</si>
  <si>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</si>
  <si>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</si>
  <si>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</si>
  <si>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</si>
  <si>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</si>
  <si>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</si>
  <si>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</si>
  <si>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</si>
  <si>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</si>
  <si>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</si>
  <si>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</si>
  <si>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</si>
  <si>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</si>
  <si>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</si>
  <si>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</si>
  <si>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</si>
  <si>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</si>
  <si>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</si>
  <si>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</si>
  <si>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</si>
  <si>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</si>
  <si>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</si>
  <si>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</si>
  <si>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</si>
  <si>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</si>
  <si>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</si>
  <si>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</si>
  <si>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</si>
  <si>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</si>
  <si>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</si>
  <si>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</si>
  <si>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</si>
  <si>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</si>
  <si>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</si>
  <si>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</si>
  <si>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</si>
  <si>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</si>
  <si>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</si>
  <si>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</si>
  <si>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</si>
  <si>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</si>
  <si>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</si>
  <si>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</si>
  <si>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</si>
  <si>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</si>
  <si>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</si>
  <si>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</si>
  <si>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</si>
  <si>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</si>
  <si>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</si>
  <si>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</si>
  <si>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</si>
  <si>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</si>
  <si>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</si>
  <si>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</si>
  <si>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</si>
  <si>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</si>
  <si>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</si>
  <si>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</si>
  <si>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</si>
  <si>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</si>
  <si>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</si>
  <si>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</si>
  <si>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</si>
  <si>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</si>
  <si>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</si>
  <si>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</si>
  <si>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</si>
  <si>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</si>
  <si>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</si>
  <si>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</si>
  <si>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</si>
  <si>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</si>
  <si>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</si>
  <si>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</si>
  <si>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</si>
  <si>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</si>
  <si>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</si>
  <si>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</si>
  <si>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</si>
  <si>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</si>
  <si>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</si>
  <si>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</si>
  <si>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</si>
  <si>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</si>
  <si>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</si>
  <si>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</si>
  <si>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</si>
  <si>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</si>
  <si>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</si>
  <si>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</si>
  <si>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</si>
  <si>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</si>
  <si>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</si>
  <si>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</si>
  <si>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</si>
  <si>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</si>
  <si>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</si>
  <si>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</si>
  <si>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</si>
  <si>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</si>
  <si>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</si>
  <si>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</si>
  <si>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</si>
  <si>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</si>
  <si>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</si>
  <si>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</si>
  <si>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</si>
  <si>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</si>
  <si>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</si>
  <si>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</si>
  <si>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</si>
  <si>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</si>
  <si>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</si>
  <si>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</si>
  <si>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</si>
  <si>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</si>
  <si>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</si>
  <si>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</si>
  <si>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</si>
  <si>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</si>
  <si>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</si>
  <si>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</si>
  <si>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</si>
  <si>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</si>
  <si>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</si>
  <si>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</si>
  <si>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</si>
  <si>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</si>
  <si>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</si>
  <si>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</si>
  <si>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</si>
  <si>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</si>
  <si>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</si>
  <si>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</si>
  <si>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</si>
  <si>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</si>
  <si>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</si>
  <si>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</si>
  <si>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</si>
  <si>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</si>
  <si>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</si>
  <si>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</si>
  <si>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</si>
  <si>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</si>
  <si>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</si>
  <si>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</si>
  <si>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</si>
  <si>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</si>
  <si>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</si>
  <si>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</si>
  <si>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</si>
  <si>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</si>
  <si>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</si>
  <si>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</si>
  <si>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</si>
  <si>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</si>
  <si>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</si>
  <si>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</si>
  <si>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</si>
  <si>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</si>
  <si>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</si>
  <si>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</si>
  <si>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</si>
  <si>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</si>
  <si>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</si>
  <si>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</si>
  <si>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</si>
  <si>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</si>
  <si>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</si>
  <si>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</si>
  <si>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</si>
  <si>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</si>
  <si>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</si>
  <si>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</si>
  <si>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</si>
  <si>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</si>
  <si>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</si>
  <si>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</si>
  <si>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</si>
  <si>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</si>
  <si>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</si>
  <si>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</si>
  <si>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</si>
  <si>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</si>
  <si>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</si>
  <si>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</si>
  <si>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</si>
  <si>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</si>
  <si>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</si>
  <si>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</si>
  <si>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</si>
  <si>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</si>
  <si>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</si>
  <si>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</si>
  <si>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</si>
  <si>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</si>
  <si>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</si>
  <si>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</si>
  <si>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</si>
  <si>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</si>
  <si>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</si>
  <si>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</si>
  <si>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</si>
  <si>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</si>
  <si>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</si>
  <si>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</si>
  <si>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</si>
  <si>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</si>
  <si>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</si>
  <si>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</si>
  <si>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</si>
  <si>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</si>
  <si>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</si>
  <si>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</si>
  <si>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</si>
  <si>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</si>
  <si>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</si>
  <si>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</si>
  <si>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</si>
  <si>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</si>
  <si>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</si>
  <si>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</si>
  <si>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</si>
  <si>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</si>
  <si>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</si>
  <si>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</si>
  <si>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</si>
  <si>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</si>
  <si>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</si>
  <si>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</si>
  <si>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</si>
  <si>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</si>
  <si>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</si>
  <si>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</si>
  <si>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</si>
  <si>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</si>
  <si>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</si>
  <si>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</si>
  <si>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</si>
  <si>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</si>
  <si>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</si>
  <si>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</si>
  <si>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</si>
  <si>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</si>
  <si>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</si>
  <si>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</si>
  <si>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</si>
  <si>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</si>
  <si>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</si>
  <si>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</si>
  <si>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</si>
  <si>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</si>
  <si>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</si>
  <si>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</si>
  <si>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</si>
  <si>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</si>
  <si>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</si>
  <si>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</si>
  <si>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</si>
  <si>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</si>
  <si>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</si>
  <si>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</si>
  <si>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</si>
  <si>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</si>
  <si>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</si>
  <si>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</si>
  <si>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</si>
  <si>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</si>
  <si>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</si>
  <si>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</si>
  <si>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</si>
  <si>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</si>
  <si>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</si>
  <si>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</si>
  <si>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</si>
  <si>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</si>
  <si>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</si>
  <si>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</si>
  <si>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</si>
  <si>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</si>
  <si>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</si>
  <si>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</si>
  <si>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</si>
  <si>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</si>
  <si>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</si>
  <si>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</si>
  <si>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</si>
  <si>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</si>
  <si>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</si>
  <si>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</si>
  <si>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</si>
  <si>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</si>
  <si>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</si>
  <si>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</si>
  <si>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</si>
  <si>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</si>
  <si>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</si>
  <si>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</si>
  <si>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</si>
  <si>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</si>
  <si>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</si>
  <si>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</si>
  <si>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</si>
  <si>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</si>
  <si>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</si>
  <si>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</si>
  <si>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</si>
  <si>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</si>
  <si>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</si>
  <si>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</si>
  <si>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</si>
  <si>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</si>
  <si>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</si>
  <si>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</si>
  <si>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</si>
  <si>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</si>
  <si>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</si>
  <si>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</si>
  <si>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</si>
  <si>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</si>
  <si>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</si>
  <si>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</si>
  <si>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</si>
  <si>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</si>
  <si>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</si>
  <si>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</si>
  <si>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</si>
  <si>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</si>
  <si>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</si>
  <si>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</si>
  <si>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</si>
  <si>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</si>
  <si>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</si>
  <si>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</si>
  <si>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</si>
  <si>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</si>
  <si>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</si>
  <si>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</si>
  <si>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</si>
  <si>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</si>
  <si>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</si>
  <si>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</si>
  <si>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</si>
  <si>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</si>
  <si>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</si>
  <si>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</si>
  <si>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</si>
  <si>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</si>
  <si>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</si>
  <si>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</si>
  <si>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</si>
  <si>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</si>
  <si>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</si>
  <si>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</si>
  <si>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</si>
  <si>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</si>
  <si>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</si>
  <si>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</si>
  <si>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</si>
  <si>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</si>
  <si>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</si>
  <si>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</si>
  <si>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</si>
  <si>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</si>
  <si>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</si>
  <si>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</si>
  <si>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</si>
  <si>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</si>
  <si>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</si>
  <si>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</si>
  <si>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</si>
  <si>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</si>
  <si>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</si>
  <si>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</si>
  <si>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</si>
  <si>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</si>
  <si>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</si>
  <si>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</si>
  <si>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</si>
  <si>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</si>
  <si>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</si>
  <si>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</si>
  <si>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</si>
  <si>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</si>
  <si>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</si>
  <si>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</si>
  <si>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</si>
  <si>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</si>
  <si>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</si>
  <si>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</si>
  <si>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</si>
  <si>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</si>
  <si>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</si>
  <si>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</si>
  <si>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</si>
  <si>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</si>
  <si>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</si>
  <si>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</si>
  <si>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</si>
  <si>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</si>
  <si>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</si>
  <si>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</si>
  <si>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</si>
  <si>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</si>
  <si>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</si>
  <si>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</si>
  <si>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</si>
  <si>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</si>
  <si>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</si>
  <si>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</si>
  <si>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</si>
  <si>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</si>
  <si>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</si>
  <si>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</si>
  <si>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</si>
  <si>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</si>
  <si>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</si>
  <si>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</si>
  <si>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</si>
  <si>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</si>
  <si>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</si>
  <si>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</si>
  <si>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</si>
  <si>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</si>
  <si>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</si>
  <si>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</si>
  <si>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</si>
  <si>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</si>
  <si>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</si>
  <si>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</si>
  <si>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</si>
  <si>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</si>
  <si>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</si>
  <si>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</si>
  <si>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</si>
  <si>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</si>
  <si>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</si>
  <si>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</si>
  <si>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</si>
  <si>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</si>
  <si>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</si>
  <si>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</si>
  <si>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</si>
  <si>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</si>
  <si>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</si>
  <si>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</si>
  <si>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</si>
  <si>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</si>
  <si>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</si>
  <si>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</si>
  <si>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</si>
  <si>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</si>
  <si>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</si>
  <si>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</si>
  <si>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</si>
  <si>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</si>
  <si>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</si>
  <si>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</si>
  <si>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</si>
  <si>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</si>
  <si>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</si>
  <si>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</si>
  <si>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</si>
  <si>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</si>
  <si>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</si>
  <si>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</si>
  <si>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</si>
  <si>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</si>
  <si>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</si>
  <si>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</si>
  <si>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</si>
  <si>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</si>
  <si>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</si>
  <si>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</si>
  <si>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</si>
  <si>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</si>
  <si>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</si>
  <si>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</si>
  <si>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</si>
  <si>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</si>
  <si>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</si>
  <si>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</si>
  <si>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</si>
  <si>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</si>
  <si>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</si>
  <si>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</si>
  <si>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</si>
  <si>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</si>
  <si>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</si>
  <si>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</si>
  <si>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</si>
  <si>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</si>
  <si>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</si>
  <si>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</si>
  <si>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</si>
  <si>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</si>
  <si>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</si>
  <si>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</si>
  <si>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</si>
  <si>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</si>
  <si>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</si>
  <si>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</si>
  <si>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</si>
  <si>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</si>
  <si>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</si>
  <si>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</si>
  <si>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</si>
  <si>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</si>
  <si>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</si>
  <si>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</si>
  <si>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</si>
  <si>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</si>
  <si>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</si>
  <si>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</si>
  <si>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</si>
  <si>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</si>
  <si>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</si>
  <si>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</si>
  <si>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</si>
  <si>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</si>
  <si>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</si>
  <si>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</si>
  <si>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</si>
  <si>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</si>
  <si>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</si>
  <si>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</si>
  <si>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</si>
  <si>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</si>
  <si>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</si>
  <si>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</si>
  <si>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</si>
  <si>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</si>
  <si>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</si>
  <si>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</si>
  <si>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</si>
  <si>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</si>
  <si>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</si>
  <si>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</si>
  <si>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</si>
  <si>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</si>
  <si>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</si>
  <si>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</si>
  <si>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</si>
  <si>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</si>
  <si>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</si>
  <si>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</si>
  <si>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</si>
  <si>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</si>
  <si>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</si>
  <si>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</si>
  <si>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</si>
  <si>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</si>
  <si>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</si>
  <si>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</si>
  <si>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</si>
  <si>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</si>
  <si>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</si>
  <si>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</si>
  <si>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</si>
  <si>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</si>
  <si>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</si>
  <si>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</si>
  <si>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</si>
  <si>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</si>
  <si>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</si>
  <si>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</si>
  <si>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</si>
  <si>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</si>
  <si>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</si>
  <si>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</si>
  <si>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</si>
  <si>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</si>
  <si>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</si>
  <si>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</si>
  <si>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</si>
  <si>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</si>
  <si>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</si>
  <si>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</si>
  <si>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</si>
  <si>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</si>
  <si>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</si>
  <si>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</si>
  <si>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</si>
  <si>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</si>
  <si>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</si>
  <si>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</si>
  <si>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</si>
  <si>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</si>
  <si>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</si>
  <si>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</si>
  <si>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</si>
  <si>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</si>
  <si>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</si>
  <si>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</si>
  <si>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</si>
  <si>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</si>
  <si>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</si>
  <si>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</si>
  <si>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</si>
  <si>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</si>
  <si>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</si>
  <si>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</si>
  <si>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</si>
  <si>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</si>
  <si>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</si>
  <si>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</si>
  <si>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</si>
  <si>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</si>
  <si>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</si>
  <si>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</si>
  <si>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</si>
  <si>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</si>
  <si>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</si>
  <si>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</si>
  <si>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</si>
  <si>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</si>
  <si>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</si>
  <si>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</si>
  <si>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</si>
  <si>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</si>
  <si>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</si>
  <si>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</si>
  <si>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</si>
  <si>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</si>
  <si>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</si>
  <si>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</si>
  <si>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</si>
  <si>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</si>
  <si>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</si>
  <si>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</si>
  <si>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</si>
  <si>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</si>
  <si>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</si>
  <si>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</si>
  <si>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</si>
  <si>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</si>
  <si>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</si>
  <si>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</si>
  <si>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</si>
  <si>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</si>
  <si>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</si>
  <si>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</si>
  <si>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</si>
  <si>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</si>
  <si>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</si>
  <si>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</si>
  <si>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</si>
  <si>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</si>
  <si>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</si>
  <si>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</si>
  <si>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</si>
  <si>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</si>
  <si>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</si>
  <si>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</si>
  <si>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</si>
  <si>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</si>
  <si>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</si>
  <si>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</si>
  <si>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</si>
  <si>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</si>
  <si>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</si>
  <si>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</si>
  <si>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</si>
  <si>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</si>
  <si>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</si>
  <si>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</si>
  <si>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</si>
  <si>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</si>
  <si>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</si>
  <si>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</si>
  <si>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</si>
  <si>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</si>
  <si>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</si>
  <si>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</si>
  <si>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</si>
  <si>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</si>
  <si>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</si>
  <si>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</si>
  <si>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</si>
  <si>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</si>
  <si>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</si>
  <si>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</si>
  <si>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</si>
  <si>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</si>
  <si>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</si>
  <si>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</si>
  <si>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</si>
  <si>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</si>
  <si>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</si>
  <si>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</si>
  <si>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</si>
  <si>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</si>
  <si>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</si>
  <si>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</si>
  <si>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</si>
  <si>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</si>
  <si>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</si>
  <si>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</si>
  <si>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</si>
  <si>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</si>
  <si>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</si>
  <si>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</si>
  <si>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</si>
  <si>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</si>
  <si>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</si>
  <si>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</si>
  <si>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</si>
  <si>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</si>
  <si>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</si>
  <si>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</si>
  <si>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</si>
  <si>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</si>
  <si>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</si>
  <si>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</si>
  <si>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</si>
  <si>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</si>
  <si>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</si>
  <si>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</si>
  <si>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</si>
  <si>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</si>
  <si>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</si>
  <si>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</si>
  <si>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</si>
  <si>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</si>
  <si>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</si>
  <si>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</si>
  <si>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</si>
  <si>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</si>
  <si>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</si>
  <si>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</si>
  <si>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</si>
  <si>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</si>
  <si>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</si>
  <si>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</si>
  <si>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</si>
  <si>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</si>
  <si>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</si>
  <si>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</si>
  <si>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</si>
  <si>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</si>
  <si>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</si>
  <si>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</si>
  <si>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</si>
  <si>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</si>
  <si>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</si>
  <si>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</si>
  <si>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</si>
  <si>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</si>
  <si>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</si>
  <si>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</si>
  <si>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</si>
  <si>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</si>
  <si>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</si>
  <si>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</si>
  <si>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</si>
  <si>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</si>
  <si>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</si>
  <si>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</si>
  <si>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</si>
  <si>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</si>
  <si>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</si>
  <si>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</si>
  <si>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</si>
  <si>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</si>
  <si>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</si>
  <si>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</si>
  <si>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</si>
  <si>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</si>
  <si>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</si>
  <si>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</si>
  <si>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</si>
  <si>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</si>
  <si>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</si>
  <si>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</si>
  <si>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</si>
  <si>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</si>
  <si>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</si>
  <si>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</si>
  <si>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</si>
  <si>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</si>
  <si>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</si>
  <si>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</si>
  <si>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</si>
  <si>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</si>
  <si>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</si>
  <si>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</si>
  <si>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</si>
  <si>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</si>
  <si>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</si>
  <si>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</si>
  <si>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</si>
  <si>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</si>
  <si>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</si>
  <si>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</si>
  <si>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</si>
  <si>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</si>
  <si>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</si>
  <si>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</si>
  <si>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</si>
  <si>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</si>
  <si>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</si>
  <si>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</si>
  <si>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</si>
  <si>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</si>
  <si>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</si>
  <si>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</si>
  <si>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</si>
  <si>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</si>
  <si>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</si>
  <si>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</si>
  <si>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</si>
  <si>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</si>
  <si>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</si>
  <si>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</si>
  <si>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</si>
  <si>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</si>
  <si>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</si>
  <si>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</si>
  <si>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</si>
  <si>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</si>
  <si>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</si>
  <si>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</si>
  <si>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</si>
  <si>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</si>
  <si>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</si>
  <si>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</si>
  <si>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</si>
  <si>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</si>
  <si>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</si>
  <si>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</si>
  <si>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</si>
  <si>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</si>
  <si>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</si>
  <si>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</si>
  <si>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</si>
  <si>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</si>
  <si>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</si>
  <si>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</si>
  <si>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</si>
  <si>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</si>
  <si>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</si>
  <si>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</si>
  <si>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</si>
  <si>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</si>
  <si>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</si>
  <si>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</si>
  <si>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</si>
  <si>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</si>
  <si>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</si>
  <si>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</si>
  <si>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</si>
  <si>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</si>
  <si>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</si>
  <si>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</si>
  <si>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</si>
  <si>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</si>
  <si>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</si>
  <si>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</si>
  <si>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</si>
  <si>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</si>
  <si>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</si>
  <si>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</si>
  <si>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</si>
  <si>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</si>
  <si>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</si>
  <si>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</si>
  <si>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</si>
  <si>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</si>
  <si>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</si>
  <si>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</si>
  <si>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</si>
  <si>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</si>
  <si>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</si>
  <si>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</si>
  <si>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</si>
  <si>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</si>
  <si>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</si>
  <si>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</si>
  <si>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</si>
  <si>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</si>
  <si>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</si>
  <si>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</si>
  <si>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</si>
  <si>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</si>
  <si>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</si>
  <si>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</si>
  <si>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</si>
  <si>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</si>
  <si>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</si>
  <si>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</si>
  <si>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</si>
  <si>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</si>
  <si>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</si>
  <si>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</si>
  <si>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</si>
  <si>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</si>
  <si>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</si>
  <si>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</si>
  <si>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</si>
  <si>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</si>
  <si>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</si>
  <si>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</si>
  <si>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</si>
  <si>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</si>
  <si>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</si>
  <si>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</si>
  <si>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</si>
  <si>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</si>
  <si>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</si>
  <si>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</si>
  <si>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</si>
  <si>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</si>
  <si>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</si>
  <si>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</si>
  <si>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</si>
  <si>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</si>
  <si>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</si>
  <si>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</si>
  <si>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</si>
  <si>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</si>
  <si>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</si>
  <si>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</si>
  <si>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</si>
  <si>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</si>
  <si>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</si>
  <si>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</si>
  <si>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</si>
  <si>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</si>
  <si>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</si>
  <si>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</si>
  <si>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</si>
  <si>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</si>
  <si>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</si>
  <si>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</si>
  <si>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</si>
  <si>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</si>
  <si>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</si>
  <si>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</si>
  <si>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</si>
  <si>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</si>
  <si>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</si>
  <si>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</si>
  <si>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</si>
  <si>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</si>
  <si>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</si>
  <si>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</si>
  <si>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</si>
  <si>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</si>
  <si>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</si>
  <si>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</si>
  <si>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</si>
  <si>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</si>
  <si>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</si>
  <si>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</si>
  <si>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</si>
  <si>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</si>
  <si>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</si>
  <si>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</si>
  <si>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</si>
  <si>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</si>
  <si>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</si>
  <si>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</si>
  <si>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</si>
  <si>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</si>
  <si>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</si>
  <si>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</si>
  <si>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</si>
  <si>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</si>
  <si>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</si>
  <si>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</si>
  <si>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</si>
  <si>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</si>
  <si>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</si>
  <si>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</si>
  <si>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</si>
  <si>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</si>
  <si>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</si>
  <si>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</si>
  <si>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</si>
  <si>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</si>
  <si>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</si>
  <si>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</si>
  <si>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</si>
  <si>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</si>
  <si>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</si>
  <si>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</si>
  <si>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</si>
  <si>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</si>
  <si>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</si>
  <si>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</si>
  <si>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</si>
  <si>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</si>
  <si>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</si>
  <si>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</si>
  <si>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</si>
  <si>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</si>
  <si>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</si>
  <si>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</si>
  <si>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</si>
  <si>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</si>
  <si>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</si>
  <si>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</si>
  <si>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</si>
  <si>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</si>
  <si>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</si>
  <si>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</si>
  <si>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</si>
  <si>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</si>
  <si>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</si>
  <si>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</si>
  <si>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</si>
  <si>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</si>
  <si>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</si>
  <si>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</si>
  <si>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</si>
  <si>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</si>
  <si>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</si>
  <si>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</si>
  <si>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</si>
  <si>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</si>
  <si>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</si>
  <si>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</si>
  <si>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</si>
  <si>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</si>
  <si>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</si>
  <si>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</si>
  <si>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</si>
  <si>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</si>
  <si>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</si>
  <si>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</si>
  <si>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</si>
  <si>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</si>
  <si>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</si>
  <si>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</si>
  <si>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</si>
  <si>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</si>
  <si>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</si>
  <si>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</si>
  <si>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</si>
  <si>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</si>
  <si>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</si>
  <si>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</si>
  <si>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</si>
  <si>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</si>
  <si>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</si>
  <si>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</si>
  <si>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</si>
  <si>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</si>
  <si>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</si>
  <si>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</si>
  <si>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</si>
  <si>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</si>
  <si>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</si>
  <si>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</si>
  <si>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</si>
  <si>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</si>
  <si>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</si>
  <si>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</si>
  <si>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</si>
  <si>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</si>
  <si>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</si>
  <si>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</si>
  <si>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</si>
  <si>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</si>
  <si>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</si>
  <si>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</si>
  <si>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</si>
  <si>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</si>
  <si>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</si>
  <si>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</si>
  <si>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</si>
  <si>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</si>
  <si>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</si>
  <si>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</si>
  <si>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</si>
  <si>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</si>
  <si>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</si>
  <si>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</si>
  <si>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</si>
  <si>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</si>
  <si>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</si>
  <si>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</si>
  <si>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</si>
  <si>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</si>
  <si>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</si>
  <si>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</si>
  <si>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</si>
  <si>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</si>
  <si>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</si>
  <si>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</si>
  <si>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</si>
  <si>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</si>
  <si>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</si>
  <si>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</si>
  <si>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</si>
  <si>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</si>
  <si>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</si>
  <si>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</si>
  <si>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</si>
  <si>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</si>
  <si>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</si>
  <si>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</si>
  <si>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</si>
  <si>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</si>
  <si>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</si>
  <si>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</si>
  <si>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</si>
  <si>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</si>
  <si>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</si>
  <si>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</si>
  <si>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</si>
  <si>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</si>
  <si>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</si>
  <si>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</si>
  <si>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</si>
  <si>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</si>
  <si>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</si>
  <si>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</si>
  <si>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</si>
  <si>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</si>
  <si>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</si>
  <si>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</si>
  <si>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</si>
  <si>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</si>
  <si>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</si>
  <si>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</si>
  <si>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</si>
  <si>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</si>
  <si>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</si>
  <si>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</si>
  <si>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</si>
  <si>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</si>
  <si>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</si>
  <si>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</si>
  <si>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</si>
  <si>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</si>
  <si>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</si>
  <si>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</si>
  <si>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</si>
  <si>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</si>
  <si>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</si>
  <si>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</si>
  <si>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</si>
  <si>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</si>
  <si>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</si>
  <si>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</si>
  <si>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</si>
  <si>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</si>
  <si>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</si>
  <si>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</si>
  <si>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</si>
  <si>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</si>
  <si>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</si>
  <si>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</si>
  <si>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</si>
  <si>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</si>
  <si>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</si>
  <si>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</si>
  <si>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</si>
  <si>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</si>
  <si>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</si>
  <si>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</si>
  <si>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</si>
  <si>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</si>
  <si>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</si>
  <si>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</si>
  <si>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</si>
  <si>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</si>
  <si>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</si>
  <si>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</si>
  <si>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</si>
  <si>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</si>
  <si>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</si>
  <si>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</si>
  <si>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</si>
  <si>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</si>
  <si>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</si>
  <si>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</si>
  <si>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</si>
  <si>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</si>
  <si>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</si>
  <si>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</si>
  <si>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</si>
  <si>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</si>
  <si>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</si>
  <si>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</si>
  <si>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</si>
  <si>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</si>
  <si>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</si>
  <si>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</si>
  <si>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</si>
  <si>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</si>
  <si>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</si>
  <si>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</si>
  <si>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</si>
  <si>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</si>
  <si>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</si>
  <si>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</si>
  <si>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</si>
  <si>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</si>
  <si>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</si>
  <si>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</si>
  <si>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</si>
  <si>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</si>
  <si>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</si>
  <si>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</si>
  <si>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</si>
  <si>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</si>
  <si>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</si>
  <si>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</si>
  <si>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</si>
  <si>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</si>
  <si>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</si>
  <si>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</si>
  <si>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</si>
  <si>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</si>
  <si>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</si>
  <si>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</si>
  <si>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</si>
  <si>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</si>
  <si>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</si>
  <si>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</si>
  <si>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</si>
  <si>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</si>
  <si>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</si>
  <si>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</si>
  <si>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</si>
  <si>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</si>
  <si>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</si>
  <si>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</si>
  <si>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</si>
  <si>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</si>
  <si>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</si>
  <si>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</si>
  <si>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</si>
  <si>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</si>
  <si>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</si>
  <si>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</si>
  <si>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</si>
  <si>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</si>
  <si>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</si>
  <si>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</si>
  <si>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</si>
  <si>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</si>
  <si>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</si>
  <si>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</si>
  <si>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</si>
  <si>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</si>
  <si>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</si>
  <si>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</si>
  <si>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</si>
  <si>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</si>
  <si>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</si>
  <si>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</si>
  <si>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</si>
  <si>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</si>
  <si>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</si>
  <si>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</si>
  <si>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</si>
  <si>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</si>
  <si>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</si>
  <si>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</si>
  <si>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</si>
  <si>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</si>
  <si>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</si>
  <si>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</si>
  <si>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</si>
  <si>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</si>
  <si>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</si>
  <si>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</si>
  <si>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</si>
  <si>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</si>
  <si>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</si>
  <si>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</si>
  <si>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</si>
  <si>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</si>
  <si>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</si>
  <si>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</si>
  <si>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</si>
  <si>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</si>
  <si>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</si>
  <si>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</si>
  <si>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</si>
  <si>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</si>
  <si>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</si>
  <si>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</si>
  <si>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</si>
  <si>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</si>
  <si>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</si>
  <si>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</si>
  <si>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</si>
  <si>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</si>
  <si>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</si>
  <si>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</si>
  <si>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</si>
  <si>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</si>
  <si>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</si>
  <si>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</si>
  <si>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</si>
  <si>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</si>
  <si>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</si>
  <si>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</si>
  <si>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</si>
  <si>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</si>
  <si>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</si>
  <si>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</si>
  <si>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</si>
  <si>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</si>
  <si>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</si>
  <si>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</si>
  <si>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</si>
  <si>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</si>
  <si>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</si>
  <si>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</si>
  <si>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</si>
  <si>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</si>
  <si>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</si>
  <si>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</si>
  <si>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</si>
  <si>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</si>
  <si>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</si>
  <si>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</si>
  <si>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</si>
  <si>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</si>
  <si>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</si>
  <si>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</si>
  <si>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</si>
  <si>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</si>
  <si>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</si>
  <si>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</si>
  <si>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</si>
  <si>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</si>
  <si>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</si>
  <si>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</si>
  <si>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</si>
  <si>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</si>
  <si>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</si>
  <si>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</si>
  <si>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</si>
  <si>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</si>
  <si>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</si>
  <si>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</si>
  <si>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</si>
  <si>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</si>
  <si>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</si>
  <si>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</si>
  <si>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</si>
  <si>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</si>
  <si>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</si>
  <si>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</si>
  <si>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</si>
  <si>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</si>
  <si>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</si>
  <si>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</si>
  <si>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</si>
  <si>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</si>
  <si>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</si>
  <si>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</si>
  <si>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</si>
  <si>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</si>
  <si>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</si>
  <si>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</si>
  <si>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</si>
  <si>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</si>
  <si>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</si>
  <si>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</si>
  <si>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</si>
  <si>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</si>
  <si>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</si>
  <si>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</si>
  <si>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</si>
  <si>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</si>
  <si>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</si>
  <si>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</si>
  <si>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</si>
  <si>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</si>
  <si>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</si>
  <si>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</si>
  <si>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</si>
  <si>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</si>
  <si>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</si>
  <si>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</si>
  <si>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</si>
  <si>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</si>
  <si>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</si>
  <si>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</si>
  <si>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</si>
  <si>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</si>
  <si>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</si>
  <si>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</si>
  <si>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</si>
  <si>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</si>
  <si>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</si>
  <si>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</si>
  <si>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</si>
  <si>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</si>
  <si>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</si>
  <si>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</si>
  <si>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</si>
  <si>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</si>
  <si>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</si>
  <si>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</si>
  <si>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</si>
  <si>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</si>
  <si>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</si>
  <si>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</si>
  <si>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</si>
  <si>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</si>
  <si>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</si>
  <si>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</si>
  <si>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</si>
  <si>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</si>
  <si>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</si>
  <si>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</si>
  <si>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</si>
  <si>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</si>
  <si>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</si>
  <si>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</si>
  <si>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</si>
  <si>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</si>
  <si>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</si>
  <si>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</si>
  <si>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</si>
  <si>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</si>
  <si>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</si>
  <si>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</si>
  <si>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</si>
  <si>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</si>
  <si>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</si>
  <si>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</si>
  <si>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</si>
  <si>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</si>
  <si>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</si>
  <si>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</si>
  <si>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</si>
  <si>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</si>
  <si>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</si>
  <si>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</si>
  <si>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</si>
  <si>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</si>
  <si>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</si>
  <si>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</si>
  <si>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</si>
  <si>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</si>
  <si>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</si>
  <si>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</si>
  <si>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</si>
  <si>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</si>
  <si>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</si>
  <si>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</si>
  <si>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</si>
  <si>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</si>
  <si>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</si>
  <si>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</si>
  <si>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</si>
  <si>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</si>
  <si>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</si>
  <si>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</si>
  <si>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</si>
  <si>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</si>
  <si>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</si>
  <si>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</si>
  <si>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</si>
  <si>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</si>
  <si>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</si>
  <si>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</si>
  <si>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</si>
  <si>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</si>
  <si>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</si>
  <si>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</si>
  <si>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</si>
  <si>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</si>
  <si>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</si>
  <si>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</si>
  <si>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</si>
  <si>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</si>
  <si>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</si>
  <si>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</si>
  <si>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</si>
  <si>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</si>
  <si>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</si>
  <si>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</si>
  <si>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</si>
  <si>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</si>
  <si>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</si>
  <si>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</si>
  <si>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</si>
  <si>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</si>
  <si>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</si>
  <si>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</si>
  <si>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</si>
  <si>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</si>
  <si>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</si>
  <si>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</si>
  <si>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</si>
  <si>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</si>
  <si>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</si>
  <si>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</si>
  <si>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</si>
  <si>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</si>
  <si>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</si>
  <si>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</si>
  <si>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</si>
  <si>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</si>
  <si>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</si>
  <si>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</si>
  <si>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</si>
  <si>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</si>
  <si>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</si>
  <si>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</si>
  <si>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</si>
  <si>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</si>
  <si>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</si>
  <si>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</si>
  <si>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</si>
  <si>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</si>
  <si>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</si>
  <si>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</si>
  <si>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</si>
  <si>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</si>
  <si>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</si>
  <si>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</si>
  <si>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</si>
  <si>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</si>
  <si>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</si>
  <si>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</si>
  <si>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</si>
  <si>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</si>
  <si>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</si>
  <si>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</si>
  <si>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</si>
  <si>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</si>
  <si>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</si>
  <si>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</si>
  <si>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</si>
  <si>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</si>
  <si>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</si>
  <si>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</si>
  <si>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</si>
  <si>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</si>
  <si>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</si>
  <si>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</si>
  <si>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</si>
  <si>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</si>
  <si>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</si>
  <si>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</si>
  <si>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</si>
  <si>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</si>
  <si>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</si>
  <si>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</si>
  <si>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</si>
  <si>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</si>
  <si>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</si>
  <si>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</si>
  <si>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</si>
  <si>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</si>
  <si>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</si>
  <si>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</si>
  <si>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</si>
  <si>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</si>
  <si>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</si>
  <si>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</si>
  <si>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</si>
  <si>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</si>
  <si>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</si>
  <si>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</si>
  <si>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</si>
  <si>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</si>
  <si>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</si>
  <si>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</si>
  <si>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</si>
  <si>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</si>
  <si>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</si>
  <si>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</si>
  <si>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</si>
  <si>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</si>
  <si>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</si>
  <si>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</si>
  <si>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</si>
  <si>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</si>
  <si>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</si>
  <si>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</si>
  <si>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</si>
  <si>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</si>
  <si>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</si>
  <si>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</si>
  <si>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</si>
  <si>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</si>
  <si>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</si>
  <si>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</si>
  <si>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</si>
  <si>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</si>
  <si>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</si>
  <si>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</si>
  <si>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</si>
  <si>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</si>
  <si>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</si>
  <si>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</si>
  <si>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</si>
  <si>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</si>
  <si>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</si>
  <si>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</si>
  <si>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</si>
  <si>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</si>
  <si>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</si>
  <si>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</si>
  <si>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</si>
  <si>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</si>
  <si>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</si>
  <si>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</si>
  <si>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</si>
  <si>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</si>
  <si>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</si>
  <si>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</si>
  <si>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</si>
  <si>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</si>
  <si>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</si>
  <si>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</si>
  <si>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</si>
  <si>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</si>
  <si>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</si>
  <si>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</si>
  <si>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</si>
  <si>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</si>
  <si>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</si>
  <si>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</si>
  <si>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</si>
  <si>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</si>
  <si>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</si>
  <si>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</si>
  <si>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</si>
  <si>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</si>
  <si>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</si>
  <si>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</si>
  <si>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</si>
  <si>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</si>
  <si>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</si>
  <si>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</si>
  <si>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</si>
  <si>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</si>
  <si>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</si>
  <si>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</si>
  <si>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</si>
  <si>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</si>
  <si>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</si>
  <si>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</si>
  <si>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</si>
  <si>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</si>
  <si>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</si>
  <si>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</si>
  <si>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</si>
  <si>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</si>
  <si>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</si>
  <si>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</si>
  <si>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</si>
  <si>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</si>
  <si>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</si>
  <si>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</si>
  <si>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</si>
  <si>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</si>
  <si>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</si>
  <si>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</si>
  <si>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</si>
  <si>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</si>
  <si>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</si>
  <si>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</si>
  <si>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</si>
  <si>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</si>
  <si>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</si>
  <si>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</si>
  <si>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</si>
  <si>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</si>
  <si>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</si>
  <si>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</si>
  <si>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</si>
  <si>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</si>
  <si>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</si>
  <si>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</si>
  <si>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</si>
  <si>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</si>
  <si>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</si>
  <si>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</si>
  <si>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</si>
  <si>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</si>
  <si>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</si>
  <si>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</si>
  <si>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</si>
  <si>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</si>
  <si>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</si>
  <si>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</si>
  <si>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</si>
  <si>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</si>
  <si>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</si>
  <si>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</si>
  <si>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</si>
  <si>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</si>
  <si>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</si>
  <si>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</si>
  <si>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</si>
  <si>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</si>
  <si>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</si>
  <si>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</si>
  <si>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</si>
  <si>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</si>
  <si>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</si>
  <si>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</si>
  <si>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</si>
  <si>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</si>
  <si>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</si>
  <si>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</si>
  <si>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</si>
  <si>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</si>
  <si>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</si>
  <si>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</si>
  <si>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</si>
  <si>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</si>
  <si>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</si>
  <si>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</si>
  <si>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</si>
  <si>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</si>
  <si>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</si>
  <si>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</si>
  <si>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</si>
  <si>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</si>
  <si>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</si>
  <si>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</si>
  <si>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</si>
  <si>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</si>
  <si>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</si>
  <si>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</si>
  <si>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</si>
  <si>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</si>
  <si>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</si>
  <si>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</si>
  <si>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</si>
  <si>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</si>
  <si>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</si>
  <si>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</si>
  <si>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</si>
  <si>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</si>
  <si>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</si>
  <si>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</si>
  <si>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</si>
  <si>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</si>
  <si>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</si>
  <si>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</si>
  <si>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</si>
  <si>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</si>
  <si>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</si>
  <si>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</si>
  <si>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</si>
  <si>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</si>
  <si>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</si>
  <si>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</si>
  <si>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</si>
  <si>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</si>
  <si>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</si>
  <si>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</si>
  <si>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</si>
  <si>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</si>
  <si>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</si>
  <si>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</si>
  <si>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</si>
  <si>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</si>
  <si>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</si>
  <si>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</si>
  <si>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</si>
  <si>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</si>
  <si>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</si>
  <si>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</si>
  <si>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</si>
  <si>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</si>
  <si>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</si>
  <si>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</si>
  <si>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</si>
  <si>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</si>
  <si>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</si>
  <si>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</si>
  <si>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</si>
  <si>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</si>
  <si>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</si>
  <si>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</si>
  <si>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</si>
  <si>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</si>
  <si>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</si>
  <si>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</si>
  <si>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</si>
  <si>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</si>
  <si>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</si>
  <si>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</si>
  <si>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</si>
  <si>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</si>
  <si>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</si>
  <si>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</si>
  <si>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</si>
  <si>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</si>
  <si>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</si>
  <si>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</si>
  <si>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</si>
  <si>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</si>
  <si>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</si>
  <si>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</si>
  <si>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</si>
  <si>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</si>
  <si>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</si>
  <si>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</si>
  <si>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</si>
  <si>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</si>
  <si>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</si>
  <si>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</si>
  <si>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</si>
  <si>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</si>
  <si>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</si>
  <si>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</si>
  <si>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</si>
  <si>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</si>
  <si>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</si>
  <si>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</si>
  <si>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</si>
  <si>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</si>
  <si>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</si>
  <si>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</si>
  <si>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</si>
  <si>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</si>
  <si>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</si>
  <si>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</si>
  <si>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</si>
  <si>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</si>
  <si>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</si>
  <si>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</si>
  <si>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</si>
  <si>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</si>
  <si>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</si>
  <si>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</si>
  <si>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</si>
  <si>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</si>
  <si>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</si>
  <si>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</si>
  <si>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</si>
  <si>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</si>
  <si>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</si>
  <si>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</si>
  <si>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</si>
  <si>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</si>
  <si>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</si>
  <si>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</si>
  <si>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</si>
  <si>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</si>
  <si>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</si>
  <si>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</si>
  <si>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</si>
  <si>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</si>
  <si>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</si>
  <si>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</si>
  <si>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</si>
  <si>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</si>
  <si>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</si>
  <si>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</si>
  <si>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</si>
  <si>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</si>
  <si>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</si>
  <si>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</si>
  <si>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</si>
  <si>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</si>
  <si>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</si>
  <si>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</si>
  <si>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</si>
  <si>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</si>
  <si>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</si>
  <si>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</si>
  <si>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</si>
  <si>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</si>
  <si>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</si>
  <si>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</si>
  <si>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</si>
  <si>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</si>
  <si>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</si>
  <si>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</si>
  <si>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</si>
  <si>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</si>
  <si>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</si>
  <si>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</si>
  <si>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</si>
  <si>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</si>
  <si>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</si>
  <si>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</si>
  <si>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</si>
  <si>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</si>
  <si>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</si>
  <si>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</si>
  <si>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</si>
  <si>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</si>
  <si>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</si>
  <si>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</si>
  <si>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</si>
  <si>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</si>
  <si>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</si>
  <si>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</si>
  <si>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</si>
  <si>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</si>
  <si>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</si>
  <si>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</si>
  <si>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</si>
  <si>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</si>
  <si>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</si>
  <si>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</si>
  <si>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</si>
  <si>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</si>
  <si>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</si>
  <si>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</si>
  <si>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</si>
  <si>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</si>
  <si>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</si>
  <si>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</si>
  <si>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</si>
  <si>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</si>
  <si>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</si>
  <si>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</si>
  <si>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</si>
  <si>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</si>
  <si>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</si>
  <si>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</si>
  <si>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</si>
  <si>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</si>
  <si>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</si>
  <si>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</si>
  <si>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</si>
  <si>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</si>
  <si>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</si>
  <si>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</si>
  <si>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</si>
  <si>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</si>
  <si>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</si>
  <si>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</si>
  <si>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</si>
  <si>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</si>
  <si>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</si>
  <si>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</si>
  <si>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</si>
  <si>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</si>
  <si>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</si>
  <si>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</si>
  <si>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</si>
  <si>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</si>
  <si>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</si>
  <si>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</si>
  <si>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</si>
  <si>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</si>
  <si>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</si>
  <si>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</si>
  <si>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</si>
  <si>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</si>
  <si>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</si>
  <si>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</si>
  <si>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</si>
  <si>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</si>
  <si>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</si>
  <si>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</si>
  <si>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</si>
  <si>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</si>
  <si>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</si>
  <si>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</si>
  <si>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</si>
  <si>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</si>
  <si>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</si>
  <si>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</si>
  <si>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</si>
  <si>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</si>
  <si>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</si>
  <si>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</si>
  <si>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</si>
  <si>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</si>
  <si>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</si>
  <si>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</si>
  <si>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</si>
  <si>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</si>
  <si>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</si>
  <si>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</si>
  <si>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</si>
  <si>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</si>
  <si>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</si>
  <si>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</si>
  <si>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</si>
  <si>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</si>
  <si>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</si>
  <si>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</si>
  <si>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</si>
  <si>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</si>
  <si>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</si>
  <si>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</si>
  <si>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</si>
  <si>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</si>
  <si>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</si>
  <si>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</si>
  <si>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</si>
  <si>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</si>
  <si>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</si>
  <si>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</si>
  <si>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</si>
  <si>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</si>
  <si>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</si>
  <si>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</si>
  <si>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</si>
  <si>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</si>
  <si>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</si>
  <si>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</si>
  <si>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</si>
  <si>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</si>
  <si>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</si>
  <si>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</si>
  <si>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</si>
  <si>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</si>
  <si>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</si>
  <si>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</si>
  <si>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</si>
  <si>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</si>
  <si>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</si>
  <si>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</si>
  <si>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</si>
  <si>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</si>
  <si>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</si>
  <si>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</si>
  <si>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</si>
  <si>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</si>
  <si>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</si>
  <si>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</si>
  <si>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</si>
  <si>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</si>
  <si>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</si>
  <si>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</si>
  <si>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</si>
  <si>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</si>
  <si>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</si>
  <si>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</si>
  <si>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</si>
  <si>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</si>
  <si>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</si>
  <si>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</si>
  <si>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</si>
  <si>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</si>
  <si>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</si>
  <si>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</si>
  <si>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</si>
  <si>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</si>
  <si>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</si>
  <si>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</si>
  <si>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</si>
  <si>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</si>
  <si>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</si>
  <si>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</si>
  <si>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</si>
  <si>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</si>
  <si>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</si>
  <si>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</si>
  <si>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</si>
  <si>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</si>
  <si>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</si>
  <si>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</si>
  <si>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</si>
  <si>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</si>
  <si>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</si>
  <si>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</si>
  <si>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</si>
  <si>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</si>
  <si>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</si>
  <si>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</si>
  <si>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</si>
  <si>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</si>
  <si>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</si>
  <si>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</si>
  <si>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</si>
  <si>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</si>
  <si>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</si>
  <si>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</si>
  <si>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</si>
  <si>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</si>
  <si>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</si>
  <si>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</si>
  <si>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</si>
  <si>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</si>
  <si>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</si>
  <si>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</si>
  <si>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</si>
  <si>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</si>
  <si>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</si>
  <si>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</si>
  <si>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</si>
  <si>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</si>
  <si>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</si>
  <si>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</si>
  <si>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</si>
  <si>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</si>
  <si>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</si>
  <si>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</si>
  <si>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</si>
  <si>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</si>
  <si>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</si>
  <si>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</si>
  <si>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</si>
  <si>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</si>
  <si>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</si>
  <si>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</si>
  <si>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</si>
  <si>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</si>
  <si>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</si>
  <si>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</si>
  <si>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</si>
  <si>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</si>
  <si>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</si>
  <si>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</si>
  <si>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</si>
  <si>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</si>
  <si>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</si>
  <si>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</si>
  <si>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</si>
  <si>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</si>
  <si>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</si>
  <si>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</si>
  <si>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</si>
  <si>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</si>
  <si>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</si>
  <si>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</si>
  <si>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</si>
  <si>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</si>
  <si>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</si>
  <si>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</si>
  <si>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</si>
  <si>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</si>
  <si>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</si>
  <si>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</si>
  <si>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</si>
  <si>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</si>
  <si>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</si>
  <si>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</si>
  <si>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</si>
  <si>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</si>
  <si>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</si>
  <si>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</si>
  <si>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</si>
  <si>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</si>
  <si>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</si>
  <si>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</si>
  <si>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</si>
  <si>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</si>
  <si>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</si>
  <si>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</si>
  <si>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</si>
  <si>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</si>
  <si>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</si>
  <si>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</si>
  <si>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</si>
  <si>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</si>
  <si>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</si>
  <si>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</si>
  <si>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</si>
  <si>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</si>
  <si>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</si>
  <si>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</si>
  <si>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</si>
  <si>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</si>
  <si>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</si>
  <si>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</si>
  <si>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</si>
  <si>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</si>
  <si>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</si>
  <si>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</si>
  <si>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</si>
  <si>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</si>
  <si>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</si>
  <si>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</si>
  <si>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</si>
  <si>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</si>
  <si>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</si>
  <si>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</si>
  <si>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</si>
  <si>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</si>
  <si>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</si>
  <si>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</si>
  <si>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</si>
  <si>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</si>
  <si>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</si>
  <si>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</si>
  <si>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</si>
  <si>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</si>
  <si>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</si>
  <si>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</si>
  <si>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</si>
  <si>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</si>
  <si>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</si>
  <si>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</si>
  <si>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</si>
  <si>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</si>
  <si>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</si>
  <si>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</si>
  <si>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</si>
  <si>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</si>
  <si>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</si>
  <si>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</si>
  <si>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</si>
  <si>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</si>
  <si>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</si>
  <si>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</si>
  <si>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</si>
  <si>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</si>
  <si>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</si>
  <si>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</si>
  <si>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</si>
  <si>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</si>
  <si>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</si>
  <si>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</si>
  <si>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</si>
  <si>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</si>
  <si>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</si>
  <si>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</si>
  <si>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</si>
  <si>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</si>
  <si>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</si>
  <si>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</si>
  <si>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</si>
  <si>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</si>
  <si>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</si>
  <si>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</si>
  <si>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</si>
  <si>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</si>
  <si>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</si>
  <si>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</si>
  <si>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</si>
  <si>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</si>
  <si>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</si>
  <si>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</si>
  <si>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</si>
  <si>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</si>
  <si>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</si>
  <si>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</si>
  <si>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</si>
  <si>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</si>
  <si>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</si>
  <si>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</si>
  <si>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</si>
  <si>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</si>
  <si>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</si>
  <si>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</si>
  <si>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</si>
  <si>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</si>
  <si>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</si>
  <si>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</si>
  <si>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</si>
  <si>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</si>
  <si>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</si>
  <si>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</si>
  <si>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</si>
  <si>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</si>
  <si>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</si>
  <si>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</si>
  <si>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</si>
  <si>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</si>
  <si>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</si>
  <si>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</si>
  <si>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</si>
  <si>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</si>
  <si>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</si>
  <si>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</si>
  <si>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</si>
  <si>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</si>
  <si>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</si>
  <si>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</si>
  <si>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</si>
  <si>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</si>
  <si>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</si>
  <si>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</si>
  <si>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</si>
  <si>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</si>
  <si>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</si>
  <si>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</si>
  <si>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</si>
  <si>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</si>
  <si>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</si>
  <si>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</si>
  <si>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</si>
  <si>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</si>
  <si>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</si>
  <si>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</si>
  <si>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</si>
  <si>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</si>
  <si>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</si>
  <si>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</si>
  <si>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</si>
  <si>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</si>
  <si>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</si>
  <si>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</si>
  <si>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</si>
  <si>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</si>
  <si>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</si>
  <si>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</si>
  <si>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</si>
  <si>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</si>
  <si>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</si>
  <si>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</si>
  <si>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</si>
  <si>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</si>
  <si>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</si>
  <si>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</si>
  <si>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</si>
  <si>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</si>
  <si>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</si>
  <si>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</si>
  <si>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</si>
  <si>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</si>
  <si>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</si>
  <si>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</si>
  <si>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</si>
  <si>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</si>
  <si>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</si>
  <si>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</si>
  <si>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</si>
  <si>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</si>
  <si>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</si>
  <si>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</si>
  <si>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</si>
  <si>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</si>
  <si>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</si>
  <si>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</si>
  <si>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</si>
  <si>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</si>
  <si>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</si>
  <si>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</si>
  <si>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</si>
  <si>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</si>
  <si>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</si>
  <si>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</si>
  <si>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</si>
  <si>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</si>
  <si>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</si>
  <si>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</si>
  <si>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</si>
  <si>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</si>
  <si>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</si>
  <si>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</si>
  <si>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</si>
  <si>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</si>
  <si>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</si>
  <si>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</si>
  <si>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</si>
  <si>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</si>
  <si>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</si>
  <si>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</si>
  <si>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</si>
  <si>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</si>
  <si>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</si>
  <si>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</si>
  <si>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</si>
  <si>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</si>
  <si>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</si>
  <si>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</si>
  <si>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</si>
  <si>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</si>
  <si>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</si>
  <si>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</si>
  <si>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</si>
  <si>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</si>
  <si>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</si>
  <si>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</si>
  <si>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</si>
  <si>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</si>
  <si>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</si>
  <si>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</si>
  <si>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</si>
  <si>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</si>
  <si>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</si>
  <si>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</si>
  <si>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</si>
  <si>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</si>
  <si>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</si>
  <si>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</si>
  <si>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</si>
  <si>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</si>
  <si>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</si>
  <si>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</si>
  <si>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</si>
  <si>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</si>
  <si>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</si>
  <si>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</si>
  <si>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</si>
  <si>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</si>
  <si>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</si>
  <si>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</si>
  <si>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</si>
  <si>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</si>
  <si>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</si>
  <si>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</si>
  <si>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</si>
  <si>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</si>
  <si>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</si>
  <si>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</si>
  <si>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</si>
  <si>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</si>
  <si>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</si>
  <si>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</si>
  <si>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</si>
  <si>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</si>
  <si>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</si>
  <si>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</si>
  <si>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</si>
  <si>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</si>
  <si>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</si>
  <si>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</si>
  <si>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</si>
  <si>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</si>
  <si>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</si>
  <si>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</si>
  <si>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</si>
  <si>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</si>
  <si>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</si>
  <si>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</si>
  <si>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</si>
  <si>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</si>
  <si>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</si>
  <si>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</si>
  <si>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</si>
  <si>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</si>
  <si>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</si>
  <si>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</si>
  <si>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</si>
  <si>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</si>
  <si>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</si>
  <si>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</si>
  <si>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</si>
  <si>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</si>
  <si>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</si>
  <si>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</si>
  <si>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</si>
  <si>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</si>
  <si>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</si>
  <si>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</si>
  <si>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</si>
  <si>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</si>
  <si>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</si>
  <si>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</si>
  <si>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</si>
  <si>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</si>
  <si>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</si>
  <si>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</si>
  <si>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</si>
  <si>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</si>
  <si>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</si>
  <si>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</si>
  <si>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</si>
  <si>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</si>
  <si>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</si>
  <si>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</si>
  <si>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</si>
  <si>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</si>
  <si>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</si>
  <si>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</si>
  <si>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</si>
  <si>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</si>
  <si>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</si>
  <si>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</si>
  <si>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</si>
  <si>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</si>
  <si>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</si>
  <si>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</si>
  <si>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</si>
  <si>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</si>
  <si>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</si>
  <si>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</si>
  <si>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</si>
  <si>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</si>
  <si>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</si>
  <si>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</si>
  <si>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</si>
  <si>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</si>
  <si>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</si>
  <si>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</si>
  <si>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</si>
  <si>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</si>
  <si>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</si>
  <si>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</si>
  <si>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</si>
  <si>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</si>
  <si>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</si>
  <si>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</si>
  <si>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</si>
  <si>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</si>
  <si>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</si>
  <si>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</si>
  <si>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</si>
  <si>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</si>
  <si>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</si>
  <si>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</si>
  <si>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</si>
  <si>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</si>
  <si>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</si>
  <si>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</si>
  <si>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</si>
  <si>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</si>
  <si>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</si>
  <si>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</si>
  <si>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</si>
  <si>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</si>
  <si>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</si>
  <si>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</si>
  <si>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</si>
  <si>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</si>
  <si>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</si>
  <si>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</si>
  <si>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</si>
  <si>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</si>
  <si>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</si>
  <si>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</si>
  <si>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</si>
  <si>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</si>
  <si>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</si>
  <si>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</si>
  <si>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</si>
  <si>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</si>
  <si>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</si>
  <si>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</si>
  <si>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</si>
  <si>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</si>
  <si>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</si>
  <si>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</si>
  <si>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</si>
  <si>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</si>
  <si>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</si>
  <si>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</si>
  <si>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</si>
  <si>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</si>
  <si>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</si>
  <si>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</si>
  <si>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</si>
  <si>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</si>
  <si>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</si>
  <si>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</si>
  <si>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</si>
  <si>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</si>
  <si>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</si>
  <si>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</si>
  <si>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</si>
  <si>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</si>
  <si>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</si>
  <si>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</si>
  <si>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</si>
  <si>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</si>
  <si>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</si>
  <si>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</si>
  <si>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</si>
  <si>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</si>
  <si>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</si>
  <si>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</si>
  <si>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</si>
  <si>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</si>
  <si>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</si>
  <si>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</si>
  <si>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</si>
  <si>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</si>
  <si>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</si>
  <si>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</si>
  <si>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</si>
  <si>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</si>
  <si>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</si>
  <si>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</si>
  <si>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</si>
  <si>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</si>
  <si>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</si>
  <si>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</si>
  <si>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</si>
  <si>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</si>
  <si>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</si>
  <si>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</si>
  <si>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</si>
  <si>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</si>
  <si>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</si>
  <si>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</si>
  <si>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</si>
  <si>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</si>
  <si>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</si>
  <si>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</si>
  <si>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</si>
  <si>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</si>
  <si>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</si>
  <si>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</si>
  <si>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</si>
  <si>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</si>
  <si>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</si>
  <si>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</si>
  <si>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</si>
  <si>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</si>
  <si>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</si>
  <si>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</si>
  <si>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</si>
  <si>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</si>
  <si>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</si>
  <si>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</si>
  <si>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</si>
  <si>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</si>
  <si>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</si>
  <si>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</si>
  <si>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</si>
  <si>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</si>
  <si>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</si>
  <si>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</si>
  <si>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</si>
  <si>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</si>
  <si>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</si>
  <si>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</si>
  <si>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</si>
  <si>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</si>
  <si>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</si>
  <si>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</si>
  <si>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</si>
  <si>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</si>
  <si>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</si>
  <si>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</si>
  <si>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</si>
  <si>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</si>
  <si>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</si>
  <si>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</si>
  <si>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</si>
  <si>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</si>
  <si>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</si>
  <si>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</si>
  <si>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</si>
  <si>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</si>
  <si>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</si>
  <si>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</si>
  <si>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</si>
  <si>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</si>
  <si>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</si>
  <si>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</si>
  <si>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</si>
  <si>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</si>
  <si>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</si>
  <si>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</si>
  <si>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</si>
  <si>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</si>
  <si>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</si>
  <si>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</si>
  <si>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</si>
  <si>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</si>
  <si>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</si>
  <si>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</si>
  <si>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</si>
  <si>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</si>
  <si>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</si>
  <si>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</si>
  <si>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</si>
  <si>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</si>
  <si>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</si>
  <si>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</si>
  <si>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</si>
  <si>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</si>
  <si>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</si>
  <si>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</si>
  <si>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</si>
  <si>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</si>
  <si>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</si>
  <si>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</si>
  <si>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</si>
  <si>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</si>
  <si>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</si>
  <si>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</si>
  <si>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</si>
  <si>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</si>
  <si>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</si>
  <si>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</si>
  <si>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</si>
  <si>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</si>
  <si>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</si>
  <si>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</si>
  <si>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</si>
  <si>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</si>
  <si>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</si>
  <si>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</si>
  <si>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</si>
  <si>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</si>
  <si>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</si>
  <si>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</si>
  <si>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</si>
  <si>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</si>
  <si>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</si>
  <si>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</si>
  <si>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</si>
  <si>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</si>
  <si>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</si>
  <si>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</si>
  <si>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</si>
  <si>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</si>
  <si>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</si>
  <si>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</si>
  <si>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</si>
  <si>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</si>
  <si>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</si>
  <si>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</si>
  <si>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</si>
  <si>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</si>
  <si>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</si>
  <si>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</si>
  <si>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</si>
  <si>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</si>
  <si>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</si>
  <si>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</si>
  <si>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</si>
  <si>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</si>
  <si>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</si>
  <si>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</si>
  <si>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</si>
  <si>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</si>
  <si>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</si>
  <si>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</si>
  <si>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</si>
  <si>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</si>
  <si>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</si>
  <si>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</si>
  <si>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</si>
  <si>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</si>
  <si>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</si>
  <si>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</si>
  <si>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</si>
  <si>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</si>
  <si>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</si>
  <si>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</si>
  <si>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</si>
  <si>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</si>
  <si>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</si>
  <si>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</si>
  <si>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</si>
  <si>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</si>
  <si>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</si>
  <si>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</si>
  <si>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</si>
  <si>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</si>
  <si>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</si>
  <si>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</si>
  <si>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</si>
  <si>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</si>
  <si>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</si>
  <si>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</si>
  <si>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</si>
  <si>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</si>
  <si>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</si>
  <si>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</si>
  <si>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</si>
  <si>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</si>
  <si>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</si>
  <si>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</si>
  <si>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</si>
  <si>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</si>
  <si>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</si>
  <si>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</si>
  <si>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</si>
  <si>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</si>
  <si>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</si>
  <si>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</si>
  <si>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</si>
  <si>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</si>
  <si>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</si>
  <si>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</si>
  <si>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</si>
  <si>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</si>
  <si>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</si>
  <si>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</si>
  <si>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</si>
  <si>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</si>
  <si>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</si>
  <si>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</si>
  <si>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</si>
  <si>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</si>
  <si>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</si>
  <si>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</si>
  <si>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</si>
  <si>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</si>
  <si>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</si>
  <si>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</si>
  <si>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</si>
  <si>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</si>
  <si>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</si>
  <si>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</si>
  <si>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</si>
  <si>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</si>
  <si>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</si>
  <si>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</si>
  <si>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</si>
  <si>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</si>
  <si>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</si>
  <si>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</si>
  <si>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</si>
  <si>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</si>
  <si>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</si>
  <si>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</si>
  <si>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</si>
  <si>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</si>
  <si>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</si>
  <si>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</si>
  <si>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</si>
  <si>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</si>
  <si>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</si>
  <si>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</si>
  <si>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</si>
  <si>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</si>
  <si>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</si>
  <si>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</si>
  <si>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</si>
  <si>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</si>
  <si>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</si>
  <si>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</si>
  <si>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</si>
  <si>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</si>
  <si>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</si>
  <si>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</si>
  <si>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</si>
  <si>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</si>
  <si>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</si>
  <si>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</si>
  <si>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</si>
  <si>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</si>
  <si>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</si>
  <si>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</si>
  <si>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</si>
  <si>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</si>
  <si>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</si>
  <si>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</si>
  <si>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</si>
  <si>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</si>
  <si>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</si>
  <si>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</si>
  <si>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</si>
  <si>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</si>
  <si>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</si>
  <si>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</si>
  <si>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</si>
  <si>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</si>
  <si>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</si>
  <si>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</si>
  <si>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</si>
  <si>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</si>
  <si>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</si>
  <si>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</si>
  <si>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</si>
  <si>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</si>
  <si>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</si>
  <si>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</si>
  <si>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</si>
  <si>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</si>
  <si>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</si>
  <si>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</si>
  <si>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</si>
  <si>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</si>
  <si>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</si>
  <si>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</si>
  <si>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</si>
  <si>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</si>
  <si>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</si>
  <si>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</si>
  <si>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</si>
  <si>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</si>
  <si>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</si>
  <si>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</si>
  <si>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</si>
  <si>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</si>
  <si>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</si>
  <si>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</si>
  <si>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ReportingLevel</t>
  </si>
  <si>
    <t>lvl</t>
  </si>
  <si>
    <t>Dumfries and Gallowa</t>
  </si>
  <si>
    <t>Stirling and Clackmannanshire</t>
  </si>
  <si>
    <t>Sum of Operational Crewing</t>
  </si>
  <si>
    <t>Sum of Incident Command Officers</t>
  </si>
  <si>
    <t>Sum of Office Duties</t>
  </si>
  <si>
    <t>Sum of Trainees</t>
  </si>
  <si>
    <t>(All)</t>
  </si>
  <si>
    <t>04:National</t>
  </si>
  <si>
    <t>04:National Total</t>
  </si>
  <si>
    <t>Perth &amp; Kinross</t>
  </si>
  <si>
    <t>Argyll &amp; Bute</t>
  </si>
  <si>
    <t>EmployeeGroup</t>
  </si>
  <si>
    <t>Watch Manger</t>
  </si>
  <si>
    <t/>
  </si>
  <si>
    <t>S39000019</t>
  </si>
  <si>
    <t>S39000012</t>
  </si>
  <si>
    <t>S39000014</t>
  </si>
  <si>
    <t>S39000016</t>
  </si>
  <si>
    <t>4:SDA</t>
  </si>
  <si>
    <t>Total Total</t>
  </si>
  <si>
    <t>Total Sum of White</t>
  </si>
  <si>
    <t>Total Sum of Ethnic Minority</t>
  </si>
  <si>
    <t>Total Sum of Not Stated</t>
  </si>
  <si>
    <t>Other Fleet Vehicles (excl Officer Response Vehicles)</t>
  </si>
  <si>
    <t>Total Vehicles (incl boats)</t>
  </si>
  <si>
    <t>Other Operational</t>
  </si>
  <si>
    <t>Sum of Resilience Appliances</t>
  </si>
  <si>
    <t>Sum of Vehicles for Rescue Work</t>
  </si>
  <si>
    <t>Sum of Other Operational</t>
  </si>
  <si>
    <t>Sum of Total Appliances</t>
  </si>
  <si>
    <t>Percentage of Visits</t>
  </si>
  <si>
    <t>Total (excluding volunters)</t>
  </si>
  <si>
    <t>LA</t>
  </si>
  <si>
    <t>31 August 2021</t>
  </si>
  <si>
    <t>LACode</t>
  </si>
  <si>
    <t>SFRSLSO</t>
  </si>
  <si>
    <t>LSOCode</t>
  </si>
  <si>
    <t>SDACode</t>
  </si>
  <si>
    <t>Sum of pcAlarmsFitted</t>
  </si>
  <si>
    <t>NULL</t>
  </si>
  <si>
    <t>Sum of WT</t>
  </si>
  <si>
    <t>Sum of Vol</t>
  </si>
  <si>
    <t>Sum of RDS Fulltime</t>
  </si>
  <si>
    <t>Unit</t>
  </si>
  <si>
    <t>Health, Safety and Organisational Wellbeing</t>
  </si>
  <si>
    <t>Human Resources Organisational Development</t>
  </si>
  <si>
    <t>Directorate</t>
  </si>
  <si>
    <t>Projects</t>
  </si>
  <si>
    <t>Finance &amp; Contractual Services</t>
  </si>
  <si>
    <t>People &amp;  Organisational Development</t>
  </si>
  <si>
    <t>Service Development</t>
  </si>
  <si>
    <t>Strategic Leadership Team</t>
  </si>
  <si>
    <t>Strategic Planning, Performance &amp; Communication</t>
  </si>
  <si>
    <t>Corporate Governance</t>
  </si>
  <si>
    <t>Prevention &amp; Protection</t>
  </si>
  <si>
    <t>Local Senior Officer Areas</t>
  </si>
  <si>
    <t>Training, Safety &amp; Assurance</t>
  </si>
  <si>
    <t>Safety &amp; Assurance</t>
  </si>
  <si>
    <t>Communications and Engagement</t>
  </si>
  <si>
    <t>Operations</t>
  </si>
  <si>
    <t>Information Communication Technology</t>
  </si>
  <si>
    <t>Training</t>
  </si>
  <si>
    <t>Objects thrown</t>
  </si>
  <si>
    <t>*The number of Site Visits completed in 2019-20 may be revised in 2022. This is due to take place as administrative changes following the introduction of new software may have resulted in an undercount with some Site Visits being subsumed into other workstreams. Additional quality assurance will take place in the next year to resolve this issue.</t>
  </si>
  <si>
    <t>Team 
Leader</t>
  </si>
  <si>
    <t>Specialist/ Technical</t>
  </si>
  <si>
    <t>Admin-istration</t>
  </si>
  <si>
    <t>S39000020</t>
  </si>
  <si>
    <t>S39000021</t>
  </si>
  <si>
    <t>0</t>
  </si>
  <si>
    <t>RDS Fulltime Total</t>
  </si>
  <si>
    <t>Retained Fulltime (total)</t>
  </si>
  <si>
    <t>Retained Full-time staff have been added to this set of statistics in 2020-21.</t>
  </si>
  <si>
    <t>Support staff had previously been reported at Service Delivery Areas as well as nationally. However, after investigating the role of staff in each category, we determined that it is more reasonable to count all support staff at national level. This has been backdated.</t>
  </si>
  <si>
    <t>S91999999</t>
  </si>
  <si>
    <t>S92000001</t>
  </si>
  <si>
    <t>S92000002</t>
  </si>
  <si>
    <t>S92000000</t>
  </si>
  <si>
    <t>This table maps the geographic areas in the SFRS organisational structure. The 32 Local Authority Areas are mapped to the 17 Formal Local Senior Officer Areas, the 16 Local Senior Officer Areas in use by SFRS, and 3 Service Delivery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</si>
</sst>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 #,##0_);_(* \(#,##0\);_(* &quot;-&quot;_);_(@_)"/>
    <numFmt numFmtId="165" formatCode="_(* #,##0.00_);_(* \(#,##0.00\);_(* &quot;-&quot;??_);_(@_)"/>
    <numFmt numFmtId="166" formatCode="_-* #,##0_-;\-* #,##0_-;_-* &quot;-&quot;??_-;_-@_-"/>
    <numFmt numFmtId="167" formatCode="#,##0_ ;\-#,##0\ "/>
    <numFmt numFmtId="168" formatCode="0.0%"/>
    <numFmt numFmtId="169" formatCode="_-* #,##0_-;\-* #,##0_-;_-* &quot;- &quot;"/>
    <numFmt numFmtId="170" formatCode="_-* #,##0\ ;\-* #,##0\ ;_-* &quot;-&quot;\ "/>
    <numFmt numFmtId="171" formatCode="_-* #,##0_-;\-* #,##0_-;_-* &quot;- &quot;;_-@_-"/>
    <numFmt numFmtId="172" formatCode="0.0"/>
    <numFmt numFmtId="173" formatCode="#,##0.0"/>
    <numFmt numFmtId="174" formatCode="#,##0;\ \-#,##0;\ &quot;- &quot;"/>
    <numFmt numFmtId="175" formatCode="_-* #,##0.0_-;\-* #,##0.0_-;_-* &quot;- &quot;"/>
    <numFmt numFmtId="176" formatCode="#,##0.00;[Red]\ \ \-\ #,##0.00\ ;&quot;-&quot;"/>
    <numFmt numFmtId="177" formatCode="#,##0.0_ ;\-#,##0.0\ "/>
    <numFmt numFmtId="178" formatCode="_-* #,##0.0_-;\-* #,##0.0_-;_-* &quot;-&quot;?_-;_-@_-"/>
  </numFmts>
  <fonts count="53" x14ac:knownFonts="1">
    <font>
      <sz val="11"/>
      <color theme="1"/>
      <name val="Calibri"/>
      <family val="2"/>
      <scheme val="minor"/>
    </font>
    <font>
      <sz val="11"/>
      <color theme="1"/>
      <name val="Calibri"/>
      <family val="2"/>
      <scheme val="minor"/>
    </font>
    <font>
      <sz val="12"/>
      <color rgb="FF000000"/>
      <name val="Calibri"/>
      <family val="2"/>
    </font>
    <font>
      <u/>
      <sz val="10"/>
      <color indexed="12"/>
      <name val="Arial"/>
      <family val="2"/>
    </font>
    <font>
      <sz val="10"/>
      <name val="Arial"/>
      <family val="2"/>
    </font>
    <font>
      <sz val="12"/>
      <name val="Arial"/>
      <family val="2"/>
    </font>
    <font>
      <sz val="14"/>
      <name val="Arial"/>
      <family val="2"/>
    </font>
    <font>
      <b/>
      <sz val="12"/>
      <name val="Arial"/>
      <family val="2"/>
    </font>
    <font>
      <b/>
      <sz val="10"/>
      <name val="Arial"/>
      <family val="2"/>
    </font>
    <font>
      <b/>
      <i/>
      <sz val="10"/>
      <name val="Arial"/>
      <family val="2"/>
    </font>
    <font>
      <i/>
      <sz val="10"/>
      <name val="Arial"/>
      <family val="2"/>
    </font>
    <font>
      <sz val="10"/>
      <color rgb="FFFF0000"/>
      <name val="Arial"/>
      <family val="2"/>
    </font>
    <font>
      <sz val="11"/>
      <name val="Arial"/>
      <family val="2"/>
    </font>
    <font>
      <b/>
      <sz val="11"/>
      <name val="Arial"/>
      <family val="2"/>
    </font>
    <font>
      <sz val="10"/>
      <color indexed="8"/>
      <name val="Arial"/>
      <family val="2"/>
    </font>
    <font>
      <b/>
      <sz val="11"/>
      <name val="Calibri"/>
      <family val="2"/>
      <scheme val="minor"/>
    </font>
    <font>
      <b/>
      <sz val="18"/>
      <color indexed="56"/>
      <name val="Arial"/>
      <family val="2"/>
    </font>
    <font>
      <u/>
      <sz val="10"/>
      <name val="Arial"/>
      <family val="2"/>
    </font>
    <font>
      <b/>
      <sz val="9"/>
      <name val="Arial"/>
      <family val="2"/>
    </font>
    <font>
      <b/>
      <sz val="15"/>
      <color indexed="56"/>
      <name val="Calibri"/>
      <family val="2"/>
    </font>
    <font>
      <b/>
      <sz val="13"/>
      <color indexed="56"/>
      <name val="Calibri"/>
      <family val="2"/>
    </font>
    <font>
      <b/>
      <i/>
      <sz val="11"/>
      <name val="Arial"/>
      <family val="2"/>
    </font>
    <font>
      <sz val="10"/>
      <color theme="1"/>
      <name val="Arial"/>
      <family val="2"/>
    </font>
    <font>
      <sz val="12"/>
      <color theme="1"/>
      <name val="Calibri"/>
      <family val="2"/>
      <scheme val="minor"/>
    </font>
    <font>
      <b/>
      <sz val="11"/>
      <color theme="1"/>
      <name val="Calibri"/>
      <family val="2"/>
      <scheme val="minor"/>
    </font>
    <font>
      <sz val="11"/>
      <color theme="0"/>
      <name val="Calibri"/>
      <family val="2"/>
      <scheme val="minor"/>
    </font>
    <font>
      <b/>
      <i/>
      <sz val="9"/>
      <name val="Arial"/>
      <family val="2"/>
    </font>
    <font>
      <b/>
      <sz val="16"/>
      <color theme="1" tint="0.249977111117893"/>
      <name val="Calibri"/>
      <family val="2"/>
      <scheme val="minor"/>
    </font>
    <font>
      <sz val="12"/>
      <color rgb="FF000000"/>
      <name val="Calibri"/>
      <family val="2"/>
      <scheme val="minor"/>
    </font>
    <font>
      <i/>
      <sz val="12"/>
      <color rgb="FF000000"/>
      <name val="Calibri"/>
      <family val="2"/>
      <scheme val="minor"/>
    </font>
    <font>
      <vertAlign val="superscript"/>
      <sz val="12"/>
      <color rgb="FF000000"/>
      <name val="Calibri"/>
      <family val="2"/>
      <scheme val="minor"/>
    </font>
    <font>
      <sz val="11"/>
      <color theme="1"/>
      <name val="Arial"/>
      <family val="2"/>
    </font>
    <font>
      <sz val="11"/>
      <name val="Calibri"/>
      <family val="2"/>
      <scheme val="minor"/>
    </font>
    <font>
      <sz val="11"/>
      <color rgb="FF000000"/>
      <name val="Calibri"/>
      <family val="2"/>
      <scheme val="minor"/>
    </font>
    <font>
      <u/>
      <sz val="11"/>
      <color indexed="12"/>
      <name val="Calibri"/>
      <family val="2"/>
      <scheme val="minor"/>
    </font>
    <font>
      <b/>
      <i/>
      <sz val="11"/>
      <name val="Calibri"/>
      <family val="2"/>
      <scheme val="minor"/>
    </font>
    <font>
      <i/>
      <sz val="11"/>
      <name val="Calibri"/>
      <family val="2"/>
      <scheme val="minor"/>
    </font>
    <font>
      <sz val="11"/>
      <color theme="1"/>
      <name val="Calibri"/>
      <family val="2"/>
    </font>
    <font>
      <u/>
      <sz val="12"/>
      <color indexed="12"/>
      <name val="Calibri"/>
      <family val="2"/>
      <scheme val="minor"/>
    </font>
    <font>
      <b/>
      <sz val="18"/>
      <color theme="1" tint="0.249977111117893"/>
      <name val="Calibri"/>
      <family val="2"/>
      <scheme val="minor"/>
    </font>
    <font>
      <sz val="11"/>
      <color rgb="FFFF0000"/>
      <name val="Calibri"/>
      <family val="2"/>
      <scheme val="minor"/>
    </font>
    <font>
      <b/>
      <u/>
      <sz val="12"/>
      <name val="Arial"/>
      <family val="2"/>
    </font>
    <font>
      <b/>
      <sz val="11"/>
      <color theme="1" tint="0.14999847407452621"/>
      <name val="Calibri"/>
      <family val="2"/>
      <scheme val="minor"/>
    </font>
    <font>
      <sz val="11"/>
      <color theme="1" tint="0.14999847407452621"/>
      <name val="Calibri"/>
      <family val="2"/>
      <scheme val="minor"/>
    </font>
    <font>
      <i/>
      <sz val="11"/>
      <color theme="1"/>
      <name val="Calibri"/>
      <family val="2"/>
      <scheme val="minor"/>
    </font>
    <font>
      <b/>
      <i/>
      <u/>
      <sz val="11"/>
      <color theme="1"/>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Arial"/>
      <family val="2"/>
    </font>
    <font>
      <sz val="14"/>
      <color theme="1"/>
      <name val="Calibri"/>
      <family val="2"/>
      <scheme val="minor"/>
    </font>
    <font>
      <b/>
      <i/>
      <sz val="11"/>
      <color theme="1"/>
      <name val="Calibri"/>
      <family val="2"/>
      <scheme val="minor"/>
    </font>
    <font>
      <b/>
      <sz val="11"/>
      <color theme="1"/>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theme="4" tint="0.79998168889431442"/>
      </patternFill>
    </fill>
  </fills>
  <borders count="33">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theme="4"/>
      </top>
      <bottom/>
      <diagonal/>
    </border>
    <border>
      <left/>
      <right/>
      <top/>
      <bottom style="thick">
        <color indexed="22"/>
      </bottom>
      <diagonal/>
    </border>
    <border>
      <left/>
      <right/>
      <top style="thin">
        <color theme="1"/>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right/>
      <top style="medium">
        <color indexed="64"/>
      </top>
      <bottom/>
      <diagonal/>
    </border>
    <border>
      <left/>
      <right style="thin">
        <color indexed="64"/>
      </right>
      <top/>
      <bottom style="medium">
        <color indexed="64"/>
      </bottom>
      <diagonal/>
    </border>
    <border>
      <left/>
      <right/>
      <top/>
      <bottom style="thin">
        <color theme="4" tint="0.39997558519241921"/>
      </bottom>
      <diagonal/>
    </border>
    <border>
      <left style="thin">
        <color indexed="64"/>
      </left>
      <right style="thin">
        <color indexed="64"/>
      </right>
      <top style="thin">
        <color theme="1"/>
      </top>
      <bottom/>
      <diagonal/>
    </border>
    <border>
      <left/>
      <right style="thin">
        <color indexed="64"/>
      </right>
      <top style="thin">
        <color indexed="64"/>
      </top>
      <bottom style="medium">
        <color indexed="64"/>
      </bottom>
      <diagonal/>
    </border>
  </borders>
  <cellStyleXfs count="2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4" fillId="0" borderId="0"/>
    <xf numFmtId="0" fontId="14" fillId="0" borderId="0"/>
    <xf numFmtId="0" fontId="4" fillId="0" borderId="0"/>
    <xf numFmtId="0" fontId="14" fillId="0" borderId="0"/>
    <xf numFmtId="0" fontId="16" fillId="0" borderId="0" applyNumberFormat="0" applyFill="0" applyBorder="0" applyProtection="0">
      <alignment wrapText="1"/>
    </xf>
    <xf numFmtId="0" fontId="14" fillId="0" borderId="0"/>
    <xf numFmtId="0" fontId="14" fillId="0" borderId="0"/>
    <xf numFmtId="0" fontId="19" fillId="0" borderId="0" applyNumberFormat="0" applyFill="0" applyAlignment="0" applyProtection="0"/>
    <xf numFmtId="0" fontId="14" fillId="0" borderId="0"/>
    <xf numFmtId="0" fontId="14" fillId="0" borderId="0"/>
    <xf numFmtId="0" fontId="20" fillId="0" borderId="7" applyNumberFormat="0" applyFill="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14" fillId="0" borderId="0"/>
    <xf numFmtId="0" fontId="22" fillId="0" borderId="0"/>
    <xf numFmtId="165" fontId="22" fillId="0" borderId="0" applyFont="0" applyFill="0" applyBorder="0" applyAlignment="0" applyProtection="0"/>
    <xf numFmtId="9" fontId="22" fillId="0" borderId="0" applyFont="0" applyFill="0" applyBorder="0" applyAlignment="0" applyProtection="0"/>
  </cellStyleXfs>
  <cellXfs count="1218">
    <xf numFmtId="0" fontId="0" fillId="0" borderId="0" xfId="0"/>
    <xf numFmtId="0" fontId="6" fillId="2" borderId="0" xfId="0" applyFont="1" applyFill="1"/>
    <xf numFmtId="0" fontId="8" fillId="0" borderId="1" xfId="0" applyFont="1" applyFill="1" applyBorder="1"/>
    <xf numFmtId="0" fontId="8" fillId="0" borderId="1" xfId="0" applyFont="1" applyFill="1" applyBorder="1" applyAlignment="1">
      <alignment horizontal="right" wrapText="1"/>
    </xf>
    <xf numFmtId="0" fontId="8" fillId="0" borderId="0" xfId="0" applyFont="1" applyFill="1" applyBorder="1" applyAlignment="1">
      <alignment horizontal="right" wrapText="1"/>
    </xf>
    <xf numFmtId="0" fontId="8" fillId="0" borderId="0" xfId="0" applyFont="1" applyFill="1" applyBorder="1" applyAlignment="1">
      <alignment horizontal="left"/>
    </xf>
    <xf numFmtId="0" fontId="8" fillId="0" borderId="0" xfId="0" applyFont="1" applyFill="1" applyBorder="1" applyAlignment="1">
      <alignment horizontal="left" vertical="center"/>
    </xf>
    <xf numFmtId="0" fontId="6" fillId="0" borderId="0" xfId="0" applyFont="1" applyFill="1"/>
    <xf numFmtId="0" fontId="8" fillId="0" borderId="0" xfId="0" applyFont="1" applyFill="1" applyBorder="1" applyAlignment="1">
      <alignment vertical="center" wrapText="1"/>
    </xf>
    <xf numFmtId="167" fontId="4" fillId="0" borderId="2" xfId="0" applyNumberFormat="1" applyFont="1" applyFill="1" applyBorder="1"/>
    <xf numFmtId="0" fontId="9" fillId="0" borderId="3" xfId="0" applyFont="1" applyFill="1" applyBorder="1" applyAlignment="1">
      <alignment wrapText="1"/>
    </xf>
    <xf numFmtId="168" fontId="10" fillId="0" borderId="3" xfId="2" applyNumberFormat="1" applyFont="1" applyFill="1" applyBorder="1" applyAlignment="1">
      <alignment horizontal="right" wrapText="1"/>
    </xf>
    <xf numFmtId="0" fontId="8" fillId="0" borderId="0" xfId="0" applyFont="1" applyFill="1" applyBorder="1"/>
    <xf numFmtId="0" fontId="4" fillId="0" borderId="0" xfId="0" applyFont="1" applyFill="1" applyBorder="1" applyAlignment="1">
      <alignment horizontal="right" wrapText="1"/>
    </xf>
    <xf numFmtId="166" fontId="4" fillId="0" borderId="0" xfId="0" applyNumberFormat="1" applyFont="1" applyFill="1" applyBorder="1" applyAlignment="1">
      <alignment horizontal="right" wrapText="1"/>
    </xf>
    <xf numFmtId="0" fontId="4" fillId="0" borderId="0" xfId="0" applyFont="1" applyFill="1"/>
    <xf numFmtId="0" fontId="6" fillId="0" borderId="0" xfId="0" applyFont="1" applyFill="1" applyBorder="1"/>
    <xf numFmtId="0" fontId="8" fillId="0" borderId="1" xfId="0" applyFont="1" applyFill="1" applyBorder="1" applyAlignment="1">
      <alignment horizontal="left"/>
    </xf>
    <xf numFmtId="0" fontId="6" fillId="0" borderId="0" xfId="0" applyFont="1" applyFill="1" applyBorder="1" applyAlignment="1">
      <alignment vertical="center"/>
    </xf>
    <xf numFmtId="3" fontId="8" fillId="0" borderId="0" xfId="0" applyNumberFormat="1" applyFont="1" applyFill="1" applyBorder="1" applyAlignment="1">
      <alignment horizontal="right" vertical="center" wrapText="1"/>
    </xf>
    <xf numFmtId="0" fontId="4" fillId="0" borderId="0" xfId="0" applyFont="1" applyFill="1" applyBorder="1" applyAlignment="1">
      <alignment vertical="center"/>
    </xf>
    <xf numFmtId="0" fontId="4" fillId="0" borderId="1" xfId="0" applyFont="1" applyFill="1" applyBorder="1"/>
    <xf numFmtId="0" fontId="8" fillId="0" borderId="0" xfId="0" applyFont="1" applyFill="1" applyBorder="1" applyAlignment="1">
      <alignment wrapText="1"/>
    </xf>
    <xf numFmtId="1" fontId="4" fillId="0" borderId="0" xfId="0" applyNumberFormat="1" applyFont="1" applyFill="1" applyBorder="1"/>
    <xf numFmtId="0" fontId="4" fillId="0" borderId="0" xfId="0" applyFont="1" applyFill="1" applyAlignment="1">
      <alignment wrapText="1"/>
    </xf>
    <xf numFmtId="0" fontId="4" fillId="0" borderId="0" xfId="0" applyFont="1" applyFill="1" applyBorder="1"/>
    <xf numFmtId="168" fontId="4" fillId="0" borderId="0" xfId="0" applyNumberFormat="1" applyFont="1" applyFill="1" applyAlignment="1">
      <alignment horizontal="right" wrapText="1"/>
    </xf>
    <xf numFmtId="0" fontId="8" fillId="0" borderId="0" xfId="0" applyFont="1" applyFill="1"/>
    <xf numFmtId="0" fontId="4" fillId="2" borderId="0" xfId="0" applyFont="1" applyFill="1"/>
    <xf numFmtId="0" fontId="7" fillId="0" borderId="1" xfId="0" applyFont="1" applyFill="1" applyBorder="1" applyAlignment="1">
      <alignment horizontal="left" vertical="center" wrapText="1"/>
    </xf>
    <xf numFmtId="164" fontId="4" fillId="0" borderId="0" xfId="0" applyNumberFormat="1" applyFont="1" applyFill="1" applyAlignment="1">
      <alignment horizontal="right"/>
    </xf>
    <xf numFmtId="0" fontId="8" fillId="0" borderId="3" xfId="0" applyFont="1" applyFill="1" applyBorder="1" applyAlignment="1">
      <alignment vertical="center"/>
    </xf>
    <xf numFmtId="9" fontId="9" fillId="0" borderId="4" xfId="0" applyNumberFormat="1"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9" fontId="8" fillId="0" borderId="0" xfId="0" applyNumberFormat="1" applyFont="1" applyFill="1" applyBorder="1" applyAlignment="1">
      <alignment vertical="center"/>
    </xf>
    <xf numFmtId="0" fontId="8" fillId="0" borderId="5" xfId="0" applyFont="1" applyFill="1" applyBorder="1" applyAlignment="1">
      <alignment horizontal="center" wrapText="1"/>
    </xf>
    <xf numFmtId="0" fontId="8" fillId="0" borderId="2" xfId="0" applyFont="1" applyFill="1" applyBorder="1"/>
    <xf numFmtId="0" fontId="8" fillId="0" borderId="4" xfId="0" applyFont="1" applyFill="1" applyBorder="1" applyAlignment="1">
      <alignment vertical="center"/>
    </xf>
    <xf numFmtId="0" fontId="4" fillId="0" borderId="0" xfId="0" applyFont="1" applyFill="1" applyBorder="1" applyAlignment="1">
      <alignment wrapText="1"/>
    </xf>
    <xf numFmtId="0" fontId="8" fillId="0" borderId="3" xfId="0" applyFont="1" applyFill="1" applyBorder="1"/>
    <xf numFmtId="0" fontId="4" fillId="0" borderId="0" xfId="0" applyFont="1" applyFill="1" applyAlignment="1">
      <alignment vertical="center"/>
    </xf>
    <xf numFmtId="0" fontId="12" fillId="2" borderId="0" xfId="0" applyFont="1" applyFill="1"/>
    <xf numFmtId="0" fontId="13" fillId="0" borderId="0" xfId="0" applyFont="1" applyFill="1" applyBorder="1" applyAlignment="1"/>
    <xf numFmtId="0" fontId="8" fillId="0" borderId="0" xfId="5" applyFont="1" applyFill="1" applyBorder="1" applyAlignment="1">
      <alignment horizontal="right" wrapText="1"/>
    </xf>
    <xf numFmtId="0" fontId="13" fillId="0" borderId="4" xfId="5" applyFont="1" applyFill="1" applyBorder="1" applyAlignment="1">
      <alignment horizontal="left" vertical="center"/>
    </xf>
    <xf numFmtId="0" fontId="13" fillId="0" borderId="0" xfId="5" applyFont="1" applyFill="1" applyBorder="1" applyAlignment="1">
      <alignment horizontal="left" vertical="center"/>
    </xf>
    <xf numFmtId="3" fontId="8" fillId="0" borderId="0" xfId="5" applyNumberFormat="1" applyFont="1" applyFill="1" applyBorder="1" applyAlignment="1">
      <alignment horizontal="right" vertical="center" wrapText="1"/>
    </xf>
    <xf numFmtId="3" fontId="8" fillId="0" borderId="0" xfId="0" applyNumberFormat="1" applyFont="1" applyFill="1" applyBorder="1" applyAlignment="1">
      <alignment vertical="center"/>
    </xf>
    <xf numFmtId="0" fontId="13" fillId="0" borderId="1" xfId="5" applyFont="1" applyFill="1" applyBorder="1" applyAlignment="1">
      <alignment horizontal="left"/>
    </xf>
    <xf numFmtId="3" fontId="8" fillId="0" borderId="1" xfId="5" applyNumberFormat="1" applyFont="1" applyFill="1" applyBorder="1" applyAlignment="1">
      <alignment horizontal="right" wrapText="1"/>
    </xf>
    <xf numFmtId="3" fontId="8" fillId="0" borderId="0" xfId="5" applyNumberFormat="1" applyFont="1" applyFill="1" applyBorder="1" applyAlignment="1">
      <alignment horizontal="right" wrapText="1"/>
    </xf>
    <xf numFmtId="0" fontId="8" fillId="0" borderId="6" xfId="5" applyNumberFormat="1" applyFont="1" applyFill="1" applyBorder="1" applyAlignment="1">
      <alignment horizontal="left"/>
    </xf>
    <xf numFmtId="3" fontId="4" fillId="0" borderId="0" xfId="5" applyNumberFormat="1" applyFont="1" applyFill="1" applyBorder="1" applyAlignment="1">
      <alignment horizontal="right" wrapText="1"/>
    </xf>
    <xf numFmtId="3" fontId="8" fillId="0" borderId="0" xfId="0" applyNumberFormat="1" applyFont="1" applyFill="1" applyBorder="1"/>
    <xf numFmtId="0" fontId="8" fillId="0" borderId="0" xfId="5" applyNumberFormat="1" applyFont="1" applyFill="1" applyBorder="1" applyAlignment="1">
      <alignment horizontal="left"/>
    </xf>
    <xf numFmtId="164" fontId="4" fillId="0" borderId="0" xfId="6" applyNumberFormat="1" applyFont="1" applyFill="1" applyBorder="1" applyAlignment="1"/>
    <xf numFmtId="164" fontId="4" fillId="0" borderId="0" xfId="0" applyNumberFormat="1" applyFont="1" applyFill="1"/>
    <xf numFmtId="164" fontId="4" fillId="0" borderId="0" xfId="0" applyNumberFormat="1" applyFont="1" applyFill="1" applyBorder="1" applyAlignment="1">
      <alignment horizontal="right"/>
    </xf>
    <xf numFmtId="0" fontId="8" fillId="0" borderId="4" xfId="5" applyNumberFormat="1" applyFont="1" applyFill="1" applyBorder="1" applyAlignment="1">
      <alignment horizontal="left" vertical="center"/>
    </xf>
    <xf numFmtId="3" fontId="8" fillId="0" borderId="4" xfId="5" applyNumberFormat="1" applyFont="1" applyFill="1" applyBorder="1" applyAlignment="1">
      <alignment horizontal="right" vertical="center" wrapText="1"/>
    </xf>
    <xf numFmtId="0" fontId="8" fillId="0" borderId="0" xfId="5" applyFont="1" applyFill="1" applyBorder="1" applyAlignment="1">
      <alignment horizontal="left"/>
    </xf>
    <xf numFmtId="0" fontId="13" fillId="0" borderId="0" xfId="5" applyFont="1" applyFill="1" applyBorder="1" applyAlignment="1">
      <alignment horizontal="left" vertical="center" wrapText="1"/>
    </xf>
    <xf numFmtId="3" fontId="8" fillId="0" borderId="0" xfId="0" applyNumberFormat="1" applyFont="1" applyFill="1" applyBorder="1" applyAlignment="1">
      <alignment horizontal="right" vertical="center"/>
    </xf>
    <xf numFmtId="49" fontId="8" fillId="0" borderId="2" xfId="5" applyNumberFormat="1" applyFont="1" applyFill="1" applyBorder="1" applyAlignment="1">
      <alignment horizontal="left" wrapText="1"/>
    </xf>
    <xf numFmtId="164" fontId="4" fillId="0" borderId="2" xfId="6" applyNumberFormat="1" applyFont="1" applyFill="1" applyBorder="1" applyAlignment="1"/>
    <xf numFmtId="49" fontId="8" fillId="0" borderId="0" xfId="5" applyNumberFormat="1" applyFont="1" applyFill="1" applyBorder="1" applyAlignment="1">
      <alignment horizontal="left" vertical="center" wrapText="1"/>
    </xf>
    <xf numFmtId="0" fontId="8" fillId="0" borderId="4" xfId="5" applyNumberFormat="1" applyFont="1" applyFill="1" applyBorder="1" applyAlignment="1">
      <alignment horizontal="left" vertical="center" wrapText="1"/>
    </xf>
    <xf numFmtId="164" fontId="8" fillId="0" borderId="4" xfId="5" applyNumberFormat="1" applyFont="1" applyFill="1" applyBorder="1" applyAlignment="1">
      <alignment horizontal="right" vertical="center" wrapText="1"/>
    </xf>
    <xf numFmtId="0" fontId="13" fillId="0" borderId="0" xfId="0" applyFont="1" applyFill="1"/>
    <xf numFmtId="0" fontId="8" fillId="0" borderId="2" xfId="5" applyNumberFormat="1" applyFont="1" applyFill="1" applyBorder="1" applyAlignment="1">
      <alignment horizontal="left"/>
    </xf>
    <xf numFmtId="3" fontId="8" fillId="0" borderId="2" xfId="0" applyNumberFormat="1" applyFont="1" applyFill="1" applyBorder="1"/>
    <xf numFmtId="0" fontId="8" fillId="0" borderId="4" xfId="5" applyFont="1" applyFill="1" applyBorder="1" applyAlignment="1">
      <alignment horizontal="left" vertical="center"/>
    </xf>
    <xf numFmtId="3" fontId="8" fillId="0" borderId="0" xfId="0" applyNumberFormat="1" applyFont="1" applyFill="1" applyBorder="1" applyAlignment="1">
      <alignment horizontal="right"/>
    </xf>
    <xf numFmtId="0" fontId="13" fillId="0" borderId="4" xfId="0" applyFont="1" applyFill="1" applyBorder="1" applyAlignment="1">
      <alignment vertical="center"/>
    </xf>
    <xf numFmtId="0" fontId="4" fillId="2" borderId="0" xfId="0" applyFont="1" applyFill="1" applyBorder="1"/>
    <xf numFmtId="3" fontId="13" fillId="0" borderId="4" xfId="0" applyNumberFormat="1" applyFont="1" applyFill="1" applyBorder="1" applyAlignment="1">
      <alignment vertical="center"/>
    </xf>
    <xf numFmtId="3" fontId="8" fillId="0" borderId="0" xfId="5" applyNumberFormat="1" applyFont="1" applyFill="1" applyBorder="1" applyAlignment="1">
      <alignment horizontal="center" vertical="center" wrapText="1"/>
    </xf>
    <xf numFmtId="170" fontId="4" fillId="0" borderId="0" xfId="6" applyNumberFormat="1" applyFont="1" applyFill="1" applyBorder="1" applyAlignment="1"/>
    <xf numFmtId="170" fontId="8" fillId="0" borderId="0" xfId="0" applyNumberFormat="1" applyFont="1" applyFill="1"/>
    <xf numFmtId="3" fontId="4" fillId="0" borderId="0" xfId="0" applyNumberFormat="1" applyFont="1" applyFill="1" applyBorder="1"/>
    <xf numFmtId="164" fontId="8" fillId="0" borderId="0" xfId="0" applyNumberFormat="1" applyFont="1" applyFill="1"/>
    <xf numFmtId="164" fontId="8" fillId="0" borderId="4" xfId="0" applyNumberFormat="1" applyFont="1" applyFill="1" applyBorder="1" applyAlignment="1">
      <alignment horizontal="right" vertical="center"/>
    </xf>
    <xf numFmtId="164" fontId="8" fillId="0" borderId="0" xfId="0" applyNumberFormat="1" applyFont="1" applyFill="1" applyBorder="1" applyAlignment="1">
      <alignment horizontal="right" vertical="center"/>
    </xf>
    <xf numFmtId="3" fontId="8" fillId="0" borderId="1" xfId="5" applyNumberFormat="1" applyFont="1" applyFill="1" applyBorder="1" applyAlignment="1">
      <alignment horizontal="center" wrapText="1"/>
    </xf>
    <xf numFmtId="3" fontId="8" fillId="0" borderId="4" xfId="5" applyNumberFormat="1" applyFont="1" applyFill="1" applyBorder="1" applyAlignment="1">
      <alignment horizontal="left" vertical="center"/>
    </xf>
    <xf numFmtId="164" fontId="8" fillId="0" borderId="0" xfId="0" applyNumberFormat="1" applyFont="1" applyFill="1" applyBorder="1" applyAlignment="1">
      <alignment vertical="center"/>
    </xf>
    <xf numFmtId="3" fontId="4" fillId="0" borderId="0" xfId="0" applyNumberFormat="1" applyFont="1" applyFill="1" applyBorder="1" applyAlignment="1">
      <alignment vertical="center"/>
    </xf>
    <xf numFmtId="3" fontId="8" fillId="0" borderId="1" xfId="5" applyNumberFormat="1" applyFont="1" applyFill="1" applyBorder="1" applyAlignment="1">
      <alignment horizontal="center" vertical="center" wrapText="1"/>
    </xf>
    <xf numFmtId="3" fontId="4" fillId="0" borderId="0" xfId="0" applyNumberFormat="1" applyFont="1" applyFill="1"/>
    <xf numFmtId="3" fontId="13" fillId="0" borderId="4" xfId="0" applyNumberFormat="1" applyFont="1" applyFill="1" applyBorder="1" applyAlignment="1">
      <alignment horizontal="left" vertical="center"/>
    </xf>
    <xf numFmtId="0" fontId="2" fillId="0" borderId="0" xfId="0" applyFont="1" applyFill="1"/>
    <xf numFmtId="0" fontId="13" fillId="0" borderId="1" xfId="0" applyFont="1" applyFill="1" applyBorder="1"/>
    <xf numFmtId="0" fontId="8" fillId="0" borderId="1" xfId="5" applyFont="1" applyFill="1" applyBorder="1" applyAlignment="1">
      <alignment horizontal="right" wrapText="1"/>
    </xf>
    <xf numFmtId="0" fontId="13" fillId="0" borderId="3" xfId="5" applyFont="1" applyFill="1" applyBorder="1" applyAlignment="1">
      <alignment horizontal="left"/>
    </xf>
    <xf numFmtId="0" fontId="8" fillId="0" borderId="2" xfId="5" applyNumberFormat="1" applyFont="1" applyFill="1" applyBorder="1" applyAlignment="1">
      <alignment horizontal="left" vertical="center"/>
    </xf>
    <xf numFmtId="0" fontId="8" fillId="0" borderId="0" xfId="5" applyFont="1" applyFill="1" applyBorder="1" applyAlignment="1">
      <alignment horizontal="left" vertical="center"/>
    </xf>
    <xf numFmtId="0" fontId="13" fillId="0" borderId="0" xfId="0" applyFont="1" applyFill="1" applyBorder="1" applyAlignment="1">
      <alignment vertical="top" wrapText="1"/>
    </xf>
    <xf numFmtId="0" fontId="13" fillId="0" borderId="1" xfId="0" applyFont="1" applyFill="1" applyBorder="1" applyAlignment="1"/>
    <xf numFmtId="0" fontId="8" fillId="0" borderId="1" xfId="5" applyFont="1" applyFill="1" applyBorder="1" applyAlignment="1">
      <alignment horizontal="right" vertical="center" wrapText="1"/>
    </xf>
    <xf numFmtId="0" fontId="8" fillId="0" borderId="0" xfId="0" applyFont="1" applyFill="1" applyAlignment="1">
      <alignment horizontal="right" vertical="center"/>
    </xf>
    <xf numFmtId="0" fontId="4" fillId="0" borderId="3" xfId="0" applyFont="1" applyFill="1" applyBorder="1" applyAlignment="1">
      <alignment vertical="center"/>
    </xf>
    <xf numFmtId="164" fontId="8" fillId="0" borderId="0" xfId="0" applyNumberFormat="1" applyFont="1" applyFill="1" applyBorder="1"/>
    <xf numFmtId="0" fontId="4" fillId="0" borderId="0" xfId="5" applyFont="1" applyFill="1" applyBorder="1" applyAlignment="1">
      <alignment horizontal="left"/>
    </xf>
    <xf numFmtId="3" fontId="8" fillId="0" borderId="3" xfId="0" applyNumberFormat="1" applyFont="1" applyFill="1" applyBorder="1" applyAlignment="1"/>
    <xf numFmtId="0" fontId="4" fillId="0" borderId="0" xfId="0" applyFont="1" applyFill="1" applyAlignment="1"/>
    <xf numFmtId="3" fontId="4" fillId="0" borderId="1" xfId="5" applyNumberFormat="1" applyFont="1" applyFill="1" applyBorder="1" applyAlignment="1">
      <alignment horizontal="right" wrapText="1"/>
    </xf>
    <xf numFmtId="164" fontId="4" fillId="0" borderId="1" xfId="6" applyNumberFormat="1" applyFont="1" applyFill="1" applyBorder="1" applyAlignment="1"/>
    <xf numFmtId="164" fontId="4" fillId="0" borderId="0" xfId="5" applyNumberFormat="1" applyFont="1" applyFill="1" applyBorder="1" applyAlignment="1">
      <alignment horizontal="right" wrapText="1"/>
    </xf>
    <xf numFmtId="164" fontId="8" fillId="0" borderId="0" xfId="6" applyNumberFormat="1" applyFont="1" applyFill="1" applyBorder="1" applyAlignment="1"/>
    <xf numFmtId="0" fontId="4" fillId="0" borderId="0" xfId="0" applyFont="1" applyFill="1" applyBorder="1" applyAlignment="1">
      <alignment vertical="top" wrapText="1"/>
    </xf>
    <xf numFmtId="3" fontId="7" fillId="0" borderId="0" xfId="0" applyNumberFormat="1" applyFont="1" applyFill="1" applyBorder="1" applyAlignment="1"/>
    <xf numFmtId="164" fontId="4" fillId="0" borderId="0" xfId="0" applyNumberFormat="1" applyFont="1" applyFill="1" applyBorder="1"/>
    <xf numFmtId="172" fontId="4" fillId="0" borderId="0" xfId="0" applyNumberFormat="1" applyFont="1" applyFill="1" applyBorder="1"/>
    <xf numFmtId="0" fontId="8" fillId="0" borderId="1" xfId="0" applyFont="1" applyFill="1" applyBorder="1" applyAlignment="1">
      <alignment horizontal="right"/>
    </xf>
    <xf numFmtId="0" fontId="8" fillId="0" borderId="0" xfId="0" applyFont="1" applyFill="1" applyBorder="1" applyAlignment="1">
      <alignment horizontal="right"/>
    </xf>
    <xf numFmtId="1" fontId="15" fillId="0" borderId="0" xfId="0" applyNumberFormat="1" applyFont="1" applyFill="1" applyBorder="1" applyAlignment="1">
      <alignment vertical="center"/>
    </xf>
    <xf numFmtId="0" fontId="9" fillId="0" borderId="0" xfId="0" applyFont="1" applyFill="1" applyBorder="1"/>
    <xf numFmtId="3" fontId="4" fillId="0" borderId="0" xfId="0" applyNumberFormat="1" applyFont="1" applyFill="1" applyBorder="1" applyAlignment="1">
      <alignment horizontal="right"/>
    </xf>
    <xf numFmtId="9" fontId="8" fillId="0" borderId="0" xfId="2" applyFont="1" applyFill="1" applyBorder="1"/>
    <xf numFmtId="9" fontId="9" fillId="0" borderId="0" xfId="2" applyFont="1" applyFill="1" applyBorder="1" applyAlignment="1">
      <alignment horizontal="right"/>
    </xf>
    <xf numFmtId="168" fontId="10" fillId="0" borderId="0" xfId="2" applyNumberFormat="1" applyFont="1" applyFill="1" applyBorder="1" applyAlignment="1">
      <alignment horizontal="right"/>
    </xf>
    <xf numFmtId="168" fontId="10" fillId="0" borderId="1" xfId="2" applyNumberFormat="1" applyFont="1" applyFill="1" applyBorder="1" applyAlignment="1">
      <alignment horizontal="right"/>
    </xf>
    <xf numFmtId="3" fontId="4" fillId="0" borderId="2" xfId="0" applyNumberFormat="1" applyFont="1" applyFill="1" applyBorder="1"/>
    <xf numFmtId="0" fontId="7" fillId="2" borderId="1" xfId="8" applyFont="1" applyFill="1" applyBorder="1" applyAlignment="1">
      <alignment horizontal="left" vertical="top" wrapText="1"/>
    </xf>
    <xf numFmtId="0" fontId="9" fillId="2" borderId="1" xfId="8" applyFont="1" applyFill="1" applyBorder="1" applyAlignment="1">
      <alignment horizontal="right" wrapText="1"/>
    </xf>
    <xf numFmtId="0" fontId="8" fillId="2" borderId="0" xfId="0" applyFont="1" applyFill="1" applyAlignment="1">
      <alignment horizontal="right"/>
    </xf>
    <xf numFmtId="0" fontId="13" fillId="2" borderId="1" xfId="7" applyFont="1" applyFill="1" applyBorder="1" applyAlignment="1"/>
    <xf numFmtId="3" fontId="8" fillId="2" borderId="1" xfId="0" applyNumberFormat="1" applyFont="1" applyFill="1" applyBorder="1" applyAlignment="1">
      <alignment horizontal="right"/>
    </xf>
    <xf numFmtId="0" fontId="8" fillId="2" borderId="1" xfId="0" applyFont="1" applyFill="1" applyBorder="1" applyAlignment="1">
      <alignment horizontal="right"/>
    </xf>
    <xf numFmtId="0" fontId="4" fillId="2" borderId="1" xfId="0" applyFont="1" applyFill="1" applyBorder="1"/>
    <xf numFmtId="0" fontId="8" fillId="2" borderId="0" xfId="7" applyFont="1" applyFill="1" applyBorder="1" applyAlignment="1">
      <alignment horizontal="left" indent="1"/>
    </xf>
    <xf numFmtId="0" fontId="4" fillId="2" borderId="0" xfId="7" applyFont="1" applyFill="1" applyBorder="1" applyAlignment="1"/>
    <xf numFmtId="164" fontId="4" fillId="2" borderId="0" xfId="9" applyNumberFormat="1" applyFont="1" applyFill="1" applyBorder="1" applyAlignment="1">
      <alignment horizontal="right" wrapText="1"/>
    </xf>
    <xf numFmtId="168" fontId="10" fillId="2" borderId="0" xfId="2" quotePrefix="1" applyNumberFormat="1" applyFont="1" applyFill="1" applyBorder="1" applyAlignment="1">
      <alignment horizontal="right"/>
    </xf>
    <xf numFmtId="164" fontId="4" fillId="2" borderId="0" xfId="9" quotePrefix="1" applyNumberFormat="1" applyFont="1" applyFill="1" applyBorder="1" applyAlignment="1">
      <alignment horizontal="right" wrapText="1"/>
    </xf>
    <xf numFmtId="3" fontId="8" fillId="2" borderId="0" xfId="0" applyNumberFormat="1" applyFont="1" applyFill="1" applyBorder="1" applyAlignment="1">
      <alignment horizontal="right"/>
    </xf>
    <xf numFmtId="0" fontId="8" fillId="2" borderId="0" xfId="7" applyFont="1" applyFill="1" applyBorder="1" applyAlignment="1">
      <alignment horizontal="left"/>
    </xf>
    <xf numFmtId="0" fontId="8" fillId="2" borderId="4" xfId="7" applyFont="1" applyFill="1" applyBorder="1" applyAlignment="1">
      <alignment vertical="center" wrapText="1"/>
    </xf>
    <xf numFmtId="3" fontId="8" fillId="2" borderId="4" xfId="7" applyNumberFormat="1" applyFont="1" applyFill="1" applyBorder="1" applyAlignment="1">
      <alignment horizontal="right" vertical="center"/>
    </xf>
    <xf numFmtId="168" fontId="9" fillId="2" borderId="4" xfId="2" quotePrefix="1" applyNumberFormat="1" applyFont="1" applyFill="1" applyBorder="1" applyAlignment="1">
      <alignment horizontal="right" vertical="center"/>
    </xf>
    <xf numFmtId="3" fontId="4" fillId="2" borderId="0" xfId="7" applyNumberFormat="1" applyFont="1" applyFill="1" applyBorder="1" applyAlignment="1">
      <alignment horizontal="right"/>
    </xf>
    <xf numFmtId="3" fontId="4" fillId="2" borderId="0" xfId="0" applyNumberFormat="1" applyFont="1" applyFill="1" applyBorder="1" applyAlignment="1">
      <alignment horizontal="right"/>
    </xf>
    <xf numFmtId="1" fontId="10" fillId="2" borderId="0" xfId="7" quotePrefix="1" applyNumberFormat="1" applyFont="1" applyFill="1" applyBorder="1" applyAlignment="1">
      <alignment horizontal="right"/>
    </xf>
    <xf numFmtId="3" fontId="8" fillId="2" borderId="1" xfId="7" applyNumberFormat="1" applyFont="1" applyFill="1" applyBorder="1" applyAlignment="1">
      <alignment horizontal="right"/>
    </xf>
    <xf numFmtId="0" fontId="8" fillId="2" borderId="0" xfId="7" applyFont="1" applyFill="1" applyBorder="1" applyAlignment="1"/>
    <xf numFmtId="1" fontId="9" fillId="2" borderId="1" xfId="7" quotePrefix="1" applyNumberFormat="1" applyFont="1" applyFill="1" applyBorder="1" applyAlignment="1">
      <alignment horizontal="right"/>
    </xf>
    <xf numFmtId="0" fontId="9" fillId="2" borderId="1" xfId="0" applyFont="1" applyFill="1" applyBorder="1" applyAlignment="1">
      <alignment horizontal="right"/>
    </xf>
    <xf numFmtId="0" fontId="4" fillId="2" borderId="0" xfId="0" applyNumberFormat="1" applyFont="1" applyFill="1"/>
    <xf numFmtId="0" fontId="8" fillId="2" borderId="4" xfId="7" applyFont="1" applyFill="1" applyBorder="1" applyAlignment="1">
      <alignment vertical="center"/>
    </xf>
    <xf numFmtId="0" fontId="13" fillId="2" borderId="1" xfId="0" applyFont="1" applyFill="1" applyBorder="1" applyAlignment="1"/>
    <xf numFmtId="0" fontId="8" fillId="2" borderId="0" xfId="0" applyFont="1" applyFill="1" applyBorder="1" applyAlignment="1"/>
    <xf numFmtId="3" fontId="8" fillId="2" borderId="0" xfId="7" applyNumberFormat="1" applyFont="1" applyFill="1" applyBorder="1" applyAlignment="1">
      <alignment horizontal="right"/>
    </xf>
    <xf numFmtId="3" fontId="8" fillId="2" borderId="0" xfId="0" quotePrefix="1" applyNumberFormat="1" applyFont="1" applyFill="1" applyBorder="1" applyAlignment="1">
      <alignment horizontal="right"/>
    </xf>
    <xf numFmtId="0" fontId="8" fillId="2" borderId="0" xfId="7" applyFont="1" applyFill="1" applyBorder="1" applyAlignment="1">
      <alignment vertical="center"/>
    </xf>
    <xf numFmtId="3" fontId="8" fillId="2" borderId="0" xfId="7" applyNumberFormat="1" applyFont="1" applyFill="1" applyBorder="1" applyAlignment="1">
      <alignment horizontal="right" vertical="center"/>
    </xf>
    <xf numFmtId="3" fontId="8" fillId="2" borderId="0" xfId="0" applyNumberFormat="1" applyFont="1" applyFill="1" applyBorder="1" applyAlignment="1">
      <alignment horizontal="right" vertical="center"/>
    </xf>
    <xf numFmtId="9" fontId="9" fillId="2" borderId="0" xfId="2" quotePrefix="1" applyFont="1" applyFill="1" applyBorder="1" applyAlignment="1">
      <alignment horizontal="right" vertical="center"/>
    </xf>
    <xf numFmtId="0" fontId="13" fillId="2" borderId="4" xfId="0" applyFont="1" applyFill="1" applyBorder="1" applyAlignment="1">
      <alignment vertical="center"/>
    </xf>
    <xf numFmtId="3" fontId="8" fillId="2" borderId="4" xfId="0" applyNumberFormat="1" applyFont="1" applyFill="1" applyBorder="1" applyAlignment="1">
      <alignment vertical="center"/>
    </xf>
    <xf numFmtId="0" fontId="13" fillId="2" borderId="0" xfId="0" applyFont="1" applyFill="1" applyBorder="1" applyAlignment="1"/>
    <xf numFmtId="3" fontId="8" fillId="2" borderId="0" xfId="0" applyNumberFormat="1" applyFont="1" applyFill="1" applyBorder="1" applyAlignment="1">
      <alignment vertical="center"/>
    </xf>
    <xf numFmtId="0" fontId="13" fillId="2" borderId="4" xfId="0" applyFont="1" applyFill="1" applyBorder="1" applyAlignment="1">
      <alignment vertical="center" wrapText="1"/>
    </xf>
    <xf numFmtId="0" fontId="4" fillId="2" borderId="0" xfId="0" applyFont="1" applyFill="1" applyAlignment="1"/>
    <xf numFmtId="0" fontId="4" fillId="2" borderId="0" xfId="0" applyFont="1" applyFill="1" applyAlignment="1">
      <alignment horizontal="right"/>
    </xf>
    <xf numFmtId="172" fontId="4" fillId="2" borderId="0" xfId="0" applyNumberFormat="1" applyFont="1" applyFill="1" applyAlignment="1"/>
    <xf numFmtId="0" fontId="8" fillId="2" borderId="0" xfId="0" applyFont="1" applyFill="1" applyBorder="1"/>
    <xf numFmtId="0" fontId="9" fillId="2" borderId="0" xfId="0" applyFont="1" applyFill="1" applyBorder="1" applyAlignment="1">
      <alignment horizontal="right"/>
    </xf>
    <xf numFmtId="0" fontId="8" fillId="2" borderId="5" xfId="0" applyFont="1" applyFill="1" applyBorder="1" applyAlignment="1">
      <alignment vertical="center"/>
    </xf>
    <xf numFmtId="0" fontId="8" fillId="2" borderId="5" xfId="10" applyFont="1" applyFill="1" applyBorder="1" applyAlignment="1">
      <alignment horizontal="right" vertical="center" wrapText="1"/>
    </xf>
    <xf numFmtId="0" fontId="4" fillId="2" borderId="0" xfId="0" applyFont="1" applyFill="1" applyBorder="1" applyAlignment="1">
      <alignment vertical="center"/>
    </xf>
    <xf numFmtId="166" fontId="4" fillId="2" borderId="0" xfId="1" applyNumberFormat="1" applyFont="1" applyFill="1" applyAlignment="1"/>
    <xf numFmtId="166" fontId="8" fillId="2" borderId="0" xfId="1" applyNumberFormat="1" applyFont="1" applyFill="1" applyBorder="1" applyAlignment="1"/>
    <xf numFmtId="168" fontId="10" fillId="2" borderId="0" xfId="2" quotePrefix="1" applyNumberFormat="1" applyFont="1" applyFill="1" applyBorder="1" applyAlignment="1"/>
    <xf numFmtId="0" fontId="8" fillId="2" borderId="4" xfId="0" applyFont="1" applyFill="1" applyBorder="1" applyAlignment="1">
      <alignment horizontal="left" vertical="center"/>
    </xf>
    <xf numFmtId="166" fontId="8" fillId="2" borderId="4" xfId="1" applyNumberFormat="1" applyFont="1" applyFill="1" applyBorder="1" applyAlignment="1">
      <alignment horizontal="right" vertical="center"/>
    </xf>
    <xf numFmtId="168" fontId="10" fillId="2" borderId="4" xfId="2" quotePrefix="1" applyNumberFormat="1" applyFont="1" applyFill="1" applyBorder="1" applyAlignment="1">
      <alignment horizontal="right" vertical="center"/>
    </xf>
    <xf numFmtId="0" fontId="4" fillId="2" borderId="0" xfId="0" applyFont="1" applyFill="1" applyAlignment="1">
      <alignment vertical="center"/>
    </xf>
    <xf numFmtId="0" fontId="8" fillId="0" borderId="1" xfId="7" applyFont="1" applyFill="1" applyBorder="1" applyAlignment="1">
      <alignment horizontal="right" wrapText="1"/>
    </xf>
    <xf numFmtId="0" fontId="8" fillId="0" borderId="0" xfId="7" applyFont="1" applyFill="1" applyBorder="1" applyAlignment="1">
      <alignment horizontal="left"/>
    </xf>
    <xf numFmtId="0" fontId="8" fillId="0" borderId="0" xfId="7" applyFont="1" applyFill="1" applyBorder="1" applyAlignment="1">
      <alignment horizontal="left" wrapText="1"/>
    </xf>
    <xf numFmtId="0" fontId="8" fillId="0" borderId="4" xfId="0" applyFont="1" applyFill="1" applyBorder="1" applyAlignment="1">
      <alignment horizontal="left" vertical="center"/>
    </xf>
    <xf numFmtId="3" fontId="8" fillId="0" borderId="4" xfId="0" applyNumberFormat="1" applyFont="1" applyFill="1" applyBorder="1" applyAlignment="1">
      <alignment vertical="center"/>
    </xf>
    <xf numFmtId="0" fontId="4" fillId="0" borderId="0" xfId="0" applyFont="1" applyFill="1" applyAlignment="1">
      <alignment vertical="center" wrapText="1"/>
    </xf>
    <xf numFmtId="9" fontId="8" fillId="0" borderId="1" xfId="2" applyFont="1" applyFill="1" applyBorder="1" applyAlignment="1">
      <alignment horizontal="right" wrapText="1"/>
    </xf>
    <xf numFmtId="9" fontId="8" fillId="0" borderId="0" xfId="2" applyFont="1" applyFill="1" applyBorder="1" applyAlignment="1">
      <alignment horizontal="left"/>
    </xf>
    <xf numFmtId="168" fontId="4" fillId="0" borderId="0" xfId="2" applyNumberFormat="1" applyFont="1" applyFill="1" applyBorder="1" applyAlignment="1"/>
    <xf numFmtId="9" fontId="8" fillId="0" borderId="0" xfId="2" applyFont="1" applyFill="1" applyBorder="1" applyAlignment="1">
      <alignment horizontal="left" wrapText="1"/>
    </xf>
    <xf numFmtId="9" fontId="8" fillId="0" borderId="4" xfId="2" applyFont="1" applyFill="1" applyBorder="1" applyAlignment="1">
      <alignment horizontal="left" vertical="center"/>
    </xf>
    <xf numFmtId="9" fontId="8" fillId="0" borderId="4" xfId="2" applyFont="1" applyFill="1" applyBorder="1" applyAlignment="1">
      <alignment vertical="center"/>
    </xf>
    <xf numFmtId="9" fontId="10" fillId="0" borderId="0" xfId="2" applyFont="1" applyFill="1" applyBorder="1" applyAlignment="1"/>
    <xf numFmtId="9" fontId="9" fillId="0" borderId="0" xfId="2" applyFont="1" applyFill="1" applyBorder="1" applyAlignment="1"/>
    <xf numFmtId="0" fontId="7" fillId="2" borderId="1" xfId="0" applyFont="1" applyFill="1" applyBorder="1" applyAlignment="1">
      <alignment horizontal="left" vertical="top" wrapText="1"/>
    </xf>
    <xf numFmtId="0" fontId="8" fillId="2" borderId="1" xfId="0" applyFont="1" applyFill="1" applyBorder="1" applyAlignment="1">
      <alignment horizontal="right" wrapText="1"/>
    </xf>
    <xf numFmtId="0" fontId="17" fillId="2" borderId="0" xfId="3" applyFont="1" applyFill="1" applyAlignment="1" applyProtection="1">
      <alignment vertical="top"/>
    </xf>
    <xf numFmtId="0" fontId="8" fillId="2" borderId="0" xfId="0" applyFont="1" applyFill="1" applyBorder="1" applyAlignment="1">
      <alignment wrapText="1"/>
    </xf>
    <xf numFmtId="0" fontId="8" fillId="2" borderId="1" xfId="0" applyFont="1" applyFill="1" applyBorder="1" applyAlignment="1">
      <alignment wrapText="1"/>
    </xf>
    <xf numFmtId="0" fontId="8" fillId="2" borderId="5" xfId="0" applyFont="1" applyFill="1" applyBorder="1" applyAlignment="1">
      <alignment horizontal="right" wrapText="1"/>
    </xf>
    <xf numFmtId="0" fontId="8" fillId="2" borderId="0" xfId="0" applyFont="1" applyFill="1" applyBorder="1" applyAlignment="1">
      <alignment horizontal="right" wrapText="1"/>
    </xf>
    <xf numFmtId="0" fontId="8" fillId="2" borderId="0" xfId="0" applyFont="1" applyFill="1" applyBorder="1" applyAlignment="1">
      <alignment horizontal="left"/>
    </xf>
    <xf numFmtId="172" fontId="10" fillId="2" borderId="0" xfId="0" applyNumberFormat="1" applyFont="1" applyFill="1" applyBorder="1" applyAlignment="1">
      <alignment horizontal="right"/>
    </xf>
    <xf numFmtId="172" fontId="9" fillId="2" borderId="0" xfId="0" applyNumberFormat="1" applyFont="1" applyFill="1" applyBorder="1" applyAlignment="1">
      <alignment horizontal="right"/>
    </xf>
    <xf numFmtId="0" fontId="4" fillId="2" borderId="0" xfId="4" applyFont="1" applyFill="1" applyBorder="1"/>
    <xf numFmtId="0" fontId="7" fillId="2" borderId="1" xfId="0" applyFont="1" applyFill="1" applyBorder="1" applyAlignment="1">
      <alignment horizontal="left" vertical="center" wrapText="1"/>
    </xf>
    <xf numFmtId="0" fontId="9" fillId="2" borderId="1" xfId="0" applyFont="1" applyFill="1" applyBorder="1" applyAlignment="1">
      <alignment horizontal="right" vertical="center" wrapText="1"/>
    </xf>
    <xf numFmtId="0" fontId="8" fillId="2" borderId="1" xfId="0" applyFont="1" applyFill="1" applyBorder="1"/>
    <xf numFmtId="0" fontId="8" fillId="2" borderId="3" xfId="0" applyFont="1" applyFill="1" applyBorder="1" applyAlignment="1">
      <alignment horizontal="left"/>
    </xf>
    <xf numFmtId="0" fontId="8" fillId="2" borderId="0" xfId="0" applyFont="1" applyFill="1" applyBorder="1" applyAlignment="1">
      <alignment horizontal="left" vertical="center"/>
    </xf>
    <xf numFmtId="172" fontId="4" fillId="2" borderId="0" xfId="0" applyNumberFormat="1" applyFont="1" applyFill="1" applyBorder="1" applyAlignment="1">
      <alignment vertical="center"/>
    </xf>
    <xf numFmtId="0" fontId="5" fillId="2" borderId="0" xfId="0" applyFont="1" applyFill="1"/>
    <xf numFmtId="14" fontId="8" fillId="2" borderId="1" xfId="0" applyNumberFormat="1" applyFont="1" applyFill="1" applyBorder="1" applyAlignment="1" applyProtection="1">
      <alignment horizontal="right"/>
      <protection locked="0"/>
    </xf>
    <xf numFmtId="0" fontId="4" fillId="2" borderId="0" xfId="0" applyFont="1" applyFill="1" applyBorder="1" applyAlignment="1">
      <alignment horizontal="right"/>
    </xf>
    <xf numFmtId="0" fontId="4" fillId="2" borderId="0" xfId="0" quotePrefix="1" applyFont="1" applyFill="1" applyBorder="1" applyAlignment="1">
      <alignment horizontal="right"/>
    </xf>
    <xf numFmtId="0" fontId="4" fillId="2" borderId="3" xfId="0" applyFont="1" applyFill="1" applyBorder="1" applyAlignment="1">
      <alignment horizontal="right"/>
    </xf>
    <xf numFmtId="0" fontId="4" fillId="0" borderId="1" xfId="0" applyFont="1" applyFill="1" applyBorder="1" applyProtection="1">
      <protection locked="0"/>
    </xf>
    <xf numFmtId="0" fontId="4" fillId="0" borderId="0" xfId="0" applyFont="1" applyFill="1" applyBorder="1" applyProtection="1">
      <protection locked="0"/>
    </xf>
    <xf numFmtId="164" fontId="8" fillId="0" borderId="2" xfId="0" applyNumberFormat="1" applyFont="1" applyFill="1" applyBorder="1"/>
    <xf numFmtId="0" fontId="8" fillId="0" borderId="0" xfId="0" applyFont="1" applyFill="1" applyBorder="1" applyProtection="1">
      <protection locked="0"/>
    </xf>
    <xf numFmtId="0" fontId="8" fillId="0" borderId="0" xfId="0" applyNumberFormat="1" applyFont="1" applyFill="1" applyBorder="1" applyAlignment="1" applyProtection="1">
      <alignment horizontal="right"/>
      <protection locked="0"/>
    </xf>
    <xf numFmtId="0" fontId="8" fillId="2" borderId="0" xfId="0" applyFont="1" applyFill="1" applyBorder="1" applyAlignment="1">
      <alignment horizontal="left" vertical="center" wrapText="1"/>
    </xf>
    <xf numFmtId="0" fontId="9" fillId="2" borderId="1" xfId="0" applyFont="1" applyFill="1" applyBorder="1" applyAlignment="1"/>
    <xf numFmtId="0" fontId="13" fillId="2" borderId="1" xfId="0" applyFont="1" applyFill="1" applyBorder="1" applyAlignment="1">
      <alignment vertical="center"/>
    </xf>
    <xf numFmtId="0" fontId="18" fillId="2" borderId="1" xfId="0" applyFont="1" applyFill="1" applyBorder="1"/>
    <xf numFmtId="0" fontId="18" fillId="2" borderId="1" xfId="0" applyFont="1" applyFill="1" applyBorder="1" applyAlignment="1">
      <alignment horizontal="right" wrapText="1"/>
    </xf>
    <xf numFmtId="3" fontId="4" fillId="2" borderId="0" xfId="0" applyNumberFormat="1" applyFont="1" applyFill="1" applyBorder="1"/>
    <xf numFmtId="14" fontId="8" fillId="0" borderId="1" xfId="0" applyNumberFormat="1" applyFont="1" applyFill="1" applyBorder="1" applyAlignment="1">
      <alignment horizontal="right" wrapText="1"/>
    </xf>
    <xf numFmtId="164" fontId="4" fillId="0" borderId="0" xfId="0" applyNumberFormat="1" applyFont="1" applyFill="1" applyBorder="1" applyAlignment="1">
      <alignment horizontal="right" wrapText="1"/>
    </xf>
    <xf numFmtId="164" fontId="8" fillId="0" borderId="0" xfId="0" applyNumberFormat="1" applyFont="1" applyFill="1" applyBorder="1" applyAlignment="1">
      <alignment horizontal="right" wrapText="1"/>
    </xf>
    <xf numFmtId="0" fontId="8" fillId="0" borderId="4" xfId="0" applyFont="1" applyFill="1" applyBorder="1" applyAlignment="1">
      <alignment horizontal="left" vertical="center" wrapText="1"/>
    </xf>
    <xf numFmtId="0" fontId="8" fillId="0" borderId="0" xfId="0" applyNumberFormat="1" applyFont="1" applyFill="1" applyBorder="1" applyAlignment="1">
      <alignment horizontal="right" vertical="center" wrapText="1"/>
    </xf>
    <xf numFmtId="0" fontId="8" fillId="0" borderId="0" xfId="0" applyNumberFormat="1" applyFont="1" applyFill="1" applyBorder="1" applyAlignment="1">
      <alignment horizontal="right" vertical="center"/>
    </xf>
    <xf numFmtId="0" fontId="8" fillId="0" borderId="0" xfId="0" applyFont="1" applyFill="1" applyBorder="1" applyAlignment="1">
      <alignment horizontal="center"/>
    </xf>
    <xf numFmtId="0" fontId="8" fillId="0" borderId="5" xfId="0" applyFont="1" applyFill="1" applyBorder="1" applyAlignment="1">
      <alignment horizontal="right" wrapText="1"/>
    </xf>
    <xf numFmtId="164" fontId="8" fillId="0" borderId="0" xfId="0" applyNumberFormat="1" applyFont="1" applyFill="1" applyBorder="1" applyAlignment="1">
      <alignment horizontal="right"/>
    </xf>
    <xf numFmtId="164" fontId="4" fillId="0" borderId="0" xfId="13" applyNumberFormat="1" applyFont="1" applyFill="1" applyBorder="1" applyAlignment="1">
      <alignment horizontal="right"/>
    </xf>
    <xf numFmtId="0" fontId="4" fillId="0" borderId="2" xfId="0" applyFont="1" applyFill="1" applyBorder="1"/>
    <xf numFmtId="0" fontId="4" fillId="0" borderId="0" xfId="0" applyNumberFormat="1" applyFont="1" applyFill="1" applyBorder="1" applyAlignment="1">
      <alignment vertical="center"/>
    </xf>
    <xf numFmtId="0" fontId="9" fillId="0" borderId="0" xfId="0" applyFont="1" applyFill="1" applyAlignment="1">
      <alignment horizontal="right"/>
    </xf>
    <xf numFmtId="0" fontId="11" fillId="2" borderId="0" xfId="0" applyFont="1" applyFill="1"/>
    <xf numFmtId="0" fontId="13" fillId="0" borderId="4" xfId="0" applyFont="1" applyFill="1" applyBorder="1" applyAlignment="1">
      <alignment horizontal="left" vertical="center"/>
    </xf>
    <xf numFmtId="0" fontId="13" fillId="0" borderId="0" xfId="0" applyFont="1" applyFill="1" applyBorder="1" applyAlignment="1">
      <alignment horizontal="left" vertical="center"/>
    </xf>
    <xf numFmtId="0" fontId="8" fillId="2" borderId="1" xfId="12" applyFont="1" applyFill="1" applyBorder="1" applyAlignment="1">
      <alignment horizontal="right" wrapText="1"/>
    </xf>
    <xf numFmtId="0" fontId="8" fillId="2" borderId="2" xfId="0" applyFont="1" applyFill="1" applyBorder="1" applyAlignment="1">
      <alignment horizontal="left"/>
    </xf>
    <xf numFmtId="3" fontId="4" fillId="2" borderId="2" xfId="0" applyNumberFormat="1" applyFont="1" applyFill="1" applyBorder="1"/>
    <xf numFmtId="0" fontId="9" fillId="2" borderId="2" xfId="0" applyFont="1" applyFill="1" applyBorder="1" applyAlignment="1">
      <alignment vertical="center" wrapText="1"/>
    </xf>
    <xf numFmtId="3" fontId="4" fillId="2" borderId="2" xfId="0" applyNumberFormat="1" applyFont="1" applyFill="1" applyBorder="1" applyAlignment="1">
      <alignment vertical="center"/>
    </xf>
    <xf numFmtId="3" fontId="8" fillId="2" borderId="2" xfId="0" applyNumberFormat="1" applyFont="1" applyFill="1" applyBorder="1" applyAlignment="1">
      <alignment vertical="center"/>
    </xf>
    <xf numFmtId="0" fontId="9" fillId="2" borderId="3" xfId="0" applyFont="1" applyFill="1" applyBorder="1" applyAlignment="1">
      <alignment vertical="center" wrapText="1"/>
    </xf>
    <xf numFmtId="3" fontId="10" fillId="2" borderId="0" xfId="0" applyNumberFormat="1" applyFont="1" applyFill="1" applyBorder="1"/>
    <xf numFmtId="0" fontId="21" fillId="2" borderId="1" xfId="0" applyFont="1" applyFill="1" applyBorder="1" applyAlignment="1"/>
    <xf numFmtId="0" fontId="8" fillId="2" borderId="1" xfId="0" applyFont="1" applyFill="1" applyBorder="1" applyAlignment="1">
      <alignment horizontal="left" wrapText="1"/>
    </xf>
    <xf numFmtId="0" fontId="4" fillId="2" borderId="1" xfId="0" applyFont="1" applyFill="1" applyBorder="1" applyAlignment="1">
      <alignment horizontal="right"/>
    </xf>
    <xf numFmtId="0" fontId="8" fillId="2" borderId="2" xfId="0" applyFont="1" applyFill="1" applyBorder="1"/>
    <xf numFmtId="3" fontId="10" fillId="2" borderId="2" xfId="0" applyNumberFormat="1" applyFont="1" applyFill="1" applyBorder="1"/>
    <xf numFmtId="3" fontId="9" fillId="2" borderId="2" xfId="0" applyNumberFormat="1" applyFont="1" applyFill="1" applyBorder="1"/>
    <xf numFmtId="173" fontId="10" fillId="2" borderId="2" xfId="0" applyNumberFormat="1" applyFont="1" applyFill="1" applyBorder="1"/>
    <xf numFmtId="3" fontId="8" fillId="2" borderId="5" xfId="0" applyNumberFormat="1" applyFont="1" applyFill="1" applyBorder="1" applyAlignment="1">
      <alignment horizontal="center" wrapText="1"/>
    </xf>
    <xf numFmtId="173" fontId="4" fillId="2" borderId="2" xfId="0" applyNumberFormat="1" applyFont="1" applyFill="1" applyBorder="1" applyAlignment="1">
      <alignment horizontal="right"/>
    </xf>
    <xf numFmtId="173" fontId="4" fillId="2" borderId="2" xfId="0" applyNumberFormat="1" applyFont="1" applyFill="1" applyBorder="1"/>
    <xf numFmtId="173" fontId="8" fillId="2" borderId="2" xfId="0" applyNumberFormat="1" applyFont="1" applyFill="1" applyBorder="1" applyAlignment="1">
      <alignment horizontal="right"/>
    </xf>
    <xf numFmtId="3" fontId="4" fillId="2" borderId="0" xfId="0" applyNumberFormat="1" applyFont="1" applyFill="1"/>
    <xf numFmtId="0" fontId="2" fillId="2" borderId="0" xfId="0" applyFont="1" applyFill="1"/>
    <xf numFmtId="3" fontId="8" fillId="0" borderId="1" xfId="0" applyNumberFormat="1" applyFont="1" applyFill="1" applyBorder="1" applyAlignment="1">
      <alignment horizontal="right" wrapText="1"/>
    </xf>
    <xf numFmtId="0" fontId="4" fillId="0" borderId="0" xfId="0" applyFont="1" applyFill="1" applyBorder="1" applyAlignment="1"/>
    <xf numFmtId="0" fontId="9" fillId="0" borderId="1" xfId="0" applyFont="1" applyFill="1" applyBorder="1" applyAlignment="1"/>
    <xf numFmtId="172" fontId="4" fillId="0" borderId="2" xfId="0" applyNumberFormat="1" applyFont="1" applyFill="1" applyBorder="1"/>
    <xf numFmtId="0" fontId="21" fillId="0" borderId="1" xfId="0" applyFont="1" applyFill="1" applyBorder="1" applyAlignment="1">
      <alignment horizontal="right"/>
    </xf>
    <xf numFmtId="172" fontId="8" fillId="0" borderId="4" xfId="0" applyNumberFormat="1" applyFont="1" applyFill="1" applyBorder="1" applyAlignment="1">
      <alignment horizontal="right" vertical="center"/>
    </xf>
    <xf numFmtId="172" fontId="8" fillId="0" borderId="0" xfId="0" applyNumberFormat="1" applyFont="1" applyFill="1" applyBorder="1"/>
    <xf numFmtId="172" fontId="8" fillId="0" borderId="0" xfId="0" applyNumberFormat="1" applyFont="1" applyFill="1" applyBorder="1" applyAlignment="1">
      <alignment horizontal="right"/>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top" wrapText="1"/>
    </xf>
    <xf numFmtId="0" fontId="7" fillId="2" borderId="0" xfId="0" applyFont="1" applyFill="1" applyBorder="1" applyAlignment="1">
      <alignment horizontal="left" vertical="center" wrapText="1"/>
    </xf>
    <xf numFmtId="0" fontId="8" fillId="0" borderId="1" xfId="0" applyFont="1" applyFill="1" applyBorder="1" applyAlignment="1">
      <alignment horizontal="center" wrapText="1"/>
    </xf>
    <xf numFmtId="0" fontId="8" fillId="0" borderId="0" xfId="0" applyFont="1" applyFill="1" applyBorder="1" applyAlignment="1">
      <alignment horizontal="center" wrapText="1"/>
    </xf>
    <xf numFmtId="0" fontId="8" fillId="2" borderId="0" xfId="0" applyFont="1" applyFill="1" applyBorder="1" applyAlignment="1">
      <alignment horizontal="right"/>
    </xf>
    <xf numFmtId="0" fontId="8" fillId="2" borderId="0" xfId="0" applyFont="1" applyFill="1" applyBorder="1" applyAlignment="1">
      <alignment horizontal="left" wrapText="1"/>
    </xf>
    <xf numFmtId="0" fontId="8" fillId="2" borderId="4" xfId="18" applyFont="1" applyFill="1" applyBorder="1" applyAlignment="1">
      <alignment horizontal="left" vertical="center" wrapText="1"/>
    </xf>
    <xf numFmtId="174" fontId="8" fillId="2" borderId="4" xfId="0" applyNumberFormat="1" applyFont="1" applyFill="1" applyBorder="1" applyAlignment="1">
      <alignment vertical="center"/>
    </xf>
    <xf numFmtId="0" fontId="8" fillId="2" borderId="0" xfId="18" applyFont="1" applyFill="1" applyBorder="1" applyAlignment="1">
      <alignment horizontal="left" vertical="center" wrapText="1"/>
    </xf>
    <xf numFmtId="166" fontId="8" fillId="2" borderId="0" xfId="0" applyNumberFormat="1" applyFont="1" applyFill="1" applyBorder="1" applyAlignment="1">
      <alignment vertical="center"/>
    </xf>
    <xf numFmtId="0" fontId="13" fillId="0" borderId="1" xfId="0" applyFont="1" applyFill="1" applyBorder="1" applyAlignment="1">
      <alignment wrapText="1"/>
    </xf>
    <xf numFmtId="0" fontId="13" fillId="0" borderId="1" xfId="0" applyFont="1" applyFill="1" applyBorder="1" applyAlignment="1">
      <alignment horizontal="right" wrapText="1"/>
    </xf>
    <xf numFmtId="164" fontId="13" fillId="0" borderId="4" xfId="0" applyNumberFormat="1" applyFont="1" applyFill="1" applyBorder="1" applyAlignment="1">
      <alignment vertical="center"/>
    </xf>
    <xf numFmtId="0" fontId="4" fillId="0" borderId="0" xfId="0" applyFont="1" applyFill="1" applyAlignment="1">
      <alignment horizontal="left" vertical="top" wrapText="1"/>
    </xf>
    <xf numFmtId="0" fontId="8" fillId="0" borderId="1" xfId="4" applyFont="1" applyFill="1" applyBorder="1" applyAlignment="1">
      <alignment horizontal="center" wrapText="1"/>
    </xf>
    <xf numFmtId="172" fontId="10" fillId="0" borderId="0" xfId="0" quotePrefix="1" applyNumberFormat="1" applyFont="1" applyFill="1" applyBorder="1" applyAlignment="1">
      <alignment horizontal="right"/>
    </xf>
    <xf numFmtId="0" fontId="8" fillId="0" borderId="2" xfId="19" applyFont="1" applyFill="1" applyBorder="1" applyAlignment="1"/>
    <xf numFmtId="0" fontId="8" fillId="0" borderId="1" xfId="19" applyFont="1" applyFill="1" applyBorder="1" applyAlignment="1">
      <alignment horizontal="left"/>
    </xf>
    <xf numFmtId="0" fontId="8" fillId="0" borderId="1" xfId="19" applyFont="1" applyFill="1" applyBorder="1" applyAlignment="1">
      <alignment horizontal="right"/>
    </xf>
    <xf numFmtId="0" fontId="8" fillId="0" borderId="1" xfId="19" applyFont="1" applyFill="1" applyBorder="1" applyAlignment="1">
      <alignment horizontal="right" wrapText="1"/>
    </xf>
    <xf numFmtId="166" fontId="8" fillId="0" borderId="0" xfId="17" applyNumberFormat="1" applyFont="1" applyFill="1" applyBorder="1" applyAlignment="1">
      <alignment vertical="center"/>
    </xf>
    <xf numFmtId="3" fontId="8" fillId="0" borderId="0" xfId="19" quotePrefix="1" applyNumberFormat="1" applyFont="1" applyFill="1" applyBorder="1" applyAlignment="1">
      <alignment horizontal="right" vertical="center"/>
    </xf>
    <xf numFmtId="1" fontId="8" fillId="0" borderId="0" xfId="0" applyNumberFormat="1" applyFont="1" applyFill="1" applyBorder="1" applyAlignment="1">
      <alignment vertical="center"/>
    </xf>
    <xf numFmtId="165" fontId="8" fillId="0" borderId="0" xfId="17" applyFont="1" applyFill="1" applyBorder="1" applyAlignment="1">
      <alignment horizontal="right" vertical="center"/>
    </xf>
    <xf numFmtId="2" fontId="9" fillId="0" borderId="0" xfId="0" applyNumberFormat="1" applyFont="1" applyFill="1" applyBorder="1" applyAlignment="1">
      <alignment vertical="center"/>
    </xf>
    <xf numFmtId="165" fontId="9" fillId="0" borderId="0" xfId="0" quotePrefix="1" applyNumberFormat="1" applyFont="1" applyFill="1" applyBorder="1" applyAlignment="1">
      <alignment horizontal="right" vertical="center"/>
    </xf>
    <xf numFmtId="0" fontId="15" fillId="0" borderId="4" xfId="0" applyFont="1" applyFill="1" applyBorder="1" applyAlignment="1">
      <alignment vertical="center"/>
    </xf>
    <xf numFmtId="0" fontId="15" fillId="0" borderId="0" xfId="0" applyFont="1" applyFill="1" applyBorder="1" applyAlignment="1">
      <alignment vertical="center"/>
    </xf>
    <xf numFmtId="2" fontId="15" fillId="0" borderId="0" xfId="0" applyNumberFormat="1" applyFont="1" applyFill="1" applyBorder="1" applyAlignment="1">
      <alignment vertical="center"/>
    </xf>
    <xf numFmtId="0" fontId="8" fillId="2" borderId="4" xfId="0" applyFont="1" applyFill="1" applyBorder="1" applyAlignment="1">
      <alignment vertical="center"/>
    </xf>
    <xf numFmtId="0" fontId="23" fillId="0" borderId="0" xfId="0" applyFont="1" applyFill="1" applyBorder="1"/>
    <xf numFmtId="0" fontId="0" fillId="0" borderId="0" xfId="0" applyFill="1"/>
    <xf numFmtId="166" fontId="4" fillId="0" borderId="0" xfId="21" applyNumberFormat="1" applyFont="1" applyFill="1" applyBorder="1" applyAlignment="1">
      <alignment horizontal="right" wrapText="1"/>
    </xf>
    <xf numFmtId="166" fontId="8" fillId="0" borderId="0" xfId="21" applyNumberFormat="1" applyFont="1" applyFill="1" applyBorder="1" applyAlignment="1">
      <alignment horizontal="right" wrapText="1"/>
    </xf>
    <xf numFmtId="9" fontId="4" fillId="0" borderId="0" xfId="22" applyFont="1" applyFill="1" applyBorder="1"/>
    <xf numFmtId="166" fontId="8" fillId="0" borderId="0" xfId="21" applyNumberFormat="1" applyFont="1" applyFill="1" applyBorder="1" applyAlignment="1">
      <alignment horizontal="right" vertical="center" wrapText="1"/>
    </xf>
    <xf numFmtId="9" fontId="4" fillId="0" borderId="0" xfId="22" applyFont="1" applyFill="1" applyBorder="1" applyAlignment="1">
      <alignment vertical="center"/>
    </xf>
    <xf numFmtId="9" fontId="4" fillId="0" borderId="0" xfId="22" applyFont="1" applyFill="1" applyBorder="1" applyAlignment="1">
      <alignment horizontal="right" wrapText="1"/>
    </xf>
    <xf numFmtId="9" fontId="4" fillId="0" borderId="0" xfId="22" applyFont="1" applyFill="1" applyAlignment="1">
      <alignment horizontal="right" wrapText="1"/>
    </xf>
    <xf numFmtId="168" fontId="10" fillId="0" borderId="3" xfId="22" applyNumberFormat="1" applyFont="1" applyFill="1" applyBorder="1" applyAlignment="1">
      <alignment horizontal="right" wrapText="1"/>
    </xf>
    <xf numFmtId="9" fontId="10" fillId="0" borderId="0" xfId="22" applyFont="1" applyFill="1" applyBorder="1" applyAlignment="1">
      <alignment horizontal="right" wrapText="1"/>
    </xf>
    <xf numFmtId="1" fontId="10" fillId="2" borderId="0" xfId="22" applyNumberFormat="1" applyFont="1" applyFill="1" applyBorder="1" applyAlignment="1">
      <alignment horizontal="right"/>
    </xf>
    <xf numFmtId="1" fontId="9" fillId="2" borderId="0" xfId="22" applyNumberFormat="1" applyFont="1" applyFill="1" applyBorder="1" applyAlignment="1">
      <alignment horizontal="right"/>
    </xf>
    <xf numFmtId="9" fontId="10" fillId="0" borderId="0" xfId="22" applyNumberFormat="1" applyFont="1" applyFill="1" applyBorder="1" applyAlignment="1">
      <alignment horizontal="right"/>
    </xf>
    <xf numFmtId="9" fontId="9" fillId="0" borderId="4" xfId="22" applyNumberFormat="1" applyFont="1" applyFill="1" applyBorder="1" applyAlignment="1">
      <alignment horizontal="right" vertical="center"/>
    </xf>
    <xf numFmtId="9" fontId="9" fillId="0" borderId="0" xfId="22" applyFont="1" applyFill="1" applyBorder="1" applyAlignment="1" applyProtection="1">
      <alignment horizontal="right"/>
      <protection locked="0"/>
    </xf>
    <xf numFmtId="164" fontId="8" fillId="0" borderId="0" xfId="21" applyNumberFormat="1" applyFont="1" applyFill="1" applyBorder="1" applyAlignment="1">
      <alignment vertical="center"/>
    </xf>
    <xf numFmtId="10" fontId="8" fillId="0" borderId="0" xfId="22" applyNumberFormat="1" applyFont="1" applyFill="1" applyBorder="1" applyAlignment="1">
      <alignment vertical="center"/>
    </xf>
    <xf numFmtId="3" fontId="9" fillId="0" borderId="0" xfId="0" applyNumberFormat="1" applyFont="1" applyFill="1" applyBorder="1"/>
    <xf numFmtId="9" fontId="4" fillId="0" borderId="0" xfId="22" applyFont="1" applyFill="1"/>
    <xf numFmtId="172" fontId="8" fillId="0" borderId="4" xfId="22" applyNumberFormat="1" applyFont="1" applyFill="1" applyBorder="1" applyAlignment="1">
      <alignment vertical="center"/>
    </xf>
    <xf numFmtId="9" fontId="9" fillId="0" borderId="0" xfId="22" applyFont="1" applyFill="1" applyBorder="1" applyAlignment="1">
      <alignment vertical="center"/>
    </xf>
    <xf numFmtId="166" fontId="4" fillId="0" borderId="0" xfId="21" applyNumberFormat="1" applyFont="1" applyFill="1" applyBorder="1"/>
    <xf numFmtId="166" fontId="8" fillId="0" borderId="0" xfId="21" applyNumberFormat="1" applyFont="1" applyFill="1" applyBorder="1"/>
    <xf numFmtId="166" fontId="15" fillId="0" borderId="4" xfId="21" applyNumberFormat="1" applyFont="1" applyFill="1" applyBorder="1" applyAlignment="1">
      <alignment vertical="center"/>
    </xf>
    <xf numFmtId="166" fontId="15" fillId="0" borderId="0" xfId="21" applyNumberFormat="1" applyFont="1" applyFill="1" applyBorder="1" applyAlignment="1">
      <alignment vertical="center"/>
    </xf>
    <xf numFmtId="9" fontId="15" fillId="0" borderId="0" xfId="22" applyNumberFormat="1" applyFont="1" applyFill="1" applyBorder="1" applyAlignment="1">
      <alignment vertical="center"/>
    </xf>
    <xf numFmtId="166" fontId="8" fillId="0" borderId="4" xfId="21" applyNumberFormat="1" applyFont="1" applyFill="1" applyBorder="1" applyAlignment="1">
      <alignment vertical="center"/>
    </xf>
    <xf numFmtId="166" fontId="8" fillId="0" borderId="3" xfId="21" applyNumberFormat="1" applyFont="1" applyFill="1" applyBorder="1"/>
    <xf numFmtId="166" fontId="8" fillId="0" borderId="1" xfId="21" applyNumberFormat="1" applyFont="1" applyFill="1" applyBorder="1" applyAlignment="1">
      <alignment horizontal="right" wrapText="1"/>
    </xf>
    <xf numFmtId="166" fontId="8" fillId="0" borderId="4" xfId="21" applyNumberFormat="1" applyFont="1" applyFill="1" applyBorder="1" applyAlignment="1">
      <alignment horizontal="right" vertical="center" wrapText="1"/>
    </xf>
    <xf numFmtId="9" fontId="9" fillId="0" borderId="2" xfId="22" applyFont="1" applyFill="1" applyBorder="1"/>
    <xf numFmtId="9" fontId="9" fillId="0" borderId="0" xfId="22" applyFont="1" applyFill="1" applyBorder="1"/>
    <xf numFmtId="166" fontId="8" fillId="0" borderId="3" xfId="21" applyNumberFormat="1" applyFont="1" applyFill="1" applyBorder="1" applyAlignment="1">
      <alignment vertical="center"/>
    </xf>
    <xf numFmtId="166" fontId="8" fillId="0" borderId="0" xfId="21" applyNumberFormat="1" applyFont="1" applyFill="1" applyBorder="1" applyAlignment="1">
      <alignment vertical="center"/>
    </xf>
    <xf numFmtId="9" fontId="9" fillId="0" borderId="4" xfId="22" applyFont="1" applyFill="1" applyBorder="1" applyAlignment="1">
      <alignment vertical="center"/>
    </xf>
    <xf numFmtId="9" fontId="8" fillId="0" borderId="0" xfId="22" applyFont="1" applyFill="1" applyBorder="1" applyAlignment="1">
      <alignment vertical="center"/>
    </xf>
    <xf numFmtId="168" fontId="10" fillId="0" borderId="1" xfId="22" applyNumberFormat="1" applyFont="1" applyFill="1" applyBorder="1"/>
    <xf numFmtId="9" fontId="10" fillId="0" borderId="1" xfId="22" applyNumberFormat="1" applyFont="1" applyFill="1" applyBorder="1"/>
    <xf numFmtId="9" fontId="10" fillId="0" borderId="3" xfId="22" applyFont="1" applyFill="1" applyBorder="1"/>
    <xf numFmtId="166" fontId="10" fillId="0" borderId="0" xfId="0" applyNumberFormat="1" applyFont="1" applyFill="1"/>
    <xf numFmtId="0" fontId="7" fillId="2" borderId="0" xfId="0" applyFont="1" applyFill="1" applyBorder="1" applyAlignment="1">
      <alignment horizontal="left" vertical="top" wrapText="1"/>
    </xf>
    <xf numFmtId="170" fontId="4" fillId="0" borderId="2" xfId="6" applyNumberFormat="1" applyFont="1" applyFill="1" applyBorder="1" applyAlignment="1"/>
    <xf numFmtId="170" fontId="8" fillId="0" borderId="4" xfId="6" applyNumberFormat="1" applyFont="1" applyFill="1" applyBorder="1" applyAlignment="1"/>
    <xf numFmtId="164" fontId="4" fillId="0" borderId="4" xfId="0" applyNumberFormat="1" applyFont="1" applyFill="1" applyBorder="1"/>
    <xf numFmtId="0" fontId="0" fillId="0" borderId="1" xfId="0" applyBorder="1"/>
    <xf numFmtId="0" fontId="4" fillId="2" borderId="2" xfId="0" applyNumberFormat="1" applyFont="1" applyFill="1" applyBorder="1"/>
    <xf numFmtId="3" fontId="4" fillId="2" borderId="2" xfId="0" applyNumberFormat="1" applyFont="1" applyFill="1" applyBorder="1" applyAlignment="1">
      <alignment horizontal="right"/>
    </xf>
    <xf numFmtId="168" fontId="10" fillId="2" borderId="2" xfId="2" quotePrefix="1" applyNumberFormat="1" applyFont="1" applyFill="1" applyBorder="1" applyAlignment="1">
      <alignment horizontal="right"/>
    </xf>
    <xf numFmtId="1" fontId="9" fillId="2" borderId="0" xfId="7" quotePrefix="1" applyNumberFormat="1" applyFont="1" applyFill="1" applyBorder="1" applyAlignment="1">
      <alignment horizontal="right"/>
    </xf>
    <xf numFmtId="3" fontId="8" fillId="2" borderId="2" xfId="0" applyNumberFormat="1" applyFont="1" applyFill="1" applyBorder="1" applyAlignment="1">
      <alignment horizontal="right"/>
    </xf>
    <xf numFmtId="3" fontId="4" fillId="2" borderId="2" xfId="7" applyNumberFormat="1" applyFont="1" applyFill="1" applyBorder="1" applyAlignment="1">
      <alignment horizontal="right"/>
    </xf>
    <xf numFmtId="3" fontId="8" fillId="2" borderId="2" xfId="0" quotePrefix="1" applyNumberFormat="1" applyFont="1" applyFill="1" applyBorder="1" applyAlignment="1">
      <alignment horizontal="right"/>
    </xf>
    <xf numFmtId="0" fontId="13" fillId="2" borderId="0" xfId="7" applyFont="1" applyFill="1" applyBorder="1" applyAlignment="1"/>
    <xf numFmtId="0" fontId="8" fillId="2" borderId="2" xfId="7" applyFont="1" applyFill="1" applyBorder="1" applyAlignment="1">
      <alignment horizontal="left" indent="1"/>
    </xf>
    <xf numFmtId="172" fontId="8" fillId="2" borderId="2" xfId="0" applyNumberFormat="1" applyFont="1" applyFill="1" applyBorder="1" applyAlignment="1">
      <alignment horizontal="right"/>
    </xf>
    <xf numFmtId="172" fontId="10" fillId="2" borderId="2" xfId="0" applyNumberFormat="1" applyFont="1" applyFill="1" applyBorder="1" applyAlignment="1">
      <alignment horizontal="right"/>
    </xf>
    <xf numFmtId="172" fontId="9" fillId="2" borderId="2" xfId="0" applyNumberFormat="1" applyFont="1" applyFill="1" applyBorder="1" applyAlignment="1">
      <alignment horizontal="right"/>
    </xf>
    <xf numFmtId="0" fontId="24" fillId="0" borderId="0" xfId="0" applyFont="1"/>
    <xf numFmtId="0" fontId="8" fillId="2" borderId="0" xfId="7" applyFont="1" applyFill="1" applyBorder="1" applyAlignment="1">
      <alignment horizontal="left" wrapText="1"/>
    </xf>
    <xf numFmtId="172" fontId="8" fillId="0" borderId="0" xfId="5" applyNumberFormat="1" applyFont="1" applyFill="1" applyBorder="1" applyAlignment="1">
      <alignment horizontal="right" wrapText="1"/>
    </xf>
    <xf numFmtId="172" fontId="8" fillId="0" borderId="1" xfId="5" applyNumberFormat="1" applyFont="1" applyFill="1" applyBorder="1" applyAlignment="1">
      <alignment horizontal="right" wrapText="1"/>
    </xf>
    <xf numFmtId="164" fontId="8" fillId="0" borderId="4" xfId="0" applyNumberFormat="1" applyFont="1" applyFill="1" applyBorder="1"/>
    <xf numFmtId="1" fontId="4" fillId="0" borderId="3" xfId="0" applyNumberFormat="1" applyFont="1" applyFill="1" applyBorder="1" applyAlignment="1">
      <alignment vertical="center"/>
    </xf>
    <xf numFmtId="3" fontId="7" fillId="0" borderId="4" xfId="0" applyNumberFormat="1" applyFont="1" applyFill="1" applyBorder="1" applyAlignment="1"/>
    <xf numFmtId="166" fontId="8" fillId="0" borderId="4" xfId="0" applyNumberFormat="1" applyFont="1" applyFill="1" applyBorder="1" applyAlignment="1">
      <alignment vertical="center"/>
    </xf>
    <xf numFmtId="49" fontId="8" fillId="0" borderId="0" xfId="7" applyNumberFormat="1" applyFont="1" applyFill="1" applyBorder="1" applyAlignment="1">
      <alignment horizontal="left" wrapText="1"/>
    </xf>
    <xf numFmtId="0" fontId="8" fillId="0" borderId="0" xfId="0" applyFont="1" applyFill="1" applyAlignment="1"/>
    <xf numFmtId="0" fontId="4" fillId="2" borderId="0" xfId="0" applyFont="1" applyFill="1" applyAlignment="1">
      <alignment horizontal="left" vertical="top" wrapText="1"/>
    </xf>
    <xf numFmtId="172" fontId="4" fillId="0" borderId="2" xfId="0" applyNumberFormat="1" applyFont="1" applyFill="1" applyBorder="1" applyAlignment="1">
      <alignment horizontal="right"/>
    </xf>
    <xf numFmtId="172" fontId="4" fillId="0" borderId="0" xfId="0" applyNumberFormat="1" applyFont="1" applyFill="1" applyBorder="1" applyAlignment="1">
      <alignment horizontal="right"/>
    </xf>
    <xf numFmtId="0" fontId="21" fillId="0" borderId="1" xfId="0" applyFont="1" applyFill="1" applyBorder="1" applyAlignment="1"/>
    <xf numFmtId="0" fontId="8" fillId="0" borderId="5" xfId="4" applyFont="1" applyFill="1" applyBorder="1" applyAlignment="1">
      <alignment horizontal="center" wrapText="1"/>
    </xf>
    <xf numFmtId="164" fontId="15" fillId="0" borderId="4" xfId="0" applyNumberFormat="1" applyFont="1" applyFill="1" applyBorder="1" applyAlignment="1">
      <alignment vertical="center"/>
    </xf>
    <xf numFmtId="164" fontId="4" fillId="4" borderId="0" xfId="0" applyNumberFormat="1" applyFont="1" applyFill="1" applyBorder="1" applyAlignment="1">
      <alignment horizontal="right"/>
    </xf>
    <xf numFmtId="0" fontId="7" fillId="2" borderId="0" xfId="0" applyFont="1" applyFill="1" applyBorder="1" applyAlignment="1">
      <alignment horizontal="left" vertical="center" wrapText="1"/>
    </xf>
    <xf numFmtId="0" fontId="7" fillId="2" borderId="0" xfId="0" applyFont="1" applyFill="1" applyAlignment="1">
      <alignment horizontal="left" vertical="center" wrapText="1"/>
    </xf>
    <xf numFmtId="0" fontId="26" fillId="2" borderId="1" xfId="0" applyFont="1" applyFill="1" applyBorder="1" applyAlignment="1">
      <alignment horizontal="center" wrapText="1"/>
    </xf>
    <xf numFmtId="164" fontId="8" fillId="0" borderId="4" xfId="0" applyNumberFormat="1" applyFont="1" applyFill="1" applyBorder="1" applyAlignment="1">
      <alignment horizontal="right" vertical="center" wrapText="1"/>
    </xf>
    <xf numFmtId="0" fontId="0" fillId="0" borderId="3" xfId="0" applyBorder="1"/>
    <xf numFmtId="0" fontId="27" fillId="0" borderId="0" xfId="0" applyFont="1" applyFill="1" applyBorder="1" applyAlignment="1">
      <alignment vertical="center" wrapText="1"/>
    </xf>
    <xf numFmtId="0" fontId="0" fillId="0" borderId="0" xfId="0" applyFont="1"/>
    <xf numFmtId="0" fontId="28" fillId="0" borderId="0" xfId="0" applyFont="1" applyFill="1" applyBorder="1" applyAlignment="1">
      <alignment wrapText="1"/>
    </xf>
    <xf numFmtId="0" fontId="28" fillId="0" borderId="0" xfId="0" applyFont="1" applyFill="1" applyBorder="1" applyAlignment="1">
      <alignment horizontal="center"/>
    </xf>
    <xf numFmtId="0" fontId="29" fillId="0" borderId="0" xfId="0" applyFont="1" applyFill="1" applyBorder="1" applyAlignment="1">
      <alignment wrapText="1"/>
    </xf>
    <xf numFmtId="0" fontId="28" fillId="0" borderId="0" xfId="0" applyFont="1" applyFill="1" applyBorder="1" applyAlignment="1"/>
    <xf numFmtId="0" fontId="28" fillId="0" borderId="0" xfId="0" applyFont="1" applyFill="1" applyBorder="1" applyAlignment="1">
      <alignment horizontal="left"/>
    </xf>
    <xf numFmtId="0" fontId="30" fillId="0" borderId="0" xfId="0" applyFont="1" applyFill="1" applyBorder="1" applyAlignment="1">
      <alignment wrapText="1"/>
    </xf>
    <xf numFmtId="0" fontId="31" fillId="0" borderId="0" xfId="0" applyFont="1"/>
    <xf numFmtId="0" fontId="15" fillId="2" borderId="0" xfId="0" applyFont="1" applyFill="1" applyAlignment="1"/>
    <xf numFmtId="0" fontId="15" fillId="2" borderId="0" xfId="0" applyFont="1" applyFill="1" applyBorder="1" applyAlignment="1">
      <alignment horizontal="left" vertical="center"/>
    </xf>
    <xf numFmtId="0" fontId="15" fillId="0" borderId="0" xfId="0" applyFont="1" applyFill="1" applyAlignment="1"/>
    <xf numFmtId="0" fontId="32" fillId="0" borderId="0" xfId="0" applyFont="1" applyFill="1" applyAlignment="1">
      <alignment vertical="center"/>
    </xf>
    <xf numFmtId="0" fontId="32" fillId="0" borderId="0" xfId="0" applyFont="1" applyFill="1"/>
    <xf numFmtId="0" fontId="32" fillId="0" borderId="0" xfId="0" applyFont="1" applyFill="1" applyAlignment="1"/>
    <xf numFmtId="0" fontId="15" fillId="2" borderId="0" xfId="0" applyFont="1" applyFill="1" applyAlignment="1">
      <alignment horizontal="left" vertical="center"/>
    </xf>
    <xf numFmtId="0" fontId="32" fillId="2" borderId="0" xfId="0" applyFont="1" applyFill="1"/>
    <xf numFmtId="0" fontId="15" fillId="2" borderId="0" xfId="0" applyFont="1" applyFill="1"/>
    <xf numFmtId="0" fontId="32" fillId="2" borderId="0" xfId="0" applyFont="1" applyFill="1" applyAlignment="1"/>
    <xf numFmtId="0" fontId="32" fillId="2" borderId="0" xfId="0" applyFont="1" applyFill="1" applyAlignment="1">
      <alignment horizontal="right"/>
    </xf>
    <xf numFmtId="172" fontId="32" fillId="2" borderId="0" xfId="0" applyNumberFormat="1" applyFont="1" applyFill="1" applyAlignment="1"/>
    <xf numFmtId="0" fontId="15" fillId="0" borderId="0" xfId="5" applyFont="1" applyFill="1" applyBorder="1" applyAlignment="1">
      <alignment horizontal="left"/>
    </xf>
    <xf numFmtId="1" fontId="15" fillId="0" borderId="0" xfId="5" applyNumberFormat="1" applyFont="1" applyFill="1" applyBorder="1" applyAlignment="1">
      <alignment horizontal="right" wrapText="1"/>
    </xf>
    <xf numFmtId="0" fontId="15" fillId="0" borderId="0" xfId="5" applyFont="1" applyFill="1" applyBorder="1" applyAlignment="1">
      <alignment horizontal="right" wrapText="1"/>
    </xf>
    <xf numFmtId="0" fontId="33" fillId="0" borderId="0" xfId="0" applyFont="1" applyFill="1" applyAlignment="1">
      <alignment vertical="center"/>
    </xf>
    <xf numFmtId="0" fontId="33" fillId="0" borderId="0" xfId="0" applyFont="1" applyFill="1"/>
    <xf numFmtId="0" fontId="32" fillId="0" borderId="0" xfId="0" applyFont="1" applyFill="1" applyAlignment="1">
      <alignment horizontal="left" vertical="top" wrapText="1"/>
    </xf>
    <xf numFmtId="3" fontId="15" fillId="0" borderId="0" xfId="0" applyNumberFormat="1" applyFont="1" applyFill="1"/>
    <xf numFmtId="3" fontId="32" fillId="0" borderId="0" xfId="0" applyNumberFormat="1" applyFont="1" applyFill="1"/>
    <xf numFmtId="0" fontId="15" fillId="0" borderId="0" xfId="0" applyFont="1" applyFill="1" applyBorder="1" applyAlignment="1">
      <alignment horizontal="left" vertical="top" wrapText="1"/>
    </xf>
    <xf numFmtId="0" fontId="15" fillId="0" borderId="0" xfId="0" applyFont="1" applyFill="1" applyBorder="1"/>
    <xf numFmtId="0" fontId="1" fillId="0" borderId="0" xfId="0" applyFont="1" applyFill="1"/>
    <xf numFmtId="0" fontId="15" fillId="0" borderId="0" xfId="0" applyFont="1" applyFill="1"/>
    <xf numFmtId="0" fontId="15" fillId="0" borderId="0" xfId="3" applyFont="1" applyFill="1" applyAlignment="1" applyProtection="1">
      <protection locked="0"/>
    </xf>
    <xf numFmtId="0" fontId="15" fillId="0" borderId="0" xfId="0" applyNumberFormat="1" applyFont="1" applyFill="1" applyBorder="1" applyAlignment="1" applyProtection="1">
      <alignment horizontal="right"/>
      <protection locked="0"/>
    </xf>
    <xf numFmtId="0" fontId="32" fillId="0" borderId="0" xfId="0" applyFont="1" applyFill="1" applyBorder="1" applyProtection="1">
      <protection locked="0"/>
    </xf>
    <xf numFmtId="0" fontId="32" fillId="0" borderId="0" xfId="0" applyFont="1" applyFill="1" applyProtection="1">
      <protection locked="0"/>
    </xf>
    <xf numFmtId="9" fontId="35" fillId="0" borderId="0" xfId="22" applyFont="1" applyFill="1" applyBorder="1" applyAlignment="1" applyProtection="1">
      <alignment horizontal="right"/>
      <protection locked="0"/>
    </xf>
    <xf numFmtId="0" fontId="33" fillId="2" borderId="0" xfId="0" applyFont="1" applyFill="1" applyAlignment="1">
      <alignment vertical="center"/>
    </xf>
    <xf numFmtId="0" fontId="32" fillId="0" borderId="0" xfId="0" applyFont="1" applyFill="1" applyBorder="1"/>
    <xf numFmtId="0" fontId="15" fillId="0" borderId="0" xfId="0" applyFont="1" applyFill="1" applyBorder="1" applyAlignment="1">
      <alignment horizontal="left" vertical="center"/>
    </xf>
    <xf numFmtId="164" fontId="32" fillId="0" borderId="0" xfId="13" applyNumberFormat="1" applyFont="1" applyFill="1" applyBorder="1" applyAlignment="1">
      <alignment horizontal="right"/>
    </xf>
    <xf numFmtId="0" fontId="0" fillId="0" borderId="0" xfId="0" applyFont="1" applyAlignment="1"/>
    <xf numFmtId="164" fontId="32" fillId="0" borderId="0" xfId="0" applyNumberFormat="1" applyFont="1" applyFill="1" applyBorder="1" applyAlignment="1">
      <alignment vertical="center"/>
    </xf>
    <xf numFmtId="164" fontId="15" fillId="0" borderId="0" xfId="0" applyNumberFormat="1" applyFont="1" applyFill="1" applyBorder="1" applyAlignment="1">
      <alignment vertical="center"/>
    </xf>
    <xf numFmtId="164" fontId="15" fillId="0" borderId="0" xfId="21" applyNumberFormat="1" applyFont="1" applyFill="1" applyBorder="1" applyAlignment="1">
      <alignment vertical="center"/>
    </xf>
    <xf numFmtId="10" fontId="15" fillId="0" borderId="0" xfId="22" applyNumberFormat="1" applyFont="1" applyFill="1" applyBorder="1" applyAlignment="1">
      <alignment vertical="center"/>
    </xf>
    <xf numFmtId="0" fontId="15" fillId="2" borderId="0" xfId="0" applyFont="1" applyFill="1" applyBorder="1"/>
    <xf numFmtId="0" fontId="32" fillId="2" borderId="0" xfId="0" applyFont="1" applyFill="1" applyAlignment="1">
      <alignment vertical="top"/>
    </xf>
    <xf numFmtId="0" fontId="33" fillId="2" borderId="0" xfId="0" applyFont="1" applyFill="1"/>
    <xf numFmtId="0" fontId="32" fillId="2" borderId="0" xfId="0" applyFont="1" applyFill="1" applyAlignment="1">
      <alignment horizontal="left" vertical="top" wrapText="1"/>
    </xf>
    <xf numFmtId="0" fontId="32" fillId="2" borderId="0" xfId="0" applyFont="1" applyFill="1" applyAlignment="1">
      <alignment vertical="top" wrapText="1"/>
    </xf>
    <xf numFmtId="0" fontId="8" fillId="0" borderId="0" xfId="18" applyFont="1" applyFill="1" applyBorder="1" applyAlignment="1">
      <alignment horizontal="left" vertical="center" wrapText="1"/>
    </xf>
    <xf numFmtId="174" fontId="8" fillId="0" borderId="0" xfId="0" applyNumberFormat="1" applyFont="1" applyFill="1" applyBorder="1" applyAlignment="1">
      <alignment vertical="center"/>
    </xf>
    <xf numFmtId="0" fontId="8" fillId="0" borderId="3" xfId="0" applyFont="1" applyFill="1" applyBorder="1" applyAlignment="1">
      <alignment horizontal="left"/>
    </xf>
    <xf numFmtId="166" fontId="4" fillId="0" borderId="0" xfId="0" applyNumberFormat="1" applyFont="1" applyFill="1" applyBorder="1"/>
    <xf numFmtId="164" fontId="0" fillId="0" borderId="0" xfId="0" applyNumberFormat="1"/>
    <xf numFmtId="0" fontId="37" fillId="0" borderId="0" xfId="0" applyFont="1" applyAlignment="1">
      <alignment vertical="center"/>
    </xf>
    <xf numFmtId="0" fontId="0" fillId="2" borderId="0" xfId="0" applyFill="1"/>
    <xf numFmtId="0" fontId="8" fillId="2" borderId="0" xfId="0" applyFont="1" applyFill="1" applyBorder="1" applyAlignment="1">
      <alignment horizontal="right"/>
    </xf>
    <xf numFmtId="0" fontId="32" fillId="0" borderId="0" xfId="0" applyFont="1" applyFill="1" applyAlignment="1">
      <alignment vertical="center" wrapText="1"/>
    </xf>
    <xf numFmtId="0" fontId="0" fillId="0" borderId="0" xfId="0" applyAlignment="1">
      <alignment vertical="center" wrapText="1"/>
    </xf>
    <xf numFmtId="0" fontId="15" fillId="0" borderId="0" xfId="5" applyFont="1" applyFill="1" applyBorder="1" applyAlignment="1">
      <alignment horizontal="left" vertical="center"/>
    </xf>
    <xf numFmtId="0" fontId="8" fillId="2" borderId="1" xfId="8" applyFont="1" applyFill="1" applyBorder="1" applyAlignment="1">
      <alignment horizontal="right" wrapText="1"/>
    </xf>
    <xf numFmtId="0" fontId="8" fillId="0" borderId="1" xfId="0" applyFont="1" applyFill="1" applyBorder="1" applyAlignment="1" applyProtection="1">
      <alignment horizontal="right"/>
      <protection locked="0"/>
    </xf>
    <xf numFmtId="0" fontId="32" fillId="0" borderId="0" xfId="0" applyFont="1" applyFill="1" applyAlignment="1">
      <alignment horizontal="left" vertical="center"/>
    </xf>
    <xf numFmtId="0" fontId="9" fillId="2" borderId="0" xfId="0" applyFont="1" applyFill="1" applyBorder="1" applyAlignment="1">
      <alignment vertical="center" wrapText="1"/>
    </xf>
    <xf numFmtId="0" fontId="8" fillId="2" borderId="0" xfId="0" applyFont="1" applyFill="1" applyBorder="1" applyAlignment="1">
      <alignment vertical="center" wrapText="1"/>
    </xf>
    <xf numFmtId="168" fontId="4" fillId="2" borderId="0" xfId="22" applyNumberFormat="1" applyFont="1" applyFill="1" applyBorder="1" applyAlignment="1">
      <alignment vertical="center"/>
    </xf>
    <xf numFmtId="168" fontId="8" fillId="2" borderId="0" xfId="22" applyNumberFormat="1" applyFont="1" applyFill="1" applyBorder="1" applyAlignment="1">
      <alignment vertical="center"/>
    </xf>
    <xf numFmtId="172" fontId="4" fillId="0" borderId="0" xfId="0" applyNumberFormat="1" applyFont="1" applyFill="1" applyBorder="1" applyAlignment="1">
      <alignment horizontal="right" vertical="center" wrapText="1"/>
    </xf>
    <xf numFmtId="0" fontId="34" fillId="2" borderId="0" xfId="3" applyFont="1" applyFill="1" applyAlignment="1" applyProtection="1">
      <alignment vertical="center" wrapText="1"/>
    </xf>
    <xf numFmtId="0" fontId="23" fillId="0" borderId="0" xfId="0" applyFont="1"/>
    <xf numFmtId="0" fontId="38" fillId="0" borderId="0" xfId="3" applyFont="1" applyFill="1" applyBorder="1" applyAlignment="1" applyProtection="1"/>
    <xf numFmtId="0" fontId="38" fillId="0" borderId="0" xfId="3" applyFont="1" applyFill="1" applyBorder="1" applyAlignment="1" applyProtection="1">
      <alignment horizontal="center"/>
    </xf>
    <xf numFmtId="0" fontId="38" fillId="0" borderId="0" xfId="3" applyFont="1" applyAlignment="1" applyProtection="1"/>
    <xf numFmtId="0" fontId="39" fillId="0" borderId="0" xfId="0" applyFont="1" applyFill="1" applyBorder="1" applyAlignment="1">
      <alignment vertical="center" wrapText="1"/>
    </xf>
    <xf numFmtId="0" fontId="39" fillId="0" borderId="0" xfId="0" applyFont="1" applyFill="1" applyBorder="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8" fillId="2" borderId="9" xfId="0" applyFont="1" applyFill="1" applyBorder="1" applyAlignment="1">
      <alignment horizontal="right"/>
    </xf>
    <xf numFmtId="164" fontId="4" fillId="0" borderId="0" xfId="0" applyNumberFormat="1" applyFont="1" applyFill="1" applyAlignment="1">
      <alignment horizontal="right"/>
    </xf>
    <xf numFmtId="0" fontId="4" fillId="0" borderId="6" xfId="5" applyNumberFormat="1" applyFont="1" applyFill="1" applyBorder="1" applyAlignment="1">
      <alignment horizontal="left"/>
    </xf>
    <xf numFmtId="0" fontId="4" fillId="0" borderId="0" xfId="5" applyNumberFormat="1" applyFont="1" applyFill="1" applyBorder="1" applyAlignment="1">
      <alignment horizontal="left"/>
    </xf>
    <xf numFmtId="0" fontId="4" fillId="0" borderId="2" xfId="5" applyFont="1" applyFill="1" applyBorder="1" applyAlignment="1">
      <alignment horizontal="left" wrapText="1"/>
    </xf>
    <xf numFmtId="0" fontId="4" fillId="0" borderId="0" xfId="5" applyFont="1" applyFill="1" applyBorder="1" applyAlignment="1">
      <alignment horizontal="left" vertical="center" wrapText="1"/>
    </xf>
    <xf numFmtId="0" fontId="4" fillId="0" borderId="6" xfId="5" applyFont="1" applyFill="1" applyBorder="1" applyAlignment="1">
      <alignment horizontal="left"/>
    </xf>
    <xf numFmtId="0" fontId="8" fillId="0" borderId="6" xfId="5" applyFont="1" applyFill="1" applyBorder="1" applyAlignment="1">
      <alignment horizontal="left"/>
    </xf>
    <xf numFmtId="4" fontId="4" fillId="2" borderId="0" xfId="0" applyNumberFormat="1" applyFont="1" applyFill="1" applyBorder="1" applyAlignment="1">
      <alignment horizontal="right"/>
    </xf>
    <xf numFmtId="4" fontId="8" fillId="2" borderId="0" xfId="0" applyNumberFormat="1" applyFont="1" applyFill="1" applyBorder="1" applyAlignment="1">
      <alignment horizontal="right"/>
    </xf>
    <xf numFmtId="0" fontId="40" fillId="0" borderId="0" xfId="0" applyFont="1"/>
    <xf numFmtId="172" fontId="0" fillId="0" borderId="0" xfId="0" applyNumberFormat="1"/>
    <xf numFmtId="0" fontId="8" fillId="2" borderId="1" xfId="0" applyFont="1" applyFill="1" applyBorder="1" applyAlignment="1">
      <alignment horizontal="left"/>
    </xf>
    <xf numFmtId="0" fontId="13" fillId="0" borderId="11" xfId="0" applyFont="1" applyFill="1" applyBorder="1" applyAlignment="1">
      <alignment horizontal="right" wrapText="1"/>
    </xf>
    <xf numFmtId="164" fontId="4" fillId="0" borderId="10" xfId="0" applyNumberFormat="1" applyFont="1" applyFill="1" applyBorder="1"/>
    <xf numFmtId="164" fontId="13" fillId="0" borderId="12" xfId="0" applyNumberFormat="1" applyFont="1" applyFill="1" applyBorder="1" applyAlignment="1">
      <alignment vertical="center"/>
    </xf>
    <xf numFmtId="0" fontId="8" fillId="2" borderId="1" xfId="5" applyFont="1" applyFill="1" applyBorder="1" applyAlignment="1">
      <alignment horizontal="left"/>
    </xf>
    <xf numFmtId="0" fontId="8" fillId="2" borderId="1" xfId="5" applyFont="1" applyFill="1" applyBorder="1" applyAlignment="1">
      <alignment horizontal="right" wrapText="1"/>
    </xf>
    <xf numFmtId="0" fontId="8" fillId="2" borderId="1" xfId="18" applyFont="1" applyFill="1" applyBorder="1" applyAlignment="1">
      <alignment horizontal="right"/>
    </xf>
    <xf numFmtId="0" fontId="8" fillId="2" borderId="0" xfId="5" applyFont="1" applyFill="1" applyBorder="1" applyAlignment="1"/>
    <xf numFmtId="171" fontId="4" fillId="2" borderId="0" xfId="21" quotePrefix="1" applyNumberFormat="1" applyFont="1" applyFill="1" applyBorder="1" applyAlignment="1">
      <alignment horizontal="right"/>
    </xf>
    <xf numFmtId="166" fontId="8" fillId="2" borderId="0" xfId="21" applyNumberFormat="1" applyFont="1" applyFill="1" applyBorder="1"/>
    <xf numFmtId="166" fontId="8" fillId="2" borderId="4" xfId="21" applyNumberFormat="1" applyFont="1" applyFill="1" applyBorder="1" applyAlignment="1">
      <alignment vertical="center"/>
    </xf>
    <xf numFmtId="0" fontId="32" fillId="2" borderId="0" xfId="18" applyFont="1" applyFill="1"/>
    <xf numFmtId="0" fontId="8" fillId="0" borderId="1" xfId="5" applyFont="1" applyFill="1" applyBorder="1" applyAlignment="1">
      <alignment horizontal="left"/>
    </xf>
    <xf numFmtId="0" fontId="8" fillId="0" borderId="0" xfId="5" applyFont="1" applyFill="1" applyBorder="1" applyAlignment="1"/>
    <xf numFmtId="0" fontId="8" fillId="0" borderId="4" xfId="18" applyFont="1" applyFill="1" applyBorder="1" applyAlignment="1">
      <alignment vertical="center"/>
    </xf>
    <xf numFmtId="3" fontId="8" fillId="0" borderId="15" xfId="0" applyNumberFormat="1" applyFont="1" applyFill="1" applyBorder="1" applyAlignment="1">
      <alignment horizontal="right" wrapText="1"/>
    </xf>
    <xf numFmtId="3" fontId="8" fillId="0" borderId="14" xfId="0" applyNumberFormat="1" applyFont="1" applyFill="1" applyBorder="1" applyAlignment="1">
      <alignment vertical="center"/>
    </xf>
    <xf numFmtId="173" fontId="4" fillId="0" borderId="0" xfId="0" applyNumberFormat="1" applyFont="1" applyFill="1" applyBorder="1" applyAlignment="1">
      <alignment vertical="center"/>
    </xf>
    <xf numFmtId="0" fontId="0" fillId="0" borderId="0" xfId="0" applyFont="1" applyAlignment="1">
      <alignment horizontal="left" wrapText="1"/>
    </xf>
    <xf numFmtId="0" fontId="0" fillId="0" borderId="0" xfId="0" applyAlignment="1">
      <alignment horizontal="left" wrapText="1"/>
    </xf>
    <xf numFmtId="0" fontId="7" fillId="2" borderId="0" xfId="0" applyFont="1" applyFill="1" applyAlignment="1">
      <alignment horizontal="left" vertical="center" wrapText="1"/>
    </xf>
    <xf numFmtId="0" fontId="18" fillId="2" borderId="9" xfId="0" applyFont="1" applyFill="1" applyBorder="1" applyAlignment="1">
      <alignment horizontal="right" wrapText="1"/>
    </xf>
    <xf numFmtId="0" fontId="18" fillId="2" borderId="16" xfId="0" applyFont="1" applyFill="1" applyBorder="1" applyAlignment="1">
      <alignment horizontal="right" wrapText="1"/>
    </xf>
    <xf numFmtId="0" fontId="18" fillId="2" borderId="0" xfId="0" applyFont="1" applyFill="1" applyBorder="1" applyAlignment="1">
      <alignment horizontal="right" vertical="center" wrapText="1"/>
    </xf>
    <xf numFmtId="0" fontId="32" fillId="2" borderId="0" xfId="0" applyFont="1" applyFill="1" applyAlignment="1">
      <alignment horizontal="left" vertical="top" wrapText="1"/>
    </xf>
    <xf numFmtId="0" fontId="7" fillId="2" borderId="0" xfId="0" applyFont="1" applyFill="1" applyAlignment="1">
      <alignment horizontal="left" vertical="top" wrapText="1"/>
    </xf>
    <xf numFmtId="0" fontId="34" fillId="2" borderId="0" xfId="3" applyFont="1" applyFill="1" applyAlignment="1" applyProtection="1">
      <alignment horizontal="left" vertical="center" wrapText="1"/>
    </xf>
    <xf numFmtId="4" fontId="4" fillId="2" borderId="0" xfId="0" applyNumberFormat="1" applyFont="1" applyFill="1" applyBorder="1"/>
    <xf numFmtId="168" fontId="0" fillId="0" borderId="0" xfId="0" applyNumberFormat="1"/>
    <xf numFmtId="168" fontId="0" fillId="0" borderId="0" xfId="0" applyNumberFormat="1" applyFill="1"/>
    <xf numFmtId="169" fontId="4" fillId="0" borderId="2" xfId="0" applyNumberFormat="1" applyFont="1" applyFill="1" applyBorder="1"/>
    <xf numFmtId="0" fontId="7" fillId="0" borderId="0" xfId="0" applyFont="1" applyFill="1" applyAlignment="1">
      <alignment horizontal="left" vertical="center"/>
    </xf>
    <xf numFmtId="0" fontId="32" fillId="0" borderId="0" xfId="0" applyFont="1" applyFill="1" applyAlignment="1">
      <alignment horizontal="left" vertical="top" wrapText="1"/>
    </xf>
    <xf numFmtId="0" fontId="7"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left" vertical="top" wrapText="1"/>
    </xf>
    <xf numFmtId="0" fontId="32" fillId="0" borderId="0" xfId="0" applyFont="1" applyFill="1" applyAlignment="1">
      <alignment horizontal="left" vertical="center" wrapText="1"/>
    </xf>
    <xf numFmtId="0" fontId="32" fillId="0" borderId="0" xfId="5" applyFont="1" applyFill="1" applyBorder="1" applyAlignment="1">
      <alignment horizontal="left" vertical="top" wrapText="1"/>
    </xf>
    <xf numFmtId="0" fontId="8" fillId="0" borderId="5" xfId="0" applyFont="1" applyFill="1" applyBorder="1" applyAlignment="1">
      <alignment horizontal="center" vertical="center" wrapText="1"/>
    </xf>
    <xf numFmtId="0" fontId="7" fillId="2" borderId="0" xfId="8" applyFont="1" applyFill="1" applyAlignment="1">
      <alignment horizontal="left" vertical="top" wrapText="1"/>
    </xf>
    <xf numFmtId="0" fontId="7" fillId="2" borderId="0" xfId="0" applyFont="1" applyFill="1" applyAlignment="1">
      <alignment horizontal="left" vertical="top" wrapText="1"/>
    </xf>
    <xf numFmtId="0" fontId="7" fillId="2" borderId="0" xfId="0" applyFont="1" applyFill="1" applyBorder="1" applyAlignment="1">
      <alignment horizontal="left" vertical="center"/>
    </xf>
    <xf numFmtId="0" fontId="8" fillId="2" borderId="0" xfId="0" applyFont="1" applyFill="1" applyBorder="1" applyAlignment="1">
      <alignment horizontal="center" wrapText="1"/>
    </xf>
    <xf numFmtId="0" fontId="8" fillId="2" borderId="1" xfId="0" applyFont="1" applyFill="1" applyBorder="1" applyAlignment="1">
      <alignment horizontal="center" wrapText="1"/>
    </xf>
    <xf numFmtId="0" fontId="0" fillId="2" borderId="0" xfId="0" applyFill="1" applyAlignment="1">
      <alignment horizontal="left" wrapText="1"/>
    </xf>
    <xf numFmtId="0" fontId="7" fillId="2" borderId="0" xfId="0" applyFont="1" applyFill="1" applyBorder="1" applyAlignment="1">
      <alignment horizontal="left" vertical="center" wrapText="1"/>
    </xf>
    <xf numFmtId="0" fontId="7" fillId="2" borderId="0" xfId="0" applyFont="1" applyFill="1" applyBorder="1" applyAlignment="1">
      <alignment horizontal="left" vertical="top" wrapText="1"/>
    </xf>
    <xf numFmtId="0" fontId="8" fillId="0" borderId="1" xfId="0" applyFont="1" applyFill="1" applyBorder="1" applyAlignment="1">
      <alignment horizontal="center" wrapText="1"/>
    </xf>
    <xf numFmtId="0" fontId="32" fillId="0" borderId="0" xfId="0" applyFont="1" applyFill="1" applyBorder="1" applyAlignment="1">
      <alignment horizontal="left" vertical="top" wrapText="1"/>
    </xf>
    <xf numFmtId="0" fontId="9" fillId="0" borderId="0" xfId="0" applyFont="1" applyFill="1" applyBorder="1" applyAlignment="1">
      <alignment wrapText="1"/>
    </xf>
    <xf numFmtId="168" fontId="10" fillId="0" borderId="0" xfId="22" applyNumberFormat="1" applyFont="1" applyFill="1" applyBorder="1" applyAlignment="1">
      <alignment horizontal="right" wrapText="1"/>
    </xf>
    <xf numFmtId="0" fontId="42" fillId="0" borderId="1" xfId="0" applyFont="1" applyFill="1" applyBorder="1" applyAlignment="1">
      <alignment wrapText="1"/>
    </xf>
    <xf numFmtId="0" fontId="43" fillId="0" borderId="1" xfId="0" applyFont="1" applyFill="1" applyBorder="1" applyAlignment="1">
      <alignment wrapText="1"/>
    </xf>
    <xf numFmtId="0" fontId="24" fillId="0" borderId="1" xfId="0" applyFont="1" applyBorder="1" applyAlignment="1">
      <alignment horizontal="right"/>
    </xf>
    <xf numFmtId="164" fontId="8" fillId="5" borderId="4" xfId="5" applyNumberFormat="1" applyFont="1" applyFill="1" applyBorder="1" applyAlignment="1">
      <alignment horizontal="right" vertical="center" wrapText="1"/>
    </xf>
    <xf numFmtId="170" fontId="4" fillId="5" borderId="2" xfId="6" applyNumberFormat="1" applyFont="1" applyFill="1" applyBorder="1" applyAlignment="1"/>
    <xf numFmtId="170" fontId="4" fillId="5" borderId="0" xfId="6" applyNumberFormat="1" applyFont="1" applyFill="1" applyBorder="1" applyAlignment="1"/>
    <xf numFmtId="164" fontId="8" fillId="5" borderId="4" xfId="0" applyNumberFormat="1" applyFont="1" applyFill="1" applyBorder="1" applyAlignment="1">
      <alignment horizontal="right" vertical="center"/>
    </xf>
    <xf numFmtId="3" fontId="13" fillId="0" borderId="0" xfId="5" applyNumberFormat="1" applyFont="1" applyFill="1" applyBorder="1" applyAlignment="1">
      <alignment horizontal="right" vertical="center" wrapText="1"/>
    </xf>
    <xf numFmtId="0" fontId="7" fillId="0" borderId="0" xfId="0" applyFont="1" applyFill="1" applyAlignment="1">
      <alignment vertical="center" wrapText="1"/>
    </xf>
    <xf numFmtId="0" fontId="7" fillId="0" borderId="0" xfId="0" applyFont="1" applyFill="1" applyAlignment="1">
      <alignment vertical="center"/>
    </xf>
    <xf numFmtId="0" fontId="7" fillId="0" borderId="0" xfId="0" applyFont="1" applyFill="1" applyBorder="1" applyAlignment="1">
      <alignment vertical="center"/>
    </xf>
    <xf numFmtId="0" fontId="13" fillId="0" borderId="0" xfId="5" applyFont="1" applyFill="1" applyBorder="1" applyAlignment="1">
      <alignment horizontal="left" wrapText="1"/>
    </xf>
    <xf numFmtId="0" fontId="41" fillId="0" borderId="0" xfId="0" applyFont="1" applyFill="1" applyAlignment="1">
      <alignment horizontal="left" vertical="center" wrapText="1"/>
    </xf>
    <xf numFmtId="0" fontId="7" fillId="0" borderId="1"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0" fillId="0" borderId="0" xfId="0" applyBorder="1"/>
    <xf numFmtId="9" fontId="9" fillId="0" borderId="3" xfId="0" applyNumberFormat="1" applyFont="1" applyFill="1" applyBorder="1" applyAlignment="1">
      <alignment vertical="center"/>
    </xf>
    <xf numFmtId="166" fontId="8" fillId="0" borderId="1" xfId="21" applyNumberFormat="1" applyFont="1" applyFill="1" applyBorder="1"/>
    <xf numFmtId="9" fontId="9" fillId="0" borderId="1" xfId="22" applyFont="1" applyFill="1" applyBorder="1"/>
    <xf numFmtId="1" fontId="15" fillId="0" borderId="0" xfId="5" applyNumberFormat="1" applyFont="1" applyFill="1" applyBorder="1" applyAlignment="1">
      <alignment horizontal="right"/>
    </xf>
    <xf numFmtId="0" fontId="15" fillId="0" borderId="0" xfId="5" applyFont="1" applyFill="1" applyBorder="1" applyAlignment="1">
      <alignment horizontal="right"/>
    </xf>
    <xf numFmtId="1" fontId="15" fillId="0" borderId="0" xfId="0" applyNumberFormat="1" applyFont="1" applyFill="1" applyBorder="1" applyAlignment="1"/>
    <xf numFmtId="0" fontId="0" fillId="0" borderId="0" xfId="0" applyFont="1" applyAlignment="1">
      <alignment horizontal="left"/>
    </xf>
    <xf numFmtId="0" fontId="32" fillId="0" borderId="0" xfId="5" applyFont="1" applyFill="1" applyBorder="1" applyAlignment="1">
      <alignment horizontal="left" vertical="top"/>
    </xf>
    <xf numFmtId="0" fontId="33" fillId="0" borderId="0" xfId="0" applyFont="1" applyFill="1" applyAlignment="1"/>
    <xf numFmtId="0" fontId="32" fillId="0" borderId="0" xfId="0" applyFont="1" applyFill="1" applyAlignment="1">
      <alignment horizontal="left" vertical="top"/>
    </xf>
    <xf numFmtId="0" fontId="7" fillId="0" borderId="0" xfId="0" applyFont="1" applyFill="1" applyBorder="1" applyAlignment="1">
      <alignment horizontal="left" vertical="center"/>
    </xf>
    <xf numFmtId="0" fontId="0" fillId="0" borderId="0" xfId="0" applyAlignment="1"/>
    <xf numFmtId="0" fontId="13" fillId="0" borderId="0" xfId="0" applyFont="1" applyFill="1" applyBorder="1" applyAlignment="1">
      <alignment vertical="top"/>
    </xf>
    <xf numFmtId="164" fontId="4" fillId="0" borderId="1" xfId="0" applyNumberFormat="1" applyFont="1" applyFill="1" applyBorder="1"/>
    <xf numFmtId="0" fontId="0" fillId="0" borderId="4" xfId="0" applyBorder="1"/>
    <xf numFmtId="171" fontId="8" fillId="5" borderId="4" xfId="0" applyNumberFormat="1" applyFont="1" applyFill="1" applyBorder="1" applyAlignment="1">
      <alignment vertical="center"/>
    </xf>
    <xf numFmtId="0" fontId="8" fillId="0" borderId="0" xfId="5" applyNumberFormat="1" applyFont="1" applyFill="1" applyBorder="1" applyAlignment="1">
      <alignment horizontal="left" vertical="center"/>
    </xf>
    <xf numFmtId="166" fontId="8" fillId="0" borderId="0" xfId="0" applyNumberFormat="1" applyFont="1" applyFill="1" applyBorder="1" applyAlignment="1">
      <alignment vertical="center"/>
    </xf>
    <xf numFmtId="0" fontId="0" fillId="0" borderId="0" xfId="0" applyAlignment="1">
      <alignment horizontal="left" vertical="center"/>
    </xf>
    <xf numFmtId="0" fontId="7" fillId="0" borderId="0" xfId="0" applyFont="1" applyFill="1" applyBorder="1" applyAlignment="1">
      <alignment horizontal="left" vertical="top"/>
    </xf>
    <xf numFmtId="0" fontId="0" fillId="0" borderId="0" xfId="0" applyAlignment="1">
      <alignment wrapText="1"/>
    </xf>
    <xf numFmtId="3" fontId="15" fillId="0" borderId="0" xfId="0" applyNumberFormat="1" applyFont="1" applyFill="1" applyAlignment="1"/>
    <xf numFmtId="1" fontId="8" fillId="0" borderId="0" xfId="5" applyNumberFormat="1" applyFont="1" applyFill="1" applyBorder="1" applyAlignment="1">
      <alignment horizontal="right"/>
    </xf>
    <xf numFmtId="0" fontId="8" fillId="0" borderId="0" xfId="5" applyFont="1" applyFill="1" applyBorder="1" applyAlignment="1">
      <alignment horizontal="right"/>
    </xf>
    <xf numFmtId="1" fontId="8" fillId="0" borderId="0" xfId="0" applyNumberFormat="1" applyFont="1" applyFill="1" applyBorder="1" applyAlignment="1"/>
    <xf numFmtId="0" fontId="4" fillId="0" borderId="0" xfId="0" applyFont="1" applyFill="1" applyAlignment="1">
      <alignment horizontal="left"/>
    </xf>
    <xf numFmtId="0" fontId="37" fillId="0" borderId="0" xfId="0" applyFont="1" applyAlignment="1">
      <alignment horizontal="left" vertical="center"/>
    </xf>
    <xf numFmtId="0" fontId="32" fillId="0" borderId="0" xfId="0" applyFont="1" applyFill="1" applyAlignment="1">
      <alignment horizontal="left"/>
    </xf>
    <xf numFmtId="0" fontId="13" fillId="0" borderId="0" xfId="0" applyFont="1" applyFill="1" applyBorder="1" applyAlignment="1">
      <alignment horizontal="left" vertical="top"/>
    </xf>
    <xf numFmtId="0" fontId="8" fillId="0" borderId="20" xfId="0" applyFont="1" applyFill="1" applyBorder="1" applyAlignment="1">
      <alignment horizontal="right" vertical="center"/>
    </xf>
    <xf numFmtId="168" fontId="10" fillId="0" borderId="19" xfId="2" applyNumberFormat="1" applyFont="1" applyFill="1" applyBorder="1" applyAlignment="1">
      <alignment horizontal="right"/>
    </xf>
    <xf numFmtId="168" fontId="10" fillId="0" borderId="10" xfId="2" applyNumberFormat="1" applyFont="1" applyFill="1" applyBorder="1" applyAlignment="1">
      <alignment horizontal="right"/>
    </xf>
    <xf numFmtId="168" fontId="10" fillId="0" borderId="11" xfId="2" applyNumberFormat="1" applyFont="1" applyFill="1" applyBorder="1" applyAlignment="1">
      <alignment horizontal="right"/>
    </xf>
    <xf numFmtId="0" fontId="8" fillId="0" borderId="5" xfId="0" applyFont="1" applyFill="1" applyBorder="1" applyAlignment="1">
      <alignment horizontal="center"/>
    </xf>
    <xf numFmtId="168" fontId="10" fillId="0" borderId="18" xfId="2" applyNumberFormat="1" applyFont="1" applyFill="1" applyBorder="1" applyAlignment="1">
      <alignment horizontal="right"/>
    </xf>
    <xf numFmtId="168" fontId="10" fillId="0" borderId="17" xfId="2" applyNumberFormat="1" applyFont="1" applyFill="1" applyBorder="1" applyAlignment="1">
      <alignment horizontal="right"/>
    </xf>
    <xf numFmtId="168" fontId="10" fillId="0" borderId="21" xfId="2" applyNumberFormat="1" applyFont="1" applyFill="1" applyBorder="1" applyAlignment="1">
      <alignment horizontal="right"/>
    </xf>
    <xf numFmtId="0" fontId="13" fillId="2" borderId="1" xfId="7" applyFont="1" applyFill="1" applyBorder="1" applyAlignment="1">
      <alignment horizontal="left"/>
    </xf>
    <xf numFmtId="1" fontId="24" fillId="2" borderId="0" xfId="0" applyNumberFormat="1" applyFont="1" applyFill="1"/>
    <xf numFmtId="1" fontId="24" fillId="2" borderId="2" xfId="0" applyNumberFormat="1" applyFont="1" applyFill="1" applyBorder="1"/>
    <xf numFmtId="0" fontId="8" fillId="2" borderId="5" xfId="0" applyFont="1" applyFill="1" applyBorder="1" applyAlignment="1">
      <alignment horizontal="right"/>
    </xf>
    <xf numFmtId="172" fontId="8" fillId="2" borderId="5" xfId="0" applyNumberFormat="1" applyFont="1" applyFill="1" applyBorder="1" applyAlignment="1">
      <alignment horizontal="right"/>
    </xf>
    <xf numFmtId="0" fontId="8" fillId="0" borderId="10" xfId="0" applyFont="1" applyFill="1" applyBorder="1" applyAlignment="1">
      <alignment horizontal="right" vertical="center"/>
    </xf>
    <xf numFmtId="164" fontId="8" fillId="0" borderId="12" xfId="0" applyNumberFormat="1" applyFont="1" applyFill="1" applyBorder="1"/>
    <xf numFmtId="164" fontId="4" fillId="0" borderId="2" xfId="0" applyNumberFormat="1" applyFont="1" applyFill="1" applyBorder="1"/>
    <xf numFmtId="0" fontId="8" fillId="2" borderId="9" xfId="10" applyFont="1" applyFill="1" applyBorder="1" applyAlignment="1">
      <alignment horizontal="right" vertical="center" wrapText="1"/>
    </xf>
    <xf numFmtId="168" fontId="10" fillId="2" borderId="10" xfId="2" quotePrefix="1" applyNumberFormat="1" applyFont="1" applyFill="1" applyBorder="1" applyAlignment="1"/>
    <xf numFmtId="168" fontId="10" fillId="2" borderId="12" xfId="2" quotePrefix="1" applyNumberFormat="1" applyFont="1" applyFill="1" applyBorder="1" applyAlignment="1">
      <alignment horizontal="right" vertical="center"/>
    </xf>
    <xf numFmtId="0" fontId="32" fillId="2" borderId="0" xfId="0" applyFont="1" applyFill="1" applyAlignment="1">
      <alignment vertical="center" wrapText="1"/>
    </xf>
    <xf numFmtId="0" fontId="4" fillId="0" borderId="0" xfId="0" applyFont="1" applyFill="1" applyBorder="1" applyAlignment="1">
      <alignment vertical="center" wrapText="1"/>
    </xf>
    <xf numFmtId="0" fontId="8" fillId="2" borderId="9" xfId="0" applyFont="1" applyFill="1" applyBorder="1" applyAlignment="1">
      <alignment horizontal="right" wrapText="1"/>
    </xf>
    <xf numFmtId="0" fontId="8" fillId="2" borderId="16" xfId="0" applyFont="1" applyFill="1" applyBorder="1" applyAlignment="1">
      <alignment horizontal="right" wrapText="1"/>
    </xf>
    <xf numFmtId="172" fontId="9" fillId="2" borderId="1" xfId="0" applyNumberFormat="1" applyFont="1" applyFill="1" applyBorder="1" applyAlignment="1">
      <alignment horizontal="right"/>
    </xf>
    <xf numFmtId="0" fontId="24" fillId="0" borderId="4" xfId="0" applyFont="1" applyBorder="1"/>
    <xf numFmtId="0" fontId="24" fillId="0" borderId="0" xfId="0" applyFont="1" applyBorder="1"/>
    <xf numFmtId="0" fontId="24" fillId="0" borderId="1" xfId="0" applyFont="1" applyBorder="1" applyAlignment="1">
      <alignment wrapText="1"/>
    </xf>
    <xf numFmtId="0" fontId="45" fillId="0" borderId="0" xfId="0" applyFont="1"/>
    <xf numFmtId="172" fontId="10" fillId="2" borderId="1" xfId="0" applyNumberFormat="1" applyFont="1" applyFill="1" applyBorder="1" applyAlignment="1">
      <alignment horizontal="right"/>
    </xf>
    <xf numFmtId="0" fontId="3" fillId="0" borderId="0" xfId="3" applyAlignment="1" applyProtection="1"/>
    <xf numFmtId="0" fontId="7" fillId="0" borderId="0" xfId="0" applyFont="1" applyFill="1" applyAlignment="1">
      <alignment horizontal="left" vertical="center" wrapText="1"/>
    </xf>
    <xf numFmtId="0" fontId="41" fillId="0" borderId="0" xfId="0" applyFont="1" applyFill="1" applyAlignment="1">
      <alignment horizontal="left" vertical="center" wrapText="1"/>
    </xf>
    <xf numFmtId="0" fontId="7" fillId="2" borderId="0" xfId="0" applyFont="1" applyFill="1" applyAlignment="1">
      <alignment horizontal="left" vertical="top" wrapText="1"/>
    </xf>
    <xf numFmtId="0" fontId="7" fillId="2" borderId="0" xfId="0" applyFont="1" applyFill="1" applyBorder="1" applyAlignment="1">
      <alignment horizontal="left" vertical="top" wrapText="1"/>
    </xf>
    <xf numFmtId="0" fontId="7" fillId="2" borderId="0" xfId="0" applyFont="1" applyFill="1" applyAlignment="1">
      <alignment horizontal="left" vertical="center" wrapText="1"/>
    </xf>
    <xf numFmtId="0" fontId="7" fillId="0" borderId="0" xfId="11" applyFont="1" applyFill="1" applyBorder="1" applyAlignment="1">
      <alignment horizontal="left" vertical="center" wrapText="1"/>
    </xf>
    <xf numFmtId="0" fontId="4" fillId="0" borderId="2" xfId="5" applyFont="1" applyFill="1" applyBorder="1" applyAlignment="1">
      <alignment horizontal="left"/>
    </xf>
    <xf numFmtId="0" fontId="41" fillId="0" borderId="0" xfId="0" applyFont="1" applyFill="1" applyAlignment="1">
      <alignment horizontal="left" vertical="center" wrapText="1"/>
    </xf>
    <xf numFmtId="0" fontId="7" fillId="2" borderId="0" xfId="0" applyFont="1" applyFill="1" applyBorder="1" applyAlignment="1">
      <alignment horizontal="left" vertical="top" wrapText="1"/>
    </xf>
    <xf numFmtId="0" fontId="7" fillId="2" borderId="0" xfId="0" applyFont="1" applyFill="1" applyAlignment="1">
      <alignment horizontal="left" vertical="center" wrapText="1"/>
    </xf>
    <xf numFmtId="0" fontId="7" fillId="0" borderId="0" xfId="11" applyFont="1" applyFill="1" applyBorder="1" applyAlignment="1">
      <alignment horizontal="left" vertical="center" wrapText="1"/>
    </xf>
    <xf numFmtId="0" fontId="21" fillId="2" borderId="1" xfId="0" applyFont="1" applyFill="1" applyBorder="1" applyAlignment="1">
      <alignment horizontal="right"/>
    </xf>
    <xf numFmtId="0" fontId="7" fillId="2" borderId="0" xfId="0" applyFont="1" applyFill="1" applyAlignment="1">
      <alignment horizontal="left" vertical="center"/>
    </xf>
    <xf numFmtId="164" fontId="4" fillId="0" borderId="0" xfId="0" applyNumberFormat="1" applyFont="1" applyFill="1"/>
    <xf numFmtId="0" fontId="24" fillId="0" borderId="1" xfId="0" applyFont="1" applyBorder="1" applyAlignment="1">
      <alignment horizontal="center" wrapText="1"/>
    </xf>
    <xf numFmtId="0" fontId="0" fillId="0" borderId="0" xfId="0" applyAlignment="1">
      <alignment horizontal="center"/>
    </xf>
    <xf numFmtId="0" fontId="8" fillId="2" borderId="0" xfId="7" applyFont="1" applyFill="1" applyBorder="1" applyAlignment="1">
      <alignment horizontal="center" wrapText="1"/>
    </xf>
    <xf numFmtId="0" fontId="8" fillId="2" borderId="0" xfId="0" applyNumberFormat="1" applyFont="1" applyFill="1" applyBorder="1"/>
    <xf numFmtId="0" fontId="4" fillId="2" borderId="3" xfId="0" quotePrefix="1" applyFont="1" applyFill="1" applyBorder="1" applyAlignment="1">
      <alignment horizontal="right"/>
    </xf>
    <xf numFmtId="0" fontId="8" fillId="2" borderId="3" xfId="0" applyNumberFormat="1" applyFont="1" applyFill="1" applyBorder="1"/>
    <xf numFmtId="0" fontId="13" fillId="0" borderId="1" xfId="5" applyFont="1" applyFill="1" applyBorder="1" applyAlignment="1">
      <alignment horizontal="left" wrapText="1"/>
    </xf>
    <xf numFmtId="14" fontId="8" fillId="0" borderId="5" xfId="0" applyNumberFormat="1" applyFont="1" applyFill="1" applyBorder="1" applyAlignment="1">
      <alignment horizontal="right" wrapText="1"/>
    </xf>
    <xf numFmtId="0" fontId="9" fillId="0" borderId="1" xfId="0" applyFont="1" applyFill="1" applyBorder="1" applyProtection="1">
      <protection locked="0"/>
    </xf>
    <xf numFmtId="14" fontId="8" fillId="0" borderId="9" xfId="0" applyNumberFormat="1" applyFont="1" applyFill="1" applyBorder="1" applyAlignment="1">
      <alignment horizontal="right" wrapText="1"/>
    </xf>
    <xf numFmtId="9" fontId="10" fillId="0" borderId="10" xfId="22" applyNumberFormat="1" applyFont="1" applyFill="1" applyBorder="1" applyAlignment="1">
      <alignment horizontal="right"/>
    </xf>
    <xf numFmtId="9" fontId="9" fillId="0" borderId="12" xfId="22" applyNumberFormat="1" applyFont="1" applyFill="1" applyBorder="1" applyAlignment="1">
      <alignment horizontal="right" vertical="center"/>
    </xf>
    <xf numFmtId="0" fontId="25" fillId="0" borderId="0" xfId="0" applyFont="1"/>
    <xf numFmtId="0" fontId="41" fillId="0" borderId="0" xfId="0" applyFont="1" applyFill="1" applyAlignment="1">
      <alignment vertical="center"/>
    </xf>
    <xf numFmtId="0" fontId="7" fillId="2" borderId="0" xfId="0" applyFont="1" applyFill="1" applyBorder="1" applyAlignment="1">
      <alignment vertical="center"/>
    </xf>
    <xf numFmtId="0" fontId="32" fillId="2" borderId="0" xfId="0" applyFont="1" applyFill="1" applyBorder="1" applyAlignment="1">
      <alignment horizontal="left" vertical="top"/>
    </xf>
    <xf numFmtId="3" fontId="9" fillId="2" borderId="0" xfId="0" applyNumberFormat="1" applyFont="1" applyFill="1" applyBorder="1"/>
    <xf numFmtId="173" fontId="10" fillId="2" borderId="0" xfId="0" applyNumberFormat="1" applyFont="1" applyFill="1" applyBorder="1"/>
    <xf numFmtId="0" fontId="0" fillId="0" borderId="1" xfId="0" applyBorder="1" applyAlignment="1">
      <alignment wrapText="1"/>
    </xf>
    <xf numFmtId="0" fontId="0" fillId="0" borderId="9" xfId="0" applyBorder="1" applyAlignment="1">
      <alignment wrapText="1"/>
    </xf>
    <xf numFmtId="0" fontId="0" fillId="0" borderId="5" xfId="0" applyBorder="1" applyAlignment="1">
      <alignment wrapText="1"/>
    </xf>
    <xf numFmtId="0" fontId="0" fillId="0" borderId="11" xfId="0" applyBorder="1" applyAlignment="1">
      <alignment wrapText="1"/>
    </xf>
    <xf numFmtId="0" fontId="7" fillId="2" borderId="0" xfId="0" applyFont="1" applyFill="1" applyBorder="1" applyAlignment="1">
      <alignment horizontal="left" vertical="top" wrapText="1"/>
    </xf>
    <xf numFmtId="0" fontId="7" fillId="0" borderId="0" xfId="11" applyFont="1" applyFill="1" applyBorder="1" applyAlignment="1">
      <alignment vertical="center"/>
    </xf>
    <xf numFmtId="0" fontId="46" fillId="0" borderId="0" xfId="0" applyFont="1" applyBorder="1"/>
    <xf numFmtId="0" fontId="24" fillId="0" borderId="3" xfId="0" applyFont="1" applyBorder="1"/>
    <xf numFmtId="0" fontId="24" fillId="0" borderId="1" xfId="0" applyFont="1" applyBorder="1"/>
    <xf numFmtId="0" fontId="24" fillId="0" borderId="1" xfId="0" applyFont="1" applyBorder="1" applyAlignment="1">
      <alignment horizontal="center"/>
    </xf>
    <xf numFmtId="0" fontId="24" fillId="0" borderId="0" xfId="0" applyFont="1" applyAlignment="1">
      <alignment horizontal="center"/>
    </xf>
    <xf numFmtId="0" fontId="46" fillId="0" borderId="0" xfId="0" applyFont="1"/>
    <xf numFmtId="0" fontId="46" fillId="0" borderId="0" xfId="0" applyFont="1" applyAlignment="1">
      <alignment horizontal="center"/>
    </xf>
    <xf numFmtId="3" fontId="8" fillId="0" borderId="19" xfId="0" applyNumberFormat="1" applyFont="1" applyFill="1" applyBorder="1" applyAlignment="1">
      <alignment horizontal="right" wrapText="1"/>
    </xf>
    <xf numFmtId="172" fontId="0" fillId="0" borderId="10" xfId="0" applyNumberFormat="1" applyBorder="1"/>
    <xf numFmtId="3" fontId="8" fillId="0" borderId="9" xfId="0" applyNumberFormat="1" applyFont="1" applyFill="1" applyBorder="1" applyAlignment="1">
      <alignment horizontal="right" wrapText="1"/>
    </xf>
    <xf numFmtId="3" fontId="8" fillId="0" borderId="23" xfId="0" applyNumberFormat="1" applyFont="1" applyFill="1" applyBorder="1" applyAlignment="1">
      <alignment horizontal="right" wrapText="1"/>
    </xf>
    <xf numFmtId="172" fontId="8" fillId="0" borderId="12" xfId="0" applyNumberFormat="1" applyFont="1" applyFill="1" applyBorder="1" applyAlignment="1">
      <alignment horizontal="right" vertical="center"/>
    </xf>
    <xf numFmtId="3" fontId="8" fillId="0" borderId="11" xfId="0" applyNumberFormat="1" applyFont="1" applyFill="1" applyBorder="1" applyAlignment="1">
      <alignment horizontal="right" wrapText="1"/>
    </xf>
    <xf numFmtId="164" fontId="4" fillId="4" borderId="10" xfId="0" applyNumberFormat="1" applyFont="1" applyFill="1" applyBorder="1" applyAlignment="1">
      <alignment horizontal="right"/>
    </xf>
    <xf numFmtId="4" fontId="4" fillId="2" borderId="10" xfId="0" applyNumberFormat="1" applyFont="1" applyFill="1" applyBorder="1"/>
    <xf numFmtId="0" fontId="13" fillId="0" borderId="11" xfId="0" applyFont="1" applyFill="1" applyBorder="1" applyAlignment="1">
      <alignment horizontal="right"/>
    </xf>
    <xf numFmtId="3" fontId="8" fillId="0" borderId="10" xfId="0" applyNumberFormat="1" applyFont="1" applyFill="1" applyBorder="1" applyAlignment="1">
      <alignment horizontal="right" wrapText="1"/>
    </xf>
    <xf numFmtId="3" fontId="8" fillId="0" borderId="12" xfId="16" applyNumberFormat="1" applyFont="1" applyFill="1" applyBorder="1" applyAlignment="1">
      <alignment vertical="center"/>
    </xf>
    <xf numFmtId="3" fontId="8" fillId="0" borderId="20" xfId="0" applyNumberFormat="1" applyFont="1" applyFill="1" applyBorder="1" applyAlignment="1">
      <alignment horizontal="right" wrapText="1"/>
    </xf>
    <xf numFmtId="0" fontId="13" fillId="0" borderId="3" xfId="0" applyFont="1" applyFill="1" applyBorder="1" applyAlignment="1">
      <alignment horizontal="left" vertical="center"/>
    </xf>
    <xf numFmtId="0" fontId="24" fillId="0" borderId="0" xfId="0" applyFont="1" applyBorder="1" applyAlignment="1">
      <alignment horizontal="left"/>
    </xf>
    <xf numFmtId="0" fontId="24" fillId="0" borderId="1" xfId="0" applyFont="1" applyBorder="1" applyAlignment="1">
      <alignment horizontal="left"/>
    </xf>
    <xf numFmtId="0" fontId="8" fillId="0" borderId="9" xfId="4" applyFont="1" applyFill="1" applyBorder="1" applyAlignment="1">
      <alignment horizontal="center" wrapText="1"/>
    </xf>
    <xf numFmtId="0" fontId="9" fillId="0" borderId="15" xfId="4" applyFont="1" applyFill="1" applyBorder="1" applyAlignment="1">
      <alignment horizontal="center" wrapText="1"/>
    </xf>
    <xf numFmtId="0" fontId="8" fillId="0" borderId="11" xfId="19" applyFont="1" applyFill="1" applyBorder="1" applyAlignment="1">
      <alignment horizontal="right"/>
    </xf>
    <xf numFmtId="0" fontId="9" fillId="0" borderId="11" xfId="4" applyFont="1" applyFill="1" applyBorder="1" applyAlignment="1">
      <alignment horizontal="center" wrapText="1"/>
    </xf>
    <xf numFmtId="0" fontId="8" fillId="0" borderId="1" xfId="4" applyFont="1" applyFill="1" applyBorder="1"/>
    <xf numFmtId="0" fontId="9" fillId="0" borderId="26" xfId="4" applyFont="1" applyFill="1" applyBorder="1" applyAlignment="1">
      <alignment horizontal="center" wrapText="1"/>
    </xf>
    <xf numFmtId="0" fontId="8" fillId="0" borderId="27" xfId="4" applyFont="1" applyFill="1" applyBorder="1" applyAlignment="1">
      <alignment horizontal="center" wrapText="1"/>
    </xf>
    <xf numFmtId="0" fontId="13" fillId="2" borderId="0" xfId="0" applyFont="1" applyFill="1" applyBorder="1" applyAlignment="1">
      <alignment vertical="center"/>
    </xf>
    <xf numFmtId="0" fontId="18" fillId="2" borderId="1" xfId="0" applyFont="1" applyFill="1" applyBorder="1" applyAlignment="1">
      <alignment horizontal="left"/>
    </xf>
    <xf numFmtId="0" fontId="13" fillId="2" borderId="19" xfId="0" applyFont="1" applyFill="1" applyBorder="1" applyAlignment="1">
      <alignment vertical="center"/>
    </xf>
    <xf numFmtId="0" fontId="18" fillId="2" borderId="20" xfId="0" applyFont="1" applyFill="1" applyBorder="1" applyAlignment="1">
      <alignment horizontal="right" wrapText="1"/>
    </xf>
    <xf numFmtId="0" fontId="18" fillId="2" borderId="20" xfId="0" applyFont="1" applyFill="1" applyBorder="1" applyAlignment="1">
      <alignment horizontal="right" vertical="center" wrapText="1"/>
    </xf>
    <xf numFmtId="0" fontId="26" fillId="2" borderId="16" xfId="0" applyFont="1" applyFill="1" applyBorder="1" applyAlignment="1">
      <alignment horizontal="center" wrapText="1"/>
    </xf>
    <xf numFmtId="0" fontId="24" fillId="0" borderId="0" xfId="0" applyFont="1" applyAlignment="1"/>
    <xf numFmtId="0" fontId="32" fillId="0" borderId="3" xfId="0" applyFont="1" applyFill="1" applyBorder="1"/>
    <xf numFmtId="0" fontId="21" fillId="0" borderId="0" xfId="0" applyFont="1" applyFill="1" applyAlignment="1">
      <alignment horizontal="right"/>
    </xf>
    <xf numFmtId="3" fontId="8" fillId="0" borderId="5" xfId="0" applyNumberFormat="1" applyFont="1" applyFill="1" applyBorder="1" applyAlignment="1">
      <alignment horizontal="right" wrapText="1"/>
    </xf>
    <xf numFmtId="0" fontId="28" fillId="0" borderId="0" xfId="0" applyFont="1" applyFill="1" applyBorder="1" applyAlignment="1">
      <alignment horizontal="left" vertical="center" wrapText="1"/>
    </xf>
    <xf numFmtId="0" fontId="0" fillId="0" borderId="0" xfId="0" applyAlignment="1">
      <alignment horizontal="left" wrapText="1"/>
    </xf>
    <xf numFmtId="0" fontId="7" fillId="0" borderId="0" xfId="0" applyFont="1" applyFill="1" applyBorder="1" applyAlignment="1">
      <alignment horizontal="left" vertical="center" wrapText="1"/>
    </xf>
    <xf numFmtId="0" fontId="7" fillId="2" borderId="0" xfId="0" applyFont="1" applyFill="1" applyBorder="1" applyAlignment="1">
      <alignment horizontal="left" vertical="center"/>
    </xf>
    <xf numFmtId="0" fontId="32" fillId="2" borderId="0" xfId="0" applyFont="1" applyFill="1" applyAlignment="1">
      <alignment horizontal="left" vertical="top" wrapText="1"/>
    </xf>
    <xf numFmtId="0" fontId="32" fillId="2" borderId="0" xfId="0" applyFont="1" applyFill="1" applyAlignment="1">
      <alignment horizontal="left" wrapText="1"/>
    </xf>
    <xf numFmtId="0" fontId="28" fillId="0" borderId="0" xfId="0" applyFont="1" applyFill="1" applyBorder="1" applyAlignment="1">
      <alignment horizontal="left" vertical="center"/>
    </xf>
    <xf numFmtId="0" fontId="44" fillId="0" borderId="0" xfId="0" applyFont="1"/>
    <xf numFmtId="0" fontId="33" fillId="0" borderId="0" xfId="0" quotePrefix="1" applyFont="1" applyFill="1" applyAlignment="1">
      <alignment vertical="center"/>
    </xf>
    <xf numFmtId="0" fontId="32" fillId="0" borderId="0" xfId="5" applyFont="1" applyFill="1" applyBorder="1" applyAlignment="1">
      <alignment horizontal="left"/>
    </xf>
    <xf numFmtId="0" fontId="3" fillId="0" borderId="0" xfId="3" applyAlignment="1" applyProtection="1">
      <alignment vertical="center"/>
    </xf>
    <xf numFmtId="0" fontId="0" fillId="0" borderId="0" xfId="0" applyFont="1" applyFill="1" applyBorder="1"/>
    <xf numFmtId="0" fontId="29" fillId="0" borderId="0" xfId="0" quotePrefix="1" applyFont="1" applyFill="1" applyBorder="1" applyAlignment="1">
      <alignment horizontal="center"/>
    </xf>
    <xf numFmtId="0" fontId="9" fillId="0" borderId="0" xfId="0" applyFont="1" applyFill="1" applyBorder="1" applyAlignment="1">
      <alignment horizontal="left" wrapText="1"/>
    </xf>
    <xf numFmtId="0" fontId="41" fillId="0" borderId="0" xfId="0" applyFont="1" applyFill="1" applyAlignment="1">
      <alignment horizontal="left" vertical="center" wrapText="1"/>
    </xf>
    <xf numFmtId="0" fontId="7" fillId="2"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0" xfId="0" applyFont="1" applyFill="1" applyAlignment="1">
      <alignment horizontal="left" vertical="center"/>
    </xf>
    <xf numFmtId="0" fontId="7" fillId="2" borderId="0" xfId="0" applyFont="1" applyFill="1" applyBorder="1" applyAlignment="1">
      <alignment horizontal="left" vertical="center"/>
    </xf>
    <xf numFmtId="0" fontId="7" fillId="2" borderId="0" xfId="0" applyFont="1" applyFill="1" applyBorder="1" applyAlignment="1">
      <alignment horizontal="left" vertical="top" wrapText="1"/>
    </xf>
    <xf numFmtId="0" fontId="7" fillId="0" borderId="0" xfId="11" applyFont="1" applyFill="1" applyBorder="1" applyAlignment="1">
      <alignment horizontal="left" vertical="center" wrapText="1"/>
    </xf>
    <xf numFmtId="164" fontId="7" fillId="0" borderId="0" xfId="11" applyNumberFormat="1" applyFont="1" applyFill="1" applyBorder="1" applyAlignment="1">
      <alignment horizontal="left" vertical="center" wrapText="1"/>
    </xf>
    <xf numFmtId="168" fontId="7" fillId="0" borderId="0" xfId="2" applyNumberFormat="1" applyFont="1" applyFill="1" applyBorder="1" applyAlignment="1">
      <alignment horizontal="left" vertical="center" wrapText="1"/>
    </xf>
    <xf numFmtId="0" fontId="7" fillId="2" borderId="0" xfId="0" applyFont="1" applyFill="1" applyAlignment="1">
      <alignment horizontal="left" vertical="center" wrapText="1"/>
    </xf>
    <xf numFmtId="0" fontId="7" fillId="0" borderId="0" xfId="0" applyFont="1" applyFill="1" applyBorder="1" applyAlignment="1">
      <alignment horizontal="left" vertical="center" wrapText="1"/>
    </xf>
    <xf numFmtId="0" fontId="32" fillId="0" borderId="0" xfId="0" applyFont="1" applyFill="1" applyAlignment="1">
      <alignment horizontal="left" vertical="center" wrapText="1"/>
    </xf>
    <xf numFmtId="0" fontId="7" fillId="0" borderId="0" xfId="0" applyFont="1" applyFill="1" applyAlignment="1">
      <alignment horizontal="left" vertical="center"/>
    </xf>
    <xf numFmtId="0" fontId="0" fillId="2" borderId="0" xfId="0" applyFill="1" applyAlignment="1">
      <alignment horizontal="left" wrapText="1"/>
    </xf>
    <xf numFmtId="0" fontId="32" fillId="0" borderId="0" xfId="0" applyFont="1" applyFill="1" applyAlignment="1">
      <alignment horizontal="left" wrapText="1"/>
    </xf>
    <xf numFmtId="0" fontId="8" fillId="0" borderId="1" xfId="0" applyFont="1" applyFill="1" applyBorder="1" applyAlignment="1">
      <alignment horizontal="center" wrapText="1"/>
    </xf>
    <xf numFmtId="0" fontId="41" fillId="0" borderId="0" xfId="0" applyFont="1" applyFill="1" applyAlignment="1">
      <alignment horizontal="left" vertical="center" wrapText="1"/>
    </xf>
    <xf numFmtId="0" fontId="7" fillId="2" borderId="0" xfId="0" applyFont="1" applyFill="1" applyAlignment="1">
      <alignment horizontal="left" vertical="center" wrapText="1"/>
    </xf>
    <xf numFmtId="0" fontId="47" fillId="0" borderId="0" xfId="0" applyFont="1"/>
    <xf numFmtId="0" fontId="48" fillId="0" borderId="0" xfId="0" applyFont="1"/>
    <xf numFmtId="0" fontId="0" fillId="0" borderId="21" xfId="0" applyBorder="1" applyAlignment="1">
      <alignment wrapText="1"/>
    </xf>
    <xf numFmtId="0" fontId="0" fillId="0" borderId="20" xfId="0" applyBorder="1" applyAlignment="1">
      <alignment wrapText="1"/>
    </xf>
    <xf numFmtId="0" fontId="0" fillId="0" borderId="16" xfId="0" applyBorder="1" applyAlignment="1">
      <alignment wrapText="1"/>
    </xf>
    <xf numFmtId="0" fontId="0" fillId="0" borderId="5" xfId="0" applyFill="1" applyBorder="1" applyAlignment="1">
      <alignment wrapText="1"/>
    </xf>
    <xf numFmtId="0" fontId="0" fillId="0" borderId="10" xfId="0" applyBorder="1"/>
    <xf numFmtId="0" fontId="0" fillId="0" borderId="20" xfId="0" applyFont="1" applyBorder="1" applyAlignment="1">
      <alignment wrapText="1"/>
    </xf>
    <xf numFmtId="0" fontId="9" fillId="0" borderId="1" xfId="0" applyFont="1" applyFill="1" applyBorder="1" applyAlignment="1">
      <alignment horizontal="right"/>
    </xf>
    <xf numFmtId="0" fontId="8" fillId="2" borderId="3" xfId="0" applyFont="1" applyFill="1" applyBorder="1" applyAlignment="1">
      <alignment horizontal="right"/>
    </xf>
    <xf numFmtId="0" fontId="0" fillId="0" borderId="0" xfId="0" applyAlignment="1">
      <alignment horizontal="right"/>
    </xf>
    <xf numFmtId="0" fontId="41" fillId="0" borderId="0" xfId="0" applyFont="1" applyFill="1" applyAlignment="1">
      <alignment horizontal="right" vertical="center" wrapText="1"/>
    </xf>
    <xf numFmtId="0" fontId="24" fillId="0" borderId="0" xfId="0" applyFont="1" applyAlignment="1">
      <alignment horizontal="right"/>
    </xf>
    <xf numFmtId="0" fontId="49" fillId="0" borderId="0" xfId="0" applyFont="1"/>
    <xf numFmtId="0" fontId="22" fillId="0" borderId="0" xfId="0" applyFont="1" applyAlignment="1">
      <alignment horizontal="right"/>
    </xf>
    <xf numFmtId="0" fontId="49" fillId="0" borderId="0" xfId="0" applyFont="1" applyAlignment="1">
      <alignment horizontal="right"/>
    </xf>
    <xf numFmtId="0" fontId="49" fillId="0" borderId="21" xfId="0" applyFont="1" applyBorder="1"/>
    <xf numFmtId="0" fontId="49" fillId="0" borderId="9" xfId="0" applyFont="1" applyBorder="1" applyAlignment="1">
      <alignment horizontal="right"/>
    </xf>
    <xf numFmtId="0" fontId="49" fillId="0" borderId="5" xfId="0" applyFont="1" applyBorder="1" applyAlignment="1">
      <alignment horizontal="right"/>
    </xf>
    <xf numFmtId="0" fontId="49" fillId="0" borderId="16" xfId="0" applyFont="1" applyBorder="1" applyAlignment="1">
      <alignment horizontal="right"/>
    </xf>
    <xf numFmtId="0" fontId="24" fillId="0" borderId="20" xfId="0" applyFont="1" applyBorder="1" applyAlignment="1">
      <alignment wrapText="1"/>
    </xf>
    <xf numFmtId="0" fontId="0" fillId="0" borderId="3" xfId="0" applyFont="1" applyBorder="1"/>
    <xf numFmtId="0" fontId="0" fillId="0" borderId="3" xfId="0" applyFill="1" applyBorder="1"/>
    <xf numFmtId="0" fontId="0" fillId="0" borderId="0" xfId="0" applyFill="1" applyAlignment="1"/>
    <xf numFmtId="0" fontId="3" fillId="0" borderId="0" xfId="3" applyFill="1" applyAlignment="1" applyProtection="1"/>
    <xf numFmtId="0" fontId="0" fillId="0" borderId="0" xfId="0" applyFill="1" applyAlignment="1">
      <alignment wrapText="1"/>
    </xf>
    <xf numFmtId="0" fontId="41" fillId="0" borderId="0" xfId="0" applyFont="1" applyFill="1" applyAlignment="1">
      <alignment vertical="center" wrapText="1"/>
    </xf>
    <xf numFmtId="0" fontId="0" fillId="0" borderId="0" xfId="0" applyFont="1" applyFill="1"/>
    <xf numFmtId="0" fontId="13" fillId="0" borderId="0" xfId="0" applyFont="1" applyFill="1" applyBorder="1" applyAlignment="1">
      <alignment wrapText="1"/>
    </xf>
    <xf numFmtId="166" fontId="8" fillId="0" borderId="3" xfId="21" applyNumberFormat="1" applyFont="1" applyFill="1" applyBorder="1" applyAlignment="1">
      <alignment horizontal="right" wrapText="1"/>
    </xf>
    <xf numFmtId="0" fontId="32" fillId="0" borderId="0" xfId="0" applyFont="1" applyFill="1" applyAlignment="1">
      <alignment wrapText="1"/>
    </xf>
    <xf numFmtId="0" fontId="41" fillId="0" borderId="0" xfId="0" applyFont="1" applyFill="1" applyAlignment="1">
      <alignment horizontal="left" vertical="center" wrapText="1"/>
    </xf>
    <xf numFmtId="0" fontId="7"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7" fillId="0" borderId="0" xfId="11" applyFont="1" applyFill="1" applyBorder="1" applyAlignment="1">
      <alignment horizontal="left" vertical="center" wrapText="1"/>
    </xf>
    <xf numFmtId="0" fontId="44" fillId="0" borderId="0" xfId="0" applyFont="1" applyFill="1"/>
    <xf numFmtId="0" fontId="50" fillId="0" borderId="0" xfId="0" applyFont="1"/>
    <xf numFmtId="0" fontId="7" fillId="2" borderId="0" xfId="0" applyFont="1" applyFill="1" applyAlignment="1">
      <alignment horizontal="left" vertical="center" wrapText="1"/>
    </xf>
    <xf numFmtId="0" fontId="7" fillId="0" borderId="0" xfId="11" applyFont="1" applyFill="1" applyBorder="1" applyAlignment="1">
      <alignment horizontal="left" vertical="center" wrapText="1"/>
    </xf>
    <xf numFmtId="0" fontId="24" fillId="0" borderId="0" xfId="0" applyFont="1" applyFill="1"/>
    <xf numFmtId="0" fontId="24" fillId="0" borderId="4" xfId="0" applyFont="1" applyFill="1" applyBorder="1"/>
    <xf numFmtId="172" fontId="10" fillId="0" borderId="2" xfId="0" applyNumberFormat="1" applyFont="1" applyFill="1" applyBorder="1" applyAlignment="1">
      <alignment horizontal="right"/>
    </xf>
    <xf numFmtId="172" fontId="9" fillId="0" borderId="2" xfId="0" applyNumberFormat="1" applyFont="1" applyFill="1" applyBorder="1" applyAlignment="1">
      <alignment horizontal="right"/>
    </xf>
    <xf numFmtId="172" fontId="10" fillId="0" borderId="0" xfId="0" applyNumberFormat="1" applyFont="1" applyFill="1" applyBorder="1" applyAlignment="1">
      <alignment horizontal="right"/>
    </xf>
    <xf numFmtId="172" fontId="9" fillId="0" borderId="0" xfId="0" applyNumberFormat="1" applyFont="1" applyFill="1" applyBorder="1" applyAlignment="1">
      <alignment horizontal="right"/>
    </xf>
    <xf numFmtId="172" fontId="10" fillId="0" borderId="1" xfId="0" applyNumberFormat="1" applyFont="1" applyFill="1" applyBorder="1" applyAlignment="1">
      <alignment horizontal="right"/>
    </xf>
    <xf numFmtId="172" fontId="9" fillId="0" borderId="1" xfId="0" applyNumberFormat="1" applyFont="1" applyFill="1" applyBorder="1" applyAlignment="1">
      <alignment horizontal="right"/>
    </xf>
    <xf numFmtId="176" fontId="32" fillId="0" borderId="0" xfId="0" applyNumberFormat="1" applyFont="1" applyFill="1" applyBorder="1" applyAlignment="1">
      <alignment vertical="center"/>
    </xf>
    <xf numFmtId="0" fontId="24" fillId="2" borderId="0" xfId="0" applyFont="1" applyFill="1"/>
    <xf numFmtId="3" fontId="8" fillId="2" borderId="0" xfId="0" applyNumberFormat="1" applyFont="1" applyFill="1" applyBorder="1"/>
    <xf numFmtId="172" fontId="4" fillId="0" borderId="18" xfId="0" applyNumberFormat="1" applyFont="1" applyFill="1" applyBorder="1" applyAlignment="1">
      <alignment horizontal="right"/>
    </xf>
    <xf numFmtId="3" fontId="4" fillId="0" borderId="0" xfId="16" applyNumberFormat="1" applyFont="1" applyFill="1" applyBorder="1" applyAlignment="1"/>
    <xf numFmtId="3" fontId="4" fillId="0" borderId="2" xfId="16" applyNumberFormat="1" applyFont="1" applyFill="1" applyBorder="1" applyAlignment="1"/>
    <xf numFmtId="172" fontId="4" fillId="0" borderId="17" xfId="0" applyNumberFormat="1" applyFont="1" applyFill="1" applyBorder="1" applyAlignment="1">
      <alignment horizontal="right"/>
    </xf>
    <xf numFmtId="172" fontId="4" fillId="0" borderId="22" xfId="0" applyNumberFormat="1" applyFont="1" applyFill="1" applyBorder="1" applyAlignment="1">
      <alignment horizontal="right"/>
    </xf>
    <xf numFmtId="172" fontId="4" fillId="0" borderId="14" xfId="0" applyNumberFormat="1" applyFont="1" applyFill="1" applyBorder="1" applyAlignment="1">
      <alignment horizontal="right"/>
    </xf>
    <xf numFmtId="3" fontId="8" fillId="0" borderId="22" xfId="0" applyNumberFormat="1" applyFont="1" applyFill="1" applyBorder="1" applyAlignment="1">
      <alignment vertical="center"/>
    </xf>
    <xf numFmtId="3" fontId="8" fillId="0" borderId="15" xfId="0" applyNumberFormat="1" applyFont="1" applyFill="1" applyBorder="1" applyAlignment="1">
      <alignment vertical="center"/>
    </xf>
    <xf numFmtId="0" fontId="0" fillId="0" borderId="3" xfId="0" applyNumberFormat="1" applyBorder="1"/>
    <xf numFmtId="0" fontId="24" fillId="0" borderId="1" xfId="0" applyNumberFormat="1" applyFont="1" applyBorder="1" applyAlignment="1"/>
    <xf numFmtId="0" fontId="0" fillId="0" borderId="0" xfId="0" applyFill="1" applyBorder="1"/>
    <xf numFmtId="0" fontId="0" fillId="0" borderId="1" xfId="0" applyNumberFormat="1" applyBorder="1"/>
    <xf numFmtId="0" fontId="0" fillId="0" borderId="0" xfId="0" applyNumberFormat="1" applyBorder="1"/>
    <xf numFmtId="168" fontId="0" fillId="0" borderId="17" xfId="0" applyNumberFormat="1" applyBorder="1"/>
    <xf numFmtId="3" fontId="0" fillId="0" borderId="0" xfId="0" applyNumberFormat="1"/>
    <xf numFmtId="3" fontId="0" fillId="0" borderId="10" xfId="0" applyNumberFormat="1" applyBorder="1"/>
    <xf numFmtId="3" fontId="0" fillId="0" borderId="0" xfId="0" applyNumberFormat="1" applyBorder="1"/>
    <xf numFmtId="3" fontId="0" fillId="0" borderId="1" xfId="0" applyNumberFormat="1" applyBorder="1"/>
    <xf numFmtId="3" fontId="0" fillId="0" borderId="11" xfId="0" applyNumberFormat="1" applyBorder="1"/>
    <xf numFmtId="3" fontId="0" fillId="4" borderId="0" xfId="0" applyNumberFormat="1" applyFill="1"/>
    <xf numFmtId="3" fontId="0" fillId="4" borderId="10" xfId="0" applyNumberFormat="1" applyFill="1" applyBorder="1"/>
    <xf numFmtId="0" fontId="7" fillId="0" borderId="0" xfId="11" applyFont="1" applyFill="1" applyBorder="1" applyAlignment="1">
      <alignment horizontal="left" vertical="center" wrapText="1"/>
    </xf>
    <xf numFmtId="0" fontId="24" fillId="0" borderId="0" xfId="0" applyNumberFormat="1" applyFont="1"/>
    <xf numFmtId="0" fontId="24" fillId="0" borderId="1" xfId="0" applyNumberFormat="1" applyFont="1" applyBorder="1"/>
    <xf numFmtId="0" fontId="24" fillId="0" borderId="3" xfId="0" applyNumberFormat="1" applyFont="1" applyBorder="1"/>
    <xf numFmtId="0" fontId="24" fillId="0" borderId="5" xfId="0" applyNumberFormat="1" applyFont="1" applyBorder="1" applyAlignment="1">
      <alignment horizontal="center"/>
    </xf>
    <xf numFmtId="0" fontId="24" fillId="0" borderId="21" xfId="0" applyNumberFormat="1" applyFont="1" applyBorder="1"/>
    <xf numFmtId="0" fontId="4" fillId="0" borderId="2" xfId="0" applyFont="1" applyFill="1" applyBorder="1" applyAlignment="1">
      <alignment horizontal="right"/>
    </xf>
    <xf numFmtId="41" fontId="0" fillId="0" borderId="0" xfId="0" applyNumberFormat="1"/>
    <xf numFmtId="0" fontId="8" fillId="0" borderId="0" xfId="0" applyNumberFormat="1" applyFont="1" applyFill="1" applyBorder="1"/>
    <xf numFmtId="0" fontId="8" fillId="0" borderId="5" xfId="0" applyNumberFormat="1" applyFont="1" applyFill="1" applyBorder="1"/>
    <xf numFmtId="0" fontId="8" fillId="0" borderId="3" xfId="0" applyNumberFormat="1" applyFont="1" applyFill="1" applyBorder="1"/>
    <xf numFmtId="0" fontId="8" fillId="0" borderId="5" xfId="19" applyNumberFormat="1" applyFont="1" applyFill="1" applyBorder="1" applyAlignment="1">
      <alignment horizontal="right"/>
    </xf>
    <xf numFmtId="0" fontId="8" fillId="0" borderId="5" xfId="19" applyNumberFormat="1" applyFont="1" applyFill="1" applyBorder="1" applyAlignment="1">
      <alignment horizontal="right" wrapText="1"/>
    </xf>
    <xf numFmtId="0" fontId="8" fillId="0" borderId="16" xfId="19" applyNumberFormat="1" applyFont="1" applyFill="1" applyBorder="1" applyAlignment="1">
      <alignment horizontal="right"/>
    </xf>
    <xf numFmtId="41" fontId="0" fillId="0" borderId="0" xfId="0" applyNumberFormat="1" applyFill="1"/>
    <xf numFmtId="41" fontId="0" fillId="0" borderId="3" xfId="0" applyNumberFormat="1" applyBorder="1"/>
    <xf numFmtId="0" fontId="32" fillId="0" borderId="0" xfId="0" applyFont="1" applyFill="1" applyAlignment="1">
      <alignment horizontal="left" wrapText="1"/>
    </xf>
    <xf numFmtId="0" fontId="7" fillId="0" borderId="0" xfId="0" applyFont="1" applyFill="1" applyAlignment="1">
      <alignment horizontal="left" vertical="center"/>
    </xf>
    <xf numFmtId="0" fontId="7" fillId="0" borderId="0" xfId="11" applyFont="1" applyFill="1" applyBorder="1" applyAlignment="1">
      <alignment horizontal="left" vertical="center" wrapText="1"/>
    </xf>
    <xf numFmtId="0" fontId="8" fillId="0" borderId="1" xfId="0" applyFont="1" applyFill="1" applyBorder="1" applyAlignment="1">
      <alignment horizontal="center"/>
    </xf>
    <xf numFmtId="0" fontId="8" fillId="0" borderId="1" xfId="4" applyFont="1" applyFill="1" applyBorder="1" applyAlignment="1">
      <alignment horizontal="center"/>
    </xf>
    <xf numFmtId="0" fontId="24" fillId="0" borderId="0" xfId="0" applyNumberFormat="1" applyFont="1" applyBorder="1"/>
    <xf numFmtId="0" fontId="15" fillId="0" borderId="0" xfId="0" applyFont="1" applyFill="1" applyBorder="1" applyAlignment="1">
      <alignment horizontal="left" wrapText="1"/>
    </xf>
    <xf numFmtId="0" fontId="8" fillId="0" borderId="0" xfId="0" applyFont="1" applyFill="1" applyBorder="1" applyAlignment="1">
      <alignment horizontal="left"/>
    </xf>
    <xf numFmtId="2" fontId="0" fillId="0" borderId="0" xfId="0" applyNumberFormat="1"/>
    <xf numFmtId="0" fontId="8" fillId="2" borderId="0" xfId="7" applyFont="1" applyFill="1" applyBorder="1" applyAlignment="1">
      <alignment vertical="center" wrapText="1"/>
    </xf>
    <xf numFmtId="168" fontId="9" fillId="2" borderId="0" xfId="2" quotePrefix="1" applyNumberFormat="1" applyFont="1" applyFill="1" applyBorder="1" applyAlignment="1">
      <alignment horizontal="right" vertical="center"/>
    </xf>
    <xf numFmtId="0" fontId="8" fillId="0" borderId="0" xfId="0" applyFont="1" applyFill="1" applyBorder="1" applyAlignment="1">
      <alignment horizontal="right" vertical="center"/>
    </xf>
    <xf numFmtId="0" fontId="8" fillId="0" borderId="17" xfId="0" applyFont="1" applyFill="1" applyBorder="1" applyAlignment="1">
      <alignment horizontal="right" vertical="center"/>
    </xf>
    <xf numFmtId="0" fontId="8" fillId="0" borderId="9" xfId="0" applyFont="1" applyFill="1" applyBorder="1" applyAlignment="1">
      <alignment horizontal="right" vertical="center"/>
    </xf>
    <xf numFmtId="0" fontId="8" fillId="0" borderId="22" xfId="0" applyFont="1" applyFill="1" applyBorder="1" applyAlignment="1">
      <alignment horizontal="right" vertical="center"/>
    </xf>
    <xf numFmtId="0" fontId="24" fillId="0" borderId="20" xfId="0" applyNumberFormat="1" applyFont="1" applyBorder="1" applyAlignment="1">
      <alignment horizontal="right"/>
    </xf>
    <xf numFmtId="0" fontId="8" fillId="0" borderId="11" xfId="0" applyFont="1" applyFill="1" applyBorder="1" applyAlignment="1">
      <alignment horizontal="right" vertical="center"/>
    </xf>
    <xf numFmtId="0" fontId="8" fillId="0" borderId="21" xfId="0" applyFont="1" applyFill="1" applyBorder="1" applyAlignment="1">
      <alignment horizontal="right" vertical="center"/>
    </xf>
    <xf numFmtId="0" fontId="9" fillId="0" borderId="1" xfId="0" applyFont="1" applyFill="1" applyBorder="1" applyAlignment="1">
      <alignment horizontal="left" wrapText="1"/>
    </xf>
    <xf numFmtId="0" fontId="7" fillId="0" borderId="0" xfId="0" applyFont="1" applyFill="1" applyAlignment="1">
      <alignment horizontal="left" vertical="center" wrapText="1"/>
    </xf>
    <xf numFmtId="0" fontId="0" fillId="0" borderId="0" xfId="0" applyAlignment="1">
      <alignment horizontal="left"/>
    </xf>
    <xf numFmtId="0" fontId="8" fillId="0" borderId="0" xfId="0" applyNumberFormat="1" applyFont="1" applyFill="1" applyBorder="1" applyAlignment="1">
      <alignment horizontal="left" vertical="center"/>
    </xf>
    <xf numFmtId="0" fontId="4" fillId="0" borderId="0" xfId="0" applyNumberFormat="1" applyFont="1" applyFill="1" applyBorder="1" applyAlignment="1">
      <alignment horizontal="right" vertical="center" wrapText="1"/>
    </xf>
    <xf numFmtId="0" fontId="8" fillId="0" borderId="0" xfId="0" applyFont="1" applyFill="1" applyBorder="1" applyAlignment="1">
      <alignment horizontal="left"/>
    </xf>
    <xf numFmtId="0" fontId="0" fillId="0" borderId="0" xfId="0" applyAlignment="1">
      <alignment horizontal="left"/>
    </xf>
    <xf numFmtId="164" fontId="8" fillId="0" borderId="3" xfId="0" applyNumberFormat="1" applyFont="1" applyFill="1" applyBorder="1" applyAlignment="1">
      <alignment horizontal="right" vertical="center"/>
    </xf>
    <xf numFmtId="0" fontId="8" fillId="0" borderId="3" xfId="5" applyNumberFormat="1" applyFont="1" applyFill="1" applyBorder="1" applyAlignment="1">
      <alignment horizontal="left" vertical="center"/>
    </xf>
    <xf numFmtId="0" fontId="8" fillId="0" borderId="1" xfId="5" applyNumberFormat="1" applyFont="1" applyFill="1" applyBorder="1" applyAlignment="1">
      <alignment horizontal="left"/>
    </xf>
    <xf numFmtId="170" fontId="4" fillId="0" borderId="1" xfId="6" applyNumberFormat="1" applyFont="1" applyFill="1" applyBorder="1" applyAlignment="1"/>
    <xf numFmtId="49" fontId="8" fillId="0" borderId="0" xfId="5" applyNumberFormat="1" applyFont="1" applyFill="1" applyBorder="1" applyAlignment="1">
      <alignment horizontal="left" wrapText="1"/>
    </xf>
    <xf numFmtId="0" fontId="13" fillId="0" borderId="1" xfId="5" applyFont="1" applyFill="1" applyBorder="1" applyAlignment="1">
      <alignment horizontal="left" vertical="center" wrapText="1"/>
    </xf>
    <xf numFmtId="0" fontId="8" fillId="0" borderId="3" xfId="5" applyNumberFormat="1" applyFont="1" applyFill="1" applyBorder="1" applyAlignment="1">
      <alignment horizontal="left" vertical="center" wrapText="1"/>
    </xf>
    <xf numFmtId="49" fontId="8" fillId="0" borderId="1" xfId="5" applyNumberFormat="1" applyFont="1" applyFill="1" applyBorder="1" applyAlignment="1">
      <alignment horizontal="left" vertical="center" wrapText="1"/>
    </xf>
    <xf numFmtId="41" fontId="0" fillId="0" borderId="1" xfId="0" applyNumberFormat="1" applyBorder="1"/>
    <xf numFmtId="170" fontId="4" fillId="2" borderId="2" xfId="6" applyNumberFormat="1" applyFont="1" applyFill="1" applyBorder="1" applyAlignment="1"/>
    <xf numFmtId="170" fontId="4" fillId="2" borderId="0" xfId="6" applyNumberFormat="1" applyFont="1" applyFill="1" applyBorder="1" applyAlignment="1"/>
    <xf numFmtId="164" fontId="8" fillId="2" borderId="4" xfId="0" applyNumberFormat="1" applyFont="1" applyFill="1" applyBorder="1" applyAlignment="1">
      <alignment horizontal="right" vertical="center"/>
    </xf>
    <xf numFmtId="164" fontId="8" fillId="2" borderId="3" xfId="0" applyNumberFormat="1" applyFont="1" applyFill="1" applyBorder="1" applyAlignment="1">
      <alignment horizontal="right" vertical="center"/>
    </xf>
    <xf numFmtId="170" fontId="4" fillId="2" borderId="1" xfId="6" applyNumberFormat="1" applyFont="1" applyFill="1" applyBorder="1" applyAlignment="1"/>
    <xf numFmtId="0" fontId="24" fillId="0" borderId="9" xfId="0" applyNumberFormat="1" applyFont="1" applyBorder="1" applyAlignment="1">
      <alignment horizontal="right"/>
    </xf>
    <xf numFmtId="3" fontId="7" fillId="0" borderId="28" xfId="0" applyNumberFormat="1" applyFont="1" applyFill="1" applyBorder="1" applyAlignment="1"/>
    <xf numFmtId="171" fontId="8" fillId="2" borderId="4" xfId="0" applyNumberFormat="1" applyFont="1" applyFill="1" applyBorder="1" applyAlignment="1">
      <alignment vertical="center"/>
    </xf>
    <xf numFmtId="0" fontId="8" fillId="2" borderId="19" xfId="0" applyFont="1" applyFill="1" applyBorder="1" applyAlignment="1">
      <alignment horizontal="right" wrapText="1"/>
    </xf>
    <xf numFmtId="0" fontId="8" fillId="2" borderId="2" xfId="0" applyFont="1" applyFill="1" applyBorder="1" applyAlignment="1">
      <alignment horizontal="right" wrapText="1"/>
    </xf>
    <xf numFmtId="0" fontId="8" fillId="2" borderId="18" xfId="0" applyFont="1" applyFill="1" applyBorder="1" applyAlignment="1">
      <alignment horizontal="right" wrapText="1"/>
    </xf>
    <xf numFmtId="0" fontId="31" fillId="0" borderId="0" xfId="0" applyFont="1" applyBorder="1"/>
    <xf numFmtId="0" fontId="18" fillId="2" borderId="21" xfId="0" applyFont="1" applyFill="1" applyBorder="1" applyAlignment="1">
      <alignment horizontal="right" wrapText="1"/>
    </xf>
    <xf numFmtId="0" fontId="4" fillId="2" borderId="0" xfId="0" applyFont="1" applyFill="1" applyBorder="1" applyAlignment="1">
      <alignment wrapText="1"/>
    </xf>
    <xf numFmtId="0" fontId="0" fillId="0" borderId="0" xfId="0" applyAlignment="1">
      <alignment horizontal="left"/>
    </xf>
    <xf numFmtId="0" fontId="24" fillId="0" borderId="1" xfId="0" applyNumberFormat="1" applyFont="1" applyBorder="1" applyAlignment="1">
      <alignment wrapText="1"/>
    </xf>
    <xf numFmtId="0" fontId="24" fillId="0" borderId="1" xfId="0" applyNumberFormat="1" applyFont="1" applyBorder="1" applyAlignment="1">
      <alignment horizontal="right" wrapText="1"/>
    </xf>
    <xf numFmtId="0" fontId="24" fillId="0" borderId="5" xfId="0" applyNumberFormat="1" applyFont="1" applyBorder="1" applyAlignment="1">
      <alignment horizontal="right" wrapText="1"/>
    </xf>
    <xf numFmtId="0" fontId="24" fillId="6" borderId="30" xfId="0" applyFont="1" applyFill="1" applyBorder="1"/>
    <xf numFmtId="0" fontId="24" fillId="6" borderId="0" xfId="0" applyFont="1" applyFill="1" applyBorder="1"/>
    <xf numFmtId="0" fontId="0" fillId="0" borderId="0" xfId="0" applyNumberFormat="1" applyFont="1"/>
    <xf numFmtId="0" fontId="24" fillId="0" borderId="1" xfId="0" applyNumberFormat="1" applyFont="1" applyBorder="1" applyAlignment="1">
      <alignment horizontal="right"/>
    </xf>
    <xf numFmtId="0" fontId="24" fillId="0" borderId="1" xfId="0" applyNumberFormat="1" applyFont="1" applyBorder="1" applyAlignment="1">
      <alignment horizontal="left"/>
    </xf>
    <xf numFmtId="0" fontId="0" fillId="0" borderId="1" xfId="0" applyNumberFormat="1" applyFont="1" applyBorder="1"/>
    <xf numFmtId="0" fontId="32" fillId="0" borderId="0" xfId="0" applyFont="1" applyFill="1" applyBorder="1" applyAlignment="1">
      <alignment horizontal="left" vertical="center" wrapText="1"/>
    </xf>
    <xf numFmtId="0" fontId="0" fillId="0" borderId="0" xfId="0" applyAlignment="1">
      <alignment horizontal="left"/>
    </xf>
    <xf numFmtId="43" fontId="0" fillId="0" borderId="0" xfId="0" applyNumberFormat="1"/>
    <xf numFmtId="0" fontId="32" fillId="0" borderId="0" xfId="0" applyFont="1" applyFill="1" applyAlignment="1">
      <alignment horizontal="left" vertical="center" wrapText="1"/>
    </xf>
    <xf numFmtId="0" fontId="0" fillId="0" borderId="0" xfId="0" applyFont="1" applyAlignment="1">
      <alignment horizontal="left" wrapText="1"/>
    </xf>
    <xf numFmtId="0" fontId="8" fillId="2" borderId="0" xfId="0" applyFont="1" applyFill="1" applyBorder="1" applyAlignment="1">
      <alignment horizontal="left"/>
    </xf>
    <xf numFmtId="0" fontId="0" fillId="0" borderId="0" xfId="0" applyAlignment="1">
      <alignment horizontal="left"/>
    </xf>
    <xf numFmtId="169" fontId="0" fillId="0" borderId="0" xfId="0" applyNumberFormat="1" applyFont="1" applyBorder="1"/>
    <xf numFmtId="169" fontId="24" fillId="0" borderId="0" xfId="0" applyNumberFormat="1" applyFont="1" applyBorder="1"/>
    <xf numFmtId="169" fontId="0" fillId="0" borderId="0" xfId="0" applyNumberFormat="1" applyFont="1" applyBorder="1" applyAlignment="1">
      <alignment horizontal="right"/>
    </xf>
    <xf numFmtId="169" fontId="24" fillId="0" borderId="0" xfId="0" applyNumberFormat="1" applyFont="1" applyBorder="1" applyAlignment="1">
      <alignment horizontal="right"/>
    </xf>
    <xf numFmtId="169" fontId="0" fillId="0" borderId="17" xfId="0" applyNumberFormat="1" applyFont="1" applyBorder="1" applyAlignment="1">
      <alignment horizontal="right"/>
    </xf>
    <xf numFmtId="169" fontId="32" fillId="0" borderId="0" xfId="19" applyNumberFormat="1" applyFont="1" applyFill="1" applyBorder="1" applyAlignment="1">
      <alignment horizontal="right"/>
    </xf>
    <xf numFmtId="169" fontId="15" fillId="0" borderId="0" xfId="19" applyNumberFormat="1" applyFont="1" applyFill="1" applyBorder="1" applyAlignment="1">
      <alignment horizontal="right" wrapText="1"/>
    </xf>
    <xf numFmtId="169" fontId="15" fillId="0" borderId="0" xfId="0" applyNumberFormat="1" applyFont="1" applyFill="1" applyBorder="1" applyAlignment="1">
      <alignment horizontal="right" wrapText="1"/>
    </xf>
    <xf numFmtId="169" fontId="32" fillId="0" borderId="17" xfId="19" applyNumberFormat="1" applyFont="1" applyFill="1" applyBorder="1" applyAlignment="1">
      <alignment horizontal="right"/>
    </xf>
    <xf numFmtId="169" fontId="24" fillId="0" borderId="0" xfId="0" applyNumberFormat="1" applyFont="1"/>
    <xf numFmtId="169" fontId="24" fillId="0" borderId="0" xfId="0" applyNumberFormat="1" applyFont="1" applyAlignment="1">
      <alignment horizontal="right"/>
    </xf>
    <xf numFmtId="164" fontId="4" fillId="2" borderId="0" xfId="6" applyNumberFormat="1" applyFont="1" applyFill="1" applyBorder="1" applyAlignment="1"/>
    <xf numFmtId="164" fontId="4" fillId="4" borderId="2" xfId="6" applyNumberFormat="1" applyFont="1" applyFill="1" applyBorder="1" applyAlignment="1"/>
    <xf numFmtId="164" fontId="4" fillId="4" borderId="0" xfId="6" applyNumberFormat="1" applyFont="1" applyFill="1" applyBorder="1" applyAlignment="1"/>
    <xf numFmtId="164" fontId="8" fillId="4" borderId="4" xfId="5" applyNumberFormat="1" applyFont="1" applyFill="1" applyBorder="1" applyAlignment="1">
      <alignment horizontal="right" vertical="center" wrapText="1"/>
    </xf>
    <xf numFmtId="164" fontId="4" fillId="0" borderId="0" xfId="6" applyNumberFormat="1" applyFont="1" applyFill="1" applyBorder="1" applyAlignment="1">
      <alignment horizontal="right"/>
    </xf>
    <xf numFmtId="164" fontId="4" fillId="4" borderId="0" xfId="6" applyNumberFormat="1" applyFont="1" applyFill="1" applyBorder="1" applyAlignment="1">
      <alignment horizontal="right"/>
    </xf>
    <xf numFmtId="164" fontId="8" fillId="2" borderId="4" xfId="5" applyNumberFormat="1" applyFont="1" applyFill="1" applyBorder="1" applyAlignment="1">
      <alignment horizontal="right" vertical="center" wrapText="1"/>
    </xf>
    <xf numFmtId="0" fontId="0" fillId="0" borderId="5" xfId="0" applyBorder="1"/>
    <xf numFmtId="0" fontId="0" fillId="0" borderId="1" xfId="0" applyFont="1" applyBorder="1"/>
    <xf numFmtId="167" fontId="4" fillId="2" borderId="0" xfId="0" applyNumberFormat="1" applyFont="1" applyFill="1" applyBorder="1" applyAlignment="1"/>
    <xf numFmtId="167" fontId="4" fillId="2" borderId="18" xfId="0" applyNumberFormat="1" applyFont="1" applyFill="1" applyBorder="1" applyAlignment="1"/>
    <xf numFmtId="167" fontId="8" fillId="2" borderId="14" xfId="0" applyNumberFormat="1" applyFont="1" applyFill="1" applyBorder="1" applyAlignment="1"/>
    <xf numFmtId="167" fontId="0" fillId="3" borderId="22" xfId="0" applyNumberFormat="1" applyFill="1" applyBorder="1"/>
    <xf numFmtId="167" fontId="4" fillId="4" borderId="22" xfId="0" applyNumberFormat="1" applyFont="1" applyFill="1" applyBorder="1" applyAlignment="1"/>
    <xf numFmtId="167" fontId="8" fillId="2" borderId="18" xfId="0" applyNumberFormat="1" applyFont="1" applyFill="1" applyBorder="1" applyAlignment="1"/>
    <xf numFmtId="167" fontId="4" fillId="2" borderId="17" xfId="0" applyNumberFormat="1" applyFont="1" applyFill="1" applyBorder="1" applyAlignment="1"/>
    <xf numFmtId="167" fontId="4" fillId="3" borderId="0" xfId="0" applyNumberFormat="1" applyFont="1" applyFill="1" applyBorder="1" applyAlignment="1"/>
    <xf numFmtId="167" fontId="8" fillId="4" borderId="14" xfId="0" applyNumberFormat="1" applyFont="1" applyFill="1" applyBorder="1" applyAlignment="1"/>
    <xf numFmtId="167" fontId="0" fillId="3" borderId="14" xfId="0" applyNumberFormat="1" applyFill="1" applyBorder="1"/>
    <xf numFmtId="167" fontId="4" fillId="4" borderId="14" xfId="0" applyNumberFormat="1" applyFont="1" applyFill="1" applyBorder="1" applyAlignment="1"/>
    <xf numFmtId="167" fontId="8" fillId="2" borderId="17" xfId="0" applyNumberFormat="1" applyFont="1" applyFill="1" applyBorder="1" applyAlignment="1"/>
    <xf numFmtId="167" fontId="4" fillId="4" borderId="17" xfId="0" applyNumberFormat="1" applyFont="1" applyFill="1" applyBorder="1" applyAlignment="1"/>
    <xf numFmtId="167" fontId="4" fillId="2" borderId="14" xfId="0" applyNumberFormat="1" applyFont="1" applyFill="1" applyBorder="1" applyAlignment="1"/>
    <xf numFmtId="167" fontId="4" fillId="2" borderId="3" xfId="0" applyNumberFormat="1" applyFont="1" applyFill="1" applyBorder="1" applyAlignment="1"/>
    <xf numFmtId="167" fontId="4" fillId="2" borderId="29" xfId="0" applyNumberFormat="1" applyFont="1" applyFill="1" applyBorder="1" applyAlignment="1"/>
    <xf numFmtId="167" fontId="8" fillId="2" borderId="25" xfId="0" applyNumberFormat="1" applyFont="1" applyFill="1" applyBorder="1" applyAlignment="1"/>
    <xf numFmtId="167" fontId="4" fillId="2" borderId="25" xfId="0" applyNumberFormat="1" applyFont="1" applyFill="1" applyBorder="1" applyAlignment="1"/>
    <xf numFmtId="167" fontId="8" fillId="2" borderId="29" xfId="0" applyNumberFormat="1" applyFont="1" applyFill="1" applyBorder="1" applyAlignment="1"/>
    <xf numFmtId="3" fontId="24" fillId="0" borderId="0" xfId="0" applyNumberFormat="1" applyFont="1"/>
    <xf numFmtId="3" fontId="0" fillId="4" borderId="0" xfId="0" applyNumberFormat="1" applyFill="1" applyAlignment="1">
      <alignment horizontal="right"/>
    </xf>
    <xf numFmtId="3" fontId="0" fillId="0" borderId="0" xfId="0" applyNumberFormat="1" applyAlignment="1">
      <alignment horizontal="right"/>
    </xf>
    <xf numFmtId="164" fontId="0" fillId="0" borderId="3" xfId="0" applyNumberFormat="1" applyBorder="1"/>
    <xf numFmtId="41" fontId="0" fillId="0" borderId="0" xfId="0" applyNumberFormat="1" applyBorder="1"/>
    <xf numFmtId="0" fontId="4" fillId="0" borderId="0" xfId="21" applyNumberFormat="1" applyFont="1" applyFill="1" applyBorder="1"/>
    <xf numFmtId="0" fontId="24" fillId="0" borderId="1" xfId="0" applyFont="1" applyBorder="1" applyProtection="1"/>
    <xf numFmtId="170" fontId="4" fillId="0" borderId="0" xfId="6" applyNumberFormat="1" applyFont="1" applyFill="1" applyBorder="1" applyAlignment="1">
      <alignment horizontal="right"/>
    </xf>
    <xf numFmtId="168" fontId="4" fillId="0" borderId="0" xfId="2" applyNumberFormat="1" applyFont="1" applyFill="1" applyBorder="1" applyAlignment="1">
      <alignment horizontal="right"/>
    </xf>
    <xf numFmtId="168" fontId="8" fillId="0" borderId="4" xfId="2" applyNumberFormat="1" applyFont="1" applyFill="1" applyBorder="1" applyAlignment="1">
      <alignment horizontal="right"/>
    </xf>
    <xf numFmtId="0" fontId="8" fillId="0" borderId="1" xfId="0" applyFont="1" applyFill="1" applyBorder="1" applyAlignment="1">
      <alignment horizontal="right" vertical="center"/>
    </xf>
    <xf numFmtId="0" fontId="7" fillId="0" borderId="0" xfId="0" applyFont="1" applyFill="1" applyAlignment="1">
      <alignment horizontal="left" vertical="center" wrapText="1"/>
    </xf>
    <xf numFmtId="0" fontId="8" fillId="2" borderId="0" xfId="0" applyFont="1" applyFill="1" applyBorder="1" applyAlignment="1">
      <alignment horizontal="left"/>
    </xf>
    <xf numFmtId="0" fontId="0" fillId="0" borderId="0" xfId="0" applyAlignment="1">
      <alignment horizontal="left"/>
    </xf>
    <xf numFmtId="0" fontId="32" fillId="0" borderId="0" xfId="0" applyFont="1" applyFill="1" applyAlignment="1">
      <alignment horizontal="left" vertical="top" wrapText="1"/>
    </xf>
    <xf numFmtId="0" fontId="32" fillId="0" borderId="0" xfId="0" applyFont="1" applyFill="1" applyAlignment="1">
      <alignment horizontal="left" vertical="center" wrapText="1"/>
    </xf>
    <xf numFmtId="0" fontId="8" fillId="2" borderId="0" xfId="0" applyFont="1" applyFill="1" applyBorder="1" applyAlignment="1">
      <alignment horizontal="left"/>
    </xf>
    <xf numFmtId="0" fontId="15" fillId="0" borderId="0" xfId="0" applyFont="1" applyFill="1" applyAlignment="1">
      <alignment horizontal="left" vertical="top" wrapText="1"/>
    </xf>
    <xf numFmtId="0" fontId="47" fillId="0" borderId="1" xfId="0" applyFont="1" applyBorder="1"/>
    <xf numFmtId="0" fontId="7" fillId="0" borderId="1" xfId="5" applyFont="1" applyFill="1" applyBorder="1" applyAlignment="1">
      <alignment horizontal="left" wrapText="1"/>
    </xf>
    <xf numFmtId="0" fontId="13" fillId="0" borderId="1" xfId="0" applyFont="1" applyFill="1" applyBorder="1" applyProtection="1">
      <protection locked="0"/>
    </xf>
    <xf numFmtId="0" fontId="24" fillId="0" borderId="5" xfId="0" applyFont="1" applyBorder="1"/>
    <xf numFmtId="0" fontId="0" fillId="0" borderId="5" xfId="0" applyFill="1" applyBorder="1"/>
    <xf numFmtId="41" fontId="8" fillId="0" borderId="0" xfId="21" applyNumberFormat="1" applyFont="1" applyFill="1" applyBorder="1" applyAlignment="1">
      <alignment horizontal="right" wrapText="1"/>
    </xf>
    <xf numFmtId="41" fontId="8" fillId="0" borderId="0" xfId="21" applyNumberFormat="1" applyFont="1" applyFill="1" applyBorder="1" applyAlignment="1">
      <alignment horizontal="right" vertical="center" wrapText="1"/>
    </xf>
    <xf numFmtId="41" fontId="8" fillId="0" borderId="1" xfId="21" applyNumberFormat="1" applyFont="1" applyFill="1" applyBorder="1" applyAlignment="1">
      <alignment horizontal="right" vertical="center" wrapText="1"/>
    </xf>
    <xf numFmtId="41" fontId="8" fillId="0" borderId="1" xfId="22" applyNumberFormat="1" applyFont="1" applyFill="1" applyBorder="1" applyAlignment="1">
      <alignment horizontal="right" vertical="center" wrapText="1"/>
    </xf>
    <xf numFmtId="0" fontId="24" fillId="0" borderId="1" xfId="0" applyFont="1" applyBorder="1" applyAlignment="1">
      <alignment horizontal="right" wrapText="1"/>
    </xf>
    <xf numFmtId="41" fontId="24" fillId="0" borderId="0" xfId="0" applyNumberFormat="1" applyFont="1"/>
    <xf numFmtId="41" fontId="24" fillId="0" borderId="1" xfId="0" applyNumberFormat="1" applyFont="1" applyBorder="1"/>
    <xf numFmtId="41" fontId="8" fillId="0" borderId="0" xfId="22" applyNumberFormat="1" applyFont="1" applyFill="1" applyBorder="1" applyAlignment="1">
      <alignment horizontal="right" vertical="center" wrapText="1"/>
    </xf>
    <xf numFmtId="41" fontId="4" fillId="0" borderId="0" xfId="21" applyNumberFormat="1" applyFont="1" applyFill="1" applyBorder="1"/>
    <xf numFmtId="41" fontId="24" fillId="0" borderId="0" xfId="0" applyNumberFormat="1" applyFont="1" applyBorder="1"/>
    <xf numFmtId="164" fontId="24" fillId="0" borderId="0" xfId="0" applyNumberFormat="1" applyFont="1" applyBorder="1"/>
    <xf numFmtId="164" fontId="24" fillId="0" borderId="3" xfId="0" applyNumberFormat="1" applyFont="1" applyBorder="1"/>
    <xf numFmtId="164" fontId="24" fillId="0" borderId="0" xfId="0" applyNumberFormat="1" applyFont="1"/>
    <xf numFmtId="41" fontId="24" fillId="0" borderId="3" xfId="0" applyNumberFormat="1" applyFont="1" applyBorder="1"/>
    <xf numFmtId="166" fontId="24" fillId="0" borderId="0" xfId="0" applyNumberFormat="1" applyFont="1"/>
    <xf numFmtId="41" fontId="4" fillId="2" borderId="2" xfId="9" applyNumberFormat="1" applyFont="1" applyFill="1" applyBorder="1" applyAlignment="1">
      <alignment horizontal="right" wrapText="1"/>
    </xf>
    <xf numFmtId="41" fontId="8" fillId="2" borderId="0" xfId="9" quotePrefix="1" applyNumberFormat="1" applyFont="1" applyFill="1" applyBorder="1" applyAlignment="1">
      <alignment horizontal="right" wrapText="1"/>
    </xf>
    <xf numFmtId="41" fontId="4" fillId="2" borderId="0" xfId="9" applyNumberFormat="1" applyFont="1" applyFill="1" applyBorder="1" applyAlignment="1">
      <alignment horizontal="right" wrapText="1"/>
    </xf>
    <xf numFmtId="41" fontId="8" fillId="2" borderId="4" xfId="7" applyNumberFormat="1" applyFont="1" applyFill="1" applyBorder="1" applyAlignment="1">
      <alignment horizontal="right" vertical="center"/>
    </xf>
    <xf numFmtId="41" fontId="4" fillId="2" borderId="0" xfId="7" applyNumberFormat="1" applyFont="1" applyFill="1" applyBorder="1" applyAlignment="1">
      <alignment horizontal="right"/>
    </xf>
    <xf numFmtId="41" fontId="8" fillId="2" borderId="0" xfId="1" applyNumberFormat="1" applyFont="1" applyFill="1" applyBorder="1" applyAlignment="1">
      <alignment horizontal="right"/>
    </xf>
    <xf numFmtId="41" fontId="8" fillId="2" borderId="0" xfId="7" applyNumberFormat="1" applyFont="1" applyFill="1" applyBorder="1" applyAlignment="1">
      <alignment horizontal="right"/>
    </xf>
    <xf numFmtId="41" fontId="4" fillId="2" borderId="2" xfId="0" applyNumberFormat="1" applyFont="1" applyFill="1" applyBorder="1" applyAlignment="1">
      <alignment horizontal="right"/>
    </xf>
    <xf numFmtId="41" fontId="8" fillId="2" borderId="2" xfId="1" applyNumberFormat="1" applyFont="1" applyFill="1" applyBorder="1" applyAlignment="1">
      <alignment horizontal="right" wrapText="1"/>
    </xf>
    <xf numFmtId="41" fontId="4" fillId="2" borderId="0" xfId="0" applyNumberFormat="1" applyFont="1" applyFill="1" applyBorder="1" applyAlignment="1">
      <alignment horizontal="right"/>
    </xf>
    <xf numFmtId="41" fontId="8" fillId="2" borderId="0" xfId="1" applyNumberFormat="1" applyFont="1" applyFill="1" applyBorder="1" applyAlignment="1">
      <alignment horizontal="right" wrapText="1"/>
    </xf>
    <xf numFmtId="41" fontId="8" fillId="2" borderId="1" xfId="1" applyNumberFormat="1" applyFont="1" applyFill="1" applyBorder="1" applyAlignment="1">
      <alignment horizontal="right" wrapText="1"/>
    </xf>
    <xf numFmtId="41" fontId="8" fillId="2" borderId="2" xfId="9" applyNumberFormat="1" applyFont="1" applyFill="1" applyBorder="1" applyAlignment="1">
      <alignment horizontal="right" wrapText="1"/>
    </xf>
    <xf numFmtId="41" fontId="8" fillId="2" borderId="0" xfId="9" applyNumberFormat="1" applyFont="1" applyFill="1" applyBorder="1" applyAlignment="1">
      <alignment horizontal="right" wrapText="1"/>
    </xf>
    <xf numFmtId="41" fontId="8" fillId="2" borderId="4" xfId="9" applyNumberFormat="1" applyFont="1" applyFill="1" applyBorder="1" applyAlignment="1">
      <alignment horizontal="right" wrapText="1"/>
    </xf>
    <xf numFmtId="41" fontId="8" fillId="2" borderId="0" xfId="0" applyNumberFormat="1" applyFont="1" applyFill="1" applyBorder="1" applyAlignment="1">
      <alignment horizontal="right"/>
    </xf>
    <xf numFmtId="41" fontId="8" fillId="2" borderId="4" xfId="0" applyNumberFormat="1" applyFont="1" applyFill="1" applyBorder="1" applyAlignment="1">
      <alignment horizontal="right" vertical="center"/>
    </xf>
    <xf numFmtId="41" fontId="24" fillId="0" borderId="4" xfId="0" applyNumberFormat="1" applyFont="1" applyBorder="1"/>
    <xf numFmtId="41" fontId="0" fillId="0" borderId="0" xfId="0" applyNumberFormat="1" applyAlignment="1">
      <alignment horizontal="right"/>
    </xf>
    <xf numFmtId="41" fontId="24" fillId="0" borderId="0" xfId="0" applyNumberFormat="1" applyFont="1" applyAlignment="1">
      <alignment horizontal="right"/>
    </xf>
    <xf numFmtId="168" fontId="10" fillId="0" borderId="0" xfId="2" applyNumberFormat="1" applyFont="1" applyFill="1" applyBorder="1" applyAlignment="1"/>
    <xf numFmtId="168" fontId="9" fillId="0" borderId="0" xfId="2" applyNumberFormat="1" applyFont="1" applyFill="1" applyBorder="1" applyAlignment="1"/>
    <xf numFmtId="9" fontId="9" fillId="0" borderId="4" xfId="2" applyFont="1" applyFill="1" applyBorder="1" applyAlignment="1">
      <alignment vertical="center"/>
    </xf>
    <xf numFmtId="168" fontId="10" fillId="2" borderId="2" xfId="22" applyNumberFormat="1" applyFont="1" applyFill="1" applyBorder="1"/>
    <xf numFmtId="168" fontId="10" fillId="2" borderId="2" xfId="0" applyNumberFormat="1" applyFont="1" applyFill="1" applyBorder="1"/>
    <xf numFmtId="168" fontId="10" fillId="2" borderId="2" xfId="0" applyNumberFormat="1" applyFont="1" applyFill="1" applyBorder="1" applyAlignment="1">
      <alignment horizontal="right"/>
    </xf>
    <xf numFmtId="168" fontId="9" fillId="2" borderId="19" xfId="0" applyNumberFormat="1" applyFont="1" applyFill="1" applyBorder="1" applyAlignment="1">
      <alignment horizontal="right"/>
    </xf>
    <xf numFmtId="168" fontId="9" fillId="2" borderId="0" xfId="0" applyNumberFormat="1" applyFont="1" applyFill="1" applyBorder="1" applyAlignment="1">
      <alignment horizontal="right"/>
    </xf>
    <xf numFmtId="168" fontId="9" fillId="2" borderId="19" xfId="0" applyNumberFormat="1" applyFont="1" applyFill="1" applyBorder="1"/>
    <xf numFmtId="168" fontId="9" fillId="2" borderId="0" xfId="0" applyNumberFormat="1" applyFont="1" applyFill="1" applyBorder="1"/>
    <xf numFmtId="168" fontId="9" fillId="2" borderId="18" xfId="0" applyNumberFormat="1" applyFont="1" applyFill="1" applyBorder="1"/>
    <xf numFmtId="168" fontId="10" fillId="2" borderId="0" xfId="22" applyNumberFormat="1" applyFont="1" applyFill="1" applyBorder="1"/>
    <xf numFmtId="168" fontId="10" fillId="2" borderId="0" xfId="0" applyNumberFormat="1" applyFont="1" applyFill="1" applyBorder="1"/>
    <xf numFmtId="168" fontId="10" fillId="2" borderId="0" xfId="0" applyNumberFormat="1" applyFont="1" applyFill="1" applyBorder="1" applyAlignment="1">
      <alignment horizontal="right"/>
    </xf>
    <xf numFmtId="168" fontId="9" fillId="2" borderId="10" xfId="0" applyNumberFormat="1" applyFont="1" applyFill="1" applyBorder="1" applyAlignment="1">
      <alignment horizontal="right"/>
    </xf>
    <xf numFmtId="168" fontId="9" fillId="2" borderId="10" xfId="0" applyNumberFormat="1" applyFont="1" applyFill="1" applyBorder="1"/>
    <xf numFmtId="168" fontId="9" fillId="2" borderId="17" xfId="0" applyNumberFormat="1" applyFont="1" applyFill="1" applyBorder="1"/>
    <xf numFmtId="168" fontId="10" fillId="2" borderId="1" xfId="22" applyNumberFormat="1" applyFont="1" applyFill="1" applyBorder="1"/>
    <xf numFmtId="168" fontId="10" fillId="2" borderId="1" xfId="0" applyNumberFormat="1" applyFont="1" applyFill="1" applyBorder="1"/>
    <xf numFmtId="168" fontId="10" fillId="2" borderId="1" xfId="0" applyNumberFormat="1" applyFont="1" applyFill="1" applyBorder="1" applyAlignment="1">
      <alignment horizontal="right"/>
    </xf>
    <xf numFmtId="168" fontId="9" fillId="2" borderId="11" xfId="0" applyNumberFormat="1" applyFont="1" applyFill="1" applyBorder="1" applyAlignment="1">
      <alignment horizontal="right"/>
    </xf>
    <xf numFmtId="168" fontId="9" fillId="2" borderId="1" xfId="0" applyNumberFormat="1" applyFont="1" applyFill="1" applyBorder="1" applyAlignment="1">
      <alignment horizontal="right"/>
    </xf>
    <xf numFmtId="168" fontId="9" fillId="2" borderId="11" xfId="0" applyNumberFormat="1" applyFont="1" applyFill="1" applyBorder="1"/>
    <xf numFmtId="168" fontId="9" fillId="2" borderId="1" xfId="0" applyNumberFormat="1" applyFont="1" applyFill="1" applyBorder="1"/>
    <xf numFmtId="168" fontId="9" fillId="2" borderId="21" xfId="0" applyNumberFormat="1" applyFont="1" applyFill="1" applyBorder="1"/>
    <xf numFmtId="168" fontId="10" fillId="2" borderId="19" xfId="22" applyNumberFormat="1" applyFont="1" applyFill="1" applyBorder="1"/>
    <xf numFmtId="168" fontId="10" fillId="2" borderId="10" xfId="22" applyNumberFormat="1" applyFont="1" applyFill="1" applyBorder="1"/>
    <xf numFmtId="168" fontId="10" fillId="2" borderId="19" xfId="0" applyNumberFormat="1" applyFont="1" applyFill="1" applyBorder="1"/>
    <xf numFmtId="168" fontId="10" fillId="2" borderId="10" xfId="0" applyNumberFormat="1" applyFont="1" applyFill="1" applyBorder="1"/>
    <xf numFmtId="168" fontId="10" fillId="2" borderId="19" xfId="0" applyNumberFormat="1" applyFont="1" applyFill="1" applyBorder="1" applyAlignment="1">
      <alignment horizontal="right"/>
    </xf>
    <xf numFmtId="168" fontId="10" fillId="2" borderId="10" xfId="0" applyNumberFormat="1" applyFont="1" applyFill="1" applyBorder="1" applyAlignment="1">
      <alignment horizontal="right"/>
    </xf>
    <xf numFmtId="168" fontId="10" fillId="2" borderId="11" xfId="22" applyNumberFormat="1" applyFont="1" applyFill="1" applyBorder="1"/>
    <xf numFmtId="168" fontId="10" fillId="2" borderId="11" xfId="0" applyNumberFormat="1" applyFont="1" applyFill="1" applyBorder="1"/>
    <xf numFmtId="168" fontId="10" fillId="2" borderId="11" xfId="0" applyNumberFormat="1" applyFont="1" applyFill="1" applyBorder="1" applyAlignment="1">
      <alignment horizontal="right"/>
    </xf>
    <xf numFmtId="0" fontId="0" fillId="0" borderId="19" xfId="0" applyBorder="1"/>
    <xf numFmtId="168" fontId="44" fillId="0" borderId="0" xfId="0" applyNumberFormat="1" applyFont="1"/>
    <xf numFmtId="168" fontId="24" fillId="0" borderId="0" xfId="0" applyNumberFormat="1" applyFont="1"/>
    <xf numFmtId="168" fontId="44" fillId="0" borderId="1" xfId="0" applyNumberFormat="1" applyFont="1" applyBorder="1"/>
    <xf numFmtId="0" fontId="32" fillId="0" borderId="0" xfId="0" applyFont="1" applyFill="1" applyAlignment="1">
      <alignment horizontal="left" vertical="center" wrapText="1"/>
    </xf>
    <xf numFmtId="0" fontId="8" fillId="2" borderId="0" xfId="0" applyFont="1" applyFill="1" applyBorder="1" applyAlignment="1">
      <alignment horizontal="left"/>
    </xf>
    <xf numFmtId="0" fontId="0" fillId="0" borderId="0" xfId="0" applyAlignment="1">
      <alignment horizontal="left"/>
    </xf>
    <xf numFmtId="0" fontId="8" fillId="2" borderId="20" xfId="0" applyFont="1" applyFill="1" applyBorder="1" applyAlignment="1">
      <alignment horizontal="left" wrapText="1"/>
    </xf>
    <xf numFmtId="0" fontId="24" fillId="2" borderId="17" xfId="0" applyFont="1" applyFill="1" applyBorder="1"/>
    <xf numFmtId="164" fontId="24" fillId="2" borderId="14" xfId="0" applyNumberFormat="1" applyFont="1" applyFill="1" applyBorder="1"/>
    <xf numFmtId="0" fontId="24" fillId="2" borderId="29" xfId="0" applyFont="1" applyFill="1" applyBorder="1"/>
    <xf numFmtId="41" fontId="0" fillId="2" borderId="0" xfId="0" applyNumberFormat="1" applyFill="1" applyBorder="1"/>
    <xf numFmtId="41" fontId="0" fillId="2" borderId="3" xfId="0" applyNumberFormat="1" applyFill="1" applyBorder="1"/>
    <xf numFmtId="0" fontId="24" fillId="2" borderId="16" xfId="0" applyFont="1" applyFill="1" applyBorder="1" applyAlignment="1">
      <alignment horizontal="center" wrapText="1"/>
    </xf>
    <xf numFmtId="41" fontId="24" fillId="2" borderId="18" xfId="0" applyNumberFormat="1" applyFont="1" applyFill="1" applyBorder="1"/>
    <xf numFmtId="41" fontId="24" fillId="2" borderId="17" xfId="0" applyNumberFormat="1" applyFont="1" applyFill="1" applyBorder="1"/>
    <xf numFmtId="41" fontId="24" fillId="2" borderId="29" xfId="0" applyNumberFormat="1" applyFont="1" applyFill="1" applyBorder="1"/>
    <xf numFmtId="0" fontId="8" fillId="2" borderId="16" xfId="0" applyFont="1" applyFill="1" applyBorder="1"/>
    <xf numFmtId="0" fontId="8" fillId="2" borderId="5" xfId="0" applyFont="1" applyFill="1" applyBorder="1" applyAlignment="1">
      <alignment horizontal="center" wrapText="1"/>
    </xf>
    <xf numFmtId="0" fontId="24" fillId="2" borderId="5" xfId="0" applyFont="1" applyFill="1" applyBorder="1" applyAlignment="1">
      <alignment horizontal="center" wrapText="1"/>
    </xf>
    <xf numFmtId="164" fontId="0" fillId="0" borderId="0" xfId="0" applyNumberFormat="1" applyBorder="1"/>
    <xf numFmtId="164" fontId="24" fillId="2" borderId="25" xfId="0" applyNumberFormat="1" applyFont="1" applyFill="1" applyBorder="1"/>
    <xf numFmtId="41" fontId="24" fillId="2" borderId="5" xfId="0" applyNumberFormat="1" applyFont="1" applyFill="1" applyBorder="1" applyAlignment="1">
      <alignment horizontal="center" wrapText="1"/>
    </xf>
    <xf numFmtId="41" fontId="24" fillId="2" borderId="16" xfId="0" applyNumberFormat="1" applyFont="1" applyFill="1" applyBorder="1" applyAlignment="1">
      <alignment horizontal="center" wrapText="1"/>
    </xf>
    <xf numFmtId="0" fontId="24" fillId="2" borderId="20" xfId="0" applyFont="1" applyFill="1" applyBorder="1" applyAlignment="1">
      <alignment horizontal="left" wrapText="1"/>
    </xf>
    <xf numFmtId="41" fontId="24" fillId="2" borderId="22" xfId="0" applyNumberFormat="1" applyFont="1" applyFill="1" applyBorder="1"/>
    <xf numFmtId="41" fontId="24" fillId="2" borderId="14" xfId="0" applyNumberFormat="1" applyFont="1" applyFill="1" applyBorder="1"/>
    <xf numFmtId="41" fontId="24" fillId="2" borderId="25" xfId="0" applyNumberFormat="1" applyFont="1" applyFill="1" applyBorder="1"/>
    <xf numFmtId="164" fontId="8" fillId="2" borderId="16" xfId="13" applyNumberFormat="1" applyFont="1" applyFill="1" applyBorder="1" applyAlignment="1"/>
    <xf numFmtId="41" fontId="8" fillId="0" borderId="3" xfId="0" applyNumberFormat="1" applyFont="1" applyFill="1" applyBorder="1" applyAlignment="1">
      <alignment vertical="center"/>
    </xf>
    <xf numFmtId="0" fontId="49" fillId="2" borderId="1" xfId="0" applyFont="1" applyFill="1" applyBorder="1" applyAlignment="1"/>
    <xf numFmtId="0" fontId="49" fillId="0" borderId="1" xfId="0" applyFont="1" applyBorder="1" applyAlignment="1">
      <alignment horizontal="right" wrapText="1"/>
    </xf>
    <xf numFmtId="168" fontId="10" fillId="2" borderId="3" xfId="22" applyNumberFormat="1" applyFont="1" applyFill="1" applyBorder="1" applyAlignment="1">
      <alignment vertical="center"/>
    </xf>
    <xf numFmtId="168" fontId="9" fillId="2" borderId="3" xfId="22" applyNumberFormat="1" applyFont="1" applyFill="1" applyBorder="1" applyAlignment="1">
      <alignment vertical="center"/>
    </xf>
    <xf numFmtId="168" fontId="44" fillId="0" borderId="17" xfId="0" applyNumberFormat="1" applyFont="1" applyBorder="1"/>
    <xf numFmtId="168" fontId="44" fillId="0" borderId="21" xfId="0" applyNumberFormat="1" applyFont="1" applyBorder="1"/>
    <xf numFmtId="41" fontId="0" fillId="4" borderId="0" xfId="0" applyNumberFormat="1" applyFill="1"/>
    <xf numFmtId="41" fontId="0" fillId="4" borderId="17" xfId="0" applyNumberFormat="1" applyFill="1" applyBorder="1"/>
    <xf numFmtId="41" fontId="0" fillId="0" borderId="17" xfId="0" applyNumberFormat="1" applyBorder="1"/>
    <xf numFmtId="41" fontId="0" fillId="0" borderId="21" xfId="0" applyNumberFormat="1" applyBorder="1"/>
    <xf numFmtId="0" fontId="24" fillId="0" borderId="9" xfId="0" applyNumberFormat="1" applyFont="1" applyBorder="1" applyAlignment="1">
      <alignment wrapText="1"/>
    </xf>
    <xf numFmtId="0" fontId="24" fillId="0" borderId="5" xfId="0" applyNumberFormat="1" applyFont="1" applyBorder="1" applyAlignment="1">
      <alignment wrapText="1"/>
    </xf>
    <xf numFmtId="0" fontId="24" fillId="0" borderId="16" xfId="0" applyFont="1" applyBorder="1" applyAlignment="1">
      <alignment wrapText="1"/>
    </xf>
    <xf numFmtId="0" fontId="24" fillId="0" borderId="16" xfId="0" applyNumberFormat="1" applyFont="1" applyBorder="1" applyAlignment="1">
      <alignment wrapText="1"/>
    </xf>
    <xf numFmtId="168" fontId="24" fillId="0" borderId="0" xfId="0" applyNumberFormat="1" applyFont="1" applyBorder="1"/>
    <xf numFmtId="168" fontId="24" fillId="0" borderId="3" xfId="0" applyNumberFormat="1" applyFont="1" applyBorder="1"/>
    <xf numFmtId="168" fontId="44" fillId="4" borderId="0" xfId="0" applyNumberFormat="1" applyFont="1" applyFill="1"/>
    <xf numFmtId="168" fontId="44" fillId="0" borderId="0" xfId="0" applyNumberFormat="1" applyFont="1" applyBorder="1"/>
    <xf numFmtId="168" fontId="44" fillId="0" borderId="3" xfId="0" applyNumberFormat="1" applyFont="1" applyBorder="1"/>
    <xf numFmtId="2" fontId="0" fillId="0" borderId="0" xfId="0" applyNumberFormat="1" applyBorder="1"/>
    <xf numFmtId="0" fontId="24" fillId="0" borderId="1" xfId="0" applyNumberFormat="1" applyFont="1" applyBorder="1" applyAlignment="1">
      <alignment horizontal="center"/>
    </xf>
    <xf numFmtId="168" fontId="44" fillId="0" borderId="0" xfId="2" applyNumberFormat="1" applyFont="1" applyBorder="1"/>
    <xf numFmtId="0" fontId="44" fillId="0" borderId="3" xfId="0" applyFont="1" applyBorder="1"/>
    <xf numFmtId="0" fontId="24" fillId="0" borderId="1" xfId="0" applyNumberFormat="1" applyFont="1" applyBorder="1" applyAlignment="1">
      <alignment horizontal="left" wrapText="1"/>
    </xf>
    <xf numFmtId="168" fontId="51" fillId="0" borderId="0" xfId="0" applyNumberFormat="1" applyFont="1" applyBorder="1"/>
    <xf numFmtId="168" fontId="51" fillId="0" borderId="3" xfId="0" applyNumberFormat="1" applyFont="1" applyBorder="1"/>
    <xf numFmtId="168" fontId="51" fillId="0" borderId="0" xfId="0" applyNumberFormat="1" applyFont="1"/>
    <xf numFmtId="168" fontId="10" fillId="2" borderId="3" xfId="0" applyNumberFormat="1" applyFont="1" applyFill="1" applyBorder="1" applyAlignment="1">
      <alignment horizontal="right"/>
    </xf>
    <xf numFmtId="2" fontId="8" fillId="0" borderId="25" xfId="0" applyNumberFormat="1" applyFont="1" applyFill="1" applyBorder="1" applyAlignment="1">
      <alignment horizontal="right" vertical="center"/>
    </xf>
    <xf numFmtId="172" fontId="4" fillId="0" borderId="1" xfId="0" applyNumberFormat="1" applyFont="1" applyFill="1" applyBorder="1" applyAlignment="1">
      <alignment horizontal="right"/>
    </xf>
    <xf numFmtId="172" fontId="4" fillId="0" borderId="21" xfId="0" applyNumberFormat="1" applyFont="1" applyFill="1" applyBorder="1" applyAlignment="1">
      <alignment horizontal="right"/>
    </xf>
    <xf numFmtId="172" fontId="4" fillId="0" borderId="15" xfId="0" applyNumberFormat="1" applyFont="1" applyFill="1" applyBorder="1" applyAlignment="1">
      <alignment horizontal="right"/>
    </xf>
    <xf numFmtId="2" fontId="8" fillId="0" borderId="3" xfId="0" applyNumberFormat="1" applyFont="1" applyFill="1" applyBorder="1" applyAlignment="1">
      <alignment horizontal="right" vertical="center"/>
    </xf>
    <xf numFmtId="2" fontId="8" fillId="0" borderId="29" xfId="0" applyNumberFormat="1" applyFont="1" applyFill="1" applyBorder="1" applyAlignment="1">
      <alignment horizontal="right" vertical="center"/>
    </xf>
    <xf numFmtId="3" fontId="24" fillId="0" borderId="3" xfId="0" applyNumberFormat="1" applyFont="1" applyBorder="1"/>
    <xf numFmtId="41" fontId="0" fillId="4" borderId="0" xfId="0" applyNumberFormat="1" applyFill="1" applyAlignment="1">
      <alignment horizontal="right"/>
    </xf>
    <xf numFmtId="174" fontId="8" fillId="2" borderId="4" xfId="0" applyNumberFormat="1" applyFont="1" applyFill="1" applyBorder="1" applyAlignment="1">
      <alignment horizontal="right" vertical="center"/>
    </xf>
    <xf numFmtId="174" fontId="8" fillId="4" borderId="4" xfId="0" applyNumberFormat="1" applyFont="1" applyFill="1" applyBorder="1" applyAlignment="1">
      <alignment horizontal="right" vertical="center"/>
    </xf>
    <xf numFmtId="0" fontId="8" fillId="2" borderId="4" xfId="18" applyFont="1" applyFill="1" applyBorder="1" applyAlignment="1">
      <alignment horizontal="left" wrapText="1"/>
    </xf>
    <xf numFmtId="174" fontId="8" fillId="2" borderId="4" xfId="0" applyNumberFormat="1" applyFont="1" applyFill="1" applyBorder="1" applyAlignment="1"/>
    <xf numFmtId="174" fontId="8" fillId="4" borderId="4" xfId="0" applyNumberFormat="1" applyFont="1" applyFill="1" applyBorder="1" applyAlignment="1"/>
    <xf numFmtId="168" fontId="4" fillId="0" borderId="31" xfId="22" applyNumberFormat="1" applyFont="1" applyFill="1" applyBorder="1" applyAlignment="1">
      <alignment horizontal="right"/>
    </xf>
    <xf numFmtId="168" fontId="4" fillId="0" borderId="14" xfId="22" applyNumberFormat="1" applyFont="1" applyFill="1" applyBorder="1" applyAlignment="1">
      <alignment horizontal="right"/>
    </xf>
    <xf numFmtId="168" fontId="4" fillId="0" borderId="15" xfId="22" applyNumberFormat="1" applyFont="1" applyFill="1" applyBorder="1" applyAlignment="1">
      <alignment horizontal="right"/>
    </xf>
    <xf numFmtId="172" fontId="4" fillId="0" borderId="8" xfId="0" applyNumberFormat="1" applyFont="1" applyFill="1" applyBorder="1" applyAlignment="1">
      <alignment horizontal="right"/>
    </xf>
    <xf numFmtId="168" fontId="8" fillId="0" borderId="24" xfId="22" applyNumberFormat="1" applyFont="1" applyFill="1" applyBorder="1" applyAlignment="1">
      <alignment horizontal="right" vertical="center"/>
    </xf>
    <xf numFmtId="172" fontId="8" fillId="0" borderId="12" xfId="0" applyNumberFormat="1" applyFont="1" applyFill="1" applyBorder="1" applyAlignment="1">
      <alignment vertical="center"/>
    </xf>
    <xf numFmtId="41" fontId="4" fillId="0" borderId="0" xfId="0" applyNumberFormat="1" applyFont="1" applyFill="1"/>
    <xf numFmtId="41" fontId="8" fillId="0" borderId="0" xfId="0" applyNumberFormat="1" applyFont="1" applyFill="1"/>
    <xf numFmtId="41" fontId="4" fillId="0" borderId="3" xfId="0" applyNumberFormat="1" applyFont="1" applyFill="1" applyBorder="1"/>
    <xf numFmtId="41" fontId="8" fillId="0" borderId="3" xfId="0" applyNumberFormat="1" applyFont="1" applyFill="1" applyBorder="1"/>
    <xf numFmtId="9" fontId="10" fillId="0" borderId="0" xfId="2" quotePrefix="1" applyFont="1" applyFill="1" applyBorder="1" applyAlignment="1">
      <alignment horizontal="right"/>
    </xf>
    <xf numFmtId="9" fontId="9" fillId="0" borderId="0" xfId="2" applyFont="1" applyFill="1" applyBorder="1"/>
    <xf numFmtId="9" fontId="9" fillId="2" borderId="4" xfId="2" applyFont="1" applyFill="1" applyBorder="1" applyAlignment="1">
      <alignment vertical="center"/>
    </xf>
    <xf numFmtId="9" fontId="10" fillId="0" borderId="4" xfId="2" quotePrefix="1" applyFont="1" applyFill="1" applyBorder="1" applyAlignment="1">
      <alignment horizontal="right"/>
    </xf>
    <xf numFmtId="9" fontId="9" fillId="0" borderId="4" xfId="2" applyFont="1" applyFill="1" applyBorder="1"/>
    <xf numFmtId="178" fontId="0" fillId="0" borderId="0" xfId="0" applyNumberFormat="1"/>
    <xf numFmtId="41" fontId="8" fillId="2" borderId="0" xfId="7" applyNumberFormat="1" applyFont="1" applyFill="1" applyBorder="1" applyAlignment="1">
      <alignment horizontal="right" vertical="center"/>
    </xf>
    <xf numFmtId="41" fontId="8" fillId="2" borderId="1" xfId="7" applyNumberFormat="1" applyFont="1" applyFill="1" applyBorder="1" applyAlignment="1">
      <alignment horizontal="right" vertical="center"/>
    </xf>
    <xf numFmtId="168" fontId="9" fillId="2" borderId="1" xfId="2" quotePrefix="1" applyNumberFormat="1" applyFont="1" applyFill="1" applyBorder="1" applyAlignment="1">
      <alignment horizontal="right" vertical="center"/>
    </xf>
    <xf numFmtId="41" fontId="4" fillId="2" borderId="0" xfId="7" applyNumberFormat="1" applyFont="1" applyFill="1" applyBorder="1" applyAlignment="1">
      <alignment horizontal="right" vertical="center"/>
    </xf>
    <xf numFmtId="168" fontId="9" fillId="2" borderId="4" xfId="2" quotePrefix="1" applyNumberFormat="1" applyFont="1" applyFill="1" applyBorder="1" applyAlignment="1">
      <alignment horizontal="right"/>
    </xf>
    <xf numFmtId="0" fontId="0" fillId="4" borderId="0" xfId="0" applyFill="1" applyAlignment="1">
      <alignment horizontal="right"/>
    </xf>
    <xf numFmtId="41" fontId="4" fillId="2" borderId="0" xfId="6" applyNumberFormat="1" applyFont="1" applyFill="1" applyBorder="1" applyAlignment="1">
      <alignment horizontal="right"/>
    </xf>
    <xf numFmtId="170" fontId="4" fillId="5" borderId="0" xfId="6" applyNumberFormat="1" applyFont="1" applyFill="1" applyBorder="1" applyAlignment="1">
      <alignment horizontal="right"/>
    </xf>
    <xf numFmtId="170" fontId="4" fillId="2" borderId="0" xfId="6" applyNumberFormat="1" applyFont="1" applyFill="1" applyBorder="1" applyAlignment="1">
      <alignment horizontal="right"/>
    </xf>
    <xf numFmtId="164" fontId="4" fillId="0" borderId="32" xfId="0" applyNumberFormat="1" applyFont="1" applyFill="1" applyBorder="1"/>
    <xf numFmtId="41" fontId="8" fillId="0" borderId="0" xfId="1" applyNumberFormat="1" applyFont="1" applyFill="1" applyBorder="1" applyAlignment="1">
      <alignment horizontal="right"/>
    </xf>
    <xf numFmtId="41" fontId="0" fillId="0" borderId="0" xfId="0" applyNumberFormat="1" applyBorder="1" applyAlignment="1">
      <alignment horizontal="right"/>
    </xf>
    <xf numFmtId="41" fontId="24" fillId="0" borderId="0" xfId="0" applyNumberFormat="1" applyFont="1" applyBorder="1" applyAlignment="1">
      <alignment horizontal="right"/>
    </xf>
    <xf numFmtId="41" fontId="8" fillId="2" borderId="10" xfId="0" applyNumberFormat="1" applyFont="1" applyFill="1" applyBorder="1"/>
    <xf numFmtId="41" fontId="8" fillId="0" borderId="10" xfId="0" applyNumberFormat="1" applyFont="1" applyFill="1" applyBorder="1"/>
    <xf numFmtId="41" fontId="4" fillId="0" borderId="3" xfId="0" applyNumberFormat="1" applyFont="1" applyFill="1" applyBorder="1" applyAlignment="1">
      <alignment horizontal="right"/>
    </xf>
    <xf numFmtId="41" fontId="4" fillId="2" borderId="3" xfId="0" applyNumberFormat="1" applyFont="1" applyFill="1" applyBorder="1" applyAlignment="1">
      <alignment horizontal="right"/>
    </xf>
    <xf numFmtId="41" fontId="8" fillId="0" borderId="13" xfId="0" applyNumberFormat="1" applyFont="1" applyFill="1" applyBorder="1"/>
    <xf numFmtId="41" fontId="10" fillId="2" borderId="0" xfId="0" applyNumberFormat="1" applyFont="1" applyFill="1" applyBorder="1" applyAlignment="1">
      <alignment horizontal="right"/>
    </xf>
    <xf numFmtId="41" fontId="9" fillId="2" borderId="10" xfId="0" applyNumberFormat="1" applyFont="1" applyFill="1" applyBorder="1" applyAlignment="1">
      <alignment horizontal="right"/>
    </xf>
    <xf numFmtId="41" fontId="10" fillId="2" borderId="3" xfId="0" applyNumberFormat="1" applyFont="1" applyFill="1" applyBorder="1" applyAlignment="1">
      <alignment horizontal="right"/>
    </xf>
    <xf numFmtId="41" fontId="9" fillId="2" borderId="13" xfId="0" applyNumberFormat="1" applyFont="1" applyFill="1" applyBorder="1" applyAlignment="1">
      <alignment horizontal="right"/>
    </xf>
    <xf numFmtId="168" fontId="44" fillId="0" borderId="0" xfId="0" applyNumberFormat="1" applyFont="1" applyAlignment="1">
      <alignment horizontal="right"/>
    </xf>
    <xf numFmtId="0" fontId="8" fillId="2" borderId="16" xfId="0" applyFont="1" applyFill="1" applyBorder="1" applyAlignment="1">
      <alignment horizontal="center" wrapText="1"/>
    </xf>
    <xf numFmtId="164" fontId="8" fillId="2" borderId="5" xfId="13" applyNumberFormat="1" applyFont="1" applyFill="1" applyBorder="1" applyAlignment="1">
      <alignment horizontal="center" wrapText="1"/>
    </xf>
    <xf numFmtId="164" fontId="8" fillId="2" borderId="16" xfId="13" applyNumberFormat="1" applyFont="1" applyFill="1" applyBorder="1" applyAlignment="1">
      <alignment horizontal="center" wrapText="1"/>
    </xf>
    <xf numFmtId="0" fontId="24" fillId="0" borderId="1" xfId="0" applyNumberFormat="1" applyFont="1" applyBorder="1" applyAlignment="1">
      <alignment vertical="center" wrapText="1"/>
    </xf>
    <xf numFmtId="0" fontId="24" fillId="0" borderId="1" xfId="0" applyFont="1" applyBorder="1" applyAlignment="1">
      <alignment horizontal="center" vertical="center" wrapText="1"/>
    </xf>
    <xf numFmtId="3" fontId="4" fillId="0" borderId="22" xfId="0" applyNumberFormat="1" applyFont="1" applyFill="1" applyBorder="1" applyAlignment="1">
      <alignment vertical="center"/>
    </xf>
    <xf numFmtId="3" fontId="4" fillId="0" borderId="14" xfId="0" applyNumberFormat="1" applyFont="1" applyFill="1" applyBorder="1" applyAlignment="1">
      <alignment vertical="center"/>
    </xf>
    <xf numFmtId="3" fontId="4" fillId="0" borderId="15" xfId="0" applyNumberFormat="1" applyFont="1" applyFill="1" applyBorder="1" applyAlignment="1">
      <alignment vertical="center"/>
    </xf>
    <xf numFmtId="3" fontId="8" fillId="0" borderId="32" xfId="0" applyNumberFormat="1" applyFont="1" applyFill="1" applyBorder="1" applyAlignment="1">
      <alignment vertical="center"/>
    </xf>
    <xf numFmtId="0" fontId="52" fillId="0" borderId="1" xfId="0" applyNumberFormat="1" applyFont="1" applyBorder="1"/>
    <xf numFmtId="168" fontId="36" fillId="0" borderId="10" xfId="0" quotePrefix="1" applyNumberFormat="1" applyFont="1" applyFill="1" applyBorder="1" applyAlignment="1">
      <alignment horizontal="right"/>
    </xf>
    <xf numFmtId="172" fontId="32" fillId="0" borderId="10" xfId="0" applyNumberFormat="1" applyFont="1" applyFill="1" applyBorder="1"/>
    <xf numFmtId="172" fontId="32" fillId="0" borderId="2" xfId="0" applyNumberFormat="1" applyFont="1" applyFill="1" applyBorder="1"/>
    <xf numFmtId="172" fontId="32" fillId="0" borderId="0" xfId="0" applyNumberFormat="1" applyFont="1" applyFill="1" applyBorder="1"/>
    <xf numFmtId="172" fontId="36" fillId="0" borderId="10" xfId="0" quotePrefix="1" applyNumberFormat="1" applyFont="1" applyFill="1" applyBorder="1" applyAlignment="1">
      <alignment horizontal="right"/>
    </xf>
    <xf numFmtId="172" fontId="36" fillId="0" borderId="0" xfId="0" quotePrefix="1" applyNumberFormat="1" applyFont="1" applyFill="1" applyBorder="1" applyAlignment="1">
      <alignment horizontal="right"/>
    </xf>
    <xf numFmtId="172" fontId="32" fillId="0" borderId="10" xfId="0" applyNumberFormat="1" applyFont="1" applyFill="1" applyBorder="1" applyAlignment="1">
      <alignment horizontal="right"/>
    </xf>
    <xf numFmtId="172" fontId="32" fillId="0" borderId="0" xfId="0" applyNumberFormat="1" applyFont="1" applyFill="1" applyBorder="1" applyAlignment="1">
      <alignment horizontal="right"/>
    </xf>
    <xf numFmtId="169" fontId="0" fillId="0" borderId="0" xfId="0" applyNumberFormat="1" applyFont="1"/>
    <xf numFmtId="169" fontId="0" fillId="0" borderId="17" xfId="0" applyNumberFormat="1" applyFont="1" applyBorder="1"/>
    <xf numFmtId="169" fontId="0" fillId="0" borderId="0" xfId="0" applyNumberFormat="1" applyFont="1" applyAlignment="1">
      <alignment horizontal="right"/>
    </xf>
    <xf numFmtId="0" fontId="15" fillId="0" borderId="0" xfId="19" applyFont="1" applyFill="1" applyBorder="1" applyAlignment="1"/>
    <xf numFmtId="169" fontId="32" fillId="0" borderId="0" xfId="17" applyNumberFormat="1" applyFont="1" applyFill="1" applyBorder="1" applyAlignment="1">
      <alignment horizontal="right"/>
    </xf>
    <xf numFmtId="166" fontId="15" fillId="0" borderId="0" xfId="17" applyNumberFormat="1" applyFont="1" applyFill="1" applyBorder="1" applyAlignment="1">
      <alignment horizontal="right"/>
    </xf>
    <xf numFmtId="169" fontId="32" fillId="0" borderId="10" xfId="17" applyNumberFormat="1" applyFont="1" applyFill="1" applyBorder="1" applyAlignment="1">
      <alignment horizontal="right"/>
    </xf>
    <xf numFmtId="169" fontId="32" fillId="0" borderId="2" xfId="17" applyNumberFormat="1" applyFont="1" applyFill="1" applyBorder="1" applyAlignment="1">
      <alignment horizontal="right"/>
    </xf>
    <xf numFmtId="168" fontId="36" fillId="0" borderId="14" xfId="0" quotePrefix="1" applyNumberFormat="1" applyFont="1" applyFill="1" applyBorder="1" applyAlignment="1">
      <alignment horizontal="right"/>
    </xf>
    <xf numFmtId="175" fontId="32" fillId="0" borderId="10" xfId="17" applyNumberFormat="1" applyFont="1" applyFill="1" applyBorder="1" applyAlignment="1">
      <alignment horizontal="right"/>
    </xf>
    <xf numFmtId="175" fontId="32" fillId="0" borderId="0" xfId="17" applyNumberFormat="1" applyFont="1" applyFill="1" applyBorder="1" applyAlignment="1">
      <alignment horizontal="right"/>
    </xf>
    <xf numFmtId="177" fontId="32" fillId="0" borderId="0" xfId="17" applyNumberFormat="1" applyFont="1" applyFill="1" applyBorder="1" applyAlignment="1">
      <alignment horizontal="right"/>
    </xf>
    <xf numFmtId="0" fontId="15" fillId="0" borderId="0" xfId="0" applyFont="1" applyFill="1" applyBorder="1" applyAlignment="1"/>
    <xf numFmtId="166" fontId="15" fillId="0" borderId="0" xfId="17" applyNumberFormat="1" applyFont="1" applyFill="1" applyBorder="1" applyAlignment="1"/>
    <xf numFmtId="169" fontId="32" fillId="0" borderId="11" xfId="17" applyNumberFormat="1" applyFont="1" applyFill="1" applyBorder="1" applyAlignment="1">
      <alignment horizontal="right"/>
    </xf>
    <xf numFmtId="169" fontId="32" fillId="0" borderId="1" xfId="17" applyNumberFormat="1" applyFont="1" applyFill="1" applyBorder="1" applyAlignment="1">
      <alignment horizontal="right"/>
    </xf>
    <xf numFmtId="175" fontId="32" fillId="0" borderId="1" xfId="17" applyNumberFormat="1" applyFont="1" applyFill="1" applyBorder="1" applyAlignment="1">
      <alignment horizontal="right"/>
    </xf>
    <xf numFmtId="177" fontId="32" fillId="0" borderId="1" xfId="17" applyNumberFormat="1" applyFont="1" applyFill="1" applyBorder="1" applyAlignment="1">
      <alignment horizontal="right"/>
    </xf>
    <xf numFmtId="166" fontId="15" fillId="0" borderId="4" xfId="17" applyNumberFormat="1" applyFont="1" applyFill="1" applyBorder="1" applyAlignment="1">
      <alignment vertical="center"/>
    </xf>
    <xf numFmtId="166" fontId="15" fillId="0" borderId="12" xfId="17" applyNumberFormat="1" applyFont="1" applyFill="1" applyBorder="1" applyAlignment="1">
      <alignment vertical="center"/>
    </xf>
    <xf numFmtId="172" fontId="15" fillId="0" borderId="24" xfId="22" applyNumberFormat="1" applyFont="1" applyFill="1" applyBorder="1" applyAlignment="1">
      <alignment vertical="center"/>
    </xf>
    <xf numFmtId="175" fontId="32" fillId="0" borderId="12" xfId="17" applyNumberFormat="1" applyFont="1" applyFill="1" applyBorder="1" applyAlignment="1">
      <alignment horizontal="right" vertical="center"/>
    </xf>
    <xf numFmtId="175" fontId="32" fillId="0" borderId="4" xfId="17" applyNumberFormat="1" applyFont="1" applyFill="1" applyBorder="1" applyAlignment="1">
      <alignment horizontal="right" vertical="center"/>
    </xf>
    <xf numFmtId="175" fontId="32" fillId="0" borderId="3" xfId="17" applyNumberFormat="1" applyFont="1" applyFill="1" applyBorder="1" applyAlignment="1">
      <alignment horizontal="right"/>
    </xf>
    <xf numFmtId="177" fontId="32" fillId="0" borderId="3" xfId="17" applyNumberFormat="1" applyFont="1" applyFill="1" applyBorder="1" applyAlignment="1">
      <alignment horizontal="right"/>
    </xf>
    <xf numFmtId="0" fontId="15" fillId="0" borderId="3" xfId="0" applyFont="1" applyFill="1" applyBorder="1" applyAlignment="1">
      <alignment horizontal="left" vertical="center"/>
    </xf>
    <xf numFmtId="168" fontId="51" fillId="0" borderId="1" xfId="0" applyNumberFormat="1" applyFont="1" applyBorder="1"/>
    <xf numFmtId="0" fontId="52" fillId="0" borderId="1" xfId="0" applyNumberFormat="1" applyFont="1" applyBorder="1" applyAlignment="1">
      <alignment wrapText="1"/>
    </xf>
    <xf numFmtId="0" fontId="52" fillId="0" borderId="5" xfId="0" applyNumberFormat="1" applyFont="1" applyBorder="1" applyAlignment="1">
      <alignment horizontal="center" wrapText="1"/>
    </xf>
    <xf numFmtId="0" fontId="52" fillId="0" borderId="5" xfId="0" applyFont="1" applyBorder="1" applyAlignment="1">
      <alignment horizontal="center" wrapText="1"/>
    </xf>
    <xf numFmtId="0" fontId="0" fillId="0" borderId="0" xfId="0" applyAlignment="1">
      <alignment horizontal="left"/>
    </xf>
    <xf numFmtId="0" fontId="0" fillId="0" borderId="0" xfId="0" applyAlignment="1">
      <alignment horizontal="left"/>
    </xf>
    <xf numFmtId="0" fontId="0" fillId="0" borderId="0" xfId="0" applyAlignment="1">
      <alignment horizontal="left"/>
    </xf>
    <xf numFmtId="0" fontId="28" fillId="0" borderId="0" xfId="0" applyFont="1" applyFill="1" applyBorder="1" applyAlignment="1">
      <alignment horizontal="left" vertical="center" wrapText="1"/>
    </xf>
    <xf numFmtId="0" fontId="23" fillId="0" borderId="0" xfId="0" applyFont="1" applyAlignment="1">
      <alignment horizontal="left"/>
    </xf>
    <xf numFmtId="0" fontId="28" fillId="0" borderId="0" xfId="0" applyFont="1" applyFill="1" applyBorder="1" applyAlignment="1">
      <alignment horizontal="left" wrapText="1"/>
    </xf>
    <xf numFmtId="0" fontId="0" fillId="0" borderId="0" xfId="0" applyAlignment="1">
      <alignment horizontal="left" vertical="center" wrapText="1"/>
    </xf>
    <xf numFmtId="0" fontId="0" fillId="0" borderId="0" xfId="0" applyAlignment="1">
      <alignment horizontal="left" wrapText="1"/>
    </xf>
    <xf numFmtId="0" fontId="41" fillId="0" borderId="0" xfId="0" applyFont="1" applyFill="1" applyAlignment="1">
      <alignment horizontal="left" vertical="center" wrapText="1"/>
    </xf>
    <xf numFmtId="0" fontId="7" fillId="2" borderId="0" xfId="0" applyFont="1" applyFill="1" applyAlignment="1">
      <alignment horizontal="left" vertical="center" wrapText="1"/>
    </xf>
    <xf numFmtId="0" fontId="32" fillId="0" borderId="0" xfId="0" applyFont="1" applyFill="1" applyBorder="1" applyAlignment="1" applyProtection="1">
      <alignment horizontal="left" wrapText="1"/>
      <protection locked="0"/>
    </xf>
    <xf numFmtId="0" fontId="32" fillId="2" borderId="0" xfId="0" applyFont="1" applyFill="1" applyAlignment="1">
      <alignment horizontal="left" wrapText="1"/>
    </xf>
    <xf numFmtId="0" fontId="24" fillId="0" borderId="18" xfId="0" applyFont="1" applyBorder="1" applyAlignment="1">
      <alignment horizontal="center"/>
    </xf>
    <xf numFmtId="0" fontId="24" fillId="0" borderId="21" xfId="0" applyFont="1" applyBorder="1" applyAlignment="1">
      <alignment horizontal="center"/>
    </xf>
    <xf numFmtId="0" fontId="0" fillId="0" borderId="9" xfId="0" applyFont="1" applyBorder="1" applyAlignment="1">
      <alignment horizontal="center"/>
    </xf>
    <xf numFmtId="0" fontId="0" fillId="0" borderId="5" xfId="0" applyFont="1" applyBorder="1" applyAlignment="1">
      <alignment horizontal="center"/>
    </xf>
    <xf numFmtId="0" fontId="0" fillId="0" borderId="16" xfId="0" applyFont="1" applyBorder="1" applyAlignment="1">
      <alignment horizontal="center"/>
    </xf>
    <xf numFmtId="0" fontId="0" fillId="0" borderId="20" xfId="0" applyBorder="1" applyAlignment="1">
      <alignment horizontal="center"/>
    </xf>
    <xf numFmtId="0" fontId="7" fillId="2" borderId="0" xfId="0" applyFont="1" applyFill="1" applyBorder="1" applyAlignment="1">
      <alignment horizontal="left" vertical="center" wrapText="1"/>
    </xf>
    <xf numFmtId="0" fontId="0" fillId="0" borderId="0" xfId="0" applyFill="1" applyAlignment="1">
      <alignment horizontal="left" wrapText="1"/>
    </xf>
    <xf numFmtId="0" fontId="7" fillId="0" borderId="0" xfId="0" applyFont="1" applyFill="1" applyAlignment="1">
      <alignment horizontal="left" vertical="center" wrapText="1"/>
    </xf>
    <xf numFmtId="0" fontId="32" fillId="0" borderId="0" xfId="0" applyFont="1" applyFill="1" applyBorder="1" applyAlignment="1">
      <alignment horizontal="left" wrapText="1"/>
    </xf>
    <xf numFmtId="0" fontId="9" fillId="0" borderId="1" xfId="0" applyFont="1" applyFill="1" applyBorder="1" applyAlignment="1">
      <alignment horizontal="left" wrapText="1"/>
    </xf>
    <xf numFmtId="0" fontId="0" fillId="0" borderId="0" xfId="0" quotePrefix="1" applyAlignment="1">
      <alignment horizontal="left" wrapText="1"/>
    </xf>
    <xf numFmtId="0" fontId="41" fillId="0" borderId="0" xfId="0" applyFont="1" applyFill="1" applyAlignment="1">
      <alignment horizontal="left" vertical="top" wrapText="1"/>
    </xf>
    <xf numFmtId="0" fontId="33" fillId="0" borderId="0" xfId="0" applyFont="1" applyFill="1" applyAlignment="1">
      <alignment horizontal="left" vertical="center" wrapText="1"/>
    </xf>
    <xf numFmtId="0" fontId="7" fillId="0" borderId="0" xfId="0" applyFont="1" applyFill="1" applyBorder="1" applyAlignment="1">
      <alignment horizontal="left" vertical="center" wrapText="1"/>
    </xf>
    <xf numFmtId="0" fontId="32" fillId="0" borderId="0" xfId="0" applyFont="1" applyFill="1" applyAlignment="1">
      <alignment horizontal="left" vertical="center" wrapText="1"/>
    </xf>
    <xf numFmtId="0" fontId="32" fillId="0" borderId="0" xfId="0" applyFont="1" applyFill="1" applyAlignment="1">
      <alignment horizontal="left" wrapText="1"/>
    </xf>
    <xf numFmtId="0" fontId="0" fillId="0" borderId="0" xfId="0" applyFont="1" applyAlignment="1">
      <alignment horizontal="left" wrapText="1"/>
    </xf>
    <xf numFmtId="0" fontId="8" fillId="0" borderId="20" xfId="0" applyFont="1" applyFill="1" applyBorder="1" applyAlignment="1">
      <alignment horizontal="center" vertical="center" wrapText="1"/>
    </xf>
    <xf numFmtId="0" fontId="8" fillId="0" borderId="20" xfId="7"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7" fillId="0" borderId="0" xfId="0" applyFont="1" applyFill="1" applyAlignment="1">
      <alignment horizontal="left" vertical="center"/>
    </xf>
    <xf numFmtId="0" fontId="8" fillId="0" borderId="9" xfId="7" applyFont="1" applyFill="1" applyBorder="1" applyAlignment="1">
      <alignment horizontal="center" vertical="center" wrapText="1"/>
    </xf>
    <xf numFmtId="0" fontId="8" fillId="0" borderId="16" xfId="7" applyFont="1" applyFill="1" applyBorder="1" applyAlignment="1">
      <alignment horizontal="center" vertical="center" wrapText="1"/>
    </xf>
    <xf numFmtId="0" fontId="7" fillId="2" borderId="0" xfId="0" applyFont="1" applyFill="1" applyAlignment="1">
      <alignment horizontal="left" vertical="top" wrapText="1"/>
    </xf>
    <xf numFmtId="0" fontId="7" fillId="2" borderId="0" xfId="8" applyFont="1" applyFill="1" applyAlignment="1">
      <alignment horizontal="left" vertical="top" wrapText="1"/>
    </xf>
    <xf numFmtId="0" fontId="32" fillId="2" borderId="0" xfId="0" applyFont="1" applyFill="1" applyAlignment="1">
      <alignment horizontal="left" vertical="top" wrapText="1"/>
    </xf>
    <xf numFmtId="0" fontId="32" fillId="2" borderId="0" xfId="0" applyFont="1" applyFill="1" applyAlignment="1">
      <alignment horizontal="left" vertical="center" wrapText="1"/>
    </xf>
    <xf numFmtId="0" fontId="0" fillId="0" borderId="0" xfId="0" applyFont="1" applyFill="1" applyAlignment="1">
      <alignment wrapText="1"/>
    </xf>
    <xf numFmtId="0" fontId="7" fillId="2" borderId="0" xfId="0" applyFont="1" applyFill="1" applyBorder="1" applyAlignment="1">
      <alignment horizontal="left" vertical="center"/>
    </xf>
    <xf numFmtId="0" fontId="8" fillId="2" borderId="20" xfId="0" applyFont="1" applyFill="1" applyBorder="1" applyAlignment="1">
      <alignment horizontal="center" wrapText="1"/>
    </xf>
    <xf numFmtId="0" fontId="8" fillId="0" borderId="20" xfId="0" applyFont="1" applyFill="1" applyBorder="1" applyAlignment="1">
      <alignment horizontal="center" wrapText="1"/>
    </xf>
    <xf numFmtId="0" fontId="0" fillId="2" borderId="0" xfId="0" applyFill="1" applyAlignment="1">
      <alignment horizontal="left" wrapText="1"/>
    </xf>
    <xf numFmtId="0" fontId="7" fillId="2" borderId="0" xfId="0" applyFont="1" applyFill="1" applyBorder="1" applyAlignment="1">
      <alignment horizontal="left" vertical="top" wrapText="1"/>
    </xf>
    <xf numFmtId="0" fontId="0" fillId="0" borderId="0" xfId="0" applyFont="1" applyAlignment="1">
      <alignment horizontal="left" vertical="center" wrapText="1"/>
    </xf>
    <xf numFmtId="0" fontId="7" fillId="0" borderId="0" xfId="11" applyFont="1" applyFill="1" applyBorder="1" applyAlignment="1">
      <alignment horizontal="left" vertical="center" wrapText="1"/>
    </xf>
    <xf numFmtId="164" fontId="8" fillId="0" borderId="0" xfId="13" applyNumberFormat="1" applyFont="1" applyFill="1" applyBorder="1" applyAlignment="1">
      <alignment horizontal="left"/>
    </xf>
    <xf numFmtId="0" fontId="32" fillId="0" borderId="0" xfId="0" applyFont="1" applyFill="1" applyBorder="1" applyAlignment="1">
      <alignment horizontal="left" vertical="center" wrapText="1"/>
    </xf>
    <xf numFmtId="0" fontId="8" fillId="0" borderId="0" xfId="0" applyFont="1" applyFill="1" applyBorder="1" applyAlignment="1">
      <alignment horizontal="left"/>
    </xf>
    <xf numFmtId="0" fontId="7" fillId="0" borderId="0" xfId="0" applyFont="1" applyFill="1" applyAlignment="1">
      <alignment horizontal="left" vertical="top" wrapText="1"/>
    </xf>
    <xf numFmtId="0" fontId="8" fillId="2" borderId="0" xfId="0" applyFont="1" applyFill="1" applyBorder="1" applyAlignment="1">
      <alignment horizontal="left"/>
    </xf>
    <xf numFmtId="0" fontId="9" fillId="2" borderId="0" xfId="0" applyFont="1" applyFill="1" applyBorder="1" applyAlignment="1">
      <alignment horizontal="left" wrapText="1"/>
    </xf>
    <xf numFmtId="0" fontId="0" fillId="0" borderId="1" xfId="0" applyBorder="1" applyAlignment="1">
      <alignment horizontal="center" vertical="center" wrapText="1"/>
    </xf>
    <xf numFmtId="0" fontId="24" fillId="0" borderId="1" xfId="0" applyFont="1" applyBorder="1" applyAlignment="1">
      <alignment horizontal="center" wrapText="1"/>
    </xf>
    <xf numFmtId="0" fontId="21" fillId="0" borderId="1" xfId="0" applyFont="1" applyFill="1" applyBorder="1" applyAlignment="1">
      <alignment horizontal="right" wrapText="1"/>
    </xf>
    <xf numFmtId="0" fontId="32" fillId="2" borderId="0" xfId="0" quotePrefix="1" applyFont="1" applyFill="1" applyAlignment="1">
      <alignment horizontal="left" vertical="top" wrapText="1"/>
    </xf>
    <xf numFmtId="0" fontId="0" fillId="0" borderId="0" xfId="0" applyAlignment="1">
      <alignment horizontal="left"/>
    </xf>
    <xf numFmtId="0" fontId="15" fillId="0" borderId="0" xfId="18" applyFont="1" applyFill="1" applyAlignment="1">
      <alignment horizontal="left" vertical="top" wrapText="1"/>
    </xf>
    <xf numFmtId="0" fontId="8" fillId="0" borderId="1" xfId="0" applyFont="1" applyFill="1" applyBorder="1" applyAlignment="1">
      <alignment horizontal="center" wrapText="1"/>
    </xf>
    <xf numFmtId="0" fontId="8" fillId="0" borderId="1" xfId="4" applyFont="1" applyFill="1" applyBorder="1" applyAlignment="1">
      <alignment horizontal="right"/>
    </xf>
    <xf numFmtId="0" fontId="8" fillId="0" borderId="1" xfId="0" applyFont="1" applyFill="1" applyBorder="1" applyAlignment="1">
      <alignment horizontal="center"/>
    </xf>
    <xf numFmtId="0" fontId="32" fillId="0" borderId="0" xfId="0" applyFont="1" applyFill="1" applyAlignment="1">
      <alignment horizontal="left" vertical="top" wrapText="1"/>
    </xf>
    <xf numFmtId="0" fontId="8" fillId="0" borderId="11" xfId="0" applyFont="1" applyFill="1" applyBorder="1" applyAlignment="1">
      <alignment horizontal="center"/>
    </xf>
  </cellXfs>
  <cellStyles count="23">
    <cellStyle name="Comma" xfId="1" builtinId="3"/>
    <cellStyle name="Comma 2" xfId="21"/>
    <cellStyle name="Comma 2 3" xfId="17"/>
    <cellStyle name="Heading 1 2" xfId="11"/>
    <cellStyle name="Heading 2 2" xfId="14"/>
    <cellStyle name="Hyperlink" xfId="3" builtinId="8"/>
    <cellStyle name="Normal" xfId="0" builtinId="0"/>
    <cellStyle name="Normal 16" xfId="18"/>
    <cellStyle name="Normal 2" xfId="20"/>
    <cellStyle name="Normal 2 2 3" xfId="4"/>
    <cellStyle name="Normal 3 2" xfId="16"/>
    <cellStyle name="Normal 4" xfId="6"/>
    <cellStyle name="Normal_Attacks Scotland" xfId="13"/>
    <cellStyle name="Normal_Ethnicity" xfId="10"/>
    <cellStyle name="Normal_new attacks" xfId="12"/>
    <cellStyle name="Normal_Sheet1" xfId="5"/>
    <cellStyle name="Normal_Sheet2" xfId="7"/>
    <cellStyle name="Normal_Sheet7" xfId="19"/>
    <cellStyle name="Normal_Table 2a" xfId="9"/>
    <cellStyle name="Percent" xfId="2" builtinId="5"/>
    <cellStyle name="Percent 2" xfId="15"/>
    <cellStyle name="Percent 3" xfId="22"/>
    <cellStyle name="Title 2" xfId="8"/>
  </cellStyles>
  <dxfs count="16838">
    <dxf>
      <numFmt numFmtId="0" formatCode="General"/>
    </dxf>
    <dxf>
      <numFmt numFmtId="0" formatCode="General"/>
    </dxf>
    <dxf>
      <numFmt numFmtId="0" formatCode="General"/>
    </dxf>
    <dxf>
      <font>
        <b/>
        <i val="0"/>
        <strike val="0"/>
        <condense val="0"/>
        <extend val="0"/>
        <outline val="0"/>
        <shadow val="0"/>
        <u val="none"/>
        <vertAlign val="baseline"/>
        <sz val="10"/>
        <color auto="1"/>
        <name val="Arial"/>
        <family val="2"/>
        <scheme val="none"/>
      </font>
      <numFmt numFmtId="33" formatCode="_-* #,##0_-;\-* #,##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3" formatCode="_-* #,##0_-;\-* #,##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3" formatCode="_-* #,##0_-;\-* #,##0_-;_-* &quot;-&quot;_-;_-@_-"/>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33" formatCode="_-* #,##0_-;\-* #,##0_-;_-* &quot;-&quot;_-;_-@_-"/>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border>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numFmt numFmtId="0" formatCode="General"/>
    </dxf>
    <dxf>
      <numFmt numFmtId="0" formatCode="General"/>
    </dxf>
    <dxf>
      <numFmt numFmtId="0" formatCode="General"/>
    </dxf>
    <dxf>
      <numFmt numFmtId="33" formatCode="_-* #,##0_-;\-* #,##0_-;_-* &quot;-&quot;_-;_-@_-"/>
    </dxf>
    <dxf>
      <numFmt numFmtId="33" formatCode="_-* #,##0_-;\-* #,##0_-;_-* &quot;-&quot;_-;_-@_-"/>
    </dxf>
    <dxf>
      <numFmt numFmtId="33" formatCode="_-* #,##0_-;\-* #,##0_-;_-* &quot;-&quot;_-;_-@_-"/>
    </dxf>
    <dxf>
      <numFmt numFmtId="33" formatCode="_-* #,##0_-;\-* #,##0_-;_-* &quot;-&quot;_-;_-@_-"/>
      <alignment horizontal="right" vertical="bottom" textRotation="0" wrapText="0" indent="0" justifyLastLine="0" shrinkToFit="0" readingOrder="0"/>
    </dxf>
    <dxf>
      <font>
        <b/>
      </font>
      <numFmt numFmtId="33" formatCode="_-* #,##0_-;\-* #,##0_-;_-* &quot;-&quot;_-;_-@_-"/>
    </dxf>
    <dxf>
      <font>
        <b/>
      </font>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font>
      <border diagonalUp="0" diagonalDown="0">
        <left/>
        <right/>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fill>
        <patternFill patternType="solid">
          <fgColor indexed="64"/>
          <bgColor theme="0" tint="-0.14999847407452621"/>
        </patternFill>
      </fill>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font>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strike val="0"/>
        <outline val="0"/>
        <shadow val="0"/>
        <u val="none"/>
        <vertAlign val="baseline"/>
        <sz val="11"/>
        <color theme="1"/>
        <name val="Arial"/>
        <family val="2"/>
        <scheme val="none"/>
      </font>
      <alignment vertical="bottom" textRotation="0" wrapText="1" indent="0" justifyLastLine="0" shrinkToFit="0" readingOrder="0"/>
    </dxf>
    <dxf>
      <numFmt numFmtId="0" formatCode="General"/>
    </dxf>
    <dxf>
      <numFmt numFmtId="0" formatCode="General"/>
    </dxf>
    <dxf>
      <numFmt numFmtId="0" formatCode="General"/>
    </dxf>
    <dxf>
      <font>
        <b/>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alignment horizontal="general" vertical="bottom" textRotation="0" wrapText="0" indent="0" justifyLastLine="0" shrinkToFit="0" readingOrder="0"/>
    </dxf>
    <dxf>
      <font>
        <b/>
      </font>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dxf>
    <dxf>
      <font>
        <b/>
      </font>
      <numFmt numFmtId="33" formatCode="_-* #,##0_-;\-* #,##0_-;_-* &quot;-&quot;_-;_-@_-"/>
      <alignment horizontal="right" vertical="bottom" textRotation="0" wrapText="0" indent="0" justifyLastLine="0" shrinkToFit="0" readingOrder="0"/>
    </dxf>
    <dxf>
      <numFmt numFmtId="33" formatCode="_-* #,##0_-;\-* #,##0_-;_-* &quot;-&quot;_-;_-@_-"/>
      <alignment horizontal="right" vertical="bottom" textRotation="0" wrapText="0" indent="0" justifyLastLine="0" shrinkToFit="0" readingOrder="0"/>
    </dxf>
    <dxf>
      <numFmt numFmtId="33" formatCode="_-* #,##0_-;\-* #,##0_-;_-* &quot;-&quot;_-;_-@_-"/>
      <alignment horizontal="right" vertical="bottom" textRotation="0" wrapText="0" indent="0" justifyLastLine="0" shrinkToFit="0" readingOrder="0"/>
    </dxf>
    <dxf>
      <numFmt numFmtId="33" formatCode="_-* #,##0_-;\-* #,##0_-;_-* &quot;-&quot;_-;_-@_-"/>
      <alignment horizontal="right" vertical="bottom" textRotation="0" wrapText="0" indent="0" justifyLastLine="0" shrinkToFit="0" readingOrder="0"/>
    </dxf>
    <dxf>
      <numFmt numFmtId="33" formatCode="_-* #,##0_-;\-* #,##0_-;_-* &quot;-&quot;_-;_-@_-"/>
      <alignment horizontal="right" vertical="bottom" textRotation="0" wrapText="0" indent="0" justifyLastLine="0" shrinkToFit="0" readingOrder="0"/>
    </dxf>
    <dxf>
      <numFmt numFmtId="33" formatCode="_-* #,##0_-;\-* #,##0_-;_-* &quot;-&quot;_-;_-@_-"/>
      <alignment horizontal="right" vertical="bottom" textRotation="0" wrapText="0" indent="0" justifyLastLine="0" shrinkToFit="0" readingOrder="0"/>
    </dxf>
    <dxf>
      <font>
        <b/>
      </font>
      <border diagonalUp="0" diagonalDown="0">
        <left/>
        <right/>
        <top/>
        <bottom style="medium">
          <color indexed="64"/>
        </bottom>
        <vertical/>
        <horizontal/>
      </border>
    </dxf>
    <dxf>
      <border>
        <bottom style="thin">
          <color indexed="64"/>
        </bottom>
      </border>
    </dxf>
    <dxf>
      <font>
        <b/>
        <i val="0"/>
        <strike val="0"/>
        <condense val="0"/>
        <extend val="0"/>
        <outline val="0"/>
        <shadow val="0"/>
        <u val="none"/>
        <vertAlign val="baseline"/>
        <sz val="11"/>
        <color theme="1"/>
        <name val="Calibri"/>
        <family val="2"/>
        <scheme val="minor"/>
      </font>
    </dxf>
    <dxf>
      <font>
        <b/>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alignment horizontal="center" vertical="bottom" textRotation="0" wrapText="1" indent="0" justifyLastLine="0" shrinkToFit="0" readingOrder="0"/>
    </dxf>
    <dxf>
      <font>
        <b/>
      </font>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dxf>
    <dxf>
      <border>
        <bottom style="thin">
          <color indexed="64"/>
        </bottom>
      </border>
    </dxf>
    <dxf>
      <font>
        <b/>
        <i val="0"/>
        <strike val="0"/>
        <condense val="0"/>
        <extend val="0"/>
        <outline val="0"/>
        <shadow val="0"/>
        <u val="none"/>
        <vertAlign val="baseline"/>
        <sz val="11"/>
        <color theme="1"/>
        <name val="Calibri"/>
        <family val="2"/>
        <scheme val="minor"/>
      </font>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0" formatCode="General"/>
    </dxf>
    <dxf>
      <border outline="0">
        <bottom style="thin">
          <color indexed="64"/>
        </bottom>
      </border>
    </dxf>
    <dxf>
      <font>
        <b/>
      </font>
      <alignment vertical="center" textRotation="0" wrapText="1" indent="0" justifyLastLine="0" shrinkToFit="0" readingOrder="0"/>
    </dxf>
    <dxf>
      <font>
        <b/>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dxf>
    <dxf>
      <font>
        <b/>
      </font>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minor"/>
      </font>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alignment horizontal="general" vertical="bottom" textRotation="0" wrapText="1" indent="0" justifyLastLine="0" shrinkToFit="0" readingOrder="0"/>
    </dxf>
    <dxf>
      <font>
        <i/>
      </font>
      <numFmt numFmtId="168" formatCode="0.0%"/>
    </dxf>
    <dxf>
      <font>
        <i/>
      </font>
      <numFmt numFmtId="168" formatCode="0.0%"/>
    </dxf>
    <dxf>
      <font>
        <i/>
      </font>
      <numFmt numFmtId="168" formatCode="0.0%"/>
    </dxf>
    <dxf>
      <font>
        <b/>
      </font>
      <numFmt numFmtId="168" formatCode="0.0%"/>
    </dxf>
    <dxf>
      <numFmt numFmtId="168" formatCode="0.0%"/>
    </dxf>
    <dxf>
      <border>
        <bottom style="thin">
          <color indexed="64"/>
        </bottom>
      </border>
    </dxf>
    <dxf>
      <font>
        <b/>
      </font>
      <alignment horizontal="general" vertical="bottom" textRotation="0" wrapText="1" indent="0" justifyLastLine="0" shrinkToFit="0" readingOrder="0"/>
    </dxf>
    <dxf>
      <numFmt numFmtId="33" formatCode="_-* #,##0_-;\-* #,##0_-;_-* &quot;-&quot;_-;_-@_-"/>
      <border diagonalUp="0" diagonalDown="0">
        <left/>
        <right style="thin">
          <color indexed="64"/>
        </right>
        <top/>
        <bottom/>
        <vertical/>
        <horizontal/>
      </border>
    </dxf>
    <dxf>
      <numFmt numFmtId="33" formatCode="_-* #,##0_-;\-* #,##0_-;_-* &quot;-&quot;_-;_-@_-"/>
    </dxf>
    <dxf>
      <numFmt numFmtId="33" formatCode="_-* #,##0_-;\-* #,##0_-;_-* &quot;-&quot;_-;_-@_-"/>
    </dxf>
    <dxf>
      <font>
        <b/>
      </font>
      <numFmt numFmtId="0" formatCode="General"/>
    </dxf>
    <dxf>
      <border>
        <bottom style="thin">
          <color indexed="64"/>
        </bottom>
      </border>
    </dxf>
    <dxf>
      <numFmt numFmtId="168" formatCode="0.0%"/>
      <border diagonalUp="0" diagonalDown="0">
        <left/>
        <right style="thin">
          <color indexed="64"/>
        </right>
        <top/>
        <bottom/>
        <vertical/>
        <horizontal/>
      </border>
    </dxf>
    <dxf>
      <numFmt numFmtId="3" formatCode="#,##0"/>
      <border diagonalUp="0" diagonalDown="0">
        <left style="thin">
          <color indexed="64"/>
        </left>
        <right/>
        <top/>
        <bottom/>
        <vertical/>
        <horizontal/>
      </border>
    </dxf>
    <dxf>
      <numFmt numFmtId="3" formatCode="#,##0"/>
    </dxf>
    <dxf>
      <numFmt numFmtId="3" formatCode="#,##0"/>
    </dxf>
    <dxf>
      <numFmt numFmtId="3" formatCode="#,##0"/>
    </dxf>
    <dxf>
      <font>
        <b/>
      </font>
      <numFmt numFmtId="0" formatCode="General"/>
    </dxf>
    <dxf>
      <border>
        <bottom style="thin">
          <color indexed="64"/>
        </bottom>
      </border>
    </dxf>
    <dxf>
      <font>
        <b/>
      </font>
    </dxf>
    <dxf>
      <numFmt numFmtId="3" formatCode="#,##0"/>
    </dxf>
    <dxf>
      <numFmt numFmtId="3" formatCode="#,##0"/>
      <alignment horizontal="right" vertical="bottom" textRotation="0" wrapText="0" indent="0" justifyLastLine="0" shrinkToFit="0" readingOrder="0"/>
    </dxf>
    <dxf>
      <numFmt numFmtId="3" formatCode="#,##0"/>
    </dxf>
    <dxf>
      <font>
        <b/>
      </font>
      <numFmt numFmtId="3" formatCode="#,##0"/>
    </dxf>
    <dxf>
      <numFmt numFmtId="3" formatCode="#,##0"/>
    </dxf>
    <dxf>
      <numFmt numFmtId="3" formatCode="#,##0"/>
    </dxf>
    <dxf>
      <font>
        <b/>
      </font>
      <fill>
        <patternFill patternType="solid">
          <fgColor indexed="64"/>
          <bgColor theme="0"/>
        </patternFill>
      </fill>
    </dxf>
    <dxf>
      <border outline="0">
        <bottom style="thin">
          <color indexed="64"/>
        </bottom>
      </border>
    </dxf>
    <dxf>
      <border>
        <bottom style="thin">
          <color indexed="64"/>
        </bottom>
      </border>
    </dxf>
    <dxf>
      <font>
        <b/>
        <strike val="0"/>
        <outline val="0"/>
        <shadow val="0"/>
        <u val="none"/>
        <vertAlign val="baseline"/>
        <sz val="10"/>
        <color theme="1"/>
        <name val="Arial"/>
        <family val="2"/>
        <scheme val="none"/>
      </font>
      <alignment vertical="bottom" textRotation="0" wrapText="0" indent="0" justifyLastLine="0" shrinkToFit="0" readingOrder="0"/>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font>
        <b val="0"/>
      </font>
      <numFmt numFmtId="0" formatCode="General"/>
    </dxf>
    <dxf>
      <border>
        <bottom style="thin">
          <color indexed="64"/>
        </bottom>
      </border>
    </dxf>
    <dxf>
      <font>
        <b/>
      </font>
      <alignment horizontal="right" vertical="bottom" textRotation="0" wrapText="0" indent="0" justifyLastLine="0" shrinkToFit="0" readingOrder="0"/>
    </dxf>
    <dxf>
      <font>
        <b/>
      </font>
      <numFmt numFmtId="33" formatCode="_-* #,##0_-;\-* #,##0_-;_-* &quot;-&quot;_-;_-@_-"/>
      <fill>
        <patternFill patternType="solid">
          <fgColor indexed="64"/>
          <bgColor theme="0"/>
        </patternFill>
      </fill>
      <border diagonalUp="0" diagonalDown="0">
        <left/>
        <right style="thin">
          <color indexed="64"/>
        </right>
        <top/>
        <bottom/>
      </border>
    </dxf>
    <dxf>
      <numFmt numFmtId="33" formatCode="_-* #,##0_-;\-* #,##0_-;_-* &quot;-&quot;_-;_-@_-"/>
      <fill>
        <patternFill patternType="solid">
          <fgColor indexed="64"/>
          <bgColor theme="0"/>
        </patternFill>
      </fill>
      <border diagonalUp="0" diagonalDown="0">
        <left style="thin">
          <color indexed="64"/>
        </left>
        <right/>
        <top/>
        <bottom/>
      </border>
    </dxf>
    <dxf>
      <numFmt numFmtId="33" formatCode="_-* #,##0_-;\-* #,##0_-;_-* &quot;-&quot;_-;_-@_-"/>
      <fill>
        <patternFill patternType="solid">
          <fgColor indexed="64"/>
          <bgColor theme="0"/>
        </patternFill>
      </fill>
      <border diagonalUp="0" diagonalDown="0">
        <left style="thin">
          <color indexed="64"/>
        </left>
        <right style="thin">
          <color indexed="64"/>
        </right>
        <top/>
        <bottom/>
        <vertical/>
        <horizontal/>
      </border>
    </dxf>
    <dxf>
      <numFmt numFmtId="33" formatCode="_-* #,##0_-;\-* #,##0_-;_-* &quot;-&quot;_-;_-@_-"/>
      <fill>
        <patternFill patternType="solid">
          <fgColor indexed="64"/>
          <bgColor theme="0"/>
        </patternFill>
      </fill>
      <border diagonalUp="0" diagonalDown="0">
        <left style="thin">
          <color indexed="64"/>
        </left>
        <right style="thin">
          <color indexed="64"/>
        </right>
        <top/>
        <bottom/>
        <vertical/>
        <horizontal/>
      </border>
    </dxf>
    <dxf>
      <numFmt numFmtId="33" formatCode="_-* #,##0_-;\-* #,##0_-;_-* &quot;-&quot;_-;_-@_-"/>
      <fill>
        <patternFill patternType="solid">
          <fgColor indexed="64"/>
          <bgColor theme="0"/>
        </patternFill>
      </fill>
      <border diagonalUp="0" diagonalDown="0">
        <left/>
        <right style="thin">
          <color indexed="64"/>
        </right>
        <top/>
        <bottom/>
      </border>
    </dxf>
    <dxf>
      <font>
        <b/>
      </font>
      <numFmt numFmtId="164" formatCode="_(* #,##0_);_(* \(#,##0\);_(* &quot;-&quot;_);_(@_)"/>
      <fill>
        <patternFill patternType="solid">
          <fgColor indexed="64"/>
          <bgColor theme="0"/>
        </patternFill>
      </fill>
      <border diagonalUp="0" diagonalDown="0">
        <left style="thin">
          <color indexed="64"/>
        </left>
        <right style="thin">
          <color indexed="64"/>
        </right>
        <top/>
        <bottom/>
        <vertical/>
      </border>
    </dxf>
    <dxf>
      <fill>
        <patternFill patternType="solid">
          <fgColor indexed="64"/>
          <bgColor theme="0"/>
        </patternFill>
      </fill>
    </dxf>
    <dxf>
      <border>
        <bottom style="thin">
          <color indexed="64"/>
        </bottom>
      </border>
    </dxf>
    <dxf>
      <font>
        <b/>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font>
      <numFmt numFmtId="33" formatCode="_-* #,##0_-;\-* #,##0_-;_-* &quot;-&quot;_-;_-@_-"/>
      <fill>
        <patternFill patternType="solid">
          <fgColor indexed="64"/>
          <bgColor theme="0"/>
        </patternFill>
      </fill>
      <border diagonalUp="0" diagonalDown="0">
        <left/>
        <right style="thin">
          <color indexed="64"/>
        </right>
        <vertical/>
      </border>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font>
        <b/>
      </font>
      <fill>
        <patternFill patternType="solid">
          <fgColor indexed="64"/>
          <bgColor theme="0"/>
        </patternFill>
      </fill>
      <border diagonalUp="0" diagonalDown="0">
        <left/>
        <right style="thin">
          <color indexed="64"/>
        </right>
        <vertical/>
      </border>
    </dxf>
    <dxf>
      <fill>
        <patternFill patternType="solid">
          <fgColor indexed="64"/>
          <bgColor theme="0"/>
        </patternFill>
      </fill>
    </dxf>
    <dxf>
      <border>
        <bottom style="thin">
          <color indexed="64"/>
        </bottom>
      </border>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font>
      <numFmt numFmtId="33" formatCode="_-* #,##0_-;\-* #,##0_-;_-* &quot;-&quot;_-;_-@_-"/>
      <fill>
        <patternFill patternType="solid">
          <fgColor indexed="64"/>
          <bgColor theme="0"/>
        </patternFill>
      </fill>
      <border diagonalUp="0" diagonalDown="0">
        <left/>
        <right style="thin">
          <color indexed="64"/>
        </right>
        <vertical/>
      </border>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numFmt numFmtId="33" formatCode="_-* #,##0_-;\-* #,##0_-;_-* &quot;-&quot;_-;_-@_-"/>
      <fill>
        <patternFill patternType="solid">
          <fgColor indexed="64"/>
          <bgColor theme="0"/>
        </patternFill>
      </fill>
    </dxf>
    <dxf>
      <font>
        <b/>
      </font>
      <numFmt numFmtId="33" formatCode="_-* #,##0_-;\-* #,##0_-;_-* &quot;-&quot;_-;_-@_-"/>
      <fill>
        <patternFill patternType="solid">
          <fgColor indexed="64"/>
          <bgColor theme="0"/>
        </patternFill>
      </fill>
      <border diagonalUp="0" diagonalDown="0">
        <left style="thin">
          <color indexed="64"/>
        </left>
        <right style="thin">
          <color indexed="64"/>
        </right>
        <top/>
        <bottom/>
        <vertical/>
        <horizontal/>
      </border>
    </dxf>
    <dxf>
      <numFmt numFmtId="33" formatCode="_-* #,##0_-;\-* #,##0_-;_-* &quot;-&quot;_-;_-@_-"/>
      <fill>
        <patternFill patternType="solid">
          <fgColor indexed="64"/>
          <bgColor theme="0"/>
        </patternFill>
      </fill>
    </dxf>
    <dxf>
      <border>
        <bottom style="thin">
          <color indexed="64"/>
        </bottom>
      </border>
    </dxf>
    <dxf>
      <font>
        <b/>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font>
      <numFmt numFmtId="33" formatCode="_-* #,##0_-;\-* #,##0_-;_-* &quot;-&quot;_-;_-@_-"/>
      <fill>
        <patternFill patternType="solid">
          <fgColor indexed="64"/>
          <bgColor theme="0"/>
        </patternFill>
      </fill>
      <border diagonalUp="0" diagonalDown="0">
        <left/>
        <right style="thin">
          <color indexed="64"/>
        </right>
        <top/>
        <bottom/>
        <vertical/>
        <horizontal/>
      </border>
    </dxf>
    <dxf>
      <numFmt numFmtId="33" formatCode="_-* #,##0_-;\-* #,##0_-;_-* &quot;-&quot;_-;_-@_-"/>
      <fill>
        <patternFill patternType="solid">
          <fgColor indexed="64"/>
          <bgColor theme="0"/>
        </patternFill>
      </fill>
      <border diagonalUp="0" diagonalDown="0" outline="0">
        <left style="thin">
          <color indexed="64"/>
        </left>
        <right/>
        <top/>
        <bottom/>
      </border>
    </dxf>
    <dxf>
      <numFmt numFmtId="33" formatCode="_-* #,##0_-;\-* #,##0_-;_-* &quot;-&quot;_-;_-@_-"/>
      <fill>
        <patternFill patternType="solid">
          <fgColor indexed="64"/>
          <bgColor theme="0"/>
        </patternFill>
      </fill>
      <border diagonalUp="0" diagonalDown="0">
        <left style="thin">
          <color indexed="64"/>
        </left>
        <right style="thin">
          <color indexed="64"/>
        </right>
        <top/>
        <bottom/>
        <vertical/>
        <horizontal/>
      </border>
    </dxf>
    <dxf>
      <numFmt numFmtId="33" formatCode="_-* #,##0_-;\-* #,##0_-;_-* &quot;-&quot;_-;_-@_-"/>
      <fill>
        <patternFill patternType="solid">
          <fgColor indexed="64"/>
          <bgColor theme="0"/>
        </patternFill>
      </fill>
      <border diagonalUp="0" diagonalDown="0">
        <left style="thin">
          <color indexed="64"/>
        </left>
        <right style="thin">
          <color indexed="64"/>
        </right>
        <top/>
        <bottom/>
        <vertical/>
        <horizontal/>
      </border>
    </dxf>
    <dxf>
      <numFmt numFmtId="33" formatCode="_-* #,##0_-;\-* #,##0_-;_-* &quot;-&quot;_-;_-@_-"/>
      <fill>
        <patternFill patternType="solid">
          <fgColor indexed="64"/>
          <bgColor theme="0"/>
        </patternFill>
      </fill>
      <border diagonalUp="0" diagonalDown="0">
        <left/>
        <right style="thin">
          <color indexed="64"/>
        </right>
        <top/>
        <bottom/>
      </border>
    </dxf>
    <dxf>
      <font>
        <b/>
      </font>
      <fill>
        <patternFill patternType="solid">
          <fgColor indexed="64"/>
          <bgColor theme="0"/>
        </patternFill>
      </fill>
      <border diagonalUp="0" diagonalDown="0">
        <left/>
        <right style="thin">
          <color indexed="64"/>
        </right>
        <top/>
        <bottom/>
        <vertical/>
      </border>
    </dxf>
    <dxf>
      <fill>
        <patternFill patternType="solid">
          <fgColor indexed="64"/>
          <bgColor theme="0"/>
        </patternFill>
      </fill>
    </dxf>
    <dxf>
      <border>
        <bottom style="thin">
          <color indexed="64"/>
        </bottom>
      </border>
    </dxf>
    <dxf>
      <font>
        <b/>
        <i val="0"/>
        <strike val="0"/>
        <condense val="0"/>
        <extend val="0"/>
        <outline val="0"/>
        <shadow val="0"/>
        <u val="none"/>
        <vertAlign val="baseline"/>
        <sz val="10"/>
        <color auto="1"/>
        <name val="Arial"/>
        <family val="2"/>
        <scheme val="none"/>
      </font>
      <fill>
        <patternFill patternType="solid">
          <fgColor indexed="64"/>
          <bgColor theme="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font>
      <numFmt numFmtId="168" formatCode="0.0%"/>
    </dxf>
    <dxf>
      <font>
        <b/>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alignment horizontal="general" vertical="bottom" textRotation="0" wrapText="1" indent="0" justifyLastLine="0" shrinkToFit="0" readingOrder="0"/>
    </dxf>
    <dxf>
      <font>
        <b/>
        <i/>
      </font>
      <numFmt numFmtId="168" formatCode="0.0%"/>
    </dxf>
    <dxf>
      <font>
        <b/>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i/>
      </font>
      <numFmt numFmtId="168" formatCode="0.0%"/>
    </dxf>
    <dxf>
      <font>
        <b/>
      </font>
      <numFmt numFmtId="0" formatCode="General"/>
    </dxf>
    <dxf>
      <border>
        <bottom style="thin">
          <color indexed="64"/>
        </bottom>
      </border>
    </dxf>
    <dxf>
      <font>
        <b/>
      </font>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9" formatCode="_-* #,##0_-;\-* #,##0_-;_-* &quot;- &quo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2"/>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_-* #,##0_-;\-* #,##0_-;_-* &quot;- &quot;"/>
      <fill>
        <patternFill patternType="solid">
          <fgColor indexed="64"/>
          <bgColor theme="0" tint="-0.14999847407452621"/>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dxf>
    <dxf>
      <font>
        <b/>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solid">
          <fgColor indexed="64"/>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0" formatCode="General"/>
    </dxf>
    <dxf>
      <numFmt numFmtId="0" formatCode="General"/>
    </dxf>
    <dxf>
      <font>
        <b/>
      </font>
      <numFmt numFmtId="0" formatCode="General"/>
    </dxf>
    <dxf>
      <border>
        <bottom style="thin">
          <color indexed="64"/>
        </bottom>
      </border>
    </dxf>
    <dxf>
      <font>
        <b/>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0" formatCode="General"/>
    </dxf>
    <dxf>
      <numFmt numFmtId="0" formatCode="General"/>
    </dxf>
    <dxf>
      <font>
        <b/>
      </font>
      <numFmt numFmtId="0" formatCode="General"/>
    </dxf>
    <dxf>
      <border>
        <bottom style="thin">
          <color indexed="64"/>
        </bottom>
      </border>
    </dxf>
    <dxf>
      <font>
        <b/>
      </font>
    </dxf>
    <dxf>
      <numFmt numFmtId="0" formatCode="General"/>
    </dxf>
    <dxf>
      <numFmt numFmtId="0" formatCode="General"/>
    </dxf>
    <dxf>
      <numFmt numFmtId="0" formatCode="General"/>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font>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font>
    </dxf>
    <dxf>
      <font>
        <b/>
      </font>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numFmt numFmtId="33" formatCode="_-* #,##0_-;\-* #,##0_-;_-* &quot;-&quot;_-;_-@_-"/>
    </dxf>
    <dxf>
      <font>
        <b/>
      </font>
      <numFmt numFmtId="0" formatCode="General"/>
    </dxf>
    <dxf>
      <border>
        <bottom style="thin">
          <color indexed="64"/>
        </bottom>
      </border>
    </dxf>
    <dxf>
      <font>
        <b/>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colors>
    <mruColors>
      <color rgb="FF86C45C"/>
      <color rgb="FFD06800"/>
      <color rgb="FFEE9F00"/>
      <color rgb="FF74B943"/>
      <color rgb="FF81C1B0"/>
      <color rgb="FF4E7AB0"/>
      <color rgb="FF8486B4"/>
      <color rgb="FF99252E"/>
      <color rgb="FFFFAFF0"/>
      <color rgb="FFCF9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pivotCacheDefinition" Target="pivotCache/pivotCacheDefinition2.xml"/><Relationship Id="rId170" Type="http://schemas.openxmlformats.org/officeDocument/2006/relationships/pivotCacheDefinition" Target="pivotCache/pivotCacheDefinition13.xml"/><Relationship Id="rId191" Type="http://schemas.openxmlformats.org/officeDocument/2006/relationships/pivotCacheDefinition" Target="pivotCache/pivotCacheDefinition34.xml"/><Relationship Id="rId205" Type="http://schemas.microsoft.com/office/2007/relationships/slicerCache" Target="slicerCaches/slicerCache9.xml"/><Relationship Id="rId226" Type="http://schemas.microsoft.com/office/2007/relationships/slicerCache" Target="slicerCaches/slicerCache3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pivotCacheDefinition" Target="pivotCache/pivotCacheDefinition3.xml"/><Relationship Id="rId181" Type="http://schemas.openxmlformats.org/officeDocument/2006/relationships/pivotCacheDefinition" Target="pivotCache/pivotCacheDefinition24.xml"/><Relationship Id="rId216" Type="http://schemas.microsoft.com/office/2007/relationships/slicerCache" Target="slicerCaches/slicerCache20.xml"/><Relationship Id="rId237"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pivotCacheDefinition" Target="pivotCache/pivotCacheDefinition14.xml"/><Relationship Id="rId192" Type="http://schemas.openxmlformats.org/officeDocument/2006/relationships/pivotCacheDefinition" Target="pivotCache/pivotCacheDefinition35.xml"/><Relationship Id="rId206" Type="http://schemas.microsoft.com/office/2007/relationships/slicerCache" Target="slicerCaches/slicerCache10.xml"/><Relationship Id="rId227" Type="http://schemas.microsoft.com/office/2007/relationships/slicerCache" Target="slicerCaches/slicerCache3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ivotCacheDefinition" Target="pivotCache/pivotCacheDefinition4.xml"/><Relationship Id="rId182" Type="http://schemas.openxmlformats.org/officeDocument/2006/relationships/pivotCacheDefinition" Target="pivotCache/pivotCacheDefinition25.xml"/><Relationship Id="rId217" Type="http://schemas.microsoft.com/office/2007/relationships/slicerCache" Target="slicerCaches/slicerCache21.xml"/><Relationship Id="rId6" Type="http://schemas.openxmlformats.org/officeDocument/2006/relationships/worksheet" Target="worksheets/sheet6.xml"/><Relationship Id="rId238" Type="http://schemas.openxmlformats.org/officeDocument/2006/relationships/connections" Target="connections.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pivotCacheDefinition" Target="pivotCache/pivotCacheDefinition15.xml"/><Relationship Id="rId193" Type="http://schemas.openxmlformats.org/officeDocument/2006/relationships/pivotCacheDefinition" Target="pivotCache/pivotCacheDefinition36.xml"/><Relationship Id="rId207" Type="http://schemas.microsoft.com/office/2007/relationships/slicerCache" Target="slicerCaches/slicerCache11.xml"/><Relationship Id="rId228" Type="http://schemas.microsoft.com/office/2007/relationships/slicerCache" Target="slicerCaches/slicerCache32.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pivotCacheDefinition" Target="pivotCache/pivotCacheDefinition5.xml"/><Relationship Id="rId183" Type="http://schemas.openxmlformats.org/officeDocument/2006/relationships/pivotCacheDefinition" Target="pivotCache/pivotCacheDefinition26.xml"/><Relationship Id="rId218" Type="http://schemas.microsoft.com/office/2007/relationships/slicerCache" Target="slicerCaches/slicerCache22.xml"/><Relationship Id="rId239"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pivotCacheDefinition" Target="pivotCache/pivotCacheDefinition16.xml"/><Relationship Id="rId194" Type="http://schemas.openxmlformats.org/officeDocument/2006/relationships/pivotCacheDefinition" Target="pivotCache/pivotCacheDefinition37.xml"/><Relationship Id="rId208" Type="http://schemas.microsoft.com/office/2007/relationships/slicerCache" Target="slicerCaches/slicerCache12.xml"/><Relationship Id="rId229" Type="http://schemas.microsoft.com/office/2007/relationships/slicerCache" Target="slicerCaches/slicerCache33.xml"/><Relationship Id="rId240"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pivotCacheDefinition" Target="pivotCache/pivotCacheDefinition6.xml"/><Relationship Id="rId184" Type="http://schemas.openxmlformats.org/officeDocument/2006/relationships/pivotCacheDefinition" Target="pivotCache/pivotCacheDefinition27.xml"/><Relationship Id="rId219" Type="http://schemas.microsoft.com/office/2007/relationships/slicerCache" Target="slicerCaches/slicerCache23.xml"/><Relationship Id="rId230" Type="http://schemas.microsoft.com/office/2007/relationships/slicerCache" Target="slicerCaches/slicerCache3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pivotCacheDefinition" Target="pivotCache/pivotCacheDefinition17.xml"/><Relationship Id="rId195" Type="http://schemas.openxmlformats.org/officeDocument/2006/relationships/pivotCacheDefinition" Target="pivotCache/pivotCacheDefinition38.xml"/><Relationship Id="rId209" Type="http://schemas.microsoft.com/office/2007/relationships/slicerCache" Target="slicerCaches/slicerCache13.xml"/><Relationship Id="rId220" Type="http://schemas.microsoft.com/office/2007/relationships/slicerCache" Target="slicerCaches/slicerCache24.xml"/><Relationship Id="rId241"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pivotCacheDefinition" Target="pivotCache/pivotCacheDefinition7.xml"/><Relationship Id="rId169" Type="http://schemas.openxmlformats.org/officeDocument/2006/relationships/pivotCacheDefinition" Target="pivotCache/pivotCacheDefinition12.xml"/><Relationship Id="rId185" Type="http://schemas.openxmlformats.org/officeDocument/2006/relationships/pivotCacheDefinition" Target="pivotCache/pivotCacheDefinition2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pivotCacheDefinition" Target="pivotCache/pivotCacheDefinition23.xml"/><Relationship Id="rId210" Type="http://schemas.microsoft.com/office/2007/relationships/slicerCache" Target="slicerCaches/slicerCache14.xml"/><Relationship Id="rId215" Type="http://schemas.microsoft.com/office/2007/relationships/slicerCache" Target="slicerCaches/slicerCache19.xml"/><Relationship Id="rId236" Type="http://schemas.microsoft.com/office/2007/relationships/slicerCache" Target="slicerCaches/slicerCache40.xml"/><Relationship Id="rId26" Type="http://schemas.openxmlformats.org/officeDocument/2006/relationships/worksheet" Target="worksheets/sheet26.xml"/><Relationship Id="rId231" Type="http://schemas.microsoft.com/office/2007/relationships/slicerCache" Target="slicerCaches/slicerCache35.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pivotCacheDefinition" Target="pivotCache/pivotCacheDefinition18.xml"/><Relationship Id="rId196" Type="http://schemas.openxmlformats.org/officeDocument/2006/relationships/pivotCacheDefinition" Target="pivotCache/pivotCacheDefinition39.xml"/><Relationship Id="rId200" Type="http://schemas.microsoft.com/office/2007/relationships/slicerCache" Target="slicerCaches/slicerCache4.xml"/><Relationship Id="rId16" Type="http://schemas.openxmlformats.org/officeDocument/2006/relationships/worksheet" Target="worksheets/sheet16.xml"/><Relationship Id="rId221" Type="http://schemas.microsoft.com/office/2007/relationships/slicerCache" Target="slicerCaches/slicerCache25.xml"/><Relationship Id="rId242" Type="http://schemas.openxmlformats.org/officeDocument/2006/relationships/customXml" Target="../customXml/item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pivotCacheDefinition" Target="pivotCache/pivotCacheDefinition8.xml"/><Relationship Id="rId186" Type="http://schemas.openxmlformats.org/officeDocument/2006/relationships/pivotCacheDefinition" Target="pivotCache/pivotCacheDefinition29.xml"/><Relationship Id="rId211" Type="http://schemas.microsoft.com/office/2007/relationships/slicerCache" Target="slicerCaches/slicerCache15.xml"/><Relationship Id="rId232" Type="http://schemas.microsoft.com/office/2007/relationships/slicerCache" Target="slicerCaches/slicerCache3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pivotCacheDefinition" Target="pivotCache/pivotCacheDefinition19.xml"/><Relationship Id="rId197" Type="http://schemas.microsoft.com/office/2007/relationships/slicerCache" Target="slicerCaches/slicerCache1.xml"/><Relationship Id="rId201" Type="http://schemas.microsoft.com/office/2007/relationships/slicerCache" Target="slicerCaches/slicerCache5.xml"/><Relationship Id="rId222" Type="http://schemas.microsoft.com/office/2007/relationships/slicerCache" Target="slicerCaches/slicerCache26.xml"/><Relationship Id="rId243"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pivotCacheDefinition" Target="pivotCache/pivotCacheDefinition9.xml"/><Relationship Id="rId187" Type="http://schemas.openxmlformats.org/officeDocument/2006/relationships/pivotCacheDefinition" Target="pivotCache/pivotCacheDefinition30.xml"/><Relationship Id="rId1" Type="http://schemas.openxmlformats.org/officeDocument/2006/relationships/worksheet" Target="worksheets/sheet1.xml"/><Relationship Id="rId212" Type="http://schemas.microsoft.com/office/2007/relationships/slicerCache" Target="slicerCaches/slicerCache16.xml"/><Relationship Id="rId233" Type="http://schemas.microsoft.com/office/2007/relationships/slicerCache" Target="slicerCaches/slicerCache3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externalLink" Target="externalLinks/externalLink1.xml"/><Relationship Id="rId177" Type="http://schemas.openxmlformats.org/officeDocument/2006/relationships/pivotCacheDefinition" Target="pivotCache/pivotCacheDefinition20.xml"/><Relationship Id="rId198" Type="http://schemas.microsoft.com/office/2007/relationships/slicerCache" Target="slicerCaches/slicerCache2.xml"/><Relationship Id="rId202" Type="http://schemas.microsoft.com/office/2007/relationships/slicerCache" Target="slicerCaches/slicerCache6.xml"/><Relationship Id="rId223" Type="http://schemas.microsoft.com/office/2007/relationships/slicerCache" Target="slicerCaches/slicerCache27.xml"/><Relationship Id="rId244" Type="http://schemas.openxmlformats.org/officeDocument/2006/relationships/customXml" Target="../customXml/item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pivotCacheDefinition" Target="pivotCache/pivotCacheDefinition10.xml"/><Relationship Id="rId188" Type="http://schemas.openxmlformats.org/officeDocument/2006/relationships/pivotCacheDefinition" Target="pivotCache/pivotCacheDefinition3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microsoft.com/office/2007/relationships/slicerCache" Target="slicerCaches/slicerCache17.xml"/><Relationship Id="rId234" Type="http://schemas.microsoft.com/office/2007/relationships/slicerCache" Target="slicerCaches/slicerCache38.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externalLink" Target="externalLinks/externalLink2.xml"/><Relationship Id="rId178" Type="http://schemas.openxmlformats.org/officeDocument/2006/relationships/pivotCacheDefinition" Target="pivotCache/pivotCacheDefinition2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microsoft.com/office/2007/relationships/slicerCache" Target="slicerCaches/slicerCache3.xml"/><Relationship Id="rId203" Type="http://schemas.microsoft.com/office/2007/relationships/slicerCache" Target="slicerCaches/slicerCache7.xml"/><Relationship Id="rId19" Type="http://schemas.openxmlformats.org/officeDocument/2006/relationships/worksheet" Target="worksheets/sheet19.xml"/><Relationship Id="rId224" Type="http://schemas.microsoft.com/office/2007/relationships/slicerCache" Target="slicerCaches/slicerCache28.xml"/><Relationship Id="rId245" Type="http://schemas.openxmlformats.org/officeDocument/2006/relationships/customXml" Target="../customXml/item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ivotCacheDefinition" Target="pivotCache/pivotCacheDefinition1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pivotCacheDefinition" Target="pivotCache/pivotCacheDefinition32.xml"/><Relationship Id="rId3" Type="http://schemas.openxmlformats.org/officeDocument/2006/relationships/worksheet" Target="worksheets/sheet3.xml"/><Relationship Id="rId214" Type="http://schemas.microsoft.com/office/2007/relationships/slicerCache" Target="slicerCaches/slicerCache18.xml"/><Relationship Id="rId235" Type="http://schemas.microsoft.com/office/2007/relationships/slicerCache" Target="slicerCaches/slicerCache39.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pivotCacheDefinition" Target="pivotCache/pivotCacheDefinition22.xml"/><Relationship Id="rId190" Type="http://schemas.openxmlformats.org/officeDocument/2006/relationships/pivotCacheDefinition" Target="pivotCache/pivotCacheDefinition33.xml"/><Relationship Id="rId204" Type="http://schemas.microsoft.com/office/2007/relationships/slicerCache" Target="slicerCaches/slicerCache8.xml"/><Relationship Id="rId225" Type="http://schemas.microsoft.com/office/2007/relationships/slicerCache" Target="slicerCaches/slicerCache29.xml"/><Relationship Id="rId246" Type="http://schemas.openxmlformats.org/officeDocument/2006/relationships/customXml" Target="../customXml/item5.xml"/><Relationship Id="rId106" Type="http://schemas.openxmlformats.org/officeDocument/2006/relationships/worksheet" Target="worksheets/sheet106.xml"/><Relationship Id="rId127" Type="http://schemas.openxmlformats.org/officeDocument/2006/relationships/worksheet" Target="worksheets/sheet127.xml"/></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8.png"/></Relationships>
</file>

<file path=xl/drawings/_rels/drawing62.xml.rels><?xml version="1.0" encoding="UTF-8" standalone="yes"?>
<Relationships xmlns="http://schemas.openxmlformats.org/package/2006/relationships"><Relationship Id="rId1" Type="http://schemas.openxmlformats.org/officeDocument/2006/relationships/image" Target="../media/image9.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7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9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3.xml.rels><?xml version="1.0" encoding="UTF-8" standalone="yes"?>
<Relationships xmlns="http://schemas.openxmlformats.org/package/2006/relationships"><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2</xdr:col>
      <xdr:colOff>641350</xdr:colOff>
      <xdr:row>3</xdr:row>
      <xdr:rowOff>165101</xdr:rowOff>
    </xdr:from>
    <xdr:to>
      <xdr:col>3</xdr:col>
      <xdr:colOff>3530600</xdr:colOff>
      <xdr:row>6</xdr:row>
      <xdr:rowOff>6350</xdr:rowOff>
    </xdr:to>
    <mc:AlternateContent xmlns:mc="http://schemas.openxmlformats.org/markup-compatibility/2006" xmlns:a14="http://schemas.microsoft.com/office/drawing/2010/main">
      <mc:Choice Requires="a14">
        <xdr:graphicFrame macro="">
          <xdr:nvGraphicFramePr>
            <xdr:cNvPr id="3" name="Year 62">
              <a:extLst>
                <a:ext uri="{FF2B5EF4-FFF2-40B4-BE49-F238E27FC236}">
                  <a16:creationId xmlns:a16="http://schemas.microsoft.com/office/drawing/2014/main" id="{DEE6B69B-D874-4F04-89A1-D43311CA169A}"/>
                </a:ext>
              </a:extLst>
            </xdr:cNvPr>
            <xdr:cNvGraphicFramePr/>
          </xdr:nvGraphicFramePr>
          <xdr:xfrm>
            <a:off x="0" y="0"/>
            <a:ext cx="0" cy="0"/>
          </xdr:xfrm>
          <a:graphic>
            <a:graphicData uri="http://schemas.microsoft.com/office/drawing/2010/slicer">
              <sle:slicer xmlns:sle="http://schemas.microsoft.com/office/drawing/2010/slicer" name="Year 62"/>
            </a:graphicData>
          </a:graphic>
        </xdr:graphicFrame>
      </mc:Choice>
      <mc:Fallback xmlns="">
        <xdr:sp macro="" textlink="">
          <xdr:nvSpPr>
            <xdr:cNvPr id="0" name=""/>
            <xdr:cNvSpPr>
              <a:spLocks noTextEdit="1"/>
            </xdr:cNvSpPr>
          </xdr:nvSpPr>
          <xdr:spPr>
            <a:xfrm>
              <a:off x="3689350" y="742951"/>
              <a:ext cx="3810000" cy="412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431800</xdr:colOff>
      <xdr:row>7</xdr:row>
      <xdr:rowOff>38101</xdr:rowOff>
    </xdr:from>
    <xdr:to>
      <xdr:col>4</xdr:col>
      <xdr:colOff>1435100</xdr:colOff>
      <xdr:row>10</xdr:row>
      <xdr:rowOff>177801</xdr:rowOff>
    </xdr:to>
    <mc:AlternateContent xmlns:mc="http://schemas.openxmlformats.org/markup-compatibility/2006" xmlns:a14="http://schemas.microsoft.com/office/drawing/2010/main">
      <mc:Choice Requires="a14">
        <xdr:graphicFrame macro="">
          <xdr:nvGraphicFramePr>
            <xdr:cNvPr id="2" name="Year 54">
              <a:extLst>
                <a:ext uri="{FF2B5EF4-FFF2-40B4-BE49-F238E27FC236}">
                  <a16:creationId xmlns:a16="http://schemas.microsoft.com/office/drawing/2014/main" id="{D5881F47-47F3-4BC9-87FC-293D095DB497}"/>
                </a:ext>
              </a:extLst>
            </xdr:cNvPr>
            <xdr:cNvGraphicFramePr/>
          </xdr:nvGraphicFramePr>
          <xdr:xfrm>
            <a:off x="0" y="0"/>
            <a:ext cx="0" cy="0"/>
          </xdr:xfrm>
          <a:graphic>
            <a:graphicData uri="http://schemas.microsoft.com/office/drawing/2010/slicer">
              <sle:slicer xmlns:sle="http://schemas.microsoft.com/office/drawing/2010/slicer" name="Year 54"/>
            </a:graphicData>
          </a:graphic>
        </xdr:graphicFrame>
      </mc:Choice>
      <mc:Fallback xmlns="">
        <xdr:sp macro="" textlink="">
          <xdr:nvSpPr>
            <xdr:cNvPr id="0" name=""/>
            <xdr:cNvSpPr>
              <a:spLocks noTextEdit="1"/>
            </xdr:cNvSpPr>
          </xdr:nvSpPr>
          <xdr:spPr>
            <a:xfrm>
              <a:off x="5054600" y="1327151"/>
              <a:ext cx="2997200" cy="692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996950</xdr:colOff>
      <xdr:row>3</xdr:row>
      <xdr:rowOff>184150</xdr:rowOff>
    </xdr:from>
    <xdr:to>
      <xdr:col>5</xdr:col>
      <xdr:colOff>946150</xdr:colOff>
      <xdr:row>6</xdr:row>
      <xdr:rowOff>95250</xdr:rowOff>
    </xdr:to>
    <mc:AlternateContent xmlns:mc="http://schemas.openxmlformats.org/markup-compatibility/2006" xmlns:a14="http://schemas.microsoft.com/office/drawing/2010/main">
      <mc:Choice Requires="a14">
        <xdr:graphicFrame macro="">
          <xdr:nvGraphicFramePr>
            <xdr:cNvPr id="3" name="Year 55">
              <a:extLst>
                <a:ext uri="{FF2B5EF4-FFF2-40B4-BE49-F238E27FC236}">
                  <a16:creationId xmlns:a16="http://schemas.microsoft.com/office/drawing/2014/main" id="{163678AA-D811-4B1F-B09B-84B7EDD49576}"/>
                </a:ext>
              </a:extLst>
            </xdr:cNvPr>
            <xdr:cNvGraphicFramePr/>
          </xdr:nvGraphicFramePr>
          <xdr:xfrm>
            <a:off x="0" y="0"/>
            <a:ext cx="0" cy="0"/>
          </xdr:xfrm>
          <a:graphic>
            <a:graphicData uri="http://schemas.microsoft.com/office/drawing/2010/slicer">
              <sle:slicer xmlns:sle="http://schemas.microsoft.com/office/drawing/2010/slicer" name="Year 55"/>
            </a:graphicData>
          </a:graphic>
        </xdr:graphicFrame>
      </mc:Choice>
      <mc:Fallback xmlns="">
        <xdr:sp macro="" textlink="">
          <xdr:nvSpPr>
            <xdr:cNvPr id="0" name=""/>
            <xdr:cNvSpPr>
              <a:spLocks noTextEdit="1"/>
            </xdr:cNvSpPr>
          </xdr:nvSpPr>
          <xdr:spPr>
            <a:xfrm>
              <a:off x="4241800" y="825500"/>
              <a:ext cx="2997200" cy="476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3676650</xdr:colOff>
      <xdr:row>3</xdr:row>
      <xdr:rowOff>133351</xdr:rowOff>
    </xdr:from>
    <xdr:to>
      <xdr:col>2</xdr:col>
      <xdr:colOff>927100</xdr:colOff>
      <xdr:row>7</xdr:row>
      <xdr:rowOff>133350</xdr:rowOff>
    </xdr:to>
    <mc:AlternateContent xmlns:mc="http://schemas.openxmlformats.org/markup-compatibility/2006" xmlns:a14="http://schemas.microsoft.com/office/drawing/2010/main">
      <mc:Choice Requires="a14">
        <xdr:graphicFrame macro="">
          <xdr:nvGraphicFramePr>
            <xdr:cNvPr id="2" name="Year 25">
              <a:extLst>
                <a:ext uri="{FF2B5EF4-FFF2-40B4-BE49-F238E27FC236}">
                  <a16:creationId xmlns:a16="http://schemas.microsoft.com/office/drawing/2014/main" id="{B78E8EFF-9C9D-4ADC-BAB5-FD3E7AEDFE86}"/>
                </a:ext>
              </a:extLst>
            </xdr:cNvPr>
            <xdr:cNvGraphicFramePr/>
          </xdr:nvGraphicFramePr>
          <xdr:xfrm>
            <a:off x="0" y="0"/>
            <a:ext cx="0" cy="0"/>
          </xdr:xfrm>
          <a:graphic>
            <a:graphicData uri="http://schemas.microsoft.com/office/drawing/2010/slicer">
              <sle:slicer xmlns:sle="http://schemas.microsoft.com/office/drawing/2010/slicer" name="Year 25"/>
            </a:graphicData>
          </a:graphic>
        </xdr:graphicFrame>
      </mc:Choice>
      <mc:Fallback xmlns="">
        <xdr:sp macro="" textlink="">
          <xdr:nvSpPr>
            <xdr:cNvPr id="0" name=""/>
            <xdr:cNvSpPr>
              <a:spLocks noTextEdit="1"/>
            </xdr:cNvSpPr>
          </xdr:nvSpPr>
          <xdr:spPr>
            <a:xfrm>
              <a:off x="3676650" y="685801"/>
              <a:ext cx="3028950" cy="736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215900</xdr:colOff>
      <xdr:row>4</xdr:row>
      <xdr:rowOff>82551</xdr:rowOff>
    </xdr:from>
    <xdr:to>
      <xdr:col>5</xdr:col>
      <xdr:colOff>901700</xdr:colOff>
      <xdr:row>6</xdr:row>
      <xdr:rowOff>139700</xdr:rowOff>
    </xdr:to>
    <mc:AlternateContent xmlns:mc="http://schemas.openxmlformats.org/markup-compatibility/2006" xmlns:a14="http://schemas.microsoft.com/office/drawing/2010/main">
      <mc:Choice Requires="a14">
        <xdr:graphicFrame macro="">
          <xdr:nvGraphicFramePr>
            <xdr:cNvPr id="3" name="Year 26">
              <a:extLst>
                <a:ext uri="{FF2B5EF4-FFF2-40B4-BE49-F238E27FC236}">
                  <a16:creationId xmlns:a16="http://schemas.microsoft.com/office/drawing/2014/main" id="{31E336FB-4C37-4BAE-9AF8-497FCEE5DEFF}"/>
                </a:ext>
              </a:extLst>
            </xdr:cNvPr>
            <xdr:cNvGraphicFramePr/>
          </xdr:nvGraphicFramePr>
          <xdr:xfrm>
            <a:off x="0" y="0"/>
            <a:ext cx="0" cy="0"/>
          </xdr:xfrm>
          <a:graphic>
            <a:graphicData uri="http://schemas.microsoft.com/office/drawing/2010/slicer">
              <sle:slicer xmlns:sle="http://schemas.microsoft.com/office/drawing/2010/slicer" name="Year 26"/>
            </a:graphicData>
          </a:graphic>
        </xdr:graphicFrame>
      </mc:Choice>
      <mc:Fallback xmlns="">
        <xdr:sp macro="" textlink="">
          <xdr:nvSpPr>
            <xdr:cNvPr id="0" name=""/>
            <xdr:cNvSpPr>
              <a:spLocks noTextEdit="1"/>
            </xdr:cNvSpPr>
          </xdr:nvSpPr>
          <xdr:spPr>
            <a:xfrm>
              <a:off x="5568950" y="1066801"/>
              <a:ext cx="3467100" cy="4381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2441575</xdr:colOff>
      <xdr:row>3</xdr:row>
      <xdr:rowOff>355601</xdr:rowOff>
    </xdr:from>
    <xdr:to>
      <xdr:col>3</xdr:col>
      <xdr:colOff>327025</xdr:colOff>
      <xdr:row>5</xdr:row>
      <xdr:rowOff>158750</xdr:rowOff>
    </xdr:to>
    <mc:AlternateContent xmlns:mc="http://schemas.openxmlformats.org/markup-compatibility/2006" xmlns:sle15="http://schemas.microsoft.com/office/drawing/2012/slicer">
      <mc:Choice Requires="sle15">
        <xdr:graphicFrame macro="">
          <xdr:nvGraphicFramePr>
            <xdr:cNvPr id="5" name="Year 67">
              <a:extLst>
                <a:ext uri="{FF2B5EF4-FFF2-40B4-BE49-F238E27FC236}">
                  <a16:creationId xmlns:a16="http://schemas.microsoft.com/office/drawing/2014/main" id="{5CECF8A4-DA2E-474C-B1D0-C0B5334F4CF9}"/>
                </a:ext>
              </a:extLst>
            </xdr:cNvPr>
            <xdr:cNvGraphicFramePr/>
          </xdr:nvGraphicFramePr>
          <xdr:xfrm>
            <a:off x="0" y="0"/>
            <a:ext cx="0" cy="0"/>
          </xdr:xfrm>
          <a:graphic>
            <a:graphicData uri="http://schemas.microsoft.com/office/drawing/2010/slicer">
              <sle:slicer xmlns:sle="http://schemas.microsoft.com/office/drawing/2010/slicer" name="Year 67"/>
            </a:graphicData>
          </a:graphic>
        </xdr:graphicFrame>
      </mc:Choice>
      <mc:Fallback xmlns="">
        <xdr:sp macro="" textlink="">
          <xdr:nvSpPr>
            <xdr:cNvPr id="0" name=""/>
            <xdr:cNvSpPr>
              <a:spLocks noTextEdit="1"/>
            </xdr:cNvSpPr>
          </xdr:nvSpPr>
          <xdr:spPr>
            <a:xfrm>
              <a:off x="3857625" y="1193801"/>
              <a:ext cx="4095750" cy="450849"/>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2473323</xdr:colOff>
      <xdr:row>60</xdr:row>
      <xdr:rowOff>350837</xdr:rowOff>
    </xdr:from>
    <xdr:to>
      <xdr:col>3</xdr:col>
      <xdr:colOff>601662</xdr:colOff>
      <xdr:row>62</xdr:row>
      <xdr:rowOff>228600</xdr:rowOff>
    </xdr:to>
    <mc:AlternateContent xmlns:mc="http://schemas.openxmlformats.org/markup-compatibility/2006" xmlns:sle15="http://schemas.microsoft.com/office/drawing/2012/slicer">
      <mc:Choice Requires="sle15">
        <xdr:graphicFrame macro="">
          <xdr:nvGraphicFramePr>
            <xdr:cNvPr id="3" name="Year 68">
              <a:extLst>
                <a:ext uri="{FF2B5EF4-FFF2-40B4-BE49-F238E27FC236}">
                  <a16:creationId xmlns:a16="http://schemas.microsoft.com/office/drawing/2014/main" id="{5FDE94B5-4A52-47CB-893D-C72BECFB5CD2}"/>
                </a:ext>
              </a:extLst>
            </xdr:cNvPr>
            <xdr:cNvGraphicFramePr/>
          </xdr:nvGraphicFramePr>
          <xdr:xfrm>
            <a:off x="0" y="0"/>
            <a:ext cx="0" cy="0"/>
          </xdr:xfrm>
          <a:graphic>
            <a:graphicData uri="http://schemas.microsoft.com/office/drawing/2010/slicer">
              <sle:slicer xmlns:sle="http://schemas.microsoft.com/office/drawing/2010/slicer" name="Year 68"/>
            </a:graphicData>
          </a:graphic>
        </xdr:graphicFrame>
      </mc:Choice>
      <mc:Fallback xmlns="">
        <xdr:sp macro="" textlink="">
          <xdr:nvSpPr>
            <xdr:cNvPr id="0" name=""/>
            <xdr:cNvSpPr>
              <a:spLocks noTextEdit="1"/>
            </xdr:cNvSpPr>
          </xdr:nvSpPr>
          <xdr:spPr>
            <a:xfrm>
              <a:off x="3889373" y="7062787"/>
              <a:ext cx="4338639" cy="442913"/>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962025</xdr:colOff>
      <xdr:row>7</xdr:row>
      <xdr:rowOff>47626</xdr:rowOff>
    </xdr:from>
    <xdr:to>
      <xdr:col>7</xdr:col>
      <xdr:colOff>69850</xdr:colOff>
      <xdr:row>10</xdr:row>
      <xdr:rowOff>47625</xdr:rowOff>
    </xdr:to>
    <mc:AlternateContent xmlns:mc="http://schemas.openxmlformats.org/markup-compatibility/2006" xmlns:a14="http://schemas.microsoft.com/office/drawing/2010/main">
      <mc:Choice Requires="a14">
        <xdr:graphicFrame macro="">
          <xdr:nvGraphicFramePr>
            <xdr:cNvPr id="2" name="FisYr 22">
              <a:extLst>
                <a:ext uri="{FF2B5EF4-FFF2-40B4-BE49-F238E27FC236}">
                  <a16:creationId xmlns:a16="http://schemas.microsoft.com/office/drawing/2014/main" id="{9A90F664-09B9-4F95-A1F9-8CD7CFC5A329}"/>
                </a:ext>
              </a:extLst>
            </xdr:cNvPr>
            <xdr:cNvGraphicFramePr/>
          </xdr:nvGraphicFramePr>
          <xdr:xfrm>
            <a:off x="0" y="0"/>
            <a:ext cx="0" cy="0"/>
          </xdr:xfrm>
          <a:graphic>
            <a:graphicData uri="http://schemas.microsoft.com/office/drawing/2010/slicer">
              <sle:slicer xmlns:sle="http://schemas.microsoft.com/office/drawing/2010/slicer" name="FisYr 22"/>
            </a:graphicData>
          </a:graphic>
        </xdr:graphicFrame>
      </mc:Choice>
      <mc:Fallback xmlns="">
        <xdr:sp macro="" textlink="">
          <xdr:nvSpPr>
            <xdr:cNvPr id="0" name=""/>
            <xdr:cNvSpPr>
              <a:spLocks noTextEdit="1"/>
            </xdr:cNvSpPr>
          </xdr:nvSpPr>
          <xdr:spPr>
            <a:xfrm>
              <a:off x="4171950" y="1381126"/>
              <a:ext cx="2276475" cy="5714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285750</xdr:colOff>
      <xdr:row>32</xdr:row>
      <xdr:rowOff>0</xdr:rowOff>
    </xdr:from>
    <xdr:to>
      <xdr:col>7</xdr:col>
      <xdr:colOff>596900</xdr:colOff>
      <xdr:row>34</xdr:row>
      <xdr:rowOff>28575</xdr:rowOff>
    </xdr:to>
    <mc:AlternateContent xmlns:mc="http://schemas.openxmlformats.org/markup-compatibility/2006" xmlns:a14="http://schemas.microsoft.com/office/drawing/2010/main">
      <mc:Choice Requires="a14">
        <xdr:graphicFrame macro="">
          <xdr:nvGraphicFramePr>
            <xdr:cNvPr id="3" name="FisYr 24">
              <a:extLst>
                <a:ext uri="{FF2B5EF4-FFF2-40B4-BE49-F238E27FC236}">
                  <a16:creationId xmlns:a16="http://schemas.microsoft.com/office/drawing/2014/main" id="{D913EB26-6D24-4984-924D-2D77F7673B91}"/>
                </a:ext>
              </a:extLst>
            </xdr:cNvPr>
            <xdr:cNvGraphicFramePr/>
          </xdr:nvGraphicFramePr>
          <xdr:xfrm>
            <a:off x="0" y="0"/>
            <a:ext cx="0" cy="0"/>
          </xdr:xfrm>
          <a:graphic>
            <a:graphicData uri="http://schemas.microsoft.com/office/drawing/2010/slicer">
              <sle:slicer xmlns:sle="http://schemas.microsoft.com/office/drawing/2010/slicer" name="FisYr 24"/>
            </a:graphicData>
          </a:graphic>
        </xdr:graphicFrame>
      </mc:Choice>
      <mc:Fallback xmlns="">
        <xdr:sp macro="" textlink="">
          <xdr:nvSpPr>
            <xdr:cNvPr id="0" name=""/>
            <xdr:cNvSpPr>
              <a:spLocks noTextEdit="1"/>
            </xdr:cNvSpPr>
          </xdr:nvSpPr>
          <xdr:spPr>
            <a:xfrm>
              <a:off x="4581525" y="6096000"/>
              <a:ext cx="2438400" cy="4095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1466850</xdr:colOff>
      <xdr:row>11</xdr:row>
      <xdr:rowOff>12701</xdr:rowOff>
    </xdr:from>
    <xdr:to>
      <xdr:col>9</xdr:col>
      <xdr:colOff>438150</xdr:colOff>
      <xdr:row>14</xdr:row>
      <xdr:rowOff>146050</xdr:rowOff>
    </xdr:to>
    <mc:AlternateContent xmlns:mc="http://schemas.openxmlformats.org/markup-compatibility/2006" xmlns:a14="http://schemas.microsoft.com/office/drawing/2010/main">
      <mc:Choice Requires="a14">
        <xdr:graphicFrame macro="">
          <xdr:nvGraphicFramePr>
            <xdr:cNvPr id="2" name="Year 27">
              <a:extLst>
                <a:ext uri="{FF2B5EF4-FFF2-40B4-BE49-F238E27FC236}">
                  <a16:creationId xmlns:a16="http://schemas.microsoft.com/office/drawing/2014/main" id="{0256CCD3-4E2B-42DF-ADE8-6AC2220426F1}"/>
                </a:ext>
              </a:extLst>
            </xdr:cNvPr>
            <xdr:cNvGraphicFramePr/>
          </xdr:nvGraphicFramePr>
          <xdr:xfrm>
            <a:off x="0" y="0"/>
            <a:ext cx="0" cy="0"/>
          </xdr:xfrm>
          <a:graphic>
            <a:graphicData uri="http://schemas.microsoft.com/office/drawing/2010/slicer">
              <sle:slicer xmlns:sle="http://schemas.microsoft.com/office/drawing/2010/slicer" name="Year 27"/>
            </a:graphicData>
          </a:graphic>
        </xdr:graphicFrame>
      </mc:Choice>
      <mc:Fallback xmlns="">
        <xdr:sp macro="" textlink="">
          <xdr:nvSpPr>
            <xdr:cNvPr id="0" name=""/>
            <xdr:cNvSpPr>
              <a:spLocks noTextEdit="1"/>
            </xdr:cNvSpPr>
          </xdr:nvSpPr>
          <xdr:spPr>
            <a:xfrm>
              <a:off x="2330450" y="2038351"/>
              <a:ext cx="6419850" cy="6857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203200</xdr:colOff>
      <xdr:row>3</xdr:row>
      <xdr:rowOff>355601</xdr:rowOff>
    </xdr:from>
    <xdr:to>
      <xdr:col>13</xdr:col>
      <xdr:colOff>190500</xdr:colOff>
      <xdr:row>5</xdr:row>
      <xdr:rowOff>101601</xdr:rowOff>
    </xdr:to>
    <mc:AlternateContent xmlns:mc="http://schemas.openxmlformats.org/markup-compatibility/2006" xmlns:a14="http://schemas.microsoft.com/office/drawing/2010/main">
      <mc:Choice Requires="a14">
        <xdr:graphicFrame macro="">
          <xdr:nvGraphicFramePr>
            <xdr:cNvPr id="3" name="Year 28">
              <a:extLst>
                <a:ext uri="{FF2B5EF4-FFF2-40B4-BE49-F238E27FC236}">
                  <a16:creationId xmlns:a16="http://schemas.microsoft.com/office/drawing/2014/main" id="{218F95D5-927D-4497-8D22-81B7AEEC770E}"/>
                </a:ext>
              </a:extLst>
            </xdr:cNvPr>
            <xdr:cNvGraphicFramePr/>
          </xdr:nvGraphicFramePr>
          <xdr:xfrm>
            <a:off x="0" y="0"/>
            <a:ext cx="0" cy="0"/>
          </xdr:xfrm>
          <a:graphic>
            <a:graphicData uri="http://schemas.microsoft.com/office/drawing/2010/slicer">
              <sle:slicer xmlns:sle="http://schemas.microsoft.com/office/drawing/2010/slicer" name="Year 28"/>
            </a:graphicData>
          </a:graphic>
        </xdr:graphicFrame>
      </mc:Choice>
      <mc:Fallback xmlns="">
        <xdr:sp macro="" textlink="">
          <xdr:nvSpPr>
            <xdr:cNvPr id="0" name=""/>
            <xdr:cNvSpPr>
              <a:spLocks noTextEdit="1"/>
            </xdr:cNvSpPr>
          </xdr:nvSpPr>
          <xdr:spPr>
            <a:xfrm>
              <a:off x="4622800" y="996951"/>
              <a:ext cx="6419850" cy="4127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3524250</xdr:colOff>
      <xdr:row>43</xdr:row>
      <xdr:rowOff>107951</xdr:rowOff>
    </xdr:from>
    <xdr:to>
      <xdr:col>8</xdr:col>
      <xdr:colOff>222250</xdr:colOff>
      <xdr:row>47</xdr:row>
      <xdr:rowOff>127001</xdr:rowOff>
    </xdr:to>
    <mc:AlternateContent xmlns:mc="http://schemas.openxmlformats.org/markup-compatibility/2006" xmlns:a14="http://schemas.microsoft.com/office/drawing/2010/main">
      <mc:Choice Requires="a14">
        <xdr:graphicFrame macro="">
          <xdr:nvGraphicFramePr>
            <xdr:cNvPr id="2" name="Year 65">
              <a:extLst>
                <a:ext uri="{FF2B5EF4-FFF2-40B4-BE49-F238E27FC236}">
                  <a16:creationId xmlns:a16="http://schemas.microsoft.com/office/drawing/2014/main" id="{5FAE4EEF-799A-4EE9-9604-1C8DFD56C18C}"/>
                </a:ext>
              </a:extLst>
            </xdr:cNvPr>
            <xdr:cNvGraphicFramePr/>
          </xdr:nvGraphicFramePr>
          <xdr:xfrm>
            <a:off x="0" y="0"/>
            <a:ext cx="0" cy="0"/>
          </xdr:xfrm>
          <a:graphic>
            <a:graphicData uri="http://schemas.microsoft.com/office/drawing/2010/slicer">
              <sle:slicer xmlns:sle="http://schemas.microsoft.com/office/drawing/2010/slicer" name="Year 65"/>
            </a:graphicData>
          </a:graphic>
        </xdr:graphicFrame>
      </mc:Choice>
      <mc:Fallback xmlns="">
        <xdr:sp macro="" textlink="">
          <xdr:nvSpPr>
            <xdr:cNvPr id="0" name=""/>
            <xdr:cNvSpPr>
              <a:spLocks noTextEdit="1"/>
            </xdr:cNvSpPr>
          </xdr:nvSpPr>
          <xdr:spPr>
            <a:xfrm>
              <a:off x="3524250" y="8026401"/>
              <a:ext cx="6807200" cy="7556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2924175</xdr:colOff>
      <xdr:row>4</xdr:row>
      <xdr:rowOff>101600</xdr:rowOff>
    </xdr:from>
    <xdr:to>
      <xdr:col>7</xdr:col>
      <xdr:colOff>3175</xdr:colOff>
      <xdr:row>6</xdr:row>
      <xdr:rowOff>184150</xdr:rowOff>
    </xdr:to>
    <mc:AlternateContent xmlns:mc="http://schemas.openxmlformats.org/markup-compatibility/2006" xmlns:a14="http://schemas.microsoft.com/office/drawing/2010/main">
      <mc:Choice Requires="a14">
        <xdr:graphicFrame macro="">
          <xdr:nvGraphicFramePr>
            <xdr:cNvPr id="3" name="Year 66">
              <a:extLst>
                <a:ext uri="{FF2B5EF4-FFF2-40B4-BE49-F238E27FC236}">
                  <a16:creationId xmlns:a16="http://schemas.microsoft.com/office/drawing/2014/main" id="{1FD73B9C-5BD1-49B2-94E3-2C0E6FE1CF2C}"/>
                </a:ext>
              </a:extLst>
            </xdr:cNvPr>
            <xdr:cNvGraphicFramePr/>
          </xdr:nvGraphicFramePr>
          <xdr:xfrm>
            <a:off x="0" y="0"/>
            <a:ext cx="0" cy="0"/>
          </xdr:xfrm>
          <a:graphic>
            <a:graphicData uri="http://schemas.microsoft.com/office/drawing/2010/slicer">
              <sle:slicer xmlns:sle="http://schemas.microsoft.com/office/drawing/2010/slicer" name="Year 66"/>
            </a:graphicData>
          </a:graphic>
        </xdr:graphicFrame>
      </mc:Choice>
      <mc:Fallback xmlns="">
        <xdr:sp macro="" textlink="">
          <xdr:nvSpPr>
            <xdr:cNvPr id="0" name=""/>
            <xdr:cNvSpPr>
              <a:spLocks noTextEdit="1"/>
            </xdr:cNvSpPr>
          </xdr:nvSpPr>
          <xdr:spPr>
            <a:xfrm>
              <a:off x="4124325" y="1123950"/>
              <a:ext cx="6807200"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349250</xdr:colOff>
      <xdr:row>12</xdr:row>
      <xdr:rowOff>152401</xdr:rowOff>
    </xdr:from>
    <xdr:to>
      <xdr:col>8</xdr:col>
      <xdr:colOff>152400</xdr:colOff>
      <xdr:row>16</xdr:row>
      <xdr:rowOff>120650</xdr:rowOff>
    </xdr:to>
    <mc:AlternateContent xmlns:mc="http://schemas.openxmlformats.org/markup-compatibility/2006" xmlns:a14="http://schemas.microsoft.com/office/drawing/2010/main">
      <mc:Choice Requires="a14">
        <xdr:graphicFrame macro="">
          <xdr:nvGraphicFramePr>
            <xdr:cNvPr id="4" name="Year">
              <a:extLst>
                <a:ext uri="{FF2B5EF4-FFF2-40B4-BE49-F238E27FC236}">
                  <a16:creationId xmlns:a16="http://schemas.microsoft.com/office/drawing/2014/main" id="{44A33810-57EE-4418-9D61-0FF131A1A12F}"/>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901950" y="2362201"/>
              <a:ext cx="3810000" cy="704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749300</xdr:colOff>
      <xdr:row>11</xdr:row>
      <xdr:rowOff>12701</xdr:rowOff>
    </xdr:from>
    <xdr:to>
      <xdr:col>8</xdr:col>
      <xdr:colOff>273050</xdr:colOff>
      <xdr:row>15</xdr:row>
      <xdr:rowOff>6351</xdr:rowOff>
    </xdr:to>
    <mc:AlternateContent xmlns:mc="http://schemas.openxmlformats.org/markup-compatibility/2006" xmlns:a14="http://schemas.microsoft.com/office/drawing/2010/main">
      <mc:Choice Requires="a14">
        <xdr:graphicFrame macro="">
          <xdr:nvGraphicFramePr>
            <xdr:cNvPr id="2" name="Year 1">
              <a:extLst>
                <a:ext uri="{FF2B5EF4-FFF2-40B4-BE49-F238E27FC236}">
                  <a16:creationId xmlns:a16="http://schemas.microsoft.com/office/drawing/2014/main" id="{662A27CC-4AAF-44D7-BE3F-FE7C3D0D08F7}"/>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3117850" y="2038351"/>
              <a:ext cx="7677150" cy="7302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190500</xdr:colOff>
      <xdr:row>3</xdr:row>
      <xdr:rowOff>101600</xdr:rowOff>
    </xdr:from>
    <xdr:to>
      <xdr:col>12</xdr:col>
      <xdr:colOff>171450</xdr:colOff>
      <xdr:row>4</xdr:row>
      <xdr:rowOff>177800</xdr:rowOff>
    </xdr:to>
    <mc:AlternateContent xmlns:mc="http://schemas.openxmlformats.org/markup-compatibility/2006" xmlns:a14="http://schemas.microsoft.com/office/drawing/2010/main">
      <mc:Choice Requires="a14">
        <xdr:graphicFrame macro="">
          <xdr:nvGraphicFramePr>
            <xdr:cNvPr id="3" name="Year 29">
              <a:extLst>
                <a:ext uri="{FF2B5EF4-FFF2-40B4-BE49-F238E27FC236}">
                  <a16:creationId xmlns:a16="http://schemas.microsoft.com/office/drawing/2014/main" id="{87616990-656F-4BE7-9FCB-436389F5B6E1}"/>
                </a:ext>
              </a:extLst>
            </xdr:cNvPr>
            <xdr:cNvGraphicFramePr/>
          </xdr:nvGraphicFramePr>
          <xdr:xfrm>
            <a:off x="0" y="0"/>
            <a:ext cx="0" cy="0"/>
          </xdr:xfrm>
          <a:graphic>
            <a:graphicData uri="http://schemas.microsoft.com/office/drawing/2010/slicer">
              <sle:slicer xmlns:sle="http://schemas.microsoft.com/office/drawing/2010/slicer" name="Year 29"/>
            </a:graphicData>
          </a:graphic>
        </xdr:graphicFrame>
      </mc:Choice>
      <mc:Fallback xmlns="">
        <xdr:sp macro="" textlink="">
          <xdr:nvSpPr>
            <xdr:cNvPr id="0" name=""/>
            <xdr:cNvSpPr>
              <a:spLocks noTextEdit="1"/>
            </xdr:cNvSpPr>
          </xdr:nvSpPr>
          <xdr:spPr>
            <a:xfrm>
              <a:off x="3244850" y="742950"/>
              <a:ext cx="7677150"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1454150</xdr:colOff>
      <xdr:row>11</xdr:row>
      <xdr:rowOff>12701</xdr:rowOff>
    </xdr:from>
    <xdr:to>
      <xdr:col>3</xdr:col>
      <xdr:colOff>1060450</xdr:colOff>
      <xdr:row>15</xdr:row>
      <xdr:rowOff>19050</xdr:rowOff>
    </xdr:to>
    <mc:AlternateContent xmlns:mc="http://schemas.openxmlformats.org/markup-compatibility/2006" xmlns:a14="http://schemas.microsoft.com/office/drawing/2010/main">
      <mc:Choice Requires="a14">
        <xdr:graphicFrame macro="">
          <xdr:nvGraphicFramePr>
            <xdr:cNvPr id="2" name="Year 30">
              <a:extLst>
                <a:ext uri="{FF2B5EF4-FFF2-40B4-BE49-F238E27FC236}">
                  <a16:creationId xmlns:a16="http://schemas.microsoft.com/office/drawing/2014/main" id="{D85BBCD5-6AF6-4176-8D1D-F8B66ECCCDA8}"/>
                </a:ext>
              </a:extLst>
            </xdr:cNvPr>
            <xdr:cNvGraphicFramePr/>
          </xdr:nvGraphicFramePr>
          <xdr:xfrm>
            <a:off x="0" y="0"/>
            <a:ext cx="0" cy="0"/>
          </xdr:xfrm>
          <a:graphic>
            <a:graphicData uri="http://schemas.microsoft.com/office/drawing/2010/slicer">
              <sle:slicer xmlns:sle="http://schemas.microsoft.com/office/drawing/2010/slicer" name="Year 30"/>
            </a:graphicData>
          </a:graphic>
        </xdr:graphicFrame>
      </mc:Choice>
      <mc:Fallback xmlns="">
        <xdr:sp macro="" textlink="">
          <xdr:nvSpPr>
            <xdr:cNvPr id="0" name=""/>
            <xdr:cNvSpPr>
              <a:spLocks noTextEdit="1"/>
            </xdr:cNvSpPr>
          </xdr:nvSpPr>
          <xdr:spPr>
            <a:xfrm>
              <a:off x="3117850" y="2038351"/>
              <a:ext cx="2857500" cy="7429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863600</xdr:colOff>
      <xdr:row>5</xdr:row>
      <xdr:rowOff>88901</xdr:rowOff>
    </xdr:from>
    <xdr:to>
      <xdr:col>7</xdr:col>
      <xdr:colOff>241300</xdr:colOff>
      <xdr:row>7</xdr:row>
      <xdr:rowOff>158751</xdr:rowOff>
    </xdr:to>
    <mc:AlternateContent xmlns:mc="http://schemas.openxmlformats.org/markup-compatibility/2006" xmlns:a14="http://schemas.microsoft.com/office/drawing/2010/main">
      <mc:Choice Requires="a14">
        <xdr:graphicFrame macro="">
          <xdr:nvGraphicFramePr>
            <xdr:cNvPr id="3" name="Year 31">
              <a:extLst>
                <a:ext uri="{FF2B5EF4-FFF2-40B4-BE49-F238E27FC236}">
                  <a16:creationId xmlns:a16="http://schemas.microsoft.com/office/drawing/2014/main" id="{8D17241F-0E8A-4607-9CE7-E6997F8EE932}"/>
                </a:ext>
              </a:extLst>
            </xdr:cNvPr>
            <xdr:cNvGraphicFramePr/>
          </xdr:nvGraphicFramePr>
          <xdr:xfrm>
            <a:off x="0" y="0"/>
            <a:ext cx="0" cy="0"/>
          </xdr:xfrm>
          <a:graphic>
            <a:graphicData uri="http://schemas.microsoft.com/office/drawing/2010/slicer">
              <sle:slicer xmlns:sle="http://schemas.microsoft.com/office/drawing/2010/slicer" name="Year 31"/>
            </a:graphicData>
          </a:graphic>
        </xdr:graphicFrame>
      </mc:Choice>
      <mc:Fallback xmlns="">
        <xdr:sp macro="" textlink="">
          <xdr:nvSpPr>
            <xdr:cNvPr id="0" name=""/>
            <xdr:cNvSpPr>
              <a:spLocks noTextEdit="1"/>
            </xdr:cNvSpPr>
          </xdr:nvSpPr>
          <xdr:spPr>
            <a:xfrm>
              <a:off x="4489450" y="1085851"/>
              <a:ext cx="2857500" cy="438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749300</xdr:colOff>
      <xdr:row>11</xdr:row>
      <xdr:rowOff>12701</xdr:rowOff>
    </xdr:from>
    <xdr:to>
      <xdr:col>6</xdr:col>
      <xdr:colOff>812800</xdr:colOff>
      <xdr:row>15</xdr:row>
      <xdr:rowOff>0</xdr:rowOff>
    </xdr:to>
    <mc:AlternateContent xmlns:mc="http://schemas.openxmlformats.org/markup-compatibility/2006" xmlns:a14="http://schemas.microsoft.com/office/drawing/2010/main">
      <mc:Choice Requires="a14">
        <xdr:graphicFrame macro="">
          <xdr:nvGraphicFramePr>
            <xdr:cNvPr id="2" name="Year 32">
              <a:extLst>
                <a:ext uri="{FF2B5EF4-FFF2-40B4-BE49-F238E27FC236}">
                  <a16:creationId xmlns:a16="http://schemas.microsoft.com/office/drawing/2014/main" id="{7E682724-E8CC-4D7F-A806-28589E9F347B}"/>
                </a:ext>
              </a:extLst>
            </xdr:cNvPr>
            <xdr:cNvGraphicFramePr/>
          </xdr:nvGraphicFramePr>
          <xdr:xfrm>
            <a:off x="0" y="0"/>
            <a:ext cx="0" cy="0"/>
          </xdr:xfrm>
          <a:graphic>
            <a:graphicData uri="http://schemas.microsoft.com/office/drawing/2010/slicer">
              <sle:slicer xmlns:sle="http://schemas.microsoft.com/office/drawing/2010/slicer" name="Year 32"/>
            </a:graphicData>
          </a:graphic>
        </xdr:graphicFrame>
      </mc:Choice>
      <mc:Fallback xmlns="">
        <xdr:sp macro="" textlink="">
          <xdr:nvSpPr>
            <xdr:cNvPr id="0" name=""/>
            <xdr:cNvSpPr>
              <a:spLocks noTextEdit="1"/>
            </xdr:cNvSpPr>
          </xdr:nvSpPr>
          <xdr:spPr>
            <a:xfrm>
              <a:off x="3117850" y="2038351"/>
              <a:ext cx="5753100" cy="7238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209550</xdr:colOff>
      <xdr:row>4</xdr:row>
      <xdr:rowOff>38101</xdr:rowOff>
    </xdr:from>
    <xdr:to>
      <xdr:col>11</xdr:col>
      <xdr:colOff>63500</xdr:colOff>
      <xdr:row>6</xdr:row>
      <xdr:rowOff>76201</xdr:rowOff>
    </xdr:to>
    <mc:AlternateContent xmlns:mc="http://schemas.openxmlformats.org/markup-compatibility/2006" xmlns:a14="http://schemas.microsoft.com/office/drawing/2010/main">
      <mc:Choice Requires="a14">
        <xdr:graphicFrame macro="">
          <xdr:nvGraphicFramePr>
            <xdr:cNvPr id="4" name="Year 33">
              <a:extLst>
                <a:ext uri="{FF2B5EF4-FFF2-40B4-BE49-F238E27FC236}">
                  <a16:creationId xmlns:a16="http://schemas.microsoft.com/office/drawing/2014/main" id="{F12ECBC4-4F8A-42DB-AE61-7383098A335B}"/>
                </a:ext>
              </a:extLst>
            </xdr:cNvPr>
            <xdr:cNvGraphicFramePr/>
          </xdr:nvGraphicFramePr>
          <xdr:xfrm>
            <a:off x="0" y="0"/>
            <a:ext cx="0" cy="0"/>
          </xdr:xfrm>
          <a:graphic>
            <a:graphicData uri="http://schemas.microsoft.com/office/drawing/2010/slicer">
              <sle:slicer xmlns:sle="http://schemas.microsoft.com/office/drawing/2010/slicer" name="Year 33"/>
            </a:graphicData>
          </a:graphic>
        </xdr:graphicFrame>
      </mc:Choice>
      <mc:Fallback xmlns="">
        <xdr:sp macro="" textlink="">
          <xdr:nvSpPr>
            <xdr:cNvPr id="0" name=""/>
            <xdr:cNvSpPr>
              <a:spLocks noTextEdit="1"/>
            </xdr:cNvSpPr>
          </xdr:nvSpPr>
          <xdr:spPr>
            <a:xfrm>
              <a:off x="4400550" y="1060451"/>
              <a:ext cx="575310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101600</xdr:colOff>
      <xdr:row>11</xdr:row>
      <xdr:rowOff>12701</xdr:rowOff>
    </xdr:from>
    <xdr:to>
      <xdr:col>5</xdr:col>
      <xdr:colOff>901700</xdr:colOff>
      <xdr:row>15</xdr:row>
      <xdr:rowOff>101601</xdr:rowOff>
    </xdr:to>
    <mc:AlternateContent xmlns:mc="http://schemas.openxmlformats.org/markup-compatibility/2006" xmlns:a14="http://schemas.microsoft.com/office/drawing/2010/main">
      <mc:Choice Requires="a14">
        <xdr:graphicFrame macro="">
          <xdr:nvGraphicFramePr>
            <xdr:cNvPr id="2" name="Year 34">
              <a:extLst>
                <a:ext uri="{FF2B5EF4-FFF2-40B4-BE49-F238E27FC236}">
                  <a16:creationId xmlns:a16="http://schemas.microsoft.com/office/drawing/2014/main" id="{63C52D16-3F82-4935-AF89-A554DD3B899F}"/>
                </a:ext>
              </a:extLst>
            </xdr:cNvPr>
            <xdr:cNvGraphicFramePr/>
          </xdr:nvGraphicFramePr>
          <xdr:xfrm>
            <a:off x="0" y="0"/>
            <a:ext cx="0" cy="0"/>
          </xdr:xfrm>
          <a:graphic>
            <a:graphicData uri="http://schemas.microsoft.com/office/drawing/2010/slicer">
              <sle:slicer xmlns:sle="http://schemas.microsoft.com/office/drawing/2010/slicer" name="Year 34"/>
            </a:graphicData>
          </a:graphic>
        </xdr:graphicFrame>
      </mc:Choice>
      <mc:Fallback xmlns="">
        <xdr:sp macro="" textlink="">
          <xdr:nvSpPr>
            <xdr:cNvPr id="0" name=""/>
            <xdr:cNvSpPr>
              <a:spLocks noTextEdit="1"/>
            </xdr:cNvSpPr>
          </xdr:nvSpPr>
          <xdr:spPr>
            <a:xfrm>
              <a:off x="4165600" y="2038351"/>
              <a:ext cx="6553200" cy="825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3613150</xdr:colOff>
      <xdr:row>3</xdr:row>
      <xdr:rowOff>339725</xdr:rowOff>
    </xdr:from>
    <xdr:to>
      <xdr:col>9</xdr:col>
      <xdr:colOff>190500</xdr:colOff>
      <xdr:row>6</xdr:row>
      <xdr:rowOff>50800</xdr:rowOff>
    </xdr:to>
    <mc:AlternateContent xmlns:mc="http://schemas.openxmlformats.org/markup-compatibility/2006" xmlns:a14="http://schemas.microsoft.com/office/drawing/2010/main">
      <mc:Choice Requires="a14">
        <xdr:graphicFrame macro="">
          <xdr:nvGraphicFramePr>
            <xdr:cNvPr id="3" name="Year 35">
              <a:extLst>
                <a:ext uri="{FF2B5EF4-FFF2-40B4-BE49-F238E27FC236}">
                  <a16:creationId xmlns:a16="http://schemas.microsoft.com/office/drawing/2014/main" id="{6C011A85-534A-465C-84B4-00BB6B6A6909}"/>
                </a:ext>
              </a:extLst>
            </xdr:cNvPr>
            <xdr:cNvGraphicFramePr/>
          </xdr:nvGraphicFramePr>
          <xdr:xfrm>
            <a:off x="0" y="0"/>
            <a:ext cx="0" cy="0"/>
          </xdr:xfrm>
          <a:graphic>
            <a:graphicData uri="http://schemas.microsoft.com/office/drawing/2010/slicer">
              <sle:slicer xmlns:sle="http://schemas.microsoft.com/office/drawing/2010/slicer" name="Year 35"/>
            </a:graphicData>
          </a:graphic>
        </xdr:graphicFrame>
      </mc:Choice>
      <mc:Fallback xmlns="">
        <xdr:sp macro="" textlink="">
          <xdr:nvSpPr>
            <xdr:cNvPr id="0" name=""/>
            <xdr:cNvSpPr>
              <a:spLocks noTextEdit="1"/>
            </xdr:cNvSpPr>
          </xdr:nvSpPr>
          <xdr:spPr>
            <a:xfrm>
              <a:off x="4813300" y="917575"/>
              <a:ext cx="6553200" cy="4794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1206500</xdr:colOff>
      <xdr:row>11</xdr:row>
      <xdr:rowOff>12701</xdr:rowOff>
    </xdr:from>
    <xdr:to>
      <xdr:col>10</xdr:col>
      <xdr:colOff>120650</xdr:colOff>
      <xdr:row>15</xdr:row>
      <xdr:rowOff>31750</xdr:rowOff>
    </xdr:to>
    <mc:AlternateContent xmlns:mc="http://schemas.openxmlformats.org/markup-compatibility/2006" xmlns:a14="http://schemas.microsoft.com/office/drawing/2010/main">
      <mc:Choice Requires="a14">
        <xdr:graphicFrame macro="">
          <xdr:nvGraphicFramePr>
            <xdr:cNvPr id="2" name="Year 36">
              <a:extLst>
                <a:ext uri="{FF2B5EF4-FFF2-40B4-BE49-F238E27FC236}">
                  <a16:creationId xmlns:a16="http://schemas.microsoft.com/office/drawing/2014/main" id="{C525BA9A-F0CE-453E-9CAA-2FF00CFF2782}"/>
                </a:ext>
              </a:extLst>
            </xdr:cNvPr>
            <xdr:cNvGraphicFramePr/>
          </xdr:nvGraphicFramePr>
          <xdr:xfrm>
            <a:off x="0" y="0"/>
            <a:ext cx="0" cy="0"/>
          </xdr:xfrm>
          <a:graphic>
            <a:graphicData uri="http://schemas.microsoft.com/office/drawing/2010/slicer">
              <sle:slicer xmlns:sle="http://schemas.microsoft.com/office/drawing/2010/slicer" name="Year 36"/>
            </a:graphicData>
          </a:graphic>
        </xdr:graphicFrame>
      </mc:Choice>
      <mc:Fallback xmlns="">
        <xdr:sp macro="" textlink="">
          <xdr:nvSpPr>
            <xdr:cNvPr id="0" name=""/>
            <xdr:cNvSpPr>
              <a:spLocks noTextEdit="1"/>
            </xdr:cNvSpPr>
          </xdr:nvSpPr>
          <xdr:spPr>
            <a:xfrm>
              <a:off x="2565400" y="2038351"/>
              <a:ext cx="6477000" cy="7556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177800</xdr:colOff>
      <xdr:row>3</xdr:row>
      <xdr:rowOff>355601</xdr:rowOff>
    </xdr:from>
    <xdr:to>
      <xdr:col>12</xdr:col>
      <xdr:colOff>292100</xdr:colOff>
      <xdr:row>6</xdr:row>
      <xdr:rowOff>50800</xdr:rowOff>
    </xdr:to>
    <mc:AlternateContent xmlns:mc="http://schemas.openxmlformats.org/markup-compatibility/2006" xmlns:a14="http://schemas.microsoft.com/office/drawing/2010/main">
      <mc:Choice Requires="a14">
        <xdr:graphicFrame macro="">
          <xdr:nvGraphicFramePr>
            <xdr:cNvPr id="4" name="Year 37">
              <a:extLst>
                <a:ext uri="{FF2B5EF4-FFF2-40B4-BE49-F238E27FC236}">
                  <a16:creationId xmlns:a16="http://schemas.microsoft.com/office/drawing/2014/main" id="{FB22520B-003E-4F61-833E-DE81C3B263EB}"/>
                </a:ext>
              </a:extLst>
            </xdr:cNvPr>
            <xdr:cNvGraphicFramePr/>
          </xdr:nvGraphicFramePr>
          <xdr:xfrm>
            <a:off x="0" y="0"/>
            <a:ext cx="0" cy="0"/>
          </xdr:xfrm>
          <a:graphic>
            <a:graphicData uri="http://schemas.microsoft.com/office/drawing/2010/slicer">
              <sle:slicer xmlns:sle="http://schemas.microsoft.com/office/drawing/2010/slicer" name="Year 37"/>
            </a:graphicData>
          </a:graphic>
        </xdr:graphicFrame>
      </mc:Choice>
      <mc:Fallback xmlns="">
        <xdr:sp macro="" textlink="">
          <xdr:nvSpPr>
            <xdr:cNvPr id="0" name=""/>
            <xdr:cNvSpPr>
              <a:spLocks noTextEdit="1"/>
            </xdr:cNvSpPr>
          </xdr:nvSpPr>
          <xdr:spPr>
            <a:xfrm>
              <a:off x="4699000" y="996951"/>
              <a:ext cx="6477000" cy="4635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762000</xdr:colOff>
      <xdr:row>3</xdr:row>
      <xdr:rowOff>146050</xdr:rowOff>
    </xdr:from>
    <xdr:to>
      <xdr:col>7</xdr:col>
      <xdr:colOff>88900</xdr:colOff>
      <xdr:row>6</xdr:row>
      <xdr:rowOff>6350</xdr:rowOff>
    </xdr:to>
    <mc:AlternateContent xmlns:mc="http://schemas.openxmlformats.org/markup-compatibility/2006" xmlns:a14="http://schemas.microsoft.com/office/drawing/2010/main">
      <mc:Choice Requires="a14">
        <xdr:graphicFrame macro="">
          <xdr:nvGraphicFramePr>
            <xdr:cNvPr id="4" name="Year 59">
              <a:extLst>
                <a:ext uri="{FF2B5EF4-FFF2-40B4-BE49-F238E27FC236}">
                  <a16:creationId xmlns:a16="http://schemas.microsoft.com/office/drawing/2014/main" id="{7A79FE86-2504-45BC-AC8B-58702A8E4ACF}"/>
                </a:ext>
              </a:extLst>
            </xdr:cNvPr>
            <xdr:cNvGraphicFramePr/>
          </xdr:nvGraphicFramePr>
          <xdr:xfrm>
            <a:off x="0" y="0"/>
            <a:ext cx="0" cy="0"/>
          </xdr:xfrm>
          <a:graphic>
            <a:graphicData uri="http://schemas.microsoft.com/office/drawing/2010/slicer">
              <sle:slicer xmlns:sle="http://schemas.microsoft.com/office/drawing/2010/slicer" name="Year 59"/>
            </a:graphicData>
          </a:graphic>
        </xdr:graphicFrame>
      </mc:Choice>
      <mc:Fallback xmlns="">
        <xdr:sp macro="" textlink="">
          <xdr:nvSpPr>
            <xdr:cNvPr id="0" name=""/>
            <xdr:cNvSpPr>
              <a:spLocks noTextEdit="1"/>
            </xdr:cNvSpPr>
          </xdr:nvSpPr>
          <xdr:spPr>
            <a:xfrm>
              <a:off x="4438650" y="736600"/>
              <a:ext cx="3187700" cy="635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679450</xdr:colOff>
      <xdr:row>6</xdr:row>
      <xdr:rowOff>114301</xdr:rowOff>
    </xdr:from>
    <xdr:to>
      <xdr:col>5</xdr:col>
      <xdr:colOff>419100</xdr:colOff>
      <xdr:row>10</xdr:row>
      <xdr:rowOff>114300</xdr:rowOff>
    </xdr:to>
    <mc:AlternateContent xmlns:mc="http://schemas.openxmlformats.org/markup-compatibility/2006" xmlns:a14="http://schemas.microsoft.com/office/drawing/2010/main">
      <mc:Choice Requires="a14">
        <xdr:graphicFrame macro="">
          <xdr:nvGraphicFramePr>
            <xdr:cNvPr id="2" name="Year 39">
              <a:extLst>
                <a:ext uri="{FF2B5EF4-FFF2-40B4-BE49-F238E27FC236}">
                  <a16:creationId xmlns:a16="http://schemas.microsoft.com/office/drawing/2014/main" id="{2605163B-9A8C-4741-976C-64CD8E01D625}"/>
                </a:ext>
              </a:extLst>
            </xdr:cNvPr>
            <xdr:cNvGraphicFramePr/>
          </xdr:nvGraphicFramePr>
          <xdr:xfrm>
            <a:off x="0" y="0"/>
            <a:ext cx="0" cy="0"/>
          </xdr:xfrm>
          <a:graphic>
            <a:graphicData uri="http://schemas.microsoft.com/office/drawing/2010/slicer">
              <sle:slicer xmlns:sle="http://schemas.microsoft.com/office/drawing/2010/slicer" name="Year 39"/>
            </a:graphicData>
          </a:graphic>
        </xdr:graphicFrame>
      </mc:Choice>
      <mc:Fallback xmlns="">
        <xdr:sp macro="" textlink="">
          <xdr:nvSpPr>
            <xdr:cNvPr id="0" name=""/>
            <xdr:cNvSpPr>
              <a:spLocks noTextEdit="1"/>
            </xdr:cNvSpPr>
          </xdr:nvSpPr>
          <xdr:spPr>
            <a:xfrm>
              <a:off x="679450" y="1219201"/>
              <a:ext cx="6292850" cy="7365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304800</xdr:colOff>
      <xdr:row>12</xdr:row>
      <xdr:rowOff>171451</xdr:rowOff>
    </xdr:from>
    <xdr:to>
      <xdr:col>7</xdr:col>
      <xdr:colOff>114300</xdr:colOff>
      <xdr:row>16</xdr:row>
      <xdr:rowOff>146051</xdr:rowOff>
    </xdr:to>
    <mc:AlternateContent xmlns:mc="http://schemas.openxmlformats.org/markup-compatibility/2006" xmlns:a14="http://schemas.microsoft.com/office/drawing/2010/main">
      <mc:Choice Requires="a14">
        <xdr:graphicFrame macro="">
          <xdr:nvGraphicFramePr>
            <xdr:cNvPr id="2" name="Year 56">
              <a:extLst>
                <a:ext uri="{FF2B5EF4-FFF2-40B4-BE49-F238E27FC236}">
                  <a16:creationId xmlns:a16="http://schemas.microsoft.com/office/drawing/2014/main" id="{3FB36FFD-6EA0-4BA5-9450-F04DD010A6A2}"/>
                </a:ext>
              </a:extLst>
            </xdr:cNvPr>
            <xdr:cNvGraphicFramePr/>
          </xdr:nvGraphicFramePr>
          <xdr:xfrm>
            <a:off x="0" y="0"/>
            <a:ext cx="0" cy="0"/>
          </xdr:xfrm>
          <a:graphic>
            <a:graphicData uri="http://schemas.microsoft.com/office/drawing/2010/slicer">
              <sle:slicer xmlns:sle="http://schemas.microsoft.com/office/drawing/2010/slicer" name="Year 56"/>
            </a:graphicData>
          </a:graphic>
        </xdr:graphicFrame>
      </mc:Choice>
      <mc:Fallback xmlns="">
        <xdr:sp macro="" textlink="">
          <xdr:nvSpPr>
            <xdr:cNvPr id="0" name=""/>
            <xdr:cNvSpPr>
              <a:spLocks noTextEdit="1"/>
            </xdr:cNvSpPr>
          </xdr:nvSpPr>
          <xdr:spPr>
            <a:xfrm>
              <a:off x="2279650" y="2381251"/>
              <a:ext cx="6673850" cy="711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476250</xdr:colOff>
      <xdr:row>4</xdr:row>
      <xdr:rowOff>152401</xdr:rowOff>
    </xdr:from>
    <xdr:to>
      <xdr:col>9</xdr:col>
      <xdr:colOff>330200</xdr:colOff>
      <xdr:row>7</xdr:row>
      <xdr:rowOff>31751</xdr:rowOff>
    </xdr:to>
    <mc:AlternateContent xmlns:mc="http://schemas.openxmlformats.org/markup-compatibility/2006" xmlns:a14="http://schemas.microsoft.com/office/drawing/2010/main">
      <mc:Choice Requires="a14">
        <xdr:graphicFrame macro="">
          <xdr:nvGraphicFramePr>
            <xdr:cNvPr id="4" name="Year 40">
              <a:extLst>
                <a:ext uri="{FF2B5EF4-FFF2-40B4-BE49-F238E27FC236}">
                  <a16:creationId xmlns:a16="http://schemas.microsoft.com/office/drawing/2014/main" id="{44F5729E-358C-429B-946A-6D027799500D}"/>
                </a:ext>
              </a:extLst>
            </xdr:cNvPr>
            <xdr:cNvGraphicFramePr/>
          </xdr:nvGraphicFramePr>
          <xdr:xfrm>
            <a:off x="0" y="0"/>
            <a:ext cx="0" cy="0"/>
          </xdr:xfrm>
          <a:graphic>
            <a:graphicData uri="http://schemas.microsoft.com/office/drawing/2010/slicer">
              <sle:slicer xmlns:sle="http://schemas.microsoft.com/office/drawing/2010/slicer" name="Year 40"/>
            </a:graphicData>
          </a:graphic>
        </xdr:graphicFrame>
      </mc:Choice>
      <mc:Fallback xmlns="">
        <xdr:sp macro="" textlink="">
          <xdr:nvSpPr>
            <xdr:cNvPr id="0" name=""/>
            <xdr:cNvSpPr>
              <a:spLocks noTextEdit="1"/>
            </xdr:cNvSpPr>
          </xdr:nvSpPr>
          <xdr:spPr>
            <a:xfrm>
              <a:off x="4038600" y="1130301"/>
              <a:ext cx="6292850" cy="450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723900</xdr:colOff>
      <xdr:row>18</xdr:row>
      <xdr:rowOff>342900</xdr:rowOff>
    </xdr:from>
    <xdr:to>
      <xdr:col>10</xdr:col>
      <xdr:colOff>107950</xdr:colOff>
      <xdr:row>21</xdr:row>
      <xdr:rowOff>50800</xdr:rowOff>
    </xdr:to>
    <mc:AlternateContent xmlns:mc="http://schemas.openxmlformats.org/markup-compatibility/2006" xmlns:a14="http://schemas.microsoft.com/office/drawing/2010/main">
      <mc:Choice Requires="a14">
        <xdr:graphicFrame macro="">
          <xdr:nvGraphicFramePr>
            <xdr:cNvPr id="5" name="Year 57">
              <a:extLst>
                <a:ext uri="{FF2B5EF4-FFF2-40B4-BE49-F238E27FC236}">
                  <a16:creationId xmlns:a16="http://schemas.microsoft.com/office/drawing/2014/main" id="{1A153471-4BA5-46D6-A558-5A85628F0EFB}"/>
                </a:ext>
              </a:extLst>
            </xdr:cNvPr>
            <xdr:cNvGraphicFramePr/>
          </xdr:nvGraphicFramePr>
          <xdr:xfrm>
            <a:off x="0" y="0"/>
            <a:ext cx="0" cy="0"/>
          </xdr:xfrm>
          <a:graphic>
            <a:graphicData uri="http://schemas.microsoft.com/office/drawing/2010/slicer">
              <sle:slicer xmlns:sle="http://schemas.microsoft.com/office/drawing/2010/slicer" name="Year 57"/>
            </a:graphicData>
          </a:graphic>
        </xdr:graphicFrame>
      </mc:Choice>
      <mc:Fallback xmlns="">
        <xdr:sp macro="" textlink="">
          <xdr:nvSpPr>
            <xdr:cNvPr id="0" name=""/>
            <xdr:cNvSpPr>
              <a:spLocks noTextEdit="1"/>
            </xdr:cNvSpPr>
          </xdr:nvSpPr>
          <xdr:spPr>
            <a:xfrm>
              <a:off x="4286250" y="4578350"/>
              <a:ext cx="6673850" cy="4699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1111250</xdr:colOff>
      <xdr:row>13</xdr:row>
      <xdr:rowOff>101601</xdr:rowOff>
    </xdr:from>
    <xdr:to>
      <xdr:col>10</xdr:col>
      <xdr:colOff>215900</xdr:colOff>
      <xdr:row>17</xdr:row>
      <xdr:rowOff>44451</xdr:rowOff>
    </xdr:to>
    <mc:AlternateContent xmlns:mc="http://schemas.openxmlformats.org/markup-compatibility/2006" xmlns:a14="http://schemas.microsoft.com/office/drawing/2010/main">
      <mc:Choice Requires="a14">
        <xdr:graphicFrame macro="">
          <xdr:nvGraphicFramePr>
            <xdr:cNvPr id="2" name="Year 41">
              <a:extLst>
                <a:ext uri="{FF2B5EF4-FFF2-40B4-BE49-F238E27FC236}">
                  <a16:creationId xmlns:a16="http://schemas.microsoft.com/office/drawing/2014/main" id="{05BCB831-4435-4564-82DB-C66717B843B0}"/>
                </a:ext>
              </a:extLst>
            </xdr:cNvPr>
            <xdr:cNvGraphicFramePr/>
          </xdr:nvGraphicFramePr>
          <xdr:xfrm>
            <a:off x="0" y="0"/>
            <a:ext cx="0" cy="0"/>
          </xdr:xfrm>
          <a:graphic>
            <a:graphicData uri="http://schemas.microsoft.com/office/drawing/2010/slicer">
              <sle:slicer xmlns:sle="http://schemas.microsoft.com/office/drawing/2010/slicer" name="Year 41"/>
            </a:graphicData>
          </a:graphic>
        </xdr:graphicFrame>
      </mc:Choice>
      <mc:Fallback xmlns="">
        <xdr:sp macro="" textlink="">
          <xdr:nvSpPr>
            <xdr:cNvPr id="0" name=""/>
            <xdr:cNvSpPr>
              <a:spLocks noTextEdit="1"/>
            </xdr:cNvSpPr>
          </xdr:nvSpPr>
          <xdr:spPr>
            <a:xfrm>
              <a:off x="2806700" y="2495551"/>
              <a:ext cx="6667500" cy="6794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857250</xdr:colOff>
      <xdr:row>3</xdr:row>
      <xdr:rowOff>412750</xdr:rowOff>
    </xdr:from>
    <xdr:to>
      <xdr:col>12</xdr:col>
      <xdr:colOff>425450</xdr:colOff>
      <xdr:row>6</xdr:row>
      <xdr:rowOff>19050</xdr:rowOff>
    </xdr:to>
    <mc:AlternateContent xmlns:mc="http://schemas.openxmlformats.org/markup-compatibility/2006" xmlns:a14="http://schemas.microsoft.com/office/drawing/2010/main">
      <mc:Choice Requires="a14">
        <xdr:graphicFrame macro="">
          <xdr:nvGraphicFramePr>
            <xdr:cNvPr id="3" name="Year 42">
              <a:extLst>
                <a:ext uri="{FF2B5EF4-FFF2-40B4-BE49-F238E27FC236}">
                  <a16:creationId xmlns:a16="http://schemas.microsoft.com/office/drawing/2014/main" id="{27CCB72C-27C0-4CB6-A822-45486704ADAF}"/>
                </a:ext>
              </a:extLst>
            </xdr:cNvPr>
            <xdr:cNvGraphicFramePr/>
          </xdr:nvGraphicFramePr>
          <xdr:xfrm>
            <a:off x="0" y="0"/>
            <a:ext cx="0" cy="0"/>
          </xdr:xfrm>
          <a:graphic>
            <a:graphicData uri="http://schemas.microsoft.com/office/drawing/2010/slicer">
              <sle:slicer xmlns:sle="http://schemas.microsoft.com/office/drawing/2010/slicer" name="Year 42"/>
            </a:graphicData>
          </a:graphic>
        </xdr:graphicFrame>
      </mc:Choice>
      <mc:Fallback xmlns="">
        <xdr:sp macro="" textlink="">
          <xdr:nvSpPr>
            <xdr:cNvPr id="0" name=""/>
            <xdr:cNvSpPr>
              <a:spLocks noTextEdit="1"/>
            </xdr:cNvSpPr>
          </xdr:nvSpPr>
          <xdr:spPr>
            <a:xfrm>
              <a:off x="4064000" y="1003300"/>
              <a:ext cx="6667500"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2470150</xdr:colOff>
      <xdr:row>27</xdr:row>
      <xdr:rowOff>69851</xdr:rowOff>
    </xdr:from>
    <xdr:to>
      <xdr:col>3</xdr:col>
      <xdr:colOff>1206500</xdr:colOff>
      <xdr:row>31</xdr:row>
      <xdr:rowOff>165101</xdr:rowOff>
    </xdr:to>
    <mc:AlternateContent xmlns:mc="http://schemas.openxmlformats.org/markup-compatibility/2006" xmlns:a14="http://schemas.microsoft.com/office/drawing/2010/main">
      <mc:Choice Requires="a14">
        <xdr:graphicFrame macro="">
          <xdr:nvGraphicFramePr>
            <xdr:cNvPr id="2" name="Year 43">
              <a:extLst>
                <a:ext uri="{FF2B5EF4-FFF2-40B4-BE49-F238E27FC236}">
                  <a16:creationId xmlns:a16="http://schemas.microsoft.com/office/drawing/2014/main" id="{35B9EABD-28CD-4999-A927-A3E4AC833B77}"/>
                </a:ext>
              </a:extLst>
            </xdr:cNvPr>
            <xdr:cNvGraphicFramePr/>
          </xdr:nvGraphicFramePr>
          <xdr:xfrm>
            <a:off x="0" y="0"/>
            <a:ext cx="0" cy="0"/>
          </xdr:xfrm>
          <a:graphic>
            <a:graphicData uri="http://schemas.microsoft.com/office/drawing/2010/slicer">
              <sle:slicer xmlns:sle="http://schemas.microsoft.com/office/drawing/2010/slicer" name="Year 43"/>
            </a:graphicData>
          </a:graphic>
        </xdr:graphicFrame>
      </mc:Choice>
      <mc:Fallback xmlns="">
        <xdr:sp macro="" textlink="">
          <xdr:nvSpPr>
            <xdr:cNvPr id="0" name=""/>
            <xdr:cNvSpPr>
              <a:spLocks noTextEdit="1"/>
            </xdr:cNvSpPr>
          </xdr:nvSpPr>
          <xdr:spPr>
            <a:xfrm>
              <a:off x="2470150" y="5041901"/>
              <a:ext cx="5638800" cy="831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76200</xdr:colOff>
      <xdr:row>4</xdr:row>
      <xdr:rowOff>25400</xdr:rowOff>
    </xdr:from>
    <xdr:to>
      <xdr:col>8</xdr:col>
      <xdr:colOff>685800</xdr:colOff>
      <xdr:row>6</xdr:row>
      <xdr:rowOff>107950</xdr:rowOff>
    </xdr:to>
    <mc:AlternateContent xmlns:mc="http://schemas.openxmlformats.org/markup-compatibility/2006" xmlns:a14="http://schemas.microsoft.com/office/drawing/2010/main">
      <mc:Choice Requires="a14">
        <xdr:graphicFrame macro="">
          <xdr:nvGraphicFramePr>
            <xdr:cNvPr id="4" name="Year 45">
              <a:extLst>
                <a:ext uri="{FF2B5EF4-FFF2-40B4-BE49-F238E27FC236}">
                  <a16:creationId xmlns:a16="http://schemas.microsoft.com/office/drawing/2014/main" id="{AE3A807D-DEBA-4175-883D-CEE7052EDF0A}"/>
                </a:ext>
              </a:extLst>
            </xdr:cNvPr>
            <xdr:cNvGraphicFramePr/>
          </xdr:nvGraphicFramePr>
          <xdr:xfrm>
            <a:off x="0" y="0"/>
            <a:ext cx="0" cy="0"/>
          </xdr:xfrm>
          <a:graphic>
            <a:graphicData uri="http://schemas.microsoft.com/office/drawing/2010/slicer">
              <sle:slicer xmlns:sle="http://schemas.microsoft.com/office/drawing/2010/slicer" name="Year 45"/>
            </a:graphicData>
          </a:graphic>
        </xdr:graphicFrame>
      </mc:Choice>
      <mc:Fallback xmlns="">
        <xdr:sp macro="" textlink="">
          <xdr:nvSpPr>
            <xdr:cNvPr id="0" name=""/>
            <xdr:cNvSpPr>
              <a:spLocks noTextEdit="1"/>
            </xdr:cNvSpPr>
          </xdr:nvSpPr>
          <xdr:spPr>
            <a:xfrm>
              <a:off x="5327650" y="1092200"/>
              <a:ext cx="5638800"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279400</xdr:colOff>
      <xdr:row>0</xdr:row>
      <xdr:rowOff>0</xdr:rowOff>
    </xdr:from>
    <xdr:to>
      <xdr:col>15</xdr:col>
      <xdr:colOff>533400</xdr:colOff>
      <xdr:row>3</xdr:row>
      <xdr:rowOff>126999</xdr:rowOff>
    </xdr:to>
    <mc:AlternateContent xmlns:mc="http://schemas.openxmlformats.org/markup-compatibility/2006" xmlns:a14="http://schemas.microsoft.com/office/drawing/2010/main">
      <mc:Choice Requires="a14">
        <xdr:graphicFrame macro="">
          <xdr:nvGraphicFramePr>
            <xdr:cNvPr id="2" name="Year 46">
              <a:extLst>
                <a:ext uri="{FF2B5EF4-FFF2-40B4-BE49-F238E27FC236}">
                  <a16:creationId xmlns:a16="http://schemas.microsoft.com/office/drawing/2014/main" id="{199B7E4A-6B40-4DDB-BB0F-A2FF475E539F}"/>
                </a:ext>
              </a:extLst>
            </xdr:cNvPr>
            <xdr:cNvGraphicFramePr/>
          </xdr:nvGraphicFramePr>
          <xdr:xfrm>
            <a:off x="0" y="0"/>
            <a:ext cx="0" cy="0"/>
          </xdr:xfrm>
          <a:graphic>
            <a:graphicData uri="http://schemas.microsoft.com/office/drawing/2010/slicer">
              <sle:slicer xmlns:sle="http://schemas.microsoft.com/office/drawing/2010/slicer" name="Year 46"/>
            </a:graphicData>
          </a:graphic>
        </xdr:graphicFrame>
      </mc:Choice>
      <mc:Fallback xmlns="">
        <xdr:sp macro="" textlink="">
          <xdr:nvSpPr>
            <xdr:cNvPr id="0" name=""/>
            <xdr:cNvSpPr>
              <a:spLocks noTextEdit="1"/>
            </xdr:cNvSpPr>
          </xdr:nvSpPr>
          <xdr:spPr>
            <a:xfrm>
              <a:off x="6489700" y="0"/>
              <a:ext cx="6350000" cy="6794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273050</xdr:colOff>
      <xdr:row>3</xdr:row>
      <xdr:rowOff>419100</xdr:rowOff>
    </xdr:from>
    <xdr:to>
      <xdr:col>12</xdr:col>
      <xdr:colOff>533400</xdr:colOff>
      <xdr:row>6</xdr:row>
      <xdr:rowOff>6350</xdr:rowOff>
    </xdr:to>
    <mc:AlternateContent xmlns:mc="http://schemas.openxmlformats.org/markup-compatibility/2006" xmlns:a14="http://schemas.microsoft.com/office/drawing/2010/main">
      <mc:Choice Requires="a14">
        <xdr:graphicFrame macro="">
          <xdr:nvGraphicFramePr>
            <xdr:cNvPr id="3" name="Year 47">
              <a:extLst>
                <a:ext uri="{FF2B5EF4-FFF2-40B4-BE49-F238E27FC236}">
                  <a16:creationId xmlns:a16="http://schemas.microsoft.com/office/drawing/2014/main" id="{4F875A4C-D410-4305-9091-25CCAB87BEF7}"/>
                </a:ext>
              </a:extLst>
            </xdr:cNvPr>
            <xdr:cNvGraphicFramePr/>
          </xdr:nvGraphicFramePr>
          <xdr:xfrm>
            <a:off x="0" y="0"/>
            <a:ext cx="0" cy="0"/>
          </xdr:xfrm>
          <a:graphic>
            <a:graphicData uri="http://schemas.microsoft.com/office/drawing/2010/slicer">
              <sle:slicer xmlns:sle="http://schemas.microsoft.com/office/drawing/2010/slicer" name="Year 47"/>
            </a:graphicData>
          </a:graphic>
        </xdr:graphicFrame>
      </mc:Choice>
      <mc:Fallback xmlns="">
        <xdr:sp macro="" textlink="">
          <xdr:nvSpPr>
            <xdr:cNvPr id="0" name=""/>
            <xdr:cNvSpPr>
              <a:spLocks noTextEdit="1"/>
            </xdr:cNvSpPr>
          </xdr:nvSpPr>
          <xdr:spPr>
            <a:xfrm>
              <a:off x="4540250" y="1009650"/>
              <a:ext cx="635000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704850</xdr:colOff>
      <xdr:row>7</xdr:row>
      <xdr:rowOff>38101</xdr:rowOff>
    </xdr:from>
    <xdr:to>
      <xdr:col>6</xdr:col>
      <xdr:colOff>1460500</xdr:colOff>
      <xdr:row>11</xdr:row>
      <xdr:rowOff>88901</xdr:rowOff>
    </xdr:to>
    <mc:AlternateContent xmlns:mc="http://schemas.openxmlformats.org/markup-compatibility/2006" xmlns:a14="http://schemas.microsoft.com/office/drawing/2010/main">
      <mc:Choice Requires="a14">
        <xdr:graphicFrame macro="">
          <xdr:nvGraphicFramePr>
            <xdr:cNvPr id="2" name="Year 48">
              <a:extLst>
                <a:ext uri="{FF2B5EF4-FFF2-40B4-BE49-F238E27FC236}">
                  <a16:creationId xmlns:a16="http://schemas.microsoft.com/office/drawing/2014/main" id="{6FD6F244-B41D-4D02-8AD4-FD356866E130}"/>
                </a:ext>
              </a:extLst>
            </xdr:cNvPr>
            <xdr:cNvGraphicFramePr/>
          </xdr:nvGraphicFramePr>
          <xdr:xfrm>
            <a:off x="0" y="0"/>
            <a:ext cx="0" cy="0"/>
          </xdr:xfrm>
          <a:graphic>
            <a:graphicData uri="http://schemas.microsoft.com/office/drawing/2010/slicer">
              <sle:slicer xmlns:sle="http://schemas.microsoft.com/office/drawing/2010/slicer" name="Year 48"/>
            </a:graphicData>
          </a:graphic>
        </xdr:graphicFrame>
      </mc:Choice>
      <mc:Fallback xmlns="">
        <xdr:sp macro="" textlink="">
          <xdr:nvSpPr>
            <xdr:cNvPr id="0" name=""/>
            <xdr:cNvSpPr>
              <a:spLocks noTextEdit="1"/>
            </xdr:cNvSpPr>
          </xdr:nvSpPr>
          <xdr:spPr>
            <a:xfrm>
              <a:off x="2901950" y="1327151"/>
              <a:ext cx="6470650" cy="787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355600</xdr:colOff>
      <xdr:row>11</xdr:row>
      <xdr:rowOff>12701</xdr:rowOff>
    </xdr:from>
    <xdr:to>
      <xdr:col>5</xdr:col>
      <xdr:colOff>850900</xdr:colOff>
      <xdr:row>15</xdr:row>
      <xdr:rowOff>19051</xdr:rowOff>
    </xdr:to>
    <mc:AlternateContent xmlns:mc="http://schemas.openxmlformats.org/markup-compatibility/2006" xmlns:a14="http://schemas.microsoft.com/office/drawing/2010/main">
      <mc:Choice Requires="a14">
        <xdr:graphicFrame macro="">
          <xdr:nvGraphicFramePr>
            <xdr:cNvPr id="2" name="Year 58">
              <a:extLst>
                <a:ext uri="{FF2B5EF4-FFF2-40B4-BE49-F238E27FC236}">
                  <a16:creationId xmlns:a16="http://schemas.microsoft.com/office/drawing/2014/main" id="{41D05978-8FCE-43FC-A13F-B19FE6F5AB66}"/>
                </a:ext>
              </a:extLst>
            </xdr:cNvPr>
            <xdr:cNvGraphicFramePr/>
          </xdr:nvGraphicFramePr>
          <xdr:xfrm>
            <a:off x="0" y="0"/>
            <a:ext cx="0" cy="0"/>
          </xdr:xfrm>
          <a:graphic>
            <a:graphicData uri="http://schemas.microsoft.com/office/drawing/2010/slicer">
              <sle:slicer xmlns:sle="http://schemas.microsoft.com/office/drawing/2010/slicer" name="Year 58"/>
            </a:graphicData>
          </a:graphic>
        </xdr:graphicFrame>
      </mc:Choice>
      <mc:Fallback xmlns="">
        <xdr:sp macro="" textlink="">
          <xdr:nvSpPr>
            <xdr:cNvPr id="0" name=""/>
            <xdr:cNvSpPr>
              <a:spLocks noTextEdit="1"/>
            </xdr:cNvSpPr>
          </xdr:nvSpPr>
          <xdr:spPr>
            <a:xfrm>
              <a:off x="4902200" y="2038351"/>
              <a:ext cx="3187700" cy="742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1028700</xdr:colOff>
      <xdr:row>18</xdr:row>
      <xdr:rowOff>133351</xdr:rowOff>
    </xdr:from>
    <xdr:to>
      <xdr:col>6</xdr:col>
      <xdr:colOff>1187450</xdr:colOff>
      <xdr:row>22</xdr:row>
      <xdr:rowOff>139701</xdr:rowOff>
    </xdr:to>
    <mc:AlternateContent xmlns:mc="http://schemas.openxmlformats.org/markup-compatibility/2006" xmlns:a14="http://schemas.microsoft.com/office/drawing/2010/main">
      <mc:Choice Requires="a14">
        <xdr:graphicFrame macro="">
          <xdr:nvGraphicFramePr>
            <xdr:cNvPr id="2" name="Year 63">
              <a:extLst>
                <a:ext uri="{FF2B5EF4-FFF2-40B4-BE49-F238E27FC236}">
                  <a16:creationId xmlns:a16="http://schemas.microsoft.com/office/drawing/2014/main" id="{9516A7FD-BF85-4F64-992F-CAF6D0AD62F3}"/>
                </a:ext>
              </a:extLst>
            </xdr:cNvPr>
            <xdr:cNvGraphicFramePr/>
          </xdr:nvGraphicFramePr>
          <xdr:xfrm>
            <a:off x="0" y="0"/>
            <a:ext cx="0" cy="0"/>
          </xdr:xfrm>
          <a:graphic>
            <a:graphicData uri="http://schemas.microsoft.com/office/drawing/2010/slicer">
              <sle:slicer xmlns:sle="http://schemas.microsoft.com/office/drawing/2010/slicer" name="Year 63"/>
            </a:graphicData>
          </a:graphic>
        </xdr:graphicFrame>
      </mc:Choice>
      <mc:Fallback xmlns="">
        <xdr:sp macro="" textlink="">
          <xdr:nvSpPr>
            <xdr:cNvPr id="0" name=""/>
            <xdr:cNvSpPr>
              <a:spLocks noTextEdit="1"/>
            </xdr:cNvSpPr>
          </xdr:nvSpPr>
          <xdr:spPr>
            <a:xfrm>
              <a:off x="3003550" y="3448051"/>
              <a:ext cx="5740400" cy="742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3035300</xdr:colOff>
      <xdr:row>3</xdr:row>
      <xdr:rowOff>361950</xdr:rowOff>
    </xdr:from>
    <xdr:to>
      <xdr:col>8</xdr:col>
      <xdr:colOff>69850</xdr:colOff>
      <xdr:row>6</xdr:row>
      <xdr:rowOff>25400</xdr:rowOff>
    </xdr:to>
    <mc:AlternateContent xmlns:mc="http://schemas.openxmlformats.org/markup-compatibility/2006" xmlns:a14="http://schemas.microsoft.com/office/drawing/2010/main">
      <mc:Choice Requires="a14">
        <xdr:graphicFrame macro="">
          <xdr:nvGraphicFramePr>
            <xdr:cNvPr id="5" name="Year 49">
              <a:extLst>
                <a:ext uri="{FF2B5EF4-FFF2-40B4-BE49-F238E27FC236}">
                  <a16:creationId xmlns:a16="http://schemas.microsoft.com/office/drawing/2014/main" id="{55505147-7EC9-4D5C-B5B1-3BE01A23EB2A}"/>
                </a:ext>
              </a:extLst>
            </xdr:cNvPr>
            <xdr:cNvGraphicFramePr/>
          </xdr:nvGraphicFramePr>
          <xdr:xfrm>
            <a:off x="0" y="0"/>
            <a:ext cx="0" cy="0"/>
          </xdr:xfrm>
          <a:graphic>
            <a:graphicData uri="http://schemas.microsoft.com/office/drawing/2010/slicer">
              <sle:slicer xmlns:sle="http://schemas.microsoft.com/office/drawing/2010/slicer" name="Year 49"/>
            </a:graphicData>
          </a:graphic>
        </xdr:graphicFrame>
      </mc:Choice>
      <mc:Fallback xmlns="">
        <xdr:sp macro="" textlink="">
          <xdr:nvSpPr>
            <xdr:cNvPr id="0" name=""/>
            <xdr:cNvSpPr>
              <a:spLocks noTextEdit="1"/>
            </xdr:cNvSpPr>
          </xdr:nvSpPr>
          <xdr:spPr>
            <a:xfrm>
              <a:off x="4241800" y="952500"/>
              <a:ext cx="647065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4013200</xdr:colOff>
      <xdr:row>16</xdr:row>
      <xdr:rowOff>57150</xdr:rowOff>
    </xdr:from>
    <xdr:to>
      <xdr:col>8</xdr:col>
      <xdr:colOff>317500</xdr:colOff>
      <xdr:row>17</xdr:row>
      <xdr:rowOff>44450</xdr:rowOff>
    </xdr:to>
    <mc:AlternateContent xmlns:mc="http://schemas.openxmlformats.org/markup-compatibility/2006" xmlns:a14="http://schemas.microsoft.com/office/drawing/2010/main">
      <mc:Choice Requires="a14">
        <xdr:graphicFrame macro="">
          <xdr:nvGraphicFramePr>
            <xdr:cNvPr id="6" name="Year 64">
              <a:extLst>
                <a:ext uri="{FF2B5EF4-FFF2-40B4-BE49-F238E27FC236}">
                  <a16:creationId xmlns:a16="http://schemas.microsoft.com/office/drawing/2014/main" id="{9A4F6FDF-B0DB-4C27-BB48-0AFFB85AE571}"/>
                </a:ext>
              </a:extLst>
            </xdr:cNvPr>
            <xdr:cNvGraphicFramePr/>
          </xdr:nvGraphicFramePr>
          <xdr:xfrm>
            <a:off x="0" y="0"/>
            <a:ext cx="0" cy="0"/>
          </xdr:xfrm>
          <a:graphic>
            <a:graphicData uri="http://schemas.microsoft.com/office/drawing/2010/slicer">
              <sle:slicer xmlns:sle="http://schemas.microsoft.com/office/drawing/2010/slicer" name="Year 64"/>
            </a:graphicData>
          </a:graphic>
        </xdr:graphicFrame>
      </mc:Choice>
      <mc:Fallback xmlns="">
        <xdr:sp macro="" textlink="">
          <xdr:nvSpPr>
            <xdr:cNvPr id="0" name=""/>
            <xdr:cNvSpPr>
              <a:spLocks noTextEdit="1"/>
            </xdr:cNvSpPr>
          </xdr:nvSpPr>
          <xdr:spPr>
            <a:xfrm>
              <a:off x="5219700" y="3867150"/>
              <a:ext cx="5740400"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2.xml><?xml version="1.0" encoding="utf-8"?>
<xdr:wsDr xmlns:xdr="http://schemas.openxmlformats.org/drawingml/2006/spreadsheetDrawing" xmlns:a="http://schemas.openxmlformats.org/drawingml/2006/main">
  <xdr:twoCellAnchor editAs="oneCell">
    <xdr:from>
      <xdr:col>5</xdr:col>
      <xdr:colOff>330200</xdr:colOff>
      <xdr:row>5</xdr:row>
      <xdr:rowOff>120651</xdr:rowOff>
    </xdr:from>
    <xdr:to>
      <xdr:col>15</xdr:col>
      <xdr:colOff>107950</xdr:colOff>
      <xdr:row>9</xdr:row>
      <xdr:rowOff>158751</xdr:rowOff>
    </xdr:to>
    <mc:AlternateContent xmlns:mc="http://schemas.openxmlformats.org/markup-compatibility/2006" xmlns:a14="http://schemas.microsoft.com/office/drawing/2010/main">
      <mc:Choice Requires="a14">
        <xdr:graphicFrame macro="">
          <xdr:nvGraphicFramePr>
            <xdr:cNvPr id="2" name="Year 50">
              <a:extLst>
                <a:ext uri="{FF2B5EF4-FFF2-40B4-BE49-F238E27FC236}">
                  <a16:creationId xmlns:a16="http://schemas.microsoft.com/office/drawing/2014/main" id="{4EAAECBA-B54F-4B92-91CF-3FDB006B9537}"/>
                </a:ext>
              </a:extLst>
            </xdr:cNvPr>
            <xdr:cNvGraphicFramePr/>
          </xdr:nvGraphicFramePr>
          <xdr:xfrm>
            <a:off x="0" y="0"/>
            <a:ext cx="0" cy="0"/>
          </xdr:xfrm>
          <a:graphic>
            <a:graphicData uri="http://schemas.microsoft.com/office/drawing/2010/slicer">
              <sle:slicer xmlns:sle="http://schemas.microsoft.com/office/drawing/2010/slicer" name="Year 50"/>
            </a:graphicData>
          </a:graphic>
        </xdr:graphicFrame>
      </mc:Choice>
      <mc:Fallback xmlns="">
        <xdr:sp macro="" textlink="">
          <xdr:nvSpPr>
            <xdr:cNvPr id="0" name=""/>
            <xdr:cNvSpPr>
              <a:spLocks noTextEdit="1"/>
            </xdr:cNvSpPr>
          </xdr:nvSpPr>
          <xdr:spPr>
            <a:xfrm>
              <a:off x="4305300" y="1041401"/>
              <a:ext cx="5873750" cy="7747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641350</xdr:colOff>
      <xdr:row>3</xdr:row>
      <xdr:rowOff>114300</xdr:rowOff>
    </xdr:from>
    <xdr:to>
      <xdr:col>13</xdr:col>
      <xdr:colOff>171450</xdr:colOff>
      <xdr:row>5</xdr:row>
      <xdr:rowOff>95250</xdr:rowOff>
    </xdr:to>
    <mc:AlternateContent xmlns:mc="http://schemas.openxmlformats.org/markup-compatibility/2006" xmlns:a14="http://schemas.microsoft.com/office/drawing/2010/main">
      <mc:Choice Requires="a14">
        <xdr:graphicFrame macro="">
          <xdr:nvGraphicFramePr>
            <xdr:cNvPr id="3" name="Year 51">
              <a:extLst>
                <a:ext uri="{FF2B5EF4-FFF2-40B4-BE49-F238E27FC236}">
                  <a16:creationId xmlns:a16="http://schemas.microsoft.com/office/drawing/2014/main" id="{025F8395-81A8-41C1-9902-A2309D2487CD}"/>
                </a:ext>
              </a:extLst>
            </xdr:cNvPr>
            <xdr:cNvGraphicFramePr/>
          </xdr:nvGraphicFramePr>
          <xdr:xfrm>
            <a:off x="0" y="0"/>
            <a:ext cx="0" cy="0"/>
          </xdr:xfrm>
          <a:graphic>
            <a:graphicData uri="http://schemas.microsoft.com/office/drawing/2010/slicer">
              <sle:slicer xmlns:sle="http://schemas.microsoft.com/office/drawing/2010/slicer" name="Year 51"/>
            </a:graphicData>
          </a:graphic>
        </xdr:graphicFrame>
      </mc:Choice>
      <mc:Fallback xmlns="">
        <xdr:sp macro="" textlink="">
          <xdr:nvSpPr>
            <xdr:cNvPr id="0" name=""/>
            <xdr:cNvSpPr>
              <a:spLocks noTextEdit="1"/>
            </xdr:cNvSpPr>
          </xdr:nvSpPr>
          <xdr:spPr>
            <a:xfrm>
              <a:off x="3467100" y="679450"/>
              <a:ext cx="5873750"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146050</xdr:colOff>
      <xdr:row>2</xdr:row>
      <xdr:rowOff>101601</xdr:rowOff>
    </xdr:from>
    <xdr:to>
      <xdr:col>15</xdr:col>
      <xdr:colOff>19050</xdr:colOff>
      <xdr:row>7</xdr:row>
      <xdr:rowOff>12700</xdr:rowOff>
    </xdr:to>
    <mc:AlternateContent xmlns:mc="http://schemas.openxmlformats.org/markup-compatibility/2006" xmlns:a14="http://schemas.microsoft.com/office/drawing/2010/main">
      <mc:Choice Requires="a14">
        <xdr:graphicFrame macro="">
          <xdr:nvGraphicFramePr>
            <xdr:cNvPr id="2" name="Year 14">
              <a:extLst>
                <a:ext uri="{FF2B5EF4-FFF2-40B4-BE49-F238E27FC236}">
                  <a16:creationId xmlns:a16="http://schemas.microsoft.com/office/drawing/2014/main" id="{D410767B-75CE-494B-94C5-2778FB52B385}"/>
                </a:ext>
              </a:extLst>
            </xdr:cNvPr>
            <xdr:cNvGraphicFramePr/>
          </xdr:nvGraphicFramePr>
          <xdr:xfrm>
            <a:off x="0" y="0"/>
            <a:ext cx="0" cy="0"/>
          </xdr:xfrm>
          <a:graphic>
            <a:graphicData uri="http://schemas.microsoft.com/office/drawing/2010/slicer">
              <sle:slicer xmlns:sle="http://schemas.microsoft.com/office/drawing/2010/slicer" name="Year 14"/>
            </a:graphicData>
          </a:graphic>
        </xdr:graphicFrame>
      </mc:Choice>
      <mc:Fallback xmlns="">
        <xdr:sp macro="" textlink="">
          <xdr:nvSpPr>
            <xdr:cNvPr id="0" name=""/>
            <xdr:cNvSpPr>
              <a:spLocks noTextEdit="1"/>
            </xdr:cNvSpPr>
          </xdr:nvSpPr>
          <xdr:spPr>
            <a:xfrm>
              <a:off x="4089400" y="469901"/>
              <a:ext cx="6578600" cy="8318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812800</xdr:colOff>
      <xdr:row>3</xdr:row>
      <xdr:rowOff>76201</xdr:rowOff>
    </xdr:from>
    <xdr:to>
      <xdr:col>11</xdr:col>
      <xdr:colOff>431800</xdr:colOff>
      <xdr:row>5</xdr:row>
      <xdr:rowOff>107951</xdr:rowOff>
    </xdr:to>
    <mc:AlternateContent xmlns:mc="http://schemas.openxmlformats.org/markup-compatibility/2006" xmlns:a14="http://schemas.microsoft.com/office/drawing/2010/main">
      <mc:Choice Requires="a14">
        <xdr:graphicFrame macro="">
          <xdr:nvGraphicFramePr>
            <xdr:cNvPr id="3" name="Year 15">
              <a:extLst>
                <a:ext uri="{FF2B5EF4-FFF2-40B4-BE49-F238E27FC236}">
                  <a16:creationId xmlns:a16="http://schemas.microsoft.com/office/drawing/2014/main" id="{41C55B36-1B6E-4346-A6A2-B8DD64FDE121}"/>
                </a:ext>
              </a:extLst>
            </xdr:cNvPr>
            <xdr:cNvGraphicFramePr/>
          </xdr:nvGraphicFramePr>
          <xdr:xfrm>
            <a:off x="0" y="0"/>
            <a:ext cx="0" cy="0"/>
          </xdr:xfrm>
          <a:graphic>
            <a:graphicData uri="http://schemas.microsoft.com/office/drawing/2010/slicer">
              <sle:slicer xmlns:sle="http://schemas.microsoft.com/office/drawing/2010/slicer" name="Year 15"/>
            </a:graphicData>
          </a:graphic>
        </xdr:graphicFrame>
      </mc:Choice>
      <mc:Fallback xmlns="">
        <xdr:sp macro="" textlink="">
          <xdr:nvSpPr>
            <xdr:cNvPr id="0" name=""/>
            <xdr:cNvSpPr>
              <a:spLocks noTextEdit="1"/>
            </xdr:cNvSpPr>
          </xdr:nvSpPr>
          <xdr:spPr>
            <a:xfrm>
              <a:off x="4362450" y="641351"/>
              <a:ext cx="6578600" cy="419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69850</xdr:colOff>
      <xdr:row>7</xdr:row>
      <xdr:rowOff>12701</xdr:rowOff>
    </xdr:from>
    <xdr:to>
      <xdr:col>13</xdr:col>
      <xdr:colOff>279400</xdr:colOff>
      <xdr:row>11</xdr:row>
      <xdr:rowOff>38100</xdr:rowOff>
    </xdr:to>
    <mc:AlternateContent xmlns:mc="http://schemas.openxmlformats.org/markup-compatibility/2006" xmlns:a14="http://schemas.microsoft.com/office/drawing/2010/main">
      <mc:Choice Requires="a14">
        <xdr:graphicFrame macro="">
          <xdr:nvGraphicFramePr>
            <xdr:cNvPr id="2" name="Year 52">
              <a:extLst>
                <a:ext uri="{FF2B5EF4-FFF2-40B4-BE49-F238E27FC236}">
                  <a16:creationId xmlns:a16="http://schemas.microsoft.com/office/drawing/2014/main" id="{0D7A215C-90FE-41EA-B0CD-69B88B227C16}"/>
                </a:ext>
              </a:extLst>
            </xdr:cNvPr>
            <xdr:cNvGraphicFramePr/>
          </xdr:nvGraphicFramePr>
          <xdr:xfrm>
            <a:off x="0" y="0"/>
            <a:ext cx="0" cy="0"/>
          </xdr:xfrm>
          <a:graphic>
            <a:graphicData uri="http://schemas.microsoft.com/office/drawing/2010/slicer">
              <sle:slicer xmlns:sle="http://schemas.microsoft.com/office/drawing/2010/slicer" name="Year 52"/>
            </a:graphicData>
          </a:graphic>
        </xdr:graphicFrame>
      </mc:Choice>
      <mc:Fallback xmlns="">
        <xdr:sp macro="" textlink="">
          <xdr:nvSpPr>
            <xdr:cNvPr id="0" name=""/>
            <xdr:cNvSpPr>
              <a:spLocks noTextEdit="1"/>
            </xdr:cNvSpPr>
          </xdr:nvSpPr>
          <xdr:spPr>
            <a:xfrm>
              <a:off x="4013200" y="1301751"/>
              <a:ext cx="5695950" cy="7619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914400</xdr:colOff>
      <xdr:row>3</xdr:row>
      <xdr:rowOff>50801</xdr:rowOff>
    </xdr:from>
    <xdr:to>
      <xdr:col>10</xdr:col>
      <xdr:colOff>412750</xdr:colOff>
      <xdr:row>5</xdr:row>
      <xdr:rowOff>114301</xdr:rowOff>
    </xdr:to>
    <mc:AlternateContent xmlns:mc="http://schemas.openxmlformats.org/markup-compatibility/2006" xmlns:a14="http://schemas.microsoft.com/office/drawing/2010/main">
      <mc:Choice Requires="a14">
        <xdr:graphicFrame macro="">
          <xdr:nvGraphicFramePr>
            <xdr:cNvPr id="4" name="Year 53">
              <a:extLst>
                <a:ext uri="{FF2B5EF4-FFF2-40B4-BE49-F238E27FC236}">
                  <a16:creationId xmlns:a16="http://schemas.microsoft.com/office/drawing/2014/main" id="{CB8E0EF0-92A1-40FE-A555-65AD48DDE3F2}"/>
                </a:ext>
              </a:extLst>
            </xdr:cNvPr>
            <xdr:cNvGraphicFramePr/>
          </xdr:nvGraphicFramePr>
          <xdr:xfrm>
            <a:off x="0" y="0"/>
            <a:ext cx="0" cy="0"/>
          </xdr:xfrm>
          <a:graphic>
            <a:graphicData uri="http://schemas.microsoft.com/office/drawing/2010/slicer">
              <sle:slicer xmlns:sle="http://schemas.microsoft.com/office/drawing/2010/slicer" name="Year 53"/>
            </a:graphicData>
          </a:graphic>
        </xdr:graphicFrame>
      </mc:Choice>
      <mc:Fallback xmlns="">
        <xdr:sp macro="" textlink="">
          <xdr:nvSpPr>
            <xdr:cNvPr id="0" name=""/>
            <xdr:cNvSpPr>
              <a:spLocks noTextEdit="1"/>
            </xdr:cNvSpPr>
          </xdr:nvSpPr>
          <xdr:spPr>
            <a:xfrm>
              <a:off x="4457700" y="615951"/>
              <a:ext cx="5695950" cy="450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196850</xdr:colOff>
      <xdr:row>18</xdr:row>
      <xdr:rowOff>120651</xdr:rowOff>
    </xdr:from>
    <xdr:to>
      <xdr:col>6</xdr:col>
      <xdr:colOff>158750</xdr:colOff>
      <xdr:row>22</xdr:row>
      <xdr:rowOff>95250</xdr:rowOff>
    </xdr:to>
    <mc:AlternateContent xmlns:mc="http://schemas.openxmlformats.org/markup-compatibility/2006" xmlns:a14="http://schemas.microsoft.com/office/drawing/2010/main">
      <mc:Choice Requires="a14">
        <xdr:graphicFrame macro="">
          <xdr:nvGraphicFramePr>
            <xdr:cNvPr id="2" name="Year 18">
              <a:extLst>
                <a:ext uri="{FF2B5EF4-FFF2-40B4-BE49-F238E27FC236}">
                  <a16:creationId xmlns:a16="http://schemas.microsoft.com/office/drawing/2014/main" id="{81F9E2F1-F184-4DA3-BBB7-D53986241087}"/>
                </a:ext>
              </a:extLst>
            </xdr:cNvPr>
            <xdr:cNvGraphicFramePr/>
          </xdr:nvGraphicFramePr>
          <xdr:xfrm>
            <a:off x="0" y="0"/>
            <a:ext cx="0" cy="0"/>
          </xdr:xfrm>
          <a:graphic>
            <a:graphicData uri="http://schemas.microsoft.com/office/drawing/2010/slicer">
              <sle:slicer xmlns:sle="http://schemas.microsoft.com/office/drawing/2010/slicer" name="Year 18"/>
            </a:graphicData>
          </a:graphic>
        </xdr:graphicFrame>
      </mc:Choice>
      <mc:Fallback xmlns="">
        <xdr:sp macro="" textlink="">
          <xdr:nvSpPr>
            <xdr:cNvPr id="0" name=""/>
            <xdr:cNvSpPr>
              <a:spLocks noTextEdit="1"/>
            </xdr:cNvSpPr>
          </xdr:nvSpPr>
          <xdr:spPr>
            <a:xfrm>
              <a:off x="2959100" y="3435351"/>
              <a:ext cx="5568950" cy="711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857250</xdr:colOff>
      <xdr:row>3</xdr:row>
      <xdr:rowOff>146051</xdr:rowOff>
    </xdr:from>
    <xdr:to>
      <xdr:col>10</xdr:col>
      <xdr:colOff>400050</xdr:colOff>
      <xdr:row>5</xdr:row>
      <xdr:rowOff>165101</xdr:rowOff>
    </xdr:to>
    <mc:AlternateContent xmlns:mc="http://schemas.openxmlformats.org/markup-compatibility/2006" xmlns:a14="http://schemas.microsoft.com/office/drawing/2010/main">
      <mc:Choice Requires="a14">
        <xdr:graphicFrame macro="">
          <xdr:nvGraphicFramePr>
            <xdr:cNvPr id="7" name="Year 19">
              <a:extLst>
                <a:ext uri="{FF2B5EF4-FFF2-40B4-BE49-F238E27FC236}">
                  <a16:creationId xmlns:a16="http://schemas.microsoft.com/office/drawing/2014/main" id="{7F2C7AE3-5AE1-4D4E-B332-08916CD0710E}"/>
                </a:ext>
              </a:extLst>
            </xdr:cNvPr>
            <xdr:cNvGraphicFramePr/>
          </xdr:nvGraphicFramePr>
          <xdr:xfrm>
            <a:off x="0" y="0"/>
            <a:ext cx="0" cy="0"/>
          </xdr:xfrm>
          <a:graphic>
            <a:graphicData uri="http://schemas.microsoft.com/office/drawing/2010/slicer">
              <sle:slicer xmlns:sle="http://schemas.microsoft.com/office/drawing/2010/slicer" name="Year 19"/>
            </a:graphicData>
          </a:graphic>
        </xdr:graphicFrame>
      </mc:Choice>
      <mc:Fallback xmlns="">
        <xdr:sp macro="" textlink="">
          <xdr:nvSpPr>
            <xdr:cNvPr id="0" name=""/>
            <xdr:cNvSpPr>
              <a:spLocks noTextEdit="1"/>
            </xdr:cNvSpPr>
          </xdr:nvSpPr>
          <xdr:spPr>
            <a:xfrm>
              <a:off x="3981450" y="711201"/>
              <a:ext cx="556895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82550</xdr:colOff>
      <xdr:row>27</xdr:row>
      <xdr:rowOff>88900</xdr:rowOff>
    </xdr:from>
    <xdr:to>
      <xdr:col>10</xdr:col>
      <xdr:colOff>501650</xdr:colOff>
      <xdr:row>29</xdr:row>
      <xdr:rowOff>152399</xdr:rowOff>
    </xdr:to>
    <mc:AlternateContent xmlns:mc="http://schemas.openxmlformats.org/markup-compatibility/2006" xmlns:a14="http://schemas.microsoft.com/office/drawing/2010/main">
      <mc:Choice Requires="a14">
        <xdr:graphicFrame macro="">
          <xdr:nvGraphicFramePr>
            <xdr:cNvPr id="8" name="Year 20">
              <a:extLst>
                <a:ext uri="{FF2B5EF4-FFF2-40B4-BE49-F238E27FC236}">
                  <a16:creationId xmlns:a16="http://schemas.microsoft.com/office/drawing/2014/main" id="{A3FEFB1A-CCD7-4E8C-98C3-E0731CA9A33C}"/>
                </a:ext>
              </a:extLst>
            </xdr:cNvPr>
            <xdr:cNvGraphicFramePr/>
          </xdr:nvGraphicFramePr>
          <xdr:xfrm>
            <a:off x="0" y="0"/>
            <a:ext cx="0" cy="0"/>
          </xdr:xfrm>
          <a:graphic>
            <a:graphicData uri="http://schemas.microsoft.com/office/drawing/2010/slicer">
              <sle:slicer xmlns:sle="http://schemas.microsoft.com/office/drawing/2010/slicer" name="Year 20"/>
            </a:graphicData>
          </a:graphic>
        </xdr:graphicFrame>
      </mc:Choice>
      <mc:Fallback xmlns="">
        <xdr:sp macro="" textlink="">
          <xdr:nvSpPr>
            <xdr:cNvPr id="0" name=""/>
            <xdr:cNvSpPr>
              <a:spLocks noTextEdit="1"/>
            </xdr:cNvSpPr>
          </xdr:nvSpPr>
          <xdr:spPr>
            <a:xfrm>
              <a:off x="4083050" y="5473700"/>
              <a:ext cx="5568950" cy="457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127000</xdr:colOff>
      <xdr:row>11</xdr:row>
      <xdr:rowOff>12701</xdr:rowOff>
    </xdr:from>
    <xdr:to>
      <xdr:col>13</xdr:col>
      <xdr:colOff>12700</xdr:colOff>
      <xdr:row>14</xdr:row>
      <xdr:rowOff>120651</xdr:rowOff>
    </xdr:to>
    <mc:AlternateContent xmlns:mc="http://schemas.openxmlformats.org/markup-compatibility/2006" xmlns:a14="http://schemas.microsoft.com/office/drawing/2010/main">
      <mc:Choice Requires="a14">
        <xdr:graphicFrame macro="">
          <xdr:nvGraphicFramePr>
            <xdr:cNvPr id="2" name="Year 60">
              <a:extLst>
                <a:ext uri="{FF2B5EF4-FFF2-40B4-BE49-F238E27FC236}">
                  <a16:creationId xmlns:a16="http://schemas.microsoft.com/office/drawing/2014/main" id="{B075734F-5102-4DED-AB48-7561DC9CE111}"/>
                </a:ext>
              </a:extLst>
            </xdr:cNvPr>
            <xdr:cNvGraphicFramePr/>
          </xdr:nvGraphicFramePr>
          <xdr:xfrm>
            <a:off x="0" y="0"/>
            <a:ext cx="0" cy="0"/>
          </xdr:xfrm>
          <a:graphic>
            <a:graphicData uri="http://schemas.microsoft.com/office/drawing/2010/slicer">
              <sle:slicer xmlns:sle="http://schemas.microsoft.com/office/drawing/2010/slicer" name="Year 60"/>
            </a:graphicData>
          </a:graphic>
        </xdr:graphicFrame>
      </mc:Choice>
      <mc:Fallback xmlns="">
        <xdr:sp macro="" textlink="">
          <xdr:nvSpPr>
            <xdr:cNvPr id="0" name=""/>
            <xdr:cNvSpPr>
              <a:spLocks noTextEdit="1"/>
            </xdr:cNvSpPr>
          </xdr:nvSpPr>
          <xdr:spPr>
            <a:xfrm>
              <a:off x="3721100" y="2038351"/>
              <a:ext cx="6642100" cy="660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1231900</xdr:colOff>
      <xdr:row>13</xdr:row>
      <xdr:rowOff>152401</xdr:rowOff>
    </xdr:from>
    <xdr:to>
      <xdr:col>5</xdr:col>
      <xdr:colOff>812800</xdr:colOff>
      <xdr:row>18</xdr:row>
      <xdr:rowOff>31751</xdr:rowOff>
    </xdr:to>
    <mc:AlternateContent xmlns:mc="http://schemas.openxmlformats.org/markup-compatibility/2006" xmlns:a14="http://schemas.microsoft.com/office/drawing/2010/main">
      <mc:Choice Requires="a14">
        <xdr:graphicFrame macro="">
          <xdr:nvGraphicFramePr>
            <xdr:cNvPr id="2" name="Year 16">
              <a:extLst>
                <a:ext uri="{FF2B5EF4-FFF2-40B4-BE49-F238E27FC236}">
                  <a16:creationId xmlns:a16="http://schemas.microsoft.com/office/drawing/2014/main" id="{93CE68C0-1CE0-4C85-B210-D981FE64079C}"/>
                </a:ext>
              </a:extLst>
            </xdr:cNvPr>
            <xdr:cNvGraphicFramePr/>
          </xdr:nvGraphicFramePr>
          <xdr:xfrm>
            <a:off x="0" y="0"/>
            <a:ext cx="0" cy="0"/>
          </xdr:xfrm>
          <a:graphic>
            <a:graphicData uri="http://schemas.microsoft.com/office/drawing/2010/slicer">
              <sle:slicer xmlns:sle="http://schemas.microsoft.com/office/drawing/2010/slicer" name="Year 16"/>
            </a:graphicData>
          </a:graphic>
        </xdr:graphicFrame>
      </mc:Choice>
      <mc:Fallback xmlns="">
        <xdr:sp macro="" textlink="">
          <xdr:nvSpPr>
            <xdr:cNvPr id="0" name=""/>
            <xdr:cNvSpPr>
              <a:spLocks noTextEdit="1"/>
            </xdr:cNvSpPr>
          </xdr:nvSpPr>
          <xdr:spPr>
            <a:xfrm>
              <a:off x="3994150" y="2546351"/>
              <a:ext cx="3905250" cy="8001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1.xml><?xml version="1.0" encoding="utf-8"?>
<xdr:wsDr xmlns:xdr="http://schemas.openxmlformats.org/drawingml/2006/spreadsheetDrawing" xmlns:a="http://schemas.openxmlformats.org/drawingml/2006/main">
  <xdr:twoCellAnchor editAs="oneCell">
    <xdr:from>
      <xdr:col>2</xdr:col>
      <xdr:colOff>946150</xdr:colOff>
      <xdr:row>3</xdr:row>
      <xdr:rowOff>158750</xdr:rowOff>
    </xdr:from>
    <xdr:to>
      <xdr:col>7</xdr:col>
      <xdr:colOff>12700</xdr:colOff>
      <xdr:row>5</xdr:row>
      <xdr:rowOff>133350</xdr:rowOff>
    </xdr:to>
    <mc:AlternateContent xmlns:mc="http://schemas.openxmlformats.org/markup-compatibility/2006" xmlns:a14="http://schemas.microsoft.com/office/drawing/2010/main">
      <mc:Choice Requires="a14">
        <xdr:graphicFrame macro="">
          <xdr:nvGraphicFramePr>
            <xdr:cNvPr id="4" name="Year 17">
              <a:extLst>
                <a:ext uri="{FF2B5EF4-FFF2-40B4-BE49-F238E27FC236}">
                  <a16:creationId xmlns:a16="http://schemas.microsoft.com/office/drawing/2014/main" id="{EBAD7D76-1CF5-40CD-B7D4-8D49D092954E}"/>
                </a:ext>
              </a:extLst>
            </xdr:cNvPr>
            <xdr:cNvGraphicFramePr/>
          </xdr:nvGraphicFramePr>
          <xdr:xfrm>
            <a:off x="0" y="0"/>
            <a:ext cx="0" cy="0"/>
          </xdr:xfrm>
          <a:graphic>
            <a:graphicData uri="http://schemas.microsoft.com/office/drawing/2010/slicer">
              <sle:slicer xmlns:sle="http://schemas.microsoft.com/office/drawing/2010/slicer" name="Year 17"/>
            </a:graphicData>
          </a:graphic>
        </xdr:graphicFrame>
      </mc:Choice>
      <mc:Fallback xmlns="">
        <xdr:sp macro="" textlink="">
          <xdr:nvSpPr>
            <xdr:cNvPr id="0" name=""/>
            <xdr:cNvSpPr>
              <a:spLocks noTextEdit="1"/>
            </xdr:cNvSpPr>
          </xdr:nvSpPr>
          <xdr:spPr>
            <a:xfrm>
              <a:off x="3581400" y="723900"/>
              <a:ext cx="390525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133350</xdr:colOff>
      <xdr:row>26</xdr:row>
      <xdr:rowOff>76200</xdr:rowOff>
    </xdr:from>
    <xdr:to>
      <xdr:col>7</xdr:col>
      <xdr:colOff>190500</xdr:colOff>
      <xdr:row>28</xdr:row>
      <xdr:rowOff>158750</xdr:rowOff>
    </xdr:to>
    <mc:AlternateContent xmlns:mc="http://schemas.openxmlformats.org/markup-compatibility/2006" xmlns:a14="http://schemas.microsoft.com/office/drawing/2010/main">
      <mc:Choice Requires="a14">
        <xdr:graphicFrame macro="">
          <xdr:nvGraphicFramePr>
            <xdr:cNvPr id="5" name="Year 21">
              <a:extLst>
                <a:ext uri="{FF2B5EF4-FFF2-40B4-BE49-F238E27FC236}">
                  <a16:creationId xmlns:a16="http://schemas.microsoft.com/office/drawing/2014/main" id="{7A2C612E-6603-4157-A676-C19579CE6FC8}"/>
                </a:ext>
              </a:extLst>
            </xdr:cNvPr>
            <xdr:cNvGraphicFramePr/>
          </xdr:nvGraphicFramePr>
          <xdr:xfrm>
            <a:off x="0" y="0"/>
            <a:ext cx="0" cy="0"/>
          </xdr:xfrm>
          <a:graphic>
            <a:graphicData uri="http://schemas.microsoft.com/office/drawing/2010/slicer">
              <sle:slicer xmlns:sle="http://schemas.microsoft.com/office/drawing/2010/slicer" name="Year 21"/>
            </a:graphicData>
          </a:graphic>
        </xdr:graphicFrame>
      </mc:Choice>
      <mc:Fallback xmlns="">
        <xdr:sp macro="" textlink="">
          <xdr:nvSpPr>
            <xdr:cNvPr id="0" name=""/>
            <xdr:cNvSpPr>
              <a:spLocks noTextEdit="1"/>
            </xdr:cNvSpPr>
          </xdr:nvSpPr>
          <xdr:spPr>
            <a:xfrm>
              <a:off x="3759200" y="5511800"/>
              <a:ext cx="3905250"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314123</xdr:colOff>
      <xdr:row>5</xdr:row>
      <xdr:rowOff>20266</xdr:rowOff>
    </xdr:from>
    <xdr:to>
      <xdr:col>5</xdr:col>
      <xdr:colOff>803748</xdr:colOff>
      <xdr:row>7</xdr:row>
      <xdr:rowOff>30399</xdr:rowOff>
    </xdr:to>
    <mc:AlternateContent xmlns:mc="http://schemas.openxmlformats.org/markup-compatibility/2006" xmlns:a14="http://schemas.microsoft.com/office/drawing/2010/main">
      <mc:Choice Requires="a14">
        <xdr:graphicFrame macro="">
          <xdr:nvGraphicFramePr>
            <xdr:cNvPr id="2" name="FisYr 26">
              <a:extLst>
                <a:ext uri="{FF2B5EF4-FFF2-40B4-BE49-F238E27FC236}">
                  <a16:creationId xmlns:a16="http://schemas.microsoft.com/office/drawing/2014/main" id="{B1DDA123-5D69-46AC-8D57-64AE9CF43D75}"/>
                </a:ext>
              </a:extLst>
            </xdr:cNvPr>
            <xdr:cNvGraphicFramePr/>
          </xdr:nvGraphicFramePr>
          <xdr:xfrm>
            <a:off x="0" y="0"/>
            <a:ext cx="0" cy="0"/>
          </xdr:xfrm>
          <a:graphic>
            <a:graphicData uri="http://schemas.microsoft.com/office/drawing/2010/slicer">
              <sle:slicer xmlns:sle="http://schemas.microsoft.com/office/drawing/2010/slicer" name="FisYr 26"/>
            </a:graphicData>
          </a:graphic>
        </xdr:graphicFrame>
      </mc:Choice>
      <mc:Fallback xmlns="">
        <xdr:sp macro="" textlink="">
          <xdr:nvSpPr>
            <xdr:cNvPr id="0" name=""/>
            <xdr:cNvSpPr>
              <a:spLocks noTextEdit="1"/>
            </xdr:cNvSpPr>
          </xdr:nvSpPr>
          <xdr:spPr>
            <a:xfrm>
              <a:off x="4056775" y="1011251"/>
              <a:ext cx="2163715" cy="41422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344521</xdr:colOff>
      <xdr:row>34</xdr:row>
      <xdr:rowOff>20265</xdr:rowOff>
    </xdr:from>
    <xdr:to>
      <xdr:col>6</xdr:col>
      <xdr:colOff>412209</xdr:colOff>
      <xdr:row>36</xdr:row>
      <xdr:rowOff>101329</xdr:rowOff>
    </xdr:to>
    <mc:AlternateContent xmlns:mc="http://schemas.openxmlformats.org/markup-compatibility/2006" xmlns:a14="http://schemas.microsoft.com/office/drawing/2010/main">
      <mc:Choice Requires="a14">
        <xdr:graphicFrame macro="">
          <xdr:nvGraphicFramePr>
            <xdr:cNvPr id="3" name="FisYr 27">
              <a:extLst>
                <a:ext uri="{FF2B5EF4-FFF2-40B4-BE49-F238E27FC236}">
                  <a16:creationId xmlns:a16="http://schemas.microsoft.com/office/drawing/2014/main" id="{1DD6FF87-70FB-4E47-8408-71B87755B688}"/>
                </a:ext>
              </a:extLst>
            </xdr:cNvPr>
            <xdr:cNvGraphicFramePr/>
          </xdr:nvGraphicFramePr>
          <xdr:xfrm>
            <a:off x="0" y="0"/>
            <a:ext cx="0" cy="0"/>
          </xdr:xfrm>
          <a:graphic>
            <a:graphicData uri="http://schemas.microsoft.com/office/drawing/2010/slicer">
              <sle:slicer xmlns:sle="http://schemas.microsoft.com/office/drawing/2010/slicer" name="FisYr 27"/>
            </a:graphicData>
          </a:graphic>
        </xdr:graphicFrame>
      </mc:Choice>
      <mc:Fallback xmlns="">
        <xdr:sp macro="" textlink="">
          <xdr:nvSpPr>
            <xdr:cNvPr id="0" name=""/>
            <xdr:cNvSpPr>
              <a:spLocks noTextEdit="1"/>
            </xdr:cNvSpPr>
          </xdr:nvSpPr>
          <xdr:spPr>
            <a:xfrm>
              <a:off x="4087173" y="7216932"/>
              <a:ext cx="2578824" cy="465912"/>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91198</xdr:colOff>
      <xdr:row>49</xdr:row>
      <xdr:rowOff>111463</xdr:rowOff>
    </xdr:from>
    <xdr:to>
      <xdr:col>5</xdr:col>
      <xdr:colOff>590348</xdr:colOff>
      <xdr:row>51</xdr:row>
      <xdr:rowOff>134768</xdr:rowOff>
    </xdr:to>
    <mc:AlternateContent xmlns:mc="http://schemas.openxmlformats.org/markup-compatibility/2006" xmlns:a14="http://schemas.microsoft.com/office/drawing/2010/main">
      <mc:Choice Requires="a14">
        <xdr:graphicFrame macro="">
          <xdr:nvGraphicFramePr>
            <xdr:cNvPr id="4" name="FinYear 6">
              <a:extLst>
                <a:ext uri="{FF2B5EF4-FFF2-40B4-BE49-F238E27FC236}">
                  <a16:creationId xmlns:a16="http://schemas.microsoft.com/office/drawing/2014/main" id="{2FCC37F6-D8D4-4A27-9F74-48D18A76D1D3}"/>
                </a:ext>
              </a:extLst>
            </xdr:cNvPr>
            <xdr:cNvGraphicFramePr/>
          </xdr:nvGraphicFramePr>
          <xdr:xfrm>
            <a:off x="0" y="0"/>
            <a:ext cx="0" cy="0"/>
          </xdr:xfrm>
          <a:graphic>
            <a:graphicData uri="http://schemas.microsoft.com/office/drawing/2010/slicer">
              <sle:slicer xmlns:sle="http://schemas.microsoft.com/office/drawing/2010/slicer" name="FinYear 6"/>
            </a:graphicData>
          </a:graphic>
        </xdr:graphicFrame>
      </mc:Choice>
      <mc:Fallback xmlns="">
        <xdr:sp macro="" textlink="">
          <xdr:nvSpPr>
            <xdr:cNvPr id="0" name=""/>
            <xdr:cNvSpPr>
              <a:spLocks noTextEdit="1"/>
            </xdr:cNvSpPr>
          </xdr:nvSpPr>
          <xdr:spPr>
            <a:xfrm>
              <a:off x="3833850" y="10819872"/>
              <a:ext cx="2173240" cy="42739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0</xdr:colOff>
      <xdr:row>62</xdr:row>
      <xdr:rowOff>0</xdr:rowOff>
    </xdr:from>
    <xdr:to>
      <xdr:col>6</xdr:col>
      <xdr:colOff>432476</xdr:colOff>
      <xdr:row>64</xdr:row>
      <xdr:rowOff>42356</xdr:rowOff>
    </xdr:to>
    <mc:AlternateContent xmlns:mc="http://schemas.openxmlformats.org/markup-compatibility/2006" xmlns:a14="http://schemas.microsoft.com/office/drawing/2010/main">
      <mc:Choice Requires="a14">
        <xdr:graphicFrame macro="">
          <xdr:nvGraphicFramePr>
            <xdr:cNvPr id="5" name="FinYear 7">
              <a:extLst>
                <a:ext uri="{FF2B5EF4-FFF2-40B4-BE49-F238E27FC236}">
                  <a16:creationId xmlns:a16="http://schemas.microsoft.com/office/drawing/2014/main" id="{1A8654D4-DF7C-4BB3-B669-3EAFBA6856FF}"/>
                </a:ext>
              </a:extLst>
            </xdr:cNvPr>
            <xdr:cNvGraphicFramePr/>
          </xdr:nvGraphicFramePr>
          <xdr:xfrm>
            <a:off x="0" y="0"/>
            <a:ext cx="0" cy="0"/>
          </xdr:xfrm>
          <a:graphic>
            <a:graphicData uri="http://schemas.microsoft.com/office/drawing/2010/slicer">
              <sle:slicer xmlns:sle="http://schemas.microsoft.com/office/drawing/2010/slicer" name="FinYear 7"/>
            </a:graphicData>
          </a:graphic>
        </xdr:graphicFrame>
      </mc:Choice>
      <mc:Fallback xmlns="">
        <xdr:sp macro="" textlink="">
          <xdr:nvSpPr>
            <xdr:cNvPr id="0" name=""/>
            <xdr:cNvSpPr>
              <a:spLocks noTextEdit="1"/>
            </xdr:cNvSpPr>
          </xdr:nvSpPr>
          <xdr:spPr>
            <a:xfrm>
              <a:off x="4579697" y="13816061"/>
              <a:ext cx="2106567" cy="44644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3.xml><?xml version="1.0" encoding="utf-8"?>
<xdr:wsDr xmlns:xdr="http://schemas.openxmlformats.org/drawingml/2006/spreadsheetDrawing" xmlns:a="http://schemas.openxmlformats.org/drawingml/2006/main">
  <xdr:twoCellAnchor editAs="oneCell">
    <xdr:from>
      <xdr:col>5</xdr:col>
      <xdr:colOff>238124</xdr:colOff>
      <xdr:row>9</xdr:row>
      <xdr:rowOff>9525</xdr:rowOff>
    </xdr:from>
    <xdr:to>
      <xdr:col>8</xdr:col>
      <xdr:colOff>669925</xdr:colOff>
      <xdr:row>11</xdr:row>
      <xdr:rowOff>76200</xdr:rowOff>
    </xdr:to>
    <mc:AlternateContent xmlns:mc="http://schemas.openxmlformats.org/markup-compatibility/2006" xmlns:a14="http://schemas.microsoft.com/office/drawing/2010/main">
      <mc:Choice Requires="a14">
        <xdr:graphicFrame macro="">
          <xdr:nvGraphicFramePr>
            <xdr:cNvPr id="3" name="FinYear 4">
              <a:extLst>
                <a:ext uri="{FF2B5EF4-FFF2-40B4-BE49-F238E27FC236}">
                  <a16:creationId xmlns:a16="http://schemas.microsoft.com/office/drawing/2014/main" id="{45827E57-F53A-4552-90BA-BA51B2215D2C}"/>
                </a:ext>
              </a:extLst>
            </xdr:cNvPr>
            <xdr:cNvGraphicFramePr/>
          </xdr:nvGraphicFramePr>
          <xdr:xfrm>
            <a:off x="0" y="0"/>
            <a:ext cx="0" cy="0"/>
          </xdr:xfrm>
          <a:graphic>
            <a:graphicData uri="http://schemas.microsoft.com/office/drawing/2010/slicer">
              <sle:slicer xmlns:sle="http://schemas.microsoft.com/office/drawing/2010/slicer" name="FinYear 4"/>
            </a:graphicData>
          </a:graphic>
        </xdr:graphicFrame>
      </mc:Choice>
      <mc:Fallback xmlns="">
        <xdr:sp macro="" textlink="">
          <xdr:nvSpPr>
            <xdr:cNvPr id="0" name=""/>
            <xdr:cNvSpPr>
              <a:spLocks noTextEdit="1"/>
            </xdr:cNvSpPr>
          </xdr:nvSpPr>
          <xdr:spPr>
            <a:xfrm>
              <a:off x="3295649" y="1724025"/>
              <a:ext cx="2114551" cy="4476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285749</xdr:colOff>
      <xdr:row>15</xdr:row>
      <xdr:rowOff>76200</xdr:rowOff>
    </xdr:from>
    <xdr:to>
      <xdr:col>12</xdr:col>
      <xdr:colOff>38099</xdr:colOff>
      <xdr:row>17</xdr:row>
      <xdr:rowOff>123825</xdr:rowOff>
    </xdr:to>
    <mc:AlternateContent xmlns:mc="http://schemas.openxmlformats.org/markup-compatibility/2006" xmlns:a14="http://schemas.microsoft.com/office/drawing/2010/main">
      <mc:Choice Requires="a14">
        <xdr:graphicFrame macro="">
          <xdr:nvGraphicFramePr>
            <xdr:cNvPr id="4" name="FinYear 5">
              <a:extLst>
                <a:ext uri="{FF2B5EF4-FFF2-40B4-BE49-F238E27FC236}">
                  <a16:creationId xmlns:a16="http://schemas.microsoft.com/office/drawing/2014/main" id="{C7510249-9B42-4663-9287-7D4BC878BB6D}"/>
                </a:ext>
              </a:extLst>
            </xdr:cNvPr>
            <xdr:cNvGraphicFramePr/>
          </xdr:nvGraphicFramePr>
          <xdr:xfrm>
            <a:off x="0" y="0"/>
            <a:ext cx="0" cy="0"/>
          </xdr:xfrm>
          <a:graphic>
            <a:graphicData uri="http://schemas.microsoft.com/office/drawing/2010/slicer">
              <sle:slicer xmlns:sle="http://schemas.microsoft.com/office/drawing/2010/slicer" name="FinYear 5"/>
            </a:graphicData>
          </a:graphic>
        </xdr:graphicFrame>
      </mc:Choice>
      <mc:Fallback xmlns="">
        <xdr:sp macro="" textlink="">
          <xdr:nvSpPr>
            <xdr:cNvPr id="0" name=""/>
            <xdr:cNvSpPr>
              <a:spLocks noTextEdit="1"/>
            </xdr:cNvSpPr>
          </xdr:nvSpPr>
          <xdr:spPr>
            <a:xfrm>
              <a:off x="7258049" y="2933700"/>
              <a:ext cx="2181225" cy="4286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0</xdr:colOff>
      <xdr:row>26</xdr:row>
      <xdr:rowOff>47625</xdr:rowOff>
    </xdr:from>
    <xdr:to>
      <xdr:col>9</xdr:col>
      <xdr:colOff>498475</xdr:colOff>
      <xdr:row>29</xdr:row>
      <xdr:rowOff>114300</xdr:rowOff>
    </xdr:to>
    <mc:AlternateContent xmlns:mc="http://schemas.openxmlformats.org/markup-compatibility/2006" xmlns:a14="http://schemas.microsoft.com/office/drawing/2010/main">
      <mc:Choice Requires="a14">
        <xdr:graphicFrame macro="">
          <xdr:nvGraphicFramePr>
            <xdr:cNvPr id="2" name="FisYr 17">
              <a:extLst>
                <a:ext uri="{FF2B5EF4-FFF2-40B4-BE49-F238E27FC236}">
                  <a16:creationId xmlns:a16="http://schemas.microsoft.com/office/drawing/2014/main" id="{F2462C4C-3463-4AEB-9F6F-26B56A508826}"/>
                </a:ext>
              </a:extLst>
            </xdr:cNvPr>
            <xdr:cNvGraphicFramePr/>
          </xdr:nvGraphicFramePr>
          <xdr:xfrm>
            <a:off x="0" y="0"/>
            <a:ext cx="0" cy="0"/>
          </xdr:xfrm>
          <a:graphic>
            <a:graphicData uri="http://schemas.microsoft.com/office/drawing/2010/slicer">
              <sle:slicer xmlns:sle="http://schemas.microsoft.com/office/drawing/2010/slicer" name="FisYr 17"/>
            </a:graphicData>
          </a:graphic>
        </xdr:graphicFrame>
      </mc:Choice>
      <mc:Fallback xmlns="">
        <xdr:sp macro="" textlink="">
          <xdr:nvSpPr>
            <xdr:cNvPr id="0" name=""/>
            <xdr:cNvSpPr>
              <a:spLocks noTextEdit="1"/>
            </xdr:cNvSpPr>
          </xdr:nvSpPr>
          <xdr:spPr>
            <a:xfrm>
              <a:off x="3324225" y="5000625"/>
              <a:ext cx="2590800" cy="6381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571500</xdr:colOff>
      <xdr:row>42</xdr:row>
      <xdr:rowOff>38101</xdr:rowOff>
    </xdr:from>
    <xdr:to>
      <xdr:col>9</xdr:col>
      <xdr:colOff>635000</xdr:colOff>
      <xdr:row>45</xdr:row>
      <xdr:rowOff>1</xdr:rowOff>
    </xdr:to>
    <mc:AlternateContent xmlns:mc="http://schemas.openxmlformats.org/markup-compatibility/2006" xmlns:a14="http://schemas.microsoft.com/office/drawing/2010/main">
      <mc:Choice Requires="a14">
        <xdr:graphicFrame macro="">
          <xdr:nvGraphicFramePr>
            <xdr:cNvPr id="7" name="FisYr 20">
              <a:extLst>
                <a:ext uri="{FF2B5EF4-FFF2-40B4-BE49-F238E27FC236}">
                  <a16:creationId xmlns:a16="http://schemas.microsoft.com/office/drawing/2014/main" id="{E018E3EB-E478-4558-A5F6-52CE842DEB8E}"/>
                </a:ext>
              </a:extLst>
            </xdr:cNvPr>
            <xdr:cNvGraphicFramePr/>
          </xdr:nvGraphicFramePr>
          <xdr:xfrm>
            <a:off x="0" y="0"/>
            <a:ext cx="0" cy="0"/>
          </xdr:xfrm>
          <a:graphic>
            <a:graphicData uri="http://schemas.microsoft.com/office/drawing/2010/slicer">
              <sle:slicer xmlns:sle="http://schemas.microsoft.com/office/drawing/2010/slicer" name="FisYr 20"/>
            </a:graphicData>
          </a:graphic>
        </xdr:graphicFrame>
      </mc:Choice>
      <mc:Fallback xmlns="">
        <xdr:sp macro="" textlink="">
          <xdr:nvSpPr>
            <xdr:cNvPr id="0" name=""/>
            <xdr:cNvSpPr>
              <a:spLocks noTextEdit="1"/>
            </xdr:cNvSpPr>
          </xdr:nvSpPr>
          <xdr:spPr>
            <a:xfrm>
              <a:off x="3895725" y="8039101"/>
              <a:ext cx="2171700" cy="533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260350</xdr:colOff>
      <xdr:row>0</xdr:row>
      <xdr:rowOff>82551</xdr:rowOff>
    </xdr:from>
    <xdr:to>
      <xdr:col>9</xdr:col>
      <xdr:colOff>450850</xdr:colOff>
      <xdr:row>4</xdr:row>
      <xdr:rowOff>0</xdr:rowOff>
    </xdr:to>
    <mc:AlternateContent xmlns:mc="http://schemas.openxmlformats.org/markup-compatibility/2006" xmlns:a14="http://schemas.microsoft.com/office/drawing/2010/main">
      <mc:Choice Requires="a14">
        <xdr:graphicFrame macro="">
          <xdr:nvGraphicFramePr>
            <xdr:cNvPr id="2" name="Year 22">
              <a:extLst>
                <a:ext uri="{FF2B5EF4-FFF2-40B4-BE49-F238E27FC236}">
                  <a16:creationId xmlns:a16="http://schemas.microsoft.com/office/drawing/2014/main" id="{DF98AC2A-7E14-46C0-BCF1-7B15F80FA17E}"/>
                </a:ext>
              </a:extLst>
            </xdr:cNvPr>
            <xdr:cNvGraphicFramePr/>
          </xdr:nvGraphicFramePr>
          <xdr:xfrm>
            <a:off x="0" y="0"/>
            <a:ext cx="0" cy="0"/>
          </xdr:xfrm>
          <a:graphic>
            <a:graphicData uri="http://schemas.microsoft.com/office/drawing/2010/slicer">
              <sle:slicer xmlns:sle="http://schemas.microsoft.com/office/drawing/2010/slicer" name="Year 22"/>
            </a:graphicData>
          </a:graphic>
        </xdr:graphicFrame>
      </mc:Choice>
      <mc:Fallback xmlns="">
        <xdr:sp macro="" textlink="">
          <xdr:nvSpPr>
            <xdr:cNvPr id="0" name=""/>
            <xdr:cNvSpPr>
              <a:spLocks noTextEdit="1"/>
            </xdr:cNvSpPr>
          </xdr:nvSpPr>
          <xdr:spPr>
            <a:xfrm>
              <a:off x="6927850" y="82551"/>
              <a:ext cx="4133850" cy="6540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5.xml><?xml version="1.0" encoding="utf-8"?>
<xdr:wsDr xmlns:xdr="http://schemas.openxmlformats.org/drawingml/2006/spreadsheetDrawing" xmlns:a="http://schemas.openxmlformats.org/drawingml/2006/main">
  <xdr:twoCellAnchor editAs="absolute">
    <xdr:from>
      <xdr:col>4</xdr:col>
      <xdr:colOff>38100</xdr:colOff>
      <xdr:row>11</xdr:row>
      <xdr:rowOff>177801</xdr:rowOff>
    </xdr:from>
    <xdr:to>
      <xdr:col>11</xdr:col>
      <xdr:colOff>63500</xdr:colOff>
      <xdr:row>38</xdr:row>
      <xdr:rowOff>63501</xdr:rowOff>
    </xdr:to>
    <mc:AlternateContent xmlns:mc="http://schemas.openxmlformats.org/markup-compatibility/2006" xmlns:sle15="http://schemas.microsoft.com/office/drawing/2012/slicer">
      <mc:Choice Requires="sle15">
        <xdr:graphicFrame macro="">
          <xdr:nvGraphicFramePr>
            <xdr:cNvPr id="2" name="Year 23">
              <a:extLst>
                <a:ext uri="{FF2B5EF4-FFF2-40B4-BE49-F238E27FC236}">
                  <a16:creationId xmlns:a16="http://schemas.microsoft.com/office/drawing/2014/main" id="{0F3D057F-AFD0-47A6-B296-1C16E21485E1}"/>
                </a:ext>
              </a:extLst>
            </xdr:cNvPr>
            <xdr:cNvGraphicFramePr/>
          </xdr:nvGraphicFramePr>
          <xdr:xfrm>
            <a:off x="0" y="0"/>
            <a:ext cx="0" cy="0"/>
          </xdr:xfrm>
          <a:graphic>
            <a:graphicData uri="http://schemas.microsoft.com/office/drawing/2010/slicer">
              <sle:slicer xmlns:sle="http://schemas.microsoft.com/office/drawing/2010/slicer" name="Year 23"/>
            </a:graphicData>
          </a:graphic>
        </xdr:graphicFrame>
      </mc:Choice>
      <mc:Fallback xmlns="">
        <xdr:sp macro="" textlink="">
          <xdr:nvSpPr>
            <xdr:cNvPr id="0" name=""/>
            <xdr:cNvSpPr>
              <a:spLocks noTextEdit="1"/>
            </xdr:cNvSpPr>
          </xdr:nvSpPr>
          <xdr:spPr>
            <a:xfrm>
              <a:off x="5702300" y="2203451"/>
              <a:ext cx="4565650" cy="80645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520700</xdr:colOff>
      <xdr:row>6</xdr:row>
      <xdr:rowOff>69851</xdr:rowOff>
    </xdr:from>
    <xdr:to>
      <xdr:col>8</xdr:col>
      <xdr:colOff>400050</xdr:colOff>
      <xdr:row>8</xdr:row>
      <xdr:rowOff>158751</xdr:rowOff>
    </xdr:to>
    <mc:AlternateContent xmlns:mc="http://schemas.openxmlformats.org/markup-compatibility/2006" xmlns:a14="http://schemas.microsoft.com/office/drawing/2010/main">
      <mc:Choice Requires="a14">
        <xdr:graphicFrame macro="">
          <xdr:nvGraphicFramePr>
            <xdr:cNvPr id="3" name="Year 24">
              <a:extLst>
                <a:ext uri="{FF2B5EF4-FFF2-40B4-BE49-F238E27FC236}">
                  <a16:creationId xmlns:a16="http://schemas.microsoft.com/office/drawing/2014/main" id="{3A82CA62-FE4C-4043-87CC-DA36504603AF}"/>
                </a:ext>
              </a:extLst>
            </xdr:cNvPr>
            <xdr:cNvGraphicFramePr/>
          </xdr:nvGraphicFramePr>
          <xdr:xfrm>
            <a:off x="0" y="0"/>
            <a:ext cx="0" cy="0"/>
          </xdr:xfrm>
          <a:graphic>
            <a:graphicData uri="http://schemas.microsoft.com/office/drawing/2010/slicer">
              <sle:slicer xmlns:sle="http://schemas.microsoft.com/office/drawing/2010/slicer" name="Year 24"/>
            </a:graphicData>
          </a:graphic>
        </xdr:graphicFrame>
      </mc:Choice>
      <mc:Fallback xmlns="">
        <xdr:sp macro="" textlink="">
          <xdr:nvSpPr>
            <xdr:cNvPr id="0" name=""/>
            <xdr:cNvSpPr>
              <a:spLocks noTextEdit="1"/>
            </xdr:cNvSpPr>
          </xdr:nvSpPr>
          <xdr:spPr>
            <a:xfrm>
              <a:off x="4724400" y="1238251"/>
              <a:ext cx="4133850" cy="4699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11</xdr:col>
      <xdr:colOff>382126</xdr:colOff>
      <xdr:row>36</xdr:row>
      <xdr:rowOff>11869</xdr:rowOff>
    </xdr:to>
    <xdr:pic>
      <xdr:nvPicPr>
        <xdr:cNvPr id="4" name="Picture 3">
          <a:extLst>
            <a:ext uri="{FF2B5EF4-FFF2-40B4-BE49-F238E27FC236}">
              <a16:creationId xmlns:a16="http://schemas.microsoft.com/office/drawing/2014/main" id="{AE2A7D88-B809-467C-BAE4-AC91CF7CE0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262" y="955467"/>
          <a:ext cx="6494743" cy="5715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341362</xdr:colOff>
      <xdr:row>5</xdr:row>
      <xdr:rowOff>139700</xdr:rowOff>
    </xdr:from>
    <xdr:to>
      <xdr:col>13</xdr:col>
      <xdr:colOff>478300</xdr:colOff>
      <xdr:row>38</xdr:row>
      <xdr:rowOff>24271</xdr:rowOff>
    </xdr:to>
    <xdr:pic>
      <xdr:nvPicPr>
        <xdr:cNvPr id="4" name="Picture 3">
          <a:extLst>
            <a:ext uri="{FF2B5EF4-FFF2-40B4-BE49-F238E27FC236}">
              <a16:creationId xmlns:a16="http://schemas.microsoft.com/office/drawing/2014/main" id="{C76E954B-9BB1-41E9-9405-EC6E804A2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0962" y="1098550"/>
          <a:ext cx="7452138" cy="596152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609599</xdr:colOff>
      <xdr:row>5</xdr:row>
      <xdr:rowOff>0</xdr:rowOff>
    </xdr:from>
    <xdr:to>
      <xdr:col>12</xdr:col>
      <xdr:colOff>143818</xdr:colOff>
      <xdr:row>31</xdr:row>
      <xdr:rowOff>95250</xdr:rowOff>
    </xdr:to>
    <xdr:pic>
      <xdr:nvPicPr>
        <xdr:cNvPr id="3" name="Picture 2">
          <a:extLst>
            <a:ext uri="{FF2B5EF4-FFF2-40B4-BE49-F238E27FC236}">
              <a16:creationId xmlns:a16="http://schemas.microsoft.com/office/drawing/2014/main" id="{A4A4AF15-44D7-46A4-BA3E-20DD8BE29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199" y="958850"/>
          <a:ext cx="6239819" cy="4883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527050</xdr:colOff>
      <xdr:row>4</xdr:row>
      <xdr:rowOff>88900</xdr:rowOff>
    </xdr:from>
    <xdr:to>
      <xdr:col>11</xdr:col>
      <xdr:colOff>82550</xdr:colOff>
      <xdr:row>6</xdr:row>
      <xdr:rowOff>127000</xdr:rowOff>
    </xdr:to>
    <mc:AlternateContent xmlns:mc="http://schemas.openxmlformats.org/markup-compatibility/2006" xmlns:a14="http://schemas.microsoft.com/office/drawing/2010/main">
      <mc:Choice Requires="a14">
        <xdr:graphicFrame macro="">
          <xdr:nvGraphicFramePr>
            <xdr:cNvPr id="3" name="Year 61">
              <a:extLst>
                <a:ext uri="{FF2B5EF4-FFF2-40B4-BE49-F238E27FC236}">
                  <a16:creationId xmlns:a16="http://schemas.microsoft.com/office/drawing/2014/main" id="{C2472086-0C89-4F44-9297-7A0AD452F20F}"/>
                </a:ext>
              </a:extLst>
            </xdr:cNvPr>
            <xdr:cNvGraphicFramePr/>
          </xdr:nvGraphicFramePr>
          <xdr:xfrm>
            <a:off x="0" y="0"/>
            <a:ext cx="0" cy="0"/>
          </xdr:xfrm>
          <a:graphic>
            <a:graphicData uri="http://schemas.microsoft.com/office/drawing/2010/slicer">
              <sle:slicer xmlns:sle="http://schemas.microsoft.com/office/drawing/2010/slicer" name="Year 61"/>
            </a:graphicData>
          </a:graphic>
        </xdr:graphicFrame>
      </mc:Choice>
      <mc:Fallback xmlns="">
        <xdr:sp macro="" textlink="">
          <xdr:nvSpPr>
            <xdr:cNvPr id="0" name=""/>
            <xdr:cNvSpPr>
              <a:spLocks noTextEdit="1"/>
            </xdr:cNvSpPr>
          </xdr:nvSpPr>
          <xdr:spPr>
            <a:xfrm>
              <a:off x="4419600" y="876300"/>
              <a:ext cx="6642100" cy="4318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0.xml><?xml version="1.0" encoding="utf-8"?>
<xdr:wsDr xmlns:xdr="http://schemas.openxmlformats.org/drawingml/2006/spreadsheetDrawing" xmlns:a="http://schemas.openxmlformats.org/drawingml/2006/main">
  <xdr:twoCellAnchor editAs="oneCell">
    <xdr:from>
      <xdr:col>2</xdr:col>
      <xdr:colOff>1</xdr:colOff>
      <xdr:row>6</xdr:row>
      <xdr:rowOff>0</xdr:rowOff>
    </xdr:from>
    <xdr:to>
      <xdr:col>12</xdr:col>
      <xdr:colOff>452699</xdr:colOff>
      <xdr:row>34</xdr:row>
      <xdr:rowOff>82550</xdr:rowOff>
    </xdr:to>
    <xdr:pic>
      <xdr:nvPicPr>
        <xdr:cNvPr id="3" name="Picture 2">
          <a:extLst>
            <a:ext uri="{FF2B5EF4-FFF2-40B4-BE49-F238E27FC236}">
              <a16:creationId xmlns:a16="http://schemas.microsoft.com/office/drawing/2014/main" id="{CBF58098-5D1F-4559-986B-55A85C19F0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1" y="1143000"/>
          <a:ext cx="6548698" cy="523875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2</xdr:col>
      <xdr:colOff>1</xdr:colOff>
      <xdr:row>5</xdr:row>
      <xdr:rowOff>0</xdr:rowOff>
    </xdr:from>
    <xdr:to>
      <xdr:col>12</xdr:col>
      <xdr:colOff>230440</xdr:colOff>
      <xdr:row>32</xdr:row>
      <xdr:rowOff>88900</xdr:rowOff>
    </xdr:to>
    <xdr:pic>
      <xdr:nvPicPr>
        <xdr:cNvPr id="3" name="Picture 2">
          <a:extLst>
            <a:ext uri="{FF2B5EF4-FFF2-40B4-BE49-F238E27FC236}">
              <a16:creationId xmlns:a16="http://schemas.microsoft.com/office/drawing/2014/main" id="{0B5D246F-7311-47D5-A60E-2DF685CD9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1" y="958850"/>
          <a:ext cx="6326439" cy="506095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82550</xdr:colOff>
      <xdr:row>5</xdr:row>
      <xdr:rowOff>151298</xdr:rowOff>
    </xdr:from>
    <xdr:to>
      <xdr:col>11</xdr:col>
      <xdr:colOff>177799</xdr:colOff>
      <xdr:row>31</xdr:row>
      <xdr:rowOff>14527</xdr:rowOff>
    </xdr:to>
    <xdr:pic>
      <xdr:nvPicPr>
        <xdr:cNvPr id="4" name="Picture 3">
          <a:extLst>
            <a:ext uri="{FF2B5EF4-FFF2-40B4-BE49-F238E27FC236}">
              <a16:creationId xmlns:a16="http://schemas.microsoft.com/office/drawing/2014/main" id="{8319CDB3-A4BB-4774-8145-47FB53BB44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750" y="1110148"/>
          <a:ext cx="5581649" cy="465112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514450</xdr:colOff>
      <xdr:row>5</xdr:row>
      <xdr:rowOff>120650</xdr:rowOff>
    </xdr:from>
    <xdr:to>
      <xdr:col>10</xdr:col>
      <xdr:colOff>255646</xdr:colOff>
      <xdr:row>29</xdr:row>
      <xdr:rowOff>57150</xdr:rowOff>
    </xdr:to>
    <xdr:pic>
      <xdr:nvPicPr>
        <xdr:cNvPr id="4" name="Picture 3">
          <a:extLst>
            <a:ext uri="{FF2B5EF4-FFF2-40B4-BE49-F238E27FC236}">
              <a16:creationId xmlns:a16="http://schemas.microsoft.com/office/drawing/2014/main" id="{EB027166-5014-481F-B341-FF0A27256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050" y="1079500"/>
          <a:ext cx="5227596" cy="43561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5</xdr:col>
      <xdr:colOff>80645</xdr:colOff>
      <xdr:row>28</xdr:row>
      <xdr:rowOff>92075</xdr:rowOff>
    </xdr:to>
    <xdr:pic>
      <xdr:nvPicPr>
        <xdr:cNvPr id="4" name="Picture 3">
          <a:extLst>
            <a:ext uri="{FF2B5EF4-FFF2-40B4-BE49-F238E27FC236}">
              <a16:creationId xmlns:a16="http://schemas.microsoft.com/office/drawing/2014/main" id="{792D7EF3-4CF7-4D87-B3A0-3869C2680B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327150"/>
          <a:ext cx="2519045" cy="3959225"/>
        </a:xfrm>
        <a:prstGeom prst="rect">
          <a:avLst/>
        </a:prstGeom>
      </xdr:spPr>
    </xdr:pic>
    <xdr:clientData/>
  </xdr:twoCellAnchor>
  <xdr:twoCellAnchor editAs="oneCell">
    <xdr:from>
      <xdr:col>5</xdr:col>
      <xdr:colOff>0</xdr:colOff>
      <xdr:row>7</xdr:row>
      <xdr:rowOff>0</xdr:rowOff>
    </xdr:from>
    <xdr:to>
      <xdr:col>10</xdr:col>
      <xdr:colOff>154940</xdr:colOff>
      <xdr:row>28</xdr:row>
      <xdr:rowOff>92075</xdr:rowOff>
    </xdr:to>
    <xdr:pic>
      <xdr:nvPicPr>
        <xdr:cNvPr id="5" name="Picture 4">
          <a:extLst>
            <a:ext uri="{FF2B5EF4-FFF2-40B4-BE49-F238E27FC236}">
              <a16:creationId xmlns:a16="http://schemas.microsoft.com/office/drawing/2014/main" id="{39A29CDE-E1F6-4A44-AE3A-F409D0AFDC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0" y="1327150"/>
          <a:ext cx="3202940" cy="39592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1301750</xdr:colOff>
      <xdr:row>8</xdr:row>
      <xdr:rowOff>88900</xdr:rowOff>
    </xdr:from>
    <xdr:to>
      <xdr:col>5</xdr:col>
      <xdr:colOff>1454150</xdr:colOff>
      <xdr:row>12</xdr:row>
      <xdr:rowOff>57150</xdr:rowOff>
    </xdr:to>
    <mc:AlternateContent xmlns:mc="http://schemas.openxmlformats.org/markup-compatibility/2006" xmlns:a14="http://schemas.microsoft.com/office/drawing/2010/main">
      <mc:Choice Requires="a14">
        <xdr:graphicFrame macro="">
          <xdr:nvGraphicFramePr>
            <xdr:cNvPr id="2" name="Year 2">
              <a:extLst>
                <a:ext uri="{FF2B5EF4-FFF2-40B4-BE49-F238E27FC236}">
                  <a16:creationId xmlns:a16="http://schemas.microsoft.com/office/drawing/2014/main" id="{BCCD6440-4929-4A1F-9E6C-92119DDCB096}"/>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724150" y="1562100"/>
              <a:ext cx="5911850" cy="704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1282700</xdr:colOff>
      <xdr:row>7</xdr:row>
      <xdr:rowOff>177801</xdr:rowOff>
    </xdr:from>
    <xdr:to>
      <xdr:col>7</xdr:col>
      <xdr:colOff>482600</xdr:colOff>
      <xdr:row>11</xdr:row>
      <xdr:rowOff>139700</xdr:rowOff>
    </xdr:to>
    <mc:AlternateContent xmlns:mc="http://schemas.openxmlformats.org/markup-compatibility/2006" xmlns:a14="http://schemas.microsoft.com/office/drawing/2010/main">
      <mc:Choice Requires="a14">
        <xdr:graphicFrame macro="">
          <xdr:nvGraphicFramePr>
            <xdr:cNvPr id="2" name="FisYr">
              <a:extLst>
                <a:ext uri="{FF2B5EF4-FFF2-40B4-BE49-F238E27FC236}">
                  <a16:creationId xmlns:a16="http://schemas.microsoft.com/office/drawing/2014/main" id="{A59FEA9A-A877-4AF5-90FD-195FB118B37E}"/>
                </a:ext>
              </a:extLst>
            </xdr:cNvPr>
            <xdr:cNvGraphicFramePr/>
          </xdr:nvGraphicFramePr>
          <xdr:xfrm>
            <a:off x="0" y="0"/>
            <a:ext cx="0" cy="0"/>
          </xdr:xfrm>
          <a:graphic>
            <a:graphicData uri="http://schemas.microsoft.com/office/drawing/2010/slicer">
              <sle:slicer xmlns:sle="http://schemas.microsoft.com/office/drawing/2010/slicer" name="FisYr"/>
            </a:graphicData>
          </a:graphic>
        </xdr:graphicFrame>
      </mc:Choice>
      <mc:Fallback xmlns="">
        <xdr:sp macro="" textlink="">
          <xdr:nvSpPr>
            <xdr:cNvPr id="0" name=""/>
            <xdr:cNvSpPr>
              <a:spLocks noTextEdit="1"/>
            </xdr:cNvSpPr>
          </xdr:nvSpPr>
          <xdr:spPr>
            <a:xfrm>
              <a:off x="4552950" y="1466851"/>
              <a:ext cx="6337300" cy="6984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7.xml><?xml version="1.0" encoding="utf-8"?>
<xdr:wsDr xmlns:xdr="http://schemas.openxmlformats.org/drawingml/2006/spreadsheetDrawing" xmlns:a="http://schemas.openxmlformats.org/drawingml/2006/main">
  <xdr:twoCellAnchor editAs="oneCell">
    <xdr:from>
      <xdr:col>3</xdr:col>
      <xdr:colOff>342900</xdr:colOff>
      <xdr:row>4</xdr:row>
      <xdr:rowOff>139701</xdr:rowOff>
    </xdr:from>
    <xdr:to>
      <xdr:col>12</xdr:col>
      <xdr:colOff>476250</xdr:colOff>
      <xdr:row>6</xdr:row>
      <xdr:rowOff>190501</xdr:rowOff>
    </xdr:to>
    <mc:AlternateContent xmlns:mc="http://schemas.openxmlformats.org/markup-compatibility/2006" xmlns:a14="http://schemas.microsoft.com/office/drawing/2010/main">
      <mc:Choice Requires="a14">
        <xdr:graphicFrame macro="">
          <xdr:nvGraphicFramePr>
            <xdr:cNvPr id="5" name="FisYr 1">
              <a:extLst>
                <a:ext uri="{FF2B5EF4-FFF2-40B4-BE49-F238E27FC236}">
                  <a16:creationId xmlns:a16="http://schemas.microsoft.com/office/drawing/2014/main" id="{F23F25A6-E608-4414-B657-2EB90E56A6A0}"/>
                </a:ext>
              </a:extLst>
            </xdr:cNvPr>
            <xdr:cNvGraphicFramePr/>
          </xdr:nvGraphicFramePr>
          <xdr:xfrm>
            <a:off x="0" y="0"/>
            <a:ext cx="0" cy="0"/>
          </xdr:xfrm>
          <a:graphic>
            <a:graphicData uri="http://schemas.microsoft.com/office/drawing/2010/slicer">
              <sle:slicer xmlns:sle="http://schemas.microsoft.com/office/drawing/2010/slicer" name="FisYr 1"/>
            </a:graphicData>
          </a:graphic>
        </xdr:graphicFrame>
      </mc:Choice>
      <mc:Fallback xmlns="">
        <xdr:sp macro="" textlink="">
          <xdr:nvSpPr>
            <xdr:cNvPr id="0" name=""/>
            <xdr:cNvSpPr>
              <a:spLocks noTextEdit="1"/>
            </xdr:cNvSpPr>
          </xdr:nvSpPr>
          <xdr:spPr>
            <a:xfrm>
              <a:off x="4565650" y="901701"/>
              <a:ext cx="633730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8.xml><?xml version="1.0" encoding="utf-8"?>
<xdr:wsDr xmlns:xdr="http://schemas.openxmlformats.org/drawingml/2006/spreadsheetDrawing" xmlns:a="http://schemas.openxmlformats.org/drawingml/2006/main">
  <xdr:twoCellAnchor editAs="oneCell">
    <xdr:from>
      <xdr:col>2</xdr:col>
      <xdr:colOff>914400</xdr:colOff>
      <xdr:row>4</xdr:row>
      <xdr:rowOff>139700</xdr:rowOff>
    </xdr:from>
    <xdr:to>
      <xdr:col>11</xdr:col>
      <xdr:colOff>241300</xdr:colOff>
      <xdr:row>7</xdr:row>
      <xdr:rowOff>31750</xdr:rowOff>
    </xdr:to>
    <mc:AlternateContent xmlns:mc="http://schemas.openxmlformats.org/markup-compatibility/2006" xmlns:a14="http://schemas.microsoft.com/office/drawing/2010/main">
      <mc:Choice Requires="a14">
        <xdr:graphicFrame macro="">
          <xdr:nvGraphicFramePr>
            <xdr:cNvPr id="3" name="FisYr 2">
              <a:extLst>
                <a:ext uri="{FF2B5EF4-FFF2-40B4-BE49-F238E27FC236}">
                  <a16:creationId xmlns:a16="http://schemas.microsoft.com/office/drawing/2014/main" id="{9EBB9261-8D93-4BB4-8C00-595A6A9ACF24}"/>
                </a:ext>
              </a:extLst>
            </xdr:cNvPr>
            <xdr:cNvGraphicFramePr/>
          </xdr:nvGraphicFramePr>
          <xdr:xfrm>
            <a:off x="0" y="0"/>
            <a:ext cx="0" cy="0"/>
          </xdr:xfrm>
          <a:graphic>
            <a:graphicData uri="http://schemas.microsoft.com/office/drawing/2010/slicer">
              <sle:slicer xmlns:sle="http://schemas.microsoft.com/office/drawing/2010/slicer" name="FisYr 2"/>
            </a:graphicData>
          </a:graphic>
        </xdr:graphicFrame>
      </mc:Choice>
      <mc:Fallback xmlns="">
        <xdr:sp macro="" textlink="">
          <xdr:nvSpPr>
            <xdr:cNvPr id="0" name=""/>
            <xdr:cNvSpPr>
              <a:spLocks noTextEdit="1"/>
            </xdr:cNvSpPr>
          </xdr:nvSpPr>
          <xdr:spPr>
            <a:xfrm>
              <a:off x="3835400" y="901700"/>
              <a:ext cx="633730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9.xml><?xml version="1.0" encoding="utf-8"?>
<xdr:wsDr xmlns:xdr="http://schemas.openxmlformats.org/drawingml/2006/spreadsheetDrawing" xmlns:a="http://schemas.openxmlformats.org/drawingml/2006/main">
  <xdr:twoCellAnchor editAs="oneCell">
    <xdr:from>
      <xdr:col>2</xdr:col>
      <xdr:colOff>863600</xdr:colOff>
      <xdr:row>4</xdr:row>
      <xdr:rowOff>120650</xdr:rowOff>
    </xdr:from>
    <xdr:to>
      <xdr:col>11</xdr:col>
      <xdr:colOff>133350</xdr:colOff>
      <xdr:row>7</xdr:row>
      <xdr:rowOff>31750</xdr:rowOff>
    </xdr:to>
    <mc:AlternateContent xmlns:mc="http://schemas.openxmlformats.org/markup-compatibility/2006" xmlns:a14="http://schemas.microsoft.com/office/drawing/2010/main">
      <mc:Choice Requires="a14">
        <xdr:graphicFrame macro="">
          <xdr:nvGraphicFramePr>
            <xdr:cNvPr id="4" name="Year 5">
              <a:extLst>
                <a:ext uri="{FF2B5EF4-FFF2-40B4-BE49-F238E27FC236}">
                  <a16:creationId xmlns:a16="http://schemas.microsoft.com/office/drawing/2014/main" id="{B176883D-3432-41F9-A4EB-4DFC7FE774AD}"/>
                </a:ext>
              </a:extLst>
            </xdr:cNvPr>
            <xdr:cNvGraphicFramePr/>
          </xdr:nvGraphicFramePr>
          <xdr:xfrm>
            <a:off x="0" y="0"/>
            <a:ext cx="0" cy="0"/>
          </xdr:xfrm>
          <a:graphic>
            <a:graphicData uri="http://schemas.microsoft.com/office/drawing/2010/slicer">
              <sle:slicer xmlns:sle="http://schemas.microsoft.com/office/drawing/2010/slicer" name="Year 5"/>
            </a:graphicData>
          </a:graphic>
        </xdr:graphicFrame>
      </mc:Choice>
      <mc:Fallback xmlns="">
        <xdr:sp macro="" textlink="">
          <xdr:nvSpPr>
            <xdr:cNvPr id="0" name=""/>
            <xdr:cNvSpPr>
              <a:spLocks noTextEdit="1"/>
            </xdr:cNvSpPr>
          </xdr:nvSpPr>
          <xdr:spPr>
            <a:xfrm>
              <a:off x="3790950" y="882650"/>
              <a:ext cx="5911850" cy="4635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127000</xdr:colOff>
      <xdr:row>5</xdr:row>
      <xdr:rowOff>19050</xdr:rowOff>
    </xdr:from>
    <xdr:to>
      <xdr:col>9</xdr:col>
      <xdr:colOff>567019</xdr:colOff>
      <xdr:row>31</xdr:row>
      <xdr:rowOff>12700</xdr:rowOff>
    </xdr:to>
    <xdr:pic>
      <xdr:nvPicPr>
        <xdr:cNvPr id="7" name="Picture 6">
          <a:extLst>
            <a:ext uri="{FF2B5EF4-FFF2-40B4-BE49-F238E27FC236}">
              <a16:creationId xmlns:a16="http://schemas.microsoft.com/office/drawing/2014/main" id="{DAC50C6B-BB28-4972-8D46-7735758B6A59}"/>
            </a:ext>
          </a:extLst>
        </xdr:cNvPr>
        <xdr:cNvPicPr>
          <a:picLocks noChangeAspect="1"/>
        </xdr:cNvPicPr>
      </xdr:nvPicPr>
      <xdr:blipFill>
        <a:blip xmlns:r="http://schemas.openxmlformats.org/officeDocument/2006/relationships" r:embed="rId1"/>
        <a:stretch>
          <a:fillRect/>
        </a:stretch>
      </xdr:blipFill>
      <xdr:spPr>
        <a:xfrm>
          <a:off x="127000" y="990600"/>
          <a:ext cx="7151969" cy="479425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266700</xdr:colOff>
      <xdr:row>24</xdr:row>
      <xdr:rowOff>69850</xdr:rowOff>
    </xdr:to>
    <xdr:pic>
      <xdr:nvPicPr>
        <xdr:cNvPr id="4" name="Picture 3">
          <a:extLst>
            <a:ext uri="{FF2B5EF4-FFF2-40B4-BE49-F238E27FC236}">
              <a16:creationId xmlns:a16="http://schemas.microsoft.com/office/drawing/2014/main" id="{129FFA5D-4283-47B9-B3B0-693EA4D220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58850"/>
          <a:ext cx="6362700" cy="35687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304800</xdr:colOff>
      <xdr:row>6</xdr:row>
      <xdr:rowOff>12700</xdr:rowOff>
    </xdr:from>
    <xdr:to>
      <xdr:col>12</xdr:col>
      <xdr:colOff>88900</xdr:colOff>
      <xdr:row>24</xdr:row>
      <xdr:rowOff>177800</xdr:rowOff>
    </xdr:to>
    <xdr:pic>
      <xdr:nvPicPr>
        <xdr:cNvPr id="3" name="Picture 2" descr="C:\Users\Rebecca.Cameron\AppData\Local\Microsoft\Windows\INetCache\Content.Word\Alarms.png">
          <a:extLst>
            <a:ext uri="{FF2B5EF4-FFF2-40B4-BE49-F238E27FC236}">
              <a16:creationId xmlns:a16="http://schemas.microsoft.com/office/drawing/2014/main" id="{7932E721-2780-4659-9C5B-81496AD7A0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1155700"/>
          <a:ext cx="6489700" cy="3479800"/>
        </a:xfrm>
        <a:prstGeom prst="rect">
          <a:avLst/>
        </a:prstGeom>
        <a:noFill/>
        <a:ln>
          <a:noFill/>
        </a:ln>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10</xdr:col>
      <xdr:colOff>246162</xdr:colOff>
      <xdr:row>29</xdr:row>
      <xdr:rowOff>63500</xdr:rowOff>
    </xdr:to>
    <xdr:pic>
      <xdr:nvPicPr>
        <xdr:cNvPr id="4" name="Picture 3">
          <a:extLst>
            <a:ext uri="{FF2B5EF4-FFF2-40B4-BE49-F238E27FC236}">
              <a16:creationId xmlns:a16="http://schemas.microsoft.com/office/drawing/2014/main" id="{8E4D8F40-B276-4A71-B80D-CD8815F8D8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0" y="958850"/>
          <a:ext cx="5122962" cy="44831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1</xdr:colOff>
      <xdr:row>6</xdr:row>
      <xdr:rowOff>0</xdr:rowOff>
    </xdr:from>
    <xdr:to>
      <xdr:col>10</xdr:col>
      <xdr:colOff>533401</xdr:colOff>
      <xdr:row>35</xdr:row>
      <xdr:rowOff>157087</xdr:rowOff>
    </xdr:to>
    <xdr:pic>
      <xdr:nvPicPr>
        <xdr:cNvPr id="4" name="Picture 3">
          <a:extLst>
            <a:ext uri="{FF2B5EF4-FFF2-40B4-BE49-F238E27FC236}">
              <a16:creationId xmlns:a16="http://schemas.microsoft.com/office/drawing/2014/main" id="{21CA382F-57A6-4ABD-BC5E-D120628A74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1" y="1143000"/>
          <a:ext cx="5664200" cy="5497437"/>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2</xdr:col>
      <xdr:colOff>1</xdr:colOff>
      <xdr:row>5</xdr:row>
      <xdr:rowOff>1</xdr:rowOff>
    </xdr:from>
    <xdr:to>
      <xdr:col>10</xdr:col>
      <xdr:colOff>361950</xdr:colOff>
      <xdr:row>33</xdr:row>
      <xdr:rowOff>174835</xdr:rowOff>
    </xdr:to>
    <xdr:pic>
      <xdr:nvPicPr>
        <xdr:cNvPr id="3" name="Picture 2">
          <a:extLst>
            <a:ext uri="{FF2B5EF4-FFF2-40B4-BE49-F238E27FC236}">
              <a16:creationId xmlns:a16="http://schemas.microsoft.com/office/drawing/2014/main" id="{AE4FCD9C-98E8-41FC-8DFA-713011FEDE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1" y="958851"/>
          <a:ext cx="5492749" cy="533103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2</xdr:col>
      <xdr:colOff>19051</xdr:colOff>
      <xdr:row>5</xdr:row>
      <xdr:rowOff>25401</xdr:rowOff>
    </xdr:from>
    <xdr:to>
      <xdr:col>10</xdr:col>
      <xdr:colOff>444500</xdr:colOff>
      <xdr:row>33</xdr:row>
      <xdr:rowOff>161131</xdr:rowOff>
    </xdr:to>
    <xdr:pic>
      <xdr:nvPicPr>
        <xdr:cNvPr id="3" name="Picture 2">
          <a:extLst>
            <a:ext uri="{FF2B5EF4-FFF2-40B4-BE49-F238E27FC236}">
              <a16:creationId xmlns:a16="http://schemas.microsoft.com/office/drawing/2014/main" id="{11F1DE81-81D4-4EC8-83A2-7AAF0B5BC4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751" y="984251"/>
          <a:ext cx="5556249" cy="529193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10</xdr:col>
      <xdr:colOff>548199</xdr:colOff>
      <xdr:row>34</xdr:row>
      <xdr:rowOff>171450</xdr:rowOff>
    </xdr:to>
    <xdr:pic>
      <xdr:nvPicPr>
        <xdr:cNvPr id="3" name="Picture 2">
          <a:extLst>
            <a:ext uri="{FF2B5EF4-FFF2-40B4-BE49-F238E27FC236}">
              <a16:creationId xmlns:a16="http://schemas.microsoft.com/office/drawing/2014/main" id="{8E75762E-C2A6-409E-808B-199C4BFCDB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2700" y="958850"/>
          <a:ext cx="5678999" cy="55118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2</xdr:col>
      <xdr:colOff>241300</xdr:colOff>
      <xdr:row>5</xdr:row>
      <xdr:rowOff>83276</xdr:rowOff>
    </xdr:from>
    <xdr:to>
      <xdr:col>11</xdr:col>
      <xdr:colOff>585008</xdr:colOff>
      <xdr:row>29</xdr:row>
      <xdr:rowOff>31750</xdr:rowOff>
    </xdr:to>
    <xdr:pic>
      <xdr:nvPicPr>
        <xdr:cNvPr id="4" name="Picture 3">
          <a:extLst>
            <a:ext uri="{FF2B5EF4-FFF2-40B4-BE49-F238E27FC236}">
              <a16:creationId xmlns:a16="http://schemas.microsoft.com/office/drawing/2014/main" id="{334CCF02-9755-42DE-B9AA-18F7377FB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 y="1042126"/>
          <a:ext cx="6115858" cy="436807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82550</xdr:colOff>
      <xdr:row>4</xdr:row>
      <xdr:rowOff>177800</xdr:rowOff>
    </xdr:from>
    <xdr:to>
      <xdr:col>11</xdr:col>
      <xdr:colOff>355358</xdr:colOff>
      <xdr:row>32</xdr:row>
      <xdr:rowOff>61478</xdr:rowOff>
    </xdr:to>
    <xdr:pic>
      <xdr:nvPicPr>
        <xdr:cNvPr id="4" name="Picture 3">
          <a:extLst>
            <a:ext uri="{FF2B5EF4-FFF2-40B4-BE49-F238E27FC236}">
              <a16:creationId xmlns:a16="http://schemas.microsoft.com/office/drawing/2014/main" id="{EA206240-E78D-4273-9835-6039F9E97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750" y="952500"/>
          <a:ext cx="5759208" cy="5039878"/>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2</xdr:col>
      <xdr:colOff>1</xdr:colOff>
      <xdr:row>5</xdr:row>
      <xdr:rowOff>1</xdr:rowOff>
    </xdr:from>
    <xdr:to>
      <xdr:col>12</xdr:col>
      <xdr:colOff>283217</xdr:colOff>
      <xdr:row>34</xdr:row>
      <xdr:rowOff>127000</xdr:rowOff>
    </xdr:to>
    <xdr:pic>
      <xdr:nvPicPr>
        <xdr:cNvPr id="3" name="Picture 2">
          <a:extLst>
            <a:ext uri="{FF2B5EF4-FFF2-40B4-BE49-F238E27FC236}">
              <a16:creationId xmlns:a16="http://schemas.microsoft.com/office/drawing/2014/main" id="{00EA30B4-BFA1-4D2D-A286-DAEAFF6AD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1" y="958851"/>
          <a:ext cx="6379216" cy="54673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419100</xdr:colOff>
      <xdr:row>5</xdr:row>
      <xdr:rowOff>161925</xdr:rowOff>
    </xdr:from>
    <xdr:to>
      <xdr:col>10</xdr:col>
      <xdr:colOff>19050</xdr:colOff>
      <xdr:row>32</xdr:row>
      <xdr:rowOff>104775</xdr:rowOff>
    </xdr:to>
    <xdr:pic>
      <xdr:nvPicPr>
        <xdr:cNvPr id="6" name="Picture 5">
          <a:extLst>
            <a:ext uri="{FF2B5EF4-FFF2-40B4-BE49-F238E27FC236}">
              <a16:creationId xmlns:a16="http://schemas.microsoft.com/office/drawing/2014/main" id="{B38607FA-0F7C-49D0-BD8C-8C5125FE0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700" y="1143000"/>
          <a:ext cx="5086350" cy="50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304800</xdr:colOff>
      <xdr:row>6</xdr:row>
      <xdr:rowOff>9856</xdr:rowOff>
    </xdr:from>
    <xdr:to>
      <xdr:col>5</xdr:col>
      <xdr:colOff>0</xdr:colOff>
      <xdr:row>29</xdr:row>
      <xdr:rowOff>85860</xdr:rowOff>
    </xdr:to>
    <xdr:pic>
      <xdr:nvPicPr>
        <xdr:cNvPr id="13" name="Picture 12">
          <a:extLst>
            <a:ext uri="{FF2B5EF4-FFF2-40B4-BE49-F238E27FC236}">
              <a16:creationId xmlns:a16="http://schemas.microsoft.com/office/drawing/2014/main" id="{B3BFC0A0-6647-4DF2-AFDB-7206AD3718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152856"/>
          <a:ext cx="2743200" cy="4311454"/>
        </a:xfrm>
        <a:prstGeom prst="rect">
          <a:avLst/>
        </a:prstGeom>
      </xdr:spPr>
    </xdr:pic>
    <xdr:clientData/>
  </xdr:twoCellAnchor>
  <xdr:twoCellAnchor editAs="oneCell">
    <xdr:from>
      <xdr:col>5</xdr:col>
      <xdr:colOff>190500</xdr:colOff>
      <xdr:row>8</xdr:row>
      <xdr:rowOff>31750</xdr:rowOff>
    </xdr:from>
    <xdr:to>
      <xdr:col>10</xdr:col>
      <xdr:colOff>345955</xdr:colOff>
      <xdr:row>29</xdr:row>
      <xdr:rowOff>123960</xdr:rowOff>
    </xdr:to>
    <xdr:pic>
      <xdr:nvPicPr>
        <xdr:cNvPr id="15" name="Picture 14">
          <a:extLst>
            <a:ext uri="{FF2B5EF4-FFF2-40B4-BE49-F238E27FC236}">
              <a16:creationId xmlns:a16="http://schemas.microsoft.com/office/drawing/2014/main" id="{4D112A97-7F72-4BBC-87CC-2397B59717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38500" y="1543050"/>
          <a:ext cx="3203455" cy="395936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374650</xdr:colOff>
      <xdr:row>4</xdr:row>
      <xdr:rowOff>183182</xdr:rowOff>
    </xdr:from>
    <xdr:to>
      <xdr:col>5</xdr:col>
      <xdr:colOff>80777</xdr:colOff>
      <xdr:row>28</xdr:row>
      <xdr:rowOff>92210</xdr:rowOff>
    </xdr:to>
    <xdr:pic>
      <xdr:nvPicPr>
        <xdr:cNvPr id="9" name="Picture 8">
          <a:extLst>
            <a:ext uri="{FF2B5EF4-FFF2-40B4-BE49-F238E27FC236}">
              <a16:creationId xmlns:a16="http://schemas.microsoft.com/office/drawing/2014/main" id="{C672FE1E-3E9D-42A3-8173-7A3CE8C2A9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50" y="957882"/>
          <a:ext cx="2754127" cy="4328628"/>
        </a:xfrm>
        <a:prstGeom prst="rect">
          <a:avLst/>
        </a:prstGeom>
      </xdr:spPr>
    </xdr:pic>
    <xdr:clientData/>
  </xdr:twoCellAnchor>
  <xdr:twoCellAnchor editAs="oneCell">
    <xdr:from>
      <xdr:col>5</xdr:col>
      <xdr:colOff>234950</xdr:colOff>
      <xdr:row>6</xdr:row>
      <xdr:rowOff>80260</xdr:rowOff>
    </xdr:from>
    <xdr:to>
      <xdr:col>10</xdr:col>
      <xdr:colOff>520700</xdr:colOff>
      <xdr:row>28</xdr:row>
      <xdr:rowOff>149360</xdr:rowOff>
    </xdr:to>
    <xdr:pic>
      <xdr:nvPicPr>
        <xdr:cNvPr id="11" name="Picture 10">
          <a:extLst>
            <a:ext uri="{FF2B5EF4-FFF2-40B4-BE49-F238E27FC236}">
              <a16:creationId xmlns:a16="http://schemas.microsoft.com/office/drawing/2014/main" id="{FD008FB4-5AF0-4590-96B3-CC5653EC51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2950" y="1223260"/>
          <a:ext cx="3333750" cy="41204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5</xdr:col>
      <xdr:colOff>80777</xdr:colOff>
      <xdr:row>27</xdr:row>
      <xdr:rowOff>92210</xdr:rowOff>
    </xdr:to>
    <xdr:pic>
      <xdr:nvPicPr>
        <xdr:cNvPr id="19" name="Picture 18">
          <a:extLst>
            <a:ext uri="{FF2B5EF4-FFF2-40B4-BE49-F238E27FC236}">
              <a16:creationId xmlns:a16="http://schemas.microsoft.com/office/drawing/2014/main" id="{69388924-1F86-4DB2-B2B2-2CE3F8C568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143000"/>
          <a:ext cx="2519177" cy="3959360"/>
        </a:xfrm>
        <a:prstGeom prst="rect">
          <a:avLst/>
        </a:prstGeom>
      </xdr:spPr>
    </xdr:pic>
    <xdr:clientData/>
  </xdr:twoCellAnchor>
  <xdr:twoCellAnchor editAs="oneCell">
    <xdr:from>
      <xdr:col>5</xdr:col>
      <xdr:colOff>57150</xdr:colOff>
      <xdr:row>6</xdr:row>
      <xdr:rowOff>95250</xdr:rowOff>
    </xdr:from>
    <xdr:to>
      <xdr:col>10</xdr:col>
      <xdr:colOff>212605</xdr:colOff>
      <xdr:row>28</xdr:row>
      <xdr:rowOff>3310</xdr:rowOff>
    </xdr:to>
    <xdr:pic>
      <xdr:nvPicPr>
        <xdr:cNvPr id="21" name="Picture 20">
          <a:extLst>
            <a:ext uri="{FF2B5EF4-FFF2-40B4-BE49-F238E27FC236}">
              <a16:creationId xmlns:a16="http://schemas.microsoft.com/office/drawing/2014/main" id="{A16447D8-C473-41E6-95A1-DE7AD6CBDA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5150" y="1238250"/>
          <a:ext cx="3203455" cy="395936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2</xdr:col>
      <xdr:colOff>1066800</xdr:colOff>
      <xdr:row>2</xdr:row>
      <xdr:rowOff>6351</xdr:rowOff>
    </xdr:from>
    <xdr:to>
      <xdr:col>7</xdr:col>
      <xdr:colOff>342900</xdr:colOff>
      <xdr:row>5</xdr:row>
      <xdr:rowOff>165100</xdr:rowOff>
    </xdr:to>
    <mc:AlternateContent xmlns:mc="http://schemas.openxmlformats.org/markup-compatibility/2006" xmlns:a14="http://schemas.microsoft.com/office/drawing/2010/main">
      <mc:Choice Requires="a14">
        <xdr:graphicFrame macro="">
          <xdr:nvGraphicFramePr>
            <xdr:cNvPr id="2" name="Year 6">
              <a:extLst>
                <a:ext uri="{FF2B5EF4-FFF2-40B4-BE49-F238E27FC236}">
                  <a16:creationId xmlns:a16="http://schemas.microsoft.com/office/drawing/2014/main" id="{A59C27A6-DFB2-4756-AAB8-9ECFD8B9333E}"/>
                </a:ext>
              </a:extLst>
            </xdr:cNvPr>
            <xdr:cNvGraphicFramePr/>
          </xdr:nvGraphicFramePr>
          <xdr:xfrm>
            <a:off x="0" y="0"/>
            <a:ext cx="0" cy="0"/>
          </xdr:xfrm>
          <a:graphic>
            <a:graphicData uri="http://schemas.microsoft.com/office/drawing/2010/slicer">
              <sle:slicer xmlns:sle="http://schemas.microsoft.com/office/drawing/2010/slicer" name="Year 6"/>
            </a:graphicData>
          </a:graphic>
        </xdr:graphicFrame>
      </mc:Choice>
      <mc:Fallback xmlns="">
        <xdr:sp macro="" textlink="">
          <xdr:nvSpPr>
            <xdr:cNvPr id="0" name=""/>
            <xdr:cNvSpPr>
              <a:spLocks noTextEdit="1"/>
            </xdr:cNvSpPr>
          </xdr:nvSpPr>
          <xdr:spPr>
            <a:xfrm>
              <a:off x="3975100" y="374651"/>
              <a:ext cx="5289550" cy="7111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4.xml><?xml version="1.0" encoding="utf-8"?>
<xdr:wsDr xmlns:xdr="http://schemas.openxmlformats.org/drawingml/2006/spreadsheetDrawing" xmlns:a="http://schemas.openxmlformats.org/drawingml/2006/main">
  <xdr:twoCellAnchor editAs="oneCell">
    <xdr:from>
      <xdr:col>5</xdr:col>
      <xdr:colOff>25400</xdr:colOff>
      <xdr:row>5</xdr:row>
      <xdr:rowOff>6350</xdr:rowOff>
    </xdr:from>
    <xdr:to>
      <xdr:col>13</xdr:col>
      <xdr:colOff>158750</xdr:colOff>
      <xdr:row>7</xdr:row>
      <xdr:rowOff>127000</xdr:rowOff>
    </xdr:to>
    <mc:AlternateContent xmlns:mc="http://schemas.openxmlformats.org/markup-compatibility/2006" xmlns:a14="http://schemas.microsoft.com/office/drawing/2010/main">
      <mc:Choice Requires="a14">
        <xdr:graphicFrame macro="">
          <xdr:nvGraphicFramePr>
            <xdr:cNvPr id="6" name="Year 7">
              <a:extLst>
                <a:ext uri="{FF2B5EF4-FFF2-40B4-BE49-F238E27FC236}">
                  <a16:creationId xmlns:a16="http://schemas.microsoft.com/office/drawing/2014/main" id="{1200F7CC-F1F8-4D9D-8D50-49C53AEA2EE2}"/>
                </a:ext>
              </a:extLst>
            </xdr:cNvPr>
            <xdr:cNvGraphicFramePr/>
          </xdr:nvGraphicFramePr>
          <xdr:xfrm>
            <a:off x="0" y="0"/>
            <a:ext cx="0" cy="0"/>
          </xdr:xfrm>
          <a:graphic>
            <a:graphicData uri="http://schemas.microsoft.com/office/drawing/2010/slicer">
              <sle:slicer xmlns:sle="http://schemas.microsoft.com/office/drawing/2010/slicer" name="Year 7"/>
            </a:graphicData>
          </a:graphic>
        </xdr:graphicFrame>
      </mc:Choice>
      <mc:Fallback xmlns="">
        <xdr:sp macro="" textlink="">
          <xdr:nvSpPr>
            <xdr:cNvPr id="0" name=""/>
            <xdr:cNvSpPr>
              <a:spLocks noTextEdit="1"/>
            </xdr:cNvSpPr>
          </xdr:nvSpPr>
          <xdr:spPr>
            <a:xfrm>
              <a:off x="4584700" y="965200"/>
              <a:ext cx="5162550" cy="5143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5.xml><?xml version="1.0" encoding="utf-8"?>
<xdr:wsDr xmlns:xdr="http://schemas.openxmlformats.org/drawingml/2006/spreadsheetDrawing" xmlns:a="http://schemas.openxmlformats.org/drawingml/2006/main">
  <xdr:twoCellAnchor editAs="oneCell">
    <xdr:from>
      <xdr:col>4</xdr:col>
      <xdr:colOff>463550</xdr:colOff>
      <xdr:row>11</xdr:row>
      <xdr:rowOff>12701</xdr:rowOff>
    </xdr:from>
    <xdr:to>
      <xdr:col>7</xdr:col>
      <xdr:colOff>1016000</xdr:colOff>
      <xdr:row>15</xdr:row>
      <xdr:rowOff>139701</xdr:rowOff>
    </xdr:to>
    <mc:AlternateContent xmlns:mc="http://schemas.openxmlformats.org/markup-compatibility/2006" xmlns:a14="http://schemas.microsoft.com/office/drawing/2010/main">
      <mc:Choice Requires="a14">
        <xdr:graphicFrame macro="">
          <xdr:nvGraphicFramePr>
            <xdr:cNvPr id="3" name="Year 10">
              <a:extLst>
                <a:ext uri="{FF2B5EF4-FFF2-40B4-BE49-F238E27FC236}">
                  <a16:creationId xmlns:a16="http://schemas.microsoft.com/office/drawing/2014/main" id="{FD5CA450-494E-42FE-90ED-5990239F4242}"/>
                </a:ext>
              </a:extLst>
            </xdr:cNvPr>
            <xdr:cNvGraphicFramePr/>
          </xdr:nvGraphicFramePr>
          <xdr:xfrm>
            <a:off x="0" y="0"/>
            <a:ext cx="0" cy="0"/>
          </xdr:xfrm>
          <a:graphic>
            <a:graphicData uri="http://schemas.microsoft.com/office/drawing/2010/slicer">
              <sle:slicer xmlns:sle="http://schemas.microsoft.com/office/drawing/2010/slicer" name="Year 10"/>
            </a:graphicData>
          </a:graphic>
        </xdr:graphicFrame>
      </mc:Choice>
      <mc:Fallback xmlns="">
        <xdr:sp macro="" textlink="">
          <xdr:nvSpPr>
            <xdr:cNvPr id="0" name=""/>
            <xdr:cNvSpPr>
              <a:spLocks noTextEdit="1"/>
            </xdr:cNvSpPr>
          </xdr:nvSpPr>
          <xdr:spPr>
            <a:xfrm>
              <a:off x="4165600" y="2038351"/>
              <a:ext cx="4845050" cy="8636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6.xml><?xml version="1.0" encoding="utf-8"?>
<xdr:wsDr xmlns:xdr="http://schemas.openxmlformats.org/drawingml/2006/spreadsheetDrawing" xmlns:a="http://schemas.openxmlformats.org/drawingml/2006/main">
  <xdr:twoCellAnchor editAs="oneCell">
    <xdr:from>
      <xdr:col>7</xdr:col>
      <xdr:colOff>38100</xdr:colOff>
      <xdr:row>32</xdr:row>
      <xdr:rowOff>63500</xdr:rowOff>
    </xdr:from>
    <xdr:to>
      <xdr:col>12</xdr:col>
      <xdr:colOff>469900</xdr:colOff>
      <xdr:row>34</xdr:row>
      <xdr:rowOff>127000</xdr:rowOff>
    </xdr:to>
    <mc:AlternateContent xmlns:mc="http://schemas.openxmlformats.org/markup-compatibility/2006" xmlns:a14="http://schemas.microsoft.com/office/drawing/2010/main">
      <mc:Choice Requires="a14">
        <xdr:graphicFrame macro="">
          <xdr:nvGraphicFramePr>
            <xdr:cNvPr id="4" name="Year 11">
              <a:extLst>
                <a:ext uri="{FF2B5EF4-FFF2-40B4-BE49-F238E27FC236}">
                  <a16:creationId xmlns:a16="http://schemas.microsoft.com/office/drawing/2014/main" id="{97A62749-7858-463C-9403-E6A0197C6BE0}"/>
                </a:ext>
              </a:extLst>
            </xdr:cNvPr>
            <xdr:cNvGraphicFramePr/>
          </xdr:nvGraphicFramePr>
          <xdr:xfrm>
            <a:off x="0" y="0"/>
            <a:ext cx="0" cy="0"/>
          </xdr:xfrm>
          <a:graphic>
            <a:graphicData uri="http://schemas.microsoft.com/office/drawing/2010/slicer">
              <sle:slicer xmlns:sle="http://schemas.microsoft.com/office/drawing/2010/slicer" name="Year 11"/>
            </a:graphicData>
          </a:graphic>
        </xdr:graphicFrame>
      </mc:Choice>
      <mc:Fallback xmlns="">
        <xdr:sp macro="" textlink="">
          <xdr:nvSpPr>
            <xdr:cNvPr id="0" name=""/>
            <xdr:cNvSpPr>
              <a:spLocks noTextEdit="1"/>
            </xdr:cNvSpPr>
          </xdr:nvSpPr>
          <xdr:spPr>
            <a:xfrm>
              <a:off x="5956300" y="6597650"/>
              <a:ext cx="4845050" cy="4572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7.xml><?xml version="1.0" encoding="utf-8"?>
<xdr:wsDr xmlns:xdr="http://schemas.openxmlformats.org/drawingml/2006/spreadsheetDrawing" xmlns:a="http://schemas.openxmlformats.org/drawingml/2006/main">
  <xdr:twoCellAnchor editAs="oneCell">
    <xdr:from>
      <xdr:col>3</xdr:col>
      <xdr:colOff>450850</xdr:colOff>
      <xdr:row>6</xdr:row>
      <xdr:rowOff>1</xdr:rowOff>
    </xdr:from>
    <xdr:to>
      <xdr:col>7</xdr:col>
      <xdr:colOff>476250</xdr:colOff>
      <xdr:row>10</xdr:row>
      <xdr:rowOff>38100</xdr:rowOff>
    </xdr:to>
    <mc:AlternateContent xmlns:mc="http://schemas.openxmlformats.org/markup-compatibility/2006" xmlns:a14="http://schemas.microsoft.com/office/drawing/2010/main">
      <mc:Choice Requires="a14">
        <xdr:graphicFrame macro="">
          <xdr:nvGraphicFramePr>
            <xdr:cNvPr id="3" name="Year 8">
              <a:extLst>
                <a:ext uri="{FF2B5EF4-FFF2-40B4-BE49-F238E27FC236}">
                  <a16:creationId xmlns:a16="http://schemas.microsoft.com/office/drawing/2014/main" id="{5877EC43-9B6E-4311-8171-74AF5CA388F6}"/>
                </a:ext>
              </a:extLst>
            </xdr:cNvPr>
            <xdr:cNvGraphicFramePr/>
          </xdr:nvGraphicFramePr>
          <xdr:xfrm>
            <a:off x="0" y="0"/>
            <a:ext cx="0" cy="0"/>
          </xdr:xfrm>
          <a:graphic>
            <a:graphicData uri="http://schemas.microsoft.com/office/drawing/2010/slicer">
              <sle:slicer xmlns:sle="http://schemas.microsoft.com/office/drawing/2010/slicer" name="Year 8"/>
            </a:graphicData>
          </a:graphic>
        </xdr:graphicFrame>
      </mc:Choice>
      <mc:Fallback xmlns="">
        <xdr:sp macro="" textlink="">
          <xdr:nvSpPr>
            <xdr:cNvPr id="0" name=""/>
            <xdr:cNvSpPr>
              <a:spLocks noTextEdit="1"/>
            </xdr:cNvSpPr>
          </xdr:nvSpPr>
          <xdr:spPr>
            <a:xfrm>
              <a:off x="3797300" y="1104901"/>
              <a:ext cx="5232400" cy="7746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8.xml><?xml version="1.0" encoding="utf-8"?>
<xdr:wsDr xmlns:xdr="http://schemas.openxmlformats.org/drawingml/2006/spreadsheetDrawing" xmlns:a="http://schemas.openxmlformats.org/drawingml/2006/main">
  <xdr:twoCellAnchor editAs="oneCell">
    <xdr:from>
      <xdr:col>3</xdr:col>
      <xdr:colOff>584200</xdr:colOff>
      <xdr:row>5</xdr:row>
      <xdr:rowOff>19051</xdr:rowOff>
    </xdr:from>
    <xdr:to>
      <xdr:col>11</xdr:col>
      <xdr:colOff>12700</xdr:colOff>
      <xdr:row>7</xdr:row>
      <xdr:rowOff>69851</xdr:rowOff>
    </xdr:to>
    <mc:AlternateContent xmlns:mc="http://schemas.openxmlformats.org/markup-compatibility/2006" xmlns:a14="http://schemas.microsoft.com/office/drawing/2010/main">
      <mc:Choice Requires="a14">
        <xdr:graphicFrame macro="">
          <xdr:nvGraphicFramePr>
            <xdr:cNvPr id="3" name="Year 9">
              <a:extLst>
                <a:ext uri="{FF2B5EF4-FFF2-40B4-BE49-F238E27FC236}">
                  <a16:creationId xmlns:a16="http://schemas.microsoft.com/office/drawing/2014/main" id="{18073988-7265-4461-B47E-C2FEA69580DC}"/>
                </a:ext>
              </a:extLst>
            </xdr:cNvPr>
            <xdr:cNvGraphicFramePr/>
          </xdr:nvGraphicFramePr>
          <xdr:xfrm>
            <a:off x="0" y="0"/>
            <a:ext cx="0" cy="0"/>
          </xdr:xfrm>
          <a:graphic>
            <a:graphicData uri="http://schemas.microsoft.com/office/drawing/2010/slicer">
              <sle:slicer xmlns:sle="http://schemas.microsoft.com/office/drawing/2010/slicer" name="Year 9"/>
            </a:graphicData>
          </a:graphic>
        </xdr:graphicFrame>
      </mc:Choice>
      <mc:Fallback xmlns="">
        <xdr:sp macro="" textlink="">
          <xdr:nvSpPr>
            <xdr:cNvPr id="0" name=""/>
            <xdr:cNvSpPr>
              <a:spLocks noTextEdit="1"/>
            </xdr:cNvSpPr>
          </xdr:nvSpPr>
          <xdr:spPr>
            <a:xfrm>
              <a:off x="4171950" y="977901"/>
              <a:ext cx="5232400" cy="444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9.xml><?xml version="1.0" encoding="utf-8"?>
<xdr:wsDr xmlns:xdr="http://schemas.openxmlformats.org/drawingml/2006/spreadsheetDrawing" xmlns:a="http://schemas.openxmlformats.org/drawingml/2006/main">
  <xdr:twoCellAnchor editAs="oneCell">
    <xdr:from>
      <xdr:col>6</xdr:col>
      <xdr:colOff>203200</xdr:colOff>
      <xdr:row>11</xdr:row>
      <xdr:rowOff>12701</xdr:rowOff>
    </xdr:from>
    <xdr:to>
      <xdr:col>14</xdr:col>
      <xdr:colOff>38100</xdr:colOff>
      <xdr:row>15</xdr:row>
      <xdr:rowOff>76200</xdr:rowOff>
    </xdr:to>
    <mc:AlternateContent xmlns:mc="http://schemas.openxmlformats.org/markup-compatibility/2006" xmlns:a14="http://schemas.microsoft.com/office/drawing/2010/main">
      <mc:Choice Requires="a14">
        <xdr:graphicFrame macro="">
          <xdr:nvGraphicFramePr>
            <xdr:cNvPr id="2" name="Year 12">
              <a:extLst>
                <a:ext uri="{FF2B5EF4-FFF2-40B4-BE49-F238E27FC236}">
                  <a16:creationId xmlns:a16="http://schemas.microsoft.com/office/drawing/2014/main" id="{8F9B6AD5-A5AA-4884-AA64-BBA54C8065A2}"/>
                </a:ext>
              </a:extLst>
            </xdr:cNvPr>
            <xdr:cNvGraphicFramePr/>
          </xdr:nvGraphicFramePr>
          <xdr:xfrm>
            <a:off x="0" y="0"/>
            <a:ext cx="0" cy="0"/>
          </xdr:xfrm>
          <a:graphic>
            <a:graphicData uri="http://schemas.microsoft.com/office/drawing/2010/slicer">
              <sle:slicer xmlns:sle="http://schemas.microsoft.com/office/drawing/2010/slicer" name="Year 12"/>
            </a:graphicData>
          </a:graphic>
        </xdr:graphicFrame>
      </mc:Choice>
      <mc:Fallback xmlns="">
        <xdr:sp macro="" textlink="">
          <xdr:nvSpPr>
            <xdr:cNvPr id="0" name=""/>
            <xdr:cNvSpPr>
              <a:spLocks noTextEdit="1"/>
            </xdr:cNvSpPr>
          </xdr:nvSpPr>
          <xdr:spPr>
            <a:xfrm>
              <a:off x="4165600" y="2038351"/>
              <a:ext cx="5257800" cy="8000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73020</xdr:colOff>
      <xdr:row>5</xdr:row>
      <xdr:rowOff>19050</xdr:rowOff>
    </xdr:from>
    <xdr:to>
      <xdr:col>13</xdr:col>
      <xdr:colOff>304799</xdr:colOff>
      <xdr:row>30</xdr:row>
      <xdr:rowOff>38100</xdr:rowOff>
    </xdr:to>
    <xdr:pic>
      <xdr:nvPicPr>
        <xdr:cNvPr id="3" name="Picture 2">
          <a:extLst>
            <a:ext uri="{FF2B5EF4-FFF2-40B4-BE49-F238E27FC236}">
              <a16:creationId xmlns:a16="http://schemas.microsoft.com/office/drawing/2014/main" id="{10E82BFC-F29A-47AD-BBC7-FC1C99C86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620" y="1000125"/>
          <a:ext cx="7546979" cy="47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190500</xdr:colOff>
      <xdr:row>3</xdr:row>
      <xdr:rowOff>139701</xdr:rowOff>
    </xdr:from>
    <xdr:to>
      <xdr:col>9</xdr:col>
      <xdr:colOff>450850</xdr:colOff>
      <xdr:row>6</xdr:row>
      <xdr:rowOff>19050</xdr:rowOff>
    </xdr:to>
    <mc:AlternateContent xmlns:mc="http://schemas.openxmlformats.org/markup-compatibility/2006" xmlns:a14="http://schemas.microsoft.com/office/drawing/2010/main">
      <mc:Choice Requires="a14">
        <xdr:graphicFrame macro="">
          <xdr:nvGraphicFramePr>
            <xdr:cNvPr id="3" name="Year 13">
              <a:extLst>
                <a:ext uri="{FF2B5EF4-FFF2-40B4-BE49-F238E27FC236}">
                  <a16:creationId xmlns:a16="http://schemas.microsoft.com/office/drawing/2014/main" id="{B550B5CF-83E2-4C60-805B-9054AA3A76B6}"/>
                </a:ext>
              </a:extLst>
            </xdr:cNvPr>
            <xdr:cNvGraphicFramePr/>
          </xdr:nvGraphicFramePr>
          <xdr:xfrm>
            <a:off x="0" y="0"/>
            <a:ext cx="0" cy="0"/>
          </xdr:xfrm>
          <a:graphic>
            <a:graphicData uri="http://schemas.microsoft.com/office/drawing/2010/slicer">
              <sle:slicer xmlns:sle="http://schemas.microsoft.com/office/drawing/2010/slicer" name="Year 13"/>
            </a:graphicData>
          </a:graphic>
        </xdr:graphicFrame>
      </mc:Choice>
      <mc:Fallback xmlns="">
        <xdr:sp macro="" textlink="">
          <xdr:nvSpPr>
            <xdr:cNvPr id="0" name=""/>
            <xdr:cNvSpPr>
              <a:spLocks noTextEdit="1"/>
            </xdr:cNvSpPr>
          </xdr:nvSpPr>
          <xdr:spPr>
            <a:xfrm>
              <a:off x="4178300" y="704851"/>
              <a:ext cx="5257800" cy="4444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336550</xdr:colOff>
      <xdr:row>30</xdr:row>
      <xdr:rowOff>57151</xdr:rowOff>
    </xdr:from>
    <xdr:to>
      <xdr:col>9</xdr:col>
      <xdr:colOff>596900</xdr:colOff>
      <xdr:row>32</xdr:row>
      <xdr:rowOff>139701</xdr:rowOff>
    </xdr:to>
    <mc:AlternateContent xmlns:mc="http://schemas.openxmlformats.org/markup-compatibility/2006" xmlns:a14="http://schemas.microsoft.com/office/drawing/2010/main">
      <mc:Choice Requires="a14">
        <xdr:graphicFrame macro="">
          <xdr:nvGraphicFramePr>
            <xdr:cNvPr id="4" name="Year 38">
              <a:extLst>
                <a:ext uri="{FF2B5EF4-FFF2-40B4-BE49-F238E27FC236}">
                  <a16:creationId xmlns:a16="http://schemas.microsoft.com/office/drawing/2014/main" id="{7A3A7C02-003F-4D15-A18B-E355F79FAF63}"/>
                </a:ext>
              </a:extLst>
            </xdr:cNvPr>
            <xdr:cNvGraphicFramePr/>
          </xdr:nvGraphicFramePr>
          <xdr:xfrm>
            <a:off x="0" y="0"/>
            <a:ext cx="0" cy="0"/>
          </xdr:xfrm>
          <a:graphic>
            <a:graphicData uri="http://schemas.microsoft.com/office/drawing/2010/slicer">
              <sle:slicer xmlns:sle="http://schemas.microsoft.com/office/drawing/2010/slicer" name="Year 38"/>
            </a:graphicData>
          </a:graphic>
        </xdr:graphicFrame>
      </mc:Choice>
      <mc:Fallback xmlns="">
        <xdr:sp macro="" textlink="">
          <xdr:nvSpPr>
            <xdr:cNvPr id="0" name=""/>
            <xdr:cNvSpPr>
              <a:spLocks noTextEdit="1"/>
            </xdr:cNvSpPr>
          </xdr:nvSpPr>
          <xdr:spPr>
            <a:xfrm>
              <a:off x="4324350" y="5930901"/>
              <a:ext cx="5257800" cy="4508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584202</xdr:colOff>
      <xdr:row>4</xdr:row>
      <xdr:rowOff>171450</xdr:rowOff>
    </xdr:from>
    <xdr:to>
      <xdr:col>10</xdr:col>
      <xdr:colOff>431896</xdr:colOff>
      <xdr:row>31</xdr:row>
      <xdr:rowOff>0</xdr:rowOff>
    </xdr:to>
    <xdr:pic>
      <xdr:nvPicPr>
        <xdr:cNvPr id="4" name="Picture 3">
          <a:extLst>
            <a:ext uri="{FF2B5EF4-FFF2-40B4-BE49-F238E27FC236}">
              <a16:creationId xmlns:a16="http://schemas.microsoft.com/office/drawing/2014/main" id="{6C0A2374-566B-4924-B3CD-EF103A44C6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3802" y="946150"/>
          <a:ext cx="5334094" cy="48006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482600</xdr:colOff>
      <xdr:row>5</xdr:row>
      <xdr:rowOff>19050</xdr:rowOff>
    </xdr:from>
    <xdr:to>
      <xdr:col>14</xdr:col>
      <xdr:colOff>186996</xdr:colOff>
      <xdr:row>34</xdr:row>
      <xdr:rowOff>171450</xdr:rowOff>
    </xdr:to>
    <xdr:pic>
      <xdr:nvPicPr>
        <xdr:cNvPr id="3" name="Picture 2">
          <a:extLst>
            <a:ext uri="{FF2B5EF4-FFF2-40B4-BE49-F238E27FC236}">
              <a16:creationId xmlns:a16="http://schemas.microsoft.com/office/drawing/2014/main" id="{B9BBFAC6-ADD1-4137-ABE9-8BB0B30DE8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2200" y="977900"/>
          <a:ext cx="7629196" cy="549275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2</xdr:col>
      <xdr:colOff>1</xdr:colOff>
      <xdr:row>5</xdr:row>
      <xdr:rowOff>0</xdr:rowOff>
    </xdr:from>
    <xdr:to>
      <xdr:col>12</xdr:col>
      <xdr:colOff>25400</xdr:colOff>
      <xdr:row>34</xdr:row>
      <xdr:rowOff>168813</xdr:rowOff>
    </xdr:to>
    <xdr:pic>
      <xdr:nvPicPr>
        <xdr:cNvPr id="3" name="Picture 2">
          <a:extLst>
            <a:ext uri="{FF2B5EF4-FFF2-40B4-BE49-F238E27FC236}">
              <a16:creationId xmlns:a16="http://schemas.microsoft.com/office/drawing/2014/main" id="{6CDA946F-43A7-4164-AD2F-740F8BDFD0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1" y="958850"/>
          <a:ext cx="6121399" cy="5509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rescotland.local\dfs\Users\gregor.welsh\Downloads\fire_safety_and_organisational_statistics_tables_2016_17%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rescotland.local\dfs\Revised%20Tables%20and%20Charts\Fire%20Safety%20and%20Organisational%20Statistics%20Tables%202016-17%20NOT%20PROT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Year - Set as Hidden"/>
      <sheetName val="Information"/>
      <sheetName val="Contents"/>
      <sheetName val="Notes - workforce"/>
      <sheetName val="Table 1a and 1b"/>
      <sheetName val="Table 2, 2a and 2b"/>
      <sheetName val="Table 3"/>
      <sheetName val="Table 4"/>
      <sheetName val="Table 4b"/>
      <sheetName val="Tables 4c and 4d"/>
      <sheetName val="Table 4e"/>
      <sheetName val="Table 5a"/>
      <sheetName val="Table 5b"/>
      <sheetName val="Tables 5c and 5d"/>
      <sheetName val="Table 6"/>
      <sheetName val="Table 7"/>
      <sheetName val="Table 8"/>
      <sheetName val="Table 10 and 10a"/>
      <sheetName val="Table 11"/>
      <sheetName val="Table 12 and 12a"/>
      <sheetName val="Table 13"/>
      <sheetName val="Tables 13a"/>
      <sheetName val="Table 14"/>
      <sheetName val="Table 14a"/>
      <sheetName val="Tables 15, 15a and 15b"/>
      <sheetName val="Table 16"/>
      <sheetName val="Tables 17, 17a and 17b"/>
      <sheetName val="Table 18 and 18a"/>
      <sheetName val="Tables 19"/>
      <sheetName val="Table 19a"/>
      <sheetName val="Table 19b"/>
      <sheetName val="Table 20"/>
      <sheetName val="Table 20a"/>
      <sheetName val="Table 21 and 21a"/>
      <sheetName val="Table 22"/>
      <sheetName val="Table 23"/>
      <sheetName val="Table 23a and 23b"/>
      <sheetName val="Table 24"/>
      <sheetName val="Chart 1"/>
      <sheetName val="Chart 2"/>
      <sheetName val="Chart 3"/>
      <sheetName val="Chart 4"/>
      <sheetName val="Chart 4a"/>
      <sheetName val="Chart 4b"/>
      <sheetName val="Chart 4c"/>
      <sheetName val="Chart 4d"/>
      <sheetName val="Chart 5"/>
      <sheetName val="Chart 6"/>
      <sheetName val="Chart 7"/>
      <sheetName val="Chart 8"/>
      <sheetName val="Chart 9"/>
      <sheetName val="Chart 10"/>
      <sheetName val="Chart 11"/>
      <sheetName val="Chart 12"/>
      <sheetName val="Chart 13"/>
    </sheetNames>
    <sheetDataSet>
      <sheetData sheetId="0" refreshError="1">
        <row r="5">
          <cell r="D5" t="str">
            <v>2016-17</v>
          </cell>
        </row>
      </sheetData>
      <sheetData sheetId="1" refreshError="1"/>
      <sheetData sheetId="2" refreshError="1"/>
      <sheetData sheetId="3" refreshError="1"/>
      <sheetData sheetId="4" refreshError="1">
        <row r="10">
          <cell r="B10">
            <v>3645</v>
          </cell>
          <cell r="C10">
            <v>2870</v>
          </cell>
          <cell r="D10">
            <v>165</v>
          </cell>
          <cell r="E10">
            <v>838</v>
          </cell>
          <cell r="F10">
            <v>316</v>
          </cell>
          <cell r="H10">
            <v>7834</v>
          </cell>
          <cell r="J10">
            <v>7518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scal Year - Set as Hidden"/>
      <sheetName val="Information"/>
      <sheetName val="Contents"/>
      <sheetName val="Notes - workforce"/>
      <sheetName val="Table 1a and 1b"/>
      <sheetName val="Table 2, 2a and 2b"/>
      <sheetName val="Table 3"/>
      <sheetName val="Table 4"/>
      <sheetName val="Table 4b"/>
      <sheetName val="Tables 4c and 4d"/>
      <sheetName val="Table 4e"/>
      <sheetName val="Table 5a"/>
      <sheetName val="Table 5b"/>
      <sheetName val="Tables 5c and 5d"/>
      <sheetName val="Table 6"/>
      <sheetName val="Table 7"/>
      <sheetName val="Table 8"/>
      <sheetName val="Table 10 and 10a"/>
      <sheetName val="Table 11"/>
      <sheetName val="Table 12 and 12a"/>
      <sheetName val="Table 13"/>
      <sheetName val="Tables 13a"/>
      <sheetName val="Table 14"/>
      <sheetName val="Table 14a"/>
      <sheetName val="Tables 15, 15a and 15b"/>
      <sheetName val="Table 16"/>
      <sheetName val="Tables 17, 17a and 17b"/>
      <sheetName val="Table 18 and 18a"/>
      <sheetName val="Tables 19"/>
      <sheetName val="Table 19a"/>
      <sheetName val="Table 19b"/>
      <sheetName val="Table 20"/>
      <sheetName val="Table 20a"/>
      <sheetName val="Table 21 and 21a"/>
      <sheetName val="Table 22"/>
      <sheetName val="Table 23"/>
      <sheetName val="Table 23a and 23b"/>
      <sheetName val="Table 24"/>
      <sheetName val="Chart 1"/>
      <sheetName val="Chart 2"/>
      <sheetName val="Chart 3"/>
      <sheetName val="Chart 4"/>
      <sheetName val="Chart 4a"/>
      <sheetName val="Chart 4b"/>
      <sheetName val="Chart 4c"/>
      <sheetName val="Chart 4d"/>
      <sheetName val="Chart 5"/>
      <sheetName val="Chart 6"/>
      <sheetName val="Chart 7"/>
      <sheetName val="Chart 8"/>
      <sheetName val="Chart 9"/>
      <sheetName val="Chart 10"/>
      <sheetName val="Chart 11"/>
      <sheetName val="Chart 12"/>
      <sheetName val="Chart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5">
          <cell r="C5">
            <v>3</v>
          </cell>
          <cell r="D5">
            <v>7</v>
          </cell>
        </row>
        <row r="6">
          <cell r="C6">
            <v>1</v>
          </cell>
          <cell r="D6">
            <v>18</v>
          </cell>
        </row>
        <row r="7">
          <cell r="C7">
            <v>1</v>
          </cell>
          <cell r="D7">
            <v>19</v>
          </cell>
        </row>
        <row r="8">
          <cell r="C8">
            <v>2</v>
          </cell>
          <cell r="D8">
            <v>12</v>
          </cell>
        </row>
        <row r="9">
          <cell r="C9">
            <v>1</v>
          </cell>
          <cell r="D9">
            <v>20</v>
          </cell>
        </row>
        <row r="10">
          <cell r="C10">
            <v>1</v>
          </cell>
          <cell r="D10">
            <v>21</v>
          </cell>
        </row>
        <row r="11">
          <cell r="C11">
            <v>4</v>
          </cell>
          <cell r="D11">
            <v>4</v>
          </cell>
        </row>
        <row r="12">
          <cell r="C12">
            <v>1</v>
          </cell>
          <cell r="D12">
            <v>22</v>
          </cell>
        </row>
        <row r="13">
          <cell r="C13">
            <v>3</v>
          </cell>
          <cell r="D13">
            <v>8</v>
          </cell>
        </row>
        <row r="14">
          <cell r="C14">
            <v>1</v>
          </cell>
          <cell r="D14">
            <v>23</v>
          </cell>
        </row>
        <row r="15">
          <cell r="C15">
            <v>2</v>
          </cell>
          <cell r="D15">
            <v>13</v>
          </cell>
        </row>
        <row r="16">
          <cell r="C16">
            <v>7</v>
          </cell>
          <cell r="D16">
            <v>2</v>
          </cell>
        </row>
        <row r="17">
          <cell r="C17">
            <v>3</v>
          </cell>
          <cell r="D17">
            <v>9</v>
          </cell>
        </row>
        <row r="18">
          <cell r="C18">
            <v>5</v>
          </cell>
          <cell r="D18">
            <v>3</v>
          </cell>
        </row>
        <row r="19">
          <cell r="C19">
            <v>11</v>
          </cell>
          <cell r="D19">
            <v>1</v>
          </cell>
        </row>
        <row r="20">
          <cell r="C20">
            <v>1</v>
          </cell>
          <cell r="D20">
            <v>24</v>
          </cell>
        </row>
        <row r="21">
          <cell r="C21">
            <v>2</v>
          </cell>
          <cell r="D21">
            <v>14</v>
          </cell>
        </row>
        <row r="22">
          <cell r="C22">
            <v>1</v>
          </cell>
          <cell r="D22">
            <v>25</v>
          </cell>
        </row>
        <row r="23">
          <cell r="C23">
            <v>1</v>
          </cell>
          <cell r="D23">
            <v>26</v>
          </cell>
        </row>
        <row r="24">
          <cell r="C24">
            <v>0</v>
          </cell>
          <cell r="D24">
            <v>30</v>
          </cell>
        </row>
        <row r="25">
          <cell r="C25">
            <v>3</v>
          </cell>
          <cell r="D25">
            <v>10</v>
          </cell>
        </row>
        <row r="26">
          <cell r="C26">
            <v>4</v>
          </cell>
          <cell r="D26">
            <v>5</v>
          </cell>
        </row>
        <row r="27">
          <cell r="C27">
            <v>0</v>
          </cell>
          <cell r="D27">
            <v>31</v>
          </cell>
        </row>
        <row r="28">
          <cell r="C28">
            <v>1</v>
          </cell>
          <cell r="D28">
            <v>27</v>
          </cell>
        </row>
        <row r="29">
          <cell r="C29">
            <v>3</v>
          </cell>
          <cell r="D29">
            <v>11</v>
          </cell>
        </row>
        <row r="30">
          <cell r="C30">
            <v>2</v>
          </cell>
          <cell r="D30">
            <v>15</v>
          </cell>
        </row>
        <row r="31">
          <cell r="C31">
            <v>0</v>
          </cell>
          <cell r="D31">
            <v>32</v>
          </cell>
        </row>
        <row r="32">
          <cell r="C32">
            <v>1</v>
          </cell>
          <cell r="D32">
            <v>28</v>
          </cell>
        </row>
        <row r="33">
          <cell r="C33">
            <v>4</v>
          </cell>
          <cell r="D33">
            <v>6</v>
          </cell>
        </row>
        <row r="34">
          <cell r="C34">
            <v>1</v>
          </cell>
          <cell r="D34">
            <v>29</v>
          </cell>
        </row>
        <row r="35">
          <cell r="C35">
            <v>2</v>
          </cell>
          <cell r="D35">
            <v>16</v>
          </cell>
        </row>
        <row r="36">
          <cell r="C36">
            <v>2</v>
          </cell>
          <cell r="D36">
            <v>17</v>
          </cell>
        </row>
      </sheetData>
      <sheetData sheetId="43">
        <row r="5">
          <cell r="C5">
            <v>1</v>
          </cell>
          <cell r="D5">
            <v>22</v>
          </cell>
        </row>
        <row r="6">
          <cell r="C6">
            <v>23</v>
          </cell>
          <cell r="D6">
            <v>2</v>
          </cell>
        </row>
        <row r="7">
          <cell r="C7">
            <v>5</v>
          </cell>
          <cell r="D7">
            <v>16</v>
          </cell>
        </row>
        <row r="8">
          <cell r="C8">
            <v>12</v>
          </cell>
          <cell r="D8">
            <v>6</v>
          </cell>
        </row>
        <row r="9">
          <cell r="C9">
            <v>1</v>
          </cell>
          <cell r="D9">
            <v>23</v>
          </cell>
        </row>
        <row r="10">
          <cell r="C10">
            <v>15</v>
          </cell>
          <cell r="D10">
            <v>3</v>
          </cell>
        </row>
        <row r="11">
          <cell r="C11">
            <v>0</v>
          </cell>
          <cell r="D11">
            <v>28</v>
          </cell>
        </row>
        <row r="12">
          <cell r="C12">
            <v>7</v>
          </cell>
          <cell r="D12">
            <v>14</v>
          </cell>
        </row>
        <row r="13">
          <cell r="C13">
            <v>0</v>
          </cell>
          <cell r="D13">
            <v>29</v>
          </cell>
        </row>
        <row r="14">
          <cell r="C14">
            <v>5</v>
          </cell>
          <cell r="D14">
            <v>17</v>
          </cell>
        </row>
        <row r="15">
          <cell r="C15">
            <v>0</v>
          </cell>
          <cell r="D15">
            <v>30</v>
          </cell>
        </row>
        <row r="16">
          <cell r="C16">
            <v>1</v>
          </cell>
          <cell r="D16">
            <v>24</v>
          </cell>
        </row>
        <row r="17">
          <cell r="C17">
            <v>2</v>
          </cell>
          <cell r="D17">
            <v>21</v>
          </cell>
        </row>
        <row r="18">
          <cell r="C18">
            <v>8</v>
          </cell>
          <cell r="D18">
            <v>12</v>
          </cell>
        </row>
        <row r="19">
          <cell r="C19">
            <v>0</v>
          </cell>
          <cell r="D19">
            <v>31</v>
          </cell>
        </row>
        <row r="20">
          <cell r="C20">
            <v>51</v>
          </cell>
          <cell r="D20">
            <v>1</v>
          </cell>
        </row>
        <row r="21">
          <cell r="C21">
            <v>1</v>
          </cell>
          <cell r="D21">
            <v>25</v>
          </cell>
        </row>
        <row r="22">
          <cell r="C22">
            <v>1</v>
          </cell>
          <cell r="D22">
            <v>26</v>
          </cell>
        </row>
        <row r="23">
          <cell r="C23">
            <v>10</v>
          </cell>
          <cell r="D23">
            <v>9</v>
          </cell>
        </row>
        <row r="24">
          <cell r="C24">
            <v>14</v>
          </cell>
          <cell r="D24">
            <v>4</v>
          </cell>
        </row>
        <row r="25">
          <cell r="C25">
            <v>8</v>
          </cell>
          <cell r="D25">
            <v>13</v>
          </cell>
        </row>
        <row r="26">
          <cell r="C26">
            <v>3</v>
          </cell>
          <cell r="D26">
            <v>20</v>
          </cell>
        </row>
        <row r="27">
          <cell r="C27">
            <v>12</v>
          </cell>
          <cell r="D27">
            <v>7</v>
          </cell>
        </row>
        <row r="28">
          <cell r="C28">
            <v>10</v>
          </cell>
          <cell r="D28">
            <v>10</v>
          </cell>
        </row>
        <row r="29">
          <cell r="C29">
            <v>0</v>
          </cell>
          <cell r="D29">
            <v>32</v>
          </cell>
        </row>
        <row r="30">
          <cell r="C30">
            <v>11</v>
          </cell>
          <cell r="D30">
            <v>8</v>
          </cell>
        </row>
        <row r="31">
          <cell r="C31">
            <v>14</v>
          </cell>
          <cell r="D31">
            <v>5</v>
          </cell>
        </row>
        <row r="32">
          <cell r="C32">
            <v>4</v>
          </cell>
          <cell r="D32">
            <v>18</v>
          </cell>
        </row>
        <row r="33">
          <cell r="C33">
            <v>7</v>
          </cell>
          <cell r="D33">
            <v>15</v>
          </cell>
        </row>
        <row r="34">
          <cell r="C34">
            <v>9</v>
          </cell>
          <cell r="D34">
            <v>11</v>
          </cell>
        </row>
        <row r="35">
          <cell r="C35">
            <v>1</v>
          </cell>
          <cell r="D35">
            <v>27</v>
          </cell>
        </row>
        <row r="36">
          <cell r="C36">
            <v>4</v>
          </cell>
          <cell r="D36">
            <v>19</v>
          </cell>
        </row>
      </sheetData>
      <sheetData sheetId="44">
        <row r="5">
          <cell r="C5">
            <v>0</v>
          </cell>
          <cell r="D5">
            <v>7</v>
          </cell>
        </row>
        <row r="6">
          <cell r="C6">
            <v>0</v>
          </cell>
          <cell r="D6">
            <v>8</v>
          </cell>
        </row>
        <row r="7">
          <cell r="C7">
            <v>0</v>
          </cell>
          <cell r="D7">
            <v>9</v>
          </cell>
        </row>
        <row r="8">
          <cell r="C8">
            <v>25</v>
          </cell>
          <cell r="D8">
            <v>1</v>
          </cell>
        </row>
        <row r="9">
          <cell r="C9">
            <v>0</v>
          </cell>
          <cell r="D9">
            <v>10</v>
          </cell>
        </row>
        <row r="10">
          <cell r="C10">
            <v>1</v>
          </cell>
          <cell r="D10">
            <v>5</v>
          </cell>
        </row>
        <row r="11">
          <cell r="C11">
            <v>0</v>
          </cell>
          <cell r="D11">
            <v>11</v>
          </cell>
        </row>
        <row r="12">
          <cell r="C12">
            <v>0</v>
          </cell>
          <cell r="D12">
            <v>12</v>
          </cell>
        </row>
        <row r="13">
          <cell r="C13">
            <v>0</v>
          </cell>
          <cell r="D13">
            <v>13</v>
          </cell>
        </row>
        <row r="14">
          <cell r="C14">
            <v>0</v>
          </cell>
          <cell r="D14">
            <v>14</v>
          </cell>
        </row>
        <row r="15">
          <cell r="C15">
            <v>0</v>
          </cell>
          <cell r="D15">
            <v>15</v>
          </cell>
        </row>
        <row r="16">
          <cell r="C16">
            <v>0</v>
          </cell>
          <cell r="D16">
            <v>16</v>
          </cell>
        </row>
        <row r="17">
          <cell r="C17">
            <v>0</v>
          </cell>
          <cell r="D17">
            <v>17</v>
          </cell>
        </row>
        <row r="18">
          <cell r="C18">
            <v>0</v>
          </cell>
          <cell r="D18">
            <v>18</v>
          </cell>
        </row>
        <row r="19">
          <cell r="C19">
            <v>0</v>
          </cell>
          <cell r="D19">
            <v>19</v>
          </cell>
        </row>
        <row r="20">
          <cell r="C20">
            <v>9</v>
          </cell>
          <cell r="D20">
            <v>2</v>
          </cell>
        </row>
        <row r="21">
          <cell r="C21">
            <v>0</v>
          </cell>
          <cell r="D21">
            <v>20</v>
          </cell>
        </row>
        <row r="22">
          <cell r="C22">
            <v>0</v>
          </cell>
          <cell r="D22">
            <v>21</v>
          </cell>
        </row>
        <row r="23">
          <cell r="C23">
            <v>0</v>
          </cell>
          <cell r="D23">
            <v>22</v>
          </cell>
        </row>
        <row r="24">
          <cell r="C24">
            <v>0</v>
          </cell>
          <cell r="D24">
            <v>23</v>
          </cell>
        </row>
        <row r="25">
          <cell r="C25">
            <v>3</v>
          </cell>
          <cell r="D25">
            <v>3</v>
          </cell>
        </row>
        <row r="26">
          <cell r="C26">
            <v>0</v>
          </cell>
          <cell r="D26">
            <v>24</v>
          </cell>
        </row>
        <row r="27">
          <cell r="C27">
            <v>0</v>
          </cell>
          <cell r="D27">
            <v>25</v>
          </cell>
        </row>
        <row r="28">
          <cell r="C28">
            <v>3</v>
          </cell>
          <cell r="D28">
            <v>4</v>
          </cell>
        </row>
        <row r="29">
          <cell r="C29">
            <v>0</v>
          </cell>
          <cell r="D29">
            <v>26</v>
          </cell>
        </row>
        <row r="30">
          <cell r="C30">
            <v>0</v>
          </cell>
          <cell r="D30">
            <v>27</v>
          </cell>
        </row>
        <row r="31">
          <cell r="C31">
            <v>0</v>
          </cell>
          <cell r="D31">
            <v>28</v>
          </cell>
        </row>
        <row r="32">
          <cell r="C32">
            <v>0</v>
          </cell>
          <cell r="D32">
            <v>29</v>
          </cell>
        </row>
        <row r="33">
          <cell r="C33">
            <v>1</v>
          </cell>
          <cell r="D33">
            <v>6</v>
          </cell>
        </row>
        <row r="34">
          <cell r="C34">
            <v>0</v>
          </cell>
          <cell r="D34">
            <v>30</v>
          </cell>
        </row>
        <row r="35">
          <cell r="C35">
            <v>0</v>
          </cell>
          <cell r="D35">
            <v>31</v>
          </cell>
        </row>
        <row r="36">
          <cell r="C36">
            <v>0</v>
          </cell>
          <cell r="D36">
            <v>32</v>
          </cell>
        </row>
      </sheetData>
      <sheetData sheetId="45">
        <row r="5">
          <cell r="C5">
            <v>4</v>
          </cell>
          <cell r="D5">
            <v>24</v>
          </cell>
        </row>
        <row r="6">
          <cell r="C6">
            <v>24</v>
          </cell>
          <cell r="D6">
            <v>3</v>
          </cell>
        </row>
        <row r="7">
          <cell r="C7">
            <v>6</v>
          </cell>
          <cell r="D7">
            <v>19</v>
          </cell>
        </row>
        <row r="8">
          <cell r="C8">
            <v>39</v>
          </cell>
          <cell r="D8">
            <v>2</v>
          </cell>
        </row>
        <row r="9">
          <cell r="C9">
            <v>2</v>
          </cell>
          <cell r="D9">
            <v>30</v>
          </cell>
        </row>
        <row r="10">
          <cell r="C10">
            <v>17</v>
          </cell>
          <cell r="D10">
            <v>4</v>
          </cell>
        </row>
        <row r="11">
          <cell r="C11">
            <v>4</v>
          </cell>
          <cell r="D11">
            <v>25</v>
          </cell>
        </row>
        <row r="12">
          <cell r="C12">
            <v>8</v>
          </cell>
          <cell r="D12">
            <v>16</v>
          </cell>
        </row>
        <row r="13">
          <cell r="C13">
            <v>3</v>
          </cell>
          <cell r="D13">
            <v>26</v>
          </cell>
        </row>
        <row r="14">
          <cell r="C14">
            <v>6</v>
          </cell>
          <cell r="D14">
            <v>20</v>
          </cell>
        </row>
        <row r="15">
          <cell r="C15">
            <v>2</v>
          </cell>
          <cell r="D15">
            <v>31</v>
          </cell>
        </row>
        <row r="16">
          <cell r="C16">
            <v>8</v>
          </cell>
          <cell r="D16">
            <v>17</v>
          </cell>
        </row>
        <row r="17">
          <cell r="C17">
            <v>5</v>
          </cell>
          <cell r="D17">
            <v>22</v>
          </cell>
        </row>
        <row r="18">
          <cell r="C18">
            <v>13</v>
          </cell>
          <cell r="D18">
            <v>9</v>
          </cell>
        </row>
        <row r="19">
          <cell r="C19">
            <v>11</v>
          </cell>
          <cell r="D19">
            <v>13</v>
          </cell>
        </row>
        <row r="20">
          <cell r="C20">
            <v>61</v>
          </cell>
          <cell r="D20">
            <v>1</v>
          </cell>
        </row>
        <row r="21">
          <cell r="C21">
            <v>3</v>
          </cell>
          <cell r="D21">
            <v>27</v>
          </cell>
        </row>
        <row r="22">
          <cell r="C22">
            <v>2</v>
          </cell>
          <cell r="D22">
            <v>32</v>
          </cell>
        </row>
        <row r="23">
          <cell r="C23">
            <v>11</v>
          </cell>
          <cell r="D23">
            <v>14</v>
          </cell>
        </row>
        <row r="24">
          <cell r="C24">
            <v>14</v>
          </cell>
          <cell r="D24">
            <v>5</v>
          </cell>
        </row>
        <row r="25">
          <cell r="C25">
            <v>14</v>
          </cell>
          <cell r="D25">
            <v>6</v>
          </cell>
        </row>
        <row r="26">
          <cell r="C26">
            <v>7</v>
          </cell>
          <cell r="D26">
            <v>18</v>
          </cell>
        </row>
        <row r="27">
          <cell r="C27">
            <v>12</v>
          </cell>
          <cell r="D27">
            <v>11</v>
          </cell>
        </row>
        <row r="28">
          <cell r="C28">
            <v>14</v>
          </cell>
          <cell r="D28">
            <v>7</v>
          </cell>
        </row>
        <row r="29">
          <cell r="C29">
            <v>3</v>
          </cell>
          <cell r="D29">
            <v>28</v>
          </cell>
        </row>
        <row r="30">
          <cell r="C30">
            <v>13</v>
          </cell>
          <cell r="D30">
            <v>10</v>
          </cell>
        </row>
        <row r="31">
          <cell r="C31">
            <v>14</v>
          </cell>
          <cell r="D31">
            <v>8</v>
          </cell>
        </row>
        <row r="32">
          <cell r="C32">
            <v>5</v>
          </cell>
          <cell r="D32">
            <v>23</v>
          </cell>
        </row>
        <row r="33">
          <cell r="C33">
            <v>12</v>
          </cell>
          <cell r="D33">
            <v>12</v>
          </cell>
        </row>
        <row r="34">
          <cell r="C34">
            <v>10</v>
          </cell>
          <cell r="D34">
            <v>15</v>
          </cell>
        </row>
        <row r="35">
          <cell r="C35">
            <v>3</v>
          </cell>
          <cell r="D35">
            <v>29</v>
          </cell>
        </row>
        <row r="36">
          <cell r="C36">
            <v>6</v>
          </cell>
          <cell r="D36">
            <v>21</v>
          </cell>
        </row>
      </sheetData>
      <sheetData sheetId="46"/>
      <sheetData sheetId="47"/>
      <sheetData sheetId="48"/>
      <sheetData sheetId="49"/>
      <sheetData sheetId="50"/>
      <sheetData sheetId="51">
        <row r="5">
          <cell r="C5">
            <v>1889</v>
          </cell>
          <cell r="D5">
            <v>15</v>
          </cell>
        </row>
        <row r="6">
          <cell r="C6">
            <v>2329</v>
          </cell>
          <cell r="D6">
            <v>9</v>
          </cell>
        </row>
        <row r="7">
          <cell r="C7">
            <v>2019</v>
          </cell>
          <cell r="D7">
            <v>12</v>
          </cell>
        </row>
        <row r="8">
          <cell r="C8">
            <v>1556</v>
          </cell>
          <cell r="D8">
            <v>21</v>
          </cell>
        </row>
        <row r="9">
          <cell r="C9">
            <v>631</v>
          </cell>
          <cell r="D9">
            <v>29</v>
          </cell>
        </row>
        <row r="10">
          <cell r="C10">
            <v>2112</v>
          </cell>
          <cell r="D10">
            <v>11</v>
          </cell>
        </row>
        <row r="11">
          <cell r="C11">
            <v>3924</v>
          </cell>
          <cell r="D11">
            <v>5</v>
          </cell>
        </row>
        <row r="12">
          <cell r="C12">
            <v>1254</v>
          </cell>
          <cell r="D12">
            <v>25</v>
          </cell>
        </row>
        <row r="13">
          <cell r="C13">
            <v>1378</v>
          </cell>
          <cell r="D13">
            <v>24</v>
          </cell>
        </row>
        <row r="14">
          <cell r="C14">
            <v>1173</v>
          </cell>
          <cell r="D14">
            <v>26</v>
          </cell>
        </row>
        <row r="15">
          <cell r="C15">
            <v>1559</v>
          </cell>
          <cell r="D15">
            <v>20</v>
          </cell>
        </row>
        <row r="16">
          <cell r="C16">
            <v>5031</v>
          </cell>
          <cell r="D16">
            <v>3</v>
          </cell>
        </row>
        <row r="17">
          <cell r="C17">
            <v>1549</v>
          </cell>
          <cell r="D17">
            <v>22</v>
          </cell>
        </row>
        <row r="18">
          <cell r="C18">
            <v>6444</v>
          </cell>
          <cell r="D18">
            <v>1</v>
          </cell>
        </row>
        <row r="19">
          <cell r="C19">
            <v>5993</v>
          </cell>
          <cell r="D19">
            <v>2</v>
          </cell>
        </row>
        <row r="20">
          <cell r="C20">
            <v>4646</v>
          </cell>
          <cell r="D20">
            <v>4</v>
          </cell>
        </row>
        <row r="21">
          <cell r="C21">
            <v>1799</v>
          </cell>
          <cell r="D21">
            <v>16</v>
          </cell>
        </row>
        <row r="22">
          <cell r="C22">
            <v>966</v>
          </cell>
          <cell r="D22">
            <v>28</v>
          </cell>
        </row>
        <row r="23">
          <cell r="C23">
            <v>1783</v>
          </cell>
          <cell r="D23">
            <v>17</v>
          </cell>
        </row>
        <row r="24">
          <cell r="C24">
            <v>340</v>
          </cell>
          <cell r="D24">
            <v>32</v>
          </cell>
        </row>
        <row r="25">
          <cell r="C25">
            <v>1957</v>
          </cell>
          <cell r="D25">
            <v>13</v>
          </cell>
        </row>
        <row r="26">
          <cell r="C26">
            <v>3483</v>
          </cell>
          <cell r="D26">
            <v>6</v>
          </cell>
        </row>
        <row r="27">
          <cell r="C27">
            <v>388</v>
          </cell>
          <cell r="D27">
            <v>30</v>
          </cell>
        </row>
        <row r="28">
          <cell r="C28">
            <v>1953</v>
          </cell>
          <cell r="D28">
            <v>14</v>
          </cell>
        </row>
        <row r="29">
          <cell r="C29">
            <v>2134</v>
          </cell>
          <cell r="D29">
            <v>10</v>
          </cell>
        </row>
        <row r="30">
          <cell r="C30">
            <v>2837</v>
          </cell>
          <cell r="D30">
            <v>8</v>
          </cell>
        </row>
        <row r="31">
          <cell r="C31">
            <v>369</v>
          </cell>
          <cell r="D31">
            <v>31</v>
          </cell>
        </row>
        <row r="32">
          <cell r="C32">
            <v>1474</v>
          </cell>
          <cell r="D32">
            <v>23</v>
          </cell>
        </row>
        <row r="33">
          <cell r="C33">
            <v>3391</v>
          </cell>
          <cell r="D33">
            <v>7</v>
          </cell>
        </row>
        <row r="34">
          <cell r="C34">
            <v>1056</v>
          </cell>
          <cell r="D34">
            <v>27</v>
          </cell>
        </row>
        <row r="35">
          <cell r="C35">
            <v>1591</v>
          </cell>
          <cell r="D35">
            <v>19</v>
          </cell>
        </row>
        <row r="36">
          <cell r="C36">
            <v>1736</v>
          </cell>
          <cell r="D36">
            <v>18</v>
          </cell>
        </row>
      </sheetData>
      <sheetData sheetId="52"/>
      <sheetData sheetId="53">
        <row r="5">
          <cell r="C5">
            <v>435</v>
          </cell>
          <cell r="D5">
            <v>6</v>
          </cell>
        </row>
        <row r="6">
          <cell r="C6">
            <v>362</v>
          </cell>
          <cell r="D6">
            <v>8</v>
          </cell>
        </row>
        <row r="7">
          <cell r="C7">
            <v>99</v>
          </cell>
          <cell r="D7">
            <v>25</v>
          </cell>
        </row>
        <row r="8">
          <cell r="C8">
            <v>332</v>
          </cell>
          <cell r="D8">
            <v>9</v>
          </cell>
        </row>
        <row r="9">
          <cell r="C9">
            <v>68</v>
          </cell>
          <cell r="D9">
            <v>29</v>
          </cell>
        </row>
        <row r="10">
          <cell r="C10">
            <v>363</v>
          </cell>
          <cell r="D10">
            <v>7</v>
          </cell>
        </row>
        <row r="11">
          <cell r="C11">
            <v>656</v>
          </cell>
          <cell r="D11">
            <v>3</v>
          </cell>
        </row>
        <row r="12">
          <cell r="C12">
            <v>164</v>
          </cell>
          <cell r="D12">
            <v>18</v>
          </cell>
        </row>
        <row r="13">
          <cell r="C13">
            <v>81</v>
          </cell>
          <cell r="D13">
            <v>27</v>
          </cell>
        </row>
        <row r="14">
          <cell r="C14">
            <v>139</v>
          </cell>
          <cell r="D14">
            <v>22</v>
          </cell>
        </row>
        <row r="15">
          <cell r="C15">
            <v>80</v>
          </cell>
          <cell r="D15">
            <v>28</v>
          </cell>
        </row>
        <row r="16">
          <cell r="C16">
            <v>783</v>
          </cell>
          <cell r="D16">
            <v>2</v>
          </cell>
        </row>
        <row r="17">
          <cell r="C17">
            <v>159</v>
          </cell>
          <cell r="D17">
            <v>20</v>
          </cell>
        </row>
        <row r="18">
          <cell r="C18">
            <v>482</v>
          </cell>
          <cell r="D18">
            <v>5</v>
          </cell>
        </row>
        <row r="19">
          <cell r="C19">
            <v>1562</v>
          </cell>
          <cell r="D19">
            <v>1</v>
          </cell>
        </row>
        <row r="20">
          <cell r="C20">
            <v>268</v>
          </cell>
          <cell r="D20">
            <v>13</v>
          </cell>
        </row>
        <row r="21">
          <cell r="C21">
            <v>115</v>
          </cell>
          <cell r="D21">
            <v>24</v>
          </cell>
        </row>
        <row r="22">
          <cell r="C22">
            <v>97</v>
          </cell>
          <cell r="D22">
            <v>26</v>
          </cell>
        </row>
        <row r="23">
          <cell r="C23">
            <v>142</v>
          </cell>
          <cell r="D23">
            <v>21</v>
          </cell>
        </row>
        <row r="24">
          <cell r="C24">
            <v>21</v>
          </cell>
          <cell r="D24">
            <v>31</v>
          </cell>
        </row>
        <row r="25">
          <cell r="C25">
            <v>230</v>
          </cell>
          <cell r="D25">
            <v>15</v>
          </cell>
        </row>
        <row r="26">
          <cell r="C26">
            <v>495</v>
          </cell>
          <cell r="D26">
            <v>4</v>
          </cell>
        </row>
        <row r="27">
          <cell r="C27">
            <v>29</v>
          </cell>
          <cell r="D27">
            <v>30</v>
          </cell>
        </row>
        <row r="28">
          <cell r="C28">
            <v>287</v>
          </cell>
          <cell r="D28">
            <v>11</v>
          </cell>
        </row>
        <row r="29">
          <cell r="C29">
            <v>169</v>
          </cell>
          <cell r="D29">
            <v>17</v>
          </cell>
        </row>
        <row r="30">
          <cell r="C30">
            <v>285</v>
          </cell>
          <cell r="D30">
            <v>12</v>
          </cell>
        </row>
        <row r="31">
          <cell r="C31">
            <v>16</v>
          </cell>
          <cell r="D31">
            <v>32</v>
          </cell>
        </row>
        <row r="32">
          <cell r="C32">
            <v>310</v>
          </cell>
          <cell r="D32">
            <v>10</v>
          </cell>
        </row>
        <row r="33">
          <cell r="C33">
            <v>251</v>
          </cell>
          <cell r="D33">
            <v>14</v>
          </cell>
        </row>
        <row r="34">
          <cell r="C34">
            <v>160</v>
          </cell>
          <cell r="D34">
            <v>19</v>
          </cell>
        </row>
        <row r="35">
          <cell r="C35">
            <v>121</v>
          </cell>
          <cell r="D35">
            <v>23</v>
          </cell>
        </row>
        <row r="36">
          <cell r="C36">
            <v>178</v>
          </cell>
          <cell r="D36">
            <v>16</v>
          </cell>
        </row>
      </sheetData>
      <sheetData sheetId="54">
        <row r="5">
          <cell r="C5">
            <v>396</v>
          </cell>
          <cell r="D5">
            <v>6</v>
          </cell>
        </row>
        <row r="6">
          <cell r="C6">
            <v>1720</v>
          </cell>
          <cell r="D6">
            <v>2</v>
          </cell>
        </row>
        <row r="7">
          <cell r="C7">
            <v>2667</v>
          </cell>
          <cell r="D7">
            <v>1</v>
          </cell>
        </row>
        <row r="8">
          <cell r="C8">
            <v>125</v>
          </cell>
          <cell r="D8">
            <v>13</v>
          </cell>
        </row>
        <row r="9">
          <cell r="C9">
            <v>1145</v>
          </cell>
          <cell r="D9">
            <v>3</v>
          </cell>
        </row>
        <row r="10">
          <cell r="C10">
            <v>352</v>
          </cell>
          <cell r="D10">
            <v>8</v>
          </cell>
        </row>
        <row r="11">
          <cell r="C11">
            <v>21</v>
          </cell>
          <cell r="D11">
            <v>15</v>
          </cell>
        </row>
        <row r="12">
          <cell r="C12">
            <v>66</v>
          </cell>
          <cell r="D12">
            <v>14</v>
          </cell>
        </row>
        <row r="13">
          <cell r="C13">
            <v>482</v>
          </cell>
          <cell r="D13">
            <v>5</v>
          </cell>
        </row>
        <row r="14">
          <cell r="C14">
            <v>363</v>
          </cell>
          <cell r="D14">
            <v>7</v>
          </cell>
        </row>
        <row r="15">
          <cell r="C15">
            <v>523</v>
          </cell>
          <cell r="D15">
            <v>4</v>
          </cell>
        </row>
        <row r="16">
          <cell r="C16">
            <v>234</v>
          </cell>
          <cell r="D16">
            <v>12</v>
          </cell>
        </row>
        <row r="17">
          <cell r="C17">
            <v>329</v>
          </cell>
          <cell r="D17">
            <v>9</v>
          </cell>
        </row>
        <row r="18">
          <cell r="C18">
            <v>273</v>
          </cell>
          <cell r="D18">
            <v>10</v>
          </cell>
        </row>
        <row r="19">
          <cell r="C19">
            <v>243</v>
          </cell>
          <cell r="D19">
            <v>11</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FRS_FSO%20-%20old.xlsx" TargetMode="External"/><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SFRS_FSO%20-%20old.xlsx" TargetMode="External"/><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2" Type="http://schemas.openxmlformats.org/officeDocument/2006/relationships/externalLinkPath" Target="SFRS_FSO_2020_21_Templatev4.xlsx" TargetMode="External"/><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SFRS_FSO%20-%20old.xlsx" TargetMode="External"/><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SFRS_FSO%20-%20old.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SFRS_FSO%20-%20old.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Cameron, Rebecca" refreshedDate="44400.425330555554" createdVersion="6" refreshedVersion="6" minRefreshableVersion="3" recordCount="124">
  <cacheSource type="worksheet">
    <worksheetSource ref="A4:E128" sheet="T2U" r:id="rId2"/>
  </cacheSource>
  <cacheFields count="5">
    <cacheField name="FisYr" numFmtId="0">
      <sharedItems containsBlank="1" count="3">
        <s v="2018-19"/>
        <s v="2019-20"/>
        <m/>
      </sharedItems>
    </cacheField>
    <cacheField name="Metric" numFmtId="0">
      <sharedItems containsBlank="1" count="3">
        <s v="Headcount"/>
        <s v="FTE"/>
        <m/>
      </sharedItems>
    </cacheField>
    <cacheField name="Unit" numFmtId="0">
      <sharedItems containsBlank="1" count="18">
        <s v="Asset Management"/>
        <s v="Business Support"/>
        <s v="Response and Resilience"/>
        <s v="Service Delivery"/>
        <s v="Senior Leadership Team"/>
        <s v="Strategic Planning Performance and Communication"/>
        <s v="Trainees"/>
        <s v="Training and Employee Development"/>
        <s v="Human Resources Organisational Development"/>
        <s v="Information Communication Technology "/>
        <s v="Prevention and Protection"/>
        <s v="Service Transformation"/>
        <s v="Finance &amp; Procurement"/>
        <s v="Health, Safety and Organisational Wellbeing"/>
        <s v="Health and Safety"/>
        <s v="People &amp; Organisational Development"/>
        <m/>
        <s v="COP1" u="1"/>
      </sharedItems>
    </cacheField>
    <cacheField name="StaffType" numFmtId="0">
      <sharedItems containsBlank="1" count="7">
        <s v="WT"/>
        <s v="Control"/>
        <s v="RDS Fulltime"/>
        <s v="Support"/>
        <s v="Vol"/>
        <s v="RDS"/>
        <m/>
      </sharedItems>
    </cacheField>
    <cacheField name="Total" numFmtId="0">
      <sharedItems containsString="0" containsBlank="1" containsNumber="1" minValue="0" maxValue="3358"/>
    </cacheField>
  </cacheFields>
  <extLst>
    <ext xmlns:x14="http://schemas.microsoft.com/office/spreadsheetml/2009/9/main" uri="{725AE2AE-9491-48be-B2B4-4EB974FC3084}">
      <x14:pivotCacheDefinition pivotCacheId="105"/>
    </ext>
  </extLst>
</pivotCacheDefinition>
</file>

<file path=xl/pivotCache/pivotCacheDefinition10.xml><?xml version="1.0" encoding="utf-8"?>
<pivotCacheDefinition xmlns="http://schemas.openxmlformats.org/spreadsheetml/2006/main" xmlns:r="http://schemas.openxmlformats.org/officeDocument/2006/relationships" r:id="rId1" refreshedBy="Cameron, Rebecca" refreshedDate="44417.599775925926" createdVersion="6" refreshedVersion="6" minRefreshableVersion="3" recordCount="35">
  <cacheSource type="worksheet">
    <worksheetSource name="hrod_HR_Role"/>
  </cacheSource>
  <cacheFields count="10">
    <cacheField name="Year" numFmtId="0">
      <sharedItems count="8">
        <s v="2013-14"/>
        <s v="2014-15"/>
        <s v="2015-16"/>
        <s v="2016-17"/>
        <s v="2017-18"/>
        <s v="2018-19"/>
        <s v="2019-20"/>
        <s v="2020-21"/>
      </sharedItems>
    </cacheField>
    <cacheField name="Type" numFmtId="0">
      <sharedItems count="5">
        <s v="Control"/>
        <s v="Vol"/>
        <s v="WT"/>
        <s v="RDS"/>
        <s v="RDS Fulltime"/>
      </sharedItems>
    </cacheField>
    <cacheField name="Brigade Manager" numFmtId="0">
      <sharedItems containsString="0" containsBlank="1" containsNumber="1" containsInteger="1" minValue="4" maxValue="9" count="6">
        <m/>
        <n v="9"/>
        <n v="7"/>
        <n v="4"/>
        <n v="6"/>
        <n v="5"/>
      </sharedItems>
    </cacheField>
    <cacheField name="Area Manager" numFmtId="0">
      <sharedItems containsString="0" containsBlank="1" containsNumber="1" containsInteger="1" minValue="1" maxValue="35" count="7">
        <m/>
        <n v="28"/>
        <n v="33"/>
        <n v="35"/>
        <n v="34"/>
        <n v="1"/>
        <n v="31"/>
      </sharedItems>
    </cacheField>
    <cacheField name="Group Manager" numFmtId="0">
      <sharedItems containsString="0" containsBlank="1" containsNumber="1" containsInteger="1" minValue="4" maxValue="115" count="11">
        <n v="5"/>
        <m/>
        <n v="115"/>
        <n v="103"/>
        <n v="6"/>
        <n v="90"/>
        <n v="70"/>
        <n v="74"/>
        <n v="4"/>
        <n v="80"/>
        <n v="81"/>
      </sharedItems>
    </cacheField>
    <cacheField name="Station Manager" numFmtId="0">
      <sharedItems containsString="0" containsBlank="1" containsNumber="1" containsInteger="1" minValue="7" maxValue="153" count="14">
        <n v="11"/>
        <m/>
        <n v="136"/>
        <n v="13"/>
        <n v="130"/>
        <n v="7"/>
        <n v="126"/>
        <n v="8"/>
        <n v="151"/>
        <n v="153"/>
        <n v="9"/>
        <n v="147"/>
        <n v="10"/>
        <n v="152"/>
      </sharedItems>
    </cacheField>
    <cacheField name="Watch Manager" numFmtId="0">
      <sharedItems containsString="0" containsBlank="1" containsNumber="1" containsInteger="1" minValue="9" maxValue="679" count="27">
        <n v="52"/>
        <n v="9"/>
        <n v="679"/>
        <n v="278"/>
        <n v="50"/>
        <n v="38"/>
        <n v="664"/>
        <n v="280"/>
        <n v="51"/>
        <n v="36"/>
        <n v="577"/>
        <n v="262"/>
        <n v="41"/>
        <n v="590"/>
        <n v="260"/>
        <n v="43"/>
        <n v="603"/>
        <n v="261"/>
        <n v="37"/>
        <n v="42"/>
        <m/>
        <n v="611"/>
        <n v="45"/>
        <n v="608"/>
        <n v="54"/>
        <n v="267"/>
        <n v="604"/>
      </sharedItems>
    </cacheField>
    <cacheField name="Crew Manager" numFmtId="0">
      <sharedItems containsString="0" containsBlank="1" containsNumber="1" containsInteger="1" minValue="26" maxValue="689" count="27">
        <n v="52"/>
        <n v="73"/>
        <n v="660"/>
        <n v="535"/>
        <n v="44"/>
        <n v="634"/>
        <n v="546"/>
        <n v="46"/>
        <n v="600"/>
        <n v="543"/>
        <n v="31"/>
        <n v="43"/>
        <n v="635"/>
        <n v="549"/>
        <n v="27"/>
        <n v="689"/>
        <n v="525"/>
        <n v="39"/>
        <n v="533"/>
        <m/>
        <n v="687"/>
        <n v="42"/>
        <n v="520"/>
        <n v="26"/>
        <n v="41"/>
        <n v="688"/>
        <n v="522"/>
      </sharedItems>
    </cacheField>
    <cacheField name="Firefighter" numFmtId="0">
      <sharedItems containsString="0" containsBlank="1" containsNumber="1" containsInteger="1" minValue="80" maxValue="2374" count="31">
        <n v="103"/>
        <n v="277"/>
        <n v="2374"/>
        <n v="2127"/>
        <n v="110"/>
        <n v="296"/>
        <n v="2285"/>
        <n v="2124"/>
        <n v="95"/>
        <n v="260"/>
        <n v="2258"/>
        <n v="2065"/>
        <n v="80"/>
        <n v="241"/>
        <n v="2161"/>
        <n v="2061"/>
        <n v="106"/>
        <n v="1988"/>
        <n v="2077"/>
        <n v="256"/>
        <n v="124"/>
        <n v="2141"/>
        <m/>
        <n v="2075"/>
        <n v="2155"/>
        <n v="104"/>
        <n v="237"/>
        <n v="2070"/>
        <n v="223"/>
        <n v="2083"/>
        <n v="2020"/>
      </sharedItems>
    </cacheField>
    <cacheField name="Total" numFmtId="0">
      <sharedItems containsSemiMixedTypes="0" containsString="0" containsNumber="1" containsInteger="1" minValue="18" maxValue="4001"/>
    </cacheField>
  </cacheFields>
  <extLst>
    <ext xmlns:x14="http://schemas.microsoft.com/office/spreadsheetml/2009/9/main" uri="{725AE2AE-9491-48be-B2B4-4EB974FC3084}">
      <x14:pivotCacheDefinition pivotCacheId="134"/>
    </ext>
  </extLst>
</pivotCacheDefinition>
</file>

<file path=xl/pivotCache/pivotCacheDefinition11.xml><?xml version="1.0" encoding="utf-8"?>
<pivotCacheDefinition xmlns="http://schemas.openxmlformats.org/spreadsheetml/2006/main" xmlns:r="http://schemas.openxmlformats.org/officeDocument/2006/relationships" r:id="rId1" refreshedBy="Cameron, Rebecca" refreshedDate="44417.606963310187" createdVersion="6" refreshedVersion="6" minRefreshableVersion="3" recordCount="12">
  <cacheSource type="worksheet">
    <worksheetSource name="hrod_HR_Role_DutySystem"/>
  </cacheSource>
  <cacheFields count="9">
    <cacheField name="Year" numFmtId="0">
      <sharedItems count="3">
        <s v="2018-19"/>
        <s v="2019-20"/>
        <s v="2020-21"/>
      </sharedItems>
    </cacheField>
    <cacheField name="EmployeeGroup" numFmtId="0">
      <sharedItems count="4">
        <s v="Incident Command Officers"/>
        <s v="Office Duties"/>
        <s v="Operational Crews"/>
        <s v="Trainees"/>
      </sharedItems>
    </cacheField>
    <cacheField name="Brigade Commander" numFmtId="0">
      <sharedItems containsSemiMixedTypes="0" containsString="0" containsNumber="1" containsInteger="1" minValue="0" maxValue="6"/>
    </cacheField>
    <cacheField name="Area Commander" numFmtId="0">
      <sharedItems containsSemiMixedTypes="0" containsString="0" containsNumber="1" containsInteger="1" minValue="0" maxValue="35"/>
    </cacheField>
    <cacheField name="Group Commander" numFmtId="0">
      <sharedItems containsSemiMixedTypes="0" containsString="0" containsNumber="1" containsInteger="1" minValue="0" maxValue="81"/>
    </cacheField>
    <cacheField name="Station Commander" numFmtId="0">
      <sharedItems containsSemiMixedTypes="0" containsString="0" containsNumber="1" containsInteger="1" minValue="0" maxValue="153"/>
    </cacheField>
    <cacheField name="Watch Commander" numFmtId="0">
      <sharedItems containsSemiMixedTypes="0" containsString="0" containsNumber="1" containsInteger="1" minValue="0" maxValue="377"/>
    </cacheField>
    <cacheField name="Crew Commander" numFmtId="0">
      <sharedItems containsSemiMixedTypes="0" containsString="0" containsNumber="1" containsInteger="1" minValue="0" maxValue="597"/>
    </cacheField>
    <cacheField name="Firefighter" numFmtId="0">
      <sharedItems containsSemiMixedTypes="0" containsString="0" containsNumber="1" containsInteger="1" minValue="0" maxValue="1993"/>
    </cacheField>
  </cacheFields>
  <extLst>
    <ext xmlns:x14="http://schemas.microsoft.com/office/spreadsheetml/2009/9/main" uri="{725AE2AE-9491-48be-B2B4-4EB974FC3084}">
      <x14:pivotCacheDefinition pivotCacheId="135"/>
    </ext>
  </extLst>
</pivotCacheDefinition>
</file>

<file path=xl/pivotCache/pivotCacheDefinition12.xml><?xml version="1.0" encoding="utf-8"?>
<pivotCacheDefinition xmlns="http://schemas.openxmlformats.org/spreadsheetml/2006/main" xmlns:r="http://schemas.openxmlformats.org/officeDocument/2006/relationships" r:id="rId1" refreshedBy="Cameron, Rebecca" refreshedDate="44417.61039976852" createdVersion="6" refreshedVersion="6" minRefreshableVersion="3" recordCount="32">
  <cacheSource type="worksheet">
    <worksheetSource name="hrod_HR_Role_Area"/>
  </cacheSource>
  <cacheFields count="10">
    <cacheField name="Year" numFmtId="0">
      <sharedItems count="8">
        <s v="2013-14"/>
        <s v="2014-15"/>
        <s v="2015-16"/>
        <s v="2016-17"/>
        <s v="2017-18"/>
        <s v="2018-19"/>
        <s v="2019-20"/>
        <s v="2020-21"/>
      </sharedItems>
    </cacheField>
    <cacheField name="ReportingLevel" numFmtId="0">
      <sharedItems count="4">
        <s v="1:LA"/>
        <s v="2:LSO"/>
        <s v="3:SDA"/>
        <s v="4:National"/>
      </sharedItems>
    </cacheField>
    <cacheField name="Brigade Manager" numFmtId="0">
      <sharedItems containsString="0" containsBlank="1" containsNumber="1" containsInteger="1" minValue="3" maxValue="7" count="6">
        <m/>
        <n v="3"/>
        <n v="6"/>
        <n v="7"/>
        <n v="4"/>
        <n v="5"/>
      </sharedItems>
    </cacheField>
    <cacheField name="Area Manager" numFmtId="0">
      <sharedItems containsString="0" containsBlank="1" containsNumber="1" containsInteger="1" minValue="3" maxValue="18" count="13">
        <m/>
        <n v="17"/>
        <n v="6"/>
        <n v="5"/>
        <n v="18"/>
        <n v="4"/>
        <n v="11"/>
        <n v="14"/>
        <n v="3"/>
        <n v="16"/>
        <n v="15"/>
        <n v="9"/>
        <n v="13"/>
      </sharedItems>
    </cacheField>
    <cacheField name="Group Manager" numFmtId="0">
      <sharedItems containsString="0" containsBlank="1" containsNumber="1" containsInteger="1" minValue="9" maxValue="69" count="20">
        <m/>
        <n v="69"/>
        <n v="24"/>
        <n v="22"/>
        <n v="65"/>
        <n v="26"/>
        <n v="12"/>
        <n v="62"/>
        <n v="9"/>
        <n v="19"/>
        <n v="47"/>
        <n v="11"/>
        <n v="46"/>
        <n v="15"/>
        <n v="13"/>
        <n v="49"/>
        <n v="14"/>
        <n v="17"/>
        <n v="50"/>
        <n v="23"/>
      </sharedItems>
    </cacheField>
    <cacheField name="Station Manager" numFmtId="0">
      <sharedItems containsString="0" containsBlank="1" containsNumber="1" containsInteger="1" minValue="1" maxValue="118" count="23">
        <n v="13"/>
        <n v="85"/>
        <n v="33"/>
        <n v="5"/>
        <n v="14"/>
        <n v="79"/>
        <n v="31"/>
        <n v="6"/>
        <n v="2"/>
        <n v="91"/>
        <n v="19"/>
        <n v="1"/>
        <n v="116"/>
        <n v="25"/>
        <n v="9"/>
        <m/>
        <n v="115"/>
        <n v="29"/>
        <n v="24"/>
        <n v="8"/>
        <n v="118"/>
        <n v="16"/>
        <n v="20"/>
      </sharedItems>
    </cacheField>
    <cacheField name="Watch Manager" numFmtId="0">
      <sharedItems containsSemiMixedTypes="0" containsString="0" containsNumber="1" containsInteger="1" minValue="7" maxValue="416"/>
    </cacheField>
    <cacheField name="Crew Manager" numFmtId="0">
      <sharedItems containsString="0" containsBlank="1" containsNumber="1" containsInteger="1" minValue="4" maxValue="608" count="26">
        <n v="608"/>
        <n v="5"/>
        <n v="40"/>
        <n v="7"/>
        <n v="592"/>
        <n v="4"/>
        <n v="34"/>
        <n v="511"/>
        <n v="50"/>
        <n v="13"/>
        <n v="26"/>
        <n v="552"/>
        <n v="61"/>
        <n v="22"/>
        <m/>
        <n v="588"/>
        <n v="63"/>
        <n v="38"/>
        <n v="54"/>
        <n v="41"/>
        <n v="597"/>
        <n v="58"/>
        <n v="33"/>
        <n v="596"/>
        <n v="55"/>
        <n v="36"/>
      </sharedItems>
    </cacheField>
    <cacheField name="Firefighter" numFmtId="0">
      <sharedItems containsString="0" containsBlank="1" containsNumber="1" containsInteger="1" minValue="1" maxValue="2355" count="26">
        <n v="2355"/>
        <n v="15"/>
        <n v="4"/>
        <m/>
        <n v="2263"/>
        <n v="14"/>
        <n v="7"/>
        <n v="1"/>
        <n v="2207"/>
        <n v="35"/>
        <n v="16"/>
        <n v="2027"/>
        <n v="30"/>
        <n v="3"/>
        <n v="101"/>
        <n v="1904"/>
        <n v="29"/>
        <n v="55"/>
        <n v="1986"/>
        <n v="60"/>
        <n v="1993"/>
        <n v="28"/>
        <n v="49"/>
        <n v="1935"/>
        <n v="26"/>
        <n v="58"/>
      </sharedItems>
    </cacheField>
    <cacheField name="Total" numFmtId="0">
      <sharedItems containsString="0" containsBlank="1" containsNumber="1" containsInteger="1" minValue="52" maxValue="2966"/>
    </cacheField>
  </cacheFields>
  <extLst>
    <ext xmlns:x14="http://schemas.microsoft.com/office/spreadsheetml/2009/9/main" uri="{725AE2AE-9491-48be-B2B4-4EB974FC3084}">
      <x14:pivotCacheDefinition pivotCacheId="136"/>
    </ext>
  </extLst>
</pivotCacheDefinition>
</file>

<file path=xl/pivotCache/pivotCacheDefinition13.xml><?xml version="1.0" encoding="utf-8"?>
<pivotCacheDefinition xmlns="http://schemas.openxmlformats.org/spreadsheetml/2006/main" xmlns:r="http://schemas.openxmlformats.org/officeDocument/2006/relationships" r:id="rId1" refreshedBy="Cameron, Rebecca" refreshedDate="44417.629808217593" createdVersion="6" refreshedVersion="6" minRefreshableVersion="3" recordCount="424">
  <cacheSource type="worksheet">
    <worksheetSource name="hrod_HR_WT_RoleArea"/>
  </cacheSource>
  <cacheFields count="10">
    <cacheField name="Year" numFmtId="0">
      <sharedItems count="8">
        <s v="2013-14"/>
        <s v="2014-15"/>
        <s v="2015-16"/>
        <s v="2016-17"/>
        <s v="2017-18"/>
        <s v="2018-19"/>
        <s v="2019-20"/>
        <s v="2020-21"/>
      </sharedItems>
    </cacheField>
    <cacheField name="ReportingLevel" numFmtId="0">
      <sharedItems count="4">
        <s v="1:LA"/>
        <s v="2:LSO"/>
        <s v="3:SDA"/>
        <s v="4:National"/>
      </sharedItems>
    </cacheField>
    <cacheField name="lvl" numFmtId="0">
      <sharedItems containsBlank="1" count="100">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Aberdeenshire and Moray"/>
        <s v="Argyll and Bute, East Dunbartonshire and West Dunbartonshire"/>
        <s v="Dundee, Angus, Perth and Kinross"/>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East"/>
        <s v="North"/>
        <s v="West"/>
        <s v="Scotland"/>
        <s v="Dumfries and Gallowa"/>
        <s v="Stirling, Clackmannanshire and Fife"/>
        <s v="S12000017" u="1"/>
        <m u="1"/>
        <s v="S12000045" u="1"/>
        <s v="S12000026" u="1"/>
        <s v="S39000008" u="1"/>
        <s v="S12000010" u="1"/>
        <s v="S39000014" u="1"/>
        <s v="S12000029" u="1"/>
        <s v="S12000035" u="1"/>
        <s v="S39000017" u="1"/>
        <s v="S12000041" u="1"/>
        <s v="S12000038" u="1"/>
        <s v="S39000001" u="1"/>
        <s v="S40000005" u="1"/>
        <s v="S12000044" u="1"/>
        <s v="S39000004" u="1"/>
        <s v="S12000019" u="1"/>
        <s v="S12000047" u="1"/>
        <s v="S39000010" u="1"/>
        <s v="S39000007" u="1"/>
        <s v="S39000013" u="1"/>
        <s v="S12000028" u="1"/>
        <s v="S12000006" u="1"/>
        <s v="S12000034" u="1"/>
        <s v="S39000016" u="1"/>
        <s v="S12000040" u="1"/>
        <s v="S92000003" u="1"/>
        <s v="S39000019" u="1"/>
        <s v="S40000004" u="1"/>
        <s v="S12000021" u="1"/>
        <s v="S39000003" u="1"/>
        <s v="S12000018" u="1"/>
        <s v="S12000046" u="1"/>
        <s v="S12000024" u="1"/>
        <s v="S39000006" u="1"/>
        <s v="S12000030" u="1"/>
        <s v="S39000012" u="1"/>
        <s v="S12000005" u="1"/>
        <s v="S39000009" u="1"/>
        <s v="S12000033" u="1"/>
        <s v="S12000011" u="1"/>
        <s v="S39000015" u="1"/>
        <s v="S12000008" u="1"/>
        <s v="S12000036" u="1"/>
        <s v="S12000014" u="1"/>
        <s v="S39000018" u="1"/>
        <s v="S40000003" u="1"/>
        <s v="S12000042" u="1"/>
        <s v="S12000020" u="1"/>
        <s v="S12000039" u="1"/>
        <s v="S39000002" u="1"/>
      </sharedItems>
    </cacheField>
    <cacheField name="Brigade Manager" numFmtId="0">
      <sharedItems containsString="0" containsBlank="1" containsNumber="1" containsInteger="1" minValue="0" maxValue="7"/>
    </cacheField>
    <cacheField name="Area Manager" numFmtId="0">
      <sharedItems containsString="0" containsBlank="1" containsNumber="1" containsInteger="1" minValue="0" maxValue="18"/>
    </cacheField>
    <cacheField name="Group Manager" numFmtId="0">
      <sharedItems containsString="0" containsBlank="1" containsNumber="1" containsInteger="1" minValue="0" maxValue="23"/>
    </cacheField>
    <cacheField name="Station Manager" numFmtId="0">
      <sharedItems containsString="0" containsBlank="1" containsNumber="1" containsInteger="1" minValue="0" maxValue="20"/>
    </cacheField>
    <cacheField name="Watch Manager" numFmtId="0">
      <sharedItems containsString="0" containsBlank="1" containsNumber="1" containsInteger="1" minValue="0" maxValue="93"/>
    </cacheField>
    <cacheField name="Crew Manager" numFmtId="0">
      <sharedItems containsString="0" containsBlank="1" containsNumber="1" containsInteger="1" minValue="0" maxValue="119"/>
    </cacheField>
    <cacheField name="Firefighter" numFmtId="0">
      <sharedItems containsString="0" containsBlank="1" containsNumber="1" containsInteger="1" minValue="0" maxValue="373"/>
    </cacheField>
  </cacheFields>
  <extLst>
    <ext xmlns:x14="http://schemas.microsoft.com/office/spreadsheetml/2009/9/main" uri="{725AE2AE-9491-48be-B2B4-4EB974FC3084}">
      <x14:pivotCacheDefinition pivotCacheId="137"/>
    </ext>
  </extLst>
</pivotCacheDefinition>
</file>

<file path=xl/pivotCache/pivotCacheDefinition14.xml><?xml version="1.0" encoding="utf-8"?>
<pivotCacheDefinition xmlns="http://schemas.openxmlformats.org/spreadsheetml/2006/main" xmlns:r="http://schemas.openxmlformats.org/officeDocument/2006/relationships" r:id="rId1" refreshedBy="Cameron, Rebecca" refreshedDate="44417.650756134259" createdVersion="6" refreshedVersion="6" minRefreshableVersion="3" recordCount="256">
  <cacheSource type="worksheet">
    <worksheetSource name="hrod_HR_RDS_RoleArea"/>
  </cacheSource>
  <cacheFields count="7">
    <cacheField name="Year" numFmtId="0">
      <sharedItems count="8">
        <s v="2013-14"/>
        <s v="2014-15"/>
        <s v="2015-16"/>
        <s v="2016-17"/>
        <s v="2017-18"/>
        <s v="2018-19"/>
        <s v="2019-20"/>
        <s v="2020-21"/>
      </sharedItems>
    </cacheField>
    <cacheField name="ReportingLevel" numFmtId="0">
      <sharedItems/>
    </cacheField>
    <cacheField name="Area"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Dumfries and Gallowa"/>
      </sharedItems>
    </cacheField>
    <cacheField name="GSS Code" numFmtId="0">
      <sharedItems containsBlank="1"/>
    </cacheField>
    <cacheField name="Watch Manager" numFmtId="0">
      <sharedItems containsString="0" containsBlank="1" containsNumber="1" containsInteger="1" minValue="0" maxValue="115"/>
    </cacheField>
    <cacheField name="Crew Manager" numFmtId="0">
      <sharedItems containsString="0" containsBlank="1" containsNumber="1" containsInteger="1" minValue="0" maxValue="103"/>
    </cacheField>
    <cacheField name="Firefighter" numFmtId="0">
      <sharedItems containsString="0" containsBlank="1" containsNumber="1" containsInteger="1" minValue="0" maxValue="394"/>
    </cacheField>
  </cacheFields>
  <extLst>
    <ext xmlns:x14="http://schemas.microsoft.com/office/spreadsheetml/2009/9/main" uri="{725AE2AE-9491-48be-B2B4-4EB974FC3084}">
      <x14:pivotCacheDefinition pivotCacheId="138"/>
    </ext>
  </extLst>
</pivotCacheDefinition>
</file>

<file path=xl/pivotCache/pivotCacheDefinition15.xml><?xml version="1.0" encoding="utf-8"?>
<pivotCacheDefinition xmlns="http://schemas.openxmlformats.org/spreadsheetml/2006/main" xmlns:r="http://schemas.openxmlformats.org/officeDocument/2006/relationships" r:id="rId1" refreshedBy="Cameron, Rebecca" refreshedDate="44419.402286689816" createdVersion="6" refreshedVersion="6" minRefreshableVersion="3" recordCount="8">
  <cacheSource type="worksheet">
    <worksheetSource name="hrod_HR_CS_RoleArea"/>
  </cacheSource>
  <cacheFields count="10">
    <cacheField name="Year" numFmtId="0">
      <sharedItems count="8">
        <s v="2013-14"/>
        <s v="2014-15"/>
        <s v="2015-16"/>
        <s v="2016-17"/>
        <s v="2017-18"/>
        <s v="2018-19"/>
        <s v="2019-20"/>
        <s v="2020-21"/>
      </sharedItems>
    </cacheField>
    <cacheField name="ReportingLevel" numFmtId="0">
      <sharedItems count="1">
        <s v="4:National"/>
      </sharedItems>
    </cacheField>
    <cacheField name="Area" numFmtId="0">
      <sharedItems count="1">
        <s v="Scotland"/>
      </sharedItems>
    </cacheField>
    <cacheField name="GSS Code" numFmtId="0">
      <sharedItems/>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4" maxValue="52"/>
    </cacheField>
    <cacheField name="Station Manager" numFmtId="0">
      <sharedItems containsSemiMixedTypes="0" containsString="0" containsNumber="1" containsInteger="1" minValue="8" maxValue="110"/>
    </cacheField>
    <cacheField name="Watch Manager" numFmtId="0">
      <sharedItems containsSemiMixedTypes="0" containsString="0" containsNumber="1" containsInteger="1" minValue="5" maxValue="45"/>
    </cacheField>
    <cacheField name="Crew Manager" numFmtId="0">
      <sharedItems containsSemiMixedTypes="0" containsString="0" containsNumber="1" containsInteger="1" minValue="7" maxValue="31"/>
    </cacheField>
    <cacheField name="Control Operator" numFmtId="0">
      <sharedItems containsSemiMixedTypes="0" containsString="0" containsNumber="1" containsInteger="1" minValue="41" maxValue="124"/>
    </cacheField>
  </cacheFields>
  <extLst>
    <ext xmlns:x14="http://schemas.microsoft.com/office/spreadsheetml/2009/9/main" uri="{725AE2AE-9491-48be-B2B4-4EB974FC3084}">
      <x14:pivotCacheDefinition pivotCacheId="139"/>
    </ext>
  </extLst>
</pivotCacheDefinition>
</file>

<file path=xl/pivotCache/pivotCacheDefinition16.xml><?xml version="1.0" encoding="utf-8"?>
<pivotCacheDefinition xmlns="http://schemas.openxmlformats.org/spreadsheetml/2006/main" xmlns:r="http://schemas.openxmlformats.org/officeDocument/2006/relationships" r:id="rId1" refreshedBy="Cameron, Rebecca" refreshedDate="44419.430747685183" createdVersion="6" refreshedVersion="6" minRefreshableVersion="3" recordCount="257">
  <cacheSource type="worksheet">
    <worksheetSource name="hrod_HR_Vol_RoleArea"/>
  </cacheSource>
  <cacheFields count="8">
    <cacheField name="Year" numFmtId="0">
      <sharedItems containsBlank="1" count="9">
        <s v="2013-14"/>
        <s v="2014-15"/>
        <s v="2015-16"/>
        <s v="2016-17"/>
        <s v="2017-18"/>
        <s v="2018-19"/>
        <s v="2019-20"/>
        <s v="2020-21"/>
        <m u="1"/>
      </sharedItems>
    </cacheField>
    <cacheField name="ReportingLevel" numFmtId="0">
      <sharedItems containsBlank="1" count="2">
        <s v="1:LA"/>
        <m u="1"/>
      </sharedItems>
    </cacheField>
    <cacheField name="Code" numFmtId="0">
      <sharedItems containsBlank="1"/>
    </cacheField>
    <cacheField name="lvl" numFmtId="0">
      <sharedItems containsBlank="1" count="34">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m u="1"/>
        <s v="Dumfries and Gallowa" u="1"/>
      </sharedItems>
    </cacheField>
    <cacheField name="Total" numFmtId="0">
      <sharedItems containsString="0" containsBlank="1" containsNumber="1" containsInteger="1" minValue="0" maxValue="225"/>
    </cacheField>
    <cacheField name="Watch Manager" numFmtId="0">
      <sharedItems containsString="0" containsBlank="1" containsNumber="1" containsInteger="1" minValue="0" maxValue="25"/>
    </cacheField>
    <cacheField name="Crew Manager" numFmtId="0">
      <sharedItems containsString="0" containsBlank="1" containsNumber="1" containsInteger="1" minValue="0" maxValue="47"/>
    </cacheField>
    <cacheField name="Firefighter" numFmtId="0">
      <sharedItems containsString="0" containsBlank="1" containsNumber="1" containsInteger="1" minValue="0" maxValue="180"/>
    </cacheField>
  </cacheFields>
  <extLst>
    <ext xmlns:x14="http://schemas.microsoft.com/office/spreadsheetml/2009/9/main" uri="{725AE2AE-9491-48be-B2B4-4EB974FC3084}">
      <x14:pivotCacheDefinition pivotCacheId="140"/>
    </ext>
  </extLst>
</pivotCacheDefinition>
</file>

<file path=xl/pivotCache/pivotCacheDefinition17.xml><?xml version="1.0" encoding="utf-8"?>
<pivotCacheDefinition xmlns="http://schemas.openxmlformats.org/spreadsheetml/2006/main" xmlns:r="http://schemas.openxmlformats.org/officeDocument/2006/relationships" r:id="rId1" refreshedBy="Cameron, Rebecca" refreshedDate="44419.588783680556" createdVersion="6" refreshedVersion="6" minRefreshableVersion="3" recordCount="79">
  <cacheSource type="worksheet">
    <worksheetSource ref="A1:E80" sheet="EthnicityData"/>
  </cacheSource>
  <cacheFields count="5">
    <cacheField name="FisYr" numFmtId="0">
      <sharedItems containsBlank="1" count="11">
        <s v="2011-12"/>
        <s v="2012-13"/>
        <s v="2013-14"/>
        <s v="2014-15"/>
        <s v="2015-16"/>
        <s v="2016-17"/>
        <s v="2017-18"/>
        <s v="2018-19"/>
        <s v="2019-20"/>
        <s v="2020-21"/>
        <m/>
      </sharedItems>
    </cacheField>
    <cacheField name="Type" numFmtId="0">
      <sharedItems containsBlank="1" count="9">
        <s v="Control"/>
        <s v="RDS"/>
        <s v="Support"/>
        <s v="Total"/>
        <s v="Total (ex Vol)"/>
        <s v="Vol"/>
        <s v="WT"/>
        <s v="RDS Fulltime"/>
        <m/>
      </sharedItems>
    </cacheField>
    <cacheField name="White" numFmtId="0">
      <sharedItems containsString="0" containsBlank="1" containsNumber="1" minValue="26.7" maxValue="89.7" count="71">
        <n v="84.6"/>
        <n v="81.8"/>
        <n v="65.5"/>
        <n v="74.400000000000006"/>
        <n v="75"/>
        <n v="62.7"/>
        <n v="72.2"/>
        <n v="89.7"/>
        <n v="80.900000000000006"/>
        <n v="78.400000000000006"/>
        <n v="80.099999999999994"/>
        <n v="81"/>
        <n v="61.4"/>
        <n v="81.2"/>
        <n v="49.3"/>
        <n v="69.599999999999994"/>
        <n v="55.2"/>
        <n v="61.1"/>
        <n v="62.5"/>
        <n v="30.1"/>
        <n v="59.8"/>
        <n v="63"/>
        <n v="67"/>
        <n v="53.7"/>
        <n v="60.2"/>
        <n v="61.8"/>
        <n v="26.7"/>
        <n v="59.5"/>
        <n v="64"/>
        <n v="60"/>
        <n v="53.4"/>
        <n v="55.3"/>
        <n v="56.3"/>
        <n v="32.5"/>
        <n v="55.8"/>
        <n v="58"/>
        <n v="53.9"/>
        <n v="54.2"/>
        <n v="42.7"/>
        <n v="51.2"/>
        <n v="52.910052910052904"/>
        <n v="65.874956339504024"/>
        <n v="61.229314420803782"/>
        <n v="59.194958847736622"/>
        <n v="60.169263836646969"/>
        <n v="37.349397590361441"/>
        <n v="55.696559503666101"/>
        <n v="53.623188405797109"/>
        <n v="67.558415171012527"/>
        <n v="68.055555555555557"/>
        <n v="62.699215785479382"/>
        <n v="63.802872578732369"/>
        <n v="36.277602523659311"/>
        <n v="60.406928787462199"/>
        <n v="53.191489361702125"/>
        <n v="63.534218590398361"/>
        <n v="86.111111111111114"/>
        <n v="66.992665036674808"/>
        <n v="61.197982345523329"/>
        <n v="62.298095863427449"/>
        <n v="34.603174603174601"/>
        <n v="60.478547854785482"/>
        <n v="56.593406593406591"/>
        <n v="61.142061281337043"/>
        <n v="87.037037037037038"/>
        <n v="66.746411483253581"/>
        <n v="60.094496232920449"/>
        <n v="61.091923485653567"/>
        <n v="35.313531353135311"/>
        <n v="59.5703125"/>
        <m/>
      </sharedItems>
    </cacheField>
    <cacheField name="Ethnic Minority" numFmtId="0">
      <sharedItems containsString="0" containsBlank="1" containsNumber="1" minValue="0.1" maxValue="1.8518518518518516" count="42">
        <n v="0.4"/>
        <n v="0.2"/>
        <n v="1"/>
        <n v="0.6"/>
        <n v="0.8"/>
        <n v="0.5"/>
        <n v="0.7"/>
        <m/>
        <n v="1.1000000000000001"/>
        <n v="0.1"/>
        <n v="1.2"/>
        <n v="0.9"/>
        <n v="0.3"/>
        <n v="0.52910052910052907"/>
        <n v="1.1875654907439748"/>
        <n v="1.4184397163120568"/>
        <n v="1.1702674897119343"/>
        <n v="1.1955937667920473"/>
        <n v="0.60240963855421692"/>
        <n v="1.1844331641285957"/>
        <n v="0.96618357487922701"/>
        <n v="1.1175076193701321"/>
        <n v="1.7676767676767675"/>
        <n v="1.2142676448267138"/>
        <n v="1.2386348662537885"/>
        <n v="0.63091482649842268"/>
        <n v="1.2372834753918065"/>
        <n v="1.0638297872340425"/>
        <n v="1.0554988083077972"/>
        <n v="1.5892420537897312"/>
        <n v="1.1727616645649432"/>
        <n v="1.1950098489822718"/>
        <n v="0.63492063492063489"/>
        <n v="1.2376237623762376"/>
        <n v="1.098901098901099"/>
        <n v="0.94011142061281339"/>
        <n v="1.8518518518518516"/>
        <n v="1.7942583732057416"/>
        <n v="1.2131273145192185"/>
        <n v="1.2353878852284803"/>
        <n v="0.66006600660066006"/>
        <n v="1.3392857142857142"/>
      </sharedItems>
    </cacheField>
    <cacheField name="Not Stated" numFmtId="0">
      <sharedItems containsString="0" containsBlank="1" containsNumber="1" minValue="9.8000000000000007" maxValue="72.8" count="70">
        <n v="15"/>
        <n v="18"/>
        <n v="33.5"/>
        <n v="25"/>
        <n v="24.4"/>
        <n v="37"/>
        <n v="27.1"/>
        <n v="9.8000000000000007"/>
        <n v="18.899999999999999"/>
        <n v="20.6"/>
        <n v="19.3"/>
        <n v="18.399999999999999"/>
        <n v="38.1"/>
        <n v="50.7"/>
        <n v="29.3"/>
        <n v="43.8"/>
        <n v="36.700000000000003"/>
        <n v="69.400000000000006"/>
        <n v="39.6"/>
        <n v="36.5"/>
        <n v="32.799999999999997"/>
        <n v="45.1"/>
        <n v="39.299999999999997"/>
        <n v="37.700000000000003"/>
        <n v="72.8"/>
        <n v="39.9"/>
        <n v="35.5"/>
        <n v="39.4"/>
        <n v="45.8"/>
        <n v="44.1"/>
        <n v="43.1"/>
        <n v="66.7"/>
        <n v="45.7"/>
        <n v="43.6"/>
        <n v="41.4"/>
        <n v="45.5"/>
        <n v="45.2"/>
        <n v="57"/>
        <n v="48.3"/>
        <n v="46.560846560846556"/>
        <n v="32.937478169752012"/>
        <n v="37.35224586288416"/>
        <n v="39.634773662551446"/>
        <n v="38.635142396560987"/>
        <n v="62.048192771084345"/>
        <n v="43.1190073322053"/>
        <n v="45.410628019323674"/>
        <n v="31.324077209617339"/>
        <n v="30.176767676767675"/>
        <n v="36.086516569693906"/>
        <n v="34.958492555013834"/>
        <n v="63.09148264984227"/>
        <n v="38.355787737146002"/>
        <n v="45.744680851063826"/>
        <n v="35.410282601293837"/>
        <n v="13.888888888888889"/>
        <n v="31.418092909535449"/>
        <n v="37.629255989911726"/>
        <n v="36.506894287590278"/>
        <n v="64.761904761904759"/>
        <n v="38.283828382838287"/>
        <n v="42.307692307692307"/>
        <n v="37.917827298050142"/>
        <n v="11.111111111111111"/>
        <n v="31.459330143540669"/>
        <n v="38.692376452560339"/>
        <n v="37.672688629117964"/>
        <n v="64.026402640264024"/>
        <n v="39.090401785714285"/>
        <m/>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r:id="rId1" refreshedBy="Cameron, Rebecca" refreshedDate="44419.611377199071" createdVersion="6" refreshedVersion="6" minRefreshableVersion="3" recordCount="96">
  <cacheSource type="worksheet">
    <worksheetSource name="fleet_LocalAuthority"/>
  </cacheSource>
  <cacheFields count="10">
    <cacheField name="Year" numFmtId="0">
      <sharedItems count="3">
        <s v="2018-19"/>
        <s v="2019-20"/>
        <s v="2020-21"/>
      </sharedItems>
    </cacheField>
    <cacheField name="LA Code" numFmtId="0">
      <sharedItems/>
    </cacheField>
    <cacheField name="Local Authority Are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Pumping Appliances" numFmtId="0">
      <sharedItems containsSemiMixedTypes="0" containsString="0" containsNumber="1" containsInteger="1" minValue="2" maxValue="68"/>
    </cacheField>
    <cacheField name="Aerial Appliances" numFmtId="0">
      <sharedItems containsSemiMixedTypes="0" containsString="0" containsNumber="1" containsInteger="1" minValue="0" maxValue="4"/>
    </cacheField>
    <cacheField name="Resilience Appliances" numFmtId="0">
      <sharedItems containsSemiMixedTypes="0" containsString="0" containsNumber="1" containsInteger="1" minValue="0" maxValue="8"/>
    </cacheField>
    <cacheField name="Vehicles for Rescue Work" numFmtId="0">
      <sharedItems containsSemiMixedTypes="0" containsString="0" containsNumber="1" containsInteger="1" minValue="0" maxValue="3"/>
    </cacheField>
    <cacheField name="Small Firefighting Vehicles" numFmtId="0">
      <sharedItems containsSemiMixedTypes="0" containsString="0" containsNumber="1" containsInteger="1" minValue="0" maxValue="20"/>
    </cacheField>
    <cacheField name="Other Operational" numFmtId="0">
      <sharedItems containsSemiMixedTypes="0" containsString="0" containsNumber="1" containsInteger="1" minValue="0" maxValue="6"/>
    </cacheField>
    <cacheField name="Total Appliances" numFmtId="0">
      <sharedItems containsSemiMixedTypes="0" containsString="0" containsNumber="1" containsInteger="1" minValue="2" maxValue="88"/>
    </cacheField>
  </cacheFields>
  <extLst>
    <ext xmlns:x14="http://schemas.microsoft.com/office/spreadsheetml/2009/9/main" uri="{725AE2AE-9491-48be-B2B4-4EB974FC3084}">
      <x14:pivotCacheDefinition pivotCacheId="146"/>
    </ext>
  </extLst>
</pivotCacheDefinition>
</file>

<file path=xl/pivotCache/pivotCacheDefinition19.xml><?xml version="1.0" encoding="utf-8"?>
<pivotCacheDefinition xmlns="http://schemas.openxmlformats.org/spreadsheetml/2006/main" xmlns:r="http://schemas.openxmlformats.org/officeDocument/2006/relationships" r:id="rId1" refreshedBy="Cameron, Rebecca" refreshedDate="44421.642960532408" createdVersion="6" refreshedVersion="6" minRefreshableVersion="3" recordCount="96">
  <cacheSource type="worksheet">
    <worksheetSource ref="A1:H97" sheet="CrewingModelAreaData"/>
  </cacheSource>
  <cacheFields count="8">
    <cacheField name="Year" numFmtId="0">
      <sharedItems count="3">
        <s v="2018-19"/>
        <s v="2019-20"/>
        <s v="2020-21"/>
      </sharedItems>
    </cacheField>
    <cacheField name="L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Wholetime" numFmtId="0">
      <sharedItems containsString="0" containsBlank="1" containsNumber="1" containsInteger="1" minValue="1" maxValue="11" count="8">
        <n v="3"/>
        <m/>
        <n v="7"/>
        <n v="1"/>
        <n v="2"/>
        <n v="5"/>
        <n v="11"/>
        <n v="4"/>
      </sharedItems>
    </cacheField>
    <cacheField name="Wholetime and Retained" numFmtId="0">
      <sharedItems containsString="0" containsBlank="1" containsNumber="1" containsInteger="1" minValue="1" maxValue="3" count="4">
        <m/>
        <n v="1"/>
        <n v="2"/>
        <n v="3"/>
      </sharedItems>
    </cacheField>
    <cacheField name="Wholetime and Day" numFmtId="0">
      <sharedItems containsString="0" containsBlank="1" containsNumber="1" containsInteger="1" minValue="1" maxValue="1" count="2">
        <m/>
        <n v="1"/>
      </sharedItems>
    </cacheField>
    <cacheField name="Volunteer" numFmtId="0">
      <sharedItems containsString="0" containsBlank="1" containsNumber="1" containsInteger="1" minValue="1" maxValue="25" count="5">
        <m/>
        <n v="25"/>
        <n v="1"/>
        <n v="9"/>
        <n v="3"/>
      </sharedItems>
    </cacheField>
    <cacheField name="Retained" numFmtId="0">
      <sharedItems containsString="0" containsBlank="1" containsNumber="1" containsInteger="1" minValue="1" maxValue="51" count="16">
        <n v="1"/>
        <n v="23"/>
        <n v="5"/>
        <n v="12"/>
        <n v="15"/>
        <m/>
        <n v="7"/>
        <n v="2"/>
        <n v="8"/>
        <n v="51"/>
        <n v="10"/>
        <n v="14"/>
        <n v="3"/>
        <n v="11"/>
        <n v="4"/>
        <n v="9"/>
      </sharedItems>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148"/>
    </ext>
  </extLst>
</pivotCacheDefinition>
</file>

<file path=xl/pivotCache/pivotCacheDefinition2.xml><?xml version="1.0" encoding="utf-8"?>
<pivotCacheDefinition xmlns="http://schemas.openxmlformats.org/spreadsheetml/2006/main" xmlns:r="http://schemas.openxmlformats.org/officeDocument/2006/relationships" r:id="rId1" refreshedBy="Cameron, Rebecca" refreshedDate="44400.425450347226" createdVersion="6" refreshedVersion="6" minRefreshableVersion="3" recordCount="32">
  <cacheSource type="worksheet">
    <worksheetSource ref="A110:D142" sheet="Tentrant" r:id="rId2"/>
  </cacheSource>
  <cacheFields count="4">
    <cacheField name="Type" numFmtId="0">
      <sharedItems count="7">
        <s v="RDS"/>
        <s v="Support"/>
        <s v="Total"/>
        <s v="Total (ex Vol)"/>
        <s v="Control"/>
        <s v="Vol"/>
        <s v="WT"/>
      </sharedItems>
    </cacheField>
    <cacheField name="Eth" numFmtId="0">
      <sharedItems count="3">
        <s v="Ethnic Minority"/>
        <s v="Not Stated"/>
        <s v="White"/>
      </sharedItems>
    </cacheField>
    <cacheField name="FinYear" numFmtId="0">
      <sharedItems count="2">
        <s v="2018-19"/>
        <s v="2019-20"/>
      </sharedItems>
    </cacheField>
    <cacheField name="Per" numFmtId="0">
      <sharedItems containsSemiMixedTypes="0" containsString="0" containsNumber="1" minValue="0.5" maxValue="100"/>
    </cacheField>
  </cacheFields>
  <extLst>
    <ext xmlns:x14="http://schemas.microsoft.com/office/spreadsheetml/2009/9/main" uri="{725AE2AE-9491-48be-B2B4-4EB974FC3084}">
      <x14:pivotCacheDefinition pivotCacheId="107"/>
    </ext>
  </extLst>
</pivotCacheDefinition>
</file>

<file path=xl/pivotCache/pivotCacheDefinition20.xml><?xml version="1.0" encoding="utf-8"?>
<pivotCacheDefinition xmlns="http://schemas.openxmlformats.org/spreadsheetml/2006/main" xmlns:r="http://schemas.openxmlformats.org/officeDocument/2006/relationships" r:id="rId1" refreshedBy="Cameron, Rebecca" refreshedDate="44421.651060995369" createdVersion="6" refreshedVersion="6" minRefreshableVersion="3" recordCount="224">
  <cacheSource type="worksheet">
    <worksheetSource ref="A1:F225" sheet="PrimaryCrewingAreaData"/>
  </cacheSource>
  <cacheFields count="6">
    <cacheField name="Year" numFmtId="0">
      <sharedItems count="7">
        <s v="2018-19"/>
        <s v="2019-20"/>
        <s v="2020-21"/>
        <s v="2017-18"/>
        <s v="2016-17"/>
        <s v="2015-16"/>
        <s v="2014-15"/>
      </sharedItems>
    </cacheField>
    <cacheField name="LA"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Wholetime" numFmtId="0">
      <sharedItems containsString="0" containsBlank="1" containsNumber="1" containsInteger="1" minValue="1" maxValue="11" count="8">
        <n v="3"/>
        <n v="1"/>
        <n v="2"/>
        <n v="7"/>
        <n v="4"/>
        <n v="5"/>
        <n v="11"/>
        <m/>
      </sharedItems>
    </cacheField>
    <cacheField name="Retained" numFmtId="0">
      <sharedItems containsString="0" containsBlank="1" containsNumber="1" containsInteger="1" minValue="1" maxValue="51" count="16">
        <n v="1"/>
        <n v="23"/>
        <n v="5"/>
        <n v="12"/>
        <n v="15"/>
        <m/>
        <n v="7"/>
        <n v="2"/>
        <n v="8"/>
        <n v="51"/>
        <n v="10"/>
        <n v="14"/>
        <n v="3"/>
        <n v="11"/>
        <n v="4"/>
        <n v="9"/>
      </sharedItems>
    </cacheField>
    <cacheField name="Volunteer" numFmtId="0">
      <sharedItems containsString="0" containsBlank="1" containsNumber="1" containsInteger="1" minValue="1" maxValue="25" count="5">
        <m/>
        <n v="25"/>
        <n v="1"/>
        <n v="9"/>
        <n v="3"/>
      </sharedItems>
    </cacheField>
    <cacheField name="Total" numFmtId="0">
      <sharedItems containsSemiMixedTypes="0" containsString="0" containsNumber="1" containsInteger="1" minValue="2" maxValue="61"/>
    </cacheField>
  </cacheFields>
  <extLst>
    <ext xmlns:x14="http://schemas.microsoft.com/office/spreadsheetml/2009/9/main" uri="{725AE2AE-9491-48be-B2B4-4EB974FC3084}">
      <x14:pivotCacheDefinition pivotCacheId="149"/>
    </ext>
  </extLst>
</pivotCacheDefinition>
</file>

<file path=xl/pivotCache/pivotCacheDefinition21.xml><?xml version="1.0" encoding="utf-8"?>
<pivotCacheDefinition xmlns="http://schemas.openxmlformats.org/spreadsheetml/2006/main" xmlns:r="http://schemas.openxmlformats.org/officeDocument/2006/relationships" r:id="rId1" refreshedBy="Cameron, Rebecca" refreshedDate="44425.512772800925" createdVersion="6" refreshedVersion="6" minRefreshableVersion="3" recordCount="3">
  <cacheSource type="worksheet">
    <worksheetSource name="Table1"/>
  </cacheSource>
  <cacheFields count="1">
    <cacheField name="FisYr" numFmtId="0">
      <sharedItems count="3">
        <s v="2018-19"/>
        <s v="2019-20"/>
        <s v="2020-21"/>
      </sharedItems>
    </cacheField>
  </cacheFields>
  <extLst>
    <ext xmlns:x14="http://schemas.microsoft.com/office/spreadsheetml/2009/9/main" uri="{725AE2AE-9491-48be-B2B4-4EB974FC3084}">
      <x14:pivotCacheDefinition pivotCacheId="151"/>
    </ext>
  </extLst>
</pivotCacheDefinition>
</file>

<file path=xl/pivotCache/pivotCacheDefinition22.xml><?xml version="1.0" encoding="utf-8"?>
<pivotCacheDefinition xmlns="http://schemas.openxmlformats.org/spreadsheetml/2006/main" xmlns:r="http://schemas.openxmlformats.org/officeDocument/2006/relationships" r:id="rId1" refreshedBy="Cameron, Rebecca" refreshedDate="44400.423556481481" createdVersion="6" refreshedVersion="6" minRefreshableVersion="3" recordCount="36">
  <cacheSource type="worksheet">
    <worksheetSource ref="A1:G37" sheet="Sheet4" r:id="rId2"/>
  </cacheSource>
  <cacheFields count="7">
    <cacheField name="FisYr" numFmtId="0">
      <sharedItems count="8">
        <s v="2014-15"/>
        <s v="2016-17"/>
        <s v="NULL"/>
        <s v="2019-20"/>
        <s v="2017-18"/>
        <s v="2018-19"/>
        <s v="2020-21"/>
        <s v="2015-16"/>
      </sharedItems>
    </cacheField>
    <cacheField name="SIMD2020_Quintile" numFmtId="0">
      <sharedItems containsMixedTypes="1" containsNumber="1" containsInteger="1" minValue="1" maxValue="5" count="6">
        <n v="1"/>
        <n v="4"/>
        <n v="5"/>
        <s v="NULL"/>
        <n v="2"/>
        <n v="3"/>
      </sharedItems>
    </cacheField>
    <cacheField name="Visits" numFmtId="0">
      <sharedItems containsMixedTypes="1" containsNumber="1" containsInteger="1" minValue="1880" maxValue="8894"/>
    </cacheField>
    <cacheField name="WithAlarmsFitted" numFmtId="0">
      <sharedItems containsMixedTypes="1" containsNumber="1" containsInteger="1" minValue="1045" maxValue="4750"/>
    </cacheField>
    <cacheField name="pcAlarmsFitted" numFmtId="0">
      <sharedItems containsMixedTypes="1" containsNumber="1" minValue="46.3" maxValue="57.6"/>
    </cacheField>
    <cacheField name="RateAlarmsFittedper100OccupiedDwellings" numFmtId="0">
      <sharedItems containsMixedTypes="1" containsNumber="1" minValue="0.19" maxValue="0.99"/>
    </cacheField>
    <cacheField name="OccupiedDwellings" numFmtId="0">
      <sharedItems containsMixedTypes="1" containsNumber="1" containsInteger="1" minValue="449892" maxValue="536888"/>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r:id="rId1" refreshedBy="Cameron, Rebecca" refreshedDate="44428.659600578707" createdVersion="6" refreshedVersion="6" minRefreshableVersion="3" recordCount="105">
  <cacheSource type="worksheet">
    <worksheetSource name="pp_PPED_Audits_Outcome_Premises"/>
  </cacheSource>
  <cacheFields count="11">
    <cacheField name="FisYr" numFmtId="0">
      <sharedItems count="7">
        <s v="2014-15"/>
        <s v="2015-16"/>
        <s v="2016-17"/>
        <s v="2017-18"/>
        <s v="2018-19"/>
        <s v="2019-20"/>
        <s v="2020-21"/>
      </sharedItems>
    </cacheField>
    <cacheField name="FSEC" numFmtId="0">
      <sharedItems count="15">
        <s v="A"/>
        <s v="B"/>
        <s v="C"/>
        <s v="E"/>
        <s v="F"/>
        <s v="H"/>
        <s v="J"/>
        <s v="K"/>
        <s v="L"/>
        <s v="M"/>
        <s v="N"/>
        <s v="P"/>
        <s v="R"/>
        <s v="S"/>
        <s v="T"/>
      </sharedItems>
    </cacheField>
    <cacheField name="Type of Premises" numFmtId="0">
      <sharedItems/>
    </cacheField>
    <cacheField name="A_Tally" numFmtId="0">
      <sharedItems containsSemiMixedTypes="0" containsString="0" containsNumber="1" containsInteger="1" minValue="6" maxValue="2916"/>
    </cacheField>
    <cacheField name="A_Hours" numFmtId="0">
      <sharedItems containsString="0" containsBlank="1" containsNumber="1" minValue="28" maxValue="10285.25"/>
    </cacheField>
    <cacheField name="B_Tally" numFmtId="0">
      <sharedItems containsString="0" containsBlank="1" containsNumber="1" containsInteger="1" minValue="1" maxValue="213"/>
    </cacheField>
    <cacheField name="B_Hours" numFmtId="0">
      <sharedItems containsString="0" containsBlank="1" containsNumber="1" minValue="4.75" maxValue="2008.25"/>
    </cacheField>
    <cacheField name="Enforcement_Tally" numFmtId="0">
      <sharedItems containsString="0" containsBlank="1" containsNumber="1" containsInteger="1" minValue="1" maxValue="14"/>
    </cacheField>
    <cacheField name="Enforcement_Hours" numFmtId="0">
      <sharedItems containsString="0" containsBlank="1" containsNumber="1" minValue="3" maxValue="436.5"/>
    </cacheField>
    <cacheField name="Prohibition_Tally" numFmtId="0">
      <sharedItems containsString="0" containsBlank="1" containsNumber="1" containsInteger="1" minValue="1" maxValue="12"/>
    </cacheField>
    <cacheField name="Prohibition_Hours" numFmtId="0">
      <sharedItems containsString="0" containsBlank="1" containsNumber="1" minValue="2" maxValue="181.25"/>
    </cacheField>
  </cacheFields>
  <extLst>
    <ext xmlns:x14="http://schemas.microsoft.com/office/spreadsheetml/2009/9/main" uri="{725AE2AE-9491-48be-B2B4-4EB974FC3084}">
      <x14:pivotCacheDefinition pivotCacheId="126"/>
    </ext>
  </extLst>
</pivotCacheDefinition>
</file>

<file path=xl/pivotCache/pivotCacheDefinition24.xml><?xml version="1.0" encoding="utf-8"?>
<pivotCacheDefinition xmlns="http://schemas.openxmlformats.org/spreadsheetml/2006/main" xmlns:r="http://schemas.openxmlformats.org/officeDocument/2006/relationships" r:id="rId1" refreshedBy="Cameron, Rebecca" refreshedDate="44431.742993287036" createdVersion="6" refreshedVersion="6" minRefreshableVersion="3" recordCount="159">
  <cacheSource type="worksheet">
    <worksheetSource name="hrod_HR_DutySystem_LA"/>
  </cacheSource>
  <cacheFields count="7">
    <cacheField name="Year" numFmtId="0">
      <sharedItems containsBlank="1" count="4">
        <s v="2018-19"/>
        <s v="2019-20"/>
        <s v="2020-21"/>
        <m u="1"/>
      </sharedItems>
    </cacheField>
    <cacheField name="ReportingLevel" numFmtId="0">
      <sharedItems containsBlank="1" count="5">
        <s v="1:LA"/>
        <s v="2:LSO"/>
        <s v="3:SDA"/>
        <s v="4:National"/>
        <m u="1"/>
      </sharedItems>
    </cacheField>
    <cacheField name="lvl" numFmtId="0">
      <sharedItems containsBlank="1" count="50">
        <s v="Aberdeen City"/>
        <s v="Aberdeenshire"/>
        <s v="Angus"/>
        <s v="Argyll and Bute"/>
        <s v="City of Edinburgh"/>
        <s v="Clackmannanshire"/>
        <s v="Dumfries and Gallowa"/>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Aberdeenshire and Moray"/>
        <s v="Argyll and Bute, East Dunbartonshire and West Dunbartonshire"/>
        <s v="Dumfries and Galloway"/>
        <s v="Dundee, Angus, Perth and Kinross"/>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East"/>
        <s v="North"/>
        <s v="West"/>
        <s v="Scotland"/>
        <s v="Stirling, Clackmannanshire and Fife"/>
        <m u="1"/>
      </sharedItems>
    </cacheField>
    <cacheField name="Operational Crewing" numFmtId="0">
      <sharedItems containsString="0" containsBlank="1" containsNumber="1" containsInteger="1" minValue="0" maxValue="517"/>
    </cacheField>
    <cacheField name="Incident Command Officers" numFmtId="0">
      <sharedItems containsString="0" containsBlank="1" containsNumber="1" containsInteger="1" minValue="0" maxValue="61"/>
    </cacheField>
    <cacheField name="Office Duties" numFmtId="0">
      <sharedItems containsString="0" containsBlank="1" containsNumber="1" containsInteger="1" minValue="0" maxValue="76"/>
    </cacheField>
    <cacheField name="Trainees" numFmtId="0">
      <sharedItems containsString="0" containsBlank="1" containsNumber="1" containsInteger="1" minValue="0" maxValue="60"/>
    </cacheField>
  </cacheFields>
  <extLst>
    <ext xmlns:x14="http://schemas.microsoft.com/office/spreadsheetml/2009/9/main" uri="{725AE2AE-9491-48be-B2B4-4EB974FC3084}">
      <x14:pivotCacheDefinition pivotCacheId="132"/>
    </ext>
  </extLst>
</pivotCacheDefinition>
</file>

<file path=xl/pivotCache/pivotCacheDefinition25.xml><?xml version="1.0" encoding="utf-8"?>
<pivotCacheDefinition xmlns="http://schemas.openxmlformats.org/spreadsheetml/2006/main" xmlns:r="http://schemas.openxmlformats.org/officeDocument/2006/relationships" r:id="rId1" refreshedBy="Cameron, Rebecca" refreshedDate="44431.821581018521" createdVersion="6" refreshedVersion="6" minRefreshableVersion="3" recordCount="43">
  <cacheSource type="worksheet">
    <worksheetSource name="hrod_HR_Gender"/>
  </cacheSource>
  <cacheFields count="5">
    <cacheField name="Year" numFmtId="0">
      <sharedItems count="8">
        <s v="2013-14"/>
        <s v="2014-15"/>
        <s v="2015-16"/>
        <s v="2016-17"/>
        <s v="2017-18"/>
        <s v="2018-19"/>
        <s v="2019-20"/>
        <s v="2020-21"/>
      </sharedItems>
    </cacheField>
    <cacheField name="Type" numFmtId="0">
      <sharedItems count="6">
        <s v="Control"/>
        <s v="RDS"/>
        <s v="Support"/>
        <s v="Vol"/>
        <s v="WT"/>
        <s v="RDS Fulltime"/>
      </sharedItems>
    </cacheField>
    <cacheField name="Total" numFmtId="0">
      <sharedItems containsSemiMixedTypes="0" containsString="0" containsNumber="1" containsInteger="1" minValue="18" maxValue="4001"/>
    </cacheField>
    <cacheField name="Female" numFmtId="0">
      <sharedItems containsSemiMixedTypes="0" containsString="0" containsNumber="1" containsInteger="1" minValue="1" maxValue="545"/>
    </cacheField>
    <cacheField name="Male" numFmtId="0">
      <sharedItems containsSemiMixedTypes="0" containsString="0" containsNumber="1" containsInteger="1" minValue="17" maxValue="3842"/>
    </cacheField>
  </cacheFields>
  <extLst>
    <ext xmlns:x14="http://schemas.microsoft.com/office/spreadsheetml/2009/9/main" uri="{725AE2AE-9491-48be-B2B4-4EB974FC3084}">
      <x14:pivotCacheDefinition pivotCacheId="144"/>
    </ext>
  </extLst>
</pivotCacheDefinition>
</file>

<file path=xl/pivotCache/pivotCacheDefinition26.xml><?xml version="1.0" encoding="utf-8"?>
<pivotCacheDefinition xmlns="http://schemas.openxmlformats.org/spreadsheetml/2006/main" xmlns:r="http://schemas.openxmlformats.org/officeDocument/2006/relationships" r:id="rId1" refreshedBy="Cameron, Rebecca" refreshedDate="44431.840407175929" createdVersion="6" refreshedVersion="6" minRefreshableVersion="3" recordCount="93">
  <cacheSource type="worksheet">
    <worksheetSource name="hrod_HR_Age__2"/>
  </cacheSource>
  <cacheFields count="9">
    <cacheField name="Year" numFmtId="0">
      <sharedItems count="8">
        <s v="2013-14"/>
        <s v="2014-15"/>
        <s v="2015-16"/>
        <s v="2016-17"/>
        <s v="2017-18"/>
        <s v="2018-19"/>
        <s v="2019-20"/>
        <s v="2020-21"/>
      </sharedItems>
    </cacheField>
    <cacheField name="Wholetime Operational" numFmtId="0">
      <sharedItems containsString="0" containsBlank="1" containsNumber="1" containsInteger="1" minValue="1" maxValue="1254"/>
    </cacheField>
    <cacheField name="Retained Duty System" numFmtId="0">
      <sharedItems containsString="0" containsBlank="1" containsNumber="1" containsInteger="1" minValue="1" maxValue="691"/>
    </cacheField>
    <cacheField name="Retained Full-time" numFmtId="0">
      <sharedItems containsString="0" containsBlank="1" containsNumber="1" containsInteger="1" minValue="1" maxValue="19"/>
    </cacheField>
    <cacheField name="Control" numFmtId="0">
      <sharedItems containsString="0" containsBlank="1" containsNumber="1" containsInteger="1" minValue="1" maxValue="52"/>
    </cacheField>
    <cacheField name="Support Staff" numFmtId="0">
      <sharedItems containsString="0" containsBlank="1" containsNumber="1" containsInteger="1" minValue="1" maxValue="248"/>
    </cacheField>
    <cacheField name="Volunteer" numFmtId="0">
      <sharedItems containsString="0" containsBlank="1" containsNumber="1" containsInteger="1" minValue="1" maxValue="89"/>
    </cacheField>
    <cacheField name="Attribute" numFmtId="0">
      <sharedItems/>
    </cacheField>
    <cacheField name="Value" numFmtId="0">
      <sharedItems count="17">
        <s v="20-29"/>
        <s v="30-39"/>
        <s v="40-44"/>
        <s v="45-49"/>
        <s v="50-54"/>
        <s v="55-65"/>
        <s v="&gt;66"/>
        <s v="&lt;20"/>
        <s v="20-24"/>
        <s v="25-29"/>
        <s v="30-34"/>
        <s v="35-39"/>
        <s v="55-59"/>
        <s v="60-64"/>
        <s v="65-69"/>
        <s v="70-74"/>
        <s v="Not Recorded"/>
      </sharedItems>
    </cacheField>
  </cacheFields>
  <extLst>
    <ext xmlns:x14="http://schemas.microsoft.com/office/spreadsheetml/2009/9/main" uri="{725AE2AE-9491-48be-B2B4-4EB974FC3084}">
      <x14:pivotCacheDefinition pivotCacheId="129"/>
    </ext>
  </extLst>
</pivotCacheDefinition>
</file>

<file path=xl/pivotCache/pivotCacheDefinition27.xml><?xml version="1.0" encoding="utf-8"?>
<pivotCacheDefinition xmlns="http://schemas.openxmlformats.org/spreadsheetml/2006/main" xmlns:r="http://schemas.openxmlformats.org/officeDocument/2006/relationships" r:id="rId1" refreshedBy="Cameron, Rebecca" refreshedDate="44431.848113194443" createdVersion="6" refreshedVersion="6" minRefreshableVersion="3" recordCount="32">
  <cacheSource type="worksheet">
    <worksheetSource name="hrod_HR_CS_RoleArea_Support"/>
  </cacheSource>
  <cacheFields count="12">
    <cacheField name="Year" numFmtId="0">
      <sharedItems count="8">
        <s v="2013-14"/>
        <s v="2014-15"/>
        <s v="2015-16"/>
        <s v="2016-17"/>
        <s v="2017-18"/>
        <s v="2018-19"/>
        <s v="2019-20"/>
        <s v="2020-21"/>
      </sharedItems>
    </cacheField>
    <cacheField name="ReportingLevel" numFmtId="0">
      <sharedItems count="2">
        <s v="4:National"/>
        <s v="3:SDA"/>
      </sharedItems>
    </cacheField>
    <cacheField name="Code" numFmtId="0">
      <sharedItems/>
    </cacheField>
    <cacheField name="lvl" numFmtId="0">
      <sharedItems count="4">
        <s v="East"/>
        <s v="North"/>
        <s v="Scotland"/>
        <s v="West"/>
      </sharedItems>
    </cacheField>
    <cacheField name="Director" numFmtId="0">
      <sharedItems containsString="0" containsBlank="1" containsNumber="1" containsInteger="1" minValue="2" maxValue="3"/>
    </cacheField>
    <cacheField name="Service Manager" numFmtId="0">
      <sharedItems containsSemiMixedTypes="0" containsString="0" containsNumber="1" containsInteger="1" minValue="0" maxValue="56"/>
    </cacheField>
    <cacheField name="Team Leader" numFmtId="0">
      <sharedItems containsSemiMixedTypes="0" containsString="0" containsNumber="1" containsInteger="1" minValue="0" maxValue="34"/>
    </cacheField>
    <cacheField name="Professional" numFmtId="0">
      <sharedItems containsSemiMixedTypes="0" containsString="0" containsNumber="1" containsInteger="1" minValue="0" maxValue="91"/>
    </cacheField>
    <cacheField name="Specialist Technical" numFmtId="0">
      <sharedItems containsSemiMixedTypes="0" containsString="0" containsNumber="1" containsInteger="1" minValue="0" maxValue="414"/>
    </cacheField>
    <cacheField name="Tech Support" numFmtId="0">
      <sharedItems containsSemiMixedTypes="0" containsString="0" containsNumber="1" containsInteger="1" minValue="0" maxValue="149"/>
    </cacheField>
    <cacheField name="Administration" numFmtId="0">
      <sharedItems containsSemiMixedTypes="0" containsString="0" containsNumber="1" containsInteger="1" minValue="0" maxValue="187"/>
    </cacheField>
    <cacheField name="Total" numFmtId="0">
      <sharedItems containsSemiMixedTypes="0" containsString="0" containsNumber="1" containsInteger="1" minValue="0" maxValue="836"/>
    </cacheField>
  </cacheFields>
  <extLst>
    <ext xmlns:x14="http://schemas.microsoft.com/office/spreadsheetml/2009/9/main" uri="{725AE2AE-9491-48be-B2B4-4EB974FC3084}">
      <x14:pivotCacheDefinition pivotCacheId="147"/>
    </ext>
  </extLst>
</pivotCacheDefinition>
</file>

<file path=xl/pivotCache/pivotCacheDefinition28.xml><?xml version="1.0" encoding="utf-8"?>
<pivotCacheDefinition xmlns="http://schemas.openxmlformats.org/spreadsheetml/2006/main" xmlns:r="http://schemas.openxmlformats.org/officeDocument/2006/relationships" r:id="rId1" refreshedBy="Cameron, Rebecca" refreshedDate="44431.857741666667" createdVersion="6" refreshedVersion="6" minRefreshableVersion="3" recordCount="224">
  <cacheSource type="worksheet">
    <worksheetSource name="pp_PPED_Audits_Outcome_LA"/>
  </cacheSource>
  <cacheFields count="11">
    <cacheField name="FisYr" numFmtId="0">
      <sharedItems count="8">
        <s v="2014-15"/>
        <s v="2015-16"/>
        <s v="2016-17"/>
        <s v="2017-18"/>
        <s v="2018-19"/>
        <s v="2019-20"/>
        <s v="2020-21"/>
        <s v="..." u="1"/>
      </sharedItems>
    </cacheField>
    <cacheField name="Council" numFmtId="0">
      <sharedItems count="33">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 u="1"/>
      </sharedItems>
    </cacheField>
    <cacheField name="GSSCode" numFmtId="0">
      <sharedItems containsBlank="1"/>
    </cacheField>
    <cacheField name="A_Tally" numFmtId="0">
      <sharedItems containsString="0" containsBlank="1" containsNumber="1" containsInteger="1" minValue="5" maxValue="1812"/>
    </cacheField>
    <cacheField name="A_Hours" numFmtId="0">
      <sharedItems containsString="0" containsBlank="1" containsNumber="1" minValue="27.25" maxValue="7682.25"/>
    </cacheField>
    <cacheField name="B_Tally" numFmtId="0">
      <sharedItems containsString="0" containsBlank="1" containsNumber="1" containsInteger="1" minValue="1" maxValue="144"/>
    </cacheField>
    <cacheField name="B_Hours" numFmtId="0">
      <sharedItems containsString="0" containsBlank="1" containsNumber="1" minValue="4.25" maxValue="1064.25"/>
    </cacheField>
    <cacheField name="Enforcement_Tally" numFmtId="0">
      <sharedItems containsString="0" containsBlank="1" containsNumber="1" containsInteger="1" minValue="1" maxValue="10"/>
    </cacheField>
    <cacheField name="Enforcement_Hours" numFmtId="0">
      <sharedItems containsString="0" containsBlank="1" containsNumber="1" minValue="5.5" maxValue="256.5"/>
    </cacheField>
    <cacheField name="Prohibition_Tally" numFmtId="0">
      <sharedItems containsString="0" containsBlank="1" containsNumber="1" containsInteger="1" minValue="1" maxValue="7"/>
    </cacheField>
    <cacheField name="Prohibition_Hours" numFmtId="0">
      <sharedItems containsString="0" containsBlank="1" containsNumber="1" minValue="2.5" maxValue="123"/>
    </cacheField>
  </cacheFields>
  <extLst>
    <ext xmlns:x14="http://schemas.microsoft.com/office/spreadsheetml/2009/9/main" uri="{725AE2AE-9491-48be-B2B4-4EB974FC3084}">
      <x14:pivotCacheDefinition pivotCacheId="125"/>
    </ext>
  </extLst>
</pivotCacheDefinition>
</file>

<file path=xl/pivotCache/pivotCacheDefinition29.xml><?xml version="1.0" encoding="utf-8"?>
<pivotCacheDefinition xmlns="http://schemas.openxmlformats.org/spreadsheetml/2006/main" xmlns:r="http://schemas.openxmlformats.org/officeDocument/2006/relationships" r:id="rId1" refreshedBy="Cameron, Rebecca" refreshedDate="44433.669876157408" createdVersion="6" refreshedVersion="6" minRefreshableVersion="3" recordCount="255">
  <cacheSource type="worksheet">
    <worksheetSource name="hrod_HR_RDS_FTE_RoleArea"/>
  </cacheSource>
  <cacheFields count="8">
    <cacheField name="Year" numFmtId="0">
      <sharedItems containsBlank="1" count="9">
        <s v="2013-14"/>
        <s v="2014-15"/>
        <s v="2015-16"/>
        <s v="2016-17"/>
        <s v="2017-18"/>
        <s v="2018-19"/>
        <s v="2019-20"/>
        <s v="2020-21"/>
        <m u="1"/>
      </sharedItems>
    </cacheField>
    <cacheField name="ReportingLevel" numFmtId="0">
      <sharedItems containsBlank="1" count="2">
        <s v="1:LA"/>
        <m u="1"/>
      </sharedItems>
    </cacheField>
    <cacheField name="Code" numFmtId="0">
      <sharedItems containsBlank="1"/>
    </cacheField>
    <cacheField name="lvl" numFmtId="0">
      <sharedItems containsBlank="1" count="35">
        <s v="Aberdeen City"/>
        <s v="Aberdeenshire"/>
        <s v="ALL"/>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Dumfries and Gallowa"/>
        <m u="1"/>
      </sharedItems>
    </cacheField>
    <cacheField name="Total" numFmtId="0">
      <sharedItems containsString="0" containsBlank="1" containsNumber="1" minValue="0" maxValue="2668.5"/>
    </cacheField>
    <cacheField name="Watch Manager" numFmtId="0">
      <sharedItems containsString="0" containsBlank="1" containsNumber="1" minValue="0" maxValue="263.75"/>
    </cacheField>
    <cacheField name="Crew Manager" numFmtId="0">
      <sharedItems containsString="0" containsBlank="1" containsNumber="1" minValue="0" maxValue="499"/>
    </cacheField>
    <cacheField name="Firefighter" numFmtId="0">
      <sharedItems containsString="0" containsBlank="1" containsNumber="1" minValue="0" maxValue="1913.55"/>
    </cacheField>
  </cacheFields>
  <extLst>
    <ext xmlns:x14="http://schemas.microsoft.com/office/spreadsheetml/2009/9/main" uri="{725AE2AE-9491-48be-B2B4-4EB974FC3084}">
      <x14:pivotCacheDefinition pivotCacheId="142"/>
    </ext>
  </extLst>
</pivotCacheDefinition>
</file>

<file path=xl/pivotCache/pivotCacheDefinition3.xml><?xml version="1.0" encoding="utf-8"?>
<pivotCacheDefinition xmlns="http://schemas.openxmlformats.org/spreadsheetml/2006/main" xmlns:r="http://schemas.openxmlformats.org/officeDocument/2006/relationships" r:id="rId1" refreshedBy="Cameron, Rebecca" refreshedDate="44400.425506018517" createdVersion="6" refreshedVersion="6" minRefreshableVersion="3" recordCount="18">
  <cacheSource type="worksheet">
    <worksheetSource ref="A80:D98" sheet="Tentrant" r:id="rId2"/>
  </cacheSource>
  <cacheFields count="4">
    <cacheField name="FisYr" numFmtId="0">
      <sharedItems count="2">
        <s v="2018-19"/>
        <s v="2019-20"/>
      </sharedItems>
    </cacheField>
    <cacheField name="Gender" numFmtId="0">
      <sharedItems count="2">
        <s v="Female"/>
        <s v="Male"/>
      </sharedItems>
    </cacheField>
    <cacheField name="StaffType" numFmtId="0">
      <sharedItems count="5">
        <s v="Control"/>
        <s v="RDS"/>
        <s v="Support"/>
        <s v="Vol"/>
        <s v="WT"/>
      </sharedItems>
    </cacheField>
    <cacheField name="Total Of PositionRef" numFmtId="0">
      <sharedItems containsSemiMixedTypes="0" containsString="0" containsNumber="1" containsInteger="1" minValue="5" maxValue="209"/>
    </cacheField>
  </cacheFields>
  <extLst>
    <ext xmlns:x14="http://schemas.microsoft.com/office/spreadsheetml/2009/9/main" uri="{725AE2AE-9491-48be-B2B4-4EB974FC3084}">
      <x14:pivotCacheDefinition pivotCacheId="108"/>
    </ext>
  </extLst>
</pivotCacheDefinition>
</file>

<file path=xl/pivotCache/pivotCacheDefinition30.xml><?xml version="1.0" encoding="utf-8"?>
<pivotCacheDefinition xmlns="http://schemas.openxmlformats.org/spreadsheetml/2006/main" xmlns:r="http://schemas.openxmlformats.org/officeDocument/2006/relationships" r:id="rId1" refreshedBy="Cameron, Rebecca" refreshedDate="44433.682621527776" createdVersion="6" refreshedVersion="6" minRefreshableVersion="3" recordCount="206">
  <cacheSource type="worksheet">
    <worksheetSource name="hrod_HR_Gender_Role"/>
  </cacheSource>
  <cacheFields count="6">
    <cacheField name="Year" numFmtId="0">
      <sharedItems count="8">
        <s v="2013-14"/>
        <s v="2014-15"/>
        <s v="2015-16"/>
        <s v="2016-17"/>
        <s v="2017-18"/>
        <s v="2019-20"/>
        <s v="2020-21"/>
        <s v="2018-19"/>
      </sharedItems>
    </cacheField>
    <cacheField name="Type" numFmtId="0">
      <sharedItems count="6">
        <s v="Control"/>
        <s v="Support"/>
        <s v="Vol"/>
        <s v="WT"/>
        <s v="RDS"/>
        <s v="RDS Fulltime"/>
      </sharedItems>
    </cacheField>
    <cacheField name="PostConv" numFmtId="0">
      <sharedItems count="16">
        <s v="Group Manager"/>
        <s v="Specialist Technical"/>
        <s v="Crew Manager"/>
        <s v="Tech Support"/>
        <s v="Area Manager"/>
        <s v="Administration"/>
        <s v="Firefighter"/>
        <s v="Watch Manager"/>
        <s v="Director"/>
        <s v="Brigade Manager"/>
        <s v="Station Manager"/>
        <s v="Team Leader"/>
        <s v="Service Manager"/>
        <s v="Professional"/>
        <s v="Watch Manger"/>
        <s v="Technical Support" u="1"/>
      </sharedItems>
    </cacheField>
    <cacheField name="Total" numFmtId="0">
      <sharedItems containsSemiMixedTypes="0" containsString="0" containsNumber="1" containsInteger="1" minValue="0" maxValue="2374"/>
    </cacheField>
    <cacheField name="Female" numFmtId="0">
      <sharedItems containsSemiMixedTypes="0" containsString="0" containsNumber="1" containsInteger="1" minValue="0" maxValue="248"/>
    </cacheField>
    <cacheField name="Male" numFmtId="0">
      <sharedItems containsSemiMixedTypes="0" containsString="0" containsNumber="1" containsInteger="1" minValue="0" maxValue="2268"/>
    </cacheField>
  </cacheFields>
  <extLst>
    <ext xmlns:x14="http://schemas.microsoft.com/office/spreadsheetml/2009/9/main" uri="{725AE2AE-9491-48be-B2B4-4EB974FC3084}">
      <x14:pivotCacheDefinition pivotCacheId="128"/>
    </ext>
  </extLst>
</pivotCacheDefinition>
</file>

<file path=xl/pivotCache/pivotCacheDefinition31.xml><?xml version="1.0" encoding="utf-8"?>
<pivotCacheDefinition xmlns="http://schemas.openxmlformats.org/spreadsheetml/2006/main" xmlns:r="http://schemas.openxmlformats.org/officeDocument/2006/relationships" r:id="rId1" refreshedBy="Cameron, Rebecca" refreshedDate="44434.667409259258" createdVersion="6" refreshedVersion="6" minRefreshableVersion="3" recordCount="160">
  <cacheSource type="worksheet">
    <worksheetSource name="hrod_HR_FTE_Gender_Role"/>
  </cacheSource>
  <cacheFields count="6">
    <cacheField name="Year" numFmtId="0">
      <sharedItems count="7">
        <s v="2013-14"/>
        <s v="2014-15"/>
        <s v="2015-16"/>
        <s v="2017-18"/>
        <s v="2018-19"/>
        <s v="2019-20"/>
        <s v="2020-21"/>
      </sharedItems>
    </cacheField>
    <cacheField name="Type" numFmtId="0">
      <sharedItems count="5">
        <s v="Control"/>
        <s v="RDS"/>
        <s v="Support"/>
        <s v="WT"/>
        <s v="RDS Fulltime"/>
      </sharedItems>
    </cacheField>
    <cacheField name="PostConv" numFmtId="0">
      <sharedItems count="15">
        <s v="Crew Manager"/>
        <s v="Firefighter"/>
        <s v="Group Manager"/>
        <s v="Station Manager"/>
        <s v="Watch Manager"/>
        <s v="Administration"/>
        <s v="Director"/>
        <s v="Professional"/>
        <s v="Service Manager"/>
        <s v="Specialist Technical"/>
        <s v="Team Leader"/>
        <s v="Tech Support"/>
        <s v="Area Manager"/>
        <s v="Brigade Manager"/>
        <s v="Watch Manger"/>
      </sharedItems>
    </cacheField>
    <cacheField name="Total" numFmtId="0">
      <sharedItems containsString="0" containsBlank="1" containsNumber="1" minValue="2" maxValue="2373.7600000000002"/>
    </cacheField>
    <cacheField name="Female" numFmtId="0">
      <sharedItems containsString="0" containsBlank="1" containsNumber="1" minValue="0" maxValue="197.5"/>
    </cacheField>
    <cacheField name="Male" numFmtId="0">
      <sharedItems containsString="0" containsBlank="1" containsNumber="1" minValue="0" maxValue="2267.7600000000002"/>
    </cacheField>
  </cacheFields>
  <extLst>
    <ext xmlns:x14="http://schemas.microsoft.com/office/spreadsheetml/2009/9/main" uri="{725AE2AE-9491-48be-B2B4-4EB974FC3084}">
      <x14:pivotCacheDefinition pivotCacheId="145"/>
    </ext>
  </extLst>
</pivotCacheDefinition>
</file>

<file path=xl/pivotCache/pivotCacheDefinition32.xml><?xml version="1.0" encoding="utf-8"?>
<pivotCacheDefinition xmlns="http://schemas.openxmlformats.org/spreadsheetml/2006/main" xmlns:r="http://schemas.openxmlformats.org/officeDocument/2006/relationships" r:id="rId1" refreshedBy="Cameron, Rebecca" refreshedDate="44434.71048263889" createdVersion="6" refreshedVersion="6" minRefreshableVersion="3" recordCount="422">
  <cacheSource type="worksheet">
    <worksheetSource name="hrod_HR_StaffSmallArea__2"/>
  </cacheSource>
  <cacheFields count="11">
    <cacheField name="Year" numFmtId="0">
      <sharedItems count="8">
        <s v="2013-14"/>
        <s v="2014-15"/>
        <s v="2015-16"/>
        <s v="2016-17"/>
        <s v="2017-18"/>
        <s v="2018-19"/>
        <s v="2019-20"/>
        <s v="2020-21"/>
      </sharedItems>
    </cacheField>
    <cacheField name="ReportingLevel" numFmtId="0">
      <sharedItems count="4">
        <s v="1:LA"/>
        <s v="2:LSO"/>
        <s v="3:SDA"/>
        <s v="4:National"/>
      </sharedItems>
    </cacheField>
    <cacheField name="lvl" numFmtId="0">
      <sharedItems count="49">
        <s v="Angus"/>
        <s v="Clackmannanshire"/>
        <s v="Moray"/>
        <s v="South Ayrshire"/>
        <s v="Aberdeen City"/>
        <s v="Dundee, Angus, Perth and Kinross"/>
        <s v="East Ayrshire, North Ayrshire and South Ayrshire"/>
        <s v="East Lothian, Midlothian and the Scottish Borders"/>
        <s v="East Renfrewshire, Renfrewshire and Inverclyde"/>
        <s v="South Lanarkshire"/>
        <s v="Western Isles, Orkney and Shetland Islands"/>
        <s v="East"/>
        <s v="Inverclyde"/>
        <s v="Perth and Kinross"/>
        <s v="Argyll and Bute, East Dunbartonshire and West Dunbartonshire"/>
        <s v="Highlands"/>
        <s v="Scotland"/>
        <s v="Dumfries and Galloway"/>
        <s v="East Dunbartonshire"/>
        <s v="Falkirk"/>
        <s v="North Ayrshire"/>
        <s v="North Lanarkshire"/>
        <s v="Orkney Islands"/>
        <s v="Falkirk and West Lothian"/>
        <s v="Fife"/>
        <s v="Glasgow City"/>
        <s v="Na h-Eileanan Siar"/>
        <s v="Stirling"/>
        <s v="Aberdeenshire and Moray"/>
        <s v="North"/>
        <s v="East Renfrewshire"/>
        <s v="Highland"/>
        <s v="Scottish Borders"/>
        <s v="West Lothian"/>
        <s v="Edinburgh City"/>
        <s v="Dundee City"/>
        <s v="East Lothian"/>
        <s v="Aberdeenshire"/>
        <s v="City of Edinburgh"/>
        <s v="Midlothian"/>
        <s v="Shetland Islands"/>
        <s v="West Dunbartonshire"/>
        <s v="West"/>
        <s v="Argyll and Bute"/>
        <s v="East Ayrshire"/>
        <s v="Renfrewshire"/>
        <s v="Stirling and Clackmannanshire"/>
        <s v="Dumfries and Gallowa"/>
        <s v="Stirling, Clackmannanshire and Fife"/>
      </sharedItems>
    </cacheField>
    <cacheField name="Code" numFmtId="0">
      <sharedItems containsBlank="1"/>
    </cacheField>
    <cacheField name="Total" numFmtId="0">
      <sharedItems containsSemiMixedTypes="0" containsString="0" containsNumber="1" containsInteger="1" minValue="5" maxValue="1178"/>
    </cacheField>
    <cacheField name="Control" numFmtId="0">
      <sharedItems containsString="0" containsBlank="1" containsNumber="1" containsInteger="1" minValue="0" maxValue="230"/>
    </cacheField>
    <cacheField name="RDS Fulltime" numFmtId="0">
      <sharedItems containsString="0" containsBlank="1" containsNumber="1" containsInteger="1" minValue="0" maxValue="11"/>
    </cacheField>
    <cacheField name="RDS" numFmtId="0">
      <sharedItems containsString="0" containsBlank="1" containsNumber="1" containsInteger="1" minValue="0" maxValue="564"/>
    </cacheField>
    <cacheField name="Support" numFmtId="0">
      <sharedItems containsString="0" containsBlank="1" containsNumber="1" containsInteger="1" minValue="0" maxValue="961"/>
    </cacheField>
    <cacheField name="Vol" numFmtId="0">
      <sharedItems containsString="0" containsBlank="1" containsNumber="1" containsInteger="1" minValue="0" maxValue="225"/>
    </cacheField>
    <cacheField name="WT" numFmtId="0">
      <sharedItems containsSemiMixedTypes="0" containsString="0" containsNumber="1" containsInteger="1" minValue="0" maxValue="560"/>
    </cacheField>
  </cacheFields>
  <extLst>
    <ext xmlns:x14="http://schemas.microsoft.com/office/spreadsheetml/2009/9/main" uri="{725AE2AE-9491-48be-B2B4-4EB974FC3084}">
      <x14:pivotCacheDefinition pivotCacheId="153"/>
    </ext>
  </extLst>
</pivotCacheDefinition>
</file>

<file path=xl/pivotCache/pivotCacheDefinition33.xml><?xml version="1.0" encoding="utf-8"?>
<pivotCacheDefinition xmlns="http://schemas.openxmlformats.org/spreadsheetml/2006/main" xmlns:r="http://schemas.openxmlformats.org/officeDocument/2006/relationships" r:id="rId1" refreshedBy="Cameron, Rebecca" refreshedDate="44434.743402893517" createdVersion="6" refreshedVersion="6" minRefreshableVersion="3" recordCount="228">
  <cacheSource type="worksheet">
    <worksheetSource name="pp_PPED_Audits_LA"/>
  </cacheSource>
  <cacheFields count="18">
    <cacheField name="Year" numFmtId="0">
      <sharedItems count="7">
        <s v="2014-15"/>
        <s v="2015-16"/>
        <s v="2016-17"/>
        <s v="2017-18"/>
        <s v="2018-19"/>
        <s v="2019-20"/>
        <s v="2020-21"/>
      </sharedItems>
    </cacheField>
    <cacheField name="Local Authority" numFmtId="0">
      <sharedItems count="33">
        <s v="Dumfries and Galloway"/>
        <s v="Highland"/>
        <s v="Moray"/>
        <s v="South Lanarkshire"/>
        <s v="City of Edinburgh"/>
        <s v="East Ayrshire"/>
        <s v="Renfrewshire"/>
        <s v="East Lothian"/>
        <s v="Glasgow City"/>
        <s v="Fife"/>
        <s v="Scottish Borders"/>
        <s v="Stirling"/>
        <s v="Aberdeen City"/>
        <s v="Perth and Kinross"/>
        <s v="Na h-Eileanan Siar"/>
        <s v="North Ayrshire"/>
        <s v="West Lothian"/>
        <s v="Angus"/>
        <s v="East Dunbartonshire"/>
        <s v="Midlothian"/>
        <s v="Aberdeenshire"/>
        <s v="East Renfrewshire"/>
        <s v="Inverclyde"/>
        <s v="North Lanarkshire"/>
        <s v="Shetland Islands"/>
        <s v="Argyll and Bute"/>
        <s v="Dundee City"/>
        <s v="Orkney Islands"/>
        <s v="West Dunbartonshire"/>
        <s v="Clackmannanshire"/>
        <s v="South Ayrshire"/>
        <s v="Falkirk"/>
        <s v="Na h-Eileanan an Iar" u="1"/>
      </sharedItems>
    </cacheField>
    <cacheField name="LA Code" numFmtId="0">
      <sharedItems/>
    </cacheField>
    <cacheField name="Hospital / Prison" numFmtId="0">
      <sharedItems containsString="0" containsBlank="1" containsNumber="1" containsInteger="1" minValue="1" maxValue="69"/>
    </cacheField>
    <cacheField name="Care Home" numFmtId="0">
      <sharedItems containsString="0" containsBlank="1" containsNumber="1" containsInteger="1" minValue="1" maxValue="165"/>
    </cacheField>
    <cacheField name="HMO" numFmtId="0">
      <sharedItems containsString="0" containsBlank="1" containsNumber="1" containsInteger="1" minValue="1" maxValue="1115"/>
    </cacheField>
    <cacheField name="Hostel" numFmtId="0">
      <sharedItems containsString="0" containsBlank="1" containsNumber="1" containsInteger="1" minValue="1" maxValue="69"/>
    </cacheField>
    <cacheField name="Hotel" numFmtId="0">
      <sharedItems containsString="0" containsBlank="1" containsNumber="1" containsInteger="1" minValue="1" maxValue="236"/>
    </cacheField>
    <cacheField name="Other Sleeping Accommodation" numFmtId="0">
      <sharedItems containsString="0" containsBlank="1" containsNumber="1" containsInteger="1" minValue="1" maxValue="84"/>
    </cacheField>
    <cacheField name="Further Education" numFmtId="0">
      <sharedItems containsString="0" containsBlank="1" containsNumber="1" containsInteger="1" minValue="1" maxValue="12"/>
    </cacheField>
    <cacheField name="Public Building" numFmtId="0">
      <sharedItems containsString="0" containsBlank="1" containsNumber="1" containsInteger="1" minValue="1" maxValue="16"/>
    </cacheField>
    <cacheField name="Licensed Premises" numFmtId="0">
      <sharedItems containsString="0" containsBlank="1" containsNumber="1" containsInteger="1" minValue="1" maxValue="139"/>
    </cacheField>
    <cacheField name="School" numFmtId="0">
      <sharedItems containsString="0" containsBlank="1" containsNumber="1" containsInteger="1" minValue="1" maxValue="122"/>
    </cacheField>
    <cacheField name="Shop" numFmtId="0">
      <sharedItems containsString="0" containsBlank="1" containsNumber="1" containsInteger="1" minValue="1" maxValue="147"/>
    </cacheField>
    <cacheField name="Other Sleeping Accomm" numFmtId="0">
      <sharedItems containsString="0" containsBlank="1" containsNumber="1" containsInteger="1" minValue="1" maxValue="108"/>
    </cacheField>
    <cacheField name="Factory or Warehouse" numFmtId="0">
      <sharedItems containsString="0" containsBlank="1" containsNumber="1" containsInteger="1" minValue="1" maxValue="117"/>
    </cacheField>
    <cacheField name="Office" numFmtId="0">
      <sharedItems containsString="0" containsBlank="1" containsNumber="1" containsInteger="1" minValue="1" maxValue="113"/>
    </cacheField>
    <cacheField name="Other Workplace" numFmtId="0">
      <sharedItems containsString="0" containsBlank="1" containsNumber="1" containsInteger="1" minValue="1" maxValue="89"/>
    </cacheField>
  </cacheFields>
  <extLst>
    <ext xmlns:x14="http://schemas.microsoft.com/office/spreadsheetml/2009/9/main" uri="{725AE2AE-9491-48be-B2B4-4EB974FC3084}">
      <x14:pivotCacheDefinition pivotCacheId="124"/>
    </ext>
  </extLst>
</pivotCacheDefinition>
</file>

<file path=xl/pivotCache/pivotCacheDefinition34.xml><?xml version="1.0" encoding="utf-8"?>
<pivotCacheDefinition xmlns="http://schemas.openxmlformats.org/spreadsheetml/2006/main" xmlns:r="http://schemas.openxmlformats.org/officeDocument/2006/relationships" r:id="rId1" refreshedBy="Cameron, Rebecca" refreshedDate="44434.756876273146" createdVersion="6" refreshedVersion="6" minRefreshableVersion="3" recordCount="36">
  <cacheSource type="worksheet">
    <worksheetSource name="hrod_HR_Service"/>
  </cacheSource>
  <cacheFields count="7">
    <cacheField name="Year" numFmtId="0">
      <sharedItems count="4">
        <s v="2017-18"/>
        <s v="2018-19"/>
        <s v="2019-20"/>
        <s v="2020-21"/>
      </sharedItems>
    </cacheField>
    <cacheField name="Service Length (Years)" numFmtId="0">
      <sharedItems count="11">
        <s v="10-14"/>
        <s v="30-34"/>
        <s v="15-19"/>
        <s v="5-9"/>
        <s v="&gt;40"/>
        <s v="25-29"/>
        <s v="20-24"/>
        <s v="35-39"/>
        <s v="&lt;5"/>
        <s v="Over 40" u="1"/>
        <s v="Under 5" u="1"/>
      </sharedItems>
    </cacheField>
    <cacheField name="Wholetime Operational" numFmtId="0">
      <sharedItems containsSemiMixedTypes="0" containsString="0" containsNumber="1" containsInteger="1" minValue="1" maxValue="879"/>
    </cacheField>
    <cacheField name="Retained Duty System" numFmtId="0">
      <sharedItems containsSemiMixedTypes="0" containsString="0" containsNumber="1" containsInteger="1" minValue="22" maxValue="801"/>
    </cacheField>
    <cacheField name="Retained Full-time" numFmtId="0">
      <sharedItems containsString="0" containsBlank="1" containsNumber="1" containsInteger="1" minValue="1" maxValue="13"/>
    </cacheField>
    <cacheField name="Control" numFmtId="0">
      <sharedItems containsSemiMixedTypes="0" containsString="0" containsNumber="1" containsInteger="1" minValue="3" maxValue="62"/>
    </cacheField>
    <cacheField name="Volunteer" numFmtId="0">
      <sharedItems containsSemiMixedTypes="0" containsString="0" containsNumber="1" containsInteger="1" minValue="1" maxValue="97"/>
    </cacheField>
  </cacheFields>
  <extLst>
    <ext xmlns:x14="http://schemas.microsoft.com/office/spreadsheetml/2009/9/main" uri="{725AE2AE-9491-48be-B2B4-4EB974FC3084}">
      <x14:pivotCacheDefinition pivotCacheId="130"/>
    </ext>
  </extLst>
</pivotCacheDefinition>
</file>

<file path=xl/pivotCache/pivotCacheDefinition35.xml><?xml version="1.0" encoding="utf-8"?>
<pivotCacheDefinition xmlns="http://schemas.openxmlformats.org/spreadsheetml/2006/main" xmlns:r="http://schemas.openxmlformats.org/officeDocument/2006/relationships" r:id="rId1" refreshedBy="Cameron, Rebecca" refreshedDate="44435.378459259256" createdVersion="6" refreshedVersion="6" minRefreshableVersion="3" recordCount="442">
  <cacheSource type="worksheet">
    <worksheetSource name="hrod_HR_WT_FTE_RoleArea"/>
  </cacheSource>
  <cacheFields count="12">
    <cacheField name="Year" numFmtId="0">
      <sharedItems count="8">
        <s v="2013-14"/>
        <s v="2014-15"/>
        <s v="2015-16"/>
        <s v="2016-17"/>
        <s v="2017-18"/>
        <s v="2018-19"/>
        <s v="2019-20"/>
        <s v="2020-21"/>
      </sharedItems>
    </cacheField>
    <cacheField name="ReportingLevel" numFmtId="0">
      <sharedItems count="6">
        <s v="1:LA"/>
        <s v="2:LSO"/>
        <s v="3:SDA"/>
        <s v="4:National"/>
        <s v="Total"/>
        <s v="4:SDA"/>
      </sharedItems>
    </cacheField>
    <cacheField name="Code" numFmtId="0">
      <sharedItems containsBlank="1"/>
    </cacheField>
    <cacheField name="lvl" numFmtId="0">
      <sharedItems count="50">
        <s v="Aberdeen City"/>
        <s v="Aberdeenshire"/>
        <s v="ALL"/>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 v="Aberdeenshire and Moray"/>
        <s v="Argyll and Bute, East Dunbartonshire and West Dunbartonshire"/>
        <s v="Dundee, Angus, Perth and Kinross"/>
        <s v="East Ayrshire, North Ayrshire and South Ayrshire"/>
        <s v="East Lothian, Midlothian and the Scottish Borders"/>
        <s v="East Renfrewshire, Renfrewshire and Inverclyde"/>
        <s v="Edinburgh City"/>
        <s v="Falkirk and West Lothian"/>
        <s v="Highlands"/>
        <s v="Stirling and Clackmannanshire"/>
        <s v="Western Isles, Orkney and Shetland Islands"/>
        <s v="East"/>
        <s v="North"/>
        <s v="West"/>
        <s v="Scotland"/>
        <s v="Dumfries and Gallowa"/>
        <s v="Stirling, Clackmannanshire and Fife"/>
      </sharedItems>
    </cacheField>
    <cacheField name="Total" numFmtId="0">
      <sharedItems containsString="0" containsBlank="1" containsNumber="1" minValue="0" maxValue="6680.09"/>
    </cacheField>
    <cacheField name="Area Manager" numFmtId="0">
      <sharedItems containsString="0" containsBlank="1" containsNumber="1" containsInteger="1" minValue="0" maxValue="36"/>
    </cacheField>
    <cacheField name="Brigade Manager" numFmtId="0">
      <sharedItems containsString="0" containsBlank="1" containsNumber="1" containsInteger="1" minValue="0" maxValue="10"/>
    </cacheField>
    <cacheField name="Crew Manager" numFmtId="0">
      <sharedItems containsString="0" containsBlank="1" containsNumber="1" minValue="0" maxValue="1222.93"/>
    </cacheField>
    <cacheField name="Firefighter" numFmtId="0">
      <sharedItems containsString="0" containsBlank="1" containsNumber="1" minValue="0" maxValue="4254.16"/>
    </cacheField>
    <cacheField name="Group Manager" numFmtId="0">
      <sharedItems containsString="0" containsBlank="1" containsNumber="1" containsInteger="1" minValue="0" maxValue="115"/>
    </cacheField>
    <cacheField name="Station Manager" numFmtId="0">
      <sharedItems containsString="0" containsBlank="1" containsNumber="1" containsInteger="1" minValue="0" maxValue="162"/>
    </cacheField>
    <cacheField name="Watch Manager" numFmtId="0">
      <sharedItems containsString="0" containsBlank="1" containsNumber="1" minValue="0" maxValue="965.75"/>
    </cacheField>
  </cacheFields>
  <extLst>
    <ext xmlns:x14="http://schemas.microsoft.com/office/spreadsheetml/2009/9/main" uri="{725AE2AE-9491-48be-B2B4-4EB974FC3084}">
      <x14:pivotCacheDefinition pivotCacheId="141"/>
    </ext>
  </extLst>
</pivotCacheDefinition>
</file>

<file path=xl/pivotCache/pivotCacheDefinition36.xml><?xml version="1.0" encoding="utf-8"?>
<pivotCacheDefinition xmlns="http://schemas.openxmlformats.org/spreadsheetml/2006/main" xmlns:r="http://schemas.openxmlformats.org/officeDocument/2006/relationships" r:id="rId1" refreshedBy="Cameron, Rebecca" refreshedDate="44435.440770023146" createdVersion="6" refreshedVersion="6" minRefreshableVersion="3" recordCount="8">
  <cacheSource type="worksheet">
    <worksheetSource name="hrod_HR_CS_FTE_RoleArea_Control"/>
  </cacheSource>
  <cacheFields count="11">
    <cacheField name="Year" numFmtId="0">
      <sharedItems count="8">
        <s v="2013-14"/>
        <s v="2014-15"/>
        <s v="2015-16"/>
        <s v="2016-17"/>
        <s v="2017-18"/>
        <s v="2018-19"/>
        <s v="2019-20"/>
        <s v="2020-21"/>
      </sharedItems>
    </cacheField>
    <cacheField name="ReportingLevel" numFmtId="0">
      <sharedItems count="1">
        <s v="4:National"/>
      </sharedItems>
    </cacheField>
    <cacheField name="lvl" numFmtId="0">
      <sharedItems/>
    </cacheField>
    <cacheField name="Code" numFmtId="0">
      <sharedItems/>
    </cacheField>
    <cacheField name="Total" numFmtId="0">
      <sharedItems containsSemiMixedTypes="0" containsString="0" containsNumber="1" minValue="160" maxValue="220.79"/>
    </cacheField>
    <cacheField name="Area Manager" numFmtId="0">
      <sharedItems containsSemiMixedTypes="0" containsString="0" containsNumber="1" containsInteger="1" minValue="0" maxValue="1"/>
    </cacheField>
    <cacheField name="Group Manager" numFmtId="0">
      <sharedItems containsSemiMixedTypes="0" containsString="0" containsNumber="1" containsInteger="1" minValue="4" maxValue="6"/>
    </cacheField>
    <cacheField name="Station Manager" numFmtId="0">
      <sharedItems containsSemiMixedTypes="0" containsString="0" containsNumber="1" minValue="6.8333333333333339" maxValue="12.85"/>
    </cacheField>
    <cacheField name="Watch Manager" numFmtId="0">
      <sharedItems containsSemiMixedTypes="0" containsString="0" containsNumber="1" minValue="40" maxValue="51.56"/>
    </cacheField>
    <cacheField name="Crew Manager" numFmtId="0">
      <sharedItems containsSemiMixedTypes="0" containsString="0" containsNumber="1" minValue="26" maxValue="51.01"/>
    </cacheField>
    <cacheField name="Control Operator" numFmtId="0">
      <sharedItems containsSemiMixedTypes="0" containsString="0" containsNumber="1" minValue="76" maxValue="119.33000000000001"/>
    </cacheField>
  </cacheFields>
  <extLst>
    <ext xmlns:x14="http://schemas.microsoft.com/office/spreadsheetml/2009/9/main" uri="{725AE2AE-9491-48be-B2B4-4EB974FC3084}">
      <x14:pivotCacheDefinition pivotCacheId="143"/>
    </ext>
  </extLst>
</pivotCacheDefinition>
</file>

<file path=xl/pivotCache/pivotCacheDefinition37.xml><?xml version="1.0" encoding="utf-8"?>
<pivotCacheDefinition xmlns="http://schemas.openxmlformats.org/spreadsheetml/2006/main" xmlns:r="http://schemas.openxmlformats.org/officeDocument/2006/relationships" r:id="rId1" refreshedBy="Cameron, Rebecca" refreshedDate="44435.487521643518" createdVersion="6" refreshedVersion="6" minRefreshableVersion="3" recordCount="30">
  <cacheSource type="worksheet">
    <worksheetSource name="hrod_HR_CS_FTE_RoleArea_Support"/>
  </cacheSource>
  <cacheFields count="12">
    <cacheField name="Year" numFmtId="0">
      <sharedItems count="8">
        <s v="2013-14"/>
        <s v="2014-15"/>
        <s v="2015-16"/>
        <s v="2016-17"/>
        <s v="2017-18"/>
        <s v="2018-19"/>
        <s v="2019-20"/>
        <s v="2020-21"/>
      </sharedItems>
    </cacheField>
    <cacheField name="Code" numFmtId="0">
      <sharedItems/>
    </cacheField>
    <cacheField name="ReportingLevel" numFmtId="0">
      <sharedItems count="4">
        <s v="4:National"/>
        <s v="Total"/>
        <s v="04:National" u="1"/>
        <s v="3:SDA" u="1"/>
      </sharedItems>
    </cacheField>
    <cacheField name="lvl" numFmtId="0">
      <sharedItems containsBlank="1" count="5">
        <s v="East"/>
        <s v="North"/>
        <s v="Scotland"/>
        <s v="West"/>
        <m u="1"/>
      </sharedItems>
    </cacheField>
    <cacheField name="Director" numFmtId="0">
      <sharedItems containsString="0" containsBlank="1" containsNumber="1" minValue="2" maxValue="49.8"/>
    </cacheField>
    <cacheField name="Service Manager" numFmtId="0">
      <sharedItems containsSemiMixedTypes="0" containsString="0" containsNumber="1" minValue="2" maxValue="88.61"/>
    </cacheField>
    <cacheField name="Team Leader" numFmtId="0">
      <sharedItems containsSemiMixedTypes="0" containsString="0" containsNumber="1" minValue="2" maxValue="58.61"/>
    </cacheField>
    <cacheField name="Professional" numFmtId="0">
      <sharedItems containsSemiMixedTypes="0" containsString="0" containsNumber="1" minValue="5.8" maxValue="88.61"/>
    </cacheField>
    <cacheField name="Specialist Technical" numFmtId="0">
      <sharedItems containsSemiMixedTypes="0" containsString="0" containsNumber="1" minValue="33.935714285714283" maxValue="399.88000000000005"/>
    </cacheField>
    <cacheField name="Tech Support" numFmtId="0">
      <sharedItems containsSemiMixedTypes="0" containsString="0" containsNumber="1" minValue="0" maxValue="160.44999999999999"/>
    </cacheField>
    <cacheField name="Administration" numFmtId="0">
      <sharedItems containsSemiMixedTypes="0" containsString="0" containsNumber="1" minValue="3" maxValue="160.44999999999999"/>
    </cacheField>
    <cacheField name="Total" numFmtId="0">
      <sharedItems containsSemiMixedTypes="0" containsString="0" containsNumber="1" minValue="95.721428571428561" maxValue="787.29000000000019"/>
    </cacheField>
  </cacheFields>
  <extLst>
    <ext xmlns:x14="http://schemas.microsoft.com/office/spreadsheetml/2009/9/main" uri="{725AE2AE-9491-48be-B2B4-4EB974FC3084}">
      <x14:pivotCacheDefinition pivotCacheId="152"/>
    </ext>
  </extLst>
</pivotCacheDefinition>
</file>

<file path=xl/pivotCache/pivotCacheDefinition38.xml><?xml version="1.0" encoding="utf-8"?>
<pivotCacheDefinition xmlns="http://schemas.openxmlformats.org/spreadsheetml/2006/main" xmlns:r="http://schemas.openxmlformats.org/officeDocument/2006/relationships" r:id="rId1" refreshedBy="Cameron, Rebecca" refreshedDate="44435.567164004628" createdVersion="6" refreshedVersion="6" minRefreshableVersion="3" recordCount="257">
  <cacheSource type="worksheet">
    <worksheetSource ref="A1:O1048576" sheet="Sheet1"/>
  </cacheSource>
  <cacheFields count="15">
    <cacheField name="Council" numFmtId="0">
      <sharedItems containsBlank="1" count="33">
        <s v="Fife"/>
        <s v="Highland"/>
        <s v="North Ayrshire"/>
        <s v="Renfrewshire"/>
        <s v="Dundee City"/>
        <s v="Glasgow City"/>
        <s v="South Ayrshire"/>
        <s v="Stirling"/>
        <s v="East Renfrewshire"/>
        <s v="West Lothian"/>
        <s v="East Ayrshire"/>
        <s v="Falkirk"/>
        <s v="Midlothian"/>
        <s v="Perth and Kinross"/>
        <s v="West Dunbartonshire"/>
        <s v="Aberdeen City"/>
        <s v="Angus"/>
        <s v="Inverclyde"/>
        <s v="Shetland Islands"/>
        <s v="South Lanarkshire"/>
        <s v="Clackmannanshire"/>
        <s v="City of Edinburgh"/>
        <s v="East Lothian"/>
        <s v="East Dunbartonshire"/>
        <s v="Moray"/>
        <s v="North Lanarkshire"/>
        <s v="Aberdeenshire"/>
        <s v="Scottish Borders"/>
        <s v="Dumfries and Galloway"/>
        <s v="Argyll and Bute"/>
        <s v="Orkney Islands"/>
        <s v="Na h-Eileanan Siar"/>
        <m/>
      </sharedItems>
    </cacheField>
    <cacheField name="GSSCode" numFmtId="0">
      <sharedItems containsBlank="1"/>
    </cacheField>
    <cacheField name="HFSV - alarms installed" numFmtId="0">
      <sharedItems containsString="0" containsBlank="1" containsNumber="1" containsInteger="1" minValue="17" maxValue="3531"/>
    </cacheField>
    <cacheField name="HFSV - advice only" numFmtId="0">
      <sharedItems containsString="0" containsBlank="1" containsNumber="1" containsInteger="1" minValue="34" maxValue="7410"/>
    </cacheField>
    <cacheField name="Total HFSV" numFmtId="0">
      <sharedItems containsString="0" containsBlank="1" containsNumber="1" containsInteger="1" minValue="57" maxValue="10053"/>
    </cacheField>
    <cacheField name="TotalNewAlarms" numFmtId="0">
      <sharedItems containsString="0" containsBlank="1" containsNumber="1" containsInteger="1" minValue="8" maxValue="3943"/>
    </cacheField>
    <cacheField name="TotalReplacedAlarms" numFmtId="0">
      <sharedItems containsString="0" containsBlank="1" containsNumber="1" containsInteger="1" minValue="11" maxValue="1853"/>
    </cacheField>
    <cacheField name="TotalAlarms" numFmtId="0">
      <sharedItems containsString="0" containsBlank="1" containsNumber="1" containsInteger="1" minValue="34" maxValue="5634"/>
    </cacheField>
    <cacheField name="Dwellings" numFmtId="0">
      <sharedItems containsString="0" containsBlank="1" containsNumber="1" containsInteger="1" minValue="10717" maxValue="317193"/>
    </cacheField>
    <cacheField name="VisitsPer100Dwelling" numFmtId="0">
      <sharedItems containsString="0" containsBlank="1" containsNumber="1" minValue="0.36499999999999999" maxValue="10.023"/>
    </cacheField>
    <cacheField name="AlarmsPer100Dwelling" numFmtId="0">
      <sharedItems containsString="0" containsBlank="1" containsNumber="1" minValue="0.156" maxValue="3.7"/>
    </cacheField>
    <cacheField name="Households" numFmtId="0">
      <sharedItems containsString="0" containsBlank="1" containsNumber="1" containsInteger="1" minValue="9945" maxValue="295761"/>
    </cacheField>
    <cacheField name="VisitsPer100Household" numFmtId="0">
      <sharedItems containsString="0" containsBlank="1" containsNumber="1" minValue="0.38800000000000001" maxValue="10.609"/>
    </cacheField>
    <cacheField name="AlarmsPer100Household" numFmtId="0">
      <sharedItems containsString="0" containsBlank="1" containsNumber="1" minValue="0.17399999999999999" maxValue="3.996"/>
    </cacheField>
    <cacheField name="Year" numFmtId="0">
      <sharedItems containsBlank="1" count="9">
        <s v="2013-14"/>
        <s v="2014-15"/>
        <s v="2015-16"/>
        <s v="2016-17"/>
        <s v="2017-18"/>
        <s v="2018-19"/>
        <s v="2019-20"/>
        <s v="2020-21"/>
        <m/>
      </sharedItems>
    </cacheField>
  </cacheFields>
  <extLst>
    <ext xmlns:x14="http://schemas.microsoft.com/office/spreadsheetml/2009/9/main" uri="{725AE2AE-9491-48be-B2B4-4EB974FC3084}">
      <x14:pivotCacheDefinition pivotCacheId="123"/>
    </ext>
  </extLst>
</pivotCacheDefinition>
</file>

<file path=xl/pivotCache/pivotCacheDefinition39.xml><?xml version="1.0" encoding="utf-8"?>
<pivotCacheDefinition xmlns="http://schemas.openxmlformats.org/spreadsheetml/2006/main" xmlns:r="http://schemas.openxmlformats.org/officeDocument/2006/relationships" r:id="rId1" refreshedBy="Cameron, Rebecca" refreshedDate="44435.605166898145" createdVersion="6" refreshedVersion="6" minRefreshableVersion="3" recordCount="256">
  <cacheSource type="worksheet">
    <worksheetSource name="cset_HFSV_Rate_LA"/>
  </cacheSource>
  <cacheFields count="15">
    <cacheField name="FisYr" numFmtId="0">
      <sharedItems count="8">
        <s v="2013-14"/>
        <s v="2014-15"/>
        <s v="2015-16"/>
        <s v="2016-17"/>
        <s v="2017-18"/>
        <s v="2018-19"/>
        <s v="2019-20"/>
        <s v="2020-21"/>
      </sharedItems>
    </cacheField>
    <cacheField name="Council" numFmtId="0">
      <sharedItems count="32">
        <s v="Aberdeen City"/>
        <s v="Aberdeenshire"/>
        <s v="Angus"/>
        <s v="Argyll and Bute"/>
        <s v="City of Edinburgh"/>
        <s v="Clackmannanshire"/>
        <s v="Dumfries and Galloway"/>
        <s v="Dundee City"/>
        <s v="East Ayrshire"/>
        <s v="East Dunbartonshire"/>
        <s v="East Lothian"/>
        <s v="East Renfrewshire"/>
        <s v="Falkirk"/>
        <s v="Fife"/>
        <s v="Glasgow City"/>
        <s v="Highland"/>
        <s v="Inverclyde"/>
        <s v="Midlothian"/>
        <s v="Moray"/>
        <s v="Na h-Eileanan Siar"/>
        <s v="North Ayrshire"/>
        <s v="North Lanarkshire"/>
        <s v="Orkney Islands"/>
        <s v="Perth and Kinross"/>
        <s v="Renfrewshire"/>
        <s v="Scottish Borders"/>
        <s v="Shetland Islands"/>
        <s v="South Ayrshire"/>
        <s v="South Lanarkshire"/>
        <s v="Stirling"/>
        <s v="West Dunbartonshire"/>
        <s v="West Lothian"/>
      </sharedItems>
    </cacheField>
    <cacheField name="GSSCode" numFmtId="0">
      <sharedItems/>
    </cacheField>
    <cacheField name="HFSV - alarms installed" numFmtId="0">
      <sharedItems containsSemiMixedTypes="0" containsString="0" containsNumber="1" containsInteger="1" minValue="17" maxValue="3531"/>
    </cacheField>
    <cacheField name="HFSV - advice only" numFmtId="0">
      <sharedItems containsSemiMixedTypes="0" containsString="0" containsNumber="1" containsInteger="1" minValue="34" maxValue="7410"/>
    </cacheField>
    <cacheField name="Total HFSV" numFmtId="0">
      <sharedItems containsSemiMixedTypes="0" containsString="0" containsNumber="1" containsInteger="1" minValue="57" maxValue="10053"/>
    </cacheField>
    <cacheField name="TotalNewAlarms" numFmtId="0">
      <sharedItems containsSemiMixedTypes="0" containsString="0" containsNumber="1" containsInteger="1" minValue="8" maxValue="3943"/>
    </cacheField>
    <cacheField name="TotalReplacedAlarms" numFmtId="0">
      <sharedItems containsSemiMixedTypes="0" containsString="0" containsNumber="1" containsInteger="1" minValue="11" maxValue="1854"/>
    </cacheField>
    <cacheField name="TotalAlarms" numFmtId="0">
      <sharedItems containsSemiMixedTypes="0" containsString="0" containsNumber="1" containsInteger="1" minValue="34" maxValue="5634"/>
    </cacheField>
    <cacheField name="Dwellings" numFmtId="0">
      <sharedItems containsSemiMixedTypes="0" containsString="0" containsNumber="1" containsInteger="1" minValue="10717" maxValue="317193"/>
    </cacheField>
    <cacheField name="VisitsPer100Dwelling" numFmtId="0">
      <sharedItems containsSemiMixedTypes="0" containsString="0" containsNumber="1" minValue="0.36499999999999999" maxValue="10.023"/>
    </cacheField>
    <cacheField name="AlarmsPer100Dwelling" numFmtId="0">
      <sharedItems containsSemiMixedTypes="0" containsString="0" containsNumber="1" minValue="0.156" maxValue="3.7"/>
    </cacheField>
    <cacheField name="Households" numFmtId="0">
      <sharedItems containsSemiMixedTypes="0" containsString="0" containsNumber="1" containsInteger="1" minValue="9945" maxValue="295761"/>
    </cacheField>
    <cacheField name="VisitsPer100Household" numFmtId="0">
      <sharedItems containsSemiMixedTypes="0" containsString="0" containsNumber="1" minValue="0.38800000000000001" maxValue="10.609"/>
    </cacheField>
    <cacheField name="AlarmsPer100Household" numFmtId="0">
      <sharedItems containsSemiMixedTypes="0" containsString="0" containsNumber="1" minValue="0.17399999999999999" maxValue="3.996"/>
    </cacheField>
  </cacheFields>
  <extLst>
    <ext xmlns:x14="http://schemas.microsoft.com/office/spreadsheetml/2009/9/main" uri="{725AE2AE-9491-48be-B2B4-4EB974FC3084}">
      <x14:pivotCacheDefinition pivotCacheId="155"/>
    </ext>
  </extLst>
</pivotCacheDefinition>
</file>

<file path=xl/pivotCache/pivotCacheDefinition4.xml><?xml version="1.0" encoding="utf-8"?>
<pivotCacheDefinition xmlns="http://schemas.openxmlformats.org/spreadsheetml/2006/main" xmlns:r="http://schemas.openxmlformats.org/officeDocument/2006/relationships" r:id="rId1" refreshedBy="Cameron, Rebecca" refreshedDate="44400.425559722222" createdVersion="6" refreshedVersion="6" minRefreshableVersion="3" recordCount="73">
  <cacheSource type="worksheet">
    <worksheetSource ref="A4:D77" sheet="Tentrant" r:id="rId2"/>
  </cacheSource>
  <cacheFields count="4">
    <cacheField name="FisYr" numFmtId="0">
      <sharedItems count="2">
        <s v="2018-19"/>
        <s v="2019-20"/>
      </sharedItems>
    </cacheField>
    <cacheField name="AgeRange" numFmtId="0">
      <sharedItems count="11">
        <s v="20-24"/>
        <s v="25-29"/>
        <s v="30-34"/>
        <s v="35-39"/>
        <s v="40-44"/>
        <s v="45-49"/>
        <s v="50-54"/>
        <s v="55-59"/>
        <s v="60-64"/>
        <s v="65-69"/>
        <s v="Under 20"/>
      </sharedItems>
    </cacheField>
    <cacheField name="StaffType" numFmtId="0">
      <sharedItems count="5">
        <s v="Control"/>
        <s v="RDS"/>
        <s v="Support"/>
        <s v="Vol"/>
        <s v="WT"/>
      </sharedItems>
    </cacheField>
    <cacheField name="Total Of PositionRef" numFmtId="0">
      <sharedItems containsSemiMixedTypes="0" containsString="0" containsNumber="1" containsInteger="1" minValue="1" maxValue="61"/>
    </cacheField>
  </cacheFields>
  <extLst>
    <ext xmlns:x14="http://schemas.microsoft.com/office/spreadsheetml/2009/9/main" uri="{725AE2AE-9491-48be-B2B4-4EB974FC3084}">
      <x14:pivotCacheDefinition pivotCacheId="109"/>
    </ext>
  </extLst>
</pivotCacheDefinition>
</file>

<file path=xl/pivotCache/pivotCacheDefinition5.xml><?xml version="1.0" encoding="utf-8"?>
<pivotCacheDefinition xmlns="http://schemas.openxmlformats.org/spreadsheetml/2006/main" xmlns:r="http://schemas.openxmlformats.org/officeDocument/2006/relationships" r:id="rId1" refreshedBy="Cameron, Rebecca" refreshedDate="44400.42561111111" createdVersion="6" refreshedVersion="6" minRefreshableVersion="3" recordCount="34">
  <cacheSource type="worksheet">
    <worksheetSource ref="A150:E184" sheet="Tentrant" r:id="rId2"/>
  </cacheSource>
  <cacheFields count="5">
    <cacheField name="FYear" numFmtId="0">
      <sharedItems/>
    </cacheField>
    <cacheField name="FinYear" numFmtId="0">
      <sharedItems count="2">
        <s v="2018-19"/>
        <s v="2019-20"/>
      </sharedItems>
    </cacheField>
    <cacheField name="DisStat" numFmtId="0">
      <sharedItems count="3">
        <s v="Disabled"/>
        <s v="Not Disabled"/>
        <s v="Not Known"/>
      </sharedItems>
    </cacheField>
    <cacheField name="Type" numFmtId="0">
      <sharedItems count="7">
        <s v="RDS"/>
        <s v="Support"/>
        <s v="Total"/>
        <s v="TotalExVol"/>
        <s v="WT"/>
        <s v="Control"/>
        <s v="Vol"/>
      </sharedItems>
    </cacheField>
    <cacheField name="Total" numFmtId="0">
      <sharedItems containsSemiMixedTypes="0" containsString="0" containsNumber="1" minValue="0.4" maxValue="100"/>
    </cacheField>
  </cacheFields>
  <extLst>
    <ext xmlns:x14="http://schemas.microsoft.com/office/spreadsheetml/2009/9/main" uri="{725AE2AE-9491-48be-B2B4-4EB974FC3084}">
      <x14:pivotCacheDefinition pivotCacheId="114"/>
    </ext>
  </extLst>
</pivotCacheDefinition>
</file>

<file path=xl/pivotCache/pivotCacheDefinition6.xml><?xml version="1.0" encoding="utf-8"?>
<pivotCacheDefinition xmlns="http://schemas.openxmlformats.org/spreadsheetml/2006/main" xmlns:r="http://schemas.openxmlformats.org/officeDocument/2006/relationships" r:id="rId1" refreshedBy="Cameron, Rebecca" refreshedDate="44404.650699999998" createdVersion="6" refreshedVersion="6" minRefreshableVersion="3" recordCount="105">
  <cacheSource type="worksheet">
    <worksheetSource name="pp_PPED_Risk"/>
  </cacheSource>
  <cacheFields count="10">
    <cacheField name="Year" numFmtId="0">
      <sharedItems count="7">
        <s v="2014-15"/>
        <s v="2015-16"/>
        <s v="2017-18"/>
        <s v="2018-19"/>
        <s v="2019-20"/>
        <s v="2020-21"/>
        <s v="2016-17"/>
      </sharedItems>
    </cacheField>
    <cacheField name="FSEC" numFmtId="0">
      <sharedItems count="15">
        <s v="L"/>
        <s v="T"/>
        <s v="N"/>
        <s v="S"/>
        <s v="H"/>
        <s v="K"/>
        <s v="E"/>
        <s v="A"/>
        <s v="J"/>
        <s v="B"/>
        <s v="C"/>
        <s v="F"/>
        <s v="M"/>
        <s v="P"/>
        <s v="R"/>
      </sharedItems>
    </cacheField>
    <cacheField name="PremisesType" numFmtId="0">
      <sharedItems/>
    </cacheField>
    <cacheField name="VL" numFmtId="0">
      <sharedItems containsSemiMixedTypes="0" containsString="0" containsNumber="1" containsInteger="1" minValue="0" maxValue="141"/>
    </cacheField>
    <cacheField name="L" numFmtId="0">
      <sharedItems containsSemiMixedTypes="0" containsString="0" containsNumber="1" containsInteger="1" minValue="0" maxValue="668"/>
    </cacheField>
    <cacheField name="M" numFmtId="0">
      <sharedItems containsSemiMixedTypes="0" containsString="0" containsNumber="1" containsInteger="1" minValue="6" maxValue="2548"/>
    </cacheField>
    <cacheField name="H" numFmtId="0">
      <sharedItems containsSemiMixedTypes="0" containsString="0" containsNumber="1" containsInteger="1" minValue="0" maxValue="487"/>
    </cacheField>
    <cacheField name="VH" numFmtId="0">
      <sharedItems containsSemiMixedTypes="0" containsString="0" containsNumber="1" containsInteger="1" minValue="0" maxValue="86"/>
    </cacheField>
    <cacheField name="Not Known" numFmtId="0">
      <sharedItems containsString="0" containsBlank="1" containsNumber="1" containsInteger="1" minValue="0" maxValue="11" count="8">
        <m/>
        <n v="0"/>
        <n v="3"/>
        <n v="1"/>
        <n v="4"/>
        <n v="9"/>
        <n v="2"/>
        <n v="11"/>
      </sharedItems>
    </cacheField>
    <cacheField name="Total" numFmtId="0">
      <sharedItems containsString="0" containsBlank="1" containsNumber="1" containsInteger="1" minValue="21" maxValue="3062"/>
    </cacheField>
  </cacheFields>
  <extLst>
    <ext xmlns:x14="http://schemas.microsoft.com/office/spreadsheetml/2009/9/main" uri="{725AE2AE-9491-48be-B2B4-4EB974FC3084}">
      <x14:pivotCacheDefinition pivotCacheId="127"/>
    </ext>
  </extLst>
</pivotCacheDefinition>
</file>

<file path=xl/pivotCache/pivotCacheDefinition7.xml><?xml version="1.0" encoding="utf-8"?>
<pivotCacheDefinition xmlns="http://schemas.openxmlformats.org/spreadsheetml/2006/main" xmlns:r="http://schemas.openxmlformats.org/officeDocument/2006/relationships" r:id="rId1" refreshedBy="Cameron, Rebecca" refreshedDate="44416.507671643521" createdVersion="6" refreshedVersion="6" minRefreshableVersion="3" recordCount="33">
  <cacheSource type="worksheet">
    <worksheetSource name="hrod_HR_Leavers"/>
  </cacheSource>
  <cacheFields count="16384">
    <cacheField name="Year" numFmtId="0">
      <sharedItems count="3">
        <s v="2018-19"/>
        <s v="2019-20"/>
        <s v="2020-21"/>
      </sharedItems>
    </cacheField>
    <cacheField name="Reason for Leaving" numFmtId="0">
      <sharedItems count="12">
        <s v="Dismissal"/>
        <s v="End of contract"/>
        <s v="Other"/>
        <s v="Resignation"/>
        <s v="Retirement - 30 Years Service"/>
        <s v="Retirement - Age"/>
        <s v="Retirement - Early"/>
        <s v="Retirement - Health"/>
        <s v="Transfer - To another F&amp;R Service"/>
        <s v="TUPE Transfer"/>
        <s v="Voluntary Severance"/>
        <s v="TUPE Tranfer"/>
      </sharedItems>
    </cacheField>
    <cacheField name="Wholetime Operational" numFmtId="0">
      <sharedItems containsString="0" containsBlank="1" containsNumber="1" containsInteger="1" minValue="0" maxValue="175"/>
    </cacheField>
    <cacheField name="Retained Duty System" numFmtId="0">
      <sharedItems containsString="0" containsBlank="1" containsNumber="1" containsInteger="1" minValue="0" maxValue="163"/>
    </cacheField>
    <cacheField name="Control" numFmtId="0">
      <sharedItems containsString="0" containsBlank="1" containsNumber="1" containsInteger="1" minValue="0" maxValue="9"/>
    </cacheField>
    <cacheField name="Support" numFmtId="0">
      <sharedItems containsString="0" containsBlank="1" containsNumber="1" containsInteger="1" minValue="0" maxValue="49"/>
    </cacheField>
    <cacheField name="Volunteers" numFmtId="0">
      <sharedItems containsString="0" containsBlank="1" containsNumber="1" containsInteger="1" minValue="0" maxValue="32"/>
    </cacheField>
    <cacheField name="Total" numFmtId="0">
      <sharedItems containsString="0" containsBlank="1" containsNumber="1" containsInteger="1" minValue="2" maxValue="247"/>
    </cacheField>
    <cacheField name="Column1" numFmtId="0">
      <sharedItems containsNonDate="0" containsString="0" containsBlank="1"/>
    </cacheField>
    <cacheField name="Column2" numFmtId="0">
      <sharedItems containsNonDate="0" containsString="0" containsBlank="1"/>
    </cacheField>
    <cacheField name="Column3" numFmtId="0">
      <sharedItems containsNonDate="0" containsString="0" containsBlank="1"/>
    </cacheField>
    <cacheField name="Column4" numFmtId="0">
      <sharedItems containsNonDate="0" containsString="0" containsBlank="1"/>
    </cacheField>
    <cacheField name="Column5" numFmtId="0">
      <sharedItems containsNonDate="0" containsString="0" containsBlank="1"/>
    </cacheField>
    <cacheField name="Column6" numFmtId="0">
      <sharedItems containsNonDate="0" containsString="0" containsBlank="1"/>
    </cacheField>
    <cacheField name="Column7" numFmtId="0">
      <sharedItems containsNonDate="0" containsString="0" containsBlank="1"/>
    </cacheField>
    <cacheField name="Column8" numFmtId="0">
      <sharedItems containsNonDate="0" containsString="0" containsBlank="1"/>
    </cacheField>
    <cacheField name="Column9" numFmtId="0">
      <sharedItems containsNonDate="0" containsString="0" containsBlank="1"/>
    </cacheField>
    <cacheField name="Column10" numFmtId="0">
      <sharedItems containsNonDate="0" containsString="0" containsBlank="1"/>
    </cacheField>
    <cacheField name="Column11" numFmtId="0">
      <sharedItems containsNonDate="0" containsString="0" containsBlank="1"/>
    </cacheField>
    <cacheField name="Column12" numFmtId="0">
      <sharedItems containsNonDate="0" containsString="0" containsBlank="1"/>
    </cacheField>
    <cacheField name="Column13" numFmtId="0">
      <sharedItems containsNonDate="0" containsString="0" containsBlank="1"/>
    </cacheField>
    <cacheField name="Column14" numFmtId="0">
      <sharedItems containsNonDate="0" containsString="0" containsBlank="1"/>
    </cacheField>
    <cacheField name="Column15" numFmtId="0">
      <sharedItems containsNonDate="0" containsString="0" containsBlank="1"/>
    </cacheField>
    <cacheField name="Column16" numFmtId="0">
      <sharedItems containsNonDate="0" containsString="0" containsBlank="1"/>
    </cacheField>
    <cacheField name="Column17" numFmtId="0">
      <sharedItems containsNonDate="0" containsString="0" containsBlank="1"/>
    </cacheField>
    <cacheField name="Column18" numFmtId="0">
      <sharedItems containsNonDate="0" containsString="0" containsBlank="1"/>
    </cacheField>
    <cacheField name="Column19" numFmtId="0">
      <sharedItems containsNonDate="0" containsString="0" containsBlank="1"/>
    </cacheField>
    <cacheField name="Column20" numFmtId="0">
      <sharedItems containsNonDate="0" containsString="0" containsBlank="1"/>
    </cacheField>
    <cacheField name="Column21" numFmtId="0">
      <sharedItems containsNonDate="0" containsString="0" containsBlank="1"/>
    </cacheField>
    <cacheField name="Column22" numFmtId="0">
      <sharedItems containsNonDate="0" containsString="0" containsBlank="1"/>
    </cacheField>
    <cacheField name="Column23" numFmtId="0">
      <sharedItems containsNonDate="0" containsString="0" containsBlank="1"/>
    </cacheField>
    <cacheField name="Column24" numFmtId="0">
      <sharedItems containsNonDate="0" containsString="0" containsBlank="1"/>
    </cacheField>
    <cacheField name="Column25" numFmtId="0">
      <sharedItems containsNonDate="0" containsString="0" containsBlank="1"/>
    </cacheField>
    <cacheField name="Column26" numFmtId="0">
      <sharedItems containsNonDate="0" containsString="0" containsBlank="1"/>
    </cacheField>
    <cacheField name="Column27" numFmtId="0">
      <sharedItems containsNonDate="0" containsString="0" containsBlank="1"/>
    </cacheField>
    <cacheField name="Column28" numFmtId="0">
      <sharedItems containsNonDate="0" containsString="0" containsBlank="1"/>
    </cacheField>
    <cacheField name="Column29" numFmtId="0">
      <sharedItems containsNonDate="0" containsString="0" containsBlank="1"/>
    </cacheField>
    <cacheField name="Column30" numFmtId="0">
      <sharedItems containsNonDate="0" containsString="0" containsBlank="1"/>
    </cacheField>
    <cacheField name="Column31" numFmtId="0">
      <sharedItems containsNonDate="0" containsString="0" containsBlank="1"/>
    </cacheField>
    <cacheField name="Column32" numFmtId="0">
      <sharedItems containsNonDate="0" containsString="0" containsBlank="1"/>
    </cacheField>
    <cacheField name="Column33" numFmtId="0">
      <sharedItems containsNonDate="0" containsString="0" containsBlank="1"/>
    </cacheField>
    <cacheField name="Column34" numFmtId="0">
      <sharedItems containsNonDate="0" containsString="0" containsBlank="1"/>
    </cacheField>
    <cacheField name="Column35" numFmtId="0">
      <sharedItems containsNonDate="0" containsString="0" containsBlank="1"/>
    </cacheField>
    <cacheField name="Column36" numFmtId="0">
      <sharedItems containsNonDate="0" containsString="0" containsBlank="1"/>
    </cacheField>
    <cacheField name="Column37" numFmtId="0">
      <sharedItems containsNonDate="0" containsString="0" containsBlank="1"/>
    </cacheField>
    <cacheField name="Column38" numFmtId="0">
      <sharedItems containsNonDate="0" containsString="0" containsBlank="1"/>
    </cacheField>
    <cacheField name="Column39" numFmtId="0">
      <sharedItems containsNonDate="0" containsString="0" containsBlank="1"/>
    </cacheField>
    <cacheField name="Column40" numFmtId="0">
      <sharedItems containsNonDate="0" containsString="0" containsBlank="1"/>
    </cacheField>
    <cacheField name="Column41" numFmtId="0">
      <sharedItems containsNonDate="0" containsString="0" containsBlank="1"/>
    </cacheField>
    <cacheField name="Column42" numFmtId="0">
      <sharedItems containsNonDate="0" containsString="0" containsBlank="1"/>
    </cacheField>
    <cacheField name="Column43" numFmtId="0">
      <sharedItems containsNonDate="0" containsString="0" containsBlank="1"/>
    </cacheField>
    <cacheField name="Column44" numFmtId="0">
      <sharedItems containsNonDate="0" containsString="0" containsBlank="1"/>
    </cacheField>
    <cacheField name="Column45" numFmtId="0">
      <sharedItems containsNonDate="0" containsString="0" containsBlank="1"/>
    </cacheField>
    <cacheField name="Column46" numFmtId="0">
      <sharedItems containsNonDate="0" containsString="0" containsBlank="1"/>
    </cacheField>
    <cacheField name="Column47" numFmtId="0">
      <sharedItems containsNonDate="0" containsString="0" containsBlank="1"/>
    </cacheField>
    <cacheField name="Column48" numFmtId="0">
      <sharedItems containsNonDate="0" containsString="0" containsBlank="1"/>
    </cacheField>
    <cacheField name="Column49" numFmtId="0">
      <sharedItems containsNonDate="0" containsString="0" containsBlank="1"/>
    </cacheField>
    <cacheField name="Column50" numFmtId="0">
      <sharedItems containsNonDate="0" containsString="0" containsBlank="1"/>
    </cacheField>
    <cacheField name="Column51" numFmtId="0">
      <sharedItems containsNonDate="0" containsString="0" containsBlank="1"/>
    </cacheField>
    <cacheField name="Column52" numFmtId="0">
      <sharedItems containsNonDate="0" containsString="0" containsBlank="1"/>
    </cacheField>
    <cacheField name="Column53" numFmtId="0">
      <sharedItems containsNonDate="0" containsString="0" containsBlank="1"/>
    </cacheField>
    <cacheField name="Column54" numFmtId="0">
      <sharedItems containsNonDate="0" containsString="0" containsBlank="1"/>
    </cacheField>
    <cacheField name="Column55" numFmtId="0">
      <sharedItems containsNonDate="0" containsString="0" containsBlank="1"/>
    </cacheField>
    <cacheField name="Column56" numFmtId="0">
      <sharedItems containsNonDate="0" containsString="0" containsBlank="1"/>
    </cacheField>
    <cacheField name="Column57" numFmtId="0">
      <sharedItems containsNonDate="0" containsString="0" containsBlank="1"/>
    </cacheField>
    <cacheField name="Column58" numFmtId="0">
      <sharedItems containsNonDate="0" containsString="0" containsBlank="1"/>
    </cacheField>
    <cacheField name="Column59" numFmtId="0">
      <sharedItems containsNonDate="0" containsString="0" containsBlank="1"/>
    </cacheField>
    <cacheField name="Column60" numFmtId="0">
      <sharedItems containsNonDate="0" containsString="0" containsBlank="1"/>
    </cacheField>
    <cacheField name="Column61" numFmtId="0">
      <sharedItems containsNonDate="0" containsString="0" containsBlank="1"/>
    </cacheField>
    <cacheField name="Column62" numFmtId="0">
      <sharedItems containsNonDate="0" containsString="0" containsBlank="1"/>
    </cacheField>
    <cacheField name="Column63" numFmtId="0">
      <sharedItems containsNonDate="0" containsString="0" containsBlank="1"/>
    </cacheField>
    <cacheField name="Column64" numFmtId="0">
      <sharedItems containsNonDate="0" containsString="0" containsBlank="1"/>
    </cacheField>
    <cacheField name="Column65" numFmtId="0">
      <sharedItems containsNonDate="0" containsString="0" containsBlank="1"/>
    </cacheField>
    <cacheField name="Column66" numFmtId="0">
      <sharedItems containsNonDate="0" containsString="0" containsBlank="1"/>
    </cacheField>
    <cacheField name="Column67" numFmtId="0">
      <sharedItems containsNonDate="0" containsString="0" containsBlank="1"/>
    </cacheField>
    <cacheField name="Column68" numFmtId="0">
      <sharedItems containsNonDate="0" containsString="0" containsBlank="1"/>
    </cacheField>
    <cacheField name="Column69" numFmtId="0">
      <sharedItems containsNonDate="0" containsString="0" containsBlank="1"/>
    </cacheField>
    <cacheField name="Column70" numFmtId="0">
      <sharedItems containsNonDate="0" containsString="0" containsBlank="1"/>
    </cacheField>
    <cacheField name="Column71" numFmtId="0">
      <sharedItems containsNonDate="0" containsString="0" containsBlank="1"/>
    </cacheField>
    <cacheField name="Column72" numFmtId="0">
      <sharedItems containsNonDate="0" containsString="0" containsBlank="1"/>
    </cacheField>
    <cacheField name="Column73" numFmtId="0">
      <sharedItems containsNonDate="0" containsString="0" containsBlank="1"/>
    </cacheField>
    <cacheField name="Column74" numFmtId="0">
      <sharedItems containsNonDate="0" containsString="0" containsBlank="1"/>
    </cacheField>
    <cacheField name="Column75" numFmtId="0">
      <sharedItems containsNonDate="0" containsString="0" containsBlank="1"/>
    </cacheField>
    <cacheField name="Column76" numFmtId="0">
      <sharedItems containsNonDate="0" containsString="0" containsBlank="1"/>
    </cacheField>
    <cacheField name="Column77" numFmtId="0">
      <sharedItems containsNonDate="0" containsString="0" containsBlank="1"/>
    </cacheField>
    <cacheField name="Column78" numFmtId="0">
      <sharedItems containsNonDate="0" containsString="0" containsBlank="1"/>
    </cacheField>
    <cacheField name="Column79" numFmtId="0">
      <sharedItems containsNonDate="0" containsString="0" containsBlank="1"/>
    </cacheField>
    <cacheField name="Column80" numFmtId="0">
      <sharedItems containsNonDate="0" containsString="0" containsBlank="1"/>
    </cacheField>
    <cacheField name="Column81" numFmtId="0">
      <sharedItems containsNonDate="0" containsString="0" containsBlank="1"/>
    </cacheField>
    <cacheField name="Column82" numFmtId="0">
      <sharedItems containsNonDate="0" containsString="0" containsBlank="1"/>
    </cacheField>
    <cacheField name="Column83" numFmtId="0">
      <sharedItems containsNonDate="0" containsString="0" containsBlank="1"/>
    </cacheField>
    <cacheField name="Column84" numFmtId="0">
      <sharedItems containsNonDate="0" containsString="0" containsBlank="1"/>
    </cacheField>
    <cacheField name="Column85" numFmtId="0">
      <sharedItems containsNonDate="0" containsString="0" containsBlank="1"/>
    </cacheField>
    <cacheField name="Column86" numFmtId="0">
      <sharedItems containsNonDate="0" containsString="0" containsBlank="1"/>
    </cacheField>
    <cacheField name="Column87" numFmtId="0">
      <sharedItems containsNonDate="0" containsString="0" containsBlank="1"/>
    </cacheField>
    <cacheField name="Column88" numFmtId="0">
      <sharedItems containsNonDate="0" containsString="0" containsBlank="1"/>
    </cacheField>
    <cacheField name="Column89" numFmtId="0">
      <sharedItems containsNonDate="0" containsString="0" containsBlank="1"/>
    </cacheField>
    <cacheField name="Column90" numFmtId="0">
      <sharedItems containsNonDate="0" containsString="0" containsBlank="1"/>
    </cacheField>
    <cacheField name="Column91" numFmtId="0">
      <sharedItems containsNonDate="0" containsString="0" containsBlank="1"/>
    </cacheField>
    <cacheField name="Column92" numFmtId="0">
      <sharedItems containsNonDate="0" containsString="0" containsBlank="1"/>
    </cacheField>
    <cacheField name="Column93" numFmtId="0">
      <sharedItems containsNonDate="0" containsString="0" containsBlank="1"/>
    </cacheField>
    <cacheField name="Column94" numFmtId="0">
      <sharedItems containsNonDate="0" containsString="0" containsBlank="1"/>
    </cacheField>
    <cacheField name="Column95" numFmtId="0">
      <sharedItems containsNonDate="0" containsString="0" containsBlank="1"/>
    </cacheField>
    <cacheField name="Column96" numFmtId="0">
      <sharedItems containsNonDate="0" containsString="0" containsBlank="1"/>
    </cacheField>
    <cacheField name="Column97" numFmtId="0">
      <sharedItems containsNonDate="0" containsString="0" containsBlank="1"/>
    </cacheField>
    <cacheField name="Column98" numFmtId="0">
      <sharedItems containsNonDate="0" containsString="0" containsBlank="1"/>
    </cacheField>
    <cacheField name="Column99" numFmtId="0">
      <sharedItems containsNonDate="0" containsString="0" containsBlank="1"/>
    </cacheField>
    <cacheField name="Column100" numFmtId="0">
      <sharedItems containsNonDate="0" containsString="0" containsBlank="1"/>
    </cacheField>
    <cacheField name="Column101" numFmtId="0">
      <sharedItems containsNonDate="0" containsString="0" containsBlank="1"/>
    </cacheField>
    <cacheField name="Column102" numFmtId="0">
      <sharedItems containsNonDate="0" containsString="0" containsBlank="1"/>
    </cacheField>
    <cacheField name="Column103" numFmtId="0">
      <sharedItems containsNonDate="0" containsString="0" containsBlank="1"/>
    </cacheField>
    <cacheField name="Column104" numFmtId="0">
      <sharedItems containsNonDate="0" containsString="0" containsBlank="1"/>
    </cacheField>
    <cacheField name="Column105" numFmtId="0">
      <sharedItems containsNonDate="0" containsString="0" containsBlank="1"/>
    </cacheField>
    <cacheField name="Column106" numFmtId="0">
      <sharedItems containsNonDate="0" containsString="0" containsBlank="1"/>
    </cacheField>
    <cacheField name="Column107" numFmtId="0">
      <sharedItems containsNonDate="0" containsString="0" containsBlank="1"/>
    </cacheField>
    <cacheField name="Column108" numFmtId="0">
      <sharedItems containsNonDate="0" containsString="0" containsBlank="1"/>
    </cacheField>
    <cacheField name="Column109" numFmtId="0">
      <sharedItems containsNonDate="0" containsString="0" containsBlank="1"/>
    </cacheField>
    <cacheField name="Column110" numFmtId="0">
      <sharedItems containsNonDate="0" containsString="0" containsBlank="1"/>
    </cacheField>
    <cacheField name="Column111" numFmtId="0">
      <sharedItems containsNonDate="0" containsString="0" containsBlank="1"/>
    </cacheField>
    <cacheField name="Column112" numFmtId="0">
      <sharedItems containsNonDate="0" containsString="0" containsBlank="1"/>
    </cacheField>
    <cacheField name="Column113" numFmtId="0">
      <sharedItems containsNonDate="0" containsString="0" containsBlank="1"/>
    </cacheField>
    <cacheField name="Column114" numFmtId="0">
      <sharedItems containsNonDate="0" containsString="0" containsBlank="1"/>
    </cacheField>
    <cacheField name="Column115" numFmtId="0">
      <sharedItems containsNonDate="0" containsString="0" containsBlank="1"/>
    </cacheField>
    <cacheField name="Column116" numFmtId="0">
      <sharedItems containsNonDate="0" containsString="0" containsBlank="1"/>
    </cacheField>
    <cacheField name="Column117" numFmtId="0">
      <sharedItems containsNonDate="0" containsString="0" containsBlank="1"/>
    </cacheField>
    <cacheField name="Column118" numFmtId="0">
      <sharedItems containsNonDate="0" containsString="0" containsBlank="1"/>
    </cacheField>
    <cacheField name="Column119" numFmtId="0">
      <sharedItems containsNonDate="0" containsString="0" containsBlank="1"/>
    </cacheField>
    <cacheField name="Column120" numFmtId="0">
      <sharedItems containsNonDate="0" containsString="0" containsBlank="1"/>
    </cacheField>
    <cacheField name="Column121" numFmtId="0">
      <sharedItems containsNonDate="0" containsString="0" containsBlank="1"/>
    </cacheField>
    <cacheField name="Column122" numFmtId="0">
      <sharedItems containsNonDate="0" containsString="0" containsBlank="1"/>
    </cacheField>
    <cacheField name="Column123" numFmtId="0">
      <sharedItems containsNonDate="0" containsString="0" containsBlank="1"/>
    </cacheField>
    <cacheField name="Column124" numFmtId="0">
      <sharedItems containsNonDate="0" containsString="0" containsBlank="1"/>
    </cacheField>
    <cacheField name="Column125" numFmtId="0">
      <sharedItems containsNonDate="0" containsString="0" containsBlank="1"/>
    </cacheField>
    <cacheField name="Column126" numFmtId="0">
      <sharedItems containsNonDate="0" containsString="0" containsBlank="1"/>
    </cacheField>
    <cacheField name="Column127" numFmtId="0">
      <sharedItems containsNonDate="0" containsString="0" containsBlank="1"/>
    </cacheField>
    <cacheField name="Column128" numFmtId="0">
      <sharedItems containsNonDate="0" containsString="0" containsBlank="1"/>
    </cacheField>
    <cacheField name="Column129" numFmtId="0">
      <sharedItems containsNonDate="0" containsString="0" containsBlank="1"/>
    </cacheField>
    <cacheField name="Column130" numFmtId="0">
      <sharedItems containsNonDate="0" containsString="0" containsBlank="1"/>
    </cacheField>
    <cacheField name="Column131" numFmtId="0">
      <sharedItems containsNonDate="0" containsString="0" containsBlank="1"/>
    </cacheField>
    <cacheField name="Column132" numFmtId="0">
      <sharedItems containsNonDate="0" containsString="0" containsBlank="1"/>
    </cacheField>
    <cacheField name="Column133" numFmtId="0">
      <sharedItems containsNonDate="0" containsString="0" containsBlank="1"/>
    </cacheField>
    <cacheField name="Column134" numFmtId="0">
      <sharedItems containsNonDate="0" containsString="0" containsBlank="1"/>
    </cacheField>
    <cacheField name="Column135" numFmtId="0">
      <sharedItems containsNonDate="0" containsString="0" containsBlank="1"/>
    </cacheField>
    <cacheField name="Column136" numFmtId="0">
      <sharedItems containsNonDate="0" containsString="0" containsBlank="1"/>
    </cacheField>
    <cacheField name="Column137" numFmtId="0">
      <sharedItems containsNonDate="0" containsString="0" containsBlank="1"/>
    </cacheField>
    <cacheField name="Column138" numFmtId="0">
      <sharedItems containsNonDate="0" containsString="0" containsBlank="1"/>
    </cacheField>
    <cacheField name="Column139" numFmtId="0">
      <sharedItems containsNonDate="0" containsString="0" containsBlank="1"/>
    </cacheField>
    <cacheField name="Column140" numFmtId="0">
      <sharedItems containsNonDate="0" containsString="0" containsBlank="1"/>
    </cacheField>
    <cacheField name="Column141" numFmtId="0">
      <sharedItems containsNonDate="0" containsString="0" containsBlank="1"/>
    </cacheField>
    <cacheField name="Column142" numFmtId="0">
      <sharedItems containsNonDate="0" containsString="0" containsBlank="1"/>
    </cacheField>
    <cacheField name="Column143" numFmtId="0">
      <sharedItems containsNonDate="0" containsString="0" containsBlank="1"/>
    </cacheField>
    <cacheField name="Column144" numFmtId="0">
      <sharedItems containsNonDate="0" containsString="0" containsBlank="1"/>
    </cacheField>
    <cacheField name="Column145" numFmtId="0">
      <sharedItems containsNonDate="0" containsString="0" containsBlank="1"/>
    </cacheField>
    <cacheField name="Column146" numFmtId="0">
      <sharedItems containsNonDate="0" containsString="0" containsBlank="1"/>
    </cacheField>
    <cacheField name="Column147" numFmtId="0">
      <sharedItems containsNonDate="0" containsString="0" containsBlank="1"/>
    </cacheField>
    <cacheField name="Column148" numFmtId="0">
      <sharedItems containsNonDate="0" containsString="0" containsBlank="1"/>
    </cacheField>
    <cacheField name="Column149" numFmtId="0">
      <sharedItems containsNonDate="0" containsString="0" containsBlank="1"/>
    </cacheField>
    <cacheField name="Column150" numFmtId="0">
      <sharedItems containsNonDate="0" containsString="0" containsBlank="1"/>
    </cacheField>
    <cacheField name="Column151" numFmtId="0">
      <sharedItems containsNonDate="0" containsString="0" containsBlank="1"/>
    </cacheField>
    <cacheField name="Column152" numFmtId="0">
      <sharedItems containsNonDate="0" containsString="0" containsBlank="1"/>
    </cacheField>
    <cacheField name="Column153" numFmtId="0">
      <sharedItems containsNonDate="0" containsString="0" containsBlank="1"/>
    </cacheField>
    <cacheField name="Column154" numFmtId="0">
      <sharedItems containsNonDate="0" containsString="0" containsBlank="1"/>
    </cacheField>
    <cacheField name="Column155" numFmtId="0">
      <sharedItems containsNonDate="0" containsString="0" containsBlank="1"/>
    </cacheField>
    <cacheField name="Column156" numFmtId="0">
      <sharedItems containsNonDate="0" containsString="0" containsBlank="1"/>
    </cacheField>
    <cacheField name="Column157" numFmtId="0">
      <sharedItems containsNonDate="0" containsString="0" containsBlank="1"/>
    </cacheField>
    <cacheField name="Column158" numFmtId="0">
      <sharedItems containsNonDate="0" containsString="0" containsBlank="1"/>
    </cacheField>
    <cacheField name="Column159" numFmtId="0">
      <sharedItems containsNonDate="0" containsString="0" containsBlank="1"/>
    </cacheField>
    <cacheField name="Column160" numFmtId="0">
      <sharedItems containsNonDate="0" containsString="0" containsBlank="1"/>
    </cacheField>
    <cacheField name="Column161" numFmtId="0">
      <sharedItems containsNonDate="0" containsString="0" containsBlank="1"/>
    </cacheField>
    <cacheField name="Column162" numFmtId="0">
      <sharedItems containsNonDate="0" containsString="0" containsBlank="1"/>
    </cacheField>
    <cacheField name="Column163" numFmtId="0">
      <sharedItems containsNonDate="0" containsString="0" containsBlank="1"/>
    </cacheField>
    <cacheField name="Column164" numFmtId="0">
      <sharedItems containsNonDate="0" containsString="0" containsBlank="1"/>
    </cacheField>
    <cacheField name="Column165" numFmtId="0">
      <sharedItems containsNonDate="0" containsString="0" containsBlank="1"/>
    </cacheField>
    <cacheField name="Column166" numFmtId="0">
      <sharedItems containsNonDate="0" containsString="0" containsBlank="1"/>
    </cacheField>
    <cacheField name="Column167" numFmtId="0">
      <sharedItems containsNonDate="0" containsString="0" containsBlank="1"/>
    </cacheField>
    <cacheField name="Column168" numFmtId="0">
      <sharedItems containsNonDate="0" containsString="0" containsBlank="1"/>
    </cacheField>
    <cacheField name="Column169" numFmtId="0">
      <sharedItems containsNonDate="0" containsString="0" containsBlank="1"/>
    </cacheField>
    <cacheField name="Column170" numFmtId="0">
      <sharedItems containsNonDate="0" containsString="0" containsBlank="1"/>
    </cacheField>
    <cacheField name="Column171" numFmtId="0">
      <sharedItems containsNonDate="0" containsString="0" containsBlank="1"/>
    </cacheField>
    <cacheField name="Column172" numFmtId="0">
      <sharedItems containsNonDate="0" containsString="0" containsBlank="1"/>
    </cacheField>
    <cacheField name="Column173" numFmtId="0">
      <sharedItems containsNonDate="0" containsString="0" containsBlank="1"/>
    </cacheField>
    <cacheField name="Column174" numFmtId="0">
      <sharedItems containsNonDate="0" containsString="0" containsBlank="1"/>
    </cacheField>
    <cacheField name="Column175" numFmtId="0">
      <sharedItems containsNonDate="0" containsString="0" containsBlank="1"/>
    </cacheField>
    <cacheField name="Column176" numFmtId="0">
      <sharedItems containsNonDate="0" containsString="0" containsBlank="1"/>
    </cacheField>
    <cacheField name="Column177" numFmtId="0">
      <sharedItems containsNonDate="0" containsString="0" containsBlank="1"/>
    </cacheField>
    <cacheField name="Column178" numFmtId="0">
      <sharedItems containsNonDate="0" containsString="0" containsBlank="1"/>
    </cacheField>
    <cacheField name="Column179" numFmtId="0">
      <sharedItems containsNonDate="0" containsString="0" containsBlank="1"/>
    </cacheField>
    <cacheField name="Column180" numFmtId="0">
      <sharedItems containsNonDate="0" containsString="0" containsBlank="1"/>
    </cacheField>
    <cacheField name="Column181" numFmtId="0">
      <sharedItems containsNonDate="0" containsString="0" containsBlank="1"/>
    </cacheField>
    <cacheField name="Column182" numFmtId="0">
      <sharedItems containsNonDate="0" containsString="0" containsBlank="1"/>
    </cacheField>
    <cacheField name="Column183" numFmtId="0">
      <sharedItems containsNonDate="0" containsString="0" containsBlank="1"/>
    </cacheField>
    <cacheField name="Column184" numFmtId="0">
      <sharedItems containsNonDate="0" containsString="0" containsBlank="1"/>
    </cacheField>
    <cacheField name="Column185" numFmtId="0">
      <sharedItems containsNonDate="0" containsString="0" containsBlank="1"/>
    </cacheField>
    <cacheField name="Column186" numFmtId="0">
      <sharedItems containsNonDate="0" containsString="0" containsBlank="1"/>
    </cacheField>
    <cacheField name="Column187" numFmtId="0">
      <sharedItems containsNonDate="0" containsString="0" containsBlank="1"/>
    </cacheField>
    <cacheField name="Column188" numFmtId="0">
      <sharedItems containsNonDate="0" containsString="0" containsBlank="1"/>
    </cacheField>
    <cacheField name="Column189" numFmtId="0">
      <sharedItems containsNonDate="0" containsString="0" containsBlank="1"/>
    </cacheField>
    <cacheField name="Column190" numFmtId="0">
      <sharedItems containsNonDate="0" containsString="0" containsBlank="1"/>
    </cacheField>
    <cacheField name="Column191" numFmtId="0">
      <sharedItems containsNonDate="0" containsString="0" containsBlank="1"/>
    </cacheField>
    <cacheField name="Column192" numFmtId="0">
      <sharedItems containsNonDate="0" containsString="0" containsBlank="1"/>
    </cacheField>
    <cacheField name="Column193" numFmtId="0">
      <sharedItems containsNonDate="0" containsString="0" containsBlank="1"/>
    </cacheField>
    <cacheField name="Column194" numFmtId="0">
      <sharedItems containsNonDate="0" containsString="0" containsBlank="1"/>
    </cacheField>
    <cacheField name="Column195" numFmtId="0">
      <sharedItems containsNonDate="0" containsString="0" containsBlank="1"/>
    </cacheField>
    <cacheField name="Column196" numFmtId="0">
      <sharedItems containsNonDate="0" containsString="0" containsBlank="1"/>
    </cacheField>
    <cacheField name="Column197" numFmtId="0">
      <sharedItems containsNonDate="0" containsString="0" containsBlank="1"/>
    </cacheField>
    <cacheField name="Column198" numFmtId="0">
      <sharedItems containsNonDate="0" containsString="0" containsBlank="1"/>
    </cacheField>
    <cacheField name="Column199" numFmtId="0">
      <sharedItems containsNonDate="0" containsString="0" containsBlank="1"/>
    </cacheField>
    <cacheField name="Column200" numFmtId="0">
      <sharedItems containsNonDate="0" containsString="0" containsBlank="1"/>
    </cacheField>
    <cacheField name="Column201" numFmtId="0">
      <sharedItems containsNonDate="0" containsString="0" containsBlank="1"/>
    </cacheField>
    <cacheField name="Column202" numFmtId="0">
      <sharedItems containsNonDate="0" containsString="0" containsBlank="1"/>
    </cacheField>
    <cacheField name="Column203" numFmtId="0">
      <sharedItems containsNonDate="0" containsString="0" containsBlank="1"/>
    </cacheField>
    <cacheField name="Column204" numFmtId="0">
      <sharedItems containsNonDate="0" containsString="0" containsBlank="1"/>
    </cacheField>
    <cacheField name="Column205" numFmtId="0">
      <sharedItems containsNonDate="0" containsString="0" containsBlank="1"/>
    </cacheField>
    <cacheField name="Column206" numFmtId="0">
      <sharedItems containsNonDate="0" containsString="0" containsBlank="1"/>
    </cacheField>
    <cacheField name="Column207" numFmtId="0">
      <sharedItems containsNonDate="0" containsString="0" containsBlank="1"/>
    </cacheField>
    <cacheField name="Column208" numFmtId="0">
      <sharedItems containsNonDate="0" containsString="0" containsBlank="1"/>
    </cacheField>
    <cacheField name="Column209" numFmtId="0">
      <sharedItems containsNonDate="0" containsString="0" containsBlank="1"/>
    </cacheField>
    <cacheField name="Column210" numFmtId="0">
      <sharedItems containsNonDate="0" containsString="0" containsBlank="1"/>
    </cacheField>
    <cacheField name="Column211" numFmtId="0">
      <sharedItems containsNonDate="0" containsString="0" containsBlank="1"/>
    </cacheField>
    <cacheField name="Column212" numFmtId="0">
      <sharedItems containsNonDate="0" containsString="0" containsBlank="1"/>
    </cacheField>
    <cacheField name="Column213" numFmtId="0">
      <sharedItems containsNonDate="0" containsString="0" containsBlank="1"/>
    </cacheField>
    <cacheField name="Column214" numFmtId="0">
      <sharedItems containsNonDate="0" containsString="0" containsBlank="1"/>
    </cacheField>
    <cacheField name="Column215" numFmtId="0">
      <sharedItems containsNonDate="0" containsString="0" containsBlank="1"/>
    </cacheField>
    <cacheField name="Column216" numFmtId="0">
      <sharedItems containsNonDate="0" containsString="0" containsBlank="1"/>
    </cacheField>
    <cacheField name="Column217" numFmtId="0">
      <sharedItems containsNonDate="0" containsString="0" containsBlank="1"/>
    </cacheField>
    <cacheField name="Column218" numFmtId="0">
      <sharedItems containsNonDate="0" containsString="0" containsBlank="1"/>
    </cacheField>
    <cacheField name="Column219" numFmtId="0">
      <sharedItems containsNonDate="0" containsString="0" containsBlank="1"/>
    </cacheField>
    <cacheField name="Column220" numFmtId="0">
      <sharedItems containsNonDate="0" containsString="0" containsBlank="1"/>
    </cacheField>
    <cacheField name="Column221" numFmtId="0">
      <sharedItems containsNonDate="0" containsString="0" containsBlank="1"/>
    </cacheField>
    <cacheField name="Column222" numFmtId="0">
      <sharedItems containsNonDate="0" containsString="0" containsBlank="1"/>
    </cacheField>
    <cacheField name="Column223" numFmtId="0">
      <sharedItems containsNonDate="0" containsString="0" containsBlank="1"/>
    </cacheField>
    <cacheField name="Column224" numFmtId="0">
      <sharedItems containsNonDate="0" containsString="0" containsBlank="1"/>
    </cacheField>
    <cacheField name="Column225" numFmtId="0">
      <sharedItems containsNonDate="0" containsString="0" containsBlank="1"/>
    </cacheField>
    <cacheField name="Column226" numFmtId="0">
      <sharedItems containsNonDate="0" containsString="0" containsBlank="1"/>
    </cacheField>
    <cacheField name="Column227" numFmtId="0">
      <sharedItems containsNonDate="0" containsString="0" containsBlank="1"/>
    </cacheField>
    <cacheField name="Column228" numFmtId="0">
      <sharedItems containsNonDate="0" containsString="0" containsBlank="1"/>
    </cacheField>
    <cacheField name="Column229" numFmtId="0">
      <sharedItems containsNonDate="0" containsString="0" containsBlank="1"/>
    </cacheField>
    <cacheField name="Column230" numFmtId="0">
      <sharedItems containsNonDate="0" containsString="0" containsBlank="1"/>
    </cacheField>
    <cacheField name="Column231" numFmtId="0">
      <sharedItems containsNonDate="0" containsString="0" containsBlank="1"/>
    </cacheField>
    <cacheField name="Column232" numFmtId="0">
      <sharedItems containsNonDate="0" containsString="0" containsBlank="1"/>
    </cacheField>
    <cacheField name="Column233" numFmtId="0">
      <sharedItems containsNonDate="0" containsString="0" containsBlank="1"/>
    </cacheField>
    <cacheField name="Column234" numFmtId="0">
      <sharedItems containsNonDate="0" containsString="0" containsBlank="1"/>
    </cacheField>
    <cacheField name="Column235" numFmtId="0">
      <sharedItems containsNonDate="0" containsString="0" containsBlank="1"/>
    </cacheField>
    <cacheField name="Column236" numFmtId="0">
      <sharedItems containsNonDate="0" containsString="0" containsBlank="1"/>
    </cacheField>
    <cacheField name="Column237" numFmtId="0">
      <sharedItems containsNonDate="0" containsString="0" containsBlank="1"/>
    </cacheField>
    <cacheField name="Column238" numFmtId="0">
      <sharedItems containsNonDate="0" containsString="0" containsBlank="1"/>
    </cacheField>
    <cacheField name="Column239" numFmtId="0">
      <sharedItems containsNonDate="0" containsString="0" containsBlank="1"/>
    </cacheField>
    <cacheField name="Column240" numFmtId="0">
      <sharedItems containsNonDate="0" containsString="0" containsBlank="1"/>
    </cacheField>
    <cacheField name="Column241" numFmtId="0">
      <sharedItems containsNonDate="0" containsString="0" containsBlank="1"/>
    </cacheField>
    <cacheField name="Column242" numFmtId="0">
      <sharedItems containsNonDate="0" containsString="0" containsBlank="1"/>
    </cacheField>
    <cacheField name="Column243" numFmtId="0">
      <sharedItems containsNonDate="0" containsString="0" containsBlank="1"/>
    </cacheField>
    <cacheField name="Column244" numFmtId="0">
      <sharedItems containsNonDate="0" containsString="0" containsBlank="1"/>
    </cacheField>
    <cacheField name="Column245" numFmtId="0">
      <sharedItems containsNonDate="0" containsString="0" containsBlank="1"/>
    </cacheField>
    <cacheField name="Column246" numFmtId="0">
      <sharedItems containsNonDate="0" containsString="0" containsBlank="1"/>
    </cacheField>
    <cacheField name="Column247" numFmtId="0">
      <sharedItems containsNonDate="0" containsString="0" containsBlank="1"/>
    </cacheField>
    <cacheField name="Column248" numFmtId="0">
      <sharedItems containsNonDate="0" containsString="0" containsBlank="1"/>
    </cacheField>
    <cacheField name="Column249" numFmtId="0">
      <sharedItems containsNonDate="0" containsString="0" containsBlank="1"/>
    </cacheField>
    <cacheField name="Column250" numFmtId="0">
      <sharedItems containsNonDate="0" containsString="0" containsBlank="1"/>
    </cacheField>
    <cacheField name="Column251" numFmtId="0">
      <sharedItems containsNonDate="0" containsString="0" containsBlank="1"/>
    </cacheField>
    <cacheField name="Column252" numFmtId="0">
      <sharedItems containsNonDate="0" containsString="0" containsBlank="1"/>
    </cacheField>
    <cacheField name="Column253" numFmtId="0">
      <sharedItems containsNonDate="0" containsString="0" containsBlank="1"/>
    </cacheField>
    <cacheField name="Column254" numFmtId="0">
      <sharedItems containsNonDate="0" containsString="0" containsBlank="1"/>
    </cacheField>
    <cacheField name="Column255" numFmtId="0">
      <sharedItems containsNonDate="0" containsString="0" containsBlank="1"/>
    </cacheField>
    <cacheField name="Column256" numFmtId="0">
      <sharedItems containsNonDate="0" containsString="0" containsBlank="1"/>
    </cacheField>
    <cacheField name="Column257" numFmtId="0">
      <sharedItems containsNonDate="0" containsString="0" containsBlank="1"/>
    </cacheField>
    <cacheField name="Column258" numFmtId="0">
      <sharedItems containsNonDate="0" containsString="0" containsBlank="1"/>
    </cacheField>
    <cacheField name="Column259" numFmtId="0">
      <sharedItems containsNonDate="0" containsString="0" containsBlank="1"/>
    </cacheField>
    <cacheField name="Column260" numFmtId="0">
      <sharedItems containsNonDate="0" containsString="0" containsBlank="1"/>
    </cacheField>
    <cacheField name="Column261" numFmtId="0">
      <sharedItems containsNonDate="0" containsString="0" containsBlank="1"/>
    </cacheField>
    <cacheField name="Column262" numFmtId="0">
      <sharedItems containsNonDate="0" containsString="0" containsBlank="1"/>
    </cacheField>
    <cacheField name="Column263" numFmtId="0">
      <sharedItems containsNonDate="0" containsString="0" containsBlank="1"/>
    </cacheField>
    <cacheField name="Column264" numFmtId="0">
      <sharedItems containsNonDate="0" containsString="0" containsBlank="1"/>
    </cacheField>
    <cacheField name="Column265" numFmtId="0">
      <sharedItems containsNonDate="0" containsString="0" containsBlank="1"/>
    </cacheField>
    <cacheField name="Column266" numFmtId="0">
      <sharedItems containsNonDate="0" containsString="0" containsBlank="1"/>
    </cacheField>
    <cacheField name="Column267" numFmtId="0">
      <sharedItems containsNonDate="0" containsString="0" containsBlank="1"/>
    </cacheField>
    <cacheField name="Column268" numFmtId="0">
      <sharedItems containsNonDate="0" containsString="0" containsBlank="1"/>
    </cacheField>
    <cacheField name="Column269" numFmtId="0">
      <sharedItems containsNonDate="0" containsString="0" containsBlank="1"/>
    </cacheField>
    <cacheField name="Column270" numFmtId="0">
      <sharedItems containsNonDate="0" containsString="0" containsBlank="1"/>
    </cacheField>
    <cacheField name="Column271" numFmtId="0">
      <sharedItems containsNonDate="0" containsString="0" containsBlank="1"/>
    </cacheField>
    <cacheField name="Column272" numFmtId="0">
      <sharedItems containsNonDate="0" containsString="0" containsBlank="1"/>
    </cacheField>
    <cacheField name="Column273" numFmtId="0">
      <sharedItems containsNonDate="0" containsString="0" containsBlank="1"/>
    </cacheField>
    <cacheField name="Column274" numFmtId="0">
      <sharedItems containsNonDate="0" containsString="0" containsBlank="1"/>
    </cacheField>
    <cacheField name="Column275" numFmtId="0">
      <sharedItems containsNonDate="0" containsString="0" containsBlank="1"/>
    </cacheField>
    <cacheField name="Column276" numFmtId="0">
      <sharedItems containsNonDate="0" containsString="0" containsBlank="1"/>
    </cacheField>
    <cacheField name="Column277" numFmtId="0">
      <sharedItems containsNonDate="0" containsString="0" containsBlank="1"/>
    </cacheField>
    <cacheField name="Column278" numFmtId="0">
      <sharedItems containsNonDate="0" containsString="0" containsBlank="1"/>
    </cacheField>
    <cacheField name="Column279" numFmtId="0">
      <sharedItems containsNonDate="0" containsString="0" containsBlank="1"/>
    </cacheField>
    <cacheField name="Column280" numFmtId="0">
      <sharedItems containsNonDate="0" containsString="0" containsBlank="1"/>
    </cacheField>
    <cacheField name="Column281" numFmtId="0">
      <sharedItems containsNonDate="0" containsString="0" containsBlank="1"/>
    </cacheField>
    <cacheField name="Column282" numFmtId="0">
      <sharedItems containsNonDate="0" containsString="0" containsBlank="1"/>
    </cacheField>
    <cacheField name="Column283" numFmtId="0">
      <sharedItems containsNonDate="0" containsString="0" containsBlank="1"/>
    </cacheField>
    <cacheField name="Column284" numFmtId="0">
      <sharedItems containsNonDate="0" containsString="0" containsBlank="1"/>
    </cacheField>
    <cacheField name="Column285" numFmtId="0">
      <sharedItems containsNonDate="0" containsString="0" containsBlank="1"/>
    </cacheField>
    <cacheField name="Column286" numFmtId="0">
      <sharedItems containsNonDate="0" containsString="0" containsBlank="1"/>
    </cacheField>
    <cacheField name="Column287" numFmtId="0">
      <sharedItems containsNonDate="0" containsString="0" containsBlank="1"/>
    </cacheField>
    <cacheField name="Column288" numFmtId="0">
      <sharedItems containsNonDate="0" containsString="0" containsBlank="1"/>
    </cacheField>
    <cacheField name="Column289" numFmtId="0">
      <sharedItems containsNonDate="0" containsString="0" containsBlank="1"/>
    </cacheField>
    <cacheField name="Column290" numFmtId="0">
      <sharedItems containsNonDate="0" containsString="0" containsBlank="1"/>
    </cacheField>
    <cacheField name="Column291" numFmtId="0">
      <sharedItems containsNonDate="0" containsString="0" containsBlank="1"/>
    </cacheField>
    <cacheField name="Column292" numFmtId="0">
      <sharedItems containsNonDate="0" containsString="0" containsBlank="1"/>
    </cacheField>
    <cacheField name="Column293" numFmtId="0">
      <sharedItems containsNonDate="0" containsString="0" containsBlank="1"/>
    </cacheField>
    <cacheField name="Column294" numFmtId="0">
      <sharedItems containsNonDate="0" containsString="0" containsBlank="1"/>
    </cacheField>
    <cacheField name="Column295" numFmtId="0">
      <sharedItems containsNonDate="0" containsString="0" containsBlank="1"/>
    </cacheField>
    <cacheField name="Column296" numFmtId="0">
      <sharedItems containsNonDate="0" containsString="0" containsBlank="1"/>
    </cacheField>
    <cacheField name="Column297" numFmtId="0">
      <sharedItems containsNonDate="0" containsString="0" containsBlank="1"/>
    </cacheField>
    <cacheField name="Column298" numFmtId="0">
      <sharedItems containsNonDate="0" containsString="0" containsBlank="1"/>
    </cacheField>
    <cacheField name="Column299" numFmtId="0">
      <sharedItems containsNonDate="0" containsString="0" containsBlank="1"/>
    </cacheField>
    <cacheField name="Column300" numFmtId="0">
      <sharedItems containsNonDate="0" containsString="0" containsBlank="1"/>
    </cacheField>
    <cacheField name="Column301" numFmtId="0">
      <sharedItems containsNonDate="0" containsString="0" containsBlank="1"/>
    </cacheField>
    <cacheField name="Column302" numFmtId="0">
      <sharedItems containsNonDate="0" containsString="0" containsBlank="1"/>
    </cacheField>
    <cacheField name="Column303" numFmtId="0">
      <sharedItems containsNonDate="0" containsString="0" containsBlank="1"/>
    </cacheField>
    <cacheField name="Column304" numFmtId="0">
      <sharedItems containsNonDate="0" containsString="0" containsBlank="1"/>
    </cacheField>
    <cacheField name="Column305" numFmtId="0">
      <sharedItems containsNonDate="0" containsString="0" containsBlank="1"/>
    </cacheField>
    <cacheField name="Column306" numFmtId="0">
      <sharedItems containsNonDate="0" containsString="0" containsBlank="1"/>
    </cacheField>
    <cacheField name="Column307" numFmtId="0">
      <sharedItems containsNonDate="0" containsString="0" containsBlank="1"/>
    </cacheField>
    <cacheField name="Column308" numFmtId="0">
      <sharedItems containsNonDate="0" containsString="0" containsBlank="1"/>
    </cacheField>
    <cacheField name="Column309" numFmtId="0">
      <sharedItems containsNonDate="0" containsString="0" containsBlank="1"/>
    </cacheField>
    <cacheField name="Column310" numFmtId="0">
      <sharedItems containsNonDate="0" containsString="0" containsBlank="1"/>
    </cacheField>
    <cacheField name="Column311" numFmtId="0">
      <sharedItems containsNonDate="0" containsString="0" containsBlank="1"/>
    </cacheField>
    <cacheField name="Column312" numFmtId="0">
      <sharedItems containsNonDate="0" containsString="0" containsBlank="1"/>
    </cacheField>
    <cacheField name="Column313" numFmtId="0">
      <sharedItems containsNonDate="0" containsString="0" containsBlank="1"/>
    </cacheField>
    <cacheField name="Column314" numFmtId="0">
      <sharedItems containsNonDate="0" containsString="0" containsBlank="1"/>
    </cacheField>
    <cacheField name="Column315" numFmtId="0">
      <sharedItems containsNonDate="0" containsString="0" containsBlank="1"/>
    </cacheField>
    <cacheField name="Column316" numFmtId="0">
      <sharedItems containsNonDate="0" containsString="0" containsBlank="1"/>
    </cacheField>
    <cacheField name="Column317" numFmtId="0">
      <sharedItems containsNonDate="0" containsString="0" containsBlank="1"/>
    </cacheField>
    <cacheField name="Column318" numFmtId="0">
      <sharedItems containsNonDate="0" containsString="0" containsBlank="1"/>
    </cacheField>
    <cacheField name="Column319" numFmtId="0">
      <sharedItems containsNonDate="0" containsString="0" containsBlank="1"/>
    </cacheField>
    <cacheField name="Column320" numFmtId="0">
      <sharedItems containsNonDate="0" containsString="0" containsBlank="1"/>
    </cacheField>
    <cacheField name="Column321" numFmtId="0">
      <sharedItems containsNonDate="0" containsString="0" containsBlank="1"/>
    </cacheField>
    <cacheField name="Column322" numFmtId="0">
      <sharedItems containsNonDate="0" containsString="0" containsBlank="1"/>
    </cacheField>
    <cacheField name="Column323" numFmtId="0">
      <sharedItems containsNonDate="0" containsString="0" containsBlank="1"/>
    </cacheField>
    <cacheField name="Column324" numFmtId="0">
      <sharedItems containsNonDate="0" containsString="0" containsBlank="1"/>
    </cacheField>
    <cacheField name="Column325" numFmtId="0">
      <sharedItems containsNonDate="0" containsString="0" containsBlank="1"/>
    </cacheField>
    <cacheField name="Column326" numFmtId="0">
      <sharedItems containsNonDate="0" containsString="0" containsBlank="1"/>
    </cacheField>
    <cacheField name="Column327" numFmtId="0">
      <sharedItems containsNonDate="0" containsString="0" containsBlank="1"/>
    </cacheField>
    <cacheField name="Column328" numFmtId="0">
      <sharedItems containsNonDate="0" containsString="0" containsBlank="1"/>
    </cacheField>
    <cacheField name="Column329" numFmtId="0">
      <sharedItems containsNonDate="0" containsString="0" containsBlank="1"/>
    </cacheField>
    <cacheField name="Column330" numFmtId="0">
      <sharedItems containsNonDate="0" containsString="0" containsBlank="1"/>
    </cacheField>
    <cacheField name="Column331" numFmtId="0">
      <sharedItems containsNonDate="0" containsString="0" containsBlank="1"/>
    </cacheField>
    <cacheField name="Column332" numFmtId="0">
      <sharedItems containsNonDate="0" containsString="0" containsBlank="1"/>
    </cacheField>
    <cacheField name="Column333" numFmtId="0">
      <sharedItems containsNonDate="0" containsString="0" containsBlank="1"/>
    </cacheField>
    <cacheField name="Column334" numFmtId="0">
      <sharedItems containsNonDate="0" containsString="0" containsBlank="1"/>
    </cacheField>
    <cacheField name="Column335" numFmtId="0">
      <sharedItems containsNonDate="0" containsString="0" containsBlank="1"/>
    </cacheField>
    <cacheField name="Column336" numFmtId="0">
      <sharedItems containsNonDate="0" containsString="0" containsBlank="1"/>
    </cacheField>
    <cacheField name="Column337" numFmtId="0">
      <sharedItems containsNonDate="0" containsString="0" containsBlank="1"/>
    </cacheField>
    <cacheField name="Column338" numFmtId="0">
      <sharedItems containsNonDate="0" containsString="0" containsBlank="1"/>
    </cacheField>
    <cacheField name="Column339" numFmtId="0">
      <sharedItems containsNonDate="0" containsString="0" containsBlank="1"/>
    </cacheField>
    <cacheField name="Column340" numFmtId="0">
      <sharedItems containsNonDate="0" containsString="0" containsBlank="1"/>
    </cacheField>
    <cacheField name="Column341" numFmtId="0">
      <sharedItems containsNonDate="0" containsString="0" containsBlank="1"/>
    </cacheField>
    <cacheField name="Column342" numFmtId="0">
      <sharedItems containsNonDate="0" containsString="0" containsBlank="1"/>
    </cacheField>
    <cacheField name="Column343" numFmtId="0">
      <sharedItems containsNonDate="0" containsString="0" containsBlank="1"/>
    </cacheField>
    <cacheField name="Column344" numFmtId="0">
      <sharedItems containsNonDate="0" containsString="0" containsBlank="1"/>
    </cacheField>
    <cacheField name="Column345" numFmtId="0">
      <sharedItems containsNonDate="0" containsString="0" containsBlank="1"/>
    </cacheField>
    <cacheField name="Column346" numFmtId="0">
      <sharedItems containsNonDate="0" containsString="0" containsBlank="1"/>
    </cacheField>
    <cacheField name="Column347" numFmtId="0">
      <sharedItems containsNonDate="0" containsString="0" containsBlank="1"/>
    </cacheField>
    <cacheField name="Column348" numFmtId="0">
      <sharedItems containsNonDate="0" containsString="0" containsBlank="1"/>
    </cacheField>
    <cacheField name="Column349" numFmtId="0">
      <sharedItems containsNonDate="0" containsString="0" containsBlank="1"/>
    </cacheField>
    <cacheField name="Column350" numFmtId="0">
      <sharedItems containsNonDate="0" containsString="0" containsBlank="1"/>
    </cacheField>
    <cacheField name="Column351" numFmtId="0">
      <sharedItems containsNonDate="0" containsString="0" containsBlank="1"/>
    </cacheField>
    <cacheField name="Column352" numFmtId="0">
      <sharedItems containsNonDate="0" containsString="0" containsBlank="1"/>
    </cacheField>
    <cacheField name="Column353" numFmtId="0">
      <sharedItems containsNonDate="0" containsString="0" containsBlank="1"/>
    </cacheField>
    <cacheField name="Column354" numFmtId="0">
      <sharedItems containsNonDate="0" containsString="0" containsBlank="1"/>
    </cacheField>
    <cacheField name="Column355" numFmtId="0">
      <sharedItems containsNonDate="0" containsString="0" containsBlank="1"/>
    </cacheField>
    <cacheField name="Column356" numFmtId="0">
      <sharedItems containsNonDate="0" containsString="0" containsBlank="1"/>
    </cacheField>
    <cacheField name="Column357" numFmtId="0">
      <sharedItems containsNonDate="0" containsString="0" containsBlank="1"/>
    </cacheField>
    <cacheField name="Column358" numFmtId="0">
      <sharedItems containsNonDate="0" containsString="0" containsBlank="1"/>
    </cacheField>
    <cacheField name="Column359" numFmtId="0">
      <sharedItems containsNonDate="0" containsString="0" containsBlank="1"/>
    </cacheField>
    <cacheField name="Column360" numFmtId="0">
      <sharedItems containsNonDate="0" containsString="0" containsBlank="1"/>
    </cacheField>
    <cacheField name="Column361" numFmtId="0">
      <sharedItems containsNonDate="0" containsString="0" containsBlank="1"/>
    </cacheField>
    <cacheField name="Column362" numFmtId="0">
      <sharedItems containsNonDate="0" containsString="0" containsBlank="1"/>
    </cacheField>
    <cacheField name="Column363" numFmtId="0">
      <sharedItems containsNonDate="0" containsString="0" containsBlank="1"/>
    </cacheField>
    <cacheField name="Column364" numFmtId="0">
      <sharedItems containsNonDate="0" containsString="0" containsBlank="1"/>
    </cacheField>
    <cacheField name="Column365" numFmtId="0">
      <sharedItems containsNonDate="0" containsString="0" containsBlank="1"/>
    </cacheField>
    <cacheField name="Column366" numFmtId="0">
      <sharedItems containsNonDate="0" containsString="0" containsBlank="1"/>
    </cacheField>
    <cacheField name="Column367" numFmtId="0">
      <sharedItems containsNonDate="0" containsString="0" containsBlank="1"/>
    </cacheField>
    <cacheField name="Column368" numFmtId="0">
      <sharedItems containsNonDate="0" containsString="0" containsBlank="1"/>
    </cacheField>
    <cacheField name="Column369" numFmtId="0">
      <sharedItems containsNonDate="0" containsString="0" containsBlank="1"/>
    </cacheField>
    <cacheField name="Column370" numFmtId="0">
      <sharedItems containsNonDate="0" containsString="0" containsBlank="1"/>
    </cacheField>
    <cacheField name="Column371" numFmtId="0">
      <sharedItems containsNonDate="0" containsString="0" containsBlank="1"/>
    </cacheField>
    <cacheField name="Column372" numFmtId="0">
      <sharedItems containsNonDate="0" containsString="0" containsBlank="1"/>
    </cacheField>
    <cacheField name="Column373" numFmtId="0">
      <sharedItems containsNonDate="0" containsString="0" containsBlank="1"/>
    </cacheField>
    <cacheField name="Column374" numFmtId="0">
      <sharedItems containsNonDate="0" containsString="0" containsBlank="1"/>
    </cacheField>
    <cacheField name="Column375" numFmtId="0">
      <sharedItems containsNonDate="0" containsString="0" containsBlank="1"/>
    </cacheField>
    <cacheField name="Column376" numFmtId="0">
      <sharedItems containsNonDate="0" containsString="0" containsBlank="1"/>
    </cacheField>
    <cacheField name="Column377" numFmtId="0">
      <sharedItems containsNonDate="0" containsString="0" containsBlank="1"/>
    </cacheField>
    <cacheField name="Column378" numFmtId="0">
      <sharedItems containsNonDate="0" containsString="0" containsBlank="1"/>
    </cacheField>
    <cacheField name="Column379" numFmtId="0">
      <sharedItems containsNonDate="0" containsString="0" containsBlank="1"/>
    </cacheField>
    <cacheField name="Column380" numFmtId="0">
      <sharedItems containsNonDate="0" containsString="0" containsBlank="1"/>
    </cacheField>
    <cacheField name="Column381" numFmtId="0">
      <sharedItems containsNonDate="0" containsString="0" containsBlank="1"/>
    </cacheField>
    <cacheField name="Column382" numFmtId="0">
      <sharedItems containsNonDate="0" containsString="0" containsBlank="1"/>
    </cacheField>
    <cacheField name="Column383" numFmtId="0">
      <sharedItems containsNonDate="0" containsString="0" containsBlank="1"/>
    </cacheField>
    <cacheField name="Column384" numFmtId="0">
      <sharedItems containsNonDate="0" containsString="0" containsBlank="1"/>
    </cacheField>
    <cacheField name="Column385" numFmtId="0">
      <sharedItems containsNonDate="0" containsString="0" containsBlank="1"/>
    </cacheField>
    <cacheField name="Column386" numFmtId="0">
      <sharedItems containsNonDate="0" containsString="0" containsBlank="1"/>
    </cacheField>
    <cacheField name="Column387" numFmtId="0">
      <sharedItems containsNonDate="0" containsString="0" containsBlank="1"/>
    </cacheField>
    <cacheField name="Column388" numFmtId="0">
      <sharedItems containsNonDate="0" containsString="0" containsBlank="1"/>
    </cacheField>
    <cacheField name="Column389" numFmtId="0">
      <sharedItems containsNonDate="0" containsString="0" containsBlank="1"/>
    </cacheField>
    <cacheField name="Column390" numFmtId="0">
      <sharedItems containsNonDate="0" containsString="0" containsBlank="1"/>
    </cacheField>
    <cacheField name="Column391" numFmtId="0">
      <sharedItems containsNonDate="0" containsString="0" containsBlank="1"/>
    </cacheField>
    <cacheField name="Column392" numFmtId="0">
      <sharedItems containsNonDate="0" containsString="0" containsBlank="1"/>
    </cacheField>
    <cacheField name="Column393" numFmtId="0">
      <sharedItems containsNonDate="0" containsString="0" containsBlank="1"/>
    </cacheField>
    <cacheField name="Column394" numFmtId="0">
      <sharedItems containsNonDate="0" containsString="0" containsBlank="1"/>
    </cacheField>
    <cacheField name="Column395" numFmtId="0">
      <sharedItems containsNonDate="0" containsString="0" containsBlank="1"/>
    </cacheField>
    <cacheField name="Column396" numFmtId="0">
      <sharedItems containsNonDate="0" containsString="0" containsBlank="1"/>
    </cacheField>
    <cacheField name="Column397" numFmtId="0">
      <sharedItems containsNonDate="0" containsString="0" containsBlank="1"/>
    </cacheField>
    <cacheField name="Column398" numFmtId="0">
      <sharedItems containsNonDate="0" containsString="0" containsBlank="1"/>
    </cacheField>
    <cacheField name="Column399" numFmtId="0">
      <sharedItems containsNonDate="0" containsString="0" containsBlank="1"/>
    </cacheField>
    <cacheField name="Column400" numFmtId="0">
      <sharedItems containsNonDate="0" containsString="0" containsBlank="1"/>
    </cacheField>
    <cacheField name="Column401" numFmtId="0">
      <sharedItems containsNonDate="0" containsString="0" containsBlank="1"/>
    </cacheField>
    <cacheField name="Column402" numFmtId="0">
      <sharedItems containsNonDate="0" containsString="0" containsBlank="1"/>
    </cacheField>
    <cacheField name="Column403" numFmtId="0">
      <sharedItems containsNonDate="0" containsString="0" containsBlank="1"/>
    </cacheField>
    <cacheField name="Column404" numFmtId="0">
      <sharedItems containsNonDate="0" containsString="0" containsBlank="1"/>
    </cacheField>
    <cacheField name="Column405" numFmtId="0">
      <sharedItems containsNonDate="0" containsString="0" containsBlank="1"/>
    </cacheField>
    <cacheField name="Column406" numFmtId="0">
      <sharedItems containsNonDate="0" containsString="0" containsBlank="1"/>
    </cacheField>
    <cacheField name="Column407" numFmtId="0">
      <sharedItems containsNonDate="0" containsString="0" containsBlank="1"/>
    </cacheField>
    <cacheField name="Column408" numFmtId="0">
      <sharedItems containsNonDate="0" containsString="0" containsBlank="1"/>
    </cacheField>
    <cacheField name="Column409" numFmtId="0">
      <sharedItems containsNonDate="0" containsString="0" containsBlank="1"/>
    </cacheField>
    <cacheField name="Column410" numFmtId="0">
      <sharedItems containsNonDate="0" containsString="0" containsBlank="1"/>
    </cacheField>
    <cacheField name="Column411" numFmtId="0">
      <sharedItems containsNonDate="0" containsString="0" containsBlank="1"/>
    </cacheField>
    <cacheField name="Column412" numFmtId="0">
      <sharedItems containsNonDate="0" containsString="0" containsBlank="1"/>
    </cacheField>
    <cacheField name="Column413" numFmtId="0">
      <sharedItems containsNonDate="0" containsString="0" containsBlank="1"/>
    </cacheField>
    <cacheField name="Column414" numFmtId="0">
      <sharedItems containsNonDate="0" containsString="0" containsBlank="1"/>
    </cacheField>
    <cacheField name="Column415" numFmtId="0">
      <sharedItems containsNonDate="0" containsString="0" containsBlank="1"/>
    </cacheField>
    <cacheField name="Column416" numFmtId="0">
      <sharedItems containsNonDate="0" containsString="0" containsBlank="1"/>
    </cacheField>
    <cacheField name="Column417" numFmtId="0">
      <sharedItems containsNonDate="0" containsString="0" containsBlank="1"/>
    </cacheField>
    <cacheField name="Column418" numFmtId="0">
      <sharedItems containsNonDate="0" containsString="0" containsBlank="1"/>
    </cacheField>
    <cacheField name="Column419" numFmtId="0">
      <sharedItems containsNonDate="0" containsString="0" containsBlank="1"/>
    </cacheField>
    <cacheField name="Column420" numFmtId="0">
      <sharedItems containsNonDate="0" containsString="0" containsBlank="1"/>
    </cacheField>
    <cacheField name="Column421" numFmtId="0">
      <sharedItems containsNonDate="0" containsString="0" containsBlank="1"/>
    </cacheField>
    <cacheField name="Column422" numFmtId="0">
      <sharedItems containsNonDate="0" containsString="0" containsBlank="1"/>
    </cacheField>
    <cacheField name="Column423" numFmtId="0">
      <sharedItems containsNonDate="0" containsString="0" containsBlank="1"/>
    </cacheField>
    <cacheField name="Column424" numFmtId="0">
      <sharedItems containsNonDate="0" containsString="0" containsBlank="1"/>
    </cacheField>
    <cacheField name="Column425" numFmtId="0">
      <sharedItems containsNonDate="0" containsString="0" containsBlank="1"/>
    </cacheField>
    <cacheField name="Column426" numFmtId="0">
      <sharedItems containsNonDate="0" containsString="0" containsBlank="1"/>
    </cacheField>
    <cacheField name="Column427" numFmtId="0">
      <sharedItems containsNonDate="0" containsString="0" containsBlank="1"/>
    </cacheField>
    <cacheField name="Column428" numFmtId="0">
      <sharedItems containsNonDate="0" containsString="0" containsBlank="1"/>
    </cacheField>
    <cacheField name="Column429" numFmtId="0">
      <sharedItems containsNonDate="0" containsString="0" containsBlank="1"/>
    </cacheField>
    <cacheField name="Column430" numFmtId="0">
      <sharedItems containsNonDate="0" containsString="0" containsBlank="1"/>
    </cacheField>
    <cacheField name="Column431" numFmtId="0">
      <sharedItems containsNonDate="0" containsString="0" containsBlank="1"/>
    </cacheField>
    <cacheField name="Column432" numFmtId="0">
      <sharedItems containsNonDate="0" containsString="0" containsBlank="1"/>
    </cacheField>
    <cacheField name="Column433" numFmtId="0">
      <sharedItems containsNonDate="0" containsString="0" containsBlank="1"/>
    </cacheField>
    <cacheField name="Column434" numFmtId="0">
      <sharedItems containsNonDate="0" containsString="0" containsBlank="1"/>
    </cacheField>
    <cacheField name="Column435" numFmtId="0">
      <sharedItems containsNonDate="0" containsString="0" containsBlank="1"/>
    </cacheField>
    <cacheField name="Column436" numFmtId="0">
      <sharedItems containsNonDate="0" containsString="0" containsBlank="1"/>
    </cacheField>
    <cacheField name="Column437" numFmtId="0">
      <sharedItems containsNonDate="0" containsString="0" containsBlank="1"/>
    </cacheField>
    <cacheField name="Column438" numFmtId="0">
      <sharedItems containsNonDate="0" containsString="0" containsBlank="1"/>
    </cacheField>
    <cacheField name="Column439" numFmtId="0">
      <sharedItems containsNonDate="0" containsString="0" containsBlank="1"/>
    </cacheField>
    <cacheField name="Column440" numFmtId="0">
      <sharedItems containsNonDate="0" containsString="0" containsBlank="1"/>
    </cacheField>
    <cacheField name="Column441" numFmtId="0">
      <sharedItems containsNonDate="0" containsString="0" containsBlank="1"/>
    </cacheField>
    <cacheField name="Column442" numFmtId="0">
      <sharedItems containsNonDate="0" containsString="0" containsBlank="1"/>
    </cacheField>
    <cacheField name="Column443" numFmtId="0">
      <sharedItems containsNonDate="0" containsString="0" containsBlank="1"/>
    </cacheField>
    <cacheField name="Column444" numFmtId="0">
      <sharedItems containsNonDate="0" containsString="0" containsBlank="1"/>
    </cacheField>
    <cacheField name="Column445" numFmtId="0">
      <sharedItems containsNonDate="0" containsString="0" containsBlank="1"/>
    </cacheField>
    <cacheField name="Column446" numFmtId="0">
      <sharedItems containsNonDate="0" containsString="0" containsBlank="1"/>
    </cacheField>
    <cacheField name="Column447" numFmtId="0">
      <sharedItems containsNonDate="0" containsString="0" containsBlank="1"/>
    </cacheField>
    <cacheField name="Column448" numFmtId="0">
      <sharedItems containsNonDate="0" containsString="0" containsBlank="1"/>
    </cacheField>
    <cacheField name="Column449" numFmtId="0">
      <sharedItems containsNonDate="0" containsString="0" containsBlank="1"/>
    </cacheField>
    <cacheField name="Column450" numFmtId="0">
      <sharedItems containsNonDate="0" containsString="0" containsBlank="1"/>
    </cacheField>
    <cacheField name="Column451" numFmtId="0">
      <sharedItems containsNonDate="0" containsString="0" containsBlank="1"/>
    </cacheField>
    <cacheField name="Column452" numFmtId="0">
      <sharedItems containsNonDate="0" containsString="0" containsBlank="1"/>
    </cacheField>
    <cacheField name="Column453" numFmtId="0">
      <sharedItems containsNonDate="0" containsString="0" containsBlank="1"/>
    </cacheField>
    <cacheField name="Column454" numFmtId="0">
      <sharedItems containsNonDate="0" containsString="0" containsBlank="1"/>
    </cacheField>
    <cacheField name="Column455" numFmtId="0">
      <sharedItems containsNonDate="0" containsString="0" containsBlank="1"/>
    </cacheField>
    <cacheField name="Column456" numFmtId="0">
      <sharedItems containsNonDate="0" containsString="0" containsBlank="1"/>
    </cacheField>
    <cacheField name="Column457" numFmtId="0">
      <sharedItems containsNonDate="0" containsString="0" containsBlank="1"/>
    </cacheField>
    <cacheField name="Column458" numFmtId="0">
      <sharedItems containsNonDate="0" containsString="0" containsBlank="1"/>
    </cacheField>
    <cacheField name="Column459" numFmtId="0">
      <sharedItems containsNonDate="0" containsString="0" containsBlank="1"/>
    </cacheField>
    <cacheField name="Column460" numFmtId="0">
      <sharedItems containsNonDate="0" containsString="0" containsBlank="1"/>
    </cacheField>
    <cacheField name="Column461" numFmtId="0">
      <sharedItems containsNonDate="0" containsString="0" containsBlank="1"/>
    </cacheField>
    <cacheField name="Column462" numFmtId="0">
      <sharedItems containsNonDate="0" containsString="0" containsBlank="1"/>
    </cacheField>
    <cacheField name="Column463" numFmtId="0">
      <sharedItems containsNonDate="0" containsString="0" containsBlank="1"/>
    </cacheField>
    <cacheField name="Column464" numFmtId="0">
      <sharedItems containsNonDate="0" containsString="0" containsBlank="1"/>
    </cacheField>
    <cacheField name="Column465" numFmtId="0">
      <sharedItems containsNonDate="0" containsString="0" containsBlank="1"/>
    </cacheField>
    <cacheField name="Column466" numFmtId="0">
      <sharedItems containsNonDate="0" containsString="0" containsBlank="1"/>
    </cacheField>
    <cacheField name="Column467" numFmtId="0">
      <sharedItems containsNonDate="0" containsString="0" containsBlank="1"/>
    </cacheField>
    <cacheField name="Column468" numFmtId="0">
      <sharedItems containsNonDate="0" containsString="0" containsBlank="1"/>
    </cacheField>
    <cacheField name="Column469" numFmtId="0">
      <sharedItems containsNonDate="0" containsString="0" containsBlank="1"/>
    </cacheField>
    <cacheField name="Column470" numFmtId="0">
      <sharedItems containsNonDate="0" containsString="0" containsBlank="1"/>
    </cacheField>
    <cacheField name="Column471" numFmtId="0">
      <sharedItems containsNonDate="0" containsString="0" containsBlank="1"/>
    </cacheField>
    <cacheField name="Column472" numFmtId="0">
      <sharedItems containsNonDate="0" containsString="0" containsBlank="1"/>
    </cacheField>
    <cacheField name="Column473" numFmtId="0">
      <sharedItems containsNonDate="0" containsString="0" containsBlank="1"/>
    </cacheField>
    <cacheField name="Column474" numFmtId="0">
      <sharedItems containsNonDate="0" containsString="0" containsBlank="1"/>
    </cacheField>
    <cacheField name="Column475" numFmtId="0">
      <sharedItems containsNonDate="0" containsString="0" containsBlank="1"/>
    </cacheField>
    <cacheField name="Column476" numFmtId="0">
      <sharedItems containsNonDate="0" containsString="0" containsBlank="1"/>
    </cacheField>
    <cacheField name="Column477" numFmtId="0">
      <sharedItems containsNonDate="0" containsString="0" containsBlank="1"/>
    </cacheField>
    <cacheField name="Column478" numFmtId="0">
      <sharedItems containsNonDate="0" containsString="0" containsBlank="1"/>
    </cacheField>
    <cacheField name="Column479" numFmtId="0">
      <sharedItems containsNonDate="0" containsString="0" containsBlank="1"/>
    </cacheField>
    <cacheField name="Column480" numFmtId="0">
      <sharedItems containsNonDate="0" containsString="0" containsBlank="1"/>
    </cacheField>
    <cacheField name="Column481" numFmtId="0">
      <sharedItems containsNonDate="0" containsString="0" containsBlank="1"/>
    </cacheField>
    <cacheField name="Column482" numFmtId="0">
      <sharedItems containsNonDate="0" containsString="0" containsBlank="1"/>
    </cacheField>
    <cacheField name="Column483" numFmtId="0">
      <sharedItems containsNonDate="0" containsString="0" containsBlank="1"/>
    </cacheField>
    <cacheField name="Column484" numFmtId="0">
      <sharedItems containsNonDate="0" containsString="0" containsBlank="1"/>
    </cacheField>
    <cacheField name="Column485" numFmtId="0">
      <sharedItems containsNonDate="0" containsString="0" containsBlank="1"/>
    </cacheField>
    <cacheField name="Column486" numFmtId="0">
      <sharedItems containsNonDate="0" containsString="0" containsBlank="1"/>
    </cacheField>
    <cacheField name="Column487" numFmtId="0">
      <sharedItems containsNonDate="0" containsString="0" containsBlank="1"/>
    </cacheField>
    <cacheField name="Column488" numFmtId="0">
      <sharedItems containsNonDate="0" containsString="0" containsBlank="1"/>
    </cacheField>
    <cacheField name="Column489" numFmtId="0">
      <sharedItems containsNonDate="0" containsString="0" containsBlank="1"/>
    </cacheField>
    <cacheField name="Column490" numFmtId="0">
      <sharedItems containsNonDate="0" containsString="0" containsBlank="1"/>
    </cacheField>
    <cacheField name="Column491" numFmtId="0">
      <sharedItems containsNonDate="0" containsString="0" containsBlank="1"/>
    </cacheField>
    <cacheField name="Column492" numFmtId="0">
      <sharedItems containsNonDate="0" containsString="0" containsBlank="1"/>
    </cacheField>
    <cacheField name="Column493" numFmtId="0">
      <sharedItems containsNonDate="0" containsString="0" containsBlank="1"/>
    </cacheField>
    <cacheField name="Column494" numFmtId="0">
      <sharedItems containsNonDate="0" containsString="0" containsBlank="1"/>
    </cacheField>
    <cacheField name="Column495" numFmtId="0">
      <sharedItems containsNonDate="0" containsString="0" containsBlank="1"/>
    </cacheField>
    <cacheField name="Column496" numFmtId="0">
      <sharedItems containsNonDate="0" containsString="0" containsBlank="1"/>
    </cacheField>
    <cacheField name="Column497" numFmtId="0">
      <sharedItems containsNonDate="0" containsString="0" containsBlank="1"/>
    </cacheField>
    <cacheField name="Column498" numFmtId="0">
      <sharedItems containsNonDate="0" containsString="0" containsBlank="1"/>
    </cacheField>
    <cacheField name="Column499" numFmtId="0">
      <sharedItems containsNonDate="0" containsString="0" containsBlank="1"/>
    </cacheField>
    <cacheField name="Column500" numFmtId="0">
      <sharedItems containsNonDate="0" containsString="0" containsBlank="1"/>
    </cacheField>
    <cacheField name="Column501" numFmtId="0">
      <sharedItems containsNonDate="0" containsString="0" containsBlank="1"/>
    </cacheField>
    <cacheField name="Column502" numFmtId="0">
      <sharedItems containsNonDate="0" containsString="0" containsBlank="1"/>
    </cacheField>
    <cacheField name="Column503" numFmtId="0">
      <sharedItems containsNonDate="0" containsString="0" containsBlank="1"/>
    </cacheField>
    <cacheField name="Column504" numFmtId="0">
      <sharedItems containsNonDate="0" containsString="0" containsBlank="1"/>
    </cacheField>
    <cacheField name="Column505" numFmtId="0">
      <sharedItems containsNonDate="0" containsString="0" containsBlank="1"/>
    </cacheField>
    <cacheField name="Column506" numFmtId="0">
      <sharedItems containsNonDate="0" containsString="0" containsBlank="1"/>
    </cacheField>
    <cacheField name="Column507" numFmtId="0">
      <sharedItems containsNonDate="0" containsString="0" containsBlank="1"/>
    </cacheField>
    <cacheField name="Column508" numFmtId="0">
      <sharedItems containsNonDate="0" containsString="0" containsBlank="1"/>
    </cacheField>
    <cacheField name="Column509" numFmtId="0">
      <sharedItems containsNonDate="0" containsString="0" containsBlank="1"/>
    </cacheField>
    <cacheField name="Column510" numFmtId="0">
      <sharedItems containsNonDate="0" containsString="0" containsBlank="1"/>
    </cacheField>
    <cacheField name="Column511" numFmtId="0">
      <sharedItems containsNonDate="0" containsString="0" containsBlank="1"/>
    </cacheField>
    <cacheField name="Column512" numFmtId="0">
      <sharedItems containsNonDate="0" containsString="0" containsBlank="1"/>
    </cacheField>
    <cacheField name="Column513" numFmtId="0">
      <sharedItems containsNonDate="0" containsString="0" containsBlank="1"/>
    </cacheField>
    <cacheField name="Column514" numFmtId="0">
      <sharedItems containsNonDate="0" containsString="0" containsBlank="1"/>
    </cacheField>
    <cacheField name="Column515" numFmtId="0">
      <sharedItems containsNonDate="0" containsString="0" containsBlank="1"/>
    </cacheField>
    <cacheField name="Column516" numFmtId="0">
      <sharedItems containsNonDate="0" containsString="0" containsBlank="1"/>
    </cacheField>
    <cacheField name="Column517" numFmtId="0">
      <sharedItems containsNonDate="0" containsString="0" containsBlank="1"/>
    </cacheField>
    <cacheField name="Column518" numFmtId="0">
      <sharedItems containsNonDate="0" containsString="0" containsBlank="1"/>
    </cacheField>
    <cacheField name="Column519" numFmtId="0">
      <sharedItems containsNonDate="0" containsString="0" containsBlank="1"/>
    </cacheField>
    <cacheField name="Column520" numFmtId="0">
      <sharedItems containsNonDate="0" containsString="0" containsBlank="1"/>
    </cacheField>
    <cacheField name="Column521" numFmtId="0">
      <sharedItems containsNonDate="0" containsString="0" containsBlank="1"/>
    </cacheField>
    <cacheField name="Column522" numFmtId="0">
      <sharedItems containsNonDate="0" containsString="0" containsBlank="1"/>
    </cacheField>
    <cacheField name="Column523" numFmtId="0">
      <sharedItems containsNonDate="0" containsString="0" containsBlank="1"/>
    </cacheField>
    <cacheField name="Column524" numFmtId="0">
      <sharedItems containsNonDate="0" containsString="0" containsBlank="1"/>
    </cacheField>
    <cacheField name="Column525" numFmtId="0">
      <sharedItems containsNonDate="0" containsString="0" containsBlank="1"/>
    </cacheField>
    <cacheField name="Column526" numFmtId="0">
      <sharedItems containsNonDate="0" containsString="0" containsBlank="1"/>
    </cacheField>
    <cacheField name="Column527" numFmtId="0">
      <sharedItems containsNonDate="0" containsString="0" containsBlank="1"/>
    </cacheField>
    <cacheField name="Column528" numFmtId="0">
      <sharedItems containsNonDate="0" containsString="0" containsBlank="1"/>
    </cacheField>
    <cacheField name="Column529" numFmtId="0">
      <sharedItems containsNonDate="0" containsString="0" containsBlank="1"/>
    </cacheField>
    <cacheField name="Column530" numFmtId="0">
      <sharedItems containsNonDate="0" containsString="0" containsBlank="1"/>
    </cacheField>
    <cacheField name="Column531" numFmtId="0">
      <sharedItems containsNonDate="0" containsString="0" containsBlank="1"/>
    </cacheField>
    <cacheField name="Column532" numFmtId="0">
      <sharedItems containsNonDate="0" containsString="0" containsBlank="1"/>
    </cacheField>
    <cacheField name="Column533" numFmtId="0">
      <sharedItems containsNonDate="0" containsString="0" containsBlank="1"/>
    </cacheField>
    <cacheField name="Column534" numFmtId="0">
      <sharedItems containsNonDate="0" containsString="0" containsBlank="1"/>
    </cacheField>
    <cacheField name="Column535" numFmtId="0">
      <sharedItems containsNonDate="0" containsString="0" containsBlank="1"/>
    </cacheField>
    <cacheField name="Column536" numFmtId="0">
      <sharedItems containsNonDate="0" containsString="0" containsBlank="1"/>
    </cacheField>
    <cacheField name="Column537" numFmtId="0">
      <sharedItems containsNonDate="0" containsString="0" containsBlank="1"/>
    </cacheField>
    <cacheField name="Column538" numFmtId="0">
      <sharedItems containsNonDate="0" containsString="0" containsBlank="1"/>
    </cacheField>
    <cacheField name="Column539" numFmtId="0">
      <sharedItems containsNonDate="0" containsString="0" containsBlank="1"/>
    </cacheField>
    <cacheField name="Column540" numFmtId="0">
      <sharedItems containsNonDate="0" containsString="0" containsBlank="1"/>
    </cacheField>
    <cacheField name="Column541" numFmtId="0">
      <sharedItems containsNonDate="0" containsString="0" containsBlank="1"/>
    </cacheField>
    <cacheField name="Column542" numFmtId="0">
      <sharedItems containsNonDate="0" containsString="0" containsBlank="1"/>
    </cacheField>
    <cacheField name="Column543" numFmtId="0">
      <sharedItems containsNonDate="0" containsString="0" containsBlank="1"/>
    </cacheField>
    <cacheField name="Column544" numFmtId="0">
      <sharedItems containsNonDate="0" containsString="0" containsBlank="1"/>
    </cacheField>
    <cacheField name="Column545" numFmtId="0">
      <sharedItems containsNonDate="0" containsString="0" containsBlank="1"/>
    </cacheField>
    <cacheField name="Column546" numFmtId="0">
      <sharedItems containsNonDate="0" containsString="0" containsBlank="1"/>
    </cacheField>
    <cacheField name="Column547" numFmtId="0">
      <sharedItems containsNonDate="0" containsString="0" containsBlank="1"/>
    </cacheField>
    <cacheField name="Column548" numFmtId="0">
      <sharedItems containsNonDate="0" containsString="0" containsBlank="1"/>
    </cacheField>
    <cacheField name="Column549" numFmtId="0">
      <sharedItems containsNonDate="0" containsString="0" containsBlank="1"/>
    </cacheField>
    <cacheField name="Column550" numFmtId="0">
      <sharedItems containsNonDate="0" containsString="0" containsBlank="1"/>
    </cacheField>
    <cacheField name="Column551" numFmtId="0">
      <sharedItems containsNonDate="0" containsString="0" containsBlank="1"/>
    </cacheField>
    <cacheField name="Column552" numFmtId="0">
      <sharedItems containsNonDate="0" containsString="0" containsBlank="1"/>
    </cacheField>
    <cacheField name="Column553" numFmtId="0">
      <sharedItems containsNonDate="0" containsString="0" containsBlank="1"/>
    </cacheField>
    <cacheField name="Column554" numFmtId="0">
      <sharedItems containsNonDate="0" containsString="0" containsBlank="1"/>
    </cacheField>
    <cacheField name="Column555" numFmtId="0">
      <sharedItems containsNonDate="0" containsString="0" containsBlank="1"/>
    </cacheField>
    <cacheField name="Column556" numFmtId="0">
      <sharedItems containsNonDate="0" containsString="0" containsBlank="1"/>
    </cacheField>
    <cacheField name="Column557" numFmtId="0">
      <sharedItems containsNonDate="0" containsString="0" containsBlank="1"/>
    </cacheField>
    <cacheField name="Column558" numFmtId="0">
      <sharedItems containsNonDate="0" containsString="0" containsBlank="1"/>
    </cacheField>
    <cacheField name="Column559" numFmtId="0">
      <sharedItems containsNonDate="0" containsString="0" containsBlank="1"/>
    </cacheField>
    <cacheField name="Column560" numFmtId="0">
      <sharedItems containsNonDate="0" containsString="0" containsBlank="1"/>
    </cacheField>
    <cacheField name="Column561" numFmtId="0">
      <sharedItems containsNonDate="0" containsString="0" containsBlank="1"/>
    </cacheField>
    <cacheField name="Column562" numFmtId="0">
      <sharedItems containsNonDate="0" containsString="0" containsBlank="1"/>
    </cacheField>
    <cacheField name="Column563" numFmtId="0">
      <sharedItems containsNonDate="0" containsString="0" containsBlank="1"/>
    </cacheField>
    <cacheField name="Column564" numFmtId="0">
      <sharedItems containsNonDate="0" containsString="0" containsBlank="1"/>
    </cacheField>
    <cacheField name="Column565" numFmtId="0">
      <sharedItems containsNonDate="0" containsString="0" containsBlank="1"/>
    </cacheField>
    <cacheField name="Column566" numFmtId="0">
      <sharedItems containsNonDate="0" containsString="0" containsBlank="1"/>
    </cacheField>
    <cacheField name="Column567" numFmtId="0">
      <sharedItems containsNonDate="0" containsString="0" containsBlank="1"/>
    </cacheField>
    <cacheField name="Column568" numFmtId="0">
      <sharedItems containsNonDate="0" containsString="0" containsBlank="1"/>
    </cacheField>
    <cacheField name="Column569" numFmtId="0">
      <sharedItems containsNonDate="0" containsString="0" containsBlank="1"/>
    </cacheField>
    <cacheField name="Column570" numFmtId="0">
      <sharedItems containsNonDate="0" containsString="0" containsBlank="1"/>
    </cacheField>
    <cacheField name="Column571" numFmtId="0">
      <sharedItems containsNonDate="0" containsString="0" containsBlank="1"/>
    </cacheField>
    <cacheField name="Column572" numFmtId="0">
      <sharedItems containsNonDate="0" containsString="0" containsBlank="1"/>
    </cacheField>
    <cacheField name="Column573" numFmtId="0">
      <sharedItems containsNonDate="0" containsString="0" containsBlank="1"/>
    </cacheField>
    <cacheField name="Column574" numFmtId="0">
      <sharedItems containsNonDate="0" containsString="0" containsBlank="1"/>
    </cacheField>
    <cacheField name="Column575" numFmtId="0">
      <sharedItems containsNonDate="0" containsString="0" containsBlank="1"/>
    </cacheField>
    <cacheField name="Column576" numFmtId="0">
      <sharedItems containsNonDate="0" containsString="0" containsBlank="1"/>
    </cacheField>
    <cacheField name="Column577" numFmtId="0">
      <sharedItems containsNonDate="0" containsString="0" containsBlank="1"/>
    </cacheField>
    <cacheField name="Column578" numFmtId="0">
      <sharedItems containsNonDate="0" containsString="0" containsBlank="1"/>
    </cacheField>
    <cacheField name="Column579" numFmtId="0">
      <sharedItems containsNonDate="0" containsString="0" containsBlank="1"/>
    </cacheField>
    <cacheField name="Column580" numFmtId="0">
      <sharedItems containsNonDate="0" containsString="0" containsBlank="1"/>
    </cacheField>
    <cacheField name="Column581" numFmtId="0">
      <sharedItems containsNonDate="0" containsString="0" containsBlank="1"/>
    </cacheField>
    <cacheField name="Column582" numFmtId="0">
      <sharedItems containsNonDate="0" containsString="0" containsBlank="1"/>
    </cacheField>
    <cacheField name="Column583" numFmtId="0">
      <sharedItems containsNonDate="0" containsString="0" containsBlank="1"/>
    </cacheField>
    <cacheField name="Column584" numFmtId="0">
      <sharedItems containsNonDate="0" containsString="0" containsBlank="1"/>
    </cacheField>
    <cacheField name="Column585" numFmtId="0">
      <sharedItems containsNonDate="0" containsString="0" containsBlank="1"/>
    </cacheField>
    <cacheField name="Column586" numFmtId="0">
      <sharedItems containsNonDate="0" containsString="0" containsBlank="1"/>
    </cacheField>
    <cacheField name="Column587" numFmtId="0">
      <sharedItems containsNonDate="0" containsString="0" containsBlank="1"/>
    </cacheField>
    <cacheField name="Column588" numFmtId="0">
      <sharedItems containsNonDate="0" containsString="0" containsBlank="1"/>
    </cacheField>
    <cacheField name="Column589" numFmtId="0">
      <sharedItems containsNonDate="0" containsString="0" containsBlank="1"/>
    </cacheField>
    <cacheField name="Column590" numFmtId="0">
      <sharedItems containsNonDate="0" containsString="0" containsBlank="1"/>
    </cacheField>
    <cacheField name="Column591" numFmtId="0">
      <sharedItems containsNonDate="0" containsString="0" containsBlank="1"/>
    </cacheField>
    <cacheField name="Column592" numFmtId="0">
      <sharedItems containsNonDate="0" containsString="0" containsBlank="1"/>
    </cacheField>
    <cacheField name="Column593" numFmtId="0">
      <sharedItems containsNonDate="0" containsString="0" containsBlank="1"/>
    </cacheField>
    <cacheField name="Column594" numFmtId="0">
      <sharedItems containsNonDate="0" containsString="0" containsBlank="1"/>
    </cacheField>
    <cacheField name="Column595" numFmtId="0">
      <sharedItems containsNonDate="0" containsString="0" containsBlank="1"/>
    </cacheField>
    <cacheField name="Column596" numFmtId="0">
      <sharedItems containsNonDate="0" containsString="0" containsBlank="1"/>
    </cacheField>
    <cacheField name="Column597" numFmtId="0">
      <sharedItems containsNonDate="0" containsString="0" containsBlank="1"/>
    </cacheField>
    <cacheField name="Column598" numFmtId="0">
      <sharedItems containsNonDate="0" containsString="0" containsBlank="1"/>
    </cacheField>
    <cacheField name="Column599" numFmtId="0">
      <sharedItems containsNonDate="0" containsString="0" containsBlank="1"/>
    </cacheField>
    <cacheField name="Column600" numFmtId="0">
      <sharedItems containsNonDate="0" containsString="0" containsBlank="1"/>
    </cacheField>
    <cacheField name="Column601" numFmtId="0">
      <sharedItems containsNonDate="0" containsString="0" containsBlank="1"/>
    </cacheField>
    <cacheField name="Column602" numFmtId="0">
      <sharedItems containsNonDate="0" containsString="0" containsBlank="1"/>
    </cacheField>
    <cacheField name="Column603" numFmtId="0">
      <sharedItems containsNonDate="0" containsString="0" containsBlank="1"/>
    </cacheField>
    <cacheField name="Column604" numFmtId="0">
      <sharedItems containsNonDate="0" containsString="0" containsBlank="1"/>
    </cacheField>
    <cacheField name="Column605" numFmtId="0">
      <sharedItems containsNonDate="0" containsString="0" containsBlank="1"/>
    </cacheField>
    <cacheField name="Column606" numFmtId="0">
      <sharedItems containsNonDate="0" containsString="0" containsBlank="1"/>
    </cacheField>
    <cacheField name="Column607" numFmtId="0">
      <sharedItems containsNonDate="0" containsString="0" containsBlank="1"/>
    </cacheField>
    <cacheField name="Column608" numFmtId="0">
      <sharedItems containsNonDate="0" containsString="0" containsBlank="1"/>
    </cacheField>
    <cacheField name="Column609" numFmtId="0">
      <sharedItems containsNonDate="0" containsString="0" containsBlank="1"/>
    </cacheField>
    <cacheField name="Column610" numFmtId="0">
      <sharedItems containsNonDate="0" containsString="0" containsBlank="1"/>
    </cacheField>
    <cacheField name="Column611" numFmtId="0">
      <sharedItems containsNonDate="0" containsString="0" containsBlank="1"/>
    </cacheField>
    <cacheField name="Column612" numFmtId="0">
      <sharedItems containsNonDate="0" containsString="0" containsBlank="1"/>
    </cacheField>
    <cacheField name="Column613" numFmtId="0">
      <sharedItems containsNonDate="0" containsString="0" containsBlank="1"/>
    </cacheField>
    <cacheField name="Column614" numFmtId="0">
      <sharedItems containsNonDate="0" containsString="0" containsBlank="1"/>
    </cacheField>
    <cacheField name="Column615" numFmtId="0">
      <sharedItems containsNonDate="0" containsString="0" containsBlank="1"/>
    </cacheField>
    <cacheField name="Column616" numFmtId="0">
      <sharedItems containsNonDate="0" containsString="0" containsBlank="1"/>
    </cacheField>
    <cacheField name="Column617" numFmtId="0">
      <sharedItems containsNonDate="0" containsString="0" containsBlank="1"/>
    </cacheField>
    <cacheField name="Column618" numFmtId="0">
      <sharedItems containsNonDate="0" containsString="0" containsBlank="1"/>
    </cacheField>
    <cacheField name="Column619" numFmtId="0">
      <sharedItems containsNonDate="0" containsString="0" containsBlank="1"/>
    </cacheField>
    <cacheField name="Column620" numFmtId="0">
      <sharedItems containsNonDate="0" containsString="0" containsBlank="1"/>
    </cacheField>
    <cacheField name="Column621" numFmtId="0">
      <sharedItems containsNonDate="0" containsString="0" containsBlank="1"/>
    </cacheField>
    <cacheField name="Column622" numFmtId="0">
      <sharedItems containsNonDate="0" containsString="0" containsBlank="1"/>
    </cacheField>
    <cacheField name="Column623" numFmtId="0">
      <sharedItems containsNonDate="0" containsString="0" containsBlank="1"/>
    </cacheField>
    <cacheField name="Column624" numFmtId="0">
      <sharedItems containsNonDate="0" containsString="0" containsBlank="1"/>
    </cacheField>
    <cacheField name="Column625" numFmtId="0">
      <sharedItems containsNonDate="0" containsString="0" containsBlank="1"/>
    </cacheField>
    <cacheField name="Column626" numFmtId="0">
      <sharedItems containsNonDate="0" containsString="0" containsBlank="1"/>
    </cacheField>
    <cacheField name="Column627" numFmtId="0">
      <sharedItems containsNonDate="0" containsString="0" containsBlank="1"/>
    </cacheField>
    <cacheField name="Column628" numFmtId="0">
      <sharedItems containsNonDate="0" containsString="0" containsBlank="1"/>
    </cacheField>
    <cacheField name="Column629" numFmtId="0">
      <sharedItems containsNonDate="0" containsString="0" containsBlank="1"/>
    </cacheField>
    <cacheField name="Column630" numFmtId="0">
      <sharedItems containsNonDate="0" containsString="0" containsBlank="1"/>
    </cacheField>
    <cacheField name="Column631" numFmtId="0">
      <sharedItems containsNonDate="0" containsString="0" containsBlank="1"/>
    </cacheField>
    <cacheField name="Column632" numFmtId="0">
      <sharedItems containsNonDate="0" containsString="0" containsBlank="1"/>
    </cacheField>
    <cacheField name="Column633" numFmtId="0">
      <sharedItems containsNonDate="0" containsString="0" containsBlank="1"/>
    </cacheField>
    <cacheField name="Column634" numFmtId="0">
      <sharedItems containsNonDate="0" containsString="0" containsBlank="1"/>
    </cacheField>
    <cacheField name="Column635" numFmtId="0">
      <sharedItems containsNonDate="0" containsString="0" containsBlank="1"/>
    </cacheField>
    <cacheField name="Column636" numFmtId="0">
      <sharedItems containsNonDate="0" containsString="0" containsBlank="1"/>
    </cacheField>
    <cacheField name="Column637" numFmtId="0">
      <sharedItems containsNonDate="0" containsString="0" containsBlank="1"/>
    </cacheField>
    <cacheField name="Column638" numFmtId="0">
      <sharedItems containsNonDate="0" containsString="0" containsBlank="1"/>
    </cacheField>
    <cacheField name="Column639" numFmtId="0">
      <sharedItems containsNonDate="0" containsString="0" containsBlank="1"/>
    </cacheField>
    <cacheField name="Column640" numFmtId="0">
      <sharedItems containsNonDate="0" containsString="0" containsBlank="1"/>
    </cacheField>
    <cacheField name="Column641" numFmtId="0">
      <sharedItems containsNonDate="0" containsString="0" containsBlank="1"/>
    </cacheField>
    <cacheField name="Column642" numFmtId="0">
      <sharedItems containsNonDate="0" containsString="0" containsBlank="1"/>
    </cacheField>
    <cacheField name="Column643" numFmtId="0">
      <sharedItems containsNonDate="0" containsString="0" containsBlank="1"/>
    </cacheField>
    <cacheField name="Column644" numFmtId="0">
      <sharedItems containsNonDate="0" containsString="0" containsBlank="1"/>
    </cacheField>
    <cacheField name="Column645" numFmtId="0">
      <sharedItems containsNonDate="0" containsString="0" containsBlank="1"/>
    </cacheField>
    <cacheField name="Column646" numFmtId="0">
      <sharedItems containsNonDate="0" containsString="0" containsBlank="1"/>
    </cacheField>
    <cacheField name="Column647" numFmtId="0">
      <sharedItems containsNonDate="0" containsString="0" containsBlank="1"/>
    </cacheField>
    <cacheField name="Column648" numFmtId="0">
      <sharedItems containsNonDate="0" containsString="0" containsBlank="1"/>
    </cacheField>
    <cacheField name="Column649" numFmtId="0">
      <sharedItems containsNonDate="0" containsString="0" containsBlank="1"/>
    </cacheField>
    <cacheField name="Column650" numFmtId="0">
      <sharedItems containsNonDate="0" containsString="0" containsBlank="1"/>
    </cacheField>
    <cacheField name="Column651" numFmtId="0">
      <sharedItems containsNonDate="0" containsString="0" containsBlank="1"/>
    </cacheField>
    <cacheField name="Column652" numFmtId="0">
      <sharedItems containsNonDate="0" containsString="0" containsBlank="1"/>
    </cacheField>
    <cacheField name="Column653" numFmtId="0">
      <sharedItems containsNonDate="0" containsString="0" containsBlank="1"/>
    </cacheField>
    <cacheField name="Column654" numFmtId="0">
      <sharedItems containsNonDate="0" containsString="0" containsBlank="1"/>
    </cacheField>
    <cacheField name="Column655" numFmtId="0">
      <sharedItems containsNonDate="0" containsString="0" containsBlank="1"/>
    </cacheField>
    <cacheField name="Column656" numFmtId="0">
      <sharedItems containsNonDate="0" containsString="0" containsBlank="1"/>
    </cacheField>
    <cacheField name="Column657" numFmtId="0">
      <sharedItems containsNonDate="0" containsString="0" containsBlank="1"/>
    </cacheField>
    <cacheField name="Column658" numFmtId="0">
      <sharedItems containsNonDate="0" containsString="0" containsBlank="1"/>
    </cacheField>
    <cacheField name="Column659" numFmtId="0">
      <sharedItems containsNonDate="0" containsString="0" containsBlank="1"/>
    </cacheField>
    <cacheField name="Column660" numFmtId="0">
      <sharedItems containsNonDate="0" containsString="0" containsBlank="1"/>
    </cacheField>
    <cacheField name="Column661" numFmtId="0">
      <sharedItems containsNonDate="0" containsString="0" containsBlank="1"/>
    </cacheField>
    <cacheField name="Column662" numFmtId="0">
      <sharedItems containsNonDate="0" containsString="0" containsBlank="1"/>
    </cacheField>
    <cacheField name="Column663" numFmtId="0">
      <sharedItems containsNonDate="0" containsString="0" containsBlank="1"/>
    </cacheField>
    <cacheField name="Column664" numFmtId="0">
      <sharedItems containsNonDate="0" containsString="0" containsBlank="1"/>
    </cacheField>
    <cacheField name="Column665" numFmtId="0">
      <sharedItems containsNonDate="0" containsString="0" containsBlank="1"/>
    </cacheField>
    <cacheField name="Column666" numFmtId="0">
      <sharedItems containsNonDate="0" containsString="0" containsBlank="1"/>
    </cacheField>
    <cacheField name="Column667" numFmtId="0">
      <sharedItems containsNonDate="0" containsString="0" containsBlank="1"/>
    </cacheField>
    <cacheField name="Column668" numFmtId="0">
      <sharedItems containsNonDate="0" containsString="0" containsBlank="1"/>
    </cacheField>
    <cacheField name="Column669" numFmtId="0">
      <sharedItems containsNonDate="0" containsString="0" containsBlank="1"/>
    </cacheField>
    <cacheField name="Column670" numFmtId="0">
      <sharedItems containsNonDate="0" containsString="0" containsBlank="1"/>
    </cacheField>
    <cacheField name="Column671" numFmtId="0">
      <sharedItems containsNonDate="0" containsString="0" containsBlank="1"/>
    </cacheField>
    <cacheField name="Column672" numFmtId="0">
      <sharedItems containsNonDate="0" containsString="0" containsBlank="1"/>
    </cacheField>
    <cacheField name="Column673" numFmtId="0">
      <sharedItems containsNonDate="0" containsString="0" containsBlank="1"/>
    </cacheField>
    <cacheField name="Column674" numFmtId="0">
      <sharedItems containsNonDate="0" containsString="0" containsBlank="1"/>
    </cacheField>
    <cacheField name="Column675" numFmtId="0">
      <sharedItems containsNonDate="0" containsString="0" containsBlank="1"/>
    </cacheField>
    <cacheField name="Column676" numFmtId="0">
      <sharedItems containsNonDate="0" containsString="0" containsBlank="1"/>
    </cacheField>
    <cacheField name="Column677" numFmtId="0">
      <sharedItems containsNonDate="0" containsString="0" containsBlank="1"/>
    </cacheField>
    <cacheField name="Column678" numFmtId="0">
      <sharedItems containsNonDate="0" containsString="0" containsBlank="1"/>
    </cacheField>
    <cacheField name="Column679" numFmtId="0">
      <sharedItems containsNonDate="0" containsString="0" containsBlank="1"/>
    </cacheField>
    <cacheField name="Column680" numFmtId="0">
      <sharedItems containsNonDate="0" containsString="0" containsBlank="1"/>
    </cacheField>
    <cacheField name="Column681" numFmtId="0">
      <sharedItems containsNonDate="0" containsString="0" containsBlank="1"/>
    </cacheField>
    <cacheField name="Column682" numFmtId="0">
      <sharedItems containsNonDate="0" containsString="0" containsBlank="1"/>
    </cacheField>
    <cacheField name="Column683" numFmtId="0">
      <sharedItems containsNonDate="0" containsString="0" containsBlank="1"/>
    </cacheField>
    <cacheField name="Column684" numFmtId="0">
      <sharedItems containsNonDate="0" containsString="0" containsBlank="1"/>
    </cacheField>
    <cacheField name="Column685" numFmtId="0">
      <sharedItems containsNonDate="0" containsString="0" containsBlank="1"/>
    </cacheField>
    <cacheField name="Column686" numFmtId="0">
      <sharedItems containsNonDate="0" containsString="0" containsBlank="1"/>
    </cacheField>
    <cacheField name="Column687" numFmtId="0">
      <sharedItems containsNonDate="0" containsString="0" containsBlank="1"/>
    </cacheField>
    <cacheField name="Column688" numFmtId="0">
      <sharedItems containsNonDate="0" containsString="0" containsBlank="1"/>
    </cacheField>
    <cacheField name="Column689" numFmtId="0">
      <sharedItems containsNonDate="0" containsString="0" containsBlank="1"/>
    </cacheField>
    <cacheField name="Column690" numFmtId="0">
      <sharedItems containsNonDate="0" containsString="0" containsBlank="1"/>
    </cacheField>
    <cacheField name="Column691" numFmtId="0">
      <sharedItems containsNonDate="0" containsString="0" containsBlank="1"/>
    </cacheField>
    <cacheField name="Column692" numFmtId="0">
      <sharedItems containsNonDate="0" containsString="0" containsBlank="1"/>
    </cacheField>
    <cacheField name="Column693" numFmtId="0">
      <sharedItems containsNonDate="0" containsString="0" containsBlank="1"/>
    </cacheField>
    <cacheField name="Column694" numFmtId="0">
      <sharedItems containsNonDate="0" containsString="0" containsBlank="1"/>
    </cacheField>
    <cacheField name="Column695" numFmtId="0">
      <sharedItems containsNonDate="0" containsString="0" containsBlank="1"/>
    </cacheField>
    <cacheField name="Column696" numFmtId="0">
      <sharedItems containsNonDate="0" containsString="0" containsBlank="1"/>
    </cacheField>
    <cacheField name="Column697" numFmtId="0">
      <sharedItems containsNonDate="0" containsString="0" containsBlank="1"/>
    </cacheField>
    <cacheField name="Column698" numFmtId="0">
      <sharedItems containsNonDate="0" containsString="0" containsBlank="1"/>
    </cacheField>
    <cacheField name="Column699" numFmtId="0">
      <sharedItems containsNonDate="0" containsString="0" containsBlank="1"/>
    </cacheField>
    <cacheField name="Column700" numFmtId="0">
      <sharedItems containsNonDate="0" containsString="0" containsBlank="1"/>
    </cacheField>
    <cacheField name="Column701" numFmtId="0">
      <sharedItems containsNonDate="0" containsString="0" containsBlank="1"/>
    </cacheField>
    <cacheField name="Column702" numFmtId="0">
      <sharedItems containsNonDate="0" containsString="0" containsBlank="1"/>
    </cacheField>
    <cacheField name="Column703" numFmtId="0">
      <sharedItems containsNonDate="0" containsString="0" containsBlank="1"/>
    </cacheField>
    <cacheField name="Column704" numFmtId="0">
      <sharedItems containsNonDate="0" containsString="0" containsBlank="1"/>
    </cacheField>
    <cacheField name="Column705" numFmtId="0">
      <sharedItems containsNonDate="0" containsString="0" containsBlank="1"/>
    </cacheField>
    <cacheField name="Column706" numFmtId="0">
      <sharedItems containsNonDate="0" containsString="0" containsBlank="1"/>
    </cacheField>
    <cacheField name="Column707" numFmtId="0">
      <sharedItems containsNonDate="0" containsString="0" containsBlank="1"/>
    </cacheField>
    <cacheField name="Column708" numFmtId="0">
      <sharedItems containsNonDate="0" containsString="0" containsBlank="1"/>
    </cacheField>
    <cacheField name="Column709" numFmtId="0">
      <sharedItems containsNonDate="0" containsString="0" containsBlank="1"/>
    </cacheField>
    <cacheField name="Column710" numFmtId="0">
      <sharedItems containsNonDate="0" containsString="0" containsBlank="1"/>
    </cacheField>
    <cacheField name="Column711" numFmtId="0">
      <sharedItems containsNonDate="0" containsString="0" containsBlank="1"/>
    </cacheField>
    <cacheField name="Column712" numFmtId="0">
      <sharedItems containsNonDate="0" containsString="0" containsBlank="1"/>
    </cacheField>
    <cacheField name="Column713" numFmtId="0">
      <sharedItems containsNonDate="0" containsString="0" containsBlank="1"/>
    </cacheField>
    <cacheField name="Column714" numFmtId="0">
      <sharedItems containsNonDate="0" containsString="0" containsBlank="1"/>
    </cacheField>
    <cacheField name="Column715" numFmtId="0">
      <sharedItems containsNonDate="0" containsString="0" containsBlank="1"/>
    </cacheField>
    <cacheField name="Column716" numFmtId="0">
      <sharedItems containsNonDate="0" containsString="0" containsBlank="1"/>
    </cacheField>
    <cacheField name="Column717" numFmtId="0">
      <sharedItems containsNonDate="0" containsString="0" containsBlank="1"/>
    </cacheField>
    <cacheField name="Column718" numFmtId="0">
      <sharedItems containsNonDate="0" containsString="0" containsBlank="1"/>
    </cacheField>
    <cacheField name="Column719" numFmtId="0">
      <sharedItems containsNonDate="0" containsString="0" containsBlank="1"/>
    </cacheField>
    <cacheField name="Column720" numFmtId="0">
      <sharedItems containsNonDate="0" containsString="0" containsBlank="1"/>
    </cacheField>
    <cacheField name="Column721" numFmtId="0">
      <sharedItems containsNonDate="0" containsString="0" containsBlank="1"/>
    </cacheField>
    <cacheField name="Column722" numFmtId="0">
      <sharedItems containsNonDate="0" containsString="0" containsBlank="1"/>
    </cacheField>
    <cacheField name="Column723" numFmtId="0">
      <sharedItems containsNonDate="0" containsString="0" containsBlank="1"/>
    </cacheField>
    <cacheField name="Column724" numFmtId="0">
      <sharedItems containsNonDate="0" containsString="0" containsBlank="1"/>
    </cacheField>
    <cacheField name="Column725" numFmtId="0">
      <sharedItems containsNonDate="0" containsString="0" containsBlank="1"/>
    </cacheField>
    <cacheField name="Column726" numFmtId="0">
      <sharedItems containsNonDate="0" containsString="0" containsBlank="1"/>
    </cacheField>
    <cacheField name="Column727" numFmtId="0">
      <sharedItems containsNonDate="0" containsString="0" containsBlank="1"/>
    </cacheField>
    <cacheField name="Column728" numFmtId="0">
      <sharedItems containsNonDate="0" containsString="0" containsBlank="1"/>
    </cacheField>
    <cacheField name="Column729" numFmtId="0">
      <sharedItems containsNonDate="0" containsString="0" containsBlank="1"/>
    </cacheField>
    <cacheField name="Column730" numFmtId="0">
      <sharedItems containsNonDate="0" containsString="0" containsBlank="1"/>
    </cacheField>
    <cacheField name="Column731" numFmtId="0">
      <sharedItems containsNonDate="0" containsString="0" containsBlank="1"/>
    </cacheField>
    <cacheField name="Column732" numFmtId="0">
      <sharedItems containsNonDate="0" containsString="0" containsBlank="1"/>
    </cacheField>
    <cacheField name="Column733" numFmtId="0">
      <sharedItems containsNonDate="0" containsString="0" containsBlank="1"/>
    </cacheField>
    <cacheField name="Column734" numFmtId="0">
      <sharedItems containsNonDate="0" containsString="0" containsBlank="1"/>
    </cacheField>
    <cacheField name="Column735" numFmtId="0">
      <sharedItems containsNonDate="0" containsString="0" containsBlank="1"/>
    </cacheField>
    <cacheField name="Column736" numFmtId="0">
      <sharedItems containsNonDate="0" containsString="0" containsBlank="1"/>
    </cacheField>
    <cacheField name="Column737" numFmtId="0">
      <sharedItems containsNonDate="0" containsString="0" containsBlank="1"/>
    </cacheField>
    <cacheField name="Column738" numFmtId="0">
      <sharedItems containsNonDate="0" containsString="0" containsBlank="1"/>
    </cacheField>
    <cacheField name="Column739" numFmtId="0">
      <sharedItems containsNonDate="0" containsString="0" containsBlank="1"/>
    </cacheField>
    <cacheField name="Column740" numFmtId="0">
      <sharedItems containsNonDate="0" containsString="0" containsBlank="1"/>
    </cacheField>
    <cacheField name="Column741" numFmtId="0">
      <sharedItems containsNonDate="0" containsString="0" containsBlank="1"/>
    </cacheField>
    <cacheField name="Column742" numFmtId="0">
      <sharedItems containsNonDate="0" containsString="0" containsBlank="1"/>
    </cacheField>
    <cacheField name="Column743" numFmtId="0">
      <sharedItems containsNonDate="0" containsString="0" containsBlank="1"/>
    </cacheField>
    <cacheField name="Column744" numFmtId="0">
      <sharedItems containsNonDate="0" containsString="0" containsBlank="1"/>
    </cacheField>
    <cacheField name="Column745" numFmtId="0">
      <sharedItems containsNonDate="0" containsString="0" containsBlank="1"/>
    </cacheField>
    <cacheField name="Column746" numFmtId="0">
      <sharedItems containsNonDate="0" containsString="0" containsBlank="1"/>
    </cacheField>
    <cacheField name="Column747" numFmtId="0">
      <sharedItems containsNonDate="0" containsString="0" containsBlank="1"/>
    </cacheField>
    <cacheField name="Column748" numFmtId="0">
      <sharedItems containsNonDate="0" containsString="0" containsBlank="1"/>
    </cacheField>
    <cacheField name="Column749" numFmtId="0">
      <sharedItems containsNonDate="0" containsString="0" containsBlank="1"/>
    </cacheField>
    <cacheField name="Column750" numFmtId="0">
      <sharedItems containsNonDate="0" containsString="0" containsBlank="1"/>
    </cacheField>
    <cacheField name="Column751" numFmtId="0">
      <sharedItems containsNonDate="0" containsString="0" containsBlank="1"/>
    </cacheField>
    <cacheField name="Column752" numFmtId="0">
      <sharedItems containsNonDate="0" containsString="0" containsBlank="1"/>
    </cacheField>
    <cacheField name="Column753" numFmtId="0">
      <sharedItems containsNonDate="0" containsString="0" containsBlank="1"/>
    </cacheField>
    <cacheField name="Column754" numFmtId="0">
      <sharedItems containsNonDate="0" containsString="0" containsBlank="1"/>
    </cacheField>
    <cacheField name="Column755" numFmtId="0">
      <sharedItems containsNonDate="0" containsString="0" containsBlank="1"/>
    </cacheField>
    <cacheField name="Column756" numFmtId="0">
      <sharedItems containsNonDate="0" containsString="0" containsBlank="1"/>
    </cacheField>
    <cacheField name="Column757" numFmtId="0">
      <sharedItems containsNonDate="0" containsString="0" containsBlank="1"/>
    </cacheField>
    <cacheField name="Column758" numFmtId="0">
      <sharedItems containsNonDate="0" containsString="0" containsBlank="1"/>
    </cacheField>
    <cacheField name="Column759" numFmtId="0">
      <sharedItems containsNonDate="0" containsString="0" containsBlank="1"/>
    </cacheField>
    <cacheField name="Column760" numFmtId="0">
      <sharedItems containsNonDate="0" containsString="0" containsBlank="1"/>
    </cacheField>
    <cacheField name="Column761" numFmtId="0">
      <sharedItems containsNonDate="0" containsString="0" containsBlank="1"/>
    </cacheField>
    <cacheField name="Column762" numFmtId="0">
      <sharedItems containsNonDate="0" containsString="0" containsBlank="1"/>
    </cacheField>
    <cacheField name="Column763" numFmtId="0">
      <sharedItems containsNonDate="0" containsString="0" containsBlank="1"/>
    </cacheField>
    <cacheField name="Column764" numFmtId="0">
      <sharedItems containsNonDate="0" containsString="0" containsBlank="1"/>
    </cacheField>
    <cacheField name="Column765" numFmtId="0">
      <sharedItems containsNonDate="0" containsString="0" containsBlank="1"/>
    </cacheField>
    <cacheField name="Column766" numFmtId="0">
      <sharedItems containsNonDate="0" containsString="0" containsBlank="1"/>
    </cacheField>
    <cacheField name="Column767" numFmtId="0">
      <sharedItems containsNonDate="0" containsString="0" containsBlank="1"/>
    </cacheField>
    <cacheField name="Column768" numFmtId="0">
      <sharedItems containsNonDate="0" containsString="0" containsBlank="1"/>
    </cacheField>
    <cacheField name="Column769" numFmtId="0">
      <sharedItems containsNonDate="0" containsString="0" containsBlank="1"/>
    </cacheField>
    <cacheField name="Column770" numFmtId="0">
      <sharedItems containsNonDate="0" containsString="0" containsBlank="1"/>
    </cacheField>
    <cacheField name="Column771" numFmtId="0">
      <sharedItems containsNonDate="0" containsString="0" containsBlank="1"/>
    </cacheField>
    <cacheField name="Column772" numFmtId="0">
      <sharedItems containsNonDate="0" containsString="0" containsBlank="1"/>
    </cacheField>
    <cacheField name="Column773" numFmtId="0">
      <sharedItems containsNonDate="0" containsString="0" containsBlank="1"/>
    </cacheField>
    <cacheField name="Column774" numFmtId="0">
      <sharedItems containsNonDate="0" containsString="0" containsBlank="1"/>
    </cacheField>
    <cacheField name="Column775" numFmtId="0">
      <sharedItems containsNonDate="0" containsString="0" containsBlank="1"/>
    </cacheField>
    <cacheField name="Column776" numFmtId="0">
      <sharedItems containsNonDate="0" containsString="0" containsBlank="1"/>
    </cacheField>
    <cacheField name="Column777" numFmtId="0">
      <sharedItems containsNonDate="0" containsString="0" containsBlank="1"/>
    </cacheField>
    <cacheField name="Column778" numFmtId="0">
      <sharedItems containsNonDate="0" containsString="0" containsBlank="1"/>
    </cacheField>
    <cacheField name="Column779" numFmtId="0">
      <sharedItems containsNonDate="0" containsString="0" containsBlank="1"/>
    </cacheField>
    <cacheField name="Column780" numFmtId="0">
      <sharedItems containsNonDate="0" containsString="0" containsBlank="1"/>
    </cacheField>
    <cacheField name="Column781" numFmtId="0">
      <sharedItems containsNonDate="0" containsString="0" containsBlank="1"/>
    </cacheField>
    <cacheField name="Column782" numFmtId="0">
      <sharedItems containsNonDate="0" containsString="0" containsBlank="1"/>
    </cacheField>
    <cacheField name="Column783" numFmtId="0">
      <sharedItems containsNonDate="0" containsString="0" containsBlank="1"/>
    </cacheField>
    <cacheField name="Column784" numFmtId="0">
      <sharedItems containsNonDate="0" containsString="0" containsBlank="1"/>
    </cacheField>
    <cacheField name="Column785" numFmtId="0">
      <sharedItems containsNonDate="0" containsString="0" containsBlank="1"/>
    </cacheField>
    <cacheField name="Column786" numFmtId="0">
      <sharedItems containsNonDate="0" containsString="0" containsBlank="1"/>
    </cacheField>
    <cacheField name="Column787" numFmtId="0">
      <sharedItems containsNonDate="0" containsString="0" containsBlank="1"/>
    </cacheField>
    <cacheField name="Column788" numFmtId="0">
      <sharedItems containsNonDate="0" containsString="0" containsBlank="1"/>
    </cacheField>
    <cacheField name="Column789" numFmtId="0">
      <sharedItems containsNonDate="0" containsString="0" containsBlank="1"/>
    </cacheField>
    <cacheField name="Column790" numFmtId="0">
      <sharedItems containsNonDate="0" containsString="0" containsBlank="1"/>
    </cacheField>
    <cacheField name="Column791" numFmtId="0">
      <sharedItems containsNonDate="0" containsString="0" containsBlank="1"/>
    </cacheField>
    <cacheField name="Column792" numFmtId="0">
      <sharedItems containsNonDate="0" containsString="0" containsBlank="1"/>
    </cacheField>
    <cacheField name="Column793" numFmtId="0">
      <sharedItems containsNonDate="0" containsString="0" containsBlank="1"/>
    </cacheField>
    <cacheField name="Column794" numFmtId="0">
      <sharedItems containsNonDate="0" containsString="0" containsBlank="1"/>
    </cacheField>
    <cacheField name="Column795" numFmtId="0">
      <sharedItems containsNonDate="0" containsString="0" containsBlank="1"/>
    </cacheField>
    <cacheField name="Column796" numFmtId="0">
      <sharedItems containsNonDate="0" containsString="0" containsBlank="1"/>
    </cacheField>
    <cacheField name="Column797" numFmtId="0">
      <sharedItems containsNonDate="0" containsString="0" containsBlank="1"/>
    </cacheField>
    <cacheField name="Column798" numFmtId="0">
      <sharedItems containsNonDate="0" containsString="0" containsBlank="1"/>
    </cacheField>
    <cacheField name="Column799" numFmtId="0">
      <sharedItems containsNonDate="0" containsString="0" containsBlank="1"/>
    </cacheField>
    <cacheField name="Column800" numFmtId="0">
      <sharedItems containsNonDate="0" containsString="0" containsBlank="1"/>
    </cacheField>
    <cacheField name="Column801" numFmtId="0">
      <sharedItems containsNonDate="0" containsString="0" containsBlank="1"/>
    </cacheField>
    <cacheField name="Column802" numFmtId="0">
      <sharedItems containsNonDate="0" containsString="0" containsBlank="1"/>
    </cacheField>
    <cacheField name="Column803" numFmtId="0">
      <sharedItems containsNonDate="0" containsString="0" containsBlank="1"/>
    </cacheField>
    <cacheField name="Column804" numFmtId="0">
      <sharedItems containsNonDate="0" containsString="0" containsBlank="1"/>
    </cacheField>
    <cacheField name="Column805" numFmtId="0">
      <sharedItems containsNonDate="0" containsString="0" containsBlank="1"/>
    </cacheField>
    <cacheField name="Column806" numFmtId="0">
      <sharedItems containsNonDate="0" containsString="0" containsBlank="1"/>
    </cacheField>
    <cacheField name="Column807" numFmtId="0">
      <sharedItems containsNonDate="0" containsString="0" containsBlank="1"/>
    </cacheField>
    <cacheField name="Column808" numFmtId="0">
      <sharedItems containsNonDate="0" containsString="0" containsBlank="1"/>
    </cacheField>
    <cacheField name="Column809" numFmtId="0">
      <sharedItems containsNonDate="0" containsString="0" containsBlank="1"/>
    </cacheField>
    <cacheField name="Column810" numFmtId="0">
      <sharedItems containsNonDate="0" containsString="0" containsBlank="1"/>
    </cacheField>
    <cacheField name="Column811" numFmtId="0">
      <sharedItems containsNonDate="0" containsString="0" containsBlank="1"/>
    </cacheField>
    <cacheField name="Column812" numFmtId="0">
      <sharedItems containsNonDate="0" containsString="0" containsBlank="1"/>
    </cacheField>
    <cacheField name="Column813" numFmtId="0">
      <sharedItems containsNonDate="0" containsString="0" containsBlank="1"/>
    </cacheField>
    <cacheField name="Column814" numFmtId="0">
      <sharedItems containsNonDate="0" containsString="0" containsBlank="1"/>
    </cacheField>
    <cacheField name="Column815" numFmtId="0">
      <sharedItems containsNonDate="0" containsString="0" containsBlank="1"/>
    </cacheField>
    <cacheField name="Column816" numFmtId="0">
      <sharedItems containsNonDate="0" containsString="0" containsBlank="1"/>
    </cacheField>
    <cacheField name="Column817" numFmtId="0">
      <sharedItems containsNonDate="0" containsString="0" containsBlank="1"/>
    </cacheField>
    <cacheField name="Column818" numFmtId="0">
      <sharedItems containsNonDate="0" containsString="0" containsBlank="1"/>
    </cacheField>
    <cacheField name="Column819" numFmtId="0">
      <sharedItems containsNonDate="0" containsString="0" containsBlank="1"/>
    </cacheField>
    <cacheField name="Column820" numFmtId="0">
      <sharedItems containsNonDate="0" containsString="0" containsBlank="1"/>
    </cacheField>
    <cacheField name="Column821" numFmtId="0">
      <sharedItems containsNonDate="0" containsString="0" containsBlank="1"/>
    </cacheField>
    <cacheField name="Column822" numFmtId="0">
      <sharedItems containsNonDate="0" containsString="0" containsBlank="1"/>
    </cacheField>
    <cacheField name="Column823" numFmtId="0">
      <sharedItems containsNonDate="0" containsString="0" containsBlank="1"/>
    </cacheField>
    <cacheField name="Column824" numFmtId="0">
      <sharedItems containsNonDate="0" containsString="0" containsBlank="1"/>
    </cacheField>
    <cacheField name="Column825" numFmtId="0">
      <sharedItems containsNonDate="0" containsString="0" containsBlank="1"/>
    </cacheField>
    <cacheField name="Column826" numFmtId="0">
      <sharedItems containsNonDate="0" containsString="0" containsBlank="1"/>
    </cacheField>
    <cacheField name="Column827" numFmtId="0">
      <sharedItems containsNonDate="0" containsString="0" containsBlank="1"/>
    </cacheField>
    <cacheField name="Column828" numFmtId="0">
      <sharedItems containsNonDate="0" containsString="0" containsBlank="1"/>
    </cacheField>
    <cacheField name="Column829" numFmtId="0">
      <sharedItems containsNonDate="0" containsString="0" containsBlank="1"/>
    </cacheField>
    <cacheField name="Column830" numFmtId="0">
      <sharedItems containsNonDate="0" containsString="0" containsBlank="1"/>
    </cacheField>
    <cacheField name="Column831" numFmtId="0">
      <sharedItems containsNonDate="0" containsString="0" containsBlank="1"/>
    </cacheField>
    <cacheField name="Column832" numFmtId="0">
      <sharedItems containsNonDate="0" containsString="0" containsBlank="1"/>
    </cacheField>
    <cacheField name="Column833" numFmtId="0">
      <sharedItems containsNonDate="0" containsString="0" containsBlank="1"/>
    </cacheField>
    <cacheField name="Column834" numFmtId="0">
      <sharedItems containsNonDate="0" containsString="0" containsBlank="1"/>
    </cacheField>
    <cacheField name="Column835" numFmtId="0">
      <sharedItems containsNonDate="0" containsString="0" containsBlank="1"/>
    </cacheField>
    <cacheField name="Column836" numFmtId="0">
      <sharedItems containsNonDate="0" containsString="0" containsBlank="1"/>
    </cacheField>
    <cacheField name="Column837" numFmtId="0">
      <sharedItems containsNonDate="0" containsString="0" containsBlank="1"/>
    </cacheField>
    <cacheField name="Column838" numFmtId="0">
      <sharedItems containsNonDate="0" containsString="0" containsBlank="1"/>
    </cacheField>
    <cacheField name="Column839" numFmtId="0">
      <sharedItems containsNonDate="0" containsString="0" containsBlank="1"/>
    </cacheField>
    <cacheField name="Column840" numFmtId="0">
      <sharedItems containsNonDate="0" containsString="0" containsBlank="1"/>
    </cacheField>
    <cacheField name="Column841" numFmtId="0">
      <sharedItems containsNonDate="0" containsString="0" containsBlank="1"/>
    </cacheField>
    <cacheField name="Column842" numFmtId="0">
      <sharedItems containsNonDate="0" containsString="0" containsBlank="1"/>
    </cacheField>
    <cacheField name="Column843" numFmtId="0">
      <sharedItems containsNonDate="0" containsString="0" containsBlank="1"/>
    </cacheField>
    <cacheField name="Column844" numFmtId="0">
      <sharedItems containsNonDate="0" containsString="0" containsBlank="1"/>
    </cacheField>
    <cacheField name="Column845" numFmtId="0">
      <sharedItems containsNonDate="0" containsString="0" containsBlank="1"/>
    </cacheField>
    <cacheField name="Column846" numFmtId="0">
      <sharedItems containsNonDate="0" containsString="0" containsBlank="1"/>
    </cacheField>
    <cacheField name="Column847" numFmtId="0">
      <sharedItems containsNonDate="0" containsString="0" containsBlank="1"/>
    </cacheField>
    <cacheField name="Column848" numFmtId="0">
      <sharedItems containsNonDate="0" containsString="0" containsBlank="1"/>
    </cacheField>
    <cacheField name="Column849" numFmtId="0">
      <sharedItems containsNonDate="0" containsString="0" containsBlank="1"/>
    </cacheField>
    <cacheField name="Column850" numFmtId="0">
      <sharedItems containsNonDate="0" containsString="0" containsBlank="1"/>
    </cacheField>
    <cacheField name="Column851" numFmtId="0">
      <sharedItems containsNonDate="0" containsString="0" containsBlank="1"/>
    </cacheField>
    <cacheField name="Column852" numFmtId="0">
      <sharedItems containsNonDate="0" containsString="0" containsBlank="1"/>
    </cacheField>
    <cacheField name="Column853" numFmtId="0">
      <sharedItems containsNonDate="0" containsString="0" containsBlank="1"/>
    </cacheField>
    <cacheField name="Column854" numFmtId="0">
      <sharedItems containsNonDate="0" containsString="0" containsBlank="1"/>
    </cacheField>
    <cacheField name="Column855" numFmtId="0">
      <sharedItems containsNonDate="0" containsString="0" containsBlank="1"/>
    </cacheField>
    <cacheField name="Column856" numFmtId="0">
      <sharedItems containsNonDate="0" containsString="0" containsBlank="1"/>
    </cacheField>
    <cacheField name="Column857" numFmtId="0">
      <sharedItems containsNonDate="0" containsString="0" containsBlank="1"/>
    </cacheField>
    <cacheField name="Column858" numFmtId="0">
      <sharedItems containsNonDate="0" containsString="0" containsBlank="1"/>
    </cacheField>
    <cacheField name="Column859" numFmtId="0">
      <sharedItems containsNonDate="0" containsString="0" containsBlank="1"/>
    </cacheField>
    <cacheField name="Column860" numFmtId="0">
      <sharedItems containsNonDate="0" containsString="0" containsBlank="1"/>
    </cacheField>
    <cacheField name="Column861" numFmtId="0">
      <sharedItems containsNonDate="0" containsString="0" containsBlank="1"/>
    </cacheField>
    <cacheField name="Column862" numFmtId="0">
      <sharedItems containsNonDate="0" containsString="0" containsBlank="1"/>
    </cacheField>
    <cacheField name="Column863" numFmtId="0">
      <sharedItems containsNonDate="0" containsString="0" containsBlank="1"/>
    </cacheField>
    <cacheField name="Column864" numFmtId="0">
      <sharedItems containsNonDate="0" containsString="0" containsBlank="1"/>
    </cacheField>
    <cacheField name="Column865" numFmtId="0">
      <sharedItems containsNonDate="0" containsString="0" containsBlank="1"/>
    </cacheField>
    <cacheField name="Column866" numFmtId="0">
      <sharedItems containsNonDate="0" containsString="0" containsBlank="1"/>
    </cacheField>
    <cacheField name="Column867" numFmtId="0">
      <sharedItems containsNonDate="0" containsString="0" containsBlank="1"/>
    </cacheField>
    <cacheField name="Column868" numFmtId="0">
      <sharedItems containsNonDate="0" containsString="0" containsBlank="1"/>
    </cacheField>
    <cacheField name="Column869" numFmtId="0">
      <sharedItems containsNonDate="0" containsString="0" containsBlank="1"/>
    </cacheField>
    <cacheField name="Column870" numFmtId="0">
      <sharedItems containsNonDate="0" containsString="0" containsBlank="1"/>
    </cacheField>
    <cacheField name="Column871" numFmtId="0">
      <sharedItems containsNonDate="0" containsString="0" containsBlank="1"/>
    </cacheField>
    <cacheField name="Column872" numFmtId="0">
      <sharedItems containsNonDate="0" containsString="0" containsBlank="1"/>
    </cacheField>
    <cacheField name="Column873" numFmtId="0">
      <sharedItems containsNonDate="0" containsString="0" containsBlank="1"/>
    </cacheField>
    <cacheField name="Column874" numFmtId="0">
      <sharedItems containsNonDate="0" containsString="0" containsBlank="1"/>
    </cacheField>
    <cacheField name="Column875" numFmtId="0">
      <sharedItems containsNonDate="0" containsString="0" containsBlank="1"/>
    </cacheField>
    <cacheField name="Column876" numFmtId="0">
      <sharedItems containsNonDate="0" containsString="0" containsBlank="1"/>
    </cacheField>
    <cacheField name="Column877" numFmtId="0">
      <sharedItems containsNonDate="0" containsString="0" containsBlank="1"/>
    </cacheField>
    <cacheField name="Column878" numFmtId="0">
      <sharedItems containsNonDate="0" containsString="0" containsBlank="1"/>
    </cacheField>
    <cacheField name="Column879" numFmtId="0">
      <sharedItems containsNonDate="0" containsString="0" containsBlank="1"/>
    </cacheField>
    <cacheField name="Column880" numFmtId="0">
      <sharedItems containsNonDate="0" containsString="0" containsBlank="1"/>
    </cacheField>
    <cacheField name="Column881" numFmtId="0">
      <sharedItems containsNonDate="0" containsString="0" containsBlank="1"/>
    </cacheField>
    <cacheField name="Column882" numFmtId="0">
      <sharedItems containsNonDate="0" containsString="0" containsBlank="1"/>
    </cacheField>
    <cacheField name="Column883" numFmtId="0">
      <sharedItems containsNonDate="0" containsString="0" containsBlank="1"/>
    </cacheField>
    <cacheField name="Column884" numFmtId="0">
      <sharedItems containsNonDate="0" containsString="0" containsBlank="1"/>
    </cacheField>
    <cacheField name="Column885" numFmtId="0">
      <sharedItems containsNonDate="0" containsString="0" containsBlank="1"/>
    </cacheField>
    <cacheField name="Column886" numFmtId="0">
      <sharedItems containsNonDate="0" containsString="0" containsBlank="1"/>
    </cacheField>
    <cacheField name="Column887" numFmtId="0">
      <sharedItems containsNonDate="0" containsString="0" containsBlank="1"/>
    </cacheField>
    <cacheField name="Column888" numFmtId="0">
      <sharedItems containsNonDate="0" containsString="0" containsBlank="1"/>
    </cacheField>
    <cacheField name="Column889" numFmtId="0">
      <sharedItems containsNonDate="0" containsString="0" containsBlank="1"/>
    </cacheField>
    <cacheField name="Column890" numFmtId="0">
      <sharedItems containsNonDate="0" containsString="0" containsBlank="1"/>
    </cacheField>
    <cacheField name="Column891" numFmtId="0">
      <sharedItems containsNonDate="0" containsString="0" containsBlank="1"/>
    </cacheField>
    <cacheField name="Column892" numFmtId="0">
      <sharedItems containsNonDate="0" containsString="0" containsBlank="1"/>
    </cacheField>
    <cacheField name="Column893" numFmtId="0">
      <sharedItems containsNonDate="0" containsString="0" containsBlank="1"/>
    </cacheField>
    <cacheField name="Column894" numFmtId="0">
      <sharedItems containsNonDate="0" containsString="0" containsBlank="1"/>
    </cacheField>
    <cacheField name="Column895" numFmtId="0">
      <sharedItems containsNonDate="0" containsString="0" containsBlank="1"/>
    </cacheField>
    <cacheField name="Column896" numFmtId="0">
      <sharedItems containsNonDate="0" containsString="0" containsBlank="1"/>
    </cacheField>
    <cacheField name="Column897" numFmtId="0">
      <sharedItems containsNonDate="0" containsString="0" containsBlank="1"/>
    </cacheField>
    <cacheField name="Column898" numFmtId="0">
      <sharedItems containsNonDate="0" containsString="0" containsBlank="1"/>
    </cacheField>
    <cacheField name="Column899" numFmtId="0">
      <sharedItems containsNonDate="0" containsString="0" containsBlank="1"/>
    </cacheField>
    <cacheField name="Column900" numFmtId="0">
      <sharedItems containsNonDate="0" containsString="0" containsBlank="1"/>
    </cacheField>
    <cacheField name="Column901" numFmtId="0">
      <sharedItems containsNonDate="0" containsString="0" containsBlank="1"/>
    </cacheField>
    <cacheField name="Column902" numFmtId="0">
      <sharedItems containsNonDate="0" containsString="0" containsBlank="1"/>
    </cacheField>
    <cacheField name="Column903" numFmtId="0">
      <sharedItems containsNonDate="0" containsString="0" containsBlank="1"/>
    </cacheField>
    <cacheField name="Column904" numFmtId="0">
      <sharedItems containsNonDate="0" containsString="0" containsBlank="1"/>
    </cacheField>
    <cacheField name="Column905" numFmtId="0">
      <sharedItems containsNonDate="0" containsString="0" containsBlank="1"/>
    </cacheField>
    <cacheField name="Column906" numFmtId="0">
      <sharedItems containsNonDate="0" containsString="0" containsBlank="1"/>
    </cacheField>
    <cacheField name="Column907" numFmtId="0">
      <sharedItems containsNonDate="0" containsString="0" containsBlank="1"/>
    </cacheField>
    <cacheField name="Column908" numFmtId="0">
      <sharedItems containsNonDate="0" containsString="0" containsBlank="1"/>
    </cacheField>
    <cacheField name="Column909" numFmtId="0">
      <sharedItems containsNonDate="0" containsString="0" containsBlank="1"/>
    </cacheField>
    <cacheField name="Column910" numFmtId="0">
      <sharedItems containsNonDate="0" containsString="0" containsBlank="1"/>
    </cacheField>
    <cacheField name="Column911" numFmtId="0">
      <sharedItems containsNonDate="0" containsString="0" containsBlank="1"/>
    </cacheField>
    <cacheField name="Column912" numFmtId="0">
      <sharedItems containsNonDate="0" containsString="0" containsBlank="1"/>
    </cacheField>
    <cacheField name="Column913" numFmtId="0">
      <sharedItems containsNonDate="0" containsString="0" containsBlank="1"/>
    </cacheField>
    <cacheField name="Column914" numFmtId="0">
      <sharedItems containsNonDate="0" containsString="0" containsBlank="1"/>
    </cacheField>
    <cacheField name="Column915" numFmtId="0">
      <sharedItems containsNonDate="0" containsString="0" containsBlank="1"/>
    </cacheField>
    <cacheField name="Column916" numFmtId="0">
      <sharedItems containsNonDate="0" containsString="0" containsBlank="1"/>
    </cacheField>
    <cacheField name="Column917" numFmtId="0">
      <sharedItems containsNonDate="0" containsString="0" containsBlank="1"/>
    </cacheField>
    <cacheField name="Column918" numFmtId="0">
      <sharedItems containsNonDate="0" containsString="0" containsBlank="1"/>
    </cacheField>
    <cacheField name="Column919" numFmtId="0">
      <sharedItems containsNonDate="0" containsString="0" containsBlank="1"/>
    </cacheField>
    <cacheField name="Column920" numFmtId="0">
      <sharedItems containsNonDate="0" containsString="0" containsBlank="1"/>
    </cacheField>
    <cacheField name="Column921" numFmtId="0">
      <sharedItems containsNonDate="0" containsString="0" containsBlank="1"/>
    </cacheField>
    <cacheField name="Column922" numFmtId="0">
      <sharedItems containsNonDate="0" containsString="0" containsBlank="1"/>
    </cacheField>
    <cacheField name="Column923" numFmtId="0">
      <sharedItems containsNonDate="0" containsString="0" containsBlank="1"/>
    </cacheField>
    <cacheField name="Column924" numFmtId="0">
      <sharedItems containsNonDate="0" containsString="0" containsBlank="1"/>
    </cacheField>
    <cacheField name="Column925" numFmtId="0">
      <sharedItems containsNonDate="0" containsString="0" containsBlank="1"/>
    </cacheField>
    <cacheField name="Column926" numFmtId="0">
      <sharedItems containsNonDate="0" containsString="0" containsBlank="1"/>
    </cacheField>
    <cacheField name="Column927" numFmtId="0">
      <sharedItems containsNonDate="0" containsString="0" containsBlank="1"/>
    </cacheField>
    <cacheField name="Column928" numFmtId="0">
      <sharedItems containsNonDate="0" containsString="0" containsBlank="1"/>
    </cacheField>
    <cacheField name="Column929" numFmtId="0">
      <sharedItems containsNonDate="0" containsString="0" containsBlank="1"/>
    </cacheField>
    <cacheField name="Column930" numFmtId="0">
      <sharedItems containsNonDate="0" containsString="0" containsBlank="1"/>
    </cacheField>
    <cacheField name="Column931" numFmtId="0">
      <sharedItems containsNonDate="0" containsString="0" containsBlank="1"/>
    </cacheField>
    <cacheField name="Column932" numFmtId="0">
      <sharedItems containsNonDate="0" containsString="0" containsBlank="1"/>
    </cacheField>
    <cacheField name="Column933" numFmtId="0">
      <sharedItems containsNonDate="0" containsString="0" containsBlank="1"/>
    </cacheField>
    <cacheField name="Column934" numFmtId="0">
      <sharedItems containsNonDate="0" containsString="0" containsBlank="1"/>
    </cacheField>
    <cacheField name="Column935" numFmtId="0">
      <sharedItems containsNonDate="0" containsString="0" containsBlank="1"/>
    </cacheField>
    <cacheField name="Column936" numFmtId="0">
      <sharedItems containsNonDate="0" containsString="0" containsBlank="1"/>
    </cacheField>
    <cacheField name="Column937" numFmtId="0">
      <sharedItems containsNonDate="0" containsString="0" containsBlank="1"/>
    </cacheField>
    <cacheField name="Column938" numFmtId="0">
      <sharedItems containsNonDate="0" containsString="0" containsBlank="1"/>
    </cacheField>
    <cacheField name="Column939" numFmtId="0">
      <sharedItems containsNonDate="0" containsString="0" containsBlank="1"/>
    </cacheField>
    <cacheField name="Column940" numFmtId="0">
      <sharedItems containsNonDate="0" containsString="0" containsBlank="1"/>
    </cacheField>
    <cacheField name="Column941" numFmtId="0">
      <sharedItems containsNonDate="0" containsString="0" containsBlank="1"/>
    </cacheField>
    <cacheField name="Column942" numFmtId="0">
      <sharedItems containsNonDate="0" containsString="0" containsBlank="1"/>
    </cacheField>
    <cacheField name="Column943" numFmtId="0">
      <sharedItems containsNonDate="0" containsString="0" containsBlank="1"/>
    </cacheField>
    <cacheField name="Column944" numFmtId="0">
      <sharedItems containsNonDate="0" containsString="0" containsBlank="1"/>
    </cacheField>
    <cacheField name="Column945" numFmtId="0">
      <sharedItems containsNonDate="0" containsString="0" containsBlank="1"/>
    </cacheField>
    <cacheField name="Column946" numFmtId="0">
      <sharedItems containsNonDate="0" containsString="0" containsBlank="1"/>
    </cacheField>
    <cacheField name="Column947" numFmtId="0">
      <sharedItems containsNonDate="0" containsString="0" containsBlank="1"/>
    </cacheField>
    <cacheField name="Column948" numFmtId="0">
      <sharedItems containsNonDate="0" containsString="0" containsBlank="1"/>
    </cacheField>
    <cacheField name="Column949" numFmtId="0">
      <sharedItems containsNonDate="0" containsString="0" containsBlank="1"/>
    </cacheField>
    <cacheField name="Column950" numFmtId="0">
      <sharedItems containsNonDate="0" containsString="0" containsBlank="1"/>
    </cacheField>
    <cacheField name="Column951" numFmtId="0">
      <sharedItems containsNonDate="0" containsString="0" containsBlank="1"/>
    </cacheField>
    <cacheField name="Column952" numFmtId="0">
      <sharedItems containsNonDate="0" containsString="0" containsBlank="1"/>
    </cacheField>
    <cacheField name="Column953" numFmtId="0">
      <sharedItems containsNonDate="0" containsString="0" containsBlank="1"/>
    </cacheField>
    <cacheField name="Column954" numFmtId="0">
      <sharedItems containsNonDate="0" containsString="0" containsBlank="1"/>
    </cacheField>
    <cacheField name="Column955" numFmtId="0">
      <sharedItems containsNonDate="0" containsString="0" containsBlank="1"/>
    </cacheField>
    <cacheField name="Column956" numFmtId="0">
      <sharedItems containsNonDate="0" containsString="0" containsBlank="1"/>
    </cacheField>
    <cacheField name="Column957" numFmtId="0">
      <sharedItems containsNonDate="0" containsString="0" containsBlank="1"/>
    </cacheField>
    <cacheField name="Column958" numFmtId="0">
      <sharedItems containsNonDate="0" containsString="0" containsBlank="1"/>
    </cacheField>
    <cacheField name="Column959" numFmtId="0">
      <sharedItems containsNonDate="0" containsString="0" containsBlank="1"/>
    </cacheField>
    <cacheField name="Column960" numFmtId="0">
      <sharedItems containsNonDate="0" containsString="0" containsBlank="1"/>
    </cacheField>
    <cacheField name="Column961" numFmtId="0">
      <sharedItems containsNonDate="0" containsString="0" containsBlank="1"/>
    </cacheField>
    <cacheField name="Column962" numFmtId="0">
      <sharedItems containsNonDate="0" containsString="0" containsBlank="1"/>
    </cacheField>
    <cacheField name="Column963" numFmtId="0">
      <sharedItems containsNonDate="0" containsString="0" containsBlank="1"/>
    </cacheField>
    <cacheField name="Column964" numFmtId="0">
      <sharedItems containsNonDate="0" containsString="0" containsBlank="1"/>
    </cacheField>
    <cacheField name="Column965" numFmtId="0">
      <sharedItems containsNonDate="0" containsString="0" containsBlank="1"/>
    </cacheField>
    <cacheField name="Column966" numFmtId="0">
      <sharedItems containsNonDate="0" containsString="0" containsBlank="1"/>
    </cacheField>
    <cacheField name="Column967" numFmtId="0">
      <sharedItems containsNonDate="0" containsString="0" containsBlank="1"/>
    </cacheField>
    <cacheField name="Column968" numFmtId="0">
      <sharedItems containsNonDate="0" containsString="0" containsBlank="1"/>
    </cacheField>
    <cacheField name="Column969" numFmtId="0">
      <sharedItems containsNonDate="0" containsString="0" containsBlank="1"/>
    </cacheField>
    <cacheField name="Column970" numFmtId="0">
      <sharedItems containsNonDate="0" containsString="0" containsBlank="1"/>
    </cacheField>
    <cacheField name="Column971" numFmtId="0">
      <sharedItems containsNonDate="0" containsString="0" containsBlank="1"/>
    </cacheField>
    <cacheField name="Column972" numFmtId="0">
      <sharedItems containsNonDate="0" containsString="0" containsBlank="1"/>
    </cacheField>
    <cacheField name="Column973" numFmtId="0">
      <sharedItems containsNonDate="0" containsString="0" containsBlank="1"/>
    </cacheField>
    <cacheField name="Column974" numFmtId="0">
      <sharedItems containsNonDate="0" containsString="0" containsBlank="1"/>
    </cacheField>
    <cacheField name="Column975" numFmtId="0">
      <sharedItems containsNonDate="0" containsString="0" containsBlank="1"/>
    </cacheField>
    <cacheField name="Column976" numFmtId="0">
      <sharedItems containsNonDate="0" containsString="0" containsBlank="1"/>
    </cacheField>
    <cacheField name="Column977" numFmtId="0">
      <sharedItems containsNonDate="0" containsString="0" containsBlank="1"/>
    </cacheField>
    <cacheField name="Column978" numFmtId="0">
      <sharedItems containsNonDate="0" containsString="0" containsBlank="1"/>
    </cacheField>
    <cacheField name="Column979" numFmtId="0">
      <sharedItems containsNonDate="0" containsString="0" containsBlank="1"/>
    </cacheField>
    <cacheField name="Column980" numFmtId="0">
      <sharedItems containsNonDate="0" containsString="0" containsBlank="1"/>
    </cacheField>
    <cacheField name="Column981" numFmtId="0">
      <sharedItems containsNonDate="0" containsString="0" containsBlank="1"/>
    </cacheField>
    <cacheField name="Column982" numFmtId="0">
      <sharedItems containsNonDate="0" containsString="0" containsBlank="1"/>
    </cacheField>
    <cacheField name="Column983" numFmtId="0">
      <sharedItems containsNonDate="0" containsString="0" containsBlank="1"/>
    </cacheField>
    <cacheField name="Column984" numFmtId="0">
      <sharedItems containsNonDate="0" containsString="0" containsBlank="1"/>
    </cacheField>
    <cacheField name="Column985" numFmtId="0">
      <sharedItems containsNonDate="0" containsString="0" containsBlank="1"/>
    </cacheField>
    <cacheField name="Column986" numFmtId="0">
      <sharedItems containsNonDate="0" containsString="0" containsBlank="1"/>
    </cacheField>
    <cacheField name="Column987" numFmtId="0">
      <sharedItems containsNonDate="0" containsString="0" containsBlank="1"/>
    </cacheField>
    <cacheField name="Column988" numFmtId="0">
      <sharedItems containsNonDate="0" containsString="0" containsBlank="1"/>
    </cacheField>
    <cacheField name="Column989" numFmtId="0">
      <sharedItems containsNonDate="0" containsString="0" containsBlank="1"/>
    </cacheField>
    <cacheField name="Column990" numFmtId="0">
      <sharedItems containsNonDate="0" containsString="0" containsBlank="1"/>
    </cacheField>
    <cacheField name="Column991" numFmtId="0">
      <sharedItems containsNonDate="0" containsString="0" containsBlank="1"/>
    </cacheField>
    <cacheField name="Column992" numFmtId="0">
      <sharedItems containsNonDate="0" containsString="0" containsBlank="1"/>
    </cacheField>
    <cacheField name="Column993" numFmtId="0">
      <sharedItems containsNonDate="0" containsString="0" containsBlank="1"/>
    </cacheField>
    <cacheField name="Column994" numFmtId="0">
      <sharedItems containsNonDate="0" containsString="0" containsBlank="1"/>
    </cacheField>
    <cacheField name="Column995" numFmtId="0">
      <sharedItems containsNonDate="0" containsString="0" containsBlank="1"/>
    </cacheField>
    <cacheField name="Column996" numFmtId="0">
      <sharedItems containsNonDate="0" containsString="0" containsBlank="1"/>
    </cacheField>
    <cacheField name="Column997" numFmtId="0">
      <sharedItems containsNonDate="0" containsString="0" containsBlank="1"/>
    </cacheField>
    <cacheField name="Column998" numFmtId="0">
      <sharedItems containsNonDate="0" containsString="0" containsBlank="1"/>
    </cacheField>
    <cacheField name="Column999" numFmtId="0">
      <sharedItems containsNonDate="0" containsString="0" containsBlank="1"/>
    </cacheField>
    <cacheField name="Column1000" numFmtId="0">
      <sharedItems containsNonDate="0" containsString="0" containsBlank="1"/>
    </cacheField>
    <cacheField name="Column1001" numFmtId="0">
      <sharedItems containsNonDate="0" containsString="0" containsBlank="1"/>
    </cacheField>
    <cacheField name="Column1002" numFmtId="0">
      <sharedItems containsNonDate="0" containsString="0" containsBlank="1"/>
    </cacheField>
    <cacheField name="Column1003" numFmtId="0">
      <sharedItems containsNonDate="0" containsString="0" containsBlank="1"/>
    </cacheField>
    <cacheField name="Column1004" numFmtId="0">
      <sharedItems containsNonDate="0" containsString="0" containsBlank="1"/>
    </cacheField>
    <cacheField name="Column1005" numFmtId="0">
      <sharedItems containsNonDate="0" containsString="0" containsBlank="1"/>
    </cacheField>
    <cacheField name="Column1006" numFmtId="0">
      <sharedItems containsNonDate="0" containsString="0" containsBlank="1"/>
    </cacheField>
    <cacheField name="Column1007" numFmtId="0">
      <sharedItems containsNonDate="0" containsString="0" containsBlank="1"/>
    </cacheField>
    <cacheField name="Column1008" numFmtId="0">
      <sharedItems containsNonDate="0" containsString="0" containsBlank="1"/>
    </cacheField>
    <cacheField name="Column1009" numFmtId="0">
      <sharedItems containsNonDate="0" containsString="0" containsBlank="1"/>
    </cacheField>
    <cacheField name="Column1010" numFmtId="0">
      <sharedItems containsNonDate="0" containsString="0" containsBlank="1"/>
    </cacheField>
    <cacheField name="Column1011" numFmtId="0">
      <sharedItems containsNonDate="0" containsString="0" containsBlank="1"/>
    </cacheField>
    <cacheField name="Column1012" numFmtId="0">
      <sharedItems containsNonDate="0" containsString="0" containsBlank="1"/>
    </cacheField>
    <cacheField name="Column1013" numFmtId="0">
      <sharedItems containsNonDate="0" containsString="0" containsBlank="1"/>
    </cacheField>
    <cacheField name="Column1014" numFmtId="0">
      <sharedItems containsNonDate="0" containsString="0" containsBlank="1"/>
    </cacheField>
    <cacheField name="Column1015" numFmtId="0">
      <sharedItems containsNonDate="0" containsString="0" containsBlank="1"/>
    </cacheField>
    <cacheField name="Column1016" numFmtId="0">
      <sharedItems containsNonDate="0" containsString="0" containsBlank="1"/>
    </cacheField>
    <cacheField name="Column1017" numFmtId="0">
      <sharedItems containsNonDate="0" containsString="0" containsBlank="1"/>
    </cacheField>
    <cacheField name="Column1018" numFmtId="0">
      <sharedItems containsNonDate="0" containsString="0" containsBlank="1"/>
    </cacheField>
    <cacheField name="Column1019" numFmtId="0">
      <sharedItems containsNonDate="0" containsString="0" containsBlank="1"/>
    </cacheField>
    <cacheField name="Column1020" numFmtId="0">
      <sharedItems containsNonDate="0" containsString="0" containsBlank="1"/>
    </cacheField>
    <cacheField name="Column1021" numFmtId="0">
      <sharedItems containsNonDate="0" containsString="0" containsBlank="1"/>
    </cacheField>
    <cacheField name="Column1022" numFmtId="0">
      <sharedItems containsNonDate="0" containsString="0" containsBlank="1"/>
    </cacheField>
    <cacheField name="Column1023" numFmtId="0">
      <sharedItems containsNonDate="0" containsString="0" containsBlank="1"/>
    </cacheField>
    <cacheField name="Column1024" numFmtId="0">
      <sharedItems containsNonDate="0" containsString="0" containsBlank="1"/>
    </cacheField>
    <cacheField name="Column1025" numFmtId="0">
      <sharedItems containsNonDate="0" containsString="0" containsBlank="1"/>
    </cacheField>
    <cacheField name="Column1026" numFmtId="0">
      <sharedItems containsNonDate="0" containsString="0" containsBlank="1"/>
    </cacheField>
    <cacheField name="Column1027" numFmtId="0">
      <sharedItems containsNonDate="0" containsString="0" containsBlank="1"/>
    </cacheField>
    <cacheField name="Column1028" numFmtId="0">
      <sharedItems containsNonDate="0" containsString="0" containsBlank="1"/>
    </cacheField>
    <cacheField name="Column1029" numFmtId="0">
      <sharedItems containsNonDate="0" containsString="0" containsBlank="1"/>
    </cacheField>
    <cacheField name="Column1030" numFmtId="0">
      <sharedItems containsNonDate="0" containsString="0" containsBlank="1"/>
    </cacheField>
    <cacheField name="Column1031" numFmtId="0">
      <sharedItems containsNonDate="0" containsString="0" containsBlank="1"/>
    </cacheField>
    <cacheField name="Column1032" numFmtId="0">
      <sharedItems containsNonDate="0" containsString="0" containsBlank="1"/>
    </cacheField>
    <cacheField name="Column1033" numFmtId="0">
      <sharedItems containsNonDate="0" containsString="0" containsBlank="1"/>
    </cacheField>
    <cacheField name="Column1034" numFmtId="0">
      <sharedItems containsNonDate="0" containsString="0" containsBlank="1"/>
    </cacheField>
    <cacheField name="Column1035" numFmtId="0">
      <sharedItems containsNonDate="0" containsString="0" containsBlank="1"/>
    </cacheField>
    <cacheField name="Column1036" numFmtId="0">
      <sharedItems containsNonDate="0" containsString="0" containsBlank="1"/>
    </cacheField>
    <cacheField name="Column1037" numFmtId="0">
      <sharedItems containsNonDate="0" containsString="0" containsBlank="1"/>
    </cacheField>
    <cacheField name="Column1038" numFmtId="0">
      <sharedItems containsNonDate="0" containsString="0" containsBlank="1"/>
    </cacheField>
    <cacheField name="Column1039" numFmtId="0">
      <sharedItems containsNonDate="0" containsString="0" containsBlank="1"/>
    </cacheField>
    <cacheField name="Column1040" numFmtId="0">
      <sharedItems containsNonDate="0" containsString="0" containsBlank="1"/>
    </cacheField>
    <cacheField name="Column1041" numFmtId="0">
      <sharedItems containsNonDate="0" containsString="0" containsBlank="1"/>
    </cacheField>
    <cacheField name="Column1042" numFmtId="0">
      <sharedItems containsNonDate="0" containsString="0" containsBlank="1"/>
    </cacheField>
    <cacheField name="Column1043" numFmtId="0">
      <sharedItems containsNonDate="0" containsString="0" containsBlank="1"/>
    </cacheField>
    <cacheField name="Column1044" numFmtId="0">
      <sharedItems containsNonDate="0" containsString="0" containsBlank="1"/>
    </cacheField>
    <cacheField name="Column1045" numFmtId="0">
      <sharedItems containsNonDate="0" containsString="0" containsBlank="1"/>
    </cacheField>
    <cacheField name="Column1046" numFmtId="0">
      <sharedItems containsNonDate="0" containsString="0" containsBlank="1"/>
    </cacheField>
    <cacheField name="Column1047" numFmtId="0">
      <sharedItems containsNonDate="0" containsString="0" containsBlank="1"/>
    </cacheField>
    <cacheField name="Column1048" numFmtId="0">
      <sharedItems containsNonDate="0" containsString="0" containsBlank="1"/>
    </cacheField>
    <cacheField name="Column1049" numFmtId="0">
      <sharedItems containsNonDate="0" containsString="0" containsBlank="1"/>
    </cacheField>
    <cacheField name="Column1050" numFmtId="0">
      <sharedItems containsNonDate="0" containsString="0" containsBlank="1"/>
    </cacheField>
    <cacheField name="Column1051" numFmtId="0">
      <sharedItems containsNonDate="0" containsString="0" containsBlank="1"/>
    </cacheField>
    <cacheField name="Column1052" numFmtId="0">
      <sharedItems containsNonDate="0" containsString="0" containsBlank="1"/>
    </cacheField>
    <cacheField name="Column1053" numFmtId="0">
      <sharedItems containsNonDate="0" containsString="0" containsBlank="1"/>
    </cacheField>
    <cacheField name="Column1054" numFmtId="0">
      <sharedItems containsNonDate="0" containsString="0" containsBlank="1"/>
    </cacheField>
    <cacheField name="Column1055" numFmtId="0">
      <sharedItems containsNonDate="0" containsString="0" containsBlank="1"/>
    </cacheField>
    <cacheField name="Column1056" numFmtId="0">
      <sharedItems containsNonDate="0" containsString="0" containsBlank="1"/>
    </cacheField>
    <cacheField name="Column1057" numFmtId="0">
      <sharedItems containsNonDate="0" containsString="0" containsBlank="1"/>
    </cacheField>
    <cacheField name="Column1058" numFmtId="0">
      <sharedItems containsNonDate="0" containsString="0" containsBlank="1"/>
    </cacheField>
    <cacheField name="Column1059" numFmtId="0">
      <sharedItems containsNonDate="0" containsString="0" containsBlank="1"/>
    </cacheField>
    <cacheField name="Column1060" numFmtId="0">
      <sharedItems containsNonDate="0" containsString="0" containsBlank="1"/>
    </cacheField>
    <cacheField name="Column1061" numFmtId="0">
      <sharedItems containsNonDate="0" containsString="0" containsBlank="1"/>
    </cacheField>
    <cacheField name="Column1062" numFmtId="0">
      <sharedItems containsNonDate="0" containsString="0" containsBlank="1"/>
    </cacheField>
    <cacheField name="Column1063" numFmtId="0">
      <sharedItems containsNonDate="0" containsString="0" containsBlank="1"/>
    </cacheField>
    <cacheField name="Column1064" numFmtId="0">
      <sharedItems containsNonDate="0" containsString="0" containsBlank="1"/>
    </cacheField>
    <cacheField name="Column1065" numFmtId="0">
      <sharedItems containsNonDate="0" containsString="0" containsBlank="1"/>
    </cacheField>
    <cacheField name="Column1066" numFmtId="0">
      <sharedItems containsNonDate="0" containsString="0" containsBlank="1"/>
    </cacheField>
    <cacheField name="Column1067" numFmtId="0">
      <sharedItems containsNonDate="0" containsString="0" containsBlank="1"/>
    </cacheField>
    <cacheField name="Column1068" numFmtId="0">
      <sharedItems containsNonDate="0" containsString="0" containsBlank="1"/>
    </cacheField>
    <cacheField name="Column1069" numFmtId="0">
      <sharedItems containsNonDate="0" containsString="0" containsBlank="1"/>
    </cacheField>
    <cacheField name="Column1070" numFmtId="0">
      <sharedItems containsNonDate="0" containsString="0" containsBlank="1"/>
    </cacheField>
    <cacheField name="Column1071" numFmtId="0">
      <sharedItems containsNonDate="0" containsString="0" containsBlank="1"/>
    </cacheField>
    <cacheField name="Column1072" numFmtId="0">
      <sharedItems containsNonDate="0" containsString="0" containsBlank="1"/>
    </cacheField>
    <cacheField name="Column1073" numFmtId="0">
      <sharedItems containsNonDate="0" containsString="0" containsBlank="1"/>
    </cacheField>
    <cacheField name="Column1074" numFmtId="0">
      <sharedItems containsNonDate="0" containsString="0" containsBlank="1"/>
    </cacheField>
    <cacheField name="Column1075" numFmtId="0">
      <sharedItems containsNonDate="0" containsString="0" containsBlank="1"/>
    </cacheField>
    <cacheField name="Column1076" numFmtId="0">
      <sharedItems containsNonDate="0" containsString="0" containsBlank="1"/>
    </cacheField>
    <cacheField name="Column1077" numFmtId="0">
      <sharedItems containsNonDate="0" containsString="0" containsBlank="1"/>
    </cacheField>
    <cacheField name="Column1078" numFmtId="0">
      <sharedItems containsNonDate="0" containsString="0" containsBlank="1"/>
    </cacheField>
    <cacheField name="Column1079" numFmtId="0">
      <sharedItems containsNonDate="0" containsString="0" containsBlank="1"/>
    </cacheField>
    <cacheField name="Column1080" numFmtId="0">
      <sharedItems containsNonDate="0" containsString="0" containsBlank="1"/>
    </cacheField>
    <cacheField name="Column1081" numFmtId="0">
      <sharedItems containsNonDate="0" containsString="0" containsBlank="1"/>
    </cacheField>
    <cacheField name="Column1082" numFmtId="0">
      <sharedItems containsNonDate="0" containsString="0" containsBlank="1"/>
    </cacheField>
    <cacheField name="Column1083" numFmtId="0">
      <sharedItems containsNonDate="0" containsString="0" containsBlank="1"/>
    </cacheField>
    <cacheField name="Column1084" numFmtId="0">
      <sharedItems containsNonDate="0" containsString="0" containsBlank="1"/>
    </cacheField>
    <cacheField name="Column1085" numFmtId="0">
      <sharedItems containsNonDate="0" containsString="0" containsBlank="1"/>
    </cacheField>
    <cacheField name="Column1086" numFmtId="0">
      <sharedItems containsNonDate="0" containsString="0" containsBlank="1"/>
    </cacheField>
    <cacheField name="Column1087" numFmtId="0">
      <sharedItems containsNonDate="0" containsString="0" containsBlank="1"/>
    </cacheField>
    <cacheField name="Column1088" numFmtId="0">
      <sharedItems containsNonDate="0" containsString="0" containsBlank="1"/>
    </cacheField>
    <cacheField name="Column1089" numFmtId="0">
      <sharedItems containsNonDate="0" containsString="0" containsBlank="1"/>
    </cacheField>
    <cacheField name="Column1090" numFmtId="0">
      <sharedItems containsNonDate="0" containsString="0" containsBlank="1"/>
    </cacheField>
    <cacheField name="Column1091" numFmtId="0">
      <sharedItems containsNonDate="0" containsString="0" containsBlank="1"/>
    </cacheField>
    <cacheField name="Column1092" numFmtId="0">
      <sharedItems containsNonDate="0" containsString="0" containsBlank="1"/>
    </cacheField>
    <cacheField name="Column1093" numFmtId="0">
      <sharedItems containsNonDate="0" containsString="0" containsBlank="1"/>
    </cacheField>
    <cacheField name="Column1094" numFmtId="0">
      <sharedItems containsNonDate="0" containsString="0" containsBlank="1"/>
    </cacheField>
    <cacheField name="Column1095" numFmtId="0">
      <sharedItems containsNonDate="0" containsString="0" containsBlank="1"/>
    </cacheField>
    <cacheField name="Column1096" numFmtId="0">
      <sharedItems containsNonDate="0" containsString="0" containsBlank="1"/>
    </cacheField>
    <cacheField name="Column1097" numFmtId="0">
      <sharedItems containsNonDate="0" containsString="0" containsBlank="1"/>
    </cacheField>
    <cacheField name="Column1098" numFmtId="0">
      <sharedItems containsNonDate="0" containsString="0" containsBlank="1"/>
    </cacheField>
    <cacheField name="Column1099" numFmtId="0">
      <sharedItems containsNonDate="0" containsString="0" containsBlank="1"/>
    </cacheField>
    <cacheField name="Column1100" numFmtId="0">
      <sharedItems containsNonDate="0" containsString="0" containsBlank="1"/>
    </cacheField>
    <cacheField name="Column1101" numFmtId="0">
      <sharedItems containsNonDate="0" containsString="0" containsBlank="1"/>
    </cacheField>
    <cacheField name="Column1102" numFmtId="0">
      <sharedItems containsNonDate="0" containsString="0" containsBlank="1"/>
    </cacheField>
    <cacheField name="Column1103" numFmtId="0">
      <sharedItems containsNonDate="0" containsString="0" containsBlank="1"/>
    </cacheField>
    <cacheField name="Column1104" numFmtId="0">
      <sharedItems containsNonDate="0" containsString="0" containsBlank="1"/>
    </cacheField>
    <cacheField name="Column1105" numFmtId="0">
      <sharedItems containsNonDate="0" containsString="0" containsBlank="1"/>
    </cacheField>
    <cacheField name="Column1106" numFmtId="0">
      <sharedItems containsNonDate="0" containsString="0" containsBlank="1"/>
    </cacheField>
    <cacheField name="Column1107" numFmtId="0">
      <sharedItems containsNonDate="0" containsString="0" containsBlank="1"/>
    </cacheField>
    <cacheField name="Column1108" numFmtId="0">
      <sharedItems containsNonDate="0" containsString="0" containsBlank="1"/>
    </cacheField>
    <cacheField name="Column1109" numFmtId="0">
      <sharedItems containsNonDate="0" containsString="0" containsBlank="1"/>
    </cacheField>
    <cacheField name="Column1110" numFmtId="0">
      <sharedItems containsNonDate="0" containsString="0" containsBlank="1"/>
    </cacheField>
    <cacheField name="Column1111" numFmtId="0">
      <sharedItems containsNonDate="0" containsString="0" containsBlank="1"/>
    </cacheField>
    <cacheField name="Column1112" numFmtId="0">
      <sharedItems containsNonDate="0" containsString="0" containsBlank="1"/>
    </cacheField>
    <cacheField name="Column1113" numFmtId="0">
      <sharedItems containsNonDate="0" containsString="0" containsBlank="1"/>
    </cacheField>
    <cacheField name="Column1114" numFmtId="0">
      <sharedItems containsNonDate="0" containsString="0" containsBlank="1"/>
    </cacheField>
    <cacheField name="Column1115" numFmtId="0">
      <sharedItems containsNonDate="0" containsString="0" containsBlank="1"/>
    </cacheField>
    <cacheField name="Column1116" numFmtId="0">
      <sharedItems containsNonDate="0" containsString="0" containsBlank="1"/>
    </cacheField>
    <cacheField name="Column1117" numFmtId="0">
      <sharedItems containsNonDate="0" containsString="0" containsBlank="1"/>
    </cacheField>
    <cacheField name="Column1118" numFmtId="0">
      <sharedItems containsNonDate="0" containsString="0" containsBlank="1"/>
    </cacheField>
    <cacheField name="Column1119" numFmtId="0">
      <sharedItems containsNonDate="0" containsString="0" containsBlank="1"/>
    </cacheField>
    <cacheField name="Column1120" numFmtId="0">
      <sharedItems containsNonDate="0" containsString="0" containsBlank="1"/>
    </cacheField>
    <cacheField name="Column1121" numFmtId="0">
      <sharedItems containsNonDate="0" containsString="0" containsBlank="1"/>
    </cacheField>
    <cacheField name="Column1122" numFmtId="0">
      <sharedItems containsNonDate="0" containsString="0" containsBlank="1"/>
    </cacheField>
    <cacheField name="Column1123" numFmtId="0">
      <sharedItems containsNonDate="0" containsString="0" containsBlank="1"/>
    </cacheField>
    <cacheField name="Column1124" numFmtId="0">
      <sharedItems containsNonDate="0" containsString="0" containsBlank="1"/>
    </cacheField>
    <cacheField name="Column1125" numFmtId="0">
      <sharedItems containsNonDate="0" containsString="0" containsBlank="1"/>
    </cacheField>
    <cacheField name="Column1126" numFmtId="0">
      <sharedItems containsNonDate="0" containsString="0" containsBlank="1"/>
    </cacheField>
    <cacheField name="Column1127" numFmtId="0">
      <sharedItems containsNonDate="0" containsString="0" containsBlank="1"/>
    </cacheField>
    <cacheField name="Column1128" numFmtId="0">
      <sharedItems containsNonDate="0" containsString="0" containsBlank="1"/>
    </cacheField>
    <cacheField name="Column1129" numFmtId="0">
      <sharedItems containsNonDate="0" containsString="0" containsBlank="1"/>
    </cacheField>
    <cacheField name="Column1130" numFmtId="0">
      <sharedItems containsNonDate="0" containsString="0" containsBlank="1"/>
    </cacheField>
    <cacheField name="Column1131" numFmtId="0">
      <sharedItems containsNonDate="0" containsString="0" containsBlank="1"/>
    </cacheField>
    <cacheField name="Column1132" numFmtId="0">
      <sharedItems containsNonDate="0" containsString="0" containsBlank="1"/>
    </cacheField>
    <cacheField name="Column1133" numFmtId="0">
      <sharedItems containsNonDate="0" containsString="0" containsBlank="1"/>
    </cacheField>
    <cacheField name="Column1134" numFmtId="0">
      <sharedItems containsNonDate="0" containsString="0" containsBlank="1"/>
    </cacheField>
    <cacheField name="Column1135" numFmtId="0">
      <sharedItems containsNonDate="0" containsString="0" containsBlank="1"/>
    </cacheField>
    <cacheField name="Column1136" numFmtId="0">
      <sharedItems containsNonDate="0" containsString="0" containsBlank="1"/>
    </cacheField>
    <cacheField name="Column1137" numFmtId="0">
      <sharedItems containsNonDate="0" containsString="0" containsBlank="1"/>
    </cacheField>
    <cacheField name="Column1138" numFmtId="0">
      <sharedItems containsNonDate="0" containsString="0" containsBlank="1"/>
    </cacheField>
    <cacheField name="Column1139" numFmtId="0">
      <sharedItems containsNonDate="0" containsString="0" containsBlank="1"/>
    </cacheField>
    <cacheField name="Column1140" numFmtId="0">
      <sharedItems containsNonDate="0" containsString="0" containsBlank="1"/>
    </cacheField>
    <cacheField name="Column1141" numFmtId="0">
      <sharedItems containsNonDate="0" containsString="0" containsBlank="1"/>
    </cacheField>
    <cacheField name="Column1142" numFmtId="0">
      <sharedItems containsNonDate="0" containsString="0" containsBlank="1"/>
    </cacheField>
    <cacheField name="Column1143" numFmtId="0">
      <sharedItems containsNonDate="0" containsString="0" containsBlank="1"/>
    </cacheField>
    <cacheField name="Column1144" numFmtId="0">
      <sharedItems containsNonDate="0" containsString="0" containsBlank="1"/>
    </cacheField>
    <cacheField name="Column1145" numFmtId="0">
      <sharedItems containsNonDate="0" containsString="0" containsBlank="1"/>
    </cacheField>
    <cacheField name="Column1146" numFmtId="0">
      <sharedItems containsNonDate="0" containsString="0" containsBlank="1"/>
    </cacheField>
    <cacheField name="Column1147" numFmtId="0">
      <sharedItems containsNonDate="0" containsString="0" containsBlank="1"/>
    </cacheField>
    <cacheField name="Column1148" numFmtId="0">
      <sharedItems containsNonDate="0" containsString="0" containsBlank="1"/>
    </cacheField>
    <cacheField name="Column1149" numFmtId="0">
      <sharedItems containsNonDate="0" containsString="0" containsBlank="1"/>
    </cacheField>
    <cacheField name="Column1150" numFmtId="0">
      <sharedItems containsNonDate="0" containsString="0" containsBlank="1"/>
    </cacheField>
    <cacheField name="Column1151" numFmtId="0">
      <sharedItems containsNonDate="0" containsString="0" containsBlank="1"/>
    </cacheField>
    <cacheField name="Column1152" numFmtId="0">
      <sharedItems containsNonDate="0" containsString="0" containsBlank="1"/>
    </cacheField>
    <cacheField name="Column1153" numFmtId="0">
      <sharedItems containsNonDate="0" containsString="0" containsBlank="1"/>
    </cacheField>
    <cacheField name="Column1154" numFmtId="0">
      <sharedItems containsNonDate="0" containsString="0" containsBlank="1"/>
    </cacheField>
    <cacheField name="Column1155" numFmtId="0">
      <sharedItems containsNonDate="0" containsString="0" containsBlank="1"/>
    </cacheField>
    <cacheField name="Column1156" numFmtId="0">
      <sharedItems containsNonDate="0" containsString="0" containsBlank="1"/>
    </cacheField>
    <cacheField name="Column1157" numFmtId="0">
      <sharedItems containsNonDate="0" containsString="0" containsBlank="1"/>
    </cacheField>
    <cacheField name="Column1158" numFmtId="0">
      <sharedItems containsNonDate="0" containsString="0" containsBlank="1"/>
    </cacheField>
    <cacheField name="Column1159" numFmtId="0">
      <sharedItems containsNonDate="0" containsString="0" containsBlank="1"/>
    </cacheField>
    <cacheField name="Column1160" numFmtId="0">
      <sharedItems containsNonDate="0" containsString="0" containsBlank="1"/>
    </cacheField>
    <cacheField name="Column1161" numFmtId="0">
      <sharedItems containsNonDate="0" containsString="0" containsBlank="1"/>
    </cacheField>
    <cacheField name="Column1162" numFmtId="0">
      <sharedItems containsNonDate="0" containsString="0" containsBlank="1"/>
    </cacheField>
    <cacheField name="Column1163" numFmtId="0">
      <sharedItems containsNonDate="0" containsString="0" containsBlank="1"/>
    </cacheField>
    <cacheField name="Column1164" numFmtId="0">
      <sharedItems containsNonDate="0" containsString="0" containsBlank="1"/>
    </cacheField>
    <cacheField name="Column1165" numFmtId="0">
      <sharedItems containsNonDate="0" containsString="0" containsBlank="1"/>
    </cacheField>
    <cacheField name="Column1166" numFmtId="0">
      <sharedItems containsNonDate="0" containsString="0" containsBlank="1"/>
    </cacheField>
    <cacheField name="Column1167" numFmtId="0">
      <sharedItems containsNonDate="0" containsString="0" containsBlank="1"/>
    </cacheField>
    <cacheField name="Column1168" numFmtId="0">
      <sharedItems containsNonDate="0" containsString="0" containsBlank="1"/>
    </cacheField>
    <cacheField name="Column1169" numFmtId="0">
      <sharedItems containsNonDate="0" containsString="0" containsBlank="1"/>
    </cacheField>
    <cacheField name="Column1170" numFmtId="0">
      <sharedItems containsNonDate="0" containsString="0" containsBlank="1"/>
    </cacheField>
    <cacheField name="Column1171" numFmtId="0">
      <sharedItems containsNonDate="0" containsString="0" containsBlank="1"/>
    </cacheField>
    <cacheField name="Column1172" numFmtId="0">
      <sharedItems containsNonDate="0" containsString="0" containsBlank="1"/>
    </cacheField>
    <cacheField name="Column1173" numFmtId="0">
      <sharedItems containsNonDate="0" containsString="0" containsBlank="1"/>
    </cacheField>
    <cacheField name="Column1174" numFmtId="0">
      <sharedItems containsNonDate="0" containsString="0" containsBlank="1"/>
    </cacheField>
    <cacheField name="Column1175" numFmtId="0">
      <sharedItems containsNonDate="0" containsString="0" containsBlank="1"/>
    </cacheField>
    <cacheField name="Column1176" numFmtId="0">
      <sharedItems containsNonDate="0" containsString="0" containsBlank="1"/>
    </cacheField>
    <cacheField name="Column1177" numFmtId="0">
      <sharedItems containsNonDate="0" containsString="0" containsBlank="1"/>
    </cacheField>
    <cacheField name="Column1178" numFmtId="0">
      <sharedItems containsNonDate="0" containsString="0" containsBlank="1"/>
    </cacheField>
    <cacheField name="Column1179" numFmtId="0">
      <sharedItems containsNonDate="0" containsString="0" containsBlank="1"/>
    </cacheField>
    <cacheField name="Column1180" numFmtId="0">
      <sharedItems containsNonDate="0" containsString="0" containsBlank="1"/>
    </cacheField>
    <cacheField name="Column1181" numFmtId="0">
      <sharedItems containsNonDate="0" containsString="0" containsBlank="1"/>
    </cacheField>
    <cacheField name="Column1182" numFmtId="0">
      <sharedItems containsNonDate="0" containsString="0" containsBlank="1"/>
    </cacheField>
    <cacheField name="Column1183" numFmtId="0">
      <sharedItems containsNonDate="0" containsString="0" containsBlank="1"/>
    </cacheField>
    <cacheField name="Column1184" numFmtId="0">
      <sharedItems containsNonDate="0" containsString="0" containsBlank="1"/>
    </cacheField>
    <cacheField name="Column1185" numFmtId="0">
      <sharedItems containsNonDate="0" containsString="0" containsBlank="1"/>
    </cacheField>
    <cacheField name="Column1186" numFmtId="0">
      <sharedItems containsNonDate="0" containsString="0" containsBlank="1"/>
    </cacheField>
    <cacheField name="Column1187" numFmtId="0">
      <sharedItems containsNonDate="0" containsString="0" containsBlank="1"/>
    </cacheField>
    <cacheField name="Column1188" numFmtId="0">
      <sharedItems containsNonDate="0" containsString="0" containsBlank="1"/>
    </cacheField>
    <cacheField name="Column1189" numFmtId="0">
      <sharedItems containsNonDate="0" containsString="0" containsBlank="1"/>
    </cacheField>
    <cacheField name="Column1190" numFmtId="0">
      <sharedItems containsNonDate="0" containsString="0" containsBlank="1"/>
    </cacheField>
    <cacheField name="Column1191" numFmtId="0">
      <sharedItems containsNonDate="0" containsString="0" containsBlank="1"/>
    </cacheField>
    <cacheField name="Column1192" numFmtId="0">
      <sharedItems containsNonDate="0" containsString="0" containsBlank="1"/>
    </cacheField>
    <cacheField name="Column1193" numFmtId="0">
      <sharedItems containsNonDate="0" containsString="0" containsBlank="1"/>
    </cacheField>
    <cacheField name="Column1194" numFmtId="0">
      <sharedItems containsNonDate="0" containsString="0" containsBlank="1"/>
    </cacheField>
    <cacheField name="Column1195" numFmtId="0">
      <sharedItems containsNonDate="0" containsString="0" containsBlank="1"/>
    </cacheField>
    <cacheField name="Column1196" numFmtId="0">
      <sharedItems containsNonDate="0" containsString="0" containsBlank="1"/>
    </cacheField>
    <cacheField name="Column1197" numFmtId="0">
      <sharedItems containsNonDate="0" containsString="0" containsBlank="1"/>
    </cacheField>
    <cacheField name="Column1198" numFmtId="0">
      <sharedItems containsNonDate="0" containsString="0" containsBlank="1"/>
    </cacheField>
    <cacheField name="Column1199" numFmtId="0">
      <sharedItems containsNonDate="0" containsString="0" containsBlank="1"/>
    </cacheField>
    <cacheField name="Column1200" numFmtId="0">
      <sharedItems containsNonDate="0" containsString="0" containsBlank="1"/>
    </cacheField>
    <cacheField name="Column1201" numFmtId="0">
      <sharedItems containsNonDate="0" containsString="0" containsBlank="1"/>
    </cacheField>
    <cacheField name="Column1202" numFmtId="0">
      <sharedItems containsNonDate="0" containsString="0" containsBlank="1"/>
    </cacheField>
    <cacheField name="Column1203" numFmtId="0">
      <sharedItems containsNonDate="0" containsString="0" containsBlank="1"/>
    </cacheField>
    <cacheField name="Column1204" numFmtId="0">
      <sharedItems containsNonDate="0" containsString="0" containsBlank="1"/>
    </cacheField>
    <cacheField name="Column1205" numFmtId="0">
      <sharedItems containsNonDate="0" containsString="0" containsBlank="1"/>
    </cacheField>
    <cacheField name="Column1206" numFmtId="0">
      <sharedItems containsNonDate="0" containsString="0" containsBlank="1"/>
    </cacheField>
    <cacheField name="Column1207" numFmtId="0">
      <sharedItems containsNonDate="0" containsString="0" containsBlank="1"/>
    </cacheField>
    <cacheField name="Column1208" numFmtId="0">
      <sharedItems containsNonDate="0" containsString="0" containsBlank="1"/>
    </cacheField>
    <cacheField name="Column1209" numFmtId="0">
      <sharedItems containsNonDate="0" containsString="0" containsBlank="1"/>
    </cacheField>
    <cacheField name="Column1210" numFmtId="0">
      <sharedItems containsNonDate="0" containsString="0" containsBlank="1"/>
    </cacheField>
    <cacheField name="Column1211" numFmtId="0">
      <sharedItems containsNonDate="0" containsString="0" containsBlank="1"/>
    </cacheField>
    <cacheField name="Column1212" numFmtId="0">
      <sharedItems containsNonDate="0" containsString="0" containsBlank="1"/>
    </cacheField>
    <cacheField name="Column1213" numFmtId="0">
      <sharedItems containsNonDate="0" containsString="0" containsBlank="1"/>
    </cacheField>
    <cacheField name="Column1214" numFmtId="0">
      <sharedItems containsNonDate="0" containsString="0" containsBlank="1"/>
    </cacheField>
    <cacheField name="Column1215" numFmtId="0">
      <sharedItems containsNonDate="0" containsString="0" containsBlank="1"/>
    </cacheField>
    <cacheField name="Column1216" numFmtId="0">
      <sharedItems containsNonDate="0" containsString="0" containsBlank="1"/>
    </cacheField>
    <cacheField name="Column1217" numFmtId="0">
      <sharedItems containsNonDate="0" containsString="0" containsBlank="1"/>
    </cacheField>
    <cacheField name="Column1218" numFmtId="0">
      <sharedItems containsNonDate="0" containsString="0" containsBlank="1"/>
    </cacheField>
    <cacheField name="Column1219" numFmtId="0">
      <sharedItems containsNonDate="0" containsString="0" containsBlank="1"/>
    </cacheField>
    <cacheField name="Column1220" numFmtId="0">
      <sharedItems containsNonDate="0" containsString="0" containsBlank="1"/>
    </cacheField>
    <cacheField name="Column1221" numFmtId="0">
      <sharedItems containsNonDate="0" containsString="0" containsBlank="1"/>
    </cacheField>
    <cacheField name="Column1222" numFmtId="0">
      <sharedItems containsNonDate="0" containsString="0" containsBlank="1"/>
    </cacheField>
    <cacheField name="Column1223" numFmtId="0">
      <sharedItems containsNonDate="0" containsString="0" containsBlank="1"/>
    </cacheField>
    <cacheField name="Column1224" numFmtId="0">
      <sharedItems containsNonDate="0" containsString="0" containsBlank="1"/>
    </cacheField>
    <cacheField name="Column1225" numFmtId="0">
      <sharedItems containsNonDate="0" containsString="0" containsBlank="1"/>
    </cacheField>
    <cacheField name="Column1226" numFmtId="0">
      <sharedItems containsNonDate="0" containsString="0" containsBlank="1"/>
    </cacheField>
    <cacheField name="Column1227" numFmtId="0">
      <sharedItems containsNonDate="0" containsString="0" containsBlank="1"/>
    </cacheField>
    <cacheField name="Column1228" numFmtId="0">
      <sharedItems containsNonDate="0" containsString="0" containsBlank="1"/>
    </cacheField>
    <cacheField name="Column1229" numFmtId="0">
      <sharedItems containsNonDate="0" containsString="0" containsBlank="1"/>
    </cacheField>
    <cacheField name="Column1230" numFmtId="0">
      <sharedItems containsNonDate="0" containsString="0" containsBlank="1"/>
    </cacheField>
    <cacheField name="Column1231" numFmtId="0">
      <sharedItems containsNonDate="0" containsString="0" containsBlank="1"/>
    </cacheField>
    <cacheField name="Column1232" numFmtId="0">
      <sharedItems containsNonDate="0" containsString="0" containsBlank="1"/>
    </cacheField>
    <cacheField name="Column1233" numFmtId="0">
      <sharedItems containsNonDate="0" containsString="0" containsBlank="1"/>
    </cacheField>
    <cacheField name="Column1234" numFmtId="0">
      <sharedItems containsNonDate="0" containsString="0" containsBlank="1"/>
    </cacheField>
    <cacheField name="Column1235" numFmtId="0">
      <sharedItems containsNonDate="0" containsString="0" containsBlank="1"/>
    </cacheField>
    <cacheField name="Column1236" numFmtId="0">
      <sharedItems containsNonDate="0" containsString="0" containsBlank="1"/>
    </cacheField>
    <cacheField name="Column1237" numFmtId="0">
      <sharedItems containsNonDate="0" containsString="0" containsBlank="1"/>
    </cacheField>
    <cacheField name="Column1238" numFmtId="0">
      <sharedItems containsNonDate="0" containsString="0" containsBlank="1"/>
    </cacheField>
    <cacheField name="Column1239" numFmtId="0">
      <sharedItems containsNonDate="0" containsString="0" containsBlank="1"/>
    </cacheField>
    <cacheField name="Column1240" numFmtId="0">
      <sharedItems containsNonDate="0" containsString="0" containsBlank="1"/>
    </cacheField>
    <cacheField name="Column1241" numFmtId="0">
      <sharedItems containsNonDate="0" containsString="0" containsBlank="1"/>
    </cacheField>
    <cacheField name="Column1242" numFmtId="0">
      <sharedItems containsNonDate="0" containsString="0" containsBlank="1"/>
    </cacheField>
    <cacheField name="Column1243" numFmtId="0">
      <sharedItems containsNonDate="0" containsString="0" containsBlank="1"/>
    </cacheField>
    <cacheField name="Column1244" numFmtId="0">
      <sharedItems containsNonDate="0" containsString="0" containsBlank="1"/>
    </cacheField>
    <cacheField name="Column1245" numFmtId="0">
      <sharedItems containsNonDate="0" containsString="0" containsBlank="1"/>
    </cacheField>
    <cacheField name="Column1246" numFmtId="0">
      <sharedItems containsNonDate="0" containsString="0" containsBlank="1"/>
    </cacheField>
    <cacheField name="Column1247" numFmtId="0">
      <sharedItems containsNonDate="0" containsString="0" containsBlank="1"/>
    </cacheField>
    <cacheField name="Column1248" numFmtId="0">
      <sharedItems containsNonDate="0" containsString="0" containsBlank="1"/>
    </cacheField>
    <cacheField name="Column1249" numFmtId="0">
      <sharedItems containsNonDate="0" containsString="0" containsBlank="1"/>
    </cacheField>
    <cacheField name="Column1250" numFmtId="0">
      <sharedItems containsNonDate="0" containsString="0" containsBlank="1"/>
    </cacheField>
    <cacheField name="Column1251" numFmtId="0">
      <sharedItems containsNonDate="0" containsString="0" containsBlank="1"/>
    </cacheField>
    <cacheField name="Column1252" numFmtId="0">
      <sharedItems containsNonDate="0" containsString="0" containsBlank="1"/>
    </cacheField>
    <cacheField name="Column1253" numFmtId="0">
      <sharedItems containsNonDate="0" containsString="0" containsBlank="1"/>
    </cacheField>
    <cacheField name="Column1254" numFmtId="0">
      <sharedItems containsNonDate="0" containsString="0" containsBlank="1"/>
    </cacheField>
    <cacheField name="Column1255" numFmtId="0">
      <sharedItems containsNonDate="0" containsString="0" containsBlank="1"/>
    </cacheField>
    <cacheField name="Column1256" numFmtId="0">
      <sharedItems containsNonDate="0" containsString="0" containsBlank="1"/>
    </cacheField>
    <cacheField name="Column1257" numFmtId="0">
      <sharedItems containsNonDate="0" containsString="0" containsBlank="1"/>
    </cacheField>
    <cacheField name="Column1258" numFmtId="0">
      <sharedItems containsNonDate="0" containsString="0" containsBlank="1"/>
    </cacheField>
    <cacheField name="Column1259" numFmtId="0">
      <sharedItems containsNonDate="0" containsString="0" containsBlank="1"/>
    </cacheField>
    <cacheField name="Column1260" numFmtId="0">
      <sharedItems containsNonDate="0" containsString="0" containsBlank="1"/>
    </cacheField>
    <cacheField name="Column1261" numFmtId="0">
      <sharedItems containsNonDate="0" containsString="0" containsBlank="1"/>
    </cacheField>
    <cacheField name="Column1262" numFmtId="0">
      <sharedItems containsNonDate="0" containsString="0" containsBlank="1"/>
    </cacheField>
    <cacheField name="Column1263" numFmtId="0">
      <sharedItems containsNonDate="0" containsString="0" containsBlank="1"/>
    </cacheField>
    <cacheField name="Column1264" numFmtId="0">
      <sharedItems containsNonDate="0" containsString="0" containsBlank="1"/>
    </cacheField>
    <cacheField name="Column1265" numFmtId="0">
      <sharedItems containsNonDate="0" containsString="0" containsBlank="1"/>
    </cacheField>
    <cacheField name="Column1266" numFmtId="0">
      <sharedItems containsNonDate="0" containsString="0" containsBlank="1"/>
    </cacheField>
    <cacheField name="Column1267" numFmtId="0">
      <sharedItems containsNonDate="0" containsString="0" containsBlank="1"/>
    </cacheField>
    <cacheField name="Column1268" numFmtId="0">
      <sharedItems containsNonDate="0" containsString="0" containsBlank="1"/>
    </cacheField>
    <cacheField name="Column1269" numFmtId="0">
      <sharedItems containsNonDate="0" containsString="0" containsBlank="1"/>
    </cacheField>
    <cacheField name="Column1270" numFmtId="0">
      <sharedItems containsNonDate="0" containsString="0" containsBlank="1"/>
    </cacheField>
    <cacheField name="Column1271" numFmtId="0">
      <sharedItems containsNonDate="0" containsString="0" containsBlank="1"/>
    </cacheField>
    <cacheField name="Column1272" numFmtId="0">
      <sharedItems containsNonDate="0" containsString="0" containsBlank="1"/>
    </cacheField>
    <cacheField name="Column1273" numFmtId="0">
      <sharedItems containsNonDate="0" containsString="0" containsBlank="1"/>
    </cacheField>
    <cacheField name="Column1274" numFmtId="0">
      <sharedItems containsNonDate="0" containsString="0" containsBlank="1"/>
    </cacheField>
    <cacheField name="Column1275" numFmtId="0">
      <sharedItems containsNonDate="0" containsString="0" containsBlank="1"/>
    </cacheField>
    <cacheField name="Column1276" numFmtId="0">
      <sharedItems containsNonDate="0" containsString="0" containsBlank="1"/>
    </cacheField>
    <cacheField name="Column1277" numFmtId="0">
      <sharedItems containsNonDate="0" containsString="0" containsBlank="1"/>
    </cacheField>
    <cacheField name="Column1278" numFmtId="0">
      <sharedItems containsNonDate="0" containsString="0" containsBlank="1"/>
    </cacheField>
    <cacheField name="Column1279" numFmtId="0">
      <sharedItems containsNonDate="0" containsString="0" containsBlank="1"/>
    </cacheField>
    <cacheField name="Column1280" numFmtId="0">
      <sharedItems containsNonDate="0" containsString="0" containsBlank="1"/>
    </cacheField>
    <cacheField name="Column1281" numFmtId="0">
      <sharedItems containsNonDate="0" containsString="0" containsBlank="1"/>
    </cacheField>
    <cacheField name="Column1282" numFmtId="0">
      <sharedItems containsNonDate="0" containsString="0" containsBlank="1"/>
    </cacheField>
    <cacheField name="Column1283" numFmtId="0">
      <sharedItems containsNonDate="0" containsString="0" containsBlank="1"/>
    </cacheField>
    <cacheField name="Column1284" numFmtId="0">
      <sharedItems containsNonDate="0" containsString="0" containsBlank="1"/>
    </cacheField>
    <cacheField name="Column1285" numFmtId="0">
      <sharedItems containsNonDate="0" containsString="0" containsBlank="1"/>
    </cacheField>
    <cacheField name="Column1286" numFmtId="0">
      <sharedItems containsNonDate="0" containsString="0" containsBlank="1"/>
    </cacheField>
    <cacheField name="Column1287" numFmtId="0">
      <sharedItems containsNonDate="0" containsString="0" containsBlank="1"/>
    </cacheField>
    <cacheField name="Column1288" numFmtId="0">
      <sharedItems containsNonDate="0" containsString="0" containsBlank="1"/>
    </cacheField>
    <cacheField name="Column1289" numFmtId="0">
      <sharedItems containsNonDate="0" containsString="0" containsBlank="1"/>
    </cacheField>
    <cacheField name="Column1290" numFmtId="0">
      <sharedItems containsNonDate="0" containsString="0" containsBlank="1"/>
    </cacheField>
    <cacheField name="Column1291" numFmtId="0">
      <sharedItems containsNonDate="0" containsString="0" containsBlank="1"/>
    </cacheField>
    <cacheField name="Column1292" numFmtId="0">
      <sharedItems containsNonDate="0" containsString="0" containsBlank="1"/>
    </cacheField>
    <cacheField name="Column1293" numFmtId="0">
      <sharedItems containsNonDate="0" containsString="0" containsBlank="1"/>
    </cacheField>
    <cacheField name="Column1294" numFmtId="0">
      <sharedItems containsNonDate="0" containsString="0" containsBlank="1"/>
    </cacheField>
    <cacheField name="Column1295" numFmtId="0">
      <sharedItems containsNonDate="0" containsString="0" containsBlank="1"/>
    </cacheField>
    <cacheField name="Column1296" numFmtId="0">
      <sharedItems containsNonDate="0" containsString="0" containsBlank="1"/>
    </cacheField>
    <cacheField name="Column1297" numFmtId="0">
      <sharedItems containsNonDate="0" containsString="0" containsBlank="1"/>
    </cacheField>
    <cacheField name="Column1298" numFmtId="0">
      <sharedItems containsNonDate="0" containsString="0" containsBlank="1"/>
    </cacheField>
    <cacheField name="Column1299" numFmtId="0">
      <sharedItems containsNonDate="0" containsString="0" containsBlank="1"/>
    </cacheField>
    <cacheField name="Column1300" numFmtId="0">
      <sharedItems containsNonDate="0" containsString="0" containsBlank="1"/>
    </cacheField>
    <cacheField name="Column1301" numFmtId="0">
      <sharedItems containsNonDate="0" containsString="0" containsBlank="1"/>
    </cacheField>
    <cacheField name="Column1302" numFmtId="0">
      <sharedItems containsNonDate="0" containsString="0" containsBlank="1"/>
    </cacheField>
    <cacheField name="Column1303" numFmtId="0">
      <sharedItems containsNonDate="0" containsString="0" containsBlank="1"/>
    </cacheField>
    <cacheField name="Column1304" numFmtId="0">
      <sharedItems containsNonDate="0" containsString="0" containsBlank="1"/>
    </cacheField>
    <cacheField name="Column1305" numFmtId="0">
      <sharedItems containsNonDate="0" containsString="0" containsBlank="1"/>
    </cacheField>
    <cacheField name="Column1306" numFmtId="0">
      <sharedItems containsNonDate="0" containsString="0" containsBlank="1"/>
    </cacheField>
    <cacheField name="Column1307" numFmtId="0">
      <sharedItems containsNonDate="0" containsString="0" containsBlank="1"/>
    </cacheField>
    <cacheField name="Column1308" numFmtId="0">
      <sharedItems containsNonDate="0" containsString="0" containsBlank="1"/>
    </cacheField>
    <cacheField name="Column1309" numFmtId="0">
      <sharedItems containsNonDate="0" containsString="0" containsBlank="1"/>
    </cacheField>
    <cacheField name="Column1310" numFmtId="0">
      <sharedItems containsNonDate="0" containsString="0" containsBlank="1"/>
    </cacheField>
    <cacheField name="Column1311" numFmtId="0">
      <sharedItems containsNonDate="0" containsString="0" containsBlank="1"/>
    </cacheField>
    <cacheField name="Column1312" numFmtId="0">
      <sharedItems containsNonDate="0" containsString="0" containsBlank="1"/>
    </cacheField>
    <cacheField name="Column1313" numFmtId="0">
      <sharedItems containsNonDate="0" containsString="0" containsBlank="1"/>
    </cacheField>
    <cacheField name="Column1314" numFmtId="0">
      <sharedItems containsNonDate="0" containsString="0" containsBlank="1"/>
    </cacheField>
    <cacheField name="Column1315" numFmtId="0">
      <sharedItems containsNonDate="0" containsString="0" containsBlank="1"/>
    </cacheField>
    <cacheField name="Column1316" numFmtId="0">
      <sharedItems containsNonDate="0" containsString="0" containsBlank="1"/>
    </cacheField>
    <cacheField name="Column1317" numFmtId="0">
      <sharedItems containsNonDate="0" containsString="0" containsBlank="1"/>
    </cacheField>
    <cacheField name="Column1318" numFmtId="0">
      <sharedItems containsNonDate="0" containsString="0" containsBlank="1"/>
    </cacheField>
    <cacheField name="Column1319" numFmtId="0">
      <sharedItems containsNonDate="0" containsString="0" containsBlank="1"/>
    </cacheField>
    <cacheField name="Column1320" numFmtId="0">
      <sharedItems containsNonDate="0" containsString="0" containsBlank="1"/>
    </cacheField>
    <cacheField name="Column1321" numFmtId="0">
      <sharedItems containsNonDate="0" containsString="0" containsBlank="1"/>
    </cacheField>
    <cacheField name="Column1322" numFmtId="0">
      <sharedItems containsNonDate="0" containsString="0" containsBlank="1"/>
    </cacheField>
    <cacheField name="Column1323" numFmtId="0">
      <sharedItems containsNonDate="0" containsString="0" containsBlank="1"/>
    </cacheField>
    <cacheField name="Column1324" numFmtId="0">
      <sharedItems containsNonDate="0" containsString="0" containsBlank="1"/>
    </cacheField>
    <cacheField name="Column1325" numFmtId="0">
      <sharedItems containsNonDate="0" containsString="0" containsBlank="1"/>
    </cacheField>
    <cacheField name="Column1326" numFmtId="0">
      <sharedItems containsNonDate="0" containsString="0" containsBlank="1"/>
    </cacheField>
    <cacheField name="Column1327" numFmtId="0">
      <sharedItems containsNonDate="0" containsString="0" containsBlank="1"/>
    </cacheField>
    <cacheField name="Column1328" numFmtId="0">
      <sharedItems containsNonDate="0" containsString="0" containsBlank="1"/>
    </cacheField>
    <cacheField name="Column1329" numFmtId="0">
      <sharedItems containsNonDate="0" containsString="0" containsBlank="1"/>
    </cacheField>
    <cacheField name="Column1330" numFmtId="0">
      <sharedItems containsNonDate="0" containsString="0" containsBlank="1"/>
    </cacheField>
    <cacheField name="Column1331" numFmtId="0">
      <sharedItems containsNonDate="0" containsString="0" containsBlank="1"/>
    </cacheField>
    <cacheField name="Column1332" numFmtId="0">
      <sharedItems containsNonDate="0" containsString="0" containsBlank="1"/>
    </cacheField>
    <cacheField name="Column1333" numFmtId="0">
      <sharedItems containsNonDate="0" containsString="0" containsBlank="1"/>
    </cacheField>
    <cacheField name="Column1334" numFmtId="0">
      <sharedItems containsNonDate="0" containsString="0" containsBlank="1"/>
    </cacheField>
    <cacheField name="Column1335" numFmtId="0">
      <sharedItems containsNonDate="0" containsString="0" containsBlank="1"/>
    </cacheField>
    <cacheField name="Column1336" numFmtId="0">
      <sharedItems containsNonDate="0" containsString="0" containsBlank="1"/>
    </cacheField>
    <cacheField name="Column1337" numFmtId="0">
      <sharedItems containsNonDate="0" containsString="0" containsBlank="1"/>
    </cacheField>
    <cacheField name="Column1338" numFmtId="0">
      <sharedItems containsNonDate="0" containsString="0" containsBlank="1"/>
    </cacheField>
    <cacheField name="Column1339" numFmtId="0">
      <sharedItems containsNonDate="0" containsString="0" containsBlank="1"/>
    </cacheField>
    <cacheField name="Column1340" numFmtId="0">
      <sharedItems containsNonDate="0" containsString="0" containsBlank="1"/>
    </cacheField>
    <cacheField name="Column1341" numFmtId="0">
      <sharedItems containsNonDate="0" containsString="0" containsBlank="1"/>
    </cacheField>
    <cacheField name="Column1342" numFmtId="0">
      <sharedItems containsNonDate="0" containsString="0" containsBlank="1"/>
    </cacheField>
    <cacheField name="Column1343" numFmtId="0">
      <sharedItems containsNonDate="0" containsString="0" containsBlank="1"/>
    </cacheField>
    <cacheField name="Column1344" numFmtId="0">
      <sharedItems containsNonDate="0" containsString="0" containsBlank="1"/>
    </cacheField>
    <cacheField name="Column1345" numFmtId="0">
      <sharedItems containsNonDate="0" containsString="0" containsBlank="1"/>
    </cacheField>
    <cacheField name="Column1346" numFmtId="0">
      <sharedItems containsNonDate="0" containsString="0" containsBlank="1"/>
    </cacheField>
    <cacheField name="Column1347" numFmtId="0">
      <sharedItems containsNonDate="0" containsString="0" containsBlank="1"/>
    </cacheField>
    <cacheField name="Column1348" numFmtId="0">
      <sharedItems containsNonDate="0" containsString="0" containsBlank="1"/>
    </cacheField>
    <cacheField name="Column1349" numFmtId="0">
      <sharedItems containsNonDate="0" containsString="0" containsBlank="1"/>
    </cacheField>
    <cacheField name="Column1350" numFmtId="0">
      <sharedItems containsNonDate="0" containsString="0" containsBlank="1"/>
    </cacheField>
    <cacheField name="Column1351" numFmtId="0">
      <sharedItems containsNonDate="0" containsString="0" containsBlank="1"/>
    </cacheField>
    <cacheField name="Column1352" numFmtId="0">
      <sharedItems containsNonDate="0" containsString="0" containsBlank="1"/>
    </cacheField>
    <cacheField name="Column1353" numFmtId="0">
      <sharedItems containsNonDate="0" containsString="0" containsBlank="1"/>
    </cacheField>
    <cacheField name="Column1354" numFmtId="0">
      <sharedItems containsNonDate="0" containsString="0" containsBlank="1"/>
    </cacheField>
    <cacheField name="Column1355" numFmtId="0">
      <sharedItems containsNonDate="0" containsString="0" containsBlank="1"/>
    </cacheField>
    <cacheField name="Column1356" numFmtId="0">
      <sharedItems containsNonDate="0" containsString="0" containsBlank="1"/>
    </cacheField>
    <cacheField name="Column1357" numFmtId="0">
      <sharedItems containsNonDate="0" containsString="0" containsBlank="1"/>
    </cacheField>
    <cacheField name="Column1358" numFmtId="0">
      <sharedItems containsNonDate="0" containsString="0" containsBlank="1"/>
    </cacheField>
    <cacheField name="Column1359" numFmtId="0">
      <sharedItems containsNonDate="0" containsString="0" containsBlank="1"/>
    </cacheField>
    <cacheField name="Column1360" numFmtId="0">
      <sharedItems containsNonDate="0" containsString="0" containsBlank="1"/>
    </cacheField>
    <cacheField name="Column1361" numFmtId="0">
      <sharedItems containsNonDate="0" containsString="0" containsBlank="1"/>
    </cacheField>
    <cacheField name="Column1362" numFmtId="0">
      <sharedItems containsNonDate="0" containsString="0" containsBlank="1"/>
    </cacheField>
    <cacheField name="Column1363" numFmtId="0">
      <sharedItems containsNonDate="0" containsString="0" containsBlank="1"/>
    </cacheField>
    <cacheField name="Column1364" numFmtId="0">
      <sharedItems containsNonDate="0" containsString="0" containsBlank="1"/>
    </cacheField>
    <cacheField name="Column1365" numFmtId="0">
      <sharedItems containsNonDate="0" containsString="0" containsBlank="1"/>
    </cacheField>
    <cacheField name="Column1366" numFmtId="0">
      <sharedItems containsNonDate="0" containsString="0" containsBlank="1"/>
    </cacheField>
    <cacheField name="Column1367" numFmtId="0">
      <sharedItems containsNonDate="0" containsString="0" containsBlank="1"/>
    </cacheField>
    <cacheField name="Column1368" numFmtId="0">
      <sharedItems containsNonDate="0" containsString="0" containsBlank="1"/>
    </cacheField>
    <cacheField name="Column1369" numFmtId="0">
      <sharedItems containsNonDate="0" containsString="0" containsBlank="1"/>
    </cacheField>
    <cacheField name="Column1370" numFmtId="0">
      <sharedItems containsNonDate="0" containsString="0" containsBlank="1"/>
    </cacheField>
    <cacheField name="Column1371" numFmtId="0">
      <sharedItems containsNonDate="0" containsString="0" containsBlank="1"/>
    </cacheField>
    <cacheField name="Column1372" numFmtId="0">
      <sharedItems containsNonDate="0" containsString="0" containsBlank="1"/>
    </cacheField>
    <cacheField name="Column1373" numFmtId="0">
      <sharedItems containsNonDate="0" containsString="0" containsBlank="1"/>
    </cacheField>
    <cacheField name="Column1374" numFmtId="0">
      <sharedItems containsNonDate="0" containsString="0" containsBlank="1"/>
    </cacheField>
    <cacheField name="Column1375" numFmtId="0">
      <sharedItems containsNonDate="0" containsString="0" containsBlank="1"/>
    </cacheField>
    <cacheField name="Column1376" numFmtId="0">
      <sharedItems containsNonDate="0" containsString="0" containsBlank="1"/>
    </cacheField>
    <cacheField name="Column1377" numFmtId="0">
      <sharedItems containsNonDate="0" containsString="0" containsBlank="1"/>
    </cacheField>
    <cacheField name="Column1378" numFmtId="0">
      <sharedItems containsNonDate="0" containsString="0" containsBlank="1"/>
    </cacheField>
    <cacheField name="Column1379" numFmtId="0">
      <sharedItems containsNonDate="0" containsString="0" containsBlank="1"/>
    </cacheField>
    <cacheField name="Column1380" numFmtId="0">
      <sharedItems containsNonDate="0" containsString="0" containsBlank="1"/>
    </cacheField>
    <cacheField name="Column1381" numFmtId="0">
      <sharedItems containsNonDate="0" containsString="0" containsBlank="1"/>
    </cacheField>
    <cacheField name="Column1382" numFmtId="0">
      <sharedItems containsNonDate="0" containsString="0" containsBlank="1"/>
    </cacheField>
    <cacheField name="Column1383" numFmtId="0">
      <sharedItems containsNonDate="0" containsString="0" containsBlank="1"/>
    </cacheField>
    <cacheField name="Column1384" numFmtId="0">
      <sharedItems containsNonDate="0" containsString="0" containsBlank="1"/>
    </cacheField>
    <cacheField name="Column1385" numFmtId="0">
      <sharedItems containsNonDate="0" containsString="0" containsBlank="1"/>
    </cacheField>
    <cacheField name="Column1386" numFmtId="0">
      <sharedItems containsNonDate="0" containsString="0" containsBlank="1"/>
    </cacheField>
    <cacheField name="Column1387" numFmtId="0">
      <sharedItems containsNonDate="0" containsString="0" containsBlank="1"/>
    </cacheField>
    <cacheField name="Column1388" numFmtId="0">
      <sharedItems containsNonDate="0" containsString="0" containsBlank="1"/>
    </cacheField>
    <cacheField name="Column1389" numFmtId="0">
      <sharedItems containsNonDate="0" containsString="0" containsBlank="1"/>
    </cacheField>
    <cacheField name="Column1390" numFmtId="0">
      <sharedItems containsNonDate="0" containsString="0" containsBlank="1"/>
    </cacheField>
    <cacheField name="Column1391" numFmtId="0">
      <sharedItems containsNonDate="0" containsString="0" containsBlank="1"/>
    </cacheField>
    <cacheField name="Column1392" numFmtId="0">
      <sharedItems containsNonDate="0" containsString="0" containsBlank="1"/>
    </cacheField>
    <cacheField name="Column1393" numFmtId="0">
      <sharedItems containsNonDate="0" containsString="0" containsBlank="1"/>
    </cacheField>
    <cacheField name="Column1394" numFmtId="0">
      <sharedItems containsNonDate="0" containsString="0" containsBlank="1"/>
    </cacheField>
    <cacheField name="Column1395" numFmtId="0">
      <sharedItems containsNonDate="0" containsString="0" containsBlank="1"/>
    </cacheField>
    <cacheField name="Column1396" numFmtId="0">
      <sharedItems containsNonDate="0" containsString="0" containsBlank="1"/>
    </cacheField>
    <cacheField name="Column1397" numFmtId="0">
      <sharedItems containsNonDate="0" containsString="0" containsBlank="1"/>
    </cacheField>
    <cacheField name="Column1398" numFmtId="0">
      <sharedItems containsNonDate="0" containsString="0" containsBlank="1"/>
    </cacheField>
    <cacheField name="Column1399" numFmtId="0">
      <sharedItems containsNonDate="0" containsString="0" containsBlank="1"/>
    </cacheField>
    <cacheField name="Column1400" numFmtId="0">
      <sharedItems containsNonDate="0" containsString="0" containsBlank="1"/>
    </cacheField>
    <cacheField name="Column1401" numFmtId="0">
      <sharedItems containsNonDate="0" containsString="0" containsBlank="1"/>
    </cacheField>
    <cacheField name="Column1402" numFmtId="0">
      <sharedItems containsNonDate="0" containsString="0" containsBlank="1"/>
    </cacheField>
    <cacheField name="Column1403" numFmtId="0">
      <sharedItems containsNonDate="0" containsString="0" containsBlank="1"/>
    </cacheField>
    <cacheField name="Column1404" numFmtId="0">
      <sharedItems containsNonDate="0" containsString="0" containsBlank="1"/>
    </cacheField>
    <cacheField name="Column1405" numFmtId="0">
      <sharedItems containsNonDate="0" containsString="0" containsBlank="1"/>
    </cacheField>
    <cacheField name="Column1406" numFmtId="0">
      <sharedItems containsNonDate="0" containsString="0" containsBlank="1"/>
    </cacheField>
    <cacheField name="Column1407" numFmtId="0">
      <sharedItems containsNonDate="0" containsString="0" containsBlank="1"/>
    </cacheField>
    <cacheField name="Column1408" numFmtId="0">
      <sharedItems containsNonDate="0" containsString="0" containsBlank="1"/>
    </cacheField>
    <cacheField name="Column1409" numFmtId="0">
      <sharedItems containsNonDate="0" containsString="0" containsBlank="1"/>
    </cacheField>
    <cacheField name="Column1410" numFmtId="0">
      <sharedItems containsNonDate="0" containsString="0" containsBlank="1"/>
    </cacheField>
    <cacheField name="Column1411" numFmtId="0">
      <sharedItems containsNonDate="0" containsString="0" containsBlank="1"/>
    </cacheField>
    <cacheField name="Column1412" numFmtId="0">
      <sharedItems containsNonDate="0" containsString="0" containsBlank="1"/>
    </cacheField>
    <cacheField name="Column1413" numFmtId="0">
      <sharedItems containsNonDate="0" containsString="0" containsBlank="1"/>
    </cacheField>
    <cacheField name="Column1414" numFmtId="0">
      <sharedItems containsNonDate="0" containsString="0" containsBlank="1"/>
    </cacheField>
    <cacheField name="Column1415" numFmtId="0">
      <sharedItems containsNonDate="0" containsString="0" containsBlank="1"/>
    </cacheField>
    <cacheField name="Column1416" numFmtId="0">
      <sharedItems containsNonDate="0" containsString="0" containsBlank="1"/>
    </cacheField>
    <cacheField name="Column1417" numFmtId="0">
      <sharedItems containsNonDate="0" containsString="0" containsBlank="1"/>
    </cacheField>
    <cacheField name="Column1418" numFmtId="0">
      <sharedItems containsNonDate="0" containsString="0" containsBlank="1"/>
    </cacheField>
    <cacheField name="Column1419" numFmtId="0">
      <sharedItems containsNonDate="0" containsString="0" containsBlank="1"/>
    </cacheField>
    <cacheField name="Column1420" numFmtId="0">
      <sharedItems containsNonDate="0" containsString="0" containsBlank="1"/>
    </cacheField>
    <cacheField name="Column1421" numFmtId="0">
      <sharedItems containsNonDate="0" containsString="0" containsBlank="1"/>
    </cacheField>
    <cacheField name="Column1422" numFmtId="0">
      <sharedItems containsNonDate="0" containsString="0" containsBlank="1"/>
    </cacheField>
    <cacheField name="Column1423" numFmtId="0">
      <sharedItems containsNonDate="0" containsString="0" containsBlank="1"/>
    </cacheField>
    <cacheField name="Column1424" numFmtId="0">
      <sharedItems containsNonDate="0" containsString="0" containsBlank="1"/>
    </cacheField>
    <cacheField name="Column1425" numFmtId="0">
      <sharedItems containsNonDate="0" containsString="0" containsBlank="1"/>
    </cacheField>
    <cacheField name="Column1426" numFmtId="0">
      <sharedItems containsNonDate="0" containsString="0" containsBlank="1"/>
    </cacheField>
    <cacheField name="Column1427" numFmtId="0">
      <sharedItems containsNonDate="0" containsString="0" containsBlank="1"/>
    </cacheField>
    <cacheField name="Column1428" numFmtId="0">
      <sharedItems containsNonDate="0" containsString="0" containsBlank="1"/>
    </cacheField>
    <cacheField name="Column1429" numFmtId="0">
      <sharedItems containsNonDate="0" containsString="0" containsBlank="1"/>
    </cacheField>
    <cacheField name="Column1430" numFmtId="0">
      <sharedItems containsNonDate="0" containsString="0" containsBlank="1"/>
    </cacheField>
    <cacheField name="Column1431" numFmtId="0">
      <sharedItems containsNonDate="0" containsString="0" containsBlank="1"/>
    </cacheField>
    <cacheField name="Column1432" numFmtId="0">
      <sharedItems containsNonDate="0" containsString="0" containsBlank="1"/>
    </cacheField>
    <cacheField name="Column1433" numFmtId="0">
      <sharedItems containsNonDate="0" containsString="0" containsBlank="1"/>
    </cacheField>
    <cacheField name="Column1434" numFmtId="0">
      <sharedItems containsNonDate="0" containsString="0" containsBlank="1"/>
    </cacheField>
    <cacheField name="Column1435" numFmtId="0">
      <sharedItems containsNonDate="0" containsString="0" containsBlank="1"/>
    </cacheField>
    <cacheField name="Column1436" numFmtId="0">
      <sharedItems containsNonDate="0" containsString="0" containsBlank="1"/>
    </cacheField>
    <cacheField name="Column1437" numFmtId="0">
      <sharedItems containsNonDate="0" containsString="0" containsBlank="1"/>
    </cacheField>
    <cacheField name="Column1438" numFmtId="0">
      <sharedItems containsNonDate="0" containsString="0" containsBlank="1"/>
    </cacheField>
    <cacheField name="Column1439" numFmtId="0">
      <sharedItems containsNonDate="0" containsString="0" containsBlank="1"/>
    </cacheField>
    <cacheField name="Column1440" numFmtId="0">
      <sharedItems containsNonDate="0" containsString="0" containsBlank="1"/>
    </cacheField>
    <cacheField name="Column1441" numFmtId="0">
      <sharedItems containsNonDate="0" containsString="0" containsBlank="1"/>
    </cacheField>
    <cacheField name="Column1442" numFmtId="0">
      <sharedItems containsNonDate="0" containsString="0" containsBlank="1"/>
    </cacheField>
    <cacheField name="Column1443" numFmtId="0">
      <sharedItems containsNonDate="0" containsString="0" containsBlank="1"/>
    </cacheField>
    <cacheField name="Column1444" numFmtId="0">
      <sharedItems containsNonDate="0" containsString="0" containsBlank="1"/>
    </cacheField>
    <cacheField name="Column1445" numFmtId="0">
      <sharedItems containsNonDate="0" containsString="0" containsBlank="1"/>
    </cacheField>
    <cacheField name="Column1446" numFmtId="0">
      <sharedItems containsNonDate="0" containsString="0" containsBlank="1"/>
    </cacheField>
    <cacheField name="Column1447" numFmtId="0">
      <sharedItems containsNonDate="0" containsString="0" containsBlank="1"/>
    </cacheField>
    <cacheField name="Column1448" numFmtId="0">
      <sharedItems containsNonDate="0" containsString="0" containsBlank="1"/>
    </cacheField>
    <cacheField name="Column1449" numFmtId="0">
      <sharedItems containsNonDate="0" containsString="0" containsBlank="1"/>
    </cacheField>
    <cacheField name="Column1450" numFmtId="0">
      <sharedItems containsNonDate="0" containsString="0" containsBlank="1"/>
    </cacheField>
    <cacheField name="Column1451" numFmtId="0">
      <sharedItems containsNonDate="0" containsString="0" containsBlank="1"/>
    </cacheField>
    <cacheField name="Column1452" numFmtId="0">
      <sharedItems containsNonDate="0" containsString="0" containsBlank="1"/>
    </cacheField>
    <cacheField name="Column1453" numFmtId="0">
      <sharedItems containsNonDate="0" containsString="0" containsBlank="1"/>
    </cacheField>
    <cacheField name="Column1454" numFmtId="0">
      <sharedItems containsNonDate="0" containsString="0" containsBlank="1"/>
    </cacheField>
    <cacheField name="Column1455" numFmtId="0">
      <sharedItems containsNonDate="0" containsString="0" containsBlank="1"/>
    </cacheField>
    <cacheField name="Column1456" numFmtId="0">
      <sharedItems containsNonDate="0" containsString="0" containsBlank="1"/>
    </cacheField>
    <cacheField name="Column1457" numFmtId="0">
      <sharedItems containsNonDate="0" containsString="0" containsBlank="1"/>
    </cacheField>
    <cacheField name="Column1458" numFmtId="0">
      <sharedItems containsNonDate="0" containsString="0" containsBlank="1"/>
    </cacheField>
    <cacheField name="Column1459" numFmtId="0">
      <sharedItems containsNonDate="0" containsString="0" containsBlank="1"/>
    </cacheField>
    <cacheField name="Column1460" numFmtId="0">
      <sharedItems containsNonDate="0" containsString="0" containsBlank="1"/>
    </cacheField>
    <cacheField name="Column1461" numFmtId="0">
      <sharedItems containsNonDate="0" containsString="0" containsBlank="1"/>
    </cacheField>
    <cacheField name="Column1462" numFmtId="0">
      <sharedItems containsNonDate="0" containsString="0" containsBlank="1"/>
    </cacheField>
    <cacheField name="Column1463" numFmtId="0">
      <sharedItems containsNonDate="0" containsString="0" containsBlank="1"/>
    </cacheField>
    <cacheField name="Column1464" numFmtId="0">
      <sharedItems containsNonDate="0" containsString="0" containsBlank="1"/>
    </cacheField>
    <cacheField name="Column1465" numFmtId="0">
      <sharedItems containsNonDate="0" containsString="0" containsBlank="1"/>
    </cacheField>
    <cacheField name="Column1466" numFmtId="0">
      <sharedItems containsNonDate="0" containsString="0" containsBlank="1"/>
    </cacheField>
    <cacheField name="Column1467" numFmtId="0">
      <sharedItems containsNonDate="0" containsString="0" containsBlank="1"/>
    </cacheField>
    <cacheField name="Column1468" numFmtId="0">
      <sharedItems containsNonDate="0" containsString="0" containsBlank="1"/>
    </cacheField>
    <cacheField name="Column1469" numFmtId="0">
      <sharedItems containsNonDate="0" containsString="0" containsBlank="1"/>
    </cacheField>
    <cacheField name="Column1470" numFmtId="0">
      <sharedItems containsNonDate="0" containsString="0" containsBlank="1"/>
    </cacheField>
    <cacheField name="Column1471" numFmtId="0">
      <sharedItems containsNonDate="0" containsString="0" containsBlank="1"/>
    </cacheField>
    <cacheField name="Column1472" numFmtId="0">
      <sharedItems containsNonDate="0" containsString="0" containsBlank="1"/>
    </cacheField>
    <cacheField name="Column1473" numFmtId="0">
      <sharedItems containsNonDate="0" containsString="0" containsBlank="1"/>
    </cacheField>
    <cacheField name="Column1474" numFmtId="0">
      <sharedItems containsNonDate="0" containsString="0" containsBlank="1"/>
    </cacheField>
    <cacheField name="Column1475" numFmtId="0">
      <sharedItems containsNonDate="0" containsString="0" containsBlank="1"/>
    </cacheField>
    <cacheField name="Column1476" numFmtId="0">
      <sharedItems containsNonDate="0" containsString="0" containsBlank="1"/>
    </cacheField>
    <cacheField name="Column1477" numFmtId="0">
      <sharedItems containsNonDate="0" containsString="0" containsBlank="1"/>
    </cacheField>
    <cacheField name="Column1478" numFmtId="0">
      <sharedItems containsNonDate="0" containsString="0" containsBlank="1"/>
    </cacheField>
    <cacheField name="Column1479" numFmtId="0">
      <sharedItems containsNonDate="0" containsString="0" containsBlank="1"/>
    </cacheField>
    <cacheField name="Column1480" numFmtId="0">
      <sharedItems containsNonDate="0" containsString="0" containsBlank="1"/>
    </cacheField>
    <cacheField name="Column1481" numFmtId="0">
      <sharedItems containsNonDate="0" containsString="0" containsBlank="1"/>
    </cacheField>
    <cacheField name="Column1482" numFmtId="0">
      <sharedItems containsNonDate="0" containsString="0" containsBlank="1"/>
    </cacheField>
    <cacheField name="Column1483" numFmtId="0">
      <sharedItems containsNonDate="0" containsString="0" containsBlank="1"/>
    </cacheField>
    <cacheField name="Column1484" numFmtId="0">
      <sharedItems containsNonDate="0" containsString="0" containsBlank="1"/>
    </cacheField>
    <cacheField name="Column1485" numFmtId="0">
      <sharedItems containsNonDate="0" containsString="0" containsBlank="1"/>
    </cacheField>
    <cacheField name="Column1486" numFmtId="0">
      <sharedItems containsNonDate="0" containsString="0" containsBlank="1"/>
    </cacheField>
    <cacheField name="Column1487" numFmtId="0">
      <sharedItems containsNonDate="0" containsString="0" containsBlank="1"/>
    </cacheField>
    <cacheField name="Column1488" numFmtId="0">
      <sharedItems containsNonDate="0" containsString="0" containsBlank="1"/>
    </cacheField>
    <cacheField name="Column1489" numFmtId="0">
      <sharedItems containsNonDate="0" containsString="0" containsBlank="1"/>
    </cacheField>
    <cacheField name="Column1490" numFmtId="0">
      <sharedItems containsNonDate="0" containsString="0" containsBlank="1"/>
    </cacheField>
    <cacheField name="Column1491" numFmtId="0">
      <sharedItems containsNonDate="0" containsString="0" containsBlank="1"/>
    </cacheField>
    <cacheField name="Column1492" numFmtId="0">
      <sharedItems containsNonDate="0" containsString="0" containsBlank="1"/>
    </cacheField>
    <cacheField name="Column1493" numFmtId="0">
      <sharedItems containsNonDate="0" containsString="0" containsBlank="1"/>
    </cacheField>
    <cacheField name="Column1494" numFmtId="0">
      <sharedItems containsNonDate="0" containsString="0" containsBlank="1"/>
    </cacheField>
    <cacheField name="Column1495" numFmtId="0">
      <sharedItems containsNonDate="0" containsString="0" containsBlank="1"/>
    </cacheField>
    <cacheField name="Column1496" numFmtId="0">
      <sharedItems containsNonDate="0" containsString="0" containsBlank="1"/>
    </cacheField>
    <cacheField name="Column1497" numFmtId="0">
      <sharedItems containsNonDate="0" containsString="0" containsBlank="1"/>
    </cacheField>
    <cacheField name="Column1498" numFmtId="0">
      <sharedItems containsNonDate="0" containsString="0" containsBlank="1"/>
    </cacheField>
    <cacheField name="Column1499" numFmtId="0">
      <sharedItems containsNonDate="0" containsString="0" containsBlank="1"/>
    </cacheField>
    <cacheField name="Column1500" numFmtId="0">
      <sharedItems containsNonDate="0" containsString="0" containsBlank="1"/>
    </cacheField>
    <cacheField name="Column1501" numFmtId="0">
      <sharedItems containsNonDate="0" containsString="0" containsBlank="1"/>
    </cacheField>
    <cacheField name="Column1502" numFmtId="0">
      <sharedItems containsNonDate="0" containsString="0" containsBlank="1"/>
    </cacheField>
    <cacheField name="Column1503" numFmtId="0">
      <sharedItems containsNonDate="0" containsString="0" containsBlank="1"/>
    </cacheField>
    <cacheField name="Column1504" numFmtId="0">
      <sharedItems containsNonDate="0" containsString="0" containsBlank="1"/>
    </cacheField>
    <cacheField name="Column1505" numFmtId="0">
      <sharedItems containsNonDate="0" containsString="0" containsBlank="1"/>
    </cacheField>
    <cacheField name="Column1506" numFmtId="0">
      <sharedItems containsNonDate="0" containsString="0" containsBlank="1"/>
    </cacheField>
    <cacheField name="Column1507" numFmtId="0">
      <sharedItems containsNonDate="0" containsString="0" containsBlank="1"/>
    </cacheField>
    <cacheField name="Column1508" numFmtId="0">
      <sharedItems containsNonDate="0" containsString="0" containsBlank="1"/>
    </cacheField>
    <cacheField name="Column1509" numFmtId="0">
      <sharedItems containsNonDate="0" containsString="0" containsBlank="1"/>
    </cacheField>
    <cacheField name="Column1510" numFmtId="0">
      <sharedItems containsNonDate="0" containsString="0" containsBlank="1"/>
    </cacheField>
    <cacheField name="Column1511" numFmtId="0">
      <sharedItems containsNonDate="0" containsString="0" containsBlank="1"/>
    </cacheField>
    <cacheField name="Column1512" numFmtId="0">
      <sharedItems containsNonDate="0" containsString="0" containsBlank="1"/>
    </cacheField>
    <cacheField name="Column1513" numFmtId="0">
      <sharedItems containsNonDate="0" containsString="0" containsBlank="1"/>
    </cacheField>
    <cacheField name="Column1514" numFmtId="0">
      <sharedItems containsNonDate="0" containsString="0" containsBlank="1"/>
    </cacheField>
    <cacheField name="Column1515" numFmtId="0">
      <sharedItems containsNonDate="0" containsString="0" containsBlank="1"/>
    </cacheField>
    <cacheField name="Column1516" numFmtId="0">
      <sharedItems containsNonDate="0" containsString="0" containsBlank="1"/>
    </cacheField>
    <cacheField name="Column1517" numFmtId="0">
      <sharedItems containsNonDate="0" containsString="0" containsBlank="1"/>
    </cacheField>
    <cacheField name="Column1518" numFmtId="0">
      <sharedItems containsNonDate="0" containsString="0" containsBlank="1"/>
    </cacheField>
    <cacheField name="Column1519" numFmtId="0">
      <sharedItems containsNonDate="0" containsString="0" containsBlank="1"/>
    </cacheField>
    <cacheField name="Column1520" numFmtId="0">
      <sharedItems containsNonDate="0" containsString="0" containsBlank="1"/>
    </cacheField>
    <cacheField name="Column1521" numFmtId="0">
      <sharedItems containsNonDate="0" containsString="0" containsBlank="1"/>
    </cacheField>
    <cacheField name="Column1522" numFmtId="0">
      <sharedItems containsNonDate="0" containsString="0" containsBlank="1"/>
    </cacheField>
    <cacheField name="Column1523" numFmtId="0">
      <sharedItems containsNonDate="0" containsString="0" containsBlank="1"/>
    </cacheField>
    <cacheField name="Column1524" numFmtId="0">
      <sharedItems containsNonDate="0" containsString="0" containsBlank="1"/>
    </cacheField>
    <cacheField name="Column1525" numFmtId="0">
      <sharedItems containsNonDate="0" containsString="0" containsBlank="1"/>
    </cacheField>
    <cacheField name="Column1526" numFmtId="0">
      <sharedItems containsNonDate="0" containsString="0" containsBlank="1"/>
    </cacheField>
    <cacheField name="Column1527" numFmtId="0">
      <sharedItems containsNonDate="0" containsString="0" containsBlank="1"/>
    </cacheField>
    <cacheField name="Column1528" numFmtId="0">
      <sharedItems containsNonDate="0" containsString="0" containsBlank="1"/>
    </cacheField>
    <cacheField name="Column1529" numFmtId="0">
      <sharedItems containsNonDate="0" containsString="0" containsBlank="1"/>
    </cacheField>
    <cacheField name="Column1530" numFmtId="0">
      <sharedItems containsNonDate="0" containsString="0" containsBlank="1"/>
    </cacheField>
    <cacheField name="Column1531" numFmtId="0">
      <sharedItems containsNonDate="0" containsString="0" containsBlank="1"/>
    </cacheField>
    <cacheField name="Column1532" numFmtId="0">
      <sharedItems containsNonDate="0" containsString="0" containsBlank="1"/>
    </cacheField>
    <cacheField name="Column1533" numFmtId="0">
      <sharedItems containsNonDate="0" containsString="0" containsBlank="1"/>
    </cacheField>
    <cacheField name="Column1534" numFmtId="0">
      <sharedItems containsNonDate="0" containsString="0" containsBlank="1"/>
    </cacheField>
    <cacheField name="Column1535" numFmtId="0">
      <sharedItems containsNonDate="0" containsString="0" containsBlank="1"/>
    </cacheField>
    <cacheField name="Column1536" numFmtId="0">
      <sharedItems containsNonDate="0" containsString="0" containsBlank="1"/>
    </cacheField>
    <cacheField name="Column1537" numFmtId="0">
      <sharedItems containsNonDate="0" containsString="0" containsBlank="1"/>
    </cacheField>
    <cacheField name="Column1538" numFmtId="0">
      <sharedItems containsNonDate="0" containsString="0" containsBlank="1"/>
    </cacheField>
    <cacheField name="Column1539" numFmtId="0">
      <sharedItems containsNonDate="0" containsString="0" containsBlank="1"/>
    </cacheField>
    <cacheField name="Column1540" numFmtId="0">
      <sharedItems containsNonDate="0" containsString="0" containsBlank="1"/>
    </cacheField>
    <cacheField name="Column1541" numFmtId="0">
      <sharedItems containsNonDate="0" containsString="0" containsBlank="1"/>
    </cacheField>
    <cacheField name="Column1542" numFmtId="0">
      <sharedItems containsNonDate="0" containsString="0" containsBlank="1"/>
    </cacheField>
    <cacheField name="Column1543" numFmtId="0">
      <sharedItems containsNonDate="0" containsString="0" containsBlank="1"/>
    </cacheField>
    <cacheField name="Column1544" numFmtId="0">
      <sharedItems containsNonDate="0" containsString="0" containsBlank="1"/>
    </cacheField>
    <cacheField name="Column1545" numFmtId="0">
      <sharedItems containsNonDate="0" containsString="0" containsBlank="1"/>
    </cacheField>
    <cacheField name="Column1546" numFmtId="0">
      <sharedItems containsNonDate="0" containsString="0" containsBlank="1"/>
    </cacheField>
    <cacheField name="Column1547" numFmtId="0">
      <sharedItems containsNonDate="0" containsString="0" containsBlank="1"/>
    </cacheField>
    <cacheField name="Column1548" numFmtId="0">
      <sharedItems containsNonDate="0" containsString="0" containsBlank="1"/>
    </cacheField>
    <cacheField name="Column1549" numFmtId="0">
      <sharedItems containsNonDate="0" containsString="0" containsBlank="1"/>
    </cacheField>
    <cacheField name="Column1550" numFmtId="0">
      <sharedItems containsNonDate="0" containsString="0" containsBlank="1"/>
    </cacheField>
    <cacheField name="Column1551" numFmtId="0">
      <sharedItems containsNonDate="0" containsString="0" containsBlank="1"/>
    </cacheField>
    <cacheField name="Column1552" numFmtId="0">
      <sharedItems containsNonDate="0" containsString="0" containsBlank="1"/>
    </cacheField>
    <cacheField name="Column1553" numFmtId="0">
      <sharedItems containsNonDate="0" containsString="0" containsBlank="1"/>
    </cacheField>
    <cacheField name="Column1554" numFmtId="0">
      <sharedItems containsNonDate="0" containsString="0" containsBlank="1"/>
    </cacheField>
    <cacheField name="Column1555" numFmtId="0">
      <sharedItems containsNonDate="0" containsString="0" containsBlank="1"/>
    </cacheField>
    <cacheField name="Column1556" numFmtId="0">
      <sharedItems containsNonDate="0" containsString="0" containsBlank="1"/>
    </cacheField>
    <cacheField name="Column1557" numFmtId="0">
      <sharedItems containsNonDate="0" containsString="0" containsBlank="1"/>
    </cacheField>
    <cacheField name="Column1558" numFmtId="0">
      <sharedItems containsNonDate="0" containsString="0" containsBlank="1"/>
    </cacheField>
    <cacheField name="Column1559" numFmtId="0">
      <sharedItems containsNonDate="0" containsString="0" containsBlank="1"/>
    </cacheField>
    <cacheField name="Column1560" numFmtId="0">
      <sharedItems containsNonDate="0" containsString="0" containsBlank="1"/>
    </cacheField>
    <cacheField name="Column1561" numFmtId="0">
      <sharedItems containsNonDate="0" containsString="0" containsBlank="1"/>
    </cacheField>
    <cacheField name="Column1562" numFmtId="0">
      <sharedItems containsNonDate="0" containsString="0" containsBlank="1"/>
    </cacheField>
    <cacheField name="Column1563" numFmtId="0">
      <sharedItems containsNonDate="0" containsString="0" containsBlank="1"/>
    </cacheField>
    <cacheField name="Column1564" numFmtId="0">
      <sharedItems containsNonDate="0" containsString="0" containsBlank="1"/>
    </cacheField>
    <cacheField name="Column1565" numFmtId="0">
      <sharedItems containsNonDate="0" containsString="0" containsBlank="1"/>
    </cacheField>
    <cacheField name="Column1566" numFmtId="0">
      <sharedItems containsNonDate="0" containsString="0" containsBlank="1"/>
    </cacheField>
    <cacheField name="Column1567" numFmtId="0">
      <sharedItems containsNonDate="0" containsString="0" containsBlank="1"/>
    </cacheField>
    <cacheField name="Column1568" numFmtId="0">
      <sharedItems containsNonDate="0" containsString="0" containsBlank="1"/>
    </cacheField>
    <cacheField name="Column1569" numFmtId="0">
      <sharedItems containsNonDate="0" containsString="0" containsBlank="1"/>
    </cacheField>
    <cacheField name="Column1570" numFmtId="0">
      <sharedItems containsNonDate="0" containsString="0" containsBlank="1"/>
    </cacheField>
    <cacheField name="Column1571" numFmtId="0">
      <sharedItems containsNonDate="0" containsString="0" containsBlank="1"/>
    </cacheField>
    <cacheField name="Column1572" numFmtId="0">
      <sharedItems containsNonDate="0" containsString="0" containsBlank="1"/>
    </cacheField>
    <cacheField name="Column1573" numFmtId="0">
      <sharedItems containsNonDate="0" containsString="0" containsBlank="1"/>
    </cacheField>
    <cacheField name="Column1574" numFmtId="0">
      <sharedItems containsNonDate="0" containsString="0" containsBlank="1"/>
    </cacheField>
    <cacheField name="Column1575" numFmtId="0">
      <sharedItems containsNonDate="0" containsString="0" containsBlank="1"/>
    </cacheField>
    <cacheField name="Column1576" numFmtId="0">
      <sharedItems containsNonDate="0" containsString="0" containsBlank="1"/>
    </cacheField>
    <cacheField name="Column1577" numFmtId="0">
      <sharedItems containsNonDate="0" containsString="0" containsBlank="1"/>
    </cacheField>
    <cacheField name="Column1578" numFmtId="0">
      <sharedItems containsNonDate="0" containsString="0" containsBlank="1"/>
    </cacheField>
    <cacheField name="Column1579" numFmtId="0">
      <sharedItems containsNonDate="0" containsString="0" containsBlank="1"/>
    </cacheField>
    <cacheField name="Column1580" numFmtId="0">
      <sharedItems containsNonDate="0" containsString="0" containsBlank="1"/>
    </cacheField>
    <cacheField name="Column1581" numFmtId="0">
      <sharedItems containsNonDate="0" containsString="0" containsBlank="1"/>
    </cacheField>
    <cacheField name="Column1582" numFmtId="0">
      <sharedItems containsNonDate="0" containsString="0" containsBlank="1"/>
    </cacheField>
    <cacheField name="Column1583" numFmtId="0">
      <sharedItems containsNonDate="0" containsString="0" containsBlank="1"/>
    </cacheField>
    <cacheField name="Column1584" numFmtId="0">
      <sharedItems containsNonDate="0" containsString="0" containsBlank="1"/>
    </cacheField>
    <cacheField name="Column1585" numFmtId="0">
      <sharedItems containsNonDate="0" containsString="0" containsBlank="1"/>
    </cacheField>
    <cacheField name="Column1586" numFmtId="0">
      <sharedItems containsNonDate="0" containsString="0" containsBlank="1"/>
    </cacheField>
    <cacheField name="Column1587" numFmtId="0">
      <sharedItems containsNonDate="0" containsString="0" containsBlank="1"/>
    </cacheField>
    <cacheField name="Column1588" numFmtId="0">
      <sharedItems containsNonDate="0" containsString="0" containsBlank="1"/>
    </cacheField>
    <cacheField name="Column1589" numFmtId="0">
      <sharedItems containsNonDate="0" containsString="0" containsBlank="1"/>
    </cacheField>
    <cacheField name="Column1590" numFmtId="0">
      <sharedItems containsNonDate="0" containsString="0" containsBlank="1"/>
    </cacheField>
    <cacheField name="Column1591" numFmtId="0">
      <sharedItems containsNonDate="0" containsString="0" containsBlank="1"/>
    </cacheField>
    <cacheField name="Column1592" numFmtId="0">
      <sharedItems containsNonDate="0" containsString="0" containsBlank="1"/>
    </cacheField>
    <cacheField name="Column1593" numFmtId="0">
      <sharedItems containsNonDate="0" containsString="0" containsBlank="1"/>
    </cacheField>
    <cacheField name="Column1594" numFmtId="0">
      <sharedItems containsNonDate="0" containsString="0" containsBlank="1"/>
    </cacheField>
    <cacheField name="Column1595" numFmtId="0">
      <sharedItems containsNonDate="0" containsString="0" containsBlank="1"/>
    </cacheField>
    <cacheField name="Column1596" numFmtId="0">
      <sharedItems containsNonDate="0" containsString="0" containsBlank="1"/>
    </cacheField>
    <cacheField name="Column1597" numFmtId="0">
      <sharedItems containsNonDate="0" containsString="0" containsBlank="1"/>
    </cacheField>
    <cacheField name="Column1598" numFmtId="0">
      <sharedItems containsNonDate="0" containsString="0" containsBlank="1"/>
    </cacheField>
    <cacheField name="Column1599" numFmtId="0">
      <sharedItems containsNonDate="0" containsString="0" containsBlank="1"/>
    </cacheField>
    <cacheField name="Column1600" numFmtId="0">
      <sharedItems containsNonDate="0" containsString="0" containsBlank="1"/>
    </cacheField>
    <cacheField name="Column1601" numFmtId="0">
      <sharedItems containsNonDate="0" containsString="0" containsBlank="1"/>
    </cacheField>
    <cacheField name="Column1602" numFmtId="0">
      <sharedItems containsNonDate="0" containsString="0" containsBlank="1"/>
    </cacheField>
    <cacheField name="Column1603" numFmtId="0">
      <sharedItems containsNonDate="0" containsString="0" containsBlank="1"/>
    </cacheField>
    <cacheField name="Column1604" numFmtId="0">
      <sharedItems containsNonDate="0" containsString="0" containsBlank="1"/>
    </cacheField>
    <cacheField name="Column1605" numFmtId="0">
      <sharedItems containsNonDate="0" containsString="0" containsBlank="1"/>
    </cacheField>
    <cacheField name="Column1606" numFmtId="0">
      <sharedItems containsNonDate="0" containsString="0" containsBlank="1"/>
    </cacheField>
    <cacheField name="Column1607" numFmtId="0">
      <sharedItems containsNonDate="0" containsString="0" containsBlank="1"/>
    </cacheField>
    <cacheField name="Column1608" numFmtId="0">
      <sharedItems containsNonDate="0" containsString="0" containsBlank="1"/>
    </cacheField>
    <cacheField name="Column1609" numFmtId="0">
      <sharedItems containsNonDate="0" containsString="0" containsBlank="1"/>
    </cacheField>
    <cacheField name="Column1610" numFmtId="0">
      <sharedItems containsNonDate="0" containsString="0" containsBlank="1"/>
    </cacheField>
    <cacheField name="Column1611" numFmtId="0">
      <sharedItems containsNonDate="0" containsString="0" containsBlank="1"/>
    </cacheField>
    <cacheField name="Column1612" numFmtId="0">
      <sharedItems containsNonDate="0" containsString="0" containsBlank="1"/>
    </cacheField>
    <cacheField name="Column1613" numFmtId="0">
      <sharedItems containsNonDate="0" containsString="0" containsBlank="1"/>
    </cacheField>
    <cacheField name="Column1614" numFmtId="0">
      <sharedItems containsNonDate="0" containsString="0" containsBlank="1"/>
    </cacheField>
    <cacheField name="Column1615" numFmtId="0">
      <sharedItems containsNonDate="0" containsString="0" containsBlank="1"/>
    </cacheField>
    <cacheField name="Column1616" numFmtId="0">
      <sharedItems containsNonDate="0" containsString="0" containsBlank="1"/>
    </cacheField>
    <cacheField name="Column1617" numFmtId="0">
      <sharedItems containsNonDate="0" containsString="0" containsBlank="1"/>
    </cacheField>
    <cacheField name="Column1618" numFmtId="0">
      <sharedItems containsNonDate="0" containsString="0" containsBlank="1"/>
    </cacheField>
    <cacheField name="Column1619" numFmtId="0">
      <sharedItems containsNonDate="0" containsString="0" containsBlank="1"/>
    </cacheField>
    <cacheField name="Column1620" numFmtId="0">
      <sharedItems containsNonDate="0" containsString="0" containsBlank="1"/>
    </cacheField>
    <cacheField name="Column1621" numFmtId="0">
      <sharedItems containsNonDate="0" containsString="0" containsBlank="1"/>
    </cacheField>
    <cacheField name="Column1622" numFmtId="0">
      <sharedItems containsNonDate="0" containsString="0" containsBlank="1"/>
    </cacheField>
    <cacheField name="Column1623" numFmtId="0">
      <sharedItems containsNonDate="0" containsString="0" containsBlank="1"/>
    </cacheField>
    <cacheField name="Column1624" numFmtId="0">
      <sharedItems containsNonDate="0" containsString="0" containsBlank="1"/>
    </cacheField>
    <cacheField name="Column1625" numFmtId="0">
      <sharedItems containsNonDate="0" containsString="0" containsBlank="1"/>
    </cacheField>
    <cacheField name="Column1626" numFmtId="0">
      <sharedItems containsNonDate="0" containsString="0" containsBlank="1"/>
    </cacheField>
    <cacheField name="Column1627" numFmtId="0">
      <sharedItems containsNonDate="0" containsString="0" containsBlank="1"/>
    </cacheField>
    <cacheField name="Column1628" numFmtId="0">
      <sharedItems containsNonDate="0" containsString="0" containsBlank="1"/>
    </cacheField>
    <cacheField name="Column1629" numFmtId="0">
      <sharedItems containsNonDate="0" containsString="0" containsBlank="1"/>
    </cacheField>
    <cacheField name="Column1630" numFmtId="0">
      <sharedItems containsNonDate="0" containsString="0" containsBlank="1"/>
    </cacheField>
    <cacheField name="Column1631" numFmtId="0">
      <sharedItems containsNonDate="0" containsString="0" containsBlank="1"/>
    </cacheField>
    <cacheField name="Column1632" numFmtId="0">
      <sharedItems containsNonDate="0" containsString="0" containsBlank="1"/>
    </cacheField>
    <cacheField name="Column1633" numFmtId="0">
      <sharedItems containsNonDate="0" containsString="0" containsBlank="1"/>
    </cacheField>
    <cacheField name="Column1634" numFmtId="0">
      <sharedItems containsNonDate="0" containsString="0" containsBlank="1"/>
    </cacheField>
    <cacheField name="Column1635" numFmtId="0">
      <sharedItems containsNonDate="0" containsString="0" containsBlank="1"/>
    </cacheField>
    <cacheField name="Column1636" numFmtId="0">
      <sharedItems containsNonDate="0" containsString="0" containsBlank="1"/>
    </cacheField>
    <cacheField name="Column1637" numFmtId="0">
      <sharedItems containsNonDate="0" containsString="0" containsBlank="1"/>
    </cacheField>
    <cacheField name="Column1638" numFmtId="0">
      <sharedItems containsNonDate="0" containsString="0" containsBlank="1"/>
    </cacheField>
    <cacheField name="Column1639" numFmtId="0">
      <sharedItems containsNonDate="0" containsString="0" containsBlank="1"/>
    </cacheField>
    <cacheField name="Column1640" numFmtId="0">
      <sharedItems containsNonDate="0" containsString="0" containsBlank="1"/>
    </cacheField>
    <cacheField name="Column1641" numFmtId="0">
      <sharedItems containsNonDate="0" containsString="0" containsBlank="1"/>
    </cacheField>
    <cacheField name="Column1642" numFmtId="0">
      <sharedItems containsNonDate="0" containsString="0" containsBlank="1"/>
    </cacheField>
    <cacheField name="Column1643" numFmtId="0">
      <sharedItems containsNonDate="0" containsString="0" containsBlank="1"/>
    </cacheField>
    <cacheField name="Column1644" numFmtId="0">
      <sharedItems containsNonDate="0" containsString="0" containsBlank="1"/>
    </cacheField>
    <cacheField name="Column1645" numFmtId="0">
      <sharedItems containsNonDate="0" containsString="0" containsBlank="1"/>
    </cacheField>
    <cacheField name="Column1646" numFmtId="0">
      <sharedItems containsNonDate="0" containsString="0" containsBlank="1"/>
    </cacheField>
    <cacheField name="Column1647" numFmtId="0">
      <sharedItems containsNonDate="0" containsString="0" containsBlank="1"/>
    </cacheField>
    <cacheField name="Column1648" numFmtId="0">
      <sharedItems containsNonDate="0" containsString="0" containsBlank="1"/>
    </cacheField>
    <cacheField name="Column1649" numFmtId="0">
      <sharedItems containsNonDate="0" containsString="0" containsBlank="1"/>
    </cacheField>
    <cacheField name="Column1650" numFmtId="0">
      <sharedItems containsNonDate="0" containsString="0" containsBlank="1"/>
    </cacheField>
    <cacheField name="Column1651" numFmtId="0">
      <sharedItems containsNonDate="0" containsString="0" containsBlank="1"/>
    </cacheField>
    <cacheField name="Column1652" numFmtId="0">
      <sharedItems containsNonDate="0" containsString="0" containsBlank="1"/>
    </cacheField>
    <cacheField name="Column1653" numFmtId="0">
      <sharedItems containsNonDate="0" containsString="0" containsBlank="1"/>
    </cacheField>
    <cacheField name="Column1654" numFmtId="0">
      <sharedItems containsNonDate="0" containsString="0" containsBlank="1"/>
    </cacheField>
    <cacheField name="Column1655" numFmtId="0">
      <sharedItems containsNonDate="0" containsString="0" containsBlank="1"/>
    </cacheField>
    <cacheField name="Column1656" numFmtId="0">
      <sharedItems containsNonDate="0" containsString="0" containsBlank="1"/>
    </cacheField>
    <cacheField name="Column1657" numFmtId="0">
      <sharedItems containsNonDate="0" containsString="0" containsBlank="1"/>
    </cacheField>
    <cacheField name="Column1658" numFmtId="0">
      <sharedItems containsNonDate="0" containsString="0" containsBlank="1"/>
    </cacheField>
    <cacheField name="Column1659" numFmtId="0">
      <sharedItems containsNonDate="0" containsString="0" containsBlank="1"/>
    </cacheField>
    <cacheField name="Column1660" numFmtId="0">
      <sharedItems containsNonDate="0" containsString="0" containsBlank="1"/>
    </cacheField>
    <cacheField name="Column1661" numFmtId="0">
      <sharedItems containsNonDate="0" containsString="0" containsBlank="1"/>
    </cacheField>
    <cacheField name="Column1662" numFmtId="0">
      <sharedItems containsNonDate="0" containsString="0" containsBlank="1"/>
    </cacheField>
    <cacheField name="Column1663" numFmtId="0">
      <sharedItems containsNonDate="0" containsString="0" containsBlank="1"/>
    </cacheField>
    <cacheField name="Column1664" numFmtId="0">
      <sharedItems containsNonDate="0" containsString="0" containsBlank="1"/>
    </cacheField>
    <cacheField name="Column1665" numFmtId="0">
      <sharedItems containsNonDate="0" containsString="0" containsBlank="1"/>
    </cacheField>
    <cacheField name="Column1666" numFmtId="0">
      <sharedItems containsNonDate="0" containsString="0" containsBlank="1"/>
    </cacheField>
    <cacheField name="Column1667" numFmtId="0">
      <sharedItems containsNonDate="0" containsString="0" containsBlank="1"/>
    </cacheField>
    <cacheField name="Column1668" numFmtId="0">
      <sharedItems containsNonDate="0" containsString="0" containsBlank="1"/>
    </cacheField>
    <cacheField name="Column1669" numFmtId="0">
      <sharedItems containsNonDate="0" containsString="0" containsBlank="1"/>
    </cacheField>
    <cacheField name="Column1670" numFmtId="0">
      <sharedItems containsNonDate="0" containsString="0" containsBlank="1"/>
    </cacheField>
    <cacheField name="Column1671" numFmtId="0">
      <sharedItems containsNonDate="0" containsString="0" containsBlank="1"/>
    </cacheField>
    <cacheField name="Column1672" numFmtId="0">
      <sharedItems containsNonDate="0" containsString="0" containsBlank="1"/>
    </cacheField>
    <cacheField name="Column1673" numFmtId="0">
      <sharedItems containsNonDate="0" containsString="0" containsBlank="1"/>
    </cacheField>
    <cacheField name="Column1674" numFmtId="0">
      <sharedItems containsNonDate="0" containsString="0" containsBlank="1"/>
    </cacheField>
    <cacheField name="Column1675" numFmtId="0">
      <sharedItems containsNonDate="0" containsString="0" containsBlank="1"/>
    </cacheField>
    <cacheField name="Column1676" numFmtId="0">
      <sharedItems containsNonDate="0" containsString="0" containsBlank="1"/>
    </cacheField>
    <cacheField name="Column1677" numFmtId="0">
      <sharedItems containsNonDate="0" containsString="0" containsBlank="1"/>
    </cacheField>
    <cacheField name="Column1678" numFmtId="0">
      <sharedItems containsNonDate="0" containsString="0" containsBlank="1"/>
    </cacheField>
    <cacheField name="Column1679" numFmtId="0">
      <sharedItems containsNonDate="0" containsString="0" containsBlank="1"/>
    </cacheField>
    <cacheField name="Column1680" numFmtId="0">
      <sharedItems containsNonDate="0" containsString="0" containsBlank="1"/>
    </cacheField>
    <cacheField name="Column1681" numFmtId="0">
      <sharedItems containsNonDate="0" containsString="0" containsBlank="1"/>
    </cacheField>
    <cacheField name="Column1682" numFmtId="0">
      <sharedItems containsNonDate="0" containsString="0" containsBlank="1"/>
    </cacheField>
    <cacheField name="Column1683" numFmtId="0">
      <sharedItems containsNonDate="0" containsString="0" containsBlank="1"/>
    </cacheField>
    <cacheField name="Column1684" numFmtId="0">
      <sharedItems containsNonDate="0" containsString="0" containsBlank="1"/>
    </cacheField>
    <cacheField name="Column1685" numFmtId="0">
      <sharedItems containsNonDate="0" containsString="0" containsBlank="1"/>
    </cacheField>
    <cacheField name="Column1686" numFmtId="0">
      <sharedItems containsNonDate="0" containsString="0" containsBlank="1"/>
    </cacheField>
    <cacheField name="Column1687" numFmtId="0">
      <sharedItems containsNonDate="0" containsString="0" containsBlank="1"/>
    </cacheField>
    <cacheField name="Column1688" numFmtId="0">
      <sharedItems containsNonDate="0" containsString="0" containsBlank="1"/>
    </cacheField>
    <cacheField name="Column1689" numFmtId="0">
      <sharedItems containsNonDate="0" containsString="0" containsBlank="1"/>
    </cacheField>
    <cacheField name="Column1690" numFmtId="0">
      <sharedItems containsNonDate="0" containsString="0" containsBlank="1"/>
    </cacheField>
    <cacheField name="Column1691" numFmtId="0">
      <sharedItems containsNonDate="0" containsString="0" containsBlank="1"/>
    </cacheField>
    <cacheField name="Column1692" numFmtId="0">
      <sharedItems containsNonDate="0" containsString="0" containsBlank="1"/>
    </cacheField>
    <cacheField name="Column1693" numFmtId="0">
      <sharedItems containsNonDate="0" containsString="0" containsBlank="1"/>
    </cacheField>
    <cacheField name="Column1694" numFmtId="0">
      <sharedItems containsNonDate="0" containsString="0" containsBlank="1"/>
    </cacheField>
    <cacheField name="Column1695" numFmtId="0">
      <sharedItems containsNonDate="0" containsString="0" containsBlank="1"/>
    </cacheField>
    <cacheField name="Column1696" numFmtId="0">
      <sharedItems containsNonDate="0" containsString="0" containsBlank="1"/>
    </cacheField>
    <cacheField name="Column1697" numFmtId="0">
      <sharedItems containsNonDate="0" containsString="0" containsBlank="1"/>
    </cacheField>
    <cacheField name="Column1698" numFmtId="0">
      <sharedItems containsNonDate="0" containsString="0" containsBlank="1"/>
    </cacheField>
    <cacheField name="Column1699" numFmtId="0">
      <sharedItems containsNonDate="0" containsString="0" containsBlank="1"/>
    </cacheField>
    <cacheField name="Column1700" numFmtId="0">
      <sharedItems containsNonDate="0" containsString="0" containsBlank="1"/>
    </cacheField>
    <cacheField name="Column1701" numFmtId="0">
      <sharedItems containsNonDate="0" containsString="0" containsBlank="1"/>
    </cacheField>
    <cacheField name="Column1702" numFmtId="0">
      <sharedItems containsNonDate="0" containsString="0" containsBlank="1"/>
    </cacheField>
    <cacheField name="Column1703" numFmtId="0">
      <sharedItems containsNonDate="0" containsString="0" containsBlank="1"/>
    </cacheField>
    <cacheField name="Column1704" numFmtId="0">
      <sharedItems containsNonDate="0" containsString="0" containsBlank="1"/>
    </cacheField>
    <cacheField name="Column1705" numFmtId="0">
      <sharedItems containsNonDate="0" containsString="0" containsBlank="1"/>
    </cacheField>
    <cacheField name="Column1706" numFmtId="0">
      <sharedItems containsNonDate="0" containsString="0" containsBlank="1"/>
    </cacheField>
    <cacheField name="Column1707" numFmtId="0">
      <sharedItems containsNonDate="0" containsString="0" containsBlank="1"/>
    </cacheField>
    <cacheField name="Column1708" numFmtId="0">
      <sharedItems containsNonDate="0" containsString="0" containsBlank="1"/>
    </cacheField>
    <cacheField name="Column1709" numFmtId="0">
      <sharedItems containsNonDate="0" containsString="0" containsBlank="1"/>
    </cacheField>
    <cacheField name="Column1710" numFmtId="0">
      <sharedItems containsNonDate="0" containsString="0" containsBlank="1"/>
    </cacheField>
    <cacheField name="Column1711" numFmtId="0">
      <sharedItems containsNonDate="0" containsString="0" containsBlank="1"/>
    </cacheField>
    <cacheField name="Column1712" numFmtId="0">
      <sharedItems containsNonDate="0" containsString="0" containsBlank="1"/>
    </cacheField>
    <cacheField name="Column1713" numFmtId="0">
      <sharedItems containsNonDate="0" containsString="0" containsBlank="1"/>
    </cacheField>
    <cacheField name="Column1714" numFmtId="0">
      <sharedItems containsNonDate="0" containsString="0" containsBlank="1"/>
    </cacheField>
    <cacheField name="Column1715" numFmtId="0">
      <sharedItems containsNonDate="0" containsString="0" containsBlank="1"/>
    </cacheField>
    <cacheField name="Column1716" numFmtId="0">
      <sharedItems containsNonDate="0" containsString="0" containsBlank="1"/>
    </cacheField>
    <cacheField name="Column1717" numFmtId="0">
      <sharedItems containsNonDate="0" containsString="0" containsBlank="1"/>
    </cacheField>
    <cacheField name="Column1718" numFmtId="0">
      <sharedItems containsNonDate="0" containsString="0" containsBlank="1"/>
    </cacheField>
    <cacheField name="Column1719" numFmtId="0">
      <sharedItems containsNonDate="0" containsString="0" containsBlank="1"/>
    </cacheField>
    <cacheField name="Column1720" numFmtId="0">
      <sharedItems containsNonDate="0" containsString="0" containsBlank="1"/>
    </cacheField>
    <cacheField name="Column1721" numFmtId="0">
      <sharedItems containsNonDate="0" containsString="0" containsBlank="1"/>
    </cacheField>
    <cacheField name="Column1722" numFmtId="0">
      <sharedItems containsNonDate="0" containsString="0" containsBlank="1"/>
    </cacheField>
    <cacheField name="Column1723" numFmtId="0">
      <sharedItems containsNonDate="0" containsString="0" containsBlank="1"/>
    </cacheField>
    <cacheField name="Column1724" numFmtId="0">
      <sharedItems containsNonDate="0" containsString="0" containsBlank="1"/>
    </cacheField>
    <cacheField name="Column1725" numFmtId="0">
      <sharedItems containsNonDate="0" containsString="0" containsBlank="1"/>
    </cacheField>
    <cacheField name="Column1726" numFmtId="0">
      <sharedItems containsNonDate="0" containsString="0" containsBlank="1"/>
    </cacheField>
    <cacheField name="Column1727" numFmtId="0">
      <sharedItems containsNonDate="0" containsString="0" containsBlank="1"/>
    </cacheField>
    <cacheField name="Column1728" numFmtId="0">
      <sharedItems containsNonDate="0" containsString="0" containsBlank="1"/>
    </cacheField>
    <cacheField name="Column1729" numFmtId="0">
      <sharedItems containsNonDate="0" containsString="0" containsBlank="1"/>
    </cacheField>
    <cacheField name="Column1730" numFmtId="0">
      <sharedItems containsNonDate="0" containsString="0" containsBlank="1"/>
    </cacheField>
    <cacheField name="Column1731" numFmtId="0">
      <sharedItems containsNonDate="0" containsString="0" containsBlank="1"/>
    </cacheField>
    <cacheField name="Column1732" numFmtId="0">
      <sharedItems containsNonDate="0" containsString="0" containsBlank="1"/>
    </cacheField>
    <cacheField name="Column1733" numFmtId="0">
      <sharedItems containsNonDate="0" containsString="0" containsBlank="1"/>
    </cacheField>
    <cacheField name="Column1734" numFmtId="0">
      <sharedItems containsNonDate="0" containsString="0" containsBlank="1"/>
    </cacheField>
    <cacheField name="Column1735" numFmtId="0">
      <sharedItems containsNonDate="0" containsString="0" containsBlank="1"/>
    </cacheField>
    <cacheField name="Column1736" numFmtId="0">
      <sharedItems containsNonDate="0" containsString="0" containsBlank="1"/>
    </cacheField>
    <cacheField name="Column1737" numFmtId="0">
      <sharedItems containsNonDate="0" containsString="0" containsBlank="1"/>
    </cacheField>
    <cacheField name="Column1738" numFmtId="0">
      <sharedItems containsNonDate="0" containsString="0" containsBlank="1"/>
    </cacheField>
    <cacheField name="Column1739" numFmtId="0">
      <sharedItems containsNonDate="0" containsString="0" containsBlank="1"/>
    </cacheField>
    <cacheField name="Column1740" numFmtId="0">
      <sharedItems containsNonDate="0" containsString="0" containsBlank="1"/>
    </cacheField>
    <cacheField name="Column1741" numFmtId="0">
      <sharedItems containsNonDate="0" containsString="0" containsBlank="1"/>
    </cacheField>
    <cacheField name="Column1742" numFmtId="0">
      <sharedItems containsNonDate="0" containsString="0" containsBlank="1"/>
    </cacheField>
    <cacheField name="Column1743" numFmtId="0">
      <sharedItems containsNonDate="0" containsString="0" containsBlank="1"/>
    </cacheField>
    <cacheField name="Column1744" numFmtId="0">
      <sharedItems containsNonDate="0" containsString="0" containsBlank="1"/>
    </cacheField>
    <cacheField name="Column1745" numFmtId="0">
      <sharedItems containsNonDate="0" containsString="0" containsBlank="1"/>
    </cacheField>
    <cacheField name="Column1746" numFmtId="0">
      <sharedItems containsNonDate="0" containsString="0" containsBlank="1"/>
    </cacheField>
    <cacheField name="Column1747" numFmtId="0">
      <sharedItems containsNonDate="0" containsString="0" containsBlank="1"/>
    </cacheField>
    <cacheField name="Column1748" numFmtId="0">
      <sharedItems containsNonDate="0" containsString="0" containsBlank="1"/>
    </cacheField>
    <cacheField name="Column1749" numFmtId="0">
      <sharedItems containsNonDate="0" containsString="0" containsBlank="1"/>
    </cacheField>
    <cacheField name="Column1750" numFmtId="0">
      <sharedItems containsNonDate="0" containsString="0" containsBlank="1"/>
    </cacheField>
    <cacheField name="Column1751" numFmtId="0">
      <sharedItems containsNonDate="0" containsString="0" containsBlank="1"/>
    </cacheField>
    <cacheField name="Column1752" numFmtId="0">
      <sharedItems containsNonDate="0" containsString="0" containsBlank="1"/>
    </cacheField>
    <cacheField name="Column1753" numFmtId="0">
      <sharedItems containsNonDate="0" containsString="0" containsBlank="1"/>
    </cacheField>
    <cacheField name="Column1754" numFmtId="0">
      <sharedItems containsNonDate="0" containsString="0" containsBlank="1"/>
    </cacheField>
    <cacheField name="Column1755" numFmtId="0">
      <sharedItems containsNonDate="0" containsString="0" containsBlank="1"/>
    </cacheField>
    <cacheField name="Column1756" numFmtId="0">
      <sharedItems containsNonDate="0" containsString="0" containsBlank="1"/>
    </cacheField>
    <cacheField name="Column1757" numFmtId="0">
      <sharedItems containsNonDate="0" containsString="0" containsBlank="1"/>
    </cacheField>
    <cacheField name="Column1758" numFmtId="0">
      <sharedItems containsNonDate="0" containsString="0" containsBlank="1"/>
    </cacheField>
    <cacheField name="Column1759" numFmtId="0">
      <sharedItems containsNonDate="0" containsString="0" containsBlank="1"/>
    </cacheField>
    <cacheField name="Column1760" numFmtId="0">
      <sharedItems containsNonDate="0" containsString="0" containsBlank="1"/>
    </cacheField>
    <cacheField name="Column1761" numFmtId="0">
      <sharedItems containsNonDate="0" containsString="0" containsBlank="1"/>
    </cacheField>
    <cacheField name="Column1762" numFmtId="0">
      <sharedItems containsNonDate="0" containsString="0" containsBlank="1"/>
    </cacheField>
    <cacheField name="Column1763" numFmtId="0">
      <sharedItems containsNonDate="0" containsString="0" containsBlank="1"/>
    </cacheField>
    <cacheField name="Column1764" numFmtId="0">
      <sharedItems containsNonDate="0" containsString="0" containsBlank="1"/>
    </cacheField>
    <cacheField name="Column1765" numFmtId="0">
      <sharedItems containsNonDate="0" containsString="0" containsBlank="1"/>
    </cacheField>
    <cacheField name="Column1766" numFmtId="0">
      <sharedItems containsNonDate="0" containsString="0" containsBlank="1"/>
    </cacheField>
    <cacheField name="Column1767" numFmtId="0">
      <sharedItems containsNonDate="0" containsString="0" containsBlank="1"/>
    </cacheField>
    <cacheField name="Column1768" numFmtId="0">
      <sharedItems containsNonDate="0" containsString="0" containsBlank="1"/>
    </cacheField>
    <cacheField name="Column1769" numFmtId="0">
      <sharedItems containsNonDate="0" containsString="0" containsBlank="1"/>
    </cacheField>
    <cacheField name="Column1770" numFmtId="0">
      <sharedItems containsNonDate="0" containsString="0" containsBlank="1"/>
    </cacheField>
    <cacheField name="Column1771" numFmtId="0">
      <sharedItems containsNonDate="0" containsString="0" containsBlank="1"/>
    </cacheField>
    <cacheField name="Column1772" numFmtId="0">
      <sharedItems containsNonDate="0" containsString="0" containsBlank="1"/>
    </cacheField>
    <cacheField name="Column1773" numFmtId="0">
      <sharedItems containsNonDate="0" containsString="0" containsBlank="1"/>
    </cacheField>
    <cacheField name="Column1774" numFmtId="0">
      <sharedItems containsNonDate="0" containsString="0" containsBlank="1"/>
    </cacheField>
    <cacheField name="Column1775" numFmtId="0">
      <sharedItems containsNonDate="0" containsString="0" containsBlank="1"/>
    </cacheField>
    <cacheField name="Column1776" numFmtId="0">
      <sharedItems containsNonDate="0" containsString="0" containsBlank="1"/>
    </cacheField>
    <cacheField name="Column1777" numFmtId="0">
      <sharedItems containsNonDate="0" containsString="0" containsBlank="1"/>
    </cacheField>
    <cacheField name="Column1778" numFmtId="0">
      <sharedItems containsNonDate="0" containsString="0" containsBlank="1"/>
    </cacheField>
    <cacheField name="Column1779" numFmtId="0">
      <sharedItems containsNonDate="0" containsString="0" containsBlank="1"/>
    </cacheField>
    <cacheField name="Column1780" numFmtId="0">
      <sharedItems containsNonDate="0" containsString="0" containsBlank="1"/>
    </cacheField>
    <cacheField name="Column1781" numFmtId="0">
      <sharedItems containsNonDate="0" containsString="0" containsBlank="1"/>
    </cacheField>
    <cacheField name="Column1782" numFmtId="0">
      <sharedItems containsNonDate="0" containsString="0" containsBlank="1"/>
    </cacheField>
    <cacheField name="Column1783" numFmtId="0">
      <sharedItems containsNonDate="0" containsString="0" containsBlank="1"/>
    </cacheField>
    <cacheField name="Column1784" numFmtId="0">
      <sharedItems containsNonDate="0" containsString="0" containsBlank="1"/>
    </cacheField>
    <cacheField name="Column1785" numFmtId="0">
      <sharedItems containsNonDate="0" containsString="0" containsBlank="1"/>
    </cacheField>
    <cacheField name="Column1786" numFmtId="0">
      <sharedItems containsNonDate="0" containsString="0" containsBlank="1"/>
    </cacheField>
    <cacheField name="Column1787" numFmtId="0">
      <sharedItems containsNonDate="0" containsString="0" containsBlank="1"/>
    </cacheField>
    <cacheField name="Column1788" numFmtId="0">
      <sharedItems containsNonDate="0" containsString="0" containsBlank="1"/>
    </cacheField>
    <cacheField name="Column1789" numFmtId="0">
      <sharedItems containsNonDate="0" containsString="0" containsBlank="1"/>
    </cacheField>
    <cacheField name="Column1790" numFmtId="0">
      <sharedItems containsNonDate="0" containsString="0" containsBlank="1"/>
    </cacheField>
    <cacheField name="Column1791" numFmtId="0">
      <sharedItems containsNonDate="0" containsString="0" containsBlank="1"/>
    </cacheField>
    <cacheField name="Column1792" numFmtId="0">
      <sharedItems containsNonDate="0" containsString="0" containsBlank="1"/>
    </cacheField>
    <cacheField name="Column1793" numFmtId="0">
      <sharedItems containsNonDate="0" containsString="0" containsBlank="1"/>
    </cacheField>
    <cacheField name="Column1794" numFmtId="0">
      <sharedItems containsNonDate="0" containsString="0" containsBlank="1"/>
    </cacheField>
    <cacheField name="Column1795" numFmtId="0">
      <sharedItems containsNonDate="0" containsString="0" containsBlank="1"/>
    </cacheField>
    <cacheField name="Column1796" numFmtId="0">
      <sharedItems containsNonDate="0" containsString="0" containsBlank="1"/>
    </cacheField>
    <cacheField name="Column1797" numFmtId="0">
      <sharedItems containsNonDate="0" containsString="0" containsBlank="1"/>
    </cacheField>
    <cacheField name="Column1798" numFmtId="0">
      <sharedItems containsNonDate="0" containsString="0" containsBlank="1"/>
    </cacheField>
    <cacheField name="Column1799" numFmtId="0">
      <sharedItems containsNonDate="0" containsString="0" containsBlank="1"/>
    </cacheField>
    <cacheField name="Column1800" numFmtId="0">
      <sharedItems containsNonDate="0" containsString="0" containsBlank="1"/>
    </cacheField>
    <cacheField name="Column1801" numFmtId="0">
      <sharedItems containsNonDate="0" containsString="0" containsBlank="1"/>
    </cacheField>
    <cacheField name="Column1802" numFmtId="0">
      <sharedItems containsNonDate="0" containsString="0" containsBlank="1"/>
    </cacheField>
    <cacheField name="Column1803" numFmtId="0">
      <sharedItems containsNonDate="0" containsString="0" containsBlank="1"/>
    </cacheField>
    <cacheField name="Column1804" numFmtId="0">
      <sharedItems containsNonDate="0" containsString="0" containsBlank="1"/>
    </cacheField>
    <cacheField name="Column1805" numFmtId="0">
      <sharedItems containsNonDate="0" containsString="0" containsBlank="1"/>
    </cacheField>
    <cacheField name="Column1806" numFmtId="0">
      <sharedItems containsNonDate="0" containsString="0" containsBlank="1"/>
    </cacheField>
    <cacheField name="Column1807" numFmtId="0">
      <sharedItems containsNonDate="0" containsString="0" containsBlank="1"/>
    </cacheField>
    <cacheField name="Column1808" numFmtId="0">
      <sharedItems containsNonDate="0" containsString="0" containsBlank="1"/>
    </cacheField>
    <cacheField name="Column1809" numFmtId="0">
      <sharedItems containsNonDate="0" containsString="0" containsBlank="1"/>
    </cacheField>
    <cacheField name="Column1810" numFmtId="0">
      <sharedItems containsNonDate="0" containsString="0" containsBlank="1"/>
    </cacheField>
    <cacheField name="Column1811" numFmtId="0">
      <sharedItems containsNonDate="0" containsString="0" containsBlank="1"/>
    </cacheField>
    <cacheField name="Column1812" numFmtId="0">
      <sharedItems containsNonDate="0" containsString="0" containsBlank="1"/>
    </cacheField>
    <cacheField name="Column1813" numFmtId="0">
      <sharedItems containsNonDate="0" containsString="0" containsBlank="1"/>
    </cacheField>
    <cacheField name="Column1814" numFmtId="0">
      <sharedItems containsNonDate="0" containsString="0" containsBlank="1"/>
    </cacheField>
    <cacheField name="Column1815" numFmtId="0">
      <sharedItems containsNonDate="0" containsString="0" containsBlank="1"/>
    </cacheField>
    <cacheField name="Column1816" numFmtId="0">
      <sharedItems containsNonDate="0" containsString="0" containsBlank="1"/>
    </cacheField>
    <cacheField name="Column1817" numFmtId="0">
      <sharedItems containsNonDate="0" containsString="0" containsBlank="1"/>
    </cacheField>
    <cacheField name="Column1818" numFmtId="0">
      <sharedItems containsNonDate="0" containsString="0" containsBlank="1"/>
    </cacheField>
    <cacheField name="Column1819" numFmtId="0">
      <sharedItems containsNonDate="0" containsString="0" containsBlank="1"/>
    </cacheField>
    <cacheField name="Column1820" numFmtId="0">
      <sharedItems containsNonDate="0" containsString="0" containsBlank="1"/>
    </cacheField>
    <cacheField name="Column1821" numFmtId="0">
      <sharedItems containsNonDate="0" containsString="0" containsBlank="1"/>
    </cacheField>
    <cacheField name="Column1822" numFmtId="0">
      <sharedItems containsNonDate="0" containsString="0" containsBlank="1"/>
    </cacheField>
    <cacheField name="Column1823" numFmtId="0">
      <sharedItems containsNonDate="0" containsString="0" containsBlank="1"/>
    </cacheField>
    <cacheField name="Column1824" numFmtId="0">
      <sharedItems containsNonDate="0" containsString="0" containsBlank="1"/>
    </cacheField>
    <cacheField name="Column1825" numFmtId="0">
      <sharedItems containsNonDate="0" containsString="0" containsBlank="1"/>
    </cacheField>
    <cacheField name="Column1826" numFmtId="0">
      <sharedItems containsNonDate="0" containsString="0" containsBlank="1"/>
    </cacheField>
    <cacheField name="Column1827" numFmtId="0">
      <sharedItems containsNonDate="0" containsString="0" containsBlank="1"/>
    </cacheField>
    <cacheField name="Column1828" numFmtId="0">
      <sharedItems containsNonDate="0" containsString="0" containsBlank="1"/>
    </cacheField>
    <cacheField name="Column1829" numFmtId="0">
      <sharedItems containsNonDate="0" containsString="0" containsBlank="1"/>
    </cacheField>
    <cacheField name="Column1830" numFmtId="0">
      <sharedItems containsNonDate="0" containsString="0" containsBlank="1"/>
    </cacheField>
    <cacheField name="Column1831" numFmtId="0">
      <sharedItems containsNonDate="0" containsString="0" containsBlank="1"/>
    </cacheField>
    <cacheField name="Column1832" numFmtId="0">
      <sharedItems containsNonDate="0" containsString="0" containsBlank="1"/>
    </cacheField>
    <cacheField name="Column1833" numFmtId="0">
      <sharedItems containsNonDate="0" containsString="0" containsBlank="1"/>
    </cacheField>
    <cacheField name="Column1834" numFmtId="0">
      <sharedItems containsNonDate="0" containsString="0" containsBlank="1"/>
    </cacheField>
    <cacheField name="Column1835" numFmtId="0">
      <sharedItems containsNonDate="0" containsString="0" containsBlank="1"/>
    </cacheField>
    <cacheField name="Column1836" numFmtId="0">
      <sharedItems containsNonDate="0" containsString="0" containsBlank="1"/>
    </cacheField>
    <cacheField name="Column1837" numFmtId="0">
      <sharedItems containsNonDate="0" containsString="0" containsBlank="1"/>
    </cacheField>
    <cacheField name="Column1838" numFmtId="0">
      <sharedItems containsNonDate="0" containsString="0" containsBlank="1"/>
    </cacheField>
    <cacheField name="Column1839" numFmtId="0">
      <sharedItems containsNonDate="0" containsString="0" containsBlank="1"/>
    </cacheField>
    <cacheField name="Column1840" numFmtId="0">
      <sharedItems containsNonDate="0" containsString="0" containsBlank="1"/>
    </cacheField>
    <cacheField name="Column1841" numFmtId="0">
      <sharedItems containsNonDate="0" containsString="0" containsBlank="1"/>
    </cacheField>
    <cacheField name="Column1842" numFmtId="0">
      <sharedItems containsNonDate="0" containsString="0" containsBlank="1"/>
    </cacheField>
    <cacheField name="Column1843" numFmtId="0">
      <sharedItems containsNonDate="0" containsString="0" containsBlank="1"/>
    </cacheField>
    <cacheField name="Column1844" numFmtId="0">
      <sharedItems containsNonDate="0" containsString="0" containsBlank="1"/>
    </cacheField>
    <cacheField name="Column1845" numFmtId="0">
      <sharedItems containsNonDate="0" containsString="0" containsBlank="1"/>
    </cacheField>
    <cacheField name="Column1846" numFmtId="0">
      <sharedItems containsNonDate="0" containsString="0" containsBlank="1"/>
    </cacheField>
    <cacheField name="Column1847" numFmtId="0">
      <sharedItems containsNonDate="0" containsString="0" containsBlank="1"/>
    </cacheField>
    <cacheField name="Column1848" numFmtId="0">
      <sharedItems containsNonDate="0" containsString="0" containsBlank="1"/>
    </cacheField>
    <cacheField name="Column1849" numFmtId="0">
      <sharedItems containsNonDate="0" containsString="0" containsBlank="1"/>
    </cacheField>
    <cacheField name="Column1850" numFmtId="0">
      <sharedItems containsNonDate="0" containsString="0" containsBlank="1"/>
    </cacheField>
    <cacheField name="Column1851" numFmtId="0">
      <sharedItems containsNonDate="0" containsString="0" containsBlank="1"/>
    </cacheField>
    <cacheField name="Column1852" numFmtId="0">
      <sharedItems containsNonDate="0" containsString="0" containsBlank="1"/>
    </cacheField>
    <cacheField name="Column1853" numFmtId="0">
      <sharedItems containsNonDate="0" containsString="0" containsBlank="1"/>
    </cacheField>
    <cacheField name="Column1854" numFmtId="0">
      <sharedItems containsNonDate="0" containsString="0" containsBlank="1"/>
    </cacheField>
    <cacheField name="Column1855" numFmtId="0">
      <sharedItems containsNonDate="0" containsString="0" containsBlank="1"/>
    </cacheField>
    <cacheField name="Column1856" numFmtId="0">
      <sharedItems containsNonDate="0" containsString="0" containsBlank="1"/>
    </cacheField>
    <cacheField name="Column1857" numFmtId="0">
      <sharedItems containsNonDate="0" containsString="0" containsBlank="1"/>
    </cacheField>
    <cacheField name="Column1858" numFmtId="0">
      <sharedItems containsNonDate="0" containsString="0" containsBlank="1"/>
    </cacheField>
    <cacheField name="Column1859" numFmtId="0">
      <sharedItems containsNonDate="0" containsString="0" containsBlank="1"/>
    </cacheField>
    <cacheField name="Column1860" numFmtId="0">
      <sharedItems containsNonDate="0" containsString="0" containsBlank="1"/>
    </cacheField>
    <cacheField name="Column1861" numFmtId="0">
      <sharedItems containsNonDate="0" containsString="0" containsBlank="1"/>
    </cacheField>
    <cacheField name="Column1862" numFmtId="0">
      <sharedItems containsNonDate="0" containsString="0" containsBlank="1"/>
    </cacheField>
    <cacheField name="Column1863" numFmtId="0">
      <sharedItems containsNonDate="0" containsString="0" containsBlank="1"/>
    </cacheField>
    <cacheField name="Column1864" numFmtId="0">
      <sharedItems containsNonDate="0" containsString="0" containsBlank="1"/>
    </cacheField>
    <cacheField name="Column1865" numFmtId="0">
      <sharedItems containsNonDate="0" containsString="0" containsBlank="1"/>
    </cacheField>
    <cacheField name="Column1866" numFmtId="0">
      <sharedItems containsNonDate="0" containsString="0" containsBlank="1"/>
    </cacheField>
    <cacheField name="Column1867" numFmtId="0">
      <sharedItems containsNonDate="0" containsString="0" containsBlank="1"/>
    </cacheField>
    <cacheField name="Column1868" numFmtId="0">
      <sharedItems containsNonDate="0" containsString="0" containsBlank="1"/>
    </cacheField>
    <cacheField name="Column1869" numFmtId="0">
      <sharedItems containsNonDate="0" containsString="0" containsBlank="1"/>
    </cacheField>
    <cacheField name="Column1870" numFmtId="0">
      <sharedItems containsNonDate="0" containsString="0" containsBlank="1"/>
    </cacheField>
    <cacheField name="Column1871" numFmtId="0">
      <sharedItems containsNonDate="0" containsString="0" containsBlank="1"/>
    </cacheField>
    <cacheField name="Column1872" numFmtId="0">
      <sharedItems containsNonDate="0" containsString="0" containsBlank="1"/>
    </cacheField>
    <cacheField name="Column1873" numFmtId="0">
      <sharedItems containsNonDate="0" containsString="0" containsBlank="1"/>
    </cacheField>
    <cacheField name="Column1874" numFmtId="0">
      <sharedItems containsNonDate="0" containsString="0" containsBlank="1"/>
    </cacheField>
    <cacheField name="Column1875" numFmtId="0">
      <sharedItems containsNonDate="0" containsString="0" containsBlank="1"/>
    </cacheField>
    <cacheField name="Column1876" numFmtId="0">
      <sharedItems containsNonDate="0" containsString="0" containsBlank="1"/>
    </cacheField>
    <cacheField name="Column1877" numFmtId="0">
      <sharedItems containsNonDate="0" containsString="0" containsBlank="1"/>
    </cacheField>
    <cacheField name="Column1878" numFmtId="0">
      <sharedItems containsNonDate="0" containsString="0" containsBlank="1"/>
    </cacheField>
    <cacheField name="Column1879" numFmtId="0">
      <sharedItems containsNonDate="0" containsString="0" containsBlank="1"/>
    </cacheField>
    <cacheField name="Column1880" numFmtId="0">
      <sharedItems containsNonDate="0" containsString="0" containsBlank="1"/>
    </cacheField>
    <cacheField name="Column1881" numFmtId="0">
      <sharedItems containsNonDate="0" containsString="0" containsBlank="1"/>
    </cacheField>
    <cacheField name="Column1882" numFmtId="0">
      <sharedItems containsNonDate="0" containsString="0" containsBlank="1"/>
    </cacheField>
    <cacheField name="Column1883" numFmtId="0">
      <sharedItems containsNonDate="0" containsString="0" containsBlank="1"/>
    </cacheField>
    <cacheField name="Column1884" numFmtId="0">
      <sharedItems containsNonDate="0" containsString="0" containsBlank="1"/>
    </cacheField>
    <cacheField name="Column1885" numFmtId="0">
      <sharedItems containsNonDate="0" containsString="0" containsBlank="1"/>
    </cacheField>
    <cacheField name="Column1886" numFmtId="0">
      <sharedItems containsNonDate="0" containsString="0" containsBlank="1"/>
    </cacheField>
    <cacheField name="Column1887" numFmtId="0">
      <sharedItems containsNonDate="0" containsString="0" containsBlank="1"/>
    </cacheField>
    <cacheField name="Column1888" numFmtId="0">
      <sharedItems containsNonDate="0" containsString="0" containsBlank="1"/>
    </cacheField>
    <cacheField name="Column1889" numFmtId="0">
      <sharedItems containsNonDate="0" containsString="0" containsBlank="1"/>
    </cacheField>
    <cacheField name="Column1890" numFmtId="0">
      <sharedItems containsNonDate="0" containsString="0" containsBlank="1"/>
    </cacheField>
    <cacheField name="Column1891" numFmtId="0">
      <sharedItems containsNonDate="0" containsString="0" containsBlank="1"/>
    </cacheField>
    <cacheField name="Column1892" numFmtId="0">
      <sharedItems containsNonDate="0" containsString="0" containsBlank="1"/>
    </cacheField>
    <cacheField name="Column1893" numFmtId="0">
      <sharedItems containsNonDate="0" containsString="0" containsBlank="1"/>
    </cacheField>
    <cacheField name="Column1894" numFmtId="0">
      <sharedItems containsNonDate="0" containsString="0" containsBlank="1"/>
    </cacheField>
    <cacheField name="Column1895" numFmtId="0">
      <sharedItems containsNonDate="0" containsString="0" containsBlank="1"/>
    </cacheField>
    <cacheField name="Column1896" numFmtId="0">
      <sharedItems containsNonDate="0" containsString="0" containsBlank="1"/>
    </cacheField>
    <cacheField name="Column1897" numFmtId="0">
      <sharedItems containsNonDate="0" containsString="0" containsBlank="1"/>
    </cacheField>
    <cacheField name="Column1898" numFmtId="0">
      <sharedItems containsNonDate="0" containsString="0" containsBlank="1"/>
    </cacheField>
    <cacheField name="Column1899" numFmtId="0">
      <sharedItems containsNonDate="0" containsString="0" containsBlank="1"/>
    </cacheField>
    <cacheField name="Column1900" numFmtId="0">
      <sharedItems containsNonDate="0" containsString="0" containsBlank="1"/>
    </cacheField>
    <cacheField name="Column1901" numFmtId="0">
      <sharedItems containsNonDate="0" containsString="0" containsBlank="1"/>
    </cacheField>
    <cacheField name="Column1902" numFmtId="0">
      <sharedItems containsNonDate="0" containsString="0" containsBlank="1"/>
    </cacheField>
    <cacheField name="Column1903" numFmtId="0">
      <sharedItems containsNonDate="0" containsString="0" containsBlank="1"/>
    </cacheField>
    <cacheField name="Column1904" numFmtId="0">
      <sharedItems containsNonDate="0" containsString="0" containsBlank="1"/>
    </cacheField>
    <cacheField name="Column1905" numFmtId="0">
      <sharedItems containsNonDate="0" containsString="0" containsBlank="1"/>
    </cacheField>
    <cacheField name="Column1906" numFmtId="0">
      <sharedItems containsNonDate="0" containsString="0" containsBlank="1"/>
    </cacheField>
    <cacheField name="Column1907" numFmtId="0">
      <sharedItems containsNonDate="0" containsString="0" containsBlank="1"/>
    </cacheField>
    <cacheField name="Column1908" numFmtId="0">
      <sharedItems containsNonDate="0" containsString="0" containsBlank="1"/>
    </cacheField>
    <cacheField name="Column1909" numFmtId="0">
      <sharedItems containsNonDate="0" containsString="0" containsBlank="1"/>
    </cacheField>
    <cacheField name="Column1910" numFmtId="0">
      <sharedItems containsNonDate="0" containsString="0" containsBlank="1"/>
    </cacheField>
    <cacheField name="Column1911" numFmtId="0">
      <sharedItems containsNonDate="0" containsString="0" containsBlank="1"/>
    </cacheField>
    <cacheField name="Column1912" numFmtId="0">
      <sharedItems containsNonDate="0" containsString="0" containsBlank="1"/>
    </cacheField>
    <cacheField name="Column1913" numFmtId="0">
      <sharedItems containsNonDate="0" containsString="0" containsBlank="1"/>
    </cacheField>
    <cacheField name="Column1914" numFmtId="0">
      <sharedItems containsNonDate="0" containsString="0" containsBlank="1"/>
    </cacheField>
    <cacheField name="Column1915" numFmtId="0">
      <sharedItems containsNonDate="0" containsString="0" containsBlank="1"/>
    </cacheField>
    <cacheField name="Column1916" numFmtId="0">
      <sharedItems containsNonDate="0" containsString="0" containsBlank="1"/>
    </cacheField>
    <cacheField name="Column1917" numFmtId="0">
      <sharedItems containsNonDate="0" containsString="0" containsBlank="1"/>
    </cacheField>
    <cacheField name="Column1918" numFmtId="0">
      <sharedItems containsNonDate="0" containsString="0" containsBlank="1"/>
    </cacheField>
    <cacheField name="Column1919" numFmtId="0">
      <sharedItems containsNonDate="0" containsString="0" containsBlank="1"/>
    </cacheField>
    <cacheField name="Column1920" numFmtId="0">
      <sharedItems containsNonDate="0" containsString="0" containsBlank="1"/>
    </cacheField>
    <cacheField name="Column1921" numFmtId="0">
      <sharedItems containsNonDate="0" containsString="0" containsBlank="1"/>
    </cacheField>
    <cacheField name="Column1922" numFmtId="0">
      <sharedItems containsNonDate="0" containsString="0" containsBlank="1"/>
    </cacheField>
    <cacheField name="Column1923" numFmtId="0">
      <sharedItems containsNonDate="0" containsString="0" containsBlank="1"/>
    </cacheField>
    <cacheField name="Column1924" numFmtId="0">
      <sharedItems containsNonDate="0" containsString="0" containsBlank="1"/>
    </cacheField>
    <cacheField name="Column1925" numFmtId="0">
      <sharedItems containsNonDate="0" containsString="0" containsBlank="1"/>
    </cacheField>
    <cacheField name="Column1926" numFmtId="0">
      <sharedItems containsNonDate="0" containsString="0" containsBlank="1"/>
    </cacheField>
    <cacheField name="Column1927" numFmtId="0">
      <sharedItems containsNonDate="0" containsString="0" containsBlank="1"/>
    </cacheField>
    <cacheField name="Column1928" numFmtId="0">
      <sharedItems containsNonDate="0" containsString="0" containsBlank="1"/>
    </cacheField>
    <cacheField name="Column1929" numFmtId="0">
      <sharedItems containsNonDate="0" containsString="0" containsBlank="1"/>
    </cacheField>
    <cacheField name="Column1930" numFmtId="0">
      <sharedItems containsNonDate="0" containsString="0" containsBlank="1"/>
    </cacheField>
    <cacheField name="Column1931" numFmtId="0">
      <sharedItems containsNonDate="0" containsString="0" containsBlank="1"/>
    </cacheField>
    <cacheField name="Column1932" numFmtId="0">
      <sharedItems containsNonDate="0" containsString="0" containsBlank="1"/>
    </cacheField>
    <cacheField name="Column1933" numFmtId="0">
      <sharedItems containsNonDate="0" containsString="0" containsBlank="1"/>
    </cacheField>
    <cacheField name="Column1934" numFmtId="0">
      <sharedItems containsNonDate="0" containsString="0" containsBlank="1"/>
    </cacheField>
    <cacheField name="Column1935" numFmtId="0">
      <sharedItems containsNonDate="0" containsString="0" containsBlank="1"/>
    </cacheField>
    <cacheField name="Column1936" numFmtId="0">
      <sharedItems containsNonDate="0" containsString="0" containsBlank="1"/>
    </cacheField>
    <cacheField name="Column1937" numFmtId="0">
      <sharedItems containsNonDate="0" containsString="0" containsBlank="1"/>
    </cacheField>
    <cacheField name="Column1938" numFmtId="0">
      <sharedItems containsNonDate="0" containsString="0" containsBlank="1"/>
    </cacheField>
    <cacheField name="Column1939" numFmtId="0">
      <sharedItems containsNonDate="0" containsString="0" containsBlank="1"/>
    </cacheField>
    <cacheField name="Column1940" numFmtId="0">
      <sharedItems containsNonDate="0" containsString="0" containsBlank="1"/>
    </cacheField>
    <cacheField name="Column1941" numFmtId="0">
      <sharedItems containsNonDate="0" containsString="0" containsBlank="1"/>
    </cacheField>
    <cacheField name="Column1942" numFmtId="0">
      <sharedItems containsNonDate="0" containsString="0" containsBlank="1"/>
    </cacheField>
    <cacheField name="Column1943" numFmtId="0">
      <sharedItems containsNonDate="0" containsString="0" containsBlank="1"/>
    </cacheField>
    <cacheField name="Column1944" numFmtId="0">
      <sharedItems containsNonDate="0" containsString="0" containsBlank="1"/>
    </cacheField>
    <cacheField name="Column1945" numFmtId="0">
      <sharedItems containsNonDate="0" containsString="0" containsBlank="1"/>
    </cacheField>
    <cacheField name="Column1946" numFmtId="0">
      <sharedItems containsNonDate="0" containsString="0" containsBlank="1"/>
    </cacheField>
    <cacheField name="Column1947" numFmtId="0">
      <sharedItems containsNonDate="0" containsString="0" containsBlank="1"/>
    </cacheField>
    <cacheField name="Column1948" numFmtId="0">
      <sharedItems containsNonDate="0" containsString="0" containsBlank="1"/>
    </cacheField>
    <cacheField name="Column1949" numFmtId="0">
      <sharedItems containsNonDate="0" containsString="0" containsBlank="1"/>
    </cacheField>
    <cacheField name="Column1950" numFmtId="0">
      <sharedItems containsNonDate="0" containsString="0" containsBlank="1"/>
    </cacheField>
    <cacheField name="Column1951" numFmtId="0">
      <sharedItems containsNonDate="0" containsString="0" containsBlank="1"/>
    </cacheField>
    <cacheField name="Column1952" numFmtId="0">
      <sharedItems containsNonDate="0" containsString="0" containsBlank="1"/>
    </cacheField>
    <cacheField name="Column1953" numFmtId="0">
      <sharedItems containsNonDate="0" containsString="0" containsBlank="1"/>
    </cacheField>
    <cacheField name="Column1954" numFmtId="0">
      <sharedItems containsNonDate="0" containsString="0" containsBlank="1"/>
    </cacheField>
    <cacheField name="Column1955" numFmtId="0">
      <sharedItems containsNonDate="0" containsString="0" containsBlank="1"/>
    </cacheField>
    <cacheField name="Column1956" numFmtId="0">
      <sharedItems containsNonDate="0" containsString="0" containsBlank="1"/>
    </cacheField>
    <cacheField name="Column1957" numFmtId="0">
      <sharedItems containsNonDate="0" containsString="0" containsBlank="1"/>
    </cacheField>
    <cacheField name="Column1958" numFmtId="0">
      <sharedItems containsNonDate="0" containsString="0" containsBlank="1"/>
    </cacheField>
    <cacheField name="Column1959" numFmtId="0">
      <sharedItems containsNonDate="0" containsString="0" containsBlank="1"/>
    </cacheField>
    <cacheField name="Column1960" numFmtId="0">
      <sharedItems containsNonDate="0" containsString="0" containsBlank="1"/>
    </cacheField>
    <cacheField name="Column1961" numFmtId="0">
      <sharedItems containsNonDate="0" containsString="0" containsBlank="1"/>
    </cacheField>
    <cacheField name="Column1962" numFmtId="0">
      <sharedItems containsNonDate="0" containsString="0" containsBlank="1"/>
    </cacheField>
    <cacheField name="Column1963" numFmtId="0">
      <sharedItems containsNonDate="0" containsString="0" containsBlank="1"/>
    </cacheField>
    <cacheField name="Column1964" numFmtId="0">
      <sharedItems containsNonDate="0" containsString="0" containsBlank="1"/>
    </cacheField>
    <cacheField name="Column1965" numFmtId="0">
      <sharedItems containsNonDate="0" containsString="0" containsBlank="1"/>
    </cacheField>
    <cacheField name="Column1966" numFmtId="0">
      <sharedItems containsNonDate="0" containsString="0" containsBlank="1"/>
    </cacheField>
    <cacheField name="Column1967" numFmtId="0">
      <sharedItems containsNonDate="0" containsString="0" containsBlank="1"/>
    </cacheField>
    <cacheField name="Column1968" numFmtId="0">
      <sharedItems containsNonDate="0" containsString="0" containsBlank="1"/>
    </cacheField>
    <cacheField name="Column1969" numFmtId="0">
      <sharedItems containsNonDate="0" containsString="0" containsBlank="1"/>
    </cacheField>
    <cacheField name="Column1970" numFmtId="0">
      <sharedItems containsNonDate="0" containsString="0" containsBlank="1"/>
    </cacheField>
    <cacheField name="Column1971" numFmtId="0">
      <sharedItems containsNonDate="0" containsString="0" containsBlank="1"/>
    </cacheField>
    <cacheField name="Column1972" numFmtId="0">
      <sharedItems containsNonDate="0" containsString="0" containsBlank="1"/>
    </cacheField>
    <cacheField name="Column1973" numFmtId="0">
      <sharedItems containsNonDate="0" containsString="0" containsBlank="1"/>
    </cacheField>
    <cacheField name="Column1974" numFmtId="0">
      <sharedItems containsNonDate="0" containsString="0" containsBlank="1"/>
    </cacheField>
    <cacheField name="Column1975" numFmtId="0">
      <sharedItems containsNonDate="0" containsString="0" containsBlank="1"/>
    </cacheField>
    <cacheField name="Column1976" numFmtId="0">
      <sharedItems containsNonDate="0" containsString="0" containsBlank="1"/>
    </cacheField>
    <cacheField name="Column1977" numFmtId="0">
      <sharedItems containsNonDate="0" containsString="0" containsBlank="1"/>
    </cacheField>
    <cacheField name="Column1978" numFmtId="0">
      <sharedItems containsNonDate="0" containsString="0" containsBlank="1"/>
    </cacheField>
    <cacheField name="Column1979" numFmtId="0">
      <sharedItems containsNonDate="0" containsString="0" containsBlank="1"/>
    </cacheField>
    <cacheField name="Column1980" numFmtId="0">
      <sharedItems containsNonDate="0" containsString="0" containsBlank="1"/>
    </cacheField>
    <cacheField name="Column1981" numFmtId="0">
      <sharedItems containsNonDate="0" containsString="0" containsBlank="1"/>
    </cacheField>
    <cacheField name="Column1982" numFmtId="0">
      <sharedItems containsNonDate="0" containsString="0" containsBlank="1"/>
    </cacheField>
    <cacheField name="Column1983" numFmtId="0">
      <sharedItems containsNonDate="0" containsString="0" containsBlank="1"/>
    </cacheField>
    <cacheField name="Column1984" numFmtId="0">
      <sharedItems containsNonDate="0" containsString="0" containsBlank="1"/>
    </cacheField>
    <cacheField name="Column1985" numFmtId="0">
      <sharedItems containsNonDate="0" containsString="0" containsBlank="1"/>
    </cacheField>
    <cacheField name="Column1986" numFmtId="0">
      <sharedItems containsNonDate="0" containsString="0" containsBlank="1"/>
    </cacheField>
    <cacheField name="Column1987" numFmtId="0">
      <sharedItems containsNonDate="0" containsString="0" containsBlank="1"/>
    </cacheField>
    <cacheField name="Column1988" numFmtId="0">
      <sharedItems containsNonDate="0" containsString="0" containsBlank="1"/>
    </cacheField>
    <cacheField name="Column1989" numFmtId="0">
      <sharedItems containsNonDate="0" containsString="0" containsBlank="1"/>
    </cacheField>
    <cacheField name="Column1990" numFmtId="0">
      <sharedItems containsNonDate="0" containsString="0" containsBlank="1"/>
    </cacheField>
    <cacheField name="Column1991" numFmtId="0">
      <sharedItems containsNonDate="0" containsString="0" containsBlank="1"/>
    </cacheField>
    <cacheField name="Column1992" numFmtId="0">
      <sharedItems containsNonDate="0" containsString="0" containsBlank="1"/>
    </cacheField>
    <cacheField name="Column1993" numFmtId="0">
      <sharedItems containsNonDate="0" containsString="0" containsBlank="1"/>
    </cacheField>
    <cacheField name="Column1994" numFmtId="0">
      <sharedItems containsNonDate="0" containsString="0" containsBlank="1"/>
    </cacheField>
    <cacheField name="Column1995" numFmtId="0">
      <sharedItems containsNonDate="0" containsString="0" containsBlank="1"/>
    </cacheField>
    <cacheField name="Column1996" numFmtId="0">
      <sharedItems containsNonDate="0" containsString="0" containsBlank="1"/>
    </cacheField>
    <cacheField name="Column1997" numFmtId="0">
      <sharedItems containsNonDate="0" containsString="0" containsBlank="1"/>
    </cacheField>
    <cacheField name="Column1998" numFmtId="0">
      <sharedItems containsNonDate="0" containsString="0" containsBlank="1"/>
    </cacheField>
    <cacheField name="Column1999" numFmtId="0">
      <sharedItems containsNonDate="0" containsString="0" containsBlank="1"/>
    </cacheField>
    <cacheField name="Column2000" numFmtId="0">
      <sharedItems containsNonDate="0" containsString="0" containsBlank="1"/>
    </cacheField>
    <cacheField name="Column2001" numFmtId="0">
      <sharedItems containsNonDate="0" containsString="0" containsBlank="1"/>
    </cacheField>
    <cacheField name="Column2002" numFmtId="0">
      <sharedItems containsNonDate="0" containsString="0" containsBlank="1"/>
    </cacheField>
    <cacheField name="Column2003" numFmtId="0">
      <sharedItems containsNonDate="0" containsString="0" containsBlank="1"/>
    </cacheField>
    <cacheField name="Column2004" numFmtId="0">
      <sharedItems containsNonDate="0" containsString="0" containsBlank="1"/>
    </cacheField>
    <cacheField name="Column2005" numFmtId="0">
      <sharedItems containsNonDate="0" containsString="0" containsBlank="1"/>
    </cacheField>
    <cacheField name="Column2006" numFmtId="0">
      <sharedItems containsNonDate="0" containsString="0" containsBlank="1"/>
    </cacheField>
    <cacheField name="Column2007" numFmtId="0">
      <sharedItems containsNonDate="0" containsString="0" containsBlank="1"/>
    </cacheField>
    <cacheField name="Column2008" numFmtId="0">
      <sharedItems containsNonDate="0" containsString="0" containsBlank="1"/>
    </cacheField>
    <cacheField name="Column2009" numFmtId="0">
      <sharedItems containsNonDate="0" containsString="0" containsBlank="1"/>
    </cacheField>
    <cacheField name="Column2010" numFmtId="0">
      <sharedItems containsNonDate="0" containsString="0" containsBlank="1"/>
    </cacheField>
    <cacheField name="Column2011" numFmtId="0">
      <sharedItems containsNonDate="0" containsString="0" containsBlank="1"/>
    </cacheField>
    <cacheField name="Column2012" numFmtId="0">
      <sharedItems containsNonDate="0" containsString="0" containsBlank="1"/>
    </cacheField>
    <cacheField name="Column2013" numFmtId="0">
      <sharedItems containsNonDate="0" containsString="0" containsBlank="1"/>
    </cacheField>
    <cacheField name="Column2014" numFmtId="0">
      <sharedItems containsNonDate="0" containsString="0" containsBlank="1"/>
    </cacheField>
    <cacheField name="Column2015" numFmtId="0">
      <sharedItems containsNonDate="0" containsString="0" containsBlank="1"/>
    </cacheField>
    <cacheField name="Column2016" numFmtId="0">
      <sharedItems containsNonDate="0" containsString="0" containsBlank="1"/>
    </cacheField>
    <cacheField name="Column2017" numFmtId="0">
      <sharedItems containsNonDate="0" containsString="0" containsBlank="1"/>
    </cacheField>
    <cacheField name="Column2018" numFmtId="0">
      <sharedItems containsNonDate="0" containsString="0" containsBlank="1"/>
    </cacheField>
    <cacheField name="Column2019" numFmtId="0">
      <sharedItems containsNonDate="0" containsString="0" containsBlank="1"/>
    </cacheField>
    <cacheField name="Column2020" numFmtId="0">
      <sharedItems containsNonDate="0" containsString="0" containsBlank="1"/>
    </cacheField>
    <cacheField name="Column2021" numFmtId="0">
      <sharedItems containsNonDate="0" containsString="0" containsBlank="1"/>
    </cacheField>
    <cacheField name="Column2022" numFmtId="0">
      <sharedItems containsNonDate="0" containsString="0" containsBlank="1"/>
    </cacheField>
    <cacheField name="Column2023" numFmtId="0">
      <sharedItems containsNonDate="0" containsString="0" containsBlank="1"/>
    </cacheField>
    <cacheField name="Column2024" numFmtId="0">
      <sharedItems containsNonDate="0" containsString="0" containsBlank="1"/>
    </cacheField>
    <cacheField name="Column2025" numFmtId="0">
      <sharedItems containsNonDate="0" containsString="0" containsBlank="1"/>
    </cacheField>
    <cacheField name="Column2026" numFmtId="0">
      <sharedItems containsNonDate="0" containsString="0" containsBlank="1"/>
    </cacheField>
    <cacheField name="Column2027" numFmtId="0">
      <sharedItems containsNonDate="0" containsString="0" containsBlank="1"/>
    </cacheField>
    <cacheField name="Column2028" numFmtId="0">
      <sharedItems containsNonDate="0" containsString="0" containsBlank="1"/>
    </cacheField>
    <cacheField name="Column2029" numFmtId="0">
      <sharedItems containsNonDate="0" containsString="0" containsBlank="1"/>
    </cacheField>
    <cacheField name="Column2030" numFmtId="0">
      <sharedItems containsNonDate="0" containsString="0" containsBlank="1"/>
    </cacheField>
    <cacheField name="Column2031" numFmtId="0">
      <sharedItems containsNonDate="0" containsString="0" containsBlank="1"/>
    </cacheField>
    <cacheField name="Column2032" numFmtId="0">
      <sharedItems containsNonDate="0" containsString="0" containsBlank="1"/>
    </cacheField>
    <cacheField name="Column2033" numFmtId="0">
      <sharedItems containsNonDate="0" containsString="0" containsBlank="1"/>
    </cacheField>
    <cacheField name="Column2034" numFmtId="0">
      <sharedItems containsNonDate="0" containsString="0" containsBlank="1"/>
    </cacheField>
    <cacheField name="Column2035" numFmtId="0">
      <sharedItems containsNonDate="0" containsString="0" containsBlank="1"/>
    </cacheField>
    <cacheField name="Column2036" numFmtId="0">
      <sharedItems containsNonDate="0" containsString="0" containsBlank="1"/>
    </cacheField>
    <cacheField name="Column2037" numFmtId="0">
      <sharedItems containsNonDate="0" containsString="0" containsBlank="1"/>
    </cacheField>
    <cacheField name="Column2038" numFmtId="0">
      <sharedItems containsNonDate="0" containsString="0" containsBlank="1"/>
    </cacheField>
    <cacheField name="Column2039" numFmtId="0">
      <sharedItems containsNonDate="0" containsString="0" containsBlank="1"/>
    </cacheField>
    <cacheField name="Column2040" numFmtId="0">
      <sharedItems containsNonDate="0" containsString="0" containsBlank="1"/>
    </cacheField>
    <cacheField name="Column2041" numFmtId="0">
      <sharedItems containsNonDate="0" containsString="0" containsBlank="1"/>
    </cacheField>
    <cacheField name="Column2042" numFmtId="0">
      <sharedItems containsNonDate="0" containsString="0" containsBlank="1"/>
    </cacheField>
    <cacheField name="Column2043" numFmtId="0">
      <sharedItems containsNonDate="0" containsString="0" containsBlank="1"/>
    </cacheField>
    <cacheField name="Column2044" numFmtId="0">
      <sharedItems containsNonDate="0" containsString="0" containsBlank="1"/>
    </cacheField>
    <cacheField name="Column2045" numFmtId="0">
      <sharedItems containsNonDate="0" containsString="0" containsBlank="1"/>
    </cacheField>
    <cacheField name="Column2046" numFmtId="0">
      <sharedItems containsNonDate="0" containsString="0" containsBlank="1"/>
    </cacheField>
    <cacheField name="Column2047" numFmtId="0">
      <sharedItems containsNonDate="0" containsString="0" containsBlank="1"/>
    </cacheField>
    <cacheField name="Column2048" numFmtId="0">
      <sharedItems containsNonDate="0" containsString="0" containsBlank="1"/>
    </cacheField>
    <cacheField name="Column2049" numFmtId="0">
      <sharedItems containsNonDate="0" containsString="0" containsBlank="1"/>
    </cacheField>
    <cacheField name="Column2050" numFmtId="0">
      <sharedItems containsNonDate="0" containsString="0" containsBlank="1"/>
    </cacheField>
    <cacheField name="Column2051" numFmtId="0">
      <sharedItems containsNonDate="0" containsString="0" containsBlank="1"/>
    </cacheField>
    <cacheField name="Column2052" numFmtId="0">
      <sharedItems containsNonDate="0" containsString="0" containsBlank="1"/>
    </cacheField>
    <cacheField name="Column2053" numFmtId="0">
      <sharedItems containsNonDate="0" containsString="0" containsBlank="1"/>
    </cacheField>
    <cacheField name="Column2054" numFmtId="0">
      <sharedItems containsNonDate="0" containsString="0" containsBlank="1"/>
    </cacheField>
    <cacheField name="Column2055" numFmtId="0">
      <sharedItems containsNonDate="0" containsString="0" containsBlank="1"/>
    </cacheField>
    <cacheField name="Column2056" numFmtId="0">
      <sharedItems containsNonDate="0" containsString="0" containsBlank="1"/>
    </cacheField>
    <cacheField name="Column2057" numFmtId="0">
      <sharedItems containsNonDate="0" containsString="0" containsBlank="1"/>
    </cacheField>
    <cacheField name="Column2058" numFmtId="0">
      <sharedItems containsNonDate="0" containsString="0" containsBlank="1"/>
    </cacheField>
    <cacheField name="Column2059" numFmtId="0">
      <sharedItems containsNonDate="0" containsString="0" containsBlank="1"/>
    </cacheField>
    <cacheField name="Column2060" numFmtId="0">
      <sharedItems containsNonDate="0" containsString="0" containsBlank="1"/>
    </cacheField>
    <cacheField name="Column2061" numFmtId="0">
      <sharedItems containsNonDate="0" containsString="0" containsBlank="1"/>
    </cacheField>
    <cacheField name="Column2062" numFmtId="0">
      <sharedItems containsNonDate="0" containsString="0" containsBlank="1"/>
    </cacheField>
    <cacheField name="Column2063" numFmtId="0">
      <sharedItems containsNonDate="0" containsString="0" containsBlank="1"/>
    </cacheField>
    <cacheField name="Column2064" numFmtId="0">
      <sharedItems containsNonDate="0" containsString="0" containsBlank="1"/>
    </cacheField>
    <cacheField name="Column2065" numFmtId="0">
      <sharedItems containsNonDate="0" containsString="0" containsBlank="1"/>
    </cacheField>
    <cacheField name="Column2066" numFmtId="0">
      <sharedItems containsNonDate="0" containsString="0" containsBlank="1"/>
    </cacheField>
    <cacheField name="Column2067" numFmtId="0">
      <sharedItems containsNonDate="0" containsString="0" containsBlank="1"/>
    </cacheField>
    <cacheField name="Column2068" numFmtId="0">
      <sharedItems containsNonDate="0" containsString="0" containsBlank="1"/>
    </cacheField>
    <cacheField name="Column2069" numFmtId="0">
      <sharedItems containsNonDate="0" containsString="0" containsBlank="1"/>
    </cacheField>
    <cacheField name="Column2070" numFmtId="0">
      <sharedItems containsNonDate="0" containsString="0" containsBlank="1"/>
    </cacheField>
    <cacheField name="Column2071" numFmtId="0">
      <sharedItems containsNonDate="0" containsString="0" containsBlank="1"/>
    </cacheField>
    <cacheField name="Column2072" numFmtId="0">
      <sharedItems containsNonDate="0" containsString="0" containsBlank="1"/>
    </cacheField>
    <cacheField name="Column2073" numFmtId="0">
      <sharedItems containsNonDate="0" containsString="0" containsBlank="1"/>
    </cacheField>
    <cacheField name="Column2074" numFmtId="0">
      <sharedItems containsNonDate="0" containsString="0" containsBlank="1"/>
    </cacheField>
    <cacheField name="Column2075" numFmtId="0">
      <sharedItems containsNonDate="0" containsString="0" containsBlank="1"/>
    </cacheField>
    <cacheField name="Column2076" numFmtId="0">
      <sharedItems containsNonDate="0" containsString="0" containsBlank="1"/>
    </cacheField>
    <cacheField name="Column2077" numFmtId="0">
      <sharedItems containsNonDate="0" containsString="0" containsBlank="1"/>
    </cacheField>
    <cacheField name="Column2078" numFmtId="0">
      <sharedItems containsNonDate="0" containsString="0" containsBlank="1"/>
    </cacheField>
    <cacheField name="Column2079" numFmtId="0">
      <sharedItems containsNonDate="0" containsString="0" containsBlank="1"/>
    </cacheField>
    <cacheField name="Column2080" numFmtId="0">
      <sharedItems containsNonDate="0" containsString="0" containsBlank="1"/>
    </cacheField>
    <cacheField name="Column2081" numFmtId="0">
      <sharedItems containsNonDate="0" containsString="0" containsBlank="1"/>
    </cacheField>
    <cacheField name="Column2082" numFmtId="0">
      <sharedItems containsNonDate="0" containsString="0" containsBlank="1"/>
    </cacheField>
    <cacheField name="Column2083" numFmtId="0">
      <sharedItems containsNonDate="0" containsString="0" containsBlank="1"/>
    </cacheField>
    <cacheField name="Column2084" numFmtId="0">
      <sharedItems containsNonDate="0" containsString="0" containsBlank="1"/>
    </cacheField>
    <cacheField name="Column2085" numFmtId="0">
      <sharedItems containsNonDate="0" containsString="0" containsBlank="1"/>
    </cacheField>
    <cacheField name="Column2086" numFmtId="0">
      <sharedItems containsNonDate="0" containsString="0" containsBlank="1"/>
    </cacheField>
    <cacheField name="Column2087" numFmtId="0">
      <sharedItems containsNonDate="0" containsString="0" containsBlank="1"/>
    </cacheField>
    <cacheField name="Column2088" numFmtId="0">
      <sharedItems containsNonDate="0" containsString="0" containsBlank="1"/>
    </cacheField>
    <cacheField name="Column2089" numFmtId="0">
      <sharedItems containsNonDate="0" containsString="0" containsBlank="1"/>
    </cacheField>
    <cacheField name="Column2090" numFmtId="0">
      <sharedItems containsNonDate="0" containsString="0" containsBlank="1"/>
    </cacheField>
    <cacheField name="Column2091" numFmtId="0">
      <sharedItems containsNonDate="0" containsString="0" containsBlank="1"/>
    </cacheField>
    <cacheField name="Column2092" numFmtId="0">
      <sharedItems containsNonDate="0" containsString="0" containsBlank="1"/>
    </cacheField>
    <cacheField name="Column2093" numFmtId="0">
      <sharedItems containsNonDate="0" containsString="0" containsBlank="1"/>
    </cacheField>
    <cacheField name="Column2094" numFmtId="0">
      <sharedItems containsNonDate="0" containsString="0" containsBlank="1"/>
    </cacheField>
    <cacheField name="Column2095" numFmtId="0">
      <sharedItems containsNonDate="0" containsString="0" containsBlank="1"/>
    </cacheField>
    <cacheField name="Column2096" numFmtId="0">
      <sharedItems containsNonDate="0" containsString="0" containsBlank="1"/>
    </cacheField>
    <cacheField name="Column2097" numFmtId="0">
      <sharedItems containsNonDate="0" containsString="0" containsBlank="1"/>
    </cacheField>
    <cacheField name="Column2098" numFmtId="0">
      <sharedItems containsNonDate="0" containsString="0" containsBlank="1"/>
    </cacheField>
    <cacheField name="Column2099" numFmtId="0">
      <sharedItems containsNonDate="0" containsString="0" containsBlank="1"/>
    </cacheField>
    <cacheField name="Column2100" numFmtId="0">
      <sharedItems containsNonDate="0" containsString="0" containsBlank="1"/>
    </cacheField>
    <cacheField name="Column2101" numFmtId="0">
      <sharedItems containsNonDate="0" containsString="0" containsBlank="1"/>
    </cacheField>
    <cacheField name="Column2102" numFmtId="0">
      <sharedItems containsNonDate="0" containsString="0" containsBlank="1"/>
    </cacheField>
    <cacheField name="Column2103" numFmtId="0">
      <sharedItems containsNonDate="0" containsString="0" containsBlank="1"/>
    </cacheField>
    <cacheField name="Column2104" numFmtId="0">
      <sharedItems containsNonDate="0" containsString="0" containsBlank="1"/>
    </cacheField>
    <cacheField name="Column2105" numFmtId="0">
      <sharedItems containsNonDate="0" containsString="0" containsBlank="1"/>
    </cacheField>
    <cacheField name="Column2106" numFmtId="0">
      <sharedItems containsNonDate="0" containsString="0" containsBlank="1"/>
    </cacheField>
    <cacheField name="Column2107" numFmtId="0">
      <sharedItems containsNonDate="0" containsString="0" containsBlank="1"/>
    </cacheField>
    <cacheField name="Column2108" numFmtId="0">
      <sharedItems containsNonDate="0" containsString="0" containsBlank="1"/>
    </cacheField>
    <cacheField name="Column2109" numFmtId="0">
      <sharedItems containsNonDate="0" containsString="0" containsBlank="1"/>
    </cacheField>
    <cacheField name="Column2110" numFmtId="0">
      <sharedItems containsNonDate="0" containsString="0" containsBlank="1"/>
    </cacheField>
    <cacheField name="Column2111" numFmtId="0">
      <sharedItems containsNonDate="0" containsString="0" containsBlank="1"/>
    </cacheField>
    <cacheField name="Column2112" numFmtId="0">
      <sharedItems containsNonDate="0" containsString="0" containsBlank="1"/>
    </cacheField>
    <cacheField name="Column2113" numFmtId="0">
      <sharedItems containsNonDate="0" containsString="0" containsBlank="1"/>
    </cacheField>
    <cacheField name="Column2114" numFmtId="0">
      <sharedItems containsNonDate="0" containsString="0" containsBlank="1"/>
    </cacheField>
    <cacheField name="Column2115" numFmtId="0">
      <sharedItems containsNonDate="0" containsString="0" containsBlank="1"/>
    </cacheField>
    <cacheField name="Column2116" numFmtId="0">
      <sharedItems containsNonDate="0" containsString="0" containsBlank="1"/>
    </cacheField>
    <cacheField name="Column2117" numFmtId="0">
      <sharedItems containsNonDate="0" containsString="0" containsBlank="1"/>
    </cacheField>
    <cacheField name="Column2118" numFmtId="0">
      <sharedItems containsNonDate="0" containsString="0" containsBlank="1"/>
    </cacheField>
    <cacheField name="Column2119" numFmtId="0">
      <sharedItems containsNonDate="0" containsString="0" containsBlank="1"/>
    </cacheField>
    <cacheField name="Column2120" numFmtId="0">
      <sharedItems containsNonDate="0" containsString="0" containsBlank="1"/>
    </cacheField>
    <cacheField name="Column2121" numFmtId="0">
      <sharedItems containsNonDate="0" containsString="0" containsBlank="1"/>
    </cacheField>
    <cacheField name="Column2122" numFmtId="0">
      <sharedItems containsNonDate="0" containsString="0" containsBlank="1"/>
    </cacheField>
    <cacheField name="Column2123" numFmtId="0">
      <sharedItems containsNonDate="0" containsString="0" containsBlank="1"/>
    </cacheField>
    <cacheField name="Column2124" numFmtId="0">
      <sharedItems containsNonDate="0" containsString="0" containsBlank="1"/>
    </cacheField>
    <cacheField name="Column2125" numFmtId="0">
      <sharedItems containsNonDate="0" containsString="0" containsBlank="1"/>
    </cacheField>
    <cacheField name="Column2126" numFmtId="0">
      <sharedItems containsNonDate="0" containsString="0" containsBlank="1"/>
    </cacheField>
    <cacheField name="Column2127" numFmtId="0">
      <sharedItems containsNonDate="0" containsString="0" containsBlank="1"/>
    </cacheField>
    <cacheField name="Column2128" numFmtId="0">
      <sharedItems containsNonDate="0" containsString="0" containsBlank="1"/>
    </cacheField>
    <cacheField name="Column2129" numFmtId="0">
      <sharedItems containsNonDate="0" containsString="0" containsBlank="1"/>
    </cacheField>
    <cacheField name="Column2130" numFmtId="0">
      <sharedItems containsNonDate="0" containsString="0" containsBlank="1"/>
    </cacheField>
    <cacheField name="Column2131" numFmtId="0">
      <sharedItems containsNonDate="0" containsString="0" containsBlank="1"/>
    </cacheField>
    <cacheField name="Column2132" numFmtId="0">
      <sharedItems containsNonDate="0" containsString="0" containsBlank="1"/>
    </cacheField>
    <cacheField name="Column2133" numFmtId="0">
      <sharedItems containsNonDate="0" containsString="0" containsBlank="1"/>
    </cacheField>
    <cacheField name="Column2134" numFmtId="0">
      <sharedItems containsNonDate="0" containsString="0" containsBlank="1"/>
    </cacheField>
    <cacheField name="Column2135" numFmtId="0">
      <sharedItems containsNonDate="0" containsString="0" containsBlank="1"/>
    </cacheField>
    <cacheField name="Column2136" numFmtId="0">
      <sharedItems containsNonDate="0" containsString="0" containsBlank="1"/>
    </cacheField>
    <cacheField name="Column2137" numFmtId="0">
      <sharedItems containsNonDate="0" containsString="0" containsBlank="1"/>
    </cacheField>
    <cacheField name="Column2138" numFmtId="0">
      <sharedItems containsNonDate="0" containsString="0" containsBlank="1"/>
    </cacheField>
    <cacheField name="Column2139" numFmtId="0">
      <sharedItems containsNonDate="0" containsString="0" containsBlank="1"/>
    </cacheField>
    <cacheField name="Column2140" numFmtId="0">
      <sharedItems containsNonDate="0" containsString="0" containsBlank="1"/>
    </cacheField>
    <cacheField name="Column2141" numFmtId="0">
      <sharedItems containsNonDate="0" containsString="0" containsBlank="1"/>
    </cacheField>
    <cacheField name="Column2142" numFmtId="0">
      <sharedItems containsNonDate="0" containsString="0" containsBlank="1"/>
    </cacheField>
    <cacheField name="Column2143" numFmtId="0">
      <sharedItems containsNonDate="0" containsString="0" containsBlank="1"/>
    </cacheField>
    <cacheField name="Column2144" numFmtId="0">
      <sharedItems containsNonDate="0" containsString="0" containsBlank="1"/>
    </cacheField>
    <cacheField name="Column2145" numFmtId="0">
      <sharedItems containsNonDate="0" containsString="0" containsBlank="1"/>
    </cacheField>
    <cacheField name="Column2146" numFmtId="0">
      <sharedItems containsNonDate="0" containsString="0" containsBlank="1"/>
    </cacheField>
    <cacheField name="Column2147" numFmtId="0">
      <sharedItems containsNonDate="0" containsString="0" containsBlank="1"/>
    </cacheField>
    <cacheField name="Column2148" numFmtId="0">
      <sharedItems containsNonDate="0" containsString="0" containsBlank="1"/>
    </cacheField>
    <cacheField name="Column2149" numFmtId="0">
      <sharedItems containsNonDate="0" containsString="0" containsBlank="1"/>
    </cacheField>
    <cacheField name="Column2150" numFmtId="0">
      <sharedItems containsNonDate="0" containsString="0" containsBlank="1"/>
    </cacheField>
    <cacheField name="Column2151" numFmtId="0">
      <sharedItems containsNonDate="0" containsString="0" containsBlank="1"/>
    </cacheField>
    <cacheField name="Column2152" numFmtId="0">
      <sharedItems containsNonDate="0" containsString="0" containsBlank="1"/>
    </cacheField>
    <cacheField name="Column2153" numFmtId="0">
      <sharedItems containsNonDate="0" containsString="0" containsBlank="1"/>
    </cacheField>
    <cacheField name="Column2154" numFmtId="0">
      <sharedItems containsNonDate="0" containsString="0" containsBlank="1"/>
    </cacheField>
    <cacheField name="Column2155" numFmtId="0">
      <sharedItems containsNonDate="0" containsString="0" containsBlank="1"/>
    </cacheField>
    <cacheField name="Column2156" numFmtId="0">
      <sharedItems containsNonDate="0" containsString="0" containsBlank="1"/>
    </cacheField>
    <cacheField name="Column2157" numFmtId="0">
      <sharedItems containsNonDate="0" containsString="0" containsBlank="1"/>
    </cacheField>
    <cacheField name="Column2158" numFmtId="0">
      <sharedItems containsNonDate="0" containsString="0" containsBlank="1"/>
    </cacheField>
    <cacheField name="Column2159" numFmtId="0">
      <sharedItems containsNonDate="0" containsString="0" containsBlank="1"/>
    </cacheField>
    <cacheField name="Column2160" numFmtId="0">
      <sharedItems containsNonDate="0" containsString="0" containsBlank="1"/>
    </cacheField>
    <cacheField name="Column2161" numFmtId="0">
      <sharedItems containsNonDate="0" containsString="0" containsBlank="1"/>
    </cacheField>
    <cacheField name="Column2162" numFmtId="0">
      <sharedItems containsNonDate="0" containsString="0" containsBlank="1"/>
    </cacheField>
    <cacheField name="Column2163" numFmtId="0">
      <sharedItems containsNonDate="0" containsString="0" containsBlank="1"/>
    </cacheField>
    <cacheField name="Column2164" numFmtId="0">
      <sharedItems containsNonDate="0" containsString="0" containsBlank="1"/>
    </cacheField>
    <cacheField name="Column2165" numFmtId="0">
      <sharedItems containsNonDate="0" containsString="0" containsBlank="1"/>
    </cacheField>
    <cacheField name="Column2166" numFmtId="0">
      <sharedItems containsNonDate="0" containsString="0" containsBlank="1"/>
    </cacheField>
    <cacheField name="Column2167" numFmtId="0">
      <sharedItems containsNonDate="0" containsString="0" containsBlank="1"/>
    </cacheField>
    <cacheField name="Column2168" numFmtId="0">
      <sharedItems containsNonDate="0" containsString="0" containsBlank="1"/>
    </cacheField>
    <cacheField name="Column2169" numFmtId="0">
      <sharedItems containsNonDate="0" containsString="0" containsBlank="1"/>
    </cacheField>
    <cacheField name="Column2170" numFmtId="0">
      <sharedItems containsNonDate="0" containsString="0" containsBlank="1"/>
    </cacheField>
    <cacheField name="Column2171" numFmtId="0">
      <sharedItems containsNonDate="0" containsString="0" containsBlank="1"/>
    </cacheField>
    <cacheField name="Column2172" numFmtId="0">
      <sharedItems containsNonDate="0" containsString="0" containsBlank="1"/>
    </cacheField>
    <cacheField name="Column2173" numFmtId="0">
      <sharedItems containsNonDate="0" containsString="0" containsBlank="1"/>
    </cacheField>
    <cacheField name="Column2174" numFmtId="0">
      <sharedItems containsNonDate="0" containsString="0" containsBlank="1"/>
    </cacheField>
    <cacheField name="Column2175" numFmtId="0">
      <sharedItems containsNonDate="0" containsString="0" containsBlank="1"/>
    </cacheField>
    <cacheField name="Column2176" numFmtId="0">
      <sharedItems containsNonDate="0" containsString="0" containsBlank="1"/>
    </cacheField>
    <cacheField name="Column2177" numFmtId="0">
      <sharedItems containsNonDate="0" containsString="0" containsBlank="1"/>
    </cacheField>
    <cacheField name="Column2178" numFmtId="0">
      <sharedItems containsNonDate="0" containsString="0" containsBlank="1"/>
    </cacheField>
    <cacheField name="Column2179" numFmtId="0">
      <sharedItems containsNonDate="0" containsString="0" containsBlank="1"/>
    </cacheField>
    <cacheField name="Column2180" numFmtId="0">
      <sharedItems containsNonDate="0" containsString="0" containsBlank="1"/>
    </cacheField>
    <cacheField name="Column2181" numFmtId="0">
      <sharedItems containsNonDate="0" containsString="0" containsBlank="1"/>
    </cacheField>
    <cacheField name="Column2182" numFmtId="0">
      <sharedItems containsNonDate="0" containsString="0" containsBlank="1"/>
    </cacheField>
    <cacheField name="Column2183" numFmtId="0">
      <sharedItems containsNonDate="0" containsString="0" containsBlank="1"/>
    </cacheField>
    <cacheField name="Column2184" numFmtId="0">
      <sharedItems containsNonDate="0" containsString="0" containsBlank="1"/>
    </cacheField>
    <cacheField name="Column2185" numFmtId="0">
      <sharedItems containsNonDate="0" containsString="0" containsBlank="1"/>
    </cacheField>
    <cacheField name="Column2186" numFmtId="0">
      <sharedItems containsNonDate="0" containsString="0" containsBlank="1"/>
    </cacheField>
    <cacheField name="Column2187" numFmtId="0">
      <sharedItems containsNonDate="0" containsString="0" containsBlank="1"/>
    </cacheField>
    <cacheField name="Column2188" numFmtId="0">
      <sharedItems containsNonDate="0" containsString="0" containsBlank="1"/>
    </cacheField>
    <cacheField name="Column2189" numFmtId="0">
      <sharedItems containsNonDate="0" containsString="0" containsBlank="1"/>
    </cacheField>
    <cacheField name="Column2190" numFmtId="0">
      <sharedItems containsNonDate="0" containsString="0" containsBlank="1"/>
    </cacheField>
    <cacheField name="Column2191" numFmtId="0">
      <sharedItems containsNonDate="0" containsString="0" containsBlank="1"/>
    </cacheField>
    <cacheField name="Column2192" numFmtId="0">
      <sharedItems containsNonDate="0" containsString="0" containsBlank="1"/>
    </cacheField>
    <cacheField name="Column2193" numFmtId="0">
      <sharedItems containsNonDate="0" containsString="0" containsBlank="1"/>
    </cacheField>
    <cacheField name="Column2194" numFmtId="0">
      <sharedItems containsNonDate="0" containsString="0" containsBlank="1"/>
    </cacheField>
    <cacheField name="Column2195" numFmtId="0">
      <sharedItems containsNonDate="0" containsString="0" containsBlank="1"/>
    </cacheField>
    <cacheField name="Column2196" numFmtId="0">
      <sharedItems containsNonDate="0" containsString="0" containsBlank="1"/>
    </cacheField>
    <cacheField name="Column2197" numFmtId="0">
      <sharedItems containsNonDate="0" containsString="0" containsBlank="1"/>
    </cacheField>
    <cacheField name="Column2198" numFmtId="0">
      <sharedItems containsNonDate="0" containsString="0" containsBlank="1"/>
    </cacheField>
    <cacheField name="Column2199" numFmtId="0">
      <sharedItems containsNonDate="0" containsString="0" containsBlank="1"/>
    </cacheField>
    <cacheField name="Column2200" numFmtId="0">
      <sharedItems containsNonDate="0" containsString="0" containsBlank="1"/>
    </cacheField>
    <cacheField name="Column2201" numFmtId="0">
      <sharedItems containsNonDate="0" containsString="0" containsBlank="1"/>
    </cacheField>
    <cacheField name="Column2202" numFmtId="0">
      <sharedItems containsNonDate="0" containsString="0" containsBlank="1"/>
    </cacheField>
    <cacheField name="Column2203" numFmtId="0">
      <sharedItems containsNonDate="0" containsString="0" containsBlank="1"/>
    </cacheField>
    <cacheField name="Column2204" numFmtId="0">
      <sharedItems containsNonDate="0" containsString="0" containsBlank="1"/>
    </cacheField>
    <cacheField name="Column2205" numFmtId="0">
      <sharedItems containsNonDate="0" containsString="0" containsBlank="1"/>
    </cacheField>
    <cacheField name="Column2206" numFmtId="0">
      <sharedItems containsNonDate="0" containsString="0" containsBlank="1"/>
    </cacheField>
    <cacheField name="Column2207" numFmtId="0">
      <sharedItems containsNonDate="0" containsString="0" containsBlank="1"/>
    </cacheField>
    <cacheField name="Column2208" numFmtId="0">
      <sharedItems containsNonDate="0" containsString="0" containsBlank="1"/>
    </cacheField>
    <cacheField name="Column2209" numFmtId="0">
      <sharedItems containsNonDate="0" containsString="0" containsBlank="1"/>
    </cacheField>
    <cacheField name="Column2210" numFmtId="0">
      <sharedItems containsNonDate="0" containsString="0" containsBlank="1"/>
    </cacheField>
    <cacheField name="Column2211" numFmtId="0">
      <sharedItems containsNonDate="0" containsString="0" containsBlank="1"/>
    </cacheField>
    <cacheField name="Column2212" numFmtId="0">
      <sharedItems containsNonDate="0" containsString="0" containsBlank="1"/>
    </cacheField>
    <cacheField name="Column2213" numFmtId="0">
      <sharedItems containsNonDate="0" containsString="0" containsBlank="1"/>
    </cacheField>
    <cacheField name="Column2214" numFmtId="0">
      <sharedItems containsNonDate="0" containsString="0" containsBlank="1"/>
    </cacheField>
    <cacheField name="Column2215" numFmtId="0">
      <sharedItems containsNonDate="0" containsString="0" containsBlank="1"/>
    </cacheField>
    <cacheField name="Column2216" numFmtId="0">
      <sharedItems containsNonDate="0" containsString="0" containsBlank="1"/>
    </cacheField>
    <cacheField name="Column2217" numFmtId="0">
      <sharedItems containsNonDate="0" containsString="0" containsBlank="1"/>
    </cacheField>
    <cacheField name="Column2218" numFmtId="0">
      <sharedItems containsNonDate="0" containsString="0" containsBlank="1"/>
    </cacheField>
    <cacheField name="Column2219" numFmtId="0">
      <sharedItems containsNonDate="0" containsString="0" containsBlank="1"/>
    </cacheField>
    <cacheField name="Column2220" numFmtId="0">
      <sharedItems containsNonDate="0" containsString="0" containsBlank="1"/>
    </cacheField>
    <cacheField name="Column2221" numFmtId="0">
      <sharedItems containsNonDate="0" containsString="0" containsBlank="1"/>
    </cacheField>
    <cacheField name="Column2222" numFmtId="0">
      <sharedItems containsNonDate="0" containsString="0" containsBlank="1"/>
    </cacheField>
    <cacheField name="Column2223" numFmtId="0">
      <sharedItems containsNonDate="0" containsString="0" containsBlank="1"/>
    </cacheField>
    <cacheField name="Column2224" numFmtId="0">
      <sharedItems containsNonDate="0" containsString="0" containsBlank="1"/>
    </cacheField>
    <cacheField name="Column2225" numFmtId="0">
      <sharedItems containsNonDate="0" containsString="0" containsBlank="1"/>
    </cacheField>
    <cacheField name="Column2226" numFmtId="0">
      <sharedItems containsNonDate="0" containsString="0" containsBlank="1"/>
    </cacheField>
    <cacheField name="Column2227" numFmtId="0">
      <sharedItems containsNonDate="0" containsString="0" containsBlank="1"/>
    </cacheField>
    <cacheField name="Column2228" numFmtId="0">
      <sharedItems containsNonDate="0" containsString="0" containsBlank="1"/>
    </cacheField>
    <cacheField name="Column2229" numFmtId="0">
      <sharedItems containsNonDate="0" containsString="0" containsBlank="1"/>
    </cacheField>
    <cacheField name="Column2230" numFmtId="0">
      <sharedItems containsNonDate="0" containsString="0" containsBlank="1"/>
    </cacheField>
    <cacheField name="Column2231" numFmtId="0">
      <sharedItems containsNonDate="0" containsString="0" containsBlank="1"/>
    </cacheField>
    <cacheField name="Column2232" numFmtId="0">
      <sharedItems containsNonDate="0" containsString="0" containsBlank="1"/>
    </cacheField>
    <cacheField name="Column2233" numFmtId="0">
      <sharedItems containsNonDate="0" containsString="0" containsBlank="1"/>
    </cacheField>
    <cacheField name="Column2234" numFmtId="0">
      <sharedItems containsNonDate="0" containsString="0" containsBlank="1"/>
    </cacheField>
    <cacheField name="Column2235" numFmtId="0">
      <sharedItems containsNonDate="0" containsString="0" containsBlank="1"/>
    </cacheField>
    <cacheField name="Column2236" numFmtId="0">
      <sharedItems containsNonDate="0" containsString="0" containsBlank="1"/>
    </cacheField>
    <cacheField name="Column2237" numFmtId="0">
      <sharedItems containsNonDate="0" containsString="0" containsBlank="1"/>
    </cacheField>
    <cacheField name="Column2238" numFmtId="0">
      <sharedItems containsNonDate="0" containsString="0" containsBlank="1"/>
    </cacheField>
    <cacheField name="Column2239" numFmtId="0">
      <sharedItems containsNonDate="0" containsString="0" containsBlank="1"/>
    </cacheField>
    <cacheField name="Column2240" numFmtId="0">
      <sharedItems containsNonDate="0" containsString="0" containsBlank="1"/>
    </cacheField>
    <cacheField name="Column2241" numFmtId="0">
      <sharedItems containsNonDate="0" containsString="0" containsBlank="1"/>
    </cacheField>
    <cacheField name="Column2242" numFmtId="0">
      <sharedItems containsNonDate="0" containsString="0" containsBlank="1"/>
    </cacheField>
    <cacheField name="Column2243" numFmtId="0">
      <sharedItems containsNonDate="0" containsString="0" containsBlank="1"/>
    </cacheField>
    <cacheField name="Column2244" numFmtId="0">
      <sharedItems containsNonDate="0" containsString="0" containsBlank="1"/>
    </cacheField>
    <cacheField name="Column2245" numFmtId="0">
      <sharedItems containsNonDate="0" containsString="0" containsBlank="1"/>
    </cacheField>
    <cacheField name="Column2246" numFmtId="0">
      <sharedItems containsNonDate="0" containsString="0" containsBlank="1"/>
    </cacheField>
    <cacheField name="Column2247" numFmtId="0">
      <sharedItems containsNonDate="0" containsString="0" containsBlank="1"/>
    </cacheField>
    <cacheField name="Column2248" numFmtId="0">
      <sharedItems containsNonDate="0" containsString="0" containsBlank="1"/>
    </cacheField>
    <cacheField name="Column2249" numFmtId="0">
      <sharedItems containsNonDate="0" containsString="0" containsBlank="1"/>
    </cacheField>
    <cacheField name="Column2250" numFmtId="0">
      <sharedItems containsNonDate="0" containsString="0" containsBlank="1"/>
    </cacheField>
    <cacheField name="Column2251" numFmtId="0">
      <sharedItems containsNonDate="0" containsString="0" containsBlank="1"/>
    </cacheField>
    <cacheField name="Column2252" numFmtId="0">
      <sharedItems containsNonDate="0" containsString="0" containsBlank="1"/>
    </cacheField>
    <cacheField name="Column2253" numFmtId="0">
      <sharedItems containsNonDate="0" containsString="0" containsBlank="1"/>
    </cacheField>
    <cacheField name="Column2254" numFmtId="0">
      <sharedItems containsNonDate="0" containsString="0" containsBlank="1"/>
    </cacheField>
    <cacheField name="Column2255" numFmtId="0">
      <sharedItems containsNonDate="0" containsString="0" containsBlank="1"/>
    </cacheField>
    <cacheField name="Column2256" numFmtId="0">
      <sharedItems containsNonDate="0" containsString="0" containsBlank="1"/>
    </cacheField>
    <cacheField name="Column2257" numFmtId="0">
      <sharedItems containsNonDate="0" containsString="0" containsBlank="1"/>
    </cacheField>
    <cacheField name="Column2258" numFmtId="0">
      <sharedItems containsNonDate="0" containsString="0" containsBlank="1"/>
    </cacheField>
    <cacheField name="Column2259" numFmtId="0">
      <sharedItems containsNonDate="0" containsString="0" containsBlank="1"/>
    </cacheField>
    <cacheField name="Column2260" numFmtId="0">
      <sharedItems containsNonDate="0" containsString="0" containsBlank="1"/>
    </cacheField>
    <cacheField name="Column2261" numFmtId="0">
      <sharedItems containsNonDate="0" containsString="0" containsBlank="1"/>
    </cacheField>
    <cacheField name="Column2262" numFmtId="0">
      <sharedItems containsNonDate="0" containsString="0" containsBlank="1"/>
    </cacheField>
    <cacheField name="Column2263" numFmtId="0">
      <sharedItems containsNonDate="0" containsString="0" containsBlank="1"/>
    </cacheField>
    <cacheField name="Column2264" numFmtId="0">
      <sharedItems containsNonDate="0" containsString="0" containsBlank="1"/>
    </cacheField>
    <cacheField name="Column2265" numFmtId="0">
      <sharedItems containsNonDate="0" containsString="0" containsBlank="1"/>
    </cacheField>
    <cacheField name="Column2266" numFmtId="0">
      <sharedItems containsNonDate="0" containsString="0" containsBlank="1"/>
    </cacheField>
    <cacheField name="Column2267" numFmtId="0">
      <sharedItems containsNonDate="0" containsString="0" containsBlank="1"/>
    </cacheField>
    <cacheField name="Column2268" numFmtId="0">
      <sharedItems containsNonDate="0" containsString="0" containsBlank="1"/>
    </cacheField>
    <cacheField name="Column2269" numFmtId="0">
      <sharedItems containsNonDate="0" containsString="0" containsBlank="1"/>
    </cacheField>
    <cacheField name="Column2270" numFmtId="0">
      <sharedItems containsNonDate="0" containsString="0" containsBlank="1"/>
    </cacheField>
    <cacheField name="Column2271" numFmtId="0">
      <sharedItems containsNonDate="0" containsString="0" containsBlank="1"/>
    </cacheField>
    <cacheField name="Column2272" numFmtId="0">
      <sharedItems containsNonDate="0" containsString="0" containsBlank="1"/>
    </cacheField>
    <cacheField name="Column2273" numFmtId="0">
      <sharedItems containsNonDate="0" containsString="0" containsBlank="1"/>
    </cacheField>
    <cacheField name="Column2274" numFmtId="0">
      <sharedItems containsNonDate="0" containsString="0" containsBlank="1"/>
    </cacheField>
    <cacheField name="Column2275" numFmtId="0">
      <sharedItems containsNonDate="0" containsString="0" containsBlank="1"/>
    </cacheField>
    <cacheField name="Column2276" numFmtId="0">
      <sharedItems containsNonDate="0" containsString="0" containsBlank="1"/>
    </cacheField>
    <cacheField name="Column2277" numFmtId="0">
      <sharedItems containsNonDate="0" containsString="0" containsBlank="1"/>
    </cacheField>
    <cacheField name="Column2278" numFmtId="0">
      <sharedItems containsNonDate="0" containsString="0" containsBlank="1"/>
    </cacheField>
    <cacheField name="Column2279" numFmtId="0">
      <sharedItems containsNonDate="0" containsString="0" containsBlank="1"/>
    </cacheField>
    <cacheField name="Column2280" numFmtId="0">
      <sharedItems containsNonDate="0" containsString="0" containsBlank="1"/>
    </cacheField>
    <cacheField name="Column2281" numFmtId="0">
      <sharedItems containsNonDate="0" containsString="0" containsBlank="1"/>
    </cacheField>
    <cacheField name="Column2282" numFmtId="0">
      <sharedItems containsNonDate="0" containsString="0" containsBlank="1"/>
    </cacheField>
    <cacheField name="Column2283" numFmtId="0">
      <sharedItems containsNonDate="0" containsString="0" containsBlank="1"/>
    </cacheField>
    <cacheField name="Column2284" numFmtId="0">
      <sharedItems containsNonDate="0" containsString="0" containsBlank="1"/>
    </cacheField>
    <cacheField name="Column2285" numFmtId="0">
      <sharedItems containsNonDate="0" containsString="0" containsBlank="1"/>
    </cacheField>
    <cacheField name="Column2286" numFmtId="0">
      <sharedItems containsNonDate="0" containsString="0" containsBlank="1"/>
    </cacheField>
    <cacheField name="Column2287" numFmtId="0">
      <sharedItems containsNonDate="0" containsString="0" containsBlank="1"/>
    </cacheField>
    <cacheField name="Column2288" numFmtId="0">
      <sharedItems containsNonDate="0" containsString="0" containsBlank="1"/>
    </cacheField>
    <cacheField name="Column2289" numFmtId="0">
      <sharedItems containsNonDate="0" containsString="0" containsBlank="1"/>
    </cacheField>
    <cacheField name="Column2290" numFmtId="0">
      <sharedItems containsNonDate="0" containsString="0" containsBlank="1"/>
    </cacheField>
    <cacheField name="Column2291" numFmtId="0">
      <sharedItems containsNonDate="0" containsString="0" containsBlank="1"/>
    </cacheField>
    <cacheField name="Column2292" numFmtId="0">
      <sharedItems containsNonDate="0" containsString="0" containsBlank="1"/>
    </cacheField>
    <cacheField name="Column2293" numFmtId="0">
      <sharedItems containsNonDate="0" containsString="0" containsBlank="1"/>
    </cacheField>
    <cacheField name="Column2294" numFmtId="0">
      <sharedItems containsNonDate="0" containsString="0" containsBlank="1"/>
    </cacheField>
    <cacheField name="Column2295" numFmtId="0">
      <sharedItems containsNonDate="0" containsString="0" containsBlank="1"/>
    </cacheField>
    <cacheField name="Column2296" numFmtId="0">
      <sharedItems containsNonDate="0" containsString="0" containsBlank="1"/>
    </cacheField>
    <cacheField name="Column2297" numFmtId="0">
      <sharedItems containsNonDate="0" containsString="0" containsBlank="1"/>
    </cacheField>
    <cacheField name="Column2298" numFmtId="0">
      <sharedItems containsNonDate="0" containsString="0" containsBlank="1"/>
    </cacheField>
    <cacheField name="Column2299" numFmtId="0">
      <sharedItems containsNonDate="0" containsString="0" containsBlank="1"/>
    </cacheField>
    <cacheField name="Column2300" numFmtId="0">
      <sharedItems containsNonDate="0" containsString="0" containsBlank="1"/>
    </cacheField>
    <cacheField name="Column2301" numFmtId="0">
      <sharedItems containsNonDate="0" containsString="0" containsBlank="1"/>
    </cacheField>
    <cacheField name="Column2302" numFmtId="0">
      <sharedItems containsNonDate="0" containsString="0" containsBlank="1"/>
    </cacheField>
    <cacheField name="Column2303" numFmtId="0">
      <sharedItems containsNonDate="0" containsString="0" containsBlank="1"/>
    </cacheField>
    <cacheField name="Column2304" numFmtId="0">
      <sharedItems containsNonDate="0" containsString="0" containsBlank="1"/>
    </cacheField>
    <cacheField name="Column2305" numFmtId="0">
      <sharedItems containsNonDate="0" containsString="0" containsBlank="1"/>
    </cacheField>
    <cacheField name="Column2306" numFmtId="0">
      <sharedItems containsNonDate="0" containsString="0" containsBlank="1"/>
    </cacheField>
    <cacheField name="Column2307" numFmtId="0">
      <sharedItems containsNonDate="0" containsString="0" containsBlank="1"/>
    </cacheField>
    <cacheField name="Column2308" numFmtId="0">
      <sharedItems containsNonDate="0" containsString="0" containsBlank="1"/>
    </cacheField>
    <cacheField name="Column2309" numFmtId="0">
      <sharedItems containsNonDate="0" containsString="0" containsBlank="1"/>
    </cacheField>
    <cacheField name="Column2310" numFmtId="0">
      <sharedItems containsNonDate="0" containsString="0" containsBlank="1"/>
    </cacheField>
    <cacheField name="Column2311" numFmtId="0">
      <sharedItems containsNonDate="0" containsString="0" containsBlank="1"/>
    </cacheField>
    <cacheField name="Column2312" numFmtId="0">
      <sharedItems containsNonDate="0" containsString="0" containsBlank="1"/>
    </cacheField>
    <cacheField name="Column2313" numFmtId="0">
      <sharedItems containsNonDate="0" containsString="0" containsBlank="1"/>
    </cacheField>
    <cacheField name="Column2314" numFmtId="0">
      <sharedItems containsNonDate="0" containsString="0" containsBlank="1"/>
    </cacheField>
    <cacheField name="Column2315" numFmtId="0">
      <sharedItems containsNonDate="0" containsString="0" containsBlank="1"/>
    </cacheField>
    <cacheField name="Column2316" numFmtId="0">
      <sharedItems containsNonDate="0" containsString="0" containsBlank="1"/>
    </cacheField>
    <cacheField name="Column2317" numFmtId="0">
      <sharedItems containsNonDate="0" containsString="0" containsBlank="1"/>
    </cacheField>
    <cacheField name="Column2318" numFmtId="0">
      <sharedItems containsNonDate="0" containsString="0" containsBlank="1"/>
    </cacheField>
    <cacheField name="Column2319" numFmtId="0">
      <sharedItems containsNonDate="0" containsString="0" containsBlank="1"/>
    </cacheField>
    <cacheField name="Column2320" numFmtId="0">
      <sharedItems containsNonDate="0" containsString="0" containsBlank="1"/>
    </cacheField>
    <cacheField name="Column2321" numFmtId="0">
      <sharedItems containsNonDate="0" containsString="0" containsBlank="1"/>
    </cacheField>
    <cacheField name="Column2322" numFmtId="0">
      <sharedItems containsNonDate="0" containsString="0" containsBlank="1"/>
    </cacheField>
    <cacheField name="Column2323" numFmtId="0">
      <sharedItems containsNonDate="0" containsString="0" containsBlank="1"/>
    </cacheField>
    <cacheField name="Column2324" numFmtId="0">
      <sharedItems containsNonDate="0" containsString="0" containsBlank="1"/>
    </cacheField>
    <cacheField name="Column2325" numFmtId="0">
      <sharedItems containsNonDate="0" containsString="0" containsBlank="1"/>
    </cacheField>
    <cacheField name="Column2326" numFmtId="0">
      <sharedItems containsNonDate="0" containsString="0" containsBlank="1"/>
    </cacheField>
    <cacheField name="Column2327" numFmtId="0">
      <sharedItems containsNonDate="0" containsString="0" containsBlank="1"/>
    </cacheField>
    <cacheField name="Column2328" numFmtId="0">
      <sharedItems containsNonDate="0" containsString="0" containsBlank="1"/>
    </cacheField>
    <cacheField name="Column2329" numFmtId="0">
      <sharedItems containsNonDate="0" containsString="0" containsBlank="1"/>
    </cacheField>
    <cacheField name="Column2330" numFmtId="0">
      <sharedItems containsNonDate="0" containsString="0" containsBlank="1"/>
    </cacheField>
    <cacheField name="Column2331" numFmtId="0">
      <sharedItems containsNonDate="0" containsString="0" containsBlank="1"/>
    </cacheField>
    <cacheField name="Column2332" numFmtId="0">
      <sharedItems containsNonDate="0" containsString="0" containsBlank="1"/>
    </cacheField>
    <cacheField name="Column2333" numFmtId="0">
      <sharedItems containsNonDate="0" containsString="0" containsBlank="1"/>
    </cacheField>
    <cacheField name="Column2334" numFmtId="0">
      <sharedItems containsNonDate="0" containsString="0" containsBlank="1"/>
    </cacheField>
    <cacheField name="Column2335" numFmtId="0">
      <sharedItems containsNonDate="0" containsString="0" containsBlank="1"/>
    </cacheField>
    <cacheField name="Column2336" numFmtId="0">
      <sharedItems containsNonDate="0" containsString="0" containsBlank="1"/>
    </cacheField>
    <cacheField name="Column2337" numFmtId="0">
      <sharedItems containsNonDate="0" containsString="0" containsBlank="1"/>
    </cacheField>
    <cacheField name="Column2338" numFmtId="0">
      <sharedItems containsNonDate="0" containsString="0" containsBlank="1"/>
    </cacheField>
    <cacheField name="Column2339" numFmtId="0">
      <sharedItems containsNonDate="0" containsString="0" containsBlank="1"/>
    </cacheField>
    <cacheField name="Column2340" numFmtId="0">
      <sharedItems containsNonDate="0" containsString="0" containsBlank="1"/>
    </cacheField>
    <cacheField name="Column2341" numFmtId="0">
      <sharedItems containsNonDate="0" containsString="0" containsBlank="1"/>
    </cacheField>
    <cacheField name="Column2342" numFmtId="0">
      <sharedItems containsNonDate="0" containsString="0" containsBlank="1"/>
    </cacheField>
    <cacheField name="Column2343" numFmtId="0">
      <sharedItems containsNonDate="0" containsString="0" containsBlank="1"/>
    </cacheField>
    <cacheField name="Column2344" numFmtId="0">
      <sharedItems containsNonDate="0" containsString="0" containsBlank="1"/>
    </cacheField>
    <cacheField name="Column2345" numFmtId="0">
      <sharedItems containsNonDate="0" containsString="0" containsBlank="1"/>
    </cacheField>
    <cacheField name="Column2346" numFmtId="0">
      <sharedItems containsNonDate="0" containsString="0" containsBlank="1"/>
    </cacheField>
    <cacheField name="Column2347" numFmtId="0">
      <sharedItems containsNonDate="0" containsString="0" containsBlank="1"/>
    </cacheField>
    <cacheField name="Column2348" numFmtId="0">
      <sharedItems containsNonDate="0" containsString="0" containsBlank="1"/>
    </cacheField>
    <cacheField name="Column2349" numFmtId="0">
      <sharedItems containsNonDate="0" containsString="0" containsBlank="1"/>
    </cacheField>
    <cacheField name="Column2350" numFmtId="0">
      <sharedItems containsNonDate="0" containsString="0" containsBlank="1"/>
    </cacheField>
    <cacheField name="Column2351" numFmtId="0">
      <sharedItems containsNonDate="0" containsString="0" containsBlank="1"/>
    </cacheField>
    <cacheField name="Column2352" numFmtId="0">
      <sharedItems containsNonDate="0" containsString="0" containsBlank="1"/>
    </cacheField>
    <cacheField name="Column2353" numFmtId="0">
      <sharedItems containsNonDate="0" containsString="0" containsBlank="1"/>
    </cacheField>
    <cacheField name="Column2354" numFmtId="0">
      <sharedItems containsNonDate="0" containsString="0" containsBlank="1"/>
    </cacheField>
    <cacheField name="Column2355" numFmtId="0">
      <sharedItems containsNonDate="0" containsString="0" containsBlank="1"/>
    </cacheField>
    <cacheField name="Column2356" numFmtId="0">
      <sharedItems containsNonDate="0" containsString="0" containsBlank="1"/>
    </cacheField>
    <cacheField name="Column2357" numFmtId="0">
      <sharedItems containsNonDate="0" containsString="0" containsBlank="1"/>
    </cacheField>
    <cacheField name="Column2358" numFmtId="0">
      <sharedItems containsNonDate="0" containsString="0" containsBlank="1"/>
    </cacheField>
    <cacheField name="Column2359" numFmtId="0">
      <sharedItems containsNonDate="0" containsString="0" containsBlank="1"/>
    </cacheField>
    <cacheField name="Column2360" numFmtId="0">
      <sharedItems containsNonDate="0" containsString="0" containsBlank="1"/>
    </cacheField>
    <cacheField name="Column2361" numFmtId="0">
      <sharedItems containsNonDate="0" containsString="0" containsBlank="1"/>
    </cacheField>
    <cacheField name="Column2362" numFmtId="0">
      <sharedItems containsNonDate="0" containsString="0" containsBlank="1"/>
    </cacheField>
    <cacheField name="Column2363" numFmtId="0">
      <sharedItems containsNonDate="0" containsString="0" containsBlank="1"/>
    </cacheField>
    <cacheField name="Column2364" numFmtId="0">
      <sharedItems containsNonDate="0" containsString="0" containsBlank="1"/>
    </cacheField>
    <cacheField name="Column2365" numFmtId="0">
      <sharedItems containsNonDate="0" containsString="0" containsBlank="1"/>
    </cacheField>
    <cacheField name="Column2366" numFmtId="0">
      <sharedItems containsNonDate="0" containsString="0" containsBlank="1"/>
    </cacheField>
    <cacheField name="Column2367" numFmtId="0">
      <sharedItems containsNonDate="0" containsString="0" containsBlank="1"/>
    </cacheField>
    <cacheField name="Column2368" numFmtId="0">
      <sharedItems containsNonDate="0" containsString="0" containsBlank="1"/>
    </cacheField>
    <cacheField name="Column2369" numFmtId="0">
      <sharedItems containsNonDate="0" containsString="0" containsBlank="1"/>
    </cacheField>
    <cacheField name="Column2370" numFmtId="0">
      <sharedItems containsNonDate="0" containsString="0" containsBlank="1"/>
    </cacheField>
    <cacheField name="Column2371" numFmtId="0">
      <sharedItems containsNonDate="0" containsString="0" containsBlank="1"/>
    </cacheField>
    <cacheField name="Column2372" numFmtId="0">
      <sharedItems containsNonDate="0" containsString="0" containsBlank="1"/>
    </cacheField>
    <cacheField name="Column2373" numFmtId="0">
      <sharedItems containsNonDate="0" containsString="0" containsBlank="1"/>
    </cacheField>
    <cacheField name="Column2374" numFmtId="0">
      <sharedItems containsNonDate="0" containsString="0" containsBlank="1"/>
    </cacheField>
    <cacheField name="Column2375" numFmtId="0">
      <sharedItems containsNonDate="0" containsString="0" containsBlank="1"/>
    </cacheField>
    <cacheField name="Column2376" numFmtId="0">
      <sharedItems containsNonDate="0" containsString="0" containsBlank="1"/>
    </cacheField>
    <cacheField name="Column2377" numFmtId="0">
      <sharedItems containsNonDate="0" containsString="0" containsBlank="1"/>
    </cacheField>
    <cacheField name="Column2378" numFmtId="0">
      <sharedItems containsNonDate="0" containsString="0" containsBlank="1"/>
    </cacheField>
    <cacheField name="Column2379" numFmtId="0">
      <sharedItems containsNonDate="0" containsString="0" containsBlank="1"/>
    </cacheField>
    <cacheField name="Column2380" numFmtId="0">
      <sharedItems containsNonDate="0" containsString="0" containsBlank="1"/>
    </cacheField>
    <cacheField name="Column2381" numFmtId="0">
      <sharedItems containsNonDate="0" containsString="0" containsBlank="1"/>
    </cacheField>
    <cacheField name="Column2382" numFmtId="0">
      <sharedItems containsNonDate="0" containsString="0" containsBlank="1"/>
    </cacheField>
    <cacheField name="Column2383" numFmtId="0">
      <sharedItems containsNonDate="0" containsString="0" containsBlank="1"/>
    </cacheField>
    <cacheField name="Column2384" numFmtId="0">
      <sharedItems containsNonDate="0" containsString="0" containsBlank="1"/>
    </cacheField>
    <cacheField name="Column2385" numFmtId="0">
      <sharedItems containsNonDate="0" containsString="0" containsBlank="1"/>
    </cacheField>
    <cacheField name="Column2386" numFmtId="0">
      <sharedItems containsNonDate="0" containsString="0" containsBlank="1"/>
    </cacheField>
    <cacheField name="Column2387" numFmtId="0">
      <sharedItems containsNonDate="0" containsString="0" containsBlank="1"/>
    </cacheField>
    <cacheField name="Column2388" numFmtId="0">
      <sharedItems containsNonDate="0" containsString="0" containsBlank="1"/>
    </cacheField>
    <cacheField name="Column2389" numFmtId="0">
      <sharedItems containsNonDate="0" containsString="0" containsBlank="1"/>
    </cacheField>
    <cacheField name="Column2390" numFmtId="0">
      <sharedItems containsNonDate="0" containsString="0" containsBlank="1"/>
    </cacheField>
    <cacheField name="Column2391" numFmtId="0">
      <sharedItems containsNonDate="0" containsString="0" containsBlank="1"/>
    </cacheField>
    <cacheField name="Column2392" numFmtId="0">
      <sharedItems containsNonDate="0" containsString="0" containsBlank="1"/>
    </cacheField>
    <cacheField name="Column2393" numFmtId="0">
      <sharedItems containsNonDate="0" containsString="0" containsBlank="1"/>
    </cacheField>
    <cacheField name="Column2394" numFmtId="0">
      <sharedItems containsNonDate="0" containsString="0" containsBlank="1"/>
    </cacheField>
    <cacheField name="Column2395" numFmtId="0">
      <sharedItems containsNonDate="0" containsString="0" containsBlank="1"/>
    </cacheField>
    <cacheField name="Column2396" numFmtId="0">
      <sharedItems containsNonDate="0" containsString="0" containsBlank="1"/>
    </cacheField>
    <cacheField name="Column2397" numFmtId="0">
      <sharedItems containsNonDate="0" containsString="0" containsBlank="1"/>
    </cacheField>
    <cacheField name="Column2398" numFmtId="0">
      <sharedItems containsNonDate="0" containsString="0" containsBlank="1"/>
    </cacheField>
    <cacheField name="Column2399" numFmtId="0">
      <sharedItems containsNonDate="0" containsString="0" containsBlank="1"/>
    </cacheField>
    <cacheField name="Column2400" numFmtId="0">
      <sharedItems containsNonDate="0" containsString="0" containsBlank="1"/>
    </cacheField>
    <cacheField name="Column2401" numFmtId="0">
      <sharedItems containsNonDate="0" containsString="0" containsBlank="1"/>
    </cacheField>
    <cacheField name="Column2402" numFmtId="0">
      <sharedItems containsNonDate="0" containsString="0" containsBlank="1"/>
    </cacheField>
    <cacheField name="Column2403" numFmtId="0">
      <sharedItems containsNonDate="0" containsString="0" containsBlank="1"/>
    </cacheField>
    <cacheField name="Column2404" numFmtId="0">
      <sharedItems containsNonDate="0" containsString="0" containsBlank="1"/>
    </cacheField>
    <cacheField name="Column2405" numFmtId="0">
      <sharedItems containsNonDate="0" containsString="0" containsBlank="1"/>
    </cacheField>
    <cacheField name="Column2406" numFmtId="0">
      <sharedItems containsNonDate="0" containsString="0" containsBlank="1"/>
    </cacheField>
    <cacheField name="Column2407" numFmtId="0">
      <sharedItems containsNonDate="0" containsString="0" containsBlank="1"/>
    </cacheField>
    <cacheField name="Column2408" numFmtId="0">
      <sharedItems containsNonDate="0" containsString="0" containsBlank="1"/>
    </cacheField>
    <cacheField name="Column2409" numFmtId="0">
      <sharedItems containsNonDate="0" containsString="0" containsBlank="1"/>
    </cacheField>
    <cacheField name="Column2410" numFmtId="0">
      <sharedItems containsNonDate="0" containsString="0" containsBlank="1"/>
    </cacheField>
    <cacheField name="Column2411" numFmtId="0">
      <sharedItems containsNonDate="0" containsString="0" containsBlank="1"/>
    </cacheField>
    <cacheField name="Column2412" numFmtId="0">
      <sharedItems containsNonDate="0" containsString="0" containsBlank="1"/>
    </cacheField>
    <cacheField name="Column2413" numFmtId="0">
      <sharedItems containsNonDate="0" containsString="0" containsBlank="1"/>
    </cacheField>
    <cacheField name="Column2414" numFmtId="0">
      <sharedItems containsNonDate="0" containsString="0" containsBlank="1"/>
    </cacheField>
    <cacheField name="Column2415" numFmtId="0">
      <sharedItems containsNonDate="0" containsString="0" containsBlank="1"/>
    </cacheField>
    <cacheField name="Column2416" numFmtId="0">
      <sharedItems containsNonDate="0" containsString="0" containsBlank="1"/>
    </cacheField>
    <cacheField name="Column2417" numFmtId="0">
      <sharedItems containsNonDate="0" containsString="0" containsBlank="1"/>
    </cacheField>
    <cacheField name="Column2418" numFmtId="0">
      <sharedItems containsNonDate="0" containsString="0" containsBlank="1"/>
    </cacheField>
    <cacheField name="Column2419" numFmtId="0">
      <sharedItems containsNonDate="0" containsString="0" containsBlank="1"/>
    </cacheField>
    <cacheField name="Column2420" numFmtId="0">
      <sharedItems containsNonDate="0" containsString="0" containsBlank="1"/>
    </cacheField>
    <cacheField name="Column2421" numFmtId="0">
      <sharedItems containsNonDate="0" containsString="0" containsBlank="1"/>
    </cacheField>
    <cacheField name="Column2422" numFmtId="0">
      <sharedItems containsNonDate="0" containsString="0" containsBlank="1"/>
    </cacheField>
    <cacheField name="Column2423" numFmtId="0">
      <sharedItems containsNonDate="0" containsString="0" containsBlank="1"/>
    </cacheField>
    <cacheField name="Column2424" numFmtId="0">
      <sharedItems containsNonDate="0" containsString="0" containsBlank="1"/>
    </cacheField>
    <cacheField name="Column2425" numFmtId="0">
      <sharedItems containsNonDate="0" containsString="0" containsBlank="1"/>
    </cacheField>
    <cacheField name="Column2426" numFmtId="0">
      <sharedItems containsNonDate="0" containsString="0" containsBlank="1"/>
    </cacheField>
    <cacheField name="Column2427" numFmtId="0">
      <sharedItems containsNonDate="0" containsString="0" containsBlank="1"/>
    </cacheField>
    <cacheField name="Column2428" numFmtId="0">
      <sharedItems containsNonDate="0" containsString="0" containsBlank="1"/>
    </cacheField>
    <cacheField name="Column2429" numFmtId="0">
      <sharedItems containsNonDate="0" containsString="0" containsBlank="1"/>
    </cacheField>
    <cacheField name="Column2430" numFmtId="0">
      <sharedItems containsNonDate="0" containsString="0" containsBlank="1"/>
    </cacheField>
    <cacheField name="Column2431" numFmtId="0">
      <sharedItems containsNonDate="0" containsString="0" containsBlank="1"/>
    </cacheField>
    <cacheField name="Column2432" numFmtId="0">
      <sharedItems containsNonDate="0" containsString="0" containsBlank="1"/>
    </cacheField>
    <cacheField name="Column2433" numFmtId="0">
      <sharedItems containsNonDate="0" containsString="0" containsBlank="1"/>
    </cacheField>
    <cacheField name="Column2434" numFmtId="0">
      <sharedItems containsNonDate="0" containsString="0" containsBlank="1"/>
    </cacheField>
    <cacheField name="Column2435" numFmtId="0">
      <sharedItems containsNonDate="0" containsString="0" containsBlank="1"/>
    </cacheField>
    <cacheField name="Column2436" numFmtId="0">
      <sharedItems containsNonDate="0" containsString="0" containsBlank="1"/>
    </cacheField>
    <cacheField name="Column2437" numFmtId="0">
      <sharedItems containsNonDate="0" containsString="0" containsBlank="1"/>
    </cacheField>
    <cacheField name="Column2438" numFmtId="0">
      <sharedItems containsNonDate="0" containsString="0" containsBlank="1"/>
    </cacheField>
    <cacheField name="Column2439" numFmtId="0">
      <sharedItems containsNonDate="0" containsString="0" containsBlank="1"/>
    </cacheField>
    <cacheField name="Column2440" numFmtId="0">
      <sharedItems containsNonDate="0" containsString="0" containsBlank="1"/>
    </cacheField>
    <cacheField name="Column2441" numFmtId="0">
      <sharedItems containsNonDate="0" containsString="0" containsBlank="1"/>
    </cacheField>
    <cacheField name="Column2442" numFmtId="0">
      <sharedItems containsNonDate="0" containsString="0" containsBlank="1"/>
    </cacheField>
    <cacheField name="Column2443" numFmtId="0">
      <sharedItems containsNonDate="0" containsString="0" containsBlank="1"/>
    </cacheField>
    <cacheField name="Column2444" numFmtId="0">
      <sharedItems containsNonDate="0" containsString="0" containsBlank="1"/>
    </cacheField>
    <cacheField name="Column2445" numFmtId="0">
      <sharedItems containsNonDate="0" containsString="0" containsBlank="1"/>
    </cacheField>
    <cacheField name="Column2446" numFmtId="0">
      <sharedItems containsNonDate="0" containsString="0" containsBlank="1"/>
    </cacheField>
    <cacheField name="Column2447" numFmtId="0">
      <sharedItems containsNonDate="0" containsString="0" containsBlank="1"/>
    </cacheField>
    <cacheField name="Column2448" numFmtId="0">
      <sharedItems containsNonDate="0" containsString="0" containsBlank="1"/>
    </cacheField>
    <cacheField name="Column2449" numFmtId="0">
      <sharedItems containsNonDate="0" containsString="0" containsBlank="1"/>
    </cacheField>
    <cacheField name="Column2450" numFmtId="0">
      <sharedItems containsNonDate="0" containsString="0" containsBlank="1"/>
    </cacheField>
    <cacheField name="Column2451" numFmtId="0">
      <sharedItems containsNonDate="0" containsString="0" containsBlank="1"/>
    </cacheField>
    <cacheField name="Column2452" numFmtId="0">
      <sharedItems containsNonDate="0" containsString="0" containsBlank="1"/>
    </cacheField>
    <cacheField name="Column2453" numFmtId="0">
      <sharedItems containsNonDate="0" containsString="0" containsBlank="1"/>
    </cacheField>
    <cacheField name="Column2454" numFmtId="0">
      <sharedItems containsNonDate="0" containsString="0" containsBlank="1"/>
    </cacheField>
    <cacheField name="Column2455" numFmtId="0">
      <sharedItems containsNonDate="0" containsString="0" containsBlank="1"/>
    </cacheField>
    <cacheField name="Column2456" numFmtId="0">
      <sharedItems containsNonDate="0" containsString="0" containsBlank="1"/>
    </cacheField>
    <cacheField name="Column2457" numFmtId="0">
      <sharedItems containsNonDate="0" containsString="0" containsBlank="1"/>
    </cacheField>
    <cacheField name="Column2458" numFmtId="0">
      <sharedItems containsNonDate="0" containsString="0" containsBlank="1"/>
    </cacheField>
    <cacheField name="Column2459" numFmtId="0">
      <sharedItems containsNonDate="0" containsString="0" containsBlank="1"/>
    </cacheField>
    <cacheField name="Column2460" numFmtId="0">
      <sharedItems containsNonDate="0" containsString="0" containsBlank="1"/>
    </cacheField>
    <cacheField name="Column2461" numFmtId="0">
      <sharedItems containsNonDate="0" containsString="0" containsBlank="1"/>
    </cacheField>
    <cacheField name="Column2462" numFmtId="0">
      <sharedItems containsNonDate="0" containsString="0" containsBlank="1"/>
    </cacheField>
    <cacheField name="Column2463" numFmtId="0">
      <sharedItems containsNonDate="0" containsString="0" containsBlank="1"/>
    </cacheField>
    <cacheField name="Column2464" numFmtId="0">
      <sharedItems containsNonDate="0" containsString="0" containsBlank="1"/>
    </cacheField>
    <cacheField name="Column2465" numFmtId="0">
      <sharedItems containsNonDate="0" containsString="0" containsBlank="1"/>
    </cacheField>
    <cacheField name="Column2466" numFmtId="0">
      <sharedItems containsNonDate="0" containsString="0" containsBlank="1"/>
    </cacheField>
    <cacheField name="Column2467" numFmtId="0">
      <sharedItems containsNonDate="0" containsString="0" containsBlank="1"/>
    </cacheField>
    <cacheField name="Column2468" numFmtId="0">
      <sharedItems containsNonDate="0" containsString="0" containsBlank="1"/>
    </cacheField>
    <cacheField name="Column2469" numFmtId="0">
      <sharedItems containsNonDate="0" containsString="0" containsBlank="1"/>
    </cacheField>
    <cacheField name="Column2470" numFmtId="0">
      <sharedItems containsNonDate="0" containsString="0" containsBlank="1"/>
    </cacheField>
    <cacheField name="Column2471" numFmtId="0">
      <sharedItems containsNonDate="0" containsString="0" containsBlank="1"/>
    </cacheField>
    <cacheField name="Column2472" numFmtId="0">
      <sharedItems containsNonDate="0" containsString="0" containsBlank="1"/>
    </cacheField>
    <cacheField name="Column2473" numFmtId="0">
      <sharedItems containsNonDate="0" containsString="0" containsBlank="1"/>
    </cacheField>
    <cacheField name="Column2474" numFmtId="0">
      <sharedItems containsNonDate="0" containsString="0" containsBlank="1"/>
    </cacheField>
    <cacheField name="Column2475" numFmtId="0">
      <sharedItems containsNonDate="0" containsString="0" containsBlank="1"/>
    </cacheField>
    <cacheField name="Column2476" numFmtId="0">
      <sharedItems containsNonDate="0" containsString="0" containsBlank="1"/>
    </cacheField>
    <cacheField name="Column2477" numFmtId="0">
      <sharedItems containsNonDate="0" containsString="0" containsBlank="1"/>
    </cacheField>
    <cacheField name="Column2478" numFmtId="0">
      <sharedItems containsNonDate="0" containsString="0" containsBlank="1"/>
    </cacheField>
    <cacheField name="Column2479" numFmtId="0">
      <sharedItems containsNonDate="0" containsString="0" containsBlank="1"/>
    </cacheField>
    <cacheField name="Column2480" numFmtId="0">
      <sharedItems containsNonDate="0" containsString="0" containsBlank="1"/>
    </cacheField>
    <cacheField name="Column2481" numFmtId="0">
      <sharedItems containsNonDate="0" containsString="0" containsBlank="1"/>
    </cacheField>
    <cacheField name="Column2482" numFmtId="0">
      <sharedItems containsNonDate="0" containsString="0" containsBlank="1"/>
    </cacheField>
    <cacheField name="Column2483" numFmtId="0">
      <sharedItems containsNonDate="0" containsString="0" containsBlank="1"/>
    </cacheField>
    <cacheField name="Column2484" numFmtId="0">
      <sharedItems containsNonDate="0" containsString="0" containsBlank="1"/>
    </cacheField>
    <cacheField name="Column2485" numFmtId="0">
      <sharedItems containsNonDate="0" containsString="0" containsBlank="1"/>
    </cacheField>
    <cacheField name="Column2486" numFmtId="0">
      <sharedItems containsNonDate="0" containsString="0" containsBlank="1"/>
    </cacheField>
    <cacheField name="Column2487" numFmtId="0">
      <sharedItems containsNonDate="0" containsString="0" containsBlank="1"/>
    </cacheField>
    <cacheField name="Column2488" numFmtId="0">
      <sharedItems containsNonDate="0" containsString="0" containsBlank="1"/>
    </cacheField>
    <cacheField name="Column2489" numFmtId="0">
      <sharedItems containsNonDate="0" containsString="0" containsBlank="1"/>
    </cacheField>
    <cacheField name="Column2490" numFmtId="0">
      <sharedItems containsNonDate="0" containsString="0" containsBlank="1"/>
    </cacheField>
    <cacheField name="Column2491" numFmtId="0">
      <sharedItems containsNonDate="0" containsString="0" containsBlank="1"/>
    </cacheField>
    <cacheField name="Column2492" numFmtId="0">
      <sharedItems containsNonDate="0" containsString="0" containsBlank="1"/>
    </cacheField>
    <cacheField name="Column2493" numFmtId="0">
      <sharedItems containsNonDate="0" containsString="0" containsBlank="1"/>
    </cacheField>
    <cacheField name="Column2494" numFmtId="0">
      <sharedItems containsNonDate="0" containsString="0" containsBlank="1"/>
    </cacheField>
    <cacheField name="Column2495" numFmtId="0">
      <sharedItems containsNonDate="0" containsString="0" containsBlank="1"/>
    </cacheField>
    <cacheField name="Column2496" numFmtId="0">
      <sharedItems containsNonDate="0" containsString="0" containsBlank="1"/>
    </cacheField>
    <cacheField name="Column2497" numFmtId="0">
      <sharedItems containsNonDate="0" containsString="0" containsBlank="1"/>
    </cacheField>
    <cacheField name="Column2498" numFmtId="0">
      <sharedItems containsNonDate="0" containsString="0" containsBlank="1"/>
    </cacheField>
    <cacheField name="Column2499" numFmtId="0">
      <sharedItems containsNonDate="0" containsString="0" containsBlank="1"/>
    </cacheField>
    <cacheField name="Column2500" numFmtId="0">
      <sharedItems containsNonDate="0" containsString="0" containsBlank="1"/>
    </cacheField>
    <cacheField name="Column2501" numFmtId="0">
      <sharedItems containsNonDate="0" containsString="0" containsBlank="1"/>
    </cacheField>
    <cacheField name="Column2502" numFmtId="0">
      <sharedItems containsNonDate="0" containsString="0" containsBlank="1"/>
    </cacheField>
    <cacheField name="Column2503" numFmtId="0">
      <sharedItems containsNonDate="0" containsString="0" containsBlank="1"/>
    </cacheField>
    <cacheField name="Column2504" numFmtId="0">
      <sharedItems containsNonDate="0" containsString="0" containsBlank="1"/>
    </cacheField>
    <cacheField name="Column2505" numFmtId="0">
      <sharedItems containsNonDate="0" containsString="0" containsBlank="1"/>
    </cacheField>
    <cacheField name="Column2506" numFmtId="0">
      <sharedItems containsNonDate="0" containsString="0" containsBlank="1"/>
    </cacheField>
    <cacheField name="Column2507" numFmtId="0">
      <sharedItems containsNonDate="0" containsString="0" containsBlank="1"/>
    </cacheField>
    <cacheField name="Column2508" numFmtId="0">
      <sharedItems containsNonDate="0" containsString="0" containsBlank="1"/>
    </cacheField>
    <cacheField name="Column2509" numFmtId="0">
      <sharedItems containsNonDate="0" containsString="0" containsBlank="1"/>
    </cacheField>
    <cacheField name="Column2510" numFmtId="0">
      <sharedItems containsNonDate="0" containsString="0" containsBlank="1"/>
    </cacheField>
    <cacheField name="Column2511" numFmtId="0">
      <sharedItems containsNonDate="0" containsString="0" containsBlank="1"/>
    </cacheField>
    <cacheField name="Column2512" numFmtId="0">
      <sharedItems containsNonDate="0" containsString="0" containsBlank="1"/>
    </cacheField>
    <cacheField name="Column2513" numFmtId="0">
      <sharedItems containsNonDate="0" containsString="0" containsBlank="1"/>
    </cacheField>
    <cacheField name="Column2514" numFmtId="0">
      <sharedItems containsNonDate="0" containsString="0" containsBlank="1"/>
    </cacheField>
    <cacheField name="Column2515" numFmtId="0">
      <sharedItems containsNonDate="0" containsString="0" containsBlank="1"/>
    </cacheField>
    <cacheField name="Column2516" numFmtId="0">
      <sharedItems containsNonDate="0" containsString="0" containsBlank="1"/>
    </cacheField>
    <cacheField name="Column2517" numFmtId="0">
      <sharedItems containsNonDate="0" containsString="0" containsBlank="1"/>
    </cacheField>
    <cacheField name="Column2518" numFmtId="0">
      <sharedItems containsNonDate="0" containsString="0" containsBlank="1"/>
    </cacheField>
    <cacheField name="Column2519" numFmtId="0">
      <sharedItems containsNonDate="0" containsString="0" containsBlank="1"/>
    </cacheField>
    <cacheField name="Column2520" numFmtId="0">
      <sharedItems containsNonDate="0" containsString="0" containsBlank="1"/>
    </cacheField>
    <cacheField name="Column2521" numFmtId="0">
      <sharedItems containsNonDate="0" containsString="0" containsBlank="1"/>
    </cacheField>
    <cacheField name="Column2522" numFmtId="0">
      <sharedItems containsNonDate="0" containsString="0" containsBlank="1"/>
    </cacheField>
    <cacheField name="Column2523" numFmtId="0">
      <sharedItems containsNonDate="0" containsString="0" containsBlank="1"/>
    </cacheField>
    <cacheField name="Column2524" numFmtId="0">
      <sharedItems containsNonDate="0" containsString="0" containsBlank="1"/>
    </cacheField>
    <cacheField name="Column2525" numFmtId="0">
      <sharedItems containsNonDate="0" containsString="0" containsBlank="1"/>
    </cacheField>
    <cacheField name="Column2526" numFmtId="0">
      <sharedItems containsNonDate="0" containsString="0" containsBlank="1"/>
    </cacheField>
    <cacheField name="Column2527" numFmtId="0">
      <sharedItems containsNonDate="0" containsString="0" containsBlank="1"/>
    </cacheField>
    <cacheField name="Column2528" numFmtId="0">
      <sharedItems containsNonDate="0" containsString="0" containsBlank="1"/>
    </cacheField>
    <cacheField name="Column2529" numFmtId="0">
      <sharedItems containsNonDate="0" containsString="0" containsBlank="1"/>
    </cacheField>
    <cacheField name="Column2530" numFmtId="0">
      <sharedItems containsNonDate="0" containsString="0" containsBlank="1"/>
    </cacheField>
    <cacheField name="Column2531" numFmtId="0">
      <sharedItems containsNonDate="0" containsString="0" containsBlank="1"/>
    </cacheField>
    <cacheField name="Column2532" numFmtId="0">
      <sharedItems containsNonDate="0" containsString="0" containsBlank="1"/>
    </cacheField>
    <cacheField name="Column2533" numFmtId="0">
      <sharedItems containsNonDate="0" containsString="0" containsBlank="1"/>
    </cacheField>
    <cacheField name="Column2534" numFmtId="0">
      <sharedItems containsNonDate="0" containsString="0" containsBlank="1"/>
    </cacheField>
    <cacheField name="Column2535" numFmtId="0">
      <sharedItems containsNonDate="0" containsString="0" containsBlank="1"/>
    </cacheField>
    <cacheField name="Column2536" numFmtId="0">
      <sharedItems containsNonDate="0" containsString="0" containsBlank="1"/>
    </cacheField>
    <cacheField name="Column2537" numFmtId="0">
      <sharedItems containsNonDate="0" containsString="0" containsBlank="1"/>
    </cacheField>
    <cacheField name="Column2538" numFmtId="0">
      <sharedItems containsNonDate="0" containsString="0" containsBlank="1"/>
    </cacheField>
    <cacheField name="Column2539" numFmtId="0">
      <sharedItems containsNonDate="0" containsString="0" containsBlank="1"/>
    </cacheField>
    <cacheField name="Column2540" numFmtId="0">
      <sharedItems containsNonDate="0" containsString="0" containsBlank="1"/>
    </cacheField>
    <cacheField name="Column2541" numFmtId="0">
      <sharedItems containsNonDate="0" containsString="0" containsBlank="1"/>
    </cacheField>
    <cacheField name="Column2542" numFmtId="0">
      <sharedItems containsNonDate="0" containsString="0" containsBlank="1"/>
    </cacheField>
    <cacheField name="Column2543" numFmtId="0">
      <sharedItems containsNonDate="0" containsString="0" containsBlank="1"/>
    </cacheField>
    <cacheField name="Column2544" numFmtId="0">
      <sharedItems containsNonDate="0" containsString="0" containsBlank="1"/>
    </cacheField>
    <cacheField name="Column2545" numFmtId="0">
      <sharedItems containsNonDate="0" containsString="0" containsBlank="1"/>
    </cacheField>
    <cacheField name="Column2546" numFmtId="0">
      <sharedItems containsNonDate="0" containsString="0" containsBlank="1"/>
    </cacheField>
    <cacheField name="Column2547" numFmtId="0">
      <sharedItems containsNonDate="0" containsString="0" containsBlank="1"/>
    </cacheField>
    <cacheField name="Column2548" numFmtId="0">
      <sharedItems containsNonDate="0" containsString="0" containsBlank="1"/>
    </cacheField>
    <cacheField name="Column2549" numFmtId="0">
      <sharedItems containsNonDate="0" containsString="0" containsBlank="1"/>
    </cacheField>
    <cacheField name="Column2550" numFmtId="0">
      <sharedItems containsNonDate="0" containsString="0" containsBlank="1"/>
    </cacheField>
    <cacheField name="Column2551" numFmtId="0">
      <sharedItems containsNonDate="0" containsString="0" containsBlank="1"/>
    </cacheField>
    <cacheField name="Column2552" numFmtId="0">
      <sharedItems containsNonDate="0" containsString="0" containsBlank="1"/>
    </cacheField>
    <cacheField name="Column2553" numFmtId="0">
      <sharedItems containsNonDate="0" containsString="0" containsBlank="1"/>
    </cacheField>
    <cacheField name="Column2554" numFmtId="0">
      <sharedItems containsNonDate="0" containsString="0" containsBlank="1"/>
    </cacheField>
    <cacheField name="Column2555" numFmtId="0">
      <sharedItems containsNonDate="0" containsString="0" containsBlank="1"/>
    </cacheField>
    <cacheField name="Column2556" numFmtId="0">
      <sharedItems containsNonDate="0" containsString="0" containsBlank="1"/>
    </cacheField>
    <cacheField name="Column2557" numFmtId="0">
      <sharedItems containsNonDate="0" containsString="0" containsBlank="1"/>
    </cacheField>
    <cacheField name="Column2558" numFmtId="0">
      <sharedItems containsNonDate="0" containsString="0" containsBlank="1"/>
    </cacheField>
    <cacheField name="Column2559" numFmtId="0">
      <sharedItems containsNonDate="0" containsString="0" containsBlank="1"/>
    </cacheField>
    <cacheField name="Column2560" numFmtId="0">
      <sharedItems containsNonDate="0" containsString="0" containsBlank="1"/>
    </cacheField>
    <cacheField name="Column2561" numFmtId="0">
      <sharedItems containsNonDate="0" containsString="0" containsBlank="1"/>
    </cacheField>
    <cacheField name="Column2562" numFmtId="0">
      <sharedItems containsNonDate="0" containsString="0" containsBlank="1"/>
    </cacheField>
    <cacheField name="Column2563" numFmtId="0">
      <sharedItems containsNonDate="0" containsString="0" containsBlank="1"/>
    </cacheField>
    <cacheField name="Column2564" numFmtId="0">
      <sharedItems containsNonDate="0" containsString="0" containsBlank="1"/>
    </cacheField>
    <cacheField name="Column2565" numFmtId="0">
      <sharedItems containsNonDate="0" containsString="0" containsBlank="1"/>
    </cacheField>
    <cacheField name="Column2566" numFmtId="0">
      <sharedItems containsNonDate="0" containsString="0" containsBlank="1"/>
    </cacheField>
    <cacheField name="Column2567" numFmtId="0">
      <sharedItems containsNonDate="0" containsString="0" containsBlank="1"/>
    </cacheField>
    <cacheField name="Column2568" numFmtId="0">
      <sharedItems containsNonDate="0" containsString="0" containsBlank="1"/>
    </cacheField>
    <cacheField name="Column2569" numFmtId="0">
      <sharedItems containsNonDate="0" containsString="0" containsBlank="1"/>
    </cacheField>
    <cacheField name="Column2570" numFmtId="0">
      <sharedItems containsNonDate="0" containsString="0" containsBlank="1"/>
    </cacheField>
    <cacheField name="Column2571" numFmtId="0">
      <sharedItems containsNonDate="0" containsString="0" containsBlank="1"/>
    </cacheField>
    <cacheField name="Column2572" numFmtId="0">
      <sharedItems containsNonDate="0" containsString="0" containsBlank="1"/>
    </cacheField>
    <cacheField name="Column2573" numFmtId="0">
      <sharedItems containsNonDate="0" containsString="0" containsBlank="1"/>
    </cacheField>
    <cacheField name="Column2574" numFmtId="0">
      <sharedItems containsNonDate="0" containsString="0" containsBlank="1"/>
    </cacheField>
    <cacheField name="Column2575" numFmtId="0">
      <sharedItems containsNonDate="0" containsString="0" containsBlank="1"/>
    </cacheField>
    <cacheField name="Column2576" numFmtId="0">
      <sharedItems containsNonDate="0" containsString="0" containsBlank="1"/>
    </cacheField>
    <cacheField name="Column2577" numFmtId="0">
      <sharedItems containsNonDate="0" containsString="0" containsBlank="1"/>
    </cacheField>
    <cacheField name="Column2578" numFmtId="0">
      <sharedItems containsNonDate="0" containsString="0" containsBlank="1"/>
    </cacheField>
    <cacheField name="Column2579" numFmtId="0">
      <sharedItems containsNonDate="0" containsString="0" containsBlank="1"/>
    </cacheField>
    <cacheField name="Column2580" numFmtId="0">
      <sharedItems containsNonDate="0" containsString="0" containsBlank="1"/>
    </cacheField>
    <cacheField name="Column2581" numFmtId="0">
      <sharedItems containsNonDate="0" containsString="0" containsBlank="1"/>
    </cacheField>
    <cacheField name="Column2582" numFmtId="0">
      <sharedItems containsNonDate="0" containsString="0" containsBlank="1"/>
    </cacheField>
    <cacheField name="Column2583" numFmtId="0">
      <sharedItems containsNonDate="0" containsString="0" containsBlank="1"/>
    </cacheField>
    <cacheField name="Column2584" numFmtId="0">
      <sharedItems containsNonDate="0" containsString="0" containsBlank="1"/>
    </cacheField>
    <cacheField name="Column2585" numFmtId="0">
      <sharedItems containsNonDate="0" containsString="0" containsBlank="1"/>
    </cacheField>
    <cacheField name="Column2586" numFmtId="0">
      <sharedItems containsNonDate="0" containsString="0" containsBlank="1"/>
    </cacheField>
    <cacheField name="Column2587" numFmtId="0">
      <sharedItems containsNonDate="0" containsString="0" containsBlank="1"/>
    </cacheField>
    <cacheField name="Column2588" numFmtId="0">
      <sharedItems containsNonDate="0" containsString="0" containsBlank="1"/>
    </cacheField>
    <cacheField name="Column2589" numFmtId="0">
      <sharedItems containsNonDate="0" containsString="0" containsBlank="1"/>
    </cacheField>
    <cacheField name="Column2590" numFmtId="0">
      <sharedItems containsNonDate="0" containsString="0" containsBlank="1"/>
    </cacheField>
    <cacheField name="Column2591" numFmtId="0">
      <sharedItems containsNonDate="0" containsString="0" containsBlank="1"/>
    </cacheField>
    <cacheField name="Column2592" numFmtId="0">
      <sharedItems containsNonDate="0" containsString="0" containsBlank="1"/>
    </cacheField>
    <cacheField name="Column2593" numFmtId="0">
      <sharedItems containsNonDate="0" containsString="0" containsBlank="1"/>
    </cacheField>
    <cacheField name="Column2594" numFmtId="0">
      <sharedItems containsNonDate="0" containsString="0" containsBlank="1"/>
    </cacheField>
    <cacheField name="Column2595" numFmtId="0">
      <sharedItems containsNonDate="0" containsString="0" containsBlank="1"/>
    </cacheField>
    <cacheField name="Column2596" numFmtId="0">
      <sharedItems containsNonDate="0" containsString="0" containsBlank="1"/>
    </cacheField>
    <cacheField name="Column2597" numFmtId="0">
      <sharedItems containsNonDate="0" containsString="0" containsBlank="1"/>
    </cacheField>
    <cacheField name="Column2598" numFmtId="0">
      <sharedItems containsNonDate="0" containsString="0" containsBlank="1"/>
    </cacheField>
    <cacheField name="Column2599" numFmtId="0">
      <sharedItems containsNonDate="0" containsString="0" containsBlank="1"/>
    </cacheField>
    <cacheField name="Column2600" numFmtId="0">
      <sharedItems containsNonDate="0" containsString="0" containsBlank="1"/>
    </cacheField>
    <cacheField name="Column2601" numFmtId="0">
      <sharedItems containsNonDate="0" containsString="0" containsBlank="1"/>
    </cacheField>
    <cacheField name="Column2602" numFmtId="0">
      <sharedItems containsNonDate="0" containsString="0" containsBlank="1"/>
    </cacheField>
    <cacheField name="Column2603" numFmtId="0">
      <sharedItems containsNonDate="0" containsString="0" containsBlank="1"/>
    </cacheField>
    <cacheField name="Column2604" numFmtId="0">
      <sharedItems containsNonDate="0" containsString="0" containsBlank="1"/>
    </cacheField>
    <cacheField name="Column2605" numFmtId="0">
      <sharedItems containsNonDate="0" containsString="0" containsBlank="1"/>
    </cacheField>
    <cacheField name="Column2606" numFmtId="0">
      <sharedItems containsNonDate="0" containsString="0" containsBlank="1"/>
    </cacheField>
    <cacheField name="Column2607" numFmtId="0">
      <sharedItems containsNonDate="0" containsString="0" containsBlank="1"/>
    </cacheField>
    <cacheField name="Column2608" numFmtId="0">
      <sharedItems containsNonDate="0" containsString="0" containsBlank="1"/>
    </cacheField>
    <cacheField name="Column2609" numFmtId="0">
      <sharedItems containsNonDate="0" containsString="0" containsBlank="1"/>
    </cacheField>
    <cacheField name="Column2610" numFmtId="0">
      <sharedItems containsNonDate="0" containsString="0" containsBlank="1"/>
    </cacheField>
    <cacheField name="Column2611" numFmtId="0">
      <sharedItems containsNonDate="0" containsString="0" containsBlank="1"/>
    </cacheField>
    <cacheField name="Column2612" numFmtId="0">
      <sharedItems containsNonDate="0" containsString="0" containsBlank="1"/>
    </cacheField>
    <cacheField name="Column2613" numFmtId="0">
      <sharedItems containsNonDate="0" containsString="0" containsBlank="1"/>
    </cacheField>
    <cacheField name="Column2614" numFmtId="0">
      <sharedItems containsNonDate="0" containsString="0" containsBlank="1"/>
    </cacheField>
    <cacheField name="Column2615" numFmtId="0">
      <sharedItems containsNonDate="0" containsString="0" containsBlank="1"/>
    </cacheField>
    <cacheField name="Column2616" numFmtId="0">
      <sharedItems containsNonDate="0" containsString="0" containsBlank="1"/>
    </cacheField>
    <cacheField name="Column2617" numFmtId="0">
      <sharedItems containsNonDate="0" containsString="0" containsBlank="1"/>
    </cacheField>
    <cacheField name="Column2618" numFmtId="0">
      <sharedItems containsNonDate="0" containsString="0" containsBlank="1"/>
    </cacheField>
    <cacheField name="Column2619" numFmtId="0">
      <sharedItems containsNonDate="0" containsString="0" containsBlank="1"/>
    </cacheField>
    <cacheField name="Column2620" numFmtId="0">
      <sharedItems containsNonDate="0" containsString="0" containsBlank="1"/>
    </cacheField>
    <cacheField name="Column2621" numFmtId="0">
      <sharedItems containsNonDate="0" containsString="0" containsBlank="1"/>
    </cacheField>
    <cacheField name="Column2622" numFmtId="0">
      <sharedItems containsNonDate="0" containsString="0" containsBlank="1"/>
    </cacheField>
    <cacheField name="Column2623" numFmtId="0">
      <sharedItems containsNonDate="0" containsString="0" containsBlank="1"/>
    </cacheField>
    <cacheField name="Column2624" numFmtId="0">
      <sharedItems containsNonDate="0" containsString="0" containsBlank="1"/>
    </cacheField>
    <cacheField name="Column2625" numFmtId="0">
      <sharedItems containsNonDate="0" containsString="0" containsBlank="1"/>
    </cacheField>
    <cacheField name="Column2626" numFmtId="0">
      <sharedItems containsNonDate="0" containsString="0" containsBlank="1"/>
    </cacheField>
    <cacheField name="Column2627" numFmtId="0">
      <sharedItems containsNonDate="0" containsString="0" containsBlank="1"/>
    </cacheField>
    <cacheField name="Column2628" numFmtId="0">
      <sharedItems containsNonDate="0" containsString="0" containsBlank="1"/>
    </cacheField>
    <cacheField name="Column2629" numFmtId="0">
      <sharedItems containsNonDate="0" containsString="0" containsBlank="1"/>
    </cacheField>
    <cacheField name="Column2630" numFmtId="0">
      <sharedItems containsNonDate="0" containsString="0" containsBlank="1"/>
    </cacheField>
    <cacheField name="Column2631" numFmtId="0">
      <sharedItems containsNonDate="0" containsString="0" containsBlank="1"/>
    </cacheField>
    <cacheField name="Column2632" numFmtId="0">
      <sharedItems containsNonDate="0" containsString="0" containsBlank="1"/>
    </cacheField>
    <cacheField name="Column2633" numFmtId="0">
      <sharedItems containsNonDate="0" containsString="0" containsBlank="1"/>
    </cacheField>
    <cacheField name="Column2634" numFmtId="0">
      <sharedItems containsNonDate="0" containsString="0" containsBlank="1"/>
    </cacheField>
    <cacheField name="Column2635" numFmtId="0">
      <sharedItems containsNonDate="0" containsString="0" containsBlank="1"/>
    </cacheField>
    <cacheField name="Column2636" numFmtId="0">
      <sharedItems containsNonDate="0" containsString="0" containsBlank="1"/>
    </cacheField>
    <cacheField name="Column2637" numFmtId="0">
      <sharedItems containsNonDate="0" containsString="0" containsBlank="1"/>
    </cacheField>
    <cacheField name="Column2638" numFmtId="0">
      <sharedItems containsNonDate="0" containsString="0" containsBlank="1"/>
    </cacheField>
    <cacheField name="Column2639" numFmtId="0">
      <sharedItems containsNonDate="0" containsString="0" containsBlank="1"/>
    </cacheField>
    <cacheField name="Column2640" numFmtId="0">
      <sharedItems containsNonDate="0" containsString="0" containsBlank="1"/>
    </cacheField>
    <cacheField name="Column2641" numFmtId="0">
      <sharedItems containsNonDate="0" containsString="0" containsBlank="1"/>
    </cacheField>
    <cacheField name="Column2642" numFmtId="0">
      <sharedItems containsNonDate="0" containsString="0" containsBlank="1"/>
    </cacheField>
    <cacheField name="Column2643" numFmtId="0">
      <sharedItems containsNonDate="0" containsString="0" containsBlank="1"/>
    </cacheField>
    <cacheField name="Column2644" numFmtId="0">
      <sharedItems containsNonDate="0" containsString="0" containsBlank="1"/>
    </cacheField>
    <cacheField name="Column2645" numFmtId="0">
      <sharedItems containsNonDate="0" containsString="0" containsBlank="1"/>
    </cacheField>
    <cacheField name="Column2646" numFmtId="0">
      <sharedItems containsNonDate="0" containsString="0" containsBlank="1"/>
    </cacheField>
    <cacheField name="Column2647" numFmtId="0">
      <sharedItems containsNonDate="0" containsString="0" containsBlank="1"/>
    </cacheField>
    <cacheField name="Column2648" numFmtId="0">
      <sharedItems containsNonDate="0" containsString="0" containsBlank="1"/>
    </cacheField>
    <cacheField name="Column2649" numFmtId="0">
      <sharedItems containsNonDate="0" containsString="0" containsBlank="1"/>
    </cacheField>
    <cacheField name="Column2650" numFmtId="0">
      <sharedItems containsNonDate="0" containsString="0" containsBlank="1"/>
    </cacheField>
    <cacheField name="Column2651" numFmtId="0">
      <sharedItems containsNonDate="0" containsString="0" containsBlank="1"/>
    </cacheField>
    <cacheField name="Column2652" numFmtId="0">
      <sharedItems containsNonDate="0" containsString="0" containsBlank="1"/>
    </cacheField>
    <cacheField name="Column2653" numFmtId="0">
      <sharedItems containsNonDate="0" containsString="0" containsBlank="1"/>
    </cacheField>
    <cacheField name="Column2654" numFmtId="0">
      <sharedItems containsNonDate="0" containsString="0" containsBlank="1"/>
    </cacheField>
    <cacheField name="Column2655" numFmtId="0">
      <sharedItems containsNonDate="0" containsString="0" containsBlank="1"/>
    </cacheField>
    <cacheField name="Column2656" numFmtId="0">
      <sharedItems containsNonDate="0" containsString="0" containsBlank="1"/>
    </cacheField>
    <cacheField name="Column2657" numFmtId="0">
      <sharedItems containsNonDate="0" containsString="0" containsBlank="1"/>
    </cacheField>
    <cacheField name="Column2658" numFmtId="0">
      <sharedItems containsNonDate="0" containsString="0" containsBlank="1"/>
    </cacheField>
    <cacheField name="Column2659" numFmtId="0">
      <sharedItems containsNonDate="0" containsString="0" containsBlank="1"/>
    </cacheField>
    <cacheField name="Column2660" numFmtId="0">
      <sharedItems containsNonDate="0" containsString="0" containsBlank="1"/>
    </cacheField>
    <cacheField name="Column2661" numFmtId="0">
      <sharedItems containsNonDate="0" containsString="0" containsBlank="1"/>
    </cacheField>
    <cacheField name="Column2662" numFmtId="0">
      <sharedItems containsNonDate="0" containsString="0" containsBlank="1"/>
    </cacheField>
    <cacheField name="Column2663" numFmtId="0">
      <sharedItems containsNonDate="0" containsString="0" containsBlank="1"/>
    </cacheField>
    <cacheField name="Column2664" numFmtId="0">
      <sharedItems containsNonDate="0" containsString="0" containsBlank="1"/>
    </cacheField>
    <cacheField name="Column2665" numFmtId="0">
      <sharedItems containsNonDate="0" containsString="0" containsBlank="1"/>
    </cacheField>
    <cacheField name="Column2666" numFmtId="0">
      <sharedItems containsNonDate="0" containsString="0" containsBlank="1"/>
    </cacheField>
    <cacheField name="Column2667" numFmtId="0">
      <sharedItems containsNonDate="0" containsString="0" containsBlank="1"/>
    </cacheField>
    <cacheField name="Column2668" numFmtId="0">
      <sharedItems containsNonDate="0" containsString="0" containsBlank="1"/>
    </cacheField>
    <cacheField name="Column2669" numFmtId="0">
      <sharedItems containsNonDate="0" containsString="0" containsBlank="1"/>
    </cacheField>
    <cacheField name="Column2670" numFmtId="0">
      <sharedItems containsNonDate="0" containsString="0" containsBlank="1"/>
    </cacheField>
    <cacheField name="Column2671" numFmtId="0">
      <sharedItems containsNonDate="0" containsString="0" containsBlank="1"/>
    </cacheField>
    <cacheField name="Column2672" numFmtId="0">
      <sharedItems containsNonDate="0" containsString="0" containsBlank="1"/>
    </cacheField>
    <cacheField name="Column2673" numFmtId="0">
      <sharedItems containsNonDate="0" containsString="0" containsBlank="1"/>
    </cacheField>
    <cacheField name="Column2674" numFmtId="0">
      <sharedItems containsNonDate="0" containsString="0" containsBlank="1"/>
    </cacheField>
    <cacheField name="Column2675" numFmtId="0">
      <sharedItems containsNonDate="0" containsString="0" containsBlank="1"/>
    </cacheField>
    <cacheField name="Column2676" numFmtId="0">
      <sharedItems containsNonDate="0" containsString="0" containsBlank="1"/>
    </cacheField>
    <cacheField name="Column2677" numFmtId="0">
      <sharedItems containsNonDate="0" containsString="0" containsBlank="1"/>
    </cacheField>
    <cacheField name="Column2678" numFmtId="0">
      <sharedItems containsNonDate="0" containsString="0" containsBlank="1"/>
    </cacheField>
    <cacheField name="Column2679" numFmtId="0">
      <sharedItems containsNonDate="0" containsString="0" containsBlank="1"/>
    </cacheField>
    <cacheField name="Column2680" numFmtId="0">
      <sharedItems containsNonDate="0" containsString="0" containsBlank="1"/>
    </cacheField>
    <cacheField name="Column2681" numFmtId="0">
      <sharedItems containsNonDate="0" containsString="0" containsBlank="1"/>
    </cacheField>
    <cacheField name="Column2682" numFmtId="0">
      <sharedItems containsNonDate="0" containsString="0" containsBlank="1"/>
    </cacheField>
    <cacheField name="Column2683" numFmtId="0">
      <sharedItems containsNonDate="0" containsString="0" containsBlank="1"/>
    </cacheField>
    <cacheField name="Column2684" numFmtId="0">
      <sharedItems containsNonDate="0" containsString="0" containsBlank="1"/>
    </cacheField>
    <cacheField name="Column2685" numFmtId="0">
      <sharedItems containsNonDate="0" containsString="0" containsBlank="1"/>
    </cacheField>
    <cacheField name="Column2686" numFmtId="0">
      <sharedItems containsNonDate="0" containsString="0" containsBlank="1"/>
    </cacheField>
    <cacheField name="Column2687" numFmtId="0">
      <sharedItems containsNonDate="0" containsString="0" containsBlank="1"/>
    </cacheField>
    <cacheField name="Column2688" numFmtId="0">
      <sharedItems containsNonDate="0" containsString="0" containsBlank="1"/>
    </cacheField>
    <cacheField name="Column2689" numFmtId="0">
      <sharedItems containsNonDate="0" containsString="0" containsBlank="1"/>
    </cacheField>
    <cacheField name="Column2690" numFmtId="0">
      <sharedItems containsNonDate="0" containsString="0" containsBlank="1"/>
    </cacheField>
    <cacheField name="Column2691" numFmtId="0">
      <sharedItems containsNonDate="0" containsString="0" containsBlank="1"/>
    </cacheField>
    <cacheField name="Column2692" numFmtId="0">
      <sharedItems containsNonDate="0" containsString="0" containsBlank="1"/>
    </cacheField>
    <cacheField name="Column2693" numFmtId="0">
      <sharedItems containsNonDate="0" containsString="0" containsBlank="1"/>
    </cacheField>
    <cacheField name="Column2694" numFmtId="0">
      <sharedItems containsNonDate="0" containsString="0" containsBlank="1"/>
    </cacheField>
    <cacheField name="Column2695" numFmtId="0">
      <sharedItems containsNonDate="0" containsString="0" containsBlank="1"/>
    </cacheField>
    <cacheField name="Column2696" numFmtId="0">
      <sharedItems containsNonDate="0" containsString="0" containsBlank="1"/>
    </cacheField>
    <cacheField name="Column2697" numFmtId="0">
      <sharedItems containsNonDate="0" containsString="0" containsBlank="1"/>
    </cacheField>
    <cacheField name="Column2698" numFmtId="0">
      <sharedItems containsNonDate="0" containsString="0" containsBlank="1"/>
    </cacheField>
    <cacheField name="Column2699" numFmtId="0">
      <sharedItems containsNonDate="0" containsString="0" containsBlank="1"/>
    </cacheField>
    <cacheField name="Column2700" numFmtId="0">
      <sharedItems containsNonDate="0" containsString="0" containsBlank="1"/>
    </cacheField>
    <cacheField name="Column2701" numFmtId="0">
      <sharedItems containsNonDate="0" containsString="0" containsBlank="1"/>
    </cacheField>
    <cacheField name="Column2702" numFmtId="0">
      <sharedItems containsNonDate="0" containsString="0" containsBlank="1"/>
    </cacheField>
    <cacheField name="Column2703" numFmtId="0">
      <sharedItems containsNonDate="0" containsString="0" containsBlank="1"/>
    </cacheField>
    <cacheField name="Column2704" numFmtId="0">
      <sharedItems containsNonDate="0" containsString="0" containsBlank="1"/>
    </cacheField>
    <cacheField name="Column2705" numFmtId="0">
      <sharedItems containsNonDate="0" containsString="0" containsBlank="1"/>
    </cacheField>
    <cacheField name="Column2706" numFmtId="0">
      <sharedItems containsNonDate="0" containsString="0" containsBlank="1"/>
    </cacheField>
    <cacheField name="Column2707" numFmtId="0">
      <sharedItems containsNonDate="0" containsString="0" containsBlank="1"/>
    </cacheField>
    <cacheField name="Column2708" numFmtId="0">
      <sharedItems containsNonDate="0" containsString="0" containsBlank="1"/>
    </cacheField>
    <cacheField name="Column2709" numFmtId="0">
      <sharedItems containsNonDate="0" containsString="0" containsBlank="1"/>
    </cacheField>
    <cacheField name="Column2710" numFmtId="0">
      <sharedItems containsNonDate="0" containsString="0" containsBlank="1"/>
    </cacheField>
    <cacheField name="Column2711" numFmtId="0">
      <sharedItems containsNonDate="0" containsString="0" containsBlank="1"/>
    </cacheField>
    <cacheField name="Column2712" numFmtId="0">
      <sharedItems containsNonDate="0" containsString="0" containsBlank="1"/>
    </cacheField>
    <cacheField name="Column2713" numFmtId="0">
      <sharedItems containsNonDate="0" containsString="0" containsBlank="1"/>
    </cacheField>
    <cacheField name="Column2714" numFmtId="0">
      <sharedItems containsNonDate="0" containsString="0" containsBlank="1"/>
    </cacheField>
    <cacheField name="Column2715" numFmtId="0">
      <sharedItems containsNonDate="0" containsString="0" containsBlank="1"/>
    </cacheField>
    <cacheField name="Column2716" numFmtId="0">
      <sharedItems containsNonDate="0" containsString="0" containsBlank="1"/>
    </cacheField>
    <cacheField name="Column2717" numFmtId="0">
      <sharedItems containsNonDate="0" containsString="0" containsBlank="1"/>
    </cacheField>
    <cacheField name="Column2718" numFmtId="0">
      <sharedItems containsNonDate="0" containsString="0" containsBlank="1"/>
    </cacheField>
    <cacheField name="Column2719" numFmtId="0">
      <sharedItems containsNonDate="0" containsString="0" containsBlank="1"/>
    </cacheField>
    <cacheField name="Column2720" numFmtId="0">
      <sharedItems containsNonDate="0" containsString="0" containsBlank="1"/>
    </cacheField>
    <cacheField name="Column2721" numFmtId="0">
      <sharedItems containsNonDate="0" containsString="0" containsBlank="1"/>
    </cacheField>
    <cacheField name="Column2722" numFmtId="0">
      <sharedItems containsNonDate="0" containsString="0" containsBlank="1"/>
    </cacheField>
    <cacheField name="Column2723" numFmtId="0">
      <sharedItems containsNonDate="0" containsString="0" containsBlank="1"/>
    </cacheField>
    <cacheField name="Column2724" numFmtId="0">
      <sharedItems containsNonDate="0" containsString="0" containsBlank="1"/>
    </cacheField>
    <cacheField name="Column2725" numFmtId="0">
      <sharedItems containsNonDate="0" containsString="0" containsBlank="1"/>
    </cacheField>
    <cacheField name="Column2726" numFmtId="0">
      <sharedItems containsNonDate="0" containsString="0" containsBlank="1"/>
    </cacheField>
    <cacheField name="Column2727" numFmtId="0">
      <sharedItems containsNonDate="0" containsString="0" containsBlank="1"/>
    </cacheField>
    <cacheField name="Column2728" numFmtId="0">
      <sharedItems containsNonDate="0" containsString="0" containsBlank="1"/>
    </cacheField>
    <cacheField name="Column2729" numFmtId="0">
      <sharedItems containsNonDate="0" containsString="0" containsBlank="1"/>
    </cacheField>
    <cacheField name="Column2730" numFmtId="0">
      <sharedItems containsNonDate="0" containsString="0" containsBlank="1"/>
    </cacheField>
    <cacheField name="Column2731" numFmtId="0">
      <sharedItems containsNonDate="0" containsString="0" containsBlank="1"/>
    </cacheField>
    <cacheField name="Column2732" numFmtId="0">
      <sharedItems containsNonDate="0" containsString="0" containsBlank="1"/>
    </cacheField>
    <cacheField name="Column2733" numFmtId="0">
      <sharedItems containsNonDate="0" containsString="0" containsBlank="1"/>
    </cacheField>
    <cacheField name="Column2734" numFmtId="0">
      <sharedItems containsNonDate="0" containsString="0" containsBlank="1"/>
    </cacheField>
    <cacheField name="Column2735" numFmtId="0">
      <sharedItems containsNonDate="0" containsString="0" containsBlank="1"/>
    </cacheField>
    <cacheField name="Column2736" numFmtId="0">
      <sharedItems containsNonDate="0" containsString="0" containsBlank="1"/>
    </cacheField>
    <cacheField name="Column2737" numFmtId="0">
      <sharedItems containsNonDate="0" containsString="0" containsBlank="1"/>
    </cacheField>
    <cacheField name="Column2738" numFmtId="0">
      <sharedItems containsNonDate="0" containsString="0" containsBlank="1"/>
    </cacheField>
    <cacheField name="Column2739" numFmtId="0">
      <sharedItems containsNonDate="0" containsString="0" containsBlank="1"/>
    </cacheField>
    <cacheField name="Column2740" numFmtId="0">
      <sharedItems containsNonDate="0" containsString="0" containsBlank="1"/>
    </cacheField>
    <cacheField name="Column2741" numFmtId="0">
      <sharedItems containsNonDate="0" containsString="0" containsBlank="1"/>
    </cacheField>
    <cacheField name="Column2742" numFmtId="0">
      <sharedItems containsNonDate="0" containsString="0" containsBlank="1"/>
    </cacheField>
    <cacheField name="Column2743" numFmtId="0">
      <sharedItems containsNonDate="0" containsString="0" containsBlank="1"/>
    </cacheField>
    <cacheField name="Column2744" numFmtId="0">
      <sharedItems containsNonDate="0" containsString="0" containsBlank="1"/>
    </cacheField>
    <cacheField name="Column2745" numFmtId="0">
      <sharedItems containsNonDate="0" containsString="0" containsBlank="1"/>
    </cacheField>
    <cacheField name="Column2746" numFmtId="0">
      <sharedItems containsNonDate="0" containsString="0" containsBlank="1"/>
    </cacheField>
    <cacheField name="Column2747" numFmtId="0">
      <sharedItems containsNonDate="0" containsString="0" containsBlank="1"/>
    </cacheField>
    <cacheField name="Column2748" numFmtId="0">
      <sharedItems containsNonDate="0" containsString="0" containsBlank="1"/>
    </cacheField>
    <cacheField name="Column2749" numFmtId="0">
      <sharedItems containsNonDate="0" containsString="0" containsBlank="1"/>
    </cacheField>
    <cacheField name="Column2750" numFmtId="0">
      <sharedItems containsNonDate="0" containsString="0" containsBlank="1"/>
    </cacheField>
    <cacheField name="Column2751" numFmtId="0">
      <sharedItems containsNonDate="0" containsString="0" containsBlank="1"/>
    </cacheField>
    <cacheField name="Column2752" numFmtId="0">
      <sharedItems containsNonDate="0" containsString="0" containsBlank="1"/>
    </cacheField>
    <cacheField name="Column2753" numFmtId="0">
      <sharedItems containsNonDate="0" containsString="0" containsBlank="1"/>
    </cacheField>
    <cacheField name="Column2754" numFmtId="0">
      <sharedItems containsNonDate="0" containsString="0" containsBlank="1"/>
    </cacheField>
    <cacheField name="Column2755" numFmtId="0">
      <sharedItems containsNonDate="0" containsString="0" containsBlank="1"/>
    </cacheField>
    <cacheField name="Column2756" numFmtId="0">
      <sharedItems containsNonDate="0" containsString="0" containsBlank="1"/>
    </cacheField>
    <cacheField name="Column2757" numFmtId="0">
      <sharedItems containsNonDate="0" containsString="0" containsBlank="1"/>
    </cacheField>
    <cacheField name="Column2758" numFmtId="0">
      <sharedItems containsNonDate="0" containsString="0" containsBlank="1"/>
    </cacheField>
    <cacheField name="Column2759" numFmtId="0">
      <sharedItems containsNonDate="0" containsString="0" containsBlank="1"/>
    </cacheField>
    <cacheField name="Column2760" numFmtId="0">
      <sharedItems containsNonDate="0" containsString="0" containsBlank="1"/>
    </cacheField>
    <cacheField name="Column2761" numFmtId="0">
      <sharedItems containsNonDate="0" containsString="0" containsBlank="1"/>
    </cacheField>
    <cacheField name="Column2762" numFmtId="0">
      <sharedItems containsNonDate="0" containsString="0" containsBlank="1"/>
    </cacheField>
    <cacheField name="Column2763" numFmtId="0">
      <sharedItems containsNonDate="0" containsString="0" containsBlank="1"/>
    </cacheField>
    <cacheField name="Column2764" numFmtId="0">
      <sharedItems containsNonDate="0" containsString="0" containsBlank="1"/>
    </cacheField>
    <cacheField name="Column2765" numFmtId="0">
      <sharedItems containsNonDate="0" containsString="0" containsBlank="1"/>
    </cacheField>
    <cacheField name="Column2766" numFmtId="0">
      <sharedItems containsNonDate="0" containsString="0" containsBlank="1"/>
    </cacheField>
    <cacheField name="Column2767" numFmtId="0">
      <sharedItems containsNonDate="0" containsString="0" containsBlank="1"/>
    </cacheField>
    <cacheField name="Column2768" numFmtId="0">
      <sharedItems containsNonDate="0" containsString="0" containsBlank="1"/>
    </cacheField>
    <cacheField name="Column2769" numFmtId="0">
      <sharedItems containsNonDate="0" containsString="0" containsBlank="1"/>
    </cacheField>
    <cacheField name="Column2770" numFmtId="0">
      <sharedItems containsNonDate="0" containsString="0" containsBlank="1"/>
    </cacheField>
    <cacheField name="Column2771" numFmtId="0">
      <sharedItems containsNonDate="0" containsString="0" containsBlank="1"/>
    </cacheField>
    <cacheField name="Column2772" numFmtId="0">
      <sharedItems containsNonDate="0" containsString="0" containsBlank="1"/>
    </cacheField>
    <cacheField name="Column2773" numFmtId="0">
      <sharedItems containsNonDate="0" containsString="0" containsBlank="1"/>
    </cacheField>
    <cacheField name="Column2774" numFmtId="0">
      <sharedItems containsNonDate="0" containsString="0" containsBlank="1"/>
    </cacheField>
    <cacheField name="Column2775" numFmtId="0">
      <sharedItems containsNonDate="0" containsString="0" containsBlank="1"/>
    </cacheField>
    <cacheField name="Column2776" numFmtId="0">
      <sharedItems containsNonDate="0" containsString="0" containsBlank="1"/>
    </cacheField>
    <cacheField name="Column2777" numFmtId="0">
      <sharedItems containsNonDate="0" containsString="0" containsBlank="1"/>
    </cacheField>
    <cacheField name="Column2778" numFmtId="0">
      <sharedItems containsNonDate="0" containsString="0" containsBlank="1"/>
    </cacheField>
    <cacheField name="Column2779" numFmtId="0">
      <sharedItems containsNonDate="0" containsString="0" containsBlank="1"/>
    </cacheField>
    <cacheField name="Column2780" numFmtId="0">
      <sharedItems containsNonDate="0" containsString="0" containsBlank="1"/>
    </cacheField>
    <cacheField name="Column2781" numFmtId="0">
      <sharedItems containsNonDate="0" containsString="0" containsBlank="1"/>
    </cacheField>
    <cacheField name="Column2782" numFmtId="0">
      <sharedItems containsNonDate="0" containsString="0" containsBlank="1"/>
    </cacheField>
    <cacheField name="Column2783" numFmtId="0">
      <sharedItems containsNonDate="0" containsString="0" containsBlank="1"/>
    </cacheField>
    <cacheField name="Column2784" numFmtId="0">
      <sharedItems containsNonDate="0" containsString="0" containsBlank="1"/>
    </cacheField>
    <cacheField name="Column2785" numFmtId="0">
      <sharedItems containsNonDate="0" containsString="0" containsBlank="1"/>
    </cacheField>
    <cacheField name="Column2786" numFmtId="0">
      <sharedItems containsNonDate="0" containsString="0" containsBlank="1"/>
    </cacheField>
    <cacheField name="Column2787" numFmtId="0">
      <sharedItems containsNonDate="0" containsString="0" containsBlank="1"/>
    </cacheField>
    <cacheField name="Column2788" numFmtId="0">
      <sharedItems containsNonDate="0" containsString="0" containsBlank="1"/>
    </cacheField>
    <cacheField name="Column2789" numFmtId="0">
      <sharedItems containsNonDate="0" containsString="0" containsBlank="1"/>
    </cacheField>
    <cacheField name="Column2790" numFmtId="0">
      <sharedItems containsNonDate="0" containsString="0" containsBlank="1"/>
    </cacheField>
    <cacheField name="Column2791" numFmtId="0">
      <sharedItems containsNonDate="0" containsString="0" containsBlank="1"/>
    </cacheField>
    <cacheField name="Column2792" numFmtId="0">
      <sharedItems containsNonDate="0" containsString="0" containsBlank="1"/>
    </cacheField>
    <cacheField name="Column2793" numFmtId="0">
      <sharedItems containsNonDate="0" containsString="0" containsBlank="1"/>
    </cacheField>
    <cacheField name="Column2794" numFmtId="0">
      <sharedItems containsNonDate="0" containsString="0" containsBlank="1"/>
    </cacheField>
    <cacheField name="Column2795" numFmtId="0">
      <sharedItems containsNonDate="0" containsString="0" containsBlank="1"/>
    </cacheField>
    <cacheField name="Column2796" numFmtId="0">
      <sharedItems containsNonDate="0" containsString="0" containsBlank="1"/>
    </cacheField>
    <cacheField name="Column2797" numFmtId="0">
      <sharedItems containsNonDate="0" containsString="0" containsBlank="1"/>
    </cacheField>
    <cacheField name="Column2798" numFmtId="0">
      <sharedItems containsNonDate="0" containsString="0" containsBlank="1"/>
    </cacheField>
    <cacheField name="Column2799" numFmtId="0">
      <sharedItems containsNonDate="0" containsString="0" containsBlank="1"/>
    </cacheField>
    <cacheField name="Column2800" numFmtId="0">
      <sharedItems containsNonDate="0" containsString="0" containsBlank="1"/>
    </cacheField>
    <cacheField name="Column2801" numFmtId="0">
      <sharedItems containsNonDate="0" containsString="0" containsBlank="1"/>
    </cacheField>
    <cacheField name="Column2802" numFmtId="0">
      <sharedItems containsNonDate="0" containsString="0" containsBlank="1"/>
    </cacheField>
    <cacheField name="Column2803" numFmtId="0">
      <sharedItems containsNonDate="0" containsString="0" containsBlank="1"/>
    </cacheField>
    <cacheField name="Column2804" numFmtId="0">
      <sharedItems containsNonDate="0" containsString="0" containsBlank="1"/>
    </cacheField>
    <cacheField name="Column2805" numFmtId="0">
      <sharedItems containsNonDate="0" containsString="0" containsBlank="1"/>
    </cacheField>
    <cacheField name="Column2806" numFmtId="0">
      <sharedItems containsNonDate="0" containsString="0" containsBlank="1"/>
    </cacheField>
    <cacheField name="Column2807" numFmtId="0">
      <sharedItems containsNonDate="0" containsString="0" containsBlank="1"/>
    </cacheField>
    <cacheField name="Column2808" numFmtId="0">
      <sharedItems containsNonDate="0" containsString="0" containsBlank="1"/>
    </cacheField>
    <cacheField name="Column2809" numFmtId="0">
      <sharedItems containsNonDate="0" containsString="0" containsBlank="1"/>
    </cacheField>
    <cacheField name="Column2810" numFmtId="0">
      <sharedItems containsNonDate="0" containsString="0" containsBlank="1"/>
    </cacheField>
    <cacheField name="Column2811" numFmtId="0">
      <sharedItems containsNonDate="0" containsString="0" containsBlank="1"/>
    </cacheField>
    <cacheField name="Column2812" numFmtId="0">
      <sharedItems containsNonDate="0" containsString="0" containsBlank="1"/>
    </cacheField>
    <cacheField name="Column2813" numFmtId="0">
      <sharedItems containsNonDate="0" containsString="0" containsBlank="1"/>
    </cacheField>
    <cacheField name="Column2814" numFmtId="0">
      <sharedItems containsNonDate="0" containsString="0" containsBlank="1"/>
    </cacheField>
    <cacheField name="Column2815" numFmtId="0">
      <sharedItems containsNonDate="0" containsString="0" containsBlank="1"/>
    </cacheField>
    <cacheField name="Column2816" numFmtId="0">
      <sharedItems containsNonDate="0" containsString="0" containsBlank="1"/>
    </cacheField>
    <cacheField name="Column2817" numFmtId="0">
      <sharedItems containsNonDate="0" containsString="0" containsBlank="1"/>
    </cacheField>
    <cacheField name="Column2818" numFmtId="0">
      <sharedItems containsNonDate="0" containsString="0" containsBlank="1"/>
    </cacheField>
    <cacheField name="Column2819" numFmtId="0">
      <sharedItems containsNonDate="0" containsString="0" containsBlank="1"/>
    </cacheField>
    <cacheField name="Column2820" numFmtId="0">
      <sharedItems containsNonDate="0" containsString="0" containsBlank="1"/>
    </cacheField>
    <cacheField name="Column2821" numFmtId="0">
      <sharedItems containsNonDate="0" containsString="0" containsBlank="1"/>
    </cacheField>
    <cacheField name="Column2822" numFmtId="0">
      <sharedItems containsNonDate="0" containsString="0" containsBlank="1"/>
    </cacheField>
    <cacheField name="Column2823" numFmtId="0">
      <sharedItems containsNonDate="0" containsString="0" containsBlank="1"/>
    </cacheField>
    <cacheField name="Column2824" numFmtId="0">
      <sharedItems containsNonDate="0" containsString="0" containsBlank="1"/>
    </cacheField>
    <cacheField name="Column2825" numFmtId="0">
      <sharedItems containsNonDate="0" containsString="0" containsBlank="1"/>
    </cacheField>
    <cacheField name="Column2826" numFmtId="0">
      <sharedItems containsNonDate="0" containsString="0" containsBlank="1"/>
    </cacheField>
    <cacheField name="Column2827" numFmtId="0">
      <sharedItems containsNonDate="0" containsString="0" containsBlank="1"/>
    </cacheField>
    <cacheField name="Column2828" numFmtId="0">
      <sharedItems containsNonDate="0" containsString="0" containsBlank="1"/>
    </cacheField>
    <cacheField name="Column2829" numFmtId="0">
      <sharedItems containsNonDate="0" containsString="0" containsBlank="1"/>
    </cacheField>
    <cacheField name="Column2830" numFmtId="0">
      <sharedItems containsNonDate="0" containsString="0" containsBlank="1"/>
    </cacheField>
    <cacheField name="Column2831" numFmtId="0">
      <sharedItems containsNonDate="0" containsString="0" containsBlank="1"/>
    </cacheField>
    <cacheField name="Column2832" numFmtId="0">
      <sharedItems containsNonDate="0" containsString="0" containsBlank="1"/>
    </cacheField>
    <cacheField name="Column2833" numFmtId="0">
      <sharedItems containsNonDate="0" containsString="0" containsBlank="1"/>
    </cacheField>
    <cacheField name="Column2834" numFmtId="0">
      <sharedItems containsNonDate="0" containsString="0" containsBlank="1"/>
    </cacheField>
    <cacheField name="Column2835" numFmtId="0">
      <sharedItems containsNonDate="0" containsString="0" containsBlank="1"/>
    </cacheField>
    <cacheField name="Column2836" numFmtId="0">
      <sharedItems containsNonDate="0" containsString="0" containsBlank="1"/>
    </cacheField>
    <cacheField name="Column2837" numFmtId="0">
      <sharedItems containsNonDate="0" containsString="0" containsBlank="1"/>
    </cacheField>
    <cacheField name="Column2838" numFmtId="0">
      <sharedItems containsNonDate="0" containsString="0" containsBlank="1"/>
    </cacheField>
    <cacheField name="Column2839" numFmtId="0">
      <sharedItems containsNonDate="0" containsString="0" containsBlank="1"/>
    </cacheField>
    <cacheField name="Column2840" numFmtId="0">
      <sharedItems containsNonDate="0" containsString="0" containsBlank="1"/>
    </cacheField>
    <cacheField name="Column2841" numFmtId="0">
      <sharedItems containsNonDate="0" containsString="0" containsBlank="1"/>
    </cacheField>
    <cacheField name="Column2842" numFmtId="0">
      <sharedItems containsNonDate="0" containsString="0" containsBlank="1"/>
    </cacheField>
    <cacheField name="Column2843" numFmtId="0">
      <sharedItems containsNonDate="0" containsString="0" containsBlank="1"/>
    </cacheField>
    <cacheField name="Column2844" numFmtId="0">
      <sharedItems containsNonDate="0" containsString="0" containsBlank="1"/>
    </cacheField>
    <cacheField name="Column2845" numFmtId="0">
      <sharedItems containsNonDate="0" containsString="0" containsBlank="1"/>
    </cacheField>
    <cacheField name="Column2846" numFmtId="0">
      <sharedItems containsNonDate="0" containsString="0" containsBlank="1"/>
    </cacheField>
    <cacheField name="Column2847" numFmtId="0">
      <sharedItems containsNonDate="0" containsString="0" containsBlank="1"/>
    </cacheField>
    <cacheField name="Column2848" numFmtId="0">
      <sharedItems containsNonDate="0" containsString="0" containsBlank="1"/>
    </cacheField>
    <cacheField name="Column2849" numFmtId="0">
      <sharedItems containsNonDate="0" containsString="0" containsBlank="1"/>
    </cacheField>
    <cacheField name="Column2850" numFmtId="0">
      <sharedItems containsNonDate="0" containsString="0" containsBlank="1"/>
    </cacheField>
    <cacheField name="Column2851" numFmtId="0">
      <sharedItems containsNonDate="0" containsString="0" containsBlank="1"/>
    </cacheField>
    <cacheField name="Column2852" numFmtId="0">
      <sharedItems containsNonDate="0" containsString="0" containsBlank="1"/>
    </cacheField>
    <cacheField name="Column2853" numFmtId="0">
      <sharedItems containsNonDate="0" containsString="0" containsBlank="1"/>
    </cacheField>
    <cacheField name="Column2854" numFmtId="0">
      <sharedItems containsNonDate="0" containsString="0" containsBlank="1"/>
    </cacheField>
    <cacheField name="Column2855" numFmtId="0">
      <sharedItems containsNonDate="0" containsString="0" containsBlank="1"/>
    </cacheField>
    <cacheField name="Column2856" numFmtId="0">
      <sharedItems containsNonDate="0" containsString="0" containsBlank="1"/>
    </cacheField>
    <cacheField name="Column2857" numFmtId="0">
      <sharedItems containsNonDate="0" containsString="0" containsBlank="1"/>
    </cacheField>
    <cacheField name="Column2858" numFmtId="0">
      <sharedItems containsNonDate="0" containsString="0" containsBlank="1"/>
    </cacheField>
    <cacheField name="Column2859" numFmtId="0">
      <sharedItems containsNonDate="0" containsString="0" containsBlank="1"/>
    </cacheField>
    <cacheField name="Column2860" numFmtId="0">
      <sharedItems containsNonDate="0" containsString="0" containsBlank="1"/>
    </cacheField>
    <cacheField name="Column2861" numFmtId="0">
      <sharedItems containsNonDate="0" containsString="0" containsBlank="1"/>
    </cacheField>
    <cacheField name="Column2862" numFmtId="0">
      <sharedItems containsNonDate="0" containsString="0" containsBlank="1"/>
    </cacheField>
    <cacheField name="Column2863" numFmtId="0">
      <sharedItems containsNonDate="0" containsString="0" containsBlank="1"/>
    </cacheField>
    <cacheField name="Column2864" numFmtId="0">
      <sharedItems containsNonDate="0" containsString="0" containsBlank="1"/>
    </cacheField>
    <cacheField name="Column2865" numFmtId="0">
      <sharedItems containsNonDate="0" containsString="0" containsBlank="1"/>
    </cacheField>
    <cacheField name="Column2866" numFmtId="0">
      <sharedItems containsNonDate="0" containsString="0" containsBlank="1"/>
    </cacheField>
    <cacheField name="Column2867" numFmtId="0">
      <sharedItems containsNonDate="0" containsString="0" containsBlank="1"/>
    </cacheField>
    <cacheField name="Column2868" numFmtId="0">
      <sharedItems containsNonDate="0" containsString="0" containsBlank="1"/>
    </cacheField>
    <cacheField name="Column2869" numFmtId="0">
      <sharedItems containsNonDate="0" containsString="0" containsBlank="1"/>
    </cacheField>
    <cacheField name="Column2870" numFmtId="0">
      <sharedItems containsNonDate="0" containsString="0" containsBlank="1"/>
    </cacheField>
    <cacheField name="Column2871" numFmtId="0">
      <sharedItems containsNonDate="0" containsString="0" containsBlank="1"/>
    </cacheField>
    <cacheField name="Column2872" numFmtId="0">
      <sharedItems containsNonDate="0" containsString="0" containsBlank="1"/>
    </cacheField>
    <cacheField name="Column2873" numFmtId="0">
      <sharedItems containsNonDate="0" containsString="0" containsBlank="1"/>
    </cacheField>
    <cacheField name="Column2874" numFmtId="0">
      <sharedItems containsNonDate="0" containsString="0" containsBlank="1"/>
    </cacheField>
    <cacheField name="Column2875" numFmtId="0">
      <sharedItems containsNonDate="0" containsString="0" containsBlank="1"/>
    </cacheField>
    <cacheField name="Column2876" numFmtId="0">
      <sharedItems containsNonDate="0" containsString="0" containsBlank="1"/>
    </cacheField>
    <cacheField name="Column2877" numFmtId="0">
      <sharedItems containsNonDate="0" containsString="0" containsBlank="1"/>
    </cacheField>
    <cacheField name="Column2878" numFmtId="0">
      <sharedItems containsNonDate="0" containsString="0" containsBlank="1"/>
    </cacheField>
    <cacheField name="Column2879" numFmtId="0">
      <sharedItems containsNonDate="0" containsString="0" containsBlank="1"/>
    </cacheField>
    <cacheField name="Column2880" numFmtId="0">
      <sharedItems containsNonDate="0" containsString="0" containsBlank="1"/>
    </cacheField>
    <cacheField name="Column2881" numFmtId="0">
      <sharedItems containsNonDate="0" containsString="0" containsBlank="1"/>
    </cacheField>
    <cacheField name="Column2882" numFmtId="0">
      <sharedItems containsNonDate="0" containsString="0" containsBlank="1"/>
    </cacheField>
    <cacheField name="Column2883" numFmtId="0">
      <sharedItems containsNonDate="0" containsString="0" containsBlank="1"/>
    </cacheField>
    <cacheField name="Column2884" numFmtId="0">
      <sharedItems containsNonDate="0" containsString="0" containsBlank="1"/>
    </cacheField>
    <cacheField name="Column2885" numFmtId="0">
      <sharedItems containsNonDate="0" containsString="0" containsBlank="1"/>
    </cacheField>
    <cacheField name="Column2886" numFmtId="0">
      <sharedItems containsNonDate="0" containsString="0" containsBlank="1"/>
    </cacheField>
    <cacheField name="Column2887" numFmtId="0">
      <sharedItems containsNonDate="0" containsString="0" containsBlank="1"/>
    </cacheField>
    <cacheField name="Column2888" numFmtId="0">
      <sharedItems containsNonDate="0" containsString="0" containsBlank="1"/>
    </cacheField>
    <cacheField name="Column2889" numFmtId="0">
      <sharedItems containsNonDate="0" containsString="0" containsBlank="1"/>
    </cacheField>
    <cacheField name="Column2890" numFmtId="0">
      <sharedItems containsNonDate="0" containsString="0" containsBlank="1"/>
    </cacheField>
    <cacheField name="Column2891" numFmtId="0">
      <sharedItems containsNonDate="0" containsString="0" containsBlank="1"/>
    </cacheField>
    <cacheField name="Column2892" numFmtId="0">
      <sharedItems containsNonDate="0" containsString="0" containsBlank="1"/>
    </cacheField>
    <cacheField name="Column2893" numFmtId="0">
      <sharedItems containsNonDate="0" containsString="0" containsBlank="1"/>
    </cacheField>
    <cacheField name="Column2894" numFmtId="0">
      <sharedItems containsNonDate="0" containsString="0" containsBlank="1"/>
    </cacheField>
    <cacheField name="Column2895" numFmtId="0">
      <sharedItems containsNonDate="0" containsString="0" containsBlank="1"/>
    </cacheField>
    <cacheField name="Column2896" numFmtId="0">
      <sharedItems containsNonDate="0" containsString="0" containsBlank="1"/>
    </cacheField>
    <cacheField name="Column2897" numFmtId="0">
      <sharedItems containsNonDate="0" containsString="0" containsBlank="1"/>
    </cacheField>
    <cacheField name="Column2898" numFmtId="0">
      <sharedItems containsNonDate="0" containsString="0" containsBlank="1"/>
    </cacheField>
    <cacheField name="Column2899" numFmtId="0">
      <sharedItems containsNonDate="0" containsString="0" containsBlank="1"/>
    </cacheField>
    <cacheField name="Column2900" numFmtId="0">
      <sharedItems containsNonDate="0" containsString="0" containsBlank="1"/>
    </cacheField>
    <cacheField name="Column2901" numFmtId="0">
      <sharedItems containsNonDate="0" containsString="0" containsBlank="1"/>
    </cacheField>
    <cacheField name="Column2902" numFmtId="0">
      <sharedItems containsNonDate="0" containsString="0" containsBlank="1"/>
    </cacheField>
    <cacheField name="Column2903" numFmtId="0">
      <sharedItems containsNonDate="0" containsString="0" containsBlank="1"/>
    </cacheField>
    <cacheField name="Column2904" numFmtId="0">
      <sharedItems containsNonDate="0" containsString="0" containsBlank="1"/>
    </cacheField>
    <cacheField name="Column2905" numFmtId="0">
      <sharedItems containsNonDate="0" containsString="0" containsBlank="1"/>
    </cacheField>
    <cacheField name="Column2906" numFmtId="0">
      <sharedItems containsNonDate="0" containsString="0" containsBlank="1"/>
    </cacheField>
    <cacheField name="Column2907" numFmtId="0">
      <sharedItems containsNonDate="0" containsString="0" containsBlank="1"/>
    </cacheField>
    <cacheField name="Column2908" numFmtId="0">
      <sharedItems containsNonDate="0" containsString="0" containsBlank="1"/>
    </cacheField>
    <cacheField name="Column2909" numFmtId="0">
      <sharedItems containsNonDate="0" containsString="0" containsBlank="1"/>
    </cacheField>
    <cacheField name="Column2910" numFmtId="0">
      <sharedItems containsNonDate="0" containsString="0" containsBlank="1"/>
    </cacheField>
    <cacheField name="Column2911" numFmtId="0">
      <sharedItems containsNonDate="0" containsString="0" containsBlank="1"/>
    </cacheField>
    <cacheField name="Column2912" numFmtId="0">
      <sharedItems containsNonDate="0" containsString="0" containsBlank="1"/>
    </cacheField>
    <cacheField name="Column2913" numFmtId="0">
      <sharedItems containsNonDate="0" containsString="0" containsBlank="1"/>
    </cacheField>
    <cacheField name="Column2914" numFmtId="0">
      <sharedItems containsNonDate="0" containsString="0" containsBlank="1"/>
    </cacheField>
    <cacheField name="Column2915" numFmtId="0">
      <sharedItems containsNonDate="0" containsString="0" containsBlank="1"/>
    </cacheField>
    <cacheField name="Column2916" numFmtId="0">
      <sharedItems containsNonDate="0" containsString="0" containsBlank="1"/>
    </cacheField>
    <cacheField name="Column2917" numFmtId="0">
      <sharedItems containsNonDate="0" containsString="0" containsBlank="1"/>
    </cacheField>
    <cacheField name="Column2918" numFmtId="0">
      <sharedItems containsNonDate="0" containsString="0" containsBlank="1"/>
    </cacheField>
    <cacheField name="Column2919" numFmtId="0">
      <sharedItems containsNonDate="0" containsString="0" containsBlank="1"/>
    </cacheField>
    <cacheField name="Column2920" numFmtId="0">
      <sharedItems containsNonDate="0" containsString="0" containsBlank="1"/>
    </cacheField>
    <cacheField name="Column2921" numFmtId="0">
      <sharedItems containsNonDate="0" containsString="0" containsBlank="1"/>
    </cacheField>
    <cacheField name="Column2922" numFmtId="0">
      <sharedItems containsNonDate="0" containsString="0" containsBlank="1"/>
    </cacheField>
    <cacheField name="Column2923" numFmtId="0">
      <sharedItems containsNonDate="0" containsString="0" containsBlank="1"/>
    </cacheField>
    <cacheField name="Column2924" numFmtId="0">
      <sharedItems containsNonDate="0" containsString="0" containsBlank="1"/>
    </cacheField>
    <cacheField name="Column2925" numFmtId="0">
      <sharedItems containsNonDate="0" containsString="0" containsBlank="1"/>
    </cacheField>
    <cacheField name="Column2926" numFmtId="0">
      <sharedItems containsNonDate="0" containsString="0" containsBlank="1"/>
    </cacheField>
    <cacheField name="Column2927" numFmtId="0">
      <sharedItems containsNonDate="0" containsString="0" containsBlank="1"/>
    </cacheField>
    <cacheField name="Column2928" numFmtId="0">
      <sharedItems containsNonDate="0" containsString="0" containsBlank="1"/>
    </cacheField>
    <cacheField name="Column2929" numFmtId="0">
      <sharedItems containsNonDate="0" containsString="0" containsBlank="1"/>
    </cacheField>
    <cacheField name="Column2930" numFmtId="0">
      <sharedItems containsNonDate="0" containsString="0" containsBlank="1"/>
    </cacheField>
    <cacheField name="Column2931" numFmtId="0">
      <sharedItems containsNonDate="0" containsString="0" containsBlank="1"/>
    </cacheField>
    <cacheField name="Column2932" numFmtId="0">
      <sharedItems containsNonDate="0" containsString="0" containsBlank="1"/>
    </cacheField>
    <cacheField name="Column2933" numFmtId="0">
      <sharedItems containsNonDate="0" containsString="0" containsBlank="1"/>
    </cacheField>
    <cacheField name="Column2934" numFmtId="0">
      <sharedItems containsNonDate="0" containsString="0" containsBlank="1"/>
    </cacheField>
    <cacheField name="Column2935" numFmtId="0">
      <sharedItems containsNonDate="0" containsString="0" containsBlank="1"/>
    </cacheField>
    <cacheField name="Column2936" numFmtId="0">
      <sharedItems containsNonDate="0" containsString="0" containsBlank="1"/>
    </cacheField>
    <cacheField name="Column2937" numFmtId="0">
      <sharedItems containsNonDate="0" containsString="0" containsBlank="1"/>
    </cacheField>
    <cacheField name="Column2938" numFmtId="0">
      <sharedItems containsNonDate="0" containsString="0" containsBlank="1"/>
    </cacheField>
    <cacheField name="Column2939" numFmtId="0">
      <sharedItems containsNonDate="0" containsString="0" containsBlank="1"/>
    </cacheField>
    <cacheField name="Column2940" numFmtId="0">
      <sharedItems containsNonDate="0" containsString="0" containsBlank="1"/>
    </cacheField>
    <cacheField name="Column2941" numFmtId="0">
      <sharedItems containsNonDate="0" containsString="0" containsBlank="1"/>
    </cacheField>
    <cacheField name="Column2942" numFmtId="0">
      <sharedItems containsNonDate="0" containsString="0" containsBlank="1"/>
    </cacheField>
    <cacheField name="Column2943" numFmtId="0">
      <sharedItems containsNonDate="0" containsString="0" containsBlank="1"/>
    </cacheField>
    <cacheField name="Column2944" numFmtId="0">
      <sharedItems containsNonDate="0" containsString="0" containsBlank="1"/>
    </cacheField>
    <cacheField name="Column2945" numFmtId="0">
      <sharedItems containsNonDate="0" containsString="0" containsBlank="1"/>
    </cacheField>
    <cacheField name="Column2946" numFmtId="0">
      <sharedItems containsNonDate="0" containsString="0" containsBlank="1"/>
    </cacheField>
    <cacheField name="Column2947" numFmtId="0">
      <sharedItems containsNonDate="0" containsString="0" containsBlank="1"/>
    </cacheField>
    <cacheField name="Column2948" numFmtId="0">
      <sharedItems containsNonDate="0" containsString="0" containsBlank="1"/>
    </cacheField>
    <cacheField name="Column2949" numFmtId="0">
      <sharedItems containsNonDate="0" containsString="0" containsBlank="1"/>
    </cacheField>
    <cacheField name="Column2950" numFmtId="0">
      <sharedItems containsNonDate="0" containsString="0" containsBlank="1"/>
    </cacheField>
    <cacheField name="Column2951" numFmtId="0">
      <sharedItems containsNonDate="0" containsString="0" containsBlank="1"/>
    </cacheField>
    <cacheField name="Column2952" numFmtId="0">
      <sharedItems containsNonDate="0" containsString="0" containsBlank="1"/>
    </cacheField>
    <cacheField name="Column2953" numFmtId="0">
      <sharedItems containsNonDate="0" containsString="0" containsBlank="1"/>
    </cacheField>
    <cacheField name="Column2954" numFmtId="0">
      <sharedItems containsNonDate="0" containsString="0" containsBlank="1"/>
    </cacheField>
    <cacheField name="Column2955" numFmtId="0">
      <sharedItems containsNonDate="0" containsString="0" containsBlank="1"/>
    </cacheField>
    <cacheField name="Column2956" numFmtId="0">
      <sharedItems containsNonDate="0" containsString="0" containsBlank="1"/>
    </cacheField>
    <cacheField name="Column2957" numFmtId="0">
      <sharedItems containsNonDate="0" containsString="0" containsBlank="1"/>
    </cacheField>
    <cacheField name="Column2958" numFmtId="0">
      <sharedItems containsNonDate="0" containsString="0" containsBlank="1"/>
    </cacheField>
    <cacheField name="Column2959" numFmtId="0">
      <sharedItems containsNonDate="0" containsString="0" containsBlank="1"/>
    </cacheField>
    <cacheField name="Column2960" numFmtId="0">
      <sharedItems containsNonDate="0" containsString="0" containsBlank="1"/>
    </cacheField>
    <cacheField name="Column2961" numFmtId="0">
      <sharedItems containsNonDate="0" containsString="0" containsBlank="1"/>
    </cacheField>
    <cacheField name="Column2962" numFmtId="0">
      <sharedItems containsNonDate="0" containsString="0" containsBlank="1"/>
    </cacheField>
    <cacheField name="Column2963" numFmtId="0">
      <sharedItems containsNonDate="0" containsString="0" containsBlank="1"/>
    </cacheField>
    <cacheField name="Column2964" numFmtId="0">
      <sharedItems containsNonDate="0" containsString="0" containsBlank="1"/>
    </cacheField>
    <cacheField name="Column2965" numFmtId="0">
      <sharedItems containsNonDate="0" containsString="0" containsBlank="1"/>
    </cacheField>
    <cacheField name="Column2966" numFmtId="0">
      <sharedItems containsNonDate="0" containsString="0" containsBlank="1"/>
    </cacheField>
    <cacheField name="Column2967" numFmtId="0">
      <sharedItems containsNonDate="0" containsString="0" containsBlank="1"/>
    </cacheField>
    <cacheField name="Column2968" numFmtId="0">
      <sharedItems containsNonDate="0" containsString="0" containsBlank="1"/>
    </cacheField>
    <cacheField name="Column2969" numFmtId="0">
      <sharedItems containsNonDate="0" containsString="0" containsBlank="1"/>
    </cacheField>
    <cacheField name="Column2970" numFmtId="0">
      <sharedItems containsNonDate="0" containsString="0" containsBlank="1"/>
    </cacheField>
    <cacheField name="Column2971" numFmtId="0">
      <sharedItems containsNonDate="0" containsString="0" containsBlank="1"/>
    </cacheField>
    <cacheField name="Column2972" numFmtId="0">
      <sharedItems containsNonDate="0" containsString="0" containsBlank="1"/>
    </cacheField>
    <cacheField name="Column2973" numFmtId="0">
      <sharedItems containsNonDate="0" containsString="0" containsBlank="1"/>
    </cacheField>
    <cacheField name="Column2974" numFmtId="0">
      <sharedItems containsNonDate="0" containsString="0" containsBlank="1"/>
    </cacheField>
    <cacheField name="Column2975" numFmtId="0">
      <sharedItems containsNonDate="0" containsString="0" containsBlank="1"/>
    </cacheField>
    <cacheField name="Column2976" numFmtId="0">
      <sharedItems containsNonDate="0" containsString="0" containsBlank="1"/>
    </cacheField>
    <cacheField name="Column2977" numFmtId="0">
      <sharedItems containsNonDate="0" containsString="0" containsBlank="1"/>
    </cacheField>
    <cacheField name="Column2978" numFmtId="0">
      <sharedItems containsNonDate="0" containsString="0" containsBlank="1"/>
    </cacheField>
    <cacheField name="Column2979" numFmtId="0">
      <sharedItems containsNonDate="0" containsString="0" containsBlank="1"/>
    </cacheField>
    <cacheField name="Column2980" numFmtId="0">
      <sharedItems containsNonDate="0" containsString="0" containsBlank="1"/>
    </cacheField>
    <cacheField name="Column2981" numFmtId="0">
      <sharedItems containsNonDate="0" containsString="0" containsBlank="1"/>
    </cacheField>
    <cacheField name="Column2982" numFmtId="0">
      <sharedItems containsNonDate="0" containsString="0" containsBlank="1"/>
    </cacheField>
    <cacheField name="Column2983" numFmtId="0">
      <sharedItems containsNonDate="0" containsString="0" containsBlank="1"/>
    </cacheField>
    <cacheField name="Column2984" numFmtId="0">
      <sharedItems containsNonDate="0" containsString="0" containsBlank="1"/>
    </cacheField>
    <cacheField name="Column2985" numFmtId="0">
      <sharedItems containsNonDate="0" containsString="0" containsBlank="1"/>
    </cacheField>
    <cacheField name="Column2986" numFmtId="0">
      <sharedItems containsNonDate="0" containsString="0" containsBlank="1"/>
    </cacheField>
    <cacheField name="Column2987" numFmtId="0">
      <sharedItems containsNonDate="0" containsString="0" containsBlank="1"/>
    </cacheField>
    <cacheField name="Column2988" numFmtId="0">
      <sharedItems containsNonDate="0" containsString="0" containsBlank="1"/>
    </cacheField>
    <cacheField name="Column2989" numFmtId="0">
      <sharedItems containsNonDate="0" containsString="0" containsBlank="1"/>
    </cacheField>
    <cacheField name="Column2990" numFmtId="0">
      <sharedItems containsNonDate="0" containsString="0" containsBlank="1"/>
    </cacheField>
    <cacheField name="Column2991" numFmtId="0">
      <sharedItems containsNonDate="0" containsString="0" containsBlank="1"/>
    </cacheField>
    <cacheField name="Column2992" numFmtId="0">
      <sharedItems containsNonDate="0" containsString="0" containsBlank="1"/>
    </cacheField>
    <cacheField name="Column2993" numFmtId="0">
      <sharedItems containsNonDate="0" containsString="0" containsBlank="1"/>
    </cacheField>
    <cacheField name="Column2994" numFmtId="0">
      <sharedItems containsNonDate="0" containsString="0" containsBlank="1"/>
    </cacheField>
    <cacheField name="Column2995" numFmtId="0">
      <sharedItems containsNonDate="0" containsString="0" containsBlank="1"/>
    </cacheField>
    <cacheField name="Column2996" numFmtId="0">
      <sharedItems containsNonDate="0" containsString="0" containsBlank="1"/>
    </cacheField>
    <cacheField name="Column2997" numFmtId="0">
      <sharedItems containsNonDate="0" containsString="0" containsBlank="1"/>
    </cacheField>
    <cacheField name="Column2998" numFmtId="0">
      <sharedItems containsNonDate="0" containsString="0" containsBlank="1"/>
    </cacheField>
    <cacheField name="Column2999" numFmtId="0">
      <sharedItems containsNonDate="0" containsString="0" containsBlank="1"/>
    </cacheField>
    <cacheField name="Column3000" numFmtId="0">
      <sharedItems containsNonDate="0" containsString="0" containsBlank="1"/>
    </cacheField>
    <cacheField name="Column3001" numFmtId="0">
      <sharedItems containsNonDate="0" containsString="0" containsBlank="1"/>
    </cacheField>
    <cacheField name="Column3002" numFmtId="0">
      <sharedItems containsNonDate="0" containsString="0" containsBlank="1"/>
    </cacheField>
    <cacheField name="Column3003" numFmtId="0">
      <sharedItems containsNonDate="0" containsString="0" containsBlank="1"/>
    </cacheField>
    <cacheField name="Column3004" numFmtId="0">
      <sharedItems containsNonDate="0" containsString="0" containsBlank="1"/>
    </cacheField>
    <cacheField name="Column3005" numFmtId="0">
      <sharedItems containsNonDate="0" containsString="0" containsBlank="1"/>
    </cacheField>
    <cacheField name="Column3006" numFmtId="0">
      <sharedItems containsNonDate="0" containsString="0" containsBlank="1"/>
    </cacheField>
    <cacheField name="Column3007" numFmtId="0">
      <sharedItems containsNonDate="0" containsString="0" containsBlank="1"/>
    </cacheField>
    <cacheField name="Column3008" numFmtId="0">
      <sharedItems containsNonDate="0" containsString="0" containsBlank="1"/>
    </cacheField>
    <cacheField name="Column3009" numFmtId="0">
      <sharedItems containsNonDate="0" containsString="0" containsBlank="1"/>
    </cacheField>
    <cacheField name="Column3010" numFmtId="0">
      <sharedItems containsNonDate="0" containsString="0" containsBlank="1"/>
    </cacheField>
    <cacheField name="Column3011" numFmtId="0">
      <sharedItems containsNonDate="0" containsString="0" containsBlank="1"/>
    </cacheField>
    <cacheField name="Column3012" numFmtId="0">
      <sharedItems containsNonDate="0" containsString="0" containsBlank="1"/>
    </cacheField>
    <cacheField name="Column3013" numFmtId="0">
      <sharedItems containsNonDate="0" containsString="0" containsBlank="1"/>
    </cacheField>
    <cacheField name="Column3014" numFmtId="0">
      <sharedItems containsNonDate="0" containsString="0" containsBlank="1"/>
    </cacheField>
    <cacheField name="Column3015" numFmtId="0">
      <sharedItems containsNonDate="0" containsString="0" containsBlank="1"/>
    </cacheField>
    <cacheField name="Column3016" numFmtId="0">
      <sharedItems containsNonDate="0" containsString="0" containsBlank="1"/>
    </cacheField>
    <cacheField name="Column3017" numFmtId="0">
      <sharedItems containsNonDate="0" containsString="0" containsBlank="1"/>
    </cacheField>
    <cacheField name="Column3018" numFmtId="0">
      <sharedItems containsNonDate="0" containsString="0" containsBlank="1"/>
    </cacheField>
    <cacheField name="Column3019" numFmtId="0">
      <sharedItems containsNonDate="0" containsString="0" containsBlank="1"/>
    </cacheField>
    <cacheField name="Column3020" numFmtId="0">
      <sharedItems containsNonDate="0" containsString="0" containsBlank="1"/>
    </cacheField>
    <cacheField name="Column3021" numFmtId="0">
      <sharedItems containsNonDate="0" containsString="0" containsBlank="1"/>
    </cacheField>
    <cacheField name="Column3022" numFmtId="0">
      <sharedItems containsNonDate="0" containsString="0" containsBlank="1"/>
    </cacheField>
    <cacheField name="Column3023" numFmtId="0">
      <sharedItems containsNonDate="0" containsString="0" containsBlank="1"/>
    </cacheField>
    <cacheField name="Column3024" numFmtId="0">
      <sharedItems containsNonDate="0" containsString="0" containsBlank="1"/>
    </cacheField>
    <cacheField name="Column3025" numFmtId="0">
      <sharedItems containsNonDate="0" containsString="0" containsBlank="1"/>
    </cacheField>
    <cacheField name="Column3026" numFmtId="0">
      <sharedItems containsNonDate="0" containsString="0" containsBlank="1"/>
    </cacheField>
    <cacheField name="Column3027" numFmtId="0">
      <sharedItems containsNonDate="0" containsString="0" containsBlank="1"/>
    </cacheField>
    <cacheField name="Column3028" numFmtId="0">
      <sharedItems containsNonDate="0" containsString="0" containsBlank="1"/>
    </cacheField>
    <cacheField name="Column3029" numFmtId="0">
      <sharedItems containsNonDate="0" containsString="0" containsBlank="1"/>
    </cacheField>
    <cacheField name="Column3030" numFmtId="0">
      <sharedItems containsNonDate="0" containsString="0" containsBlank="1"/>
    </cacheField>
    <cacheField name="Column3031" numFmtId="0">
      <sharedItems containsNonDate="0" containsString="0" containsBlank="1"/>
    </cacheField>
    <cacheField name="Column3032" numFmtId="0">
      <sharedItems containsNonDate="0" containsString="0" containsBlank="1"/>
    </cacheField>
    <cacheField name="Column3033" numFmtId="0">
      <sharedItems containsNonDate="0" containsString="0" containsBlank="1"/>
    </cacheField>
    <cacheField name="Column3034" numFmtId="0">
      <sharedItems containsNonDate="0" containsString="0" containsBlank="1"/>
    </cacheField>
    <cacheField name="Column3035" numFmtId="0">
      <sharedItems containsNonDate="0" containsString="0" containsBlank="1"/>
    </cacheField>
    <cacheField name="Column3036" numFmtId="0">
      <sharedItems containsNonDate="0" containsString="0" containsBlank="1"/>
    </cacheField>
    <cacheField name="Column3037" numFmtId="0">
      <sharedItems containsNonDate="0" containsString="0" containsBlank="1"/>
    </cacheField>
    <cacheField name="Column3038" numFmtId="0">
      <sharedItems containsNonDate="0" containsString="0" containsBlank="1"/>
    </cacheField>
    <cacheField name="Column3039" numFmtId="0">
      <sharedItems containsNonDate="0" containsString="0" containsBlank="1"/>
    </cacheField>
    <cacheField name="Column3040" numFmtId="0">
      <sharedItems containsNonDate="0" containsString="0" containsBlank="1"/>
    </cacheField>
    <cacheField name="Column3041" numFmtId="0">
      <sharedItems containsNonDate="0" containsString="0" containsBlank="1"/>
    </cacheField>
    <cacheField name="Column3042" numFmtId="0">
      <sharedItems containsNonDate="0" containsString="0" containsBlank="1"/>
    </cacheField>
    <cacheField name="Column3043" numFmtId="0">
      <sharedItems containsNonDate="0" containsString="0" containsBlank="1"/>
    </cacheField>
    <cacheField name="Column3044" numFmtId="0">
      <sharedItems containsNonDate="0" containsString="0" containsBlank="1"/>
    </cacheField>
    <cacheField name="Column3045" numFmtId="0">
      <sharedItems containsNonDate="0" containsString="0" containsBlank="1"/>
    </cacheField>
    <cacheField name="Column3046" numFmtId="0">
      <sharedItems containsNonDate="0" containsString="0" containsBlank="1"/>
    </cacheField>
    <cacheField name="Column3047" numFmtId="0">
      <sharedItems containsNonDate="0" containsString="0" containsBlank="1"/>
    </cacheField>
    <cacheField name="Column3048" numFmtId="0">
      <sharedItems containsNonDate="0" containsString="0" containsBlank="1"/>
    </cacheField>
    <cacheField name="Column3049" numFmtId="0">
      <sharedItems containsNonDate="0" containsString="0" containsBlank="1"/>
    </cacheField>
    <cacheField name="Column3050" numFmtId="0">
      <sharedItems containsNonDate="0" containsString="0" containsBlank="1"/>
    </cacheField>
    <cacheField name="Column3051" numFmtId="0">
      <sharedItems containsNonDate="0" containsString="0" containsBlank="1"/>
    </cacheField>
    <cacheField name="Column3052" numFmtId="0">
      <sharedItems containsNonDate="0" containsString="0" containsBlank="1"/>
    </cacheField>
    <cacheField name="Column3053" numFmtId="0">
      <sharedItems containsNonDate="0" containsString="0" containsBlank="1"/>
    </cacheField>
    <cacheField name="Column3054" numFmtId="0">
      <sharedItems containsNonDate="0" containsString="0" containsBlank="1"/>
    </cacheField>
    <cacheField name="Column3055" numFmtId="0">
      <sharedItems containsNonDate="0" containsString="0" containsBlank="1"/>
    </cacheField>
    <cacheField name="Column3056" numFmtId="0">
      <sharedItems containsNonDate="0" containsString="0" containsBlank="1"/>
    </cacheField>
    <cacheField name="Column3057" numFmtId="0">
      <sharedItems containsNonDate="0" containsString="0" containsBlank="1"/>
    </cacheField>
    <cacheField name="Column3058" numFmtId="0">
      <sharedItems containsNonDate="0" containsString="0" containsBlank="1"/>
    </cacheField>
    <cacheField name="Column3059" numFmtId="0">
      <sharedItems containsNonDate="0" containsString="0" containsBlank="1"/>
    </cacheField>
    <cacheField name="Column3060" numFmtId="0">
      <sharedItems containsNonDate="0" containsString="0" containsBlank="1"/>
    </cacheField>
    <cacheField name="Column3061" numFmtId="0">
      <sharedItems containsNonDate="0" containsString="0" containsBlank="1"/>
    </cacheField>
    <cacheField name="Column3062" numFmtId="0">
      <sharedItems containsNonDate="0" containsString="0" containsBlank="1"/>
    </cacheField>
    <cacheField name="Column3063" numFmtId="0">
      <sharedItems containsNonDate="0" containsString="0" containsBlank="1"/>
    </cacheField>
    <cacheField name="Column3064" numFmtId="0">
      <sharedItems containsNonDate="0" containsString="0" containsBlank="1"/>
    </cacheField>
    <cacheField name="Column3065" numFmtId="0">
      <sharedItems containsNonDate="0" containsString="0" containsBlank="1"/>
    </cacheField>
    <cacheField name="Column3066" numFmtId="0">
      <sharedItems containsNonDate="0" containsString="0" containsBlank="1"/>
    </cacheField>
    <cacheField name="Column3067" numFmtId="0">
      <sharedItems containsNonDate="0" containsString="0" containsBlank="1"/>
    </cacheField>
    <cacheField name="Column3068" numFmtId="0">
      <sharedItems containsNonDate="0" containsString="0" containsBlank="1"/>
    </cacheField>
    <cacheField name="Column3069" numFmtId="0">
      <sharedItems containsNonDate="0" containsString="0" containsBlank="1"/>
    </cacheField>
    <cacheField name="Column3070" numFmtId="0">
      <sharedItems containsNonDate="0" containsString="0" containsBlank="1"/>
    </cacheField>
    <cacheField name="Column3071" numFmtId="0">
      <sharedItems containsNonDate="0" containsString="0" containsBlank="1"/>
    </cacheField>
    <cacheField name="Column3072" numFmtId="0">
      <sharedItems containsNonDate="0" containsString="0" containsBlank="1"/>
    </cacheField>
    <cacheField name="Column3073" numFmtId="0">
      <sharedItems containsNonDate="0" containsString="0" containsBlank="1"/>
    </cacheField>
    <cacheField name="Column3074" numFmtId="0">
      <sharedItems containsNonDate="0" containsString="0" containsBlank="1"/>
    </cacheField>
    <cacheField name="Column3075" numFmtId="0">
      <sharedItems containsNonDate="0" containsString="0" containsBlank="1"/>
    </cacheField>
    <cacheField name="Column3076" numFmtId="0">
      <sharedItems containsNonDate="0" containsString="0" containsBlank="1"/>
    </cacheField>
    <cacheField name="Column3077" numFmtId="0">
      <sharedItems containsNonDate="0" containsString="0" containsBlank="1"/>
    </cacheField>
    <cacheField name="Column3078" numFmtId="0">
      <sharedItems containsNonDate="0" containsString="0" containsBlank="1"/>
    </cacheField>
    <cacheField name="Column3079" numFmtId="0">
      <sharedItems containsNonDate="0" containsString="0" containsBlank="1"/>
    </cacheField>
    <cacheField name="Column3080" numFmtId="0">
      <sharedItems containsNonDate="0" containsString="0" containsBlank="1"/>
    </cacheField>
    <cacheField name="Column3081" numFmtId="0">
      <sharedItems containsNonDate="0" containsString="0" containsBlank="1"/>
    </cacheField>
    <cacheField name="Column3082" numFmtId="0">
      <sharedItems containsNonDate="0" containsString="0" containsBlank="1"/>
    </cacheField>
    <cacheField name="Column3083" numFmtId="0">
      <sharedItems containsNonDate="0" containsString="0" containsBlank="1"/>
    </cacheField>
    <cacheField name="Column3084" numFmtId="0">
      <sharedItems containsNonDate="0" containsString="0" containsBlank="1"/>
    </cacheField>
    <cacheField name="Column3085" numFmtId="0">
      <sharedItems containsNonDate="0" containsString="0" containsBlank="1"/>
    </cacheField>
    <cacheField name="Column3086" numFmtId="0">
      <sharedItems containsNonDate="0" containsString="0" containsBlank="1"/>
    </cacheField>
    <cacheField name="Column3087" numFmtId="0">
      <sharedItems containsNonDate="0" containsString="0" containsBlank="1"/>
    </cacheField>
    <cacheField name="Column3088" numFmtId="0">
      <sharedItems containsNonDate="0" containsString="0" containsBlank="1"/>
    </cacheField>
    <cacheField name="Column3089" numFmtId="0">
      <sharedItems containsNonDate="0" containsString="0" containsBlank="1"/>
    </cacheField>
    <cacheField name="Column3090" numFmtId="0">
      <sharedItems containsNonDate="0" containsString="0" containsBlank="1"/>
    </cacheField>
    <cacheField name="Column3091" numFmtId="0">
      <sharedItems containsNonDate="0" containsString="0" containsBlank="1"/>
    </cacheField>
    <cacheField name="Column3092" numFmtId="0">
      <sharedItems containsNonDate="0" containsString="0" containsBlank="1"/>
    </cacheField>
    <cacheField name="Column3093" numFmtId="0">
      <sharedItems containsNonDate="0" containsString="0" containsBlank="1"/>
    </cacheField>
    <cacheField name="Column3094" numFmtId="0">
      <sharedItems containsNonDate="0" containsString="0" containsBlank="1"/>
    </cacheField>
    <cacheField name="Column3095" numFmtId="0">
      <sharedItems containsNonDate="0" containsString="0" containsBlank="1"/>
    </cacheField>
    <cacheField name="Column3096" numFmtId="0">
      <sharedItems containsNonDate="0" containsString="0" containsBlank="1"/>
    </cacheField>
    <cacheField name="Column3097" numFmtId="0">
      <sharedItems containsNonDate="0" containsString="0" containsBlank="1"/>
    </cacheField>
    <cacheField name="Column3098" numFmtId="0">
      <sharedItems containsNonDate="0" containsString="0" containsBlank="1"/>
    </cacheField>
    <cacheField name="Column3099" numFmtId="0">
      <sharedItems containsNonDate="0" containsString="0" containsBlank="1"/>
    </cacheField>
    <cacheField name="Column3100" numFmtId="0">
      <sharedItems containsNonDate="0" containsString="0" containsBlank="1"/>
    </cacheField>
    <cacheField name="Column3101" numFmtId="0">
      <sharedItems containsNonDate="0" containsString="0" containsBlank="1"/>
    </cacheField>
    <cacheField name="Column3102" numFmtId="0">
      <sharedItems containsNonDate="0" containsString="0" containsBlank="1"/>
    </cacheField>
    <cacheField name="Column3103" numFmtId="0">
      <sharedItems containsNonDate="0" containsString="0" containsBlank="1"/>
    </cacheField>
    <cacheField name="Column3104" numFmtId="0">
      <sharedItems containsNonDate="0" containsString="0" containsBlank="1"/>
    </cacheField>
    <cacheField name="Column3105" numFmtId="0">
      <sharedItems containsNonDate="0" containsString="0" containsBlank="1"/>
    </cacheField>
    <cacheField name="Column3106" numFmtId="0">
      <sharedItems containsNonDate="0" containsString="0" containsBlank="1"/>
    </cacheField>
    <cacheField name="Column3107" numFmtId="0">
      <sharedItems containsNonDate="0" containsString="0" containsBlank="1"/>
    </cacheField>
    <cacheField name="Column3108" numFmtId="0">
      <sharedItems containsNonDate="0" containsString="0" containsBlank="1"/>
    </cacheField>
    <cacheField name="Column3109" numFmtId="0">
      <sharedItems containsNonDate="0" containsString="0" containsBlank="1"/>
    </cacheField>
    <cacheField name="Column3110" numFmtId="0">
      <sharedItems containsNonDate="0" containsString="0" containsBlank="1"/>
    </cacheField>
    <cacheField name="Column3111" numFmtId="0">
      <sharedItems containsNonDate="0" containsString="0" containsBlank="1"/>
    </cacheField>
    <cacheField name="Column3112" numFmtId="0">
      <sharedItems containsNonDate="0" containsString="0" containsBlank="1"/>
    </cacheField>
    <cacheField name="Column3113" numFmtId="0">
      <sharedItems containsNonDate="0" containsString="0" containsBlank="1"/>
    </cacheField>
    <cacheField name="Column3114" numFmtId="0">
      <sharedItems containsNonDate="0" containsString="0" containsBlank="1"/>
    </cacheField>
    <cacheField name="Column3115" numFmtId="0">
      <sharedItems containsNonDate="0" containsString="0" containsBlank="1"/>
    </cacheField>
    <cacheField name="Column3116" numFmtId="0">
      <sharedItems containsNonDate="0" containsString="0" containsBlank="1"/>
    </cacheField>
    <cacheField name="Column3117" numFmtId="0">
      <sharedItems containsNonDate="0" containsString="0" containsBlank="1"/>
    </cacheField>
    <cacheField name="Column3118" numFmtId="0">
      <sharedItems containsNonDate="0" containsString="0" containsBlank="1"/>
    </cacheField>
    <cacheField name="Column3119" numFmtId="0">
      <sharedItems containsNonDate="0" containsString="0" containsBlank="1"/>
    </cacheField>
    <cacheField name="Column3120" numFmtId="0">
      <sharedItems containsNonDate="0" containsString="0" containsBlank="1"/>
    </cacheField>
    <cacheField name="Column3121" numFmtId="0">
      <sharedItems containsNonDate="0" containsString="0" containsBlank="1"/>
    </cacheField>
    <cacheField name="Column3122" numFmtId="0">
      <sharedItems containsNonDate="0" containsString="0" containsBlank="1"/>
    </cacheField>
    <cacheField name="Column3123" numFmtId="0">
      <sharedItems containsNonDate="0" containsString="0" containsBlank="1"/>
    </cacheField>
    <cacheField name="Column3124" numFmtId="0">
      <sharedItems containsNonDate="0" containsString="0" containsBlank="1"/>
    </cacheField>
    <cacheField name="Column3125" numFmtId="0">
      <sharedItems containsNonDate="0" containsString="0" containsBlank="1"/>
    </cacheField>
    <cacheField name="Column3126" numFmtId="0">
      <sharedItems containsNonDate="0" containsString="0" containsBlank="1"/>
    </cacheField>
    <cacheField name="Column3127" numFmtId="0">
      <sharedItems containsNonDate="0" containsString="0" containsBlank="1"/>
    </cacheField>
    <cacheField name="Column3128" numFmtId="0">
      <sharedItems containsNonDate="0" containsString="0" containsBlank="1"/>
    </cacheField>
    <cacheField name="Column3129" numFmtId="0">
      <sharedItems containsNonDate="0" containsString="0" containsBlank="1"/>
    </cacheField>
    <cacheField name="Column3130" numFmtId="0">
      <sharedItems containsNonDate="0" containsString="0" containsBlank="1"/>
    </cacheField>
    <cacheField name="Column3131" numFmtId="0">
      <sharedItems containsNonDate="0" containsString="0" containsBlank="1"/>
    </cacheField>
    <cacheField name="Column3132" numFmtId="0">
      <sharedItems containsNonDate="0" containsString="0" containsBlank="1"/>
    </cacheField>
    <cacheField name="Column3133" numFmtId="0">
      <sharedItems containsNonDate="0" containsString="0" containsBlank="1"/>
    </cacheField>
    <cacheField name="Column3134" numFmtId="0">
      <sharedItems containsNonDate="0" containsString="0" containsBlank="1"/>
    </cacheField>
    <cacheField name="Column3135" numFmtId="0">
      <sharedItems containsNonDate="0" containsString="0" containsBlank="1"/>
    </cacheField>
    <cacheField name="Column3136" numFmtId="0">
      <sharedItems containsNonDate="0" containsString="0" containsBlank="1"/>
    </cacheField>
    <cacheField name="Column3137" numFmtId="0">
      <sharedItems containsNonDate="0" containsString="0" containsBlank="1"/>
    </cacheField>
    <cacheField name="Column3138" numFmtId="0">
      <sharedItems containsNonDate="0" containsString="0" containsBlank="1"/>
    </cacheField>
    <cacheField name="Column3139" numFmtId="0">
      <sharedItems containsNonDate="0" containsString="0" containsBlank="1"/>
    </cacheField>
    <cacheField name="Column3140" numFmtId="0">
      <sharedItems containsNonDate="0" containsString="0" containsBlank="1"/>
    </cacheField>
    <cacheField name="Column3141" numFmtId="0">
      <sharedItems containsNonDate="0" containsString="0" containsBlank="1"/>
    </cacheField>
    <cacheField name="Column3142" numFmtId="0">
      <sharedItems containsNonDate="0" containsString="0" containsBlank="1"/>
    </cacheField>
    <cacheField name="Column3143" numFmtId="0">
      <sharedItems containsNonDate="0" containsString="0" containsBlank="1"/>
    </cacheField>
    <cacheField name="Column3144" numFmtId="0">
      <sharedItems containsNonDate="0" containsString="0" containsBlank="1"/>
    </cacheField>
    <cacheField name="Column3145" numFmtId="0">
      <sharedItems containsNonDate="0" containsString="0" containsBlank="1"/>
    </cacheField>
    <cacheField name="Column3146" numFmtId="0">
      <sharedItems containsNonDate="0" containsString="0" containsBlank="1"/>
    </cacheField>
    <cacheField name="Column3147" numFmtId="0">
      <sharedItems containsNonDate="0" containsString="0" containsBlank="1"/>
    </cacheField>
    <cacheField name="Column3148" numFmtId="0">
      <sharedItems containsNonDate="0" containsString="0" containsBlank="1"/>
    </cacheField>
    <cacheField name="Column3149" numFmtId="0">
      <sharedItems containsNonDate="0" containsString="0" containsBlank="1"/>
    </cacheField>
    <cacheField name="Column3150" numFmtId="0">
      <sharedItems containsNonDate="0" containsString="0" containsBlank="1"/>
    </cacheField>
    <cacheField name="Column3151" numFmtId="0">
      <sharedItems containsNonDate="0" containsString="0" containsBlank="1"/>
    </cacheField>
    <cacheField name="Column3152" numFmtId="0">
      <sharedItems containsNonDate="0" containsString="0" containsBlank="1"/>
    </cacheField>
    <cacheField name="Column3153" numFmtId="0">
      <sharedItems containsNonDate="0" containsString="0" containsBlank="1"/>
    </cacheField>
    <cacheField name="Column3154" numFmtId="0">
      <sharedItems containsNonDate="0" containsString="0" containsBlank="1"/>
    </cacheField>
    <cacheField name="Column3155" numFmtId="0">
      <sharedItems containsNonDate="0" containsString="0" containsBlank="1"/>
    </cacheField>
    <cacheField name="Column3156" numFmtId="0">
      <sharedItems containsNonDate="0" containsString="0" containsBlank="1"/>
    </cacheField>
    <cacheField name="Column3157" numFmtId="0">
      <sharedItems containsNonDate="0" containsString="0" containsBlank="1"/>
    </cacheField>
    <cacheField name="Column3158" numFmtId="0">
      <sharedItems containsNonDate="0" containsString="0" containsBlank="1"/>
    </cacheField>
    <cacheField name="Column3159" numFmtId="0">
      <sharedItems containsNonDate="0" containsString="0" containsBlank="1"/>
    </cacheField>
    <cacheField name="Column3160" numFmtId="0">
      <sharedItems containsNonDate="0" containsString="0" containsBlank="1"/>
    </cacheField>
    <cacheField name="Column3161" numFmtId="0">
      <sharedItems containsNonDate="0" containsString="0" containsBlank="1"/>
    </cacheField>
    <cacheField name="Column3162" numFmtId="0">
      <sharedItems containsNonDate="0" containsString="0" containsBlank="1"/>
    </cacheField>
    <cacheField name="Column3163" numFmtId="0">
      <sharedItems containsNonDate="0" containsString="0" containsBlank="1"/>
    </cacheField>
    <cacheField name="Column3164" numFmtId="0">
      <sharedItems containsNonDate="0" containsString="0" containsBlank="1"/>
    </cacheField>
    <cacheField name="Column3165" numFmtId="0">
      <sharedItems containsNonDate="0" containsString="0" containsBlank="1"/>
    </cacheField>
    <cacheField name="Column3166" numFmtId="0">
      <sharedItems containsNonDate="0" containsString="0" containsBlank="1"/>
    </cacheField>
    <cacheField name="Column3167" numFmtId="0">
      <sharedItems containsNonDate="0" containsString="0" containsBlank="1"/>
    </cacheField>
    <cacheField name="Column3168" numFmtId="0">
      <sharedItems containsNonDate="0" containsString="0" containsBlank="1"/>
    </cacheField>
    <cacheField name="Column3169" numFmtId="0">
      <sharedItems containsNonDate="0" containsString="0" containsBlank="1"/>
    </cacheField>
    <cacheField name="Column3170" numFmtId="0">
      <sharedItems containsNonDate="0" containsString="0" containsBlank="1"/>
    </cacheField>
    <cacheField name="Column3171" numFmtId="0">
      <sharedItems containsNonDate="0" containsString="0" containsBlank="1"/>
    </cacheField>
    <cacheField name="Column3172" numFmtId="0">
      <sharedItems containsNonDate="0" containsString="0" containsBlank="1"/>
    </cacheField>
    <cacheField name="Column3173" numFmtId="0">
      <sharedItems containsNonDate="0" containsString="0" containsBlank="1"/>
    </cacheField>
    <cacheField name="Column3174" numFmtId="0">
      <sharedItems containsNonDate="0" containsString="0" containsBlank="1"/>
    </cacheField>
    <cacheField name="Column3175" numFmtId="0">
      <sharedItems containsNonDate="0" containsString="0" containsBlank="1"/>
    </cacheField>
    <cacheField name="Column3176" numFmtId="0">
      <sharedItems containsNonDate="0" containsString="0" containsBlank="1"/>
    </cacheField>
    <cacheField name="Column3177" numFmtId="0">
      <sharedItems containsNonDate="0" containsString="0" containsBlank="1"/>
    </cacheField>
    <cacheField name="Column3178" numFmtId="0">
      <sharedItems containsNonDate="0" containsString="0" containsBlank="1"/>
    </cacheField>
    <cacheField name="Column3179" numFmtId="0">
      <sharedItems containsNonDate="0" containsString="0" containsBlank="1"/>
    </cacheField>
    <cacheField name="Column3180" numFmtId="0">
      <sharedItems containsNonDate="0" containsString="0" containsBlank="1"/>
    </cacheField>
    <cacheField name="Column3181" numFmtId="0">
      <sharedItems containsNonDate="0" containsString="0" containsBlank="1"/>
    </cacheField>
    <cacheField name="Column3182" numFmtId="0">
      <sharedItems containsNonDate="0" containsString="0" containsBlank="1"/>
    </cacheField>
    <cacheField name="Column3183" numFmtId="0">
      <sharedItems containsNonDate="0" containsString="0" containsBlank="1"/>
    </cacheField>
    <cacheField name="Column3184" numFmtId="0">
      <sharedItems containsNonDate="0" containsString="0" containsBlank="1"/>
    </cacheField>
    <cacheField name="Column3185" numFmtId="0">
      <sharedItems containsNonDate="0" containsString="0" containsBlank="1"/>
    </cacheField>
    <cacheField name="Column3186" numFmtId="0">
      <sharedItems containsNonDate="0" containsString="0" containsBlank="1"/>
    </cacheField>
    <cacheField name="Column3187" numFmtId="0">
      <sharedItems containsNonDate="0" containsString="0" containsBlank="1"/>
    </cacheField>
    <cacheField name="Column3188" numFmtId="0">
      <sharedItems containsNonDate="0" containsString="0" containsBlank="1"/>
    </cacheField>
    <cacheField name="Column3189" numFmtId="0">
      <sharedItems containsNonDate="0" containsString="0" containsBlank="1"/>
    </cacheField>
    <cacheField name="Column3190" numFmtId="0">
      <sharedItems containsNonDate="0" containsString="0" containsBlank="1"/>
    </cacheField>
    <cacheField name="Column3191" numFmtId="0">
      <sharedItems containsNonDate="0" containsString="0" containsBlank="1"/>
    </cacheField>
    <cacheField name="Column3192" numFmtId="0">
      <sharedItems containsNonDate="0" containsString="0" containsBlank="1"/>
    </cacheField>
    <cacheField name="Column3193" numFmtId="0">
      <sharedItems containsNonDate="0" containsString="0" containsBlank="1"/>
    </cacheField>
    <cacheField name="Column3194" numFmtId="0">
      <sharedItems containsNonDate="0" containsString="0" containsBlank="1"/>
    </cacheField>
    <cacheField name="Column3195" numFmtId="0">
      <sharedItems containsNonDate="0" containsString="0" containsBlank="1"/>
    </cacheField>
    <cacheField name="Column3196" numFmtId="0">
      <sharedItems containsNonDate="0" containsString="0" containsBlank="1"/>
    </cacheField>
    <cacheField name="Column3197" numFmtId="0">
      <sharedItems containsNonDate="0" containsString="0" containsBlank="1"/>
    </cacheField>
    <cacheField name="Column3198" numFmtId="0">
      <sharedItems containsNonDate="0" containsString="0" containsBlank="1"/>
    </cacheField>
    <cacheField name="Column3199" numFmtId="0">
      <sharedItems containsNonDate="0" containsString="0" containsBlank="1"/>
    </cacheField>
    <cacheField name="Column3200" numFmtId="0">
      <sharedItems containsNonDate="0" containsString="0" containsBlank="1"/>
    </cacheField>
    <cacheField name="Column3201" numFmtId="0">
      <sharedItems containsNonDate="0" containsString="0" containsBlank="1"/>
    </cacheField>
    <cacheField name="Column3202" numFmtId="0">
      <sharedItems containsNonDate="0" containsString="0" containsBlank="1"/>
    </cacheField>
    <cacheField name="Column3203" numFmtId="0">
      <sharedItems containsNonDate="0" containsString="0" containsBlank="1"/>
    </cacheField>
    <cacheField name="Column3204" numFmtId="0">
      <sharedItems containsNonDate="0" containsString="0" containsBlank="1"/>
    </cacheField>
    <cacheField name="Column3205" numFmtId="0">
      <sharedItems containsNonDate="0" containsString="0" containsBlank="1"/>
    </cacheField>
    <cacheField name="Column3206" numFmtId="0">
      <sharedItems containsNonDate="0" containsString="0" containsBlank="1"/>
    </cacheField>
    <cacheField name="Column3207" numFmtId="0">
      <sharedItems containsNonDate="0" containsString="0" containsBlank="1"/>
    </cacheField>
    <cacheField name="Column3208" numFmtId="0">
      <sharedItems containsNonDate="0" containsString="0" containsBlank="1"/>
    </cacheField>
    <cacheField name="Column3209" numFmtId="0">
      <sharedItems containsNonDate="0" containsString="0" containsBlank="1"/>
    </cacheField>
    <cacheField name="Column3210" numFmtId="0">
      <sharedItems containsNonDate="0" containsString="0" containsBlank="1"/>
    </cacheField>
    <cacheField name="Column3211" numFmtId="0">
      <sharedItems containsNonDate="0" containsString="0" containsBlank="1"/>
    </cacheField>
    <cacheField name="Column3212" numFmtId="0">
      <sharedItems containsNonDate="0" containsString="0" containsBlank="1"/>
    </cacheField>
    <cacheField name="Column3213" numFmtId="0">
      <sharedItems containsNonDate="0" containsString="0" containsBlank="1"/>
    </cacheField>
    <cacheField name="Column3214" numFmtId="0">
      <sharedItems containsNonDate="0" containsString="0" containsBlank="1"/>
    </cacheField>
    <cacheField name="Column3215" numFmtId="0">
      <sharedItems containsNonDate="0" containsString="0" containsBlank="1"/>
    </cacheField>
    <cacheField name="Column3216" numFmtId="0">
      <sharedItems containsNonDate="0" containsString="0" containsBlank="1"/>
    </cacheField>
    <cacheField name="Column3217" numFmtId="0">
      <sharedItems containsNonDate="0" containsString="0" containsBlank="1"/>
    </cacheField>
    <cacheField name="Column3218" numFmtId="0">
      <sharedItems containsNonDate="0" containsString="0" containsBlank="1"/>
    </cacheField>
    <cacheField name="Column3219" numFmtId="0">
      <sharedItems containsNonDate="0" containsString="0" containsBlank="1"/>
    </cacheField>
    <cacheField name="Column3220" numFmtId="0">
      <sharedItems containsNonDate="0" containsString="0" containsBlank="1"/>
    </cacheField>
    <cacheField name="Column3221" numFmtId="0">
      <sharedItems containsNonDate="0" containsString="0" containsBlank="1"/>
    </cacheField>
    <cacheField name="Column3222" numFmtId="0">
      <sharedItems containsNonDate="0" containsString="0" containsBlank="1"/>
    </cacheField>
    <cacheField name="Column3223" numFmtId="0">
      <sharedItems containsNonDate="0" containsString="0" containsBlank="1"/>
    </cacheField>
    <cacheField name="Column3224" numFmtId="0">
      <sharedItems containsNonDate="0" containsString="0" containsBlank="1"/>
    </cacheField>
    <cacheField name="Column3225" numFmtId="0">
      <sharedItems containsNonDate="0" containsString="0" containsBlank="1"/>
    </cacheField>
    <cacheField name="Column3226" numFmtId="0">
      <sharedItems containsNonDate="0" containsString="0" containsBlank="1"/>
    </cacheField>
    <cacheField name="Column3227" numFmtId="0">
      <sharedItems containsNonDate="0" containsString="0" containsBlank="1"/>
    </cacheField>
    <cacheField name="Column3228" numFmtId="0">
      <sharedItems containsNonDate="0" containsString="0" containsBlank="1"/>
    </cacheField>
    <cacheField name="Column3229" numFmtId="0">
      <sharedItems containsNonDate="0" containsString="0" containsBlank="1"/>
    </cacheField>
    <cacheField name="Column3230" numFmtId="0">
      <sharedItems containsNonDate="0" containsString="0" containsBlank="1"/>
    </cacheField>
    <cacheField name="Column3231" numFmtId="0">
      <sharedItems containsNonDate="0" containsString="0" containsBlank="1"/>
    </cacheField>
    <cacheField name="Column3232" numFmtId="0">
      <sharedItems containsNonDate="0" containsString="0" containsBlank="1"/>
    </cacheField>
    <cacheField name="Column3233" numFmtId="0">
      <sharedItems containsNonDate="0" containsString="0" containsBlank="1"/>
    </cacheField>
    <cacheField name="Column3234" numFmtId="0">
      <sharedItems containsNonDate="0" containsString="0" containsBlank="1"/>
    </cacheField>
    <cacheField name="Column3235" numFmtId="0">
      <sharedItems containsNonDate="0" containsString="0" containsBlank="1"/>
    </cacheField>
    <cacheField name="Column3236" numFmtId="0">
      <sharedItems containsNonDate="0" containsString="0" containsBlank="1"/>
    </cacheField>
    <cacheField name="Column3237" numFmtId="0">
      <sharedItems containsNonDate="0" containsString="0" containsBlank="1"/>
    </cacheField>
    <cacheField name="Column3238" numFmtId="0">
      <sharedItems containsNonDate="0" containsString="0" containsBlank="1"/>
    </cacheField>
    <cacheField name="Column3239" numFmtId="0">
      <sharedItems containsNonDate="0" containsString="0" containsBlank="1"/>
    </cacheField>
    <cacheField name="Column3240" numFmtId="0">
      <sharedItems containsNonDate="0" containsString="0" containsBlank="1"/>
    </cacheField>
    <cacheField name="Column3241" numFmtId="0">
      <sharedItems containsNonDate="0" containsString="0" containsBlank="1"/>
    </cacheField>
    <cacheField name="Column3242" numFmtId="0">
      <sharedItems containsNonDate="0" containsString="0" containsBlank="1"/>
    </cacheField>
    <cacheField name="Column3243" numFmtId="0">
      <sharedItems containsNonDate="0" containsString="0" containsBlank="1"/>
    </cacheField>
    <cacheField name="Column3244" numFmtId="0">
      <sharedItems containsNonDate="0" containsString="0" containsBlank="1"/>
    </cacheField>
    <cacheField name="Column3245" numFmtId="0">
      <sharedItems containsNonDate="0" containsString="0" containsBlank="1"/>
    </cacheField>
    <cacheField name="Column3246" numFmtId="0">
      <sharedItems containsNonDate="0" containsString="0" containsBlank="1"/>
    </cacheField>
    <cacheField name="Column3247" numFmtId="0">
      <sharedItems containsNonDate="0" containsString="0" containsBlank="1"/>
    </cacheField>
    <cacheField name="Column3248" numFmtId="0">
      <sharedItems containsNonDate="0" containsString="0" containsBlank="1"/>
    </cacheField>
    <cacheField name="Column3249" numFmtId="0">
      <sharedItems containsNonDate="0" containsString="0" containsBlank="1"/>
    </cacheField>
    <cacheField name="Column3250" numFmtId="0">
      <sharedItems containsNonDate="0" containsString="0" containsBlank="1"/>
    </cacheField>
    <cacheField name="Column3251" numFmtId="0">
      <sharedItems containsNonDate="0" containsString="0" containsBlank="1"/>
    </cacheField>
    <cacheField name="Column3252" numFmtId="0">
      <sharedItems containsNonDate="0" containsString="0" containsBlank="1"/>
    </cacheField>
    <cacheField name="Column3253" numFmtId="0">
      <sharedItems containsNonDate="0" containsString="0" containsBlank="1"/>
    </cacheField>
    <cacheField name="Column3254" numFmtId="0">
      <sharedItems containsNonDate="0" containsString="0" containsBlank="1"/>
    </cacheField>
    <cacheField name="Column3255" numFmtId="0">
      <sharedItems containsNonDate="0" containsString="0" containsBlank="1"/>
    </cacheField>
    <cacheField name="Column3256" numFmtId="0">
      <sharedItems containsNonDate="0" containsString="0" containsBlank="1"/>
    </cacheField>
    <cacheField name="Column3257" numFmtId="0">
      <sharedItems containsNonDate="0" containsString="0" containsBlank="1"/>
    </cacheField>
    <cacheField name="Column3258" numFmtId="0">
      <sharedItems containsNonDate="0" containsString="0" containsBlank="1"/>
    </cacheField>
    <cacheField name="Column3259" numFmtId="0">
      <sharedItems containsNonDate="0" containsString="0" containsBlank="1"/>
    </cacheField>
    <cacheField name="Column3260" numFmtId="0">
      <sharedItems containsNonDate="0" containsString="0" containsBlank="1"/>
    </cacheField>
    <cacheField name="Column3261" numFmtId="0">
      <sharedItems containsNonDate="0" containsString="0" containsBlank="1"/>
    </cacheField>
    <cacheField name="Column3262" numFmtId="0">
      <sharedItems containsNonDate="0" containsString="0" containsBlank="1"/>
    </cacheField>
    <cacheField name="Column3263" numFmtId="0">
      <sharedItems containsNonDate="0" containsString="0" containsBlank="1"/>
    </cacheField>
    <cacheField name="Column3264" numFmtId="0">
      <sharedItems containsNonDate="0" containsString="0" containsBlank="1"/>
    </cacheField>
    <cacheField name="Column3265" numFmtId="0">
      <sharedItems containsNonDate="0" containsString="0" containsBlank="1"/>
    </cacheField>
    <cacheField name="Column3266" numFmtId="0">
      <sharedItems containsNonDate="0" containsString="0" containsBlank="1"/>
    </cacheField>
    <cacheField name="Column3267" numFmtId="0">
      <sharedItems containsNonDate="0" containsString="0" containsBlank="1"/>
    </cacheField>
    <cacheField name="Column3268" numFmtId="0">
      <sharedItems containsNonDate="0" containsString="0" containsBlank="1"/>
    </cacheField>
    <cacheField name="Column3269" numFmtId="0">
      <sharedItems containsNonDate="0" containsString="0" containsBlank="1"/>
    </cacheField>
    <cacheField name="Column3270" numFmtId="0">
      <sharedItems containsNonDate="0" containsString="0" containsBlank="1"/>
    </cacheField>
    <cacheField name="Column3271" numFmtId="0">
      <sharedItems containsNonDate="0" containsString="0" containsBlank="1"/>
    </cacheField>
    <cacheField name="Column3272" numFmtId="0">
      <sharedItems containsNonDate="0" containsString="0" containsBlank="1"/>
    </cacheField>
    <cacheField name="Column3273" numFmtId="0">
      <sharedItems containsNonDate="0" containsString="0" containsBlank="1"/>
    </cacheField>
    <cacheField name="Column3274" numFmtId="0">
      <sharedItems containsNonDate="0" containsString="0" containsBlank="1"/>
    </cacheField>
    <cacheField name="Column3275" numFmtId="0">
      <sharedItems containsNonDate="0" containsString="0" containsBlank="1"/>
    </cacheField>
    <cacheField name="Column3276" numFmtId="0">
      <sharedItems containsNonDate="0" containsString="0" containsBlank="1"/>
    </cacheField>
    <cacheField name="Column3277" numFmtId="0">
      <sharedItems containsNonDate="0" containsString="0" containsBlank="1"/>
    </cacheField>
    <cacheField name="Column3278" numFmtId="0">
      <sharedItems containsNonDate="0" containsString="0" containsBlank="1"/>
    </cacheField>
    <cacheField name="Column3279" numFmtId="0">
      <sharedItems containsNonDate="0" containsString="0" containsBlank="1"/>
    </cacheField>
    <cacheField name="Column3280" numFmtId="0">
      <sharedItems containsNonDate="0" containsString="0" containsBlank="1"/>
    </cacheField>
    <cacheField name="Column3281" numFmtId="0">
      <sharedItems containsNonDate="0" containsString="0" containsBlank="1"/>
    </cacheField>
    <cacheField name="Column3282" numFmtId="0">
      <sharedItems containsNonDate="0" containsString="0" containsBlank="1"/>
    </cacheField>
    <cacheField name="Column3283" numFmtId="0">
      <sharedItems containsNonDate="0" containsString="0" containsBlank="1"/>
    </cacheField>
    <cacheField name="Column3284" numFmtId="0">
      <sharedItems containsNonDate="0" containsString="0" containsBlank="1"/>
    </cacheField>
    <cacheField name="Column3285" numFmtId="0">
      <sharedItems containsNonDate="0" containsString="0" containsBlank="1"/>
    </cacheField>
    <cacheField name="Column3286" numFmtId="0">
      <sharedItems containsNonDate="0" containsString="0" containsBlank="1"/>
    </cacheField>
    <cacheField name="Column3287" numFmtId="0">
      <sharedItems containsNonDate="0" containsString="0" containsBlank="1"/>
    </cacheField>
    <cacheField name="Column3288" numFmtId="0">
      <sharedItems containsNonDate="0" containsString="0" containsBlank="1"/>
    </cacheField>
    <cacheField name="Column3289" numFmtId="0">
      <sharedItems containsNonDate="0" containsString="0" containsBlank="1"/>
    </cacheField>
    <cacheField name="Column3290" numFmtId="0">
      <sharedItems containsNonDate="0" containsString="0" containsBlank="1"/>
    </cacheField>
    <cacheField name="Column3291" numFmtId="0">
      <sharedItems containsNonDate="0" containsString="0" containsBlank="1"/>
    </cacheField>
    <cacheField name="Column3292" numFmtId="0">
      <sharedItems containsNonDate="0" containsString="0" containsBlank="1"/>
    </cacheField>
    <cacheField name="Column3293" numFmtId="0">
      <sharedItems containsNonDate="0" containsString="0" containsBlank="1"/>
    </cacheField>
    <cacheField name="Column3294" numFmtId="0">
      <sharedItems containsNonDate="0" containsString="0" containsBlank="1"/>
    </cacheField>
    <cacheField name="Column3295" numFmtId="0">
      <sharedItems containsNonDate="0" containsString="0" containsBlank="1"/>
    </cacheField>
    <cacheField name="Column3296" numFmtId="0">
      <sharedItems containsNonDate="0" containsString="0" containsBlank="1"/>
    </cacheField>
    <cacheField name="Column3297" numFmtId="0">
      <sharedItems containsNonDate="0" containsString="0" containsBlank="1"/>
    </cacheField>
    <cacheField name="Column3298" numFmtId="0">
      <sharedItems containsNonDate="0" containsString="0" containsBlank="1"/>
    </cacheField>
    <cacheField name="Column3299" numFmtId="0">
      <sharedItems containsNonDate="0" containsString="0" containsBlank="1"/>
    </cacheField>
    <cacheField name="Column3300" numFmtId="0">
      <sharedItems containsNonDate="0" containsString="0" containsBlank="1"/>
    </cacheField>
    <cacheField name="Column3301" numFmtId="0">
      <sharedItems containsNonDate="0" containsString="0" containsBlank="1"/>
    </cacheField>
    <cacheField name="Column3302" numFmtId="0">
      <sharedItems containsNonDate="0" containsString="0" containsBlank="1"/>
    </cacheField>
    <cacheField name="Column3303" numFmtId="0">
      <sharedItems containsNonDate="0" containsString="0" containsBlank="1"/>
    </cacheField>
    <cacheField name="Column3304" numFmtId="0">
      <sharedItems containsNonDate="0" containsString="0" containsBlank="1"/>
    </cacheField>
    <cacheField name="Column3305" numFmtId="0">
      <sharedItems containsNonDate="0" containsString="0" containsBlank="1"/>
    </cacheField>
    <cacheField name="Column3306" numFmtId="0">
      <sharedItems containsNonDate="0" containsString="0" containsBlank="1"/>
    </cacheField>
    <cacheField name="Column3307" numFmtId="0">
      <sharedItems containsNonDate="0" containsString="0" containsBlank="1"/>
    </cacheField>
    <cacheField name="Column3308" numFmtId="0">
      <sharedItems containsNonDate="0" containsString="0" containsBlank="1"/>
    </cacheField>
    <cacheField name="Column3309" numFmtId="0">
      <sharedItems containsNonDate="0" containsString="0" containsBlank="1"/>
    </cacheField>
    <cacheField name="Column3310" numFmtId="0">
      <sharedItems containsNonDate="0" containsString="0" containsBlank="1"/>
    </cacheField>
    <cacheField name="Column3311" numFmtId="0">
      <sharedItems containsNonDate="0" containsString="0" containsBlank="1"/>
    </cacheField>
    <cacheField name="Column3312" numFmtId="0">
      <sharedItems containsNonDate="0" containsString="0" containsBlank="1"/>
    </cacheField>
    <cacheField name="Column3313" numFmtId="0">
      <sharedItems containsNonDate="0" containsString="0" containsBlank="1"/>
    </cacheField>
    <cacheField name="Column3314" numFmtId="0">
      <sharedItems containsNonDate="0" containsString="0" containsBlank="1"/>
    </cacheField>
    <cacheField name="Column3315" numFmtId="0">
      <sharedItems containsNonDate="0" containsString="0" containsBlank="1"/>
    </cacheField>
    <cacheField name="Column3316" numFmtId="0">
      <sharedItems containsNonDate="0" containsString="0" containsBlank="1"/>
    </cacheField>
    <cacheField name="Column3317" numFmtId="0">
      <sharedItems containsNonDate="0" containsString="0" containsBlank="1"/>
    </cacheField>
    <cacheField name="Column3318" numFmtId="0">
      <sharedItems containsNonDate="0" containsString="0" containsBlank="1"/>
    </cacheField>
    <cacheField name="Column3319" numFmtId="0">
      <sharedItems containsNonDate="0" containsString="0" containsBlank="1"/>
    </cacheField>
    <cacheField name="Column3320" numFmtId="0">
      <sharedItems containsNonDate="0" containsString="0" containsBlank="1"/>
    </cacheField>
    <cacheField name="Column3321" numFmtId="0">
      <sharedItems containsNonDate="0" containsString="0" containsBlank="1"/>
    </cacheField>
    <cacheField name="Column3322" numFmtId="0">
      <sharedItems containsNonDate="0" containsString="0" containsBlank="1"/>
    </cacheField>
    <cacheField name="Column3323" numFmtId="0">
      <sharedItems containsNonDate="0" containsString="0" containsBlank="1"/>
    </cacheField>
    <cacheField name="Column3324" numFmtId="0">
      <sharedItems containsNonDate="0" containsString="0" containsBlank="1"/>
    </cacheField>
    <cacheField name="Column3325" numFmtId="0">
      <sharedItems containsNonDate="0" containsString="0" containsBlank="1"/>
    </cacheField>
    <cacheField name="Column3326" numFmtId="0">
      <sharedItems containsNonDate="0" containsString="0" containsBlank="1"/>
    </cacheField>
    <cacheField name="Column3327" numFmtId="0">
      <sharedItems containsNonDate="0" containsString="0" containsBlank="1"/>
    </cacheField>
    <cacheField name="Column3328" numFmtId="0">
      <sharedItems containsNonDate="0" containsString="0" containsBlank="1"/>
    </cacheField>
    <cacheField name="Column3329" numFmtId="0">
      <sharedItems containsNonDate="0" containsString="0" containsBlank="1"/>
    </cacheField>
    <cacheField name="Column3330" numFmtId="0">
      <sharedItems containsNonDate="0" containsString="0" containsBlank="1"/>
    </cacheField>
    <cacheField name="Column3331" numFmtId="0">
      <sharedItems containsNonDate="0" containsString="0" containsBlank="1"/>
    </cacheField>
    <cacheField name="Column3332" numFmtId="0">
      <sharedItems containsNonDate="0" containsString="0" containsBlank="1"/>
    </cacheField>
    <cacheField name="Column3333" numFmtId="0">
      <sharedItems containsNonDate="0" containsString="0" containsBlank="1"/>
    </cacheField>
    <cacheField name="Column3334" numFmtId="0">
      <sharedItems containsNonDate="0" containsString="0" containsBlank="1"/>
    </cacheField>
    <cacheField name="Column3335" numFmtId="0">
      <sharedItems containsNonDate="0" containsString="0" containsBlank="1"/>
    </cacheField>
    <cacheField name="Column3336" numFmtId="0">
      <sharedItems containsNonDate="0" containsString="0" containsBlank="1"/>
    </cacheField>
    <cacheField name="Column3337" numFmtId="0">
      <sharedItems containsNonDate="0" containsString="0" containsBlank="1"/>
    </cacheField>
    <cacheField name="Column3338" numFmtId="0">
      <sharedItems containsNonDate="0" containsString="0" containsBlank="1"/>
    </cacheField>
    <cacheField name="Column3339" numFmtId="0">
      <sharedItems containsNonDate="0" containsString="0" containsBlank="1"/>
    </cacheField>
    <cacheField name="Column3340" numFmtId="0">
      <sharedItems containsNonDate="0" containsString="0" containsBlank="1"/>
    </cacheField>
    <cacheField name="Column3341" numFmtId="0">
      <sharedItems containsNonDate="0" containsString="0" containsBlank="1"/>
    </cacheField>
    <cacheField name="Column3342" numFmtId="0">
      <sharedItems containsNonDate="0" containsString="0" containsBlank="1"/>
    </cacheField>
    <cacheField name="Column3343" numFmtId="0">
      <sharedItems containsNonDate="0" containsString="0" containsBlank="1"/>
    </cacheField>
    <cacheField name="Column3344" numFmtId="0">
      <sharedItems containsNonDate="0" containsString="0" containsBlank="1"/>
    </cacheField>
    <cacheField name="Column3345" numFmtId="0">
      <sharedItems containsNonDate="0" containsString="0" containsBlank="1"/>
    </cacheField>
    <cacheField name="Column3346" numFmtId="0">
      <sharedItems containsNonDate="0" containsString="0" containsBlank="1"/>
    </cacheField>
    <cacheField name="Column3347" numFmtId="0">
      <sharedItems containsNonDate="0" containsString="0" containsBlank="1"/>
    </cacheField>
    <cacheField name="Column3348" numFmtId="0">
      <sharedItems containsNonDate="0" containsString="0" containsBlank="1"/>
    </cacheField>
    <cacheField name="Column3349" numFmtId="0">
      <sharedItems containsNonDate="0" containsString="0" containsBlank="1"/>
    </cacheField>
    <cacheField name="Column3350" numFmtId="0">
      <sharedItems containsNonDate="0" containsString="0" containsBlank="1"/>
    </cacheField>
    <cacheField name="Column3351" numFmtId="0">
      <sharedItems containsNonDate="0" containsString="0" containsBlank="1"/>
    </cacheField>
    <cacheField name="Column3352" numFmtId="0">
      <sharedItems containsNonDate="0" containsString="0" containsBlank="1"/>
    </cacheField>
    <cacheField name="Column3353" numFmtId="0">
      <sharedItems containsNonDate="0" containsString="0" containsBlank="1"/>
    </cacheField>
    <cacheField name="Column3354" numFmtId="0">
      <sharedItems containsNonDate="0" containsString="0" containsBlank="1"/>
    </cacheField>
    <cacheField name="Column3355" numFmtId="0">
      <sharedItems containsNonDate="0" containsString="0" containsBlank="1"/>
    </cacheField>
    <cacheField name="Column3356" numFmtId="0">
      <sharedItems containsNonDate="0" containsString="0" containsBlank="1"/>
    </cacheField>
    <cacheField name="Column3357" numFmtId="0">
      <sharedItems containsNonDate="0" containsString="0" containsBlank="1"/>
    </cacheField>
    <cacheField name="Column3358" numFmtId="0">
      <sharedItems containsNonDate="0" containsString="0" containsBlank="1"/>
    </cacheField>
    <cacheField name="Column3359" numFmtId="0">
      <sharedItems containsNonDate="0" containsString="0" containsBlank="1"/>
    </cacheField>
    <cacheField name="Column3360" numFmtId="0">
      <sharedItems containsNonDate="0" containsString="0" containsBlank="1"/>
    </cacheField>
    <cacheField name="Column3361" numFmtId="0">
      <sharedItems containsNonDate="0" containsString="0" containsBlank="1"/>
    </cacheField>
    <cacheField name="Column3362" numFmtId="0">
      <sharedItems containsNonDate="0" containsString="0" containsBlank="1"/>
    </cacheField>
    <cacheField name="Column3363" numFmtId="0">
      <sharedItems containsNonDate="0" containsString="0" containsBlank="1"/>
    </cacheField>
    <cacheField name="Column3364" numFmtId="0">
      <sharedItems containsNonDate="0" containsString="0" containsBlank="1"/>
    </cacheField>
    <cacheField name="Column3365" numFmtId="0">
      <sharedItems containsNonDate="0" containsString="0" containsBlank="1"/>
    </cacheField>
    <cacheField name="Column3366" numFmtId="0">
      <sharedItems containsNonDate="0" containsString="0" containsBlank="1"/>
    </cacheField>
    <cacheField name="Column3367" numFmtId="0">
      <sharedItems containsNonDate="0" containsString="0" containsBlank="1"/>
    </cacheField>
    <cacheField name="Column3368" numFmtId="0">
      <sharedItems containsNonDate="0" containsString="0" containsBlank="1"/>
    </cacheField>
    <cacheField name="Column3369" numFmtId="0">
      <sharedItems containsNonDate="0" containsString="0" containsBlank="1"/>
    </cacheField>
    <cacheField name="Column3370" numFmtId="0">
      <sharedItems containsNonDate="0" containsString="0" containsBlank="1"/>
    </cacheField>
    <cacheField name="Column3371" numFmtId="0">
      <sharedItems containsNonDate="0" containsString="0" containsBlank="1"/>
    </cacheField>
    <cacheField name="Column3372" numFmtId="0">
      <sharedItems containsNonDate="0" containsString="0" containsBlank="1"/>
    </cacheField>
    <cacheField name="Column3373" numFmtId="0">
      <sharedItems containsNonDate="0" containsString="0" containsBlank="1"/>
    </cacheField>
    <cacheField name="Column3374" numFmtId="0">
      <sharedItems containsNonDate="0" containsString="0" containsBlank="1"/>
    </cacheField>
    <cacheField name="Column3375" numFmtId="0">
      <sharedItems containsNonDate="0" containsString="0" containsBlank="1"/>
    </cacheField>
    <cacheField name="Column3376" numFmtId="0">
      <sharedItems containsNonDate="0" containsString="0" containsBlank="1"/>
    </cacheField>
    <cacheField name="Column3377" numFmtId="0">
      <sharedItems containsNonDate="0" containsString="0" containsBlank="1"/>
    </cacheField>
    <cacheField name="Column3378" numFmtId="0">
      <sharedItems containsNonDate="0" containsString="0" containsBlank="1"/>
    </cacheField>
    <cacheField name="Column3379" numFmtId="0">
      <sharedItems containsNonDate="0" containsString="0" containsBlank="1"/>
    </cacheField>
    <cacheField name="Column3380" numFmtId="0">
      <sharedItems containsNonDate="0" containsString="0" containsBlank="1"/>
    </cacheField>
    <cacheField name="Column3381" numFmtId="0">
      <sharedItems containsNonDate="0" containsString="0" containsBlank="1"/>
    </cacheField>
    <cacheField name="Column3382" numFmtId="0">
      <sharedItems containsNonDate="0" containsString="0" containsBlank="1"/>
    </cacheField>
    <cacheField name="Column3383" numFmtId="0">
      <sharedItems containsNonDate="0" containsString="0" containsBlank="1"/>
    </cacheField>
    <cacheField name="Column3384" numFmtId="0">
      <sharedItems containsNonDate="0" containsString="0" containsBlank="1"/>
    </cacheField>
    <cacheField name="Column3385" numFmtId="0">
      <sharedItems containsNonDate="0" containsString="0" containsBlank="1"/>
    </cacheField>
    <cacheField name="Column3386" numFmtId="0">
      <sharedItems containsNonDate="0" containsString="0" containsBlank="1"/>
    </cacheField>
    <cacheField name="Column3387" numFmtId="0">
      <sharedItems containsNonDate="0" containsString="0" containsBlank="1"/>
    </cacheField>
    <cacheField name="Column3388" numFmtId="0">
      <sharedItems containsNonDate="0" containsString="0" containsBlank="1"/>
    </cacheField>
    <cacheField name="Column3389" numFmtId="0">
      <sharedItems containsNonDate="0" containsString="0" containsBlank="1"/>
    </cacheField>
    <cacheField name="Column3390" numFmtId="0">
      <sharedItems containsNonDate="0" containsString="0" containsBlank="1"/>
    </cacheField>
    <cacheField name="Column3391" numFmtId="0">
      <sharedItems containsNonDate="0" containsString="0" containsBlank="1"/>
    </cacheField>
    <cacheField name="Column3392" numFmtId="0">
      <sharedItems containsNonDate="0" containsString="0" containsBlank="1"/>
    </cacheField>
    <cacheField name="Column3393" numFmtId="0">
      <sharedItems containsNonDate="0" containsString="0" containsBlank="1"/>
    </cacheField>
    <cacheField name="Column3394" numFmtId="0">
      <sharedItems containsNonDate="0" containsString="0" containsBlank="1"/>
    </cacheField>
    <cacheField name="Column3395" numFmtId="0">
      <sharedItems containsNonDate="0" containsString="0" containsBlank="1"/>
    </cacheField>
    <cacheField name="Column3396" numFmtId="0">
      <sharedItems containsNonDate="0" containsString="0" containsBlank="1"/>
    </cacheField>
    <cacheField name="Column3397" numFmtId="0">
      <sharedItems containsNonDate="0" containsString="0" containsBlank="1"/>
    </cacheField>
    <cacheField name="Column3398" numFmtId="0">
      <sharedItems containsNonDate="0" containsString="0" containsBlank="1"/>
    </cacheField>
    <cacheField name="Column3399" numFmtId="0">
      <sharedItems containsNonDate="0" containsString="0" containsBlank="1"/>
    </cacheField>
    <cacheField name="Column3400" numFmtId="0">
      <sharedItems containsNonDate="0" containsString="0" containsBlank="1"/>
    </cacheField>
    <cacheField name="Column3401" numFmtId="0">
      <sharedItems containsNonDate="0" containsString="0" containsBlank="1"/>
    </cacheField>
    <cacheField name="Column3402" numFmtId="0">
      <sharedItems containsNonDate="0" containsString="0" containsBlank="1"/>
    </cacheField>
    <cacheField name="Column3403" numFmtId="0">
      <sharedItems containsNonDate="0" containsString="0" containsBlank="1"/>
    </cacheField>
    <cacheField name="Column3404" numFmtId="0">
      <sharedItems containsNonDate="0" containsString="0" containsBlank="1"/>
    </cacheField>
    <cacheField name="Column3405" numFmtId="0">
      <sharedItems containsNonDate="0" containsString="0" containsBlank="1"/>
    </cacheField>
    <cacheField name="Column3406" numFmtId="0">
      <sharedItems containsNonDate="0" containsString="0" containsBlank="1"/>
    </cacheField>
    <cacheField name="Column3407" numFmtId="0">
      <sharedItems containsNonDate="0" containsString="0" containsBlank="1"/>
    </cacheField>
    <cacheField name="Column3408" numFmtId="0">
      <sharedItems containsNonDate="0" containsString="0" containsBlank="1"/>
    </cacheField>
    <cacheField name="Column3409" numFmtId="0">
      <sharedItems containsNonDate="0" containsString="0" containsBlank="1"/>
    </cacheField>
    <cacheField name="Column3410" numFmtId="0">
      <sharedItems containsNonDate="0" containsString="0" containsBlank="1"/>
    </cacheField>
    <cacheField name="Column3411" numFmtId="0">
      <sharedItems containsNonDate="0" containsString="0" containsBlank="1"/>
    </cacheField>
    <cacheField name="Column3412" numFmtId="0">
      <sharedItems containsNonDate="0" containsString="0" containsBlank="1"/>
    </cacheField>
    <cacheField name="Column3413" numFmtId="0">
      <sharedItems containsNonDate="0" containsString="0" containsBlank="1"/>
    </cacheField>
    <cacheField name="Column3414" numFmtId="0">
      <sharedItems containsNonDate="0" containsString="0" containsBlank="1"/>
    </cacheField>
    <cacheField name="Column3415" numFmtId="0">
      <sharedItems containsNonDate="0" containsString="0" containsBlank="1"/>
    </cacheField>
    <cacheField name="Column3416" numFmtId="0">
      <sharedItems containsNonDate="0" containsString="0" containsBlank="1"/>
    </cacheField>
    <cacheField name="Column3417" numFmtId="0">
      <sharedItems containsNonDate="0" containsString="0" containsBlank="1"/>
    </cacheField>
    <cacheField name="Column3418" numFmtId="0">
      <sharedItems containsNonDate="0" containsString="0" containsBlank="1"/>
    </cacheField>
    <cacheField name="Column3419" numFmtId="0">
      <sharedItems containsNonDate="0" containsString="0" containsBlank="1"/>
    </cacheField>
    <cacheField name="Column3420" numFmtId="0">
      <sharedItems containsNonDate="0" containsString="0" containsBlank="1"/>
    </cacheField>
    <cacheField name="Column3421" numFmtId="0">
      <sharedItems containsNonDate="0" containsString="0" containsBlank="1"/>
    </cacheField>
    <cacheField name="Column3422" numFmtId="0">
      <sharedItems containsNonDate="0" containsString="0" containsBlank="1"/>
    </cacheField>
    <cacheField name="Column3423" numFmtId="0">
      <sharedItems containsNonDate="0" containsString="0" containsBlank="1"/>
    </cacheField>
    <cacheField name="Column3424" numFmtId="0">
      <sharedItems containsNonDate="0" containsString="0" containsBlank="1"/>
    </cacheField>
    <cacheField name="Column3425" numFmtId="0">
      <sharedItems containsNonDate="0" containsString="0" containsBlank="1"/>
    </cacheField>
    <cacheField name="Column3426" numFmtId="0">
      <sharedItems containsNonDate="0" containsString="0" containsBlank="1"/>
    </cacheField>
    <cacheField name="Column3427" numFmtId="0">
      <sharedItems containsNonDate="0" containsString="0" containsBlank="1"/>
    </cacheField>
    <cacheField name="Column3428" numFmtId="0">
      <sharedItems containsNonDate="0" containsString="0" containsBlank="1"/>
    </cacheField>
    <cacheField name="Column3429" numFmtId="0">
      <sharedItems containsNonDate="0" containsString="0" containsBlank="1"/>
    </cacheField>
    <cacheField name="Column3430" numFmtId="0">
      <sharedItems containsNonDate="0" containsString="0" containsBlank="1"/>
    </cacheField>
    <cacheField name="Column3431" numFmtId="0">
      <sharedItems containsNonDate="0" containsString="0" containsBlank="1"/>
    </cacheField>
    <cacheField name="Column3432" numFmtId="0">
      <sharedItems containsNonDate="0" containsString="0" containsBlank="1"/>
    </cacheField>
    <cacheField name="Column3433" numFmtId="0">
      <sharedItems containsNonDate="0" containsString="0" containsBlank="1"/>
    </cacheField>
    <cacheField name="Column3434" numFmtId="0">
      <sharedItems containsNonDate="0" containsString="0" containsBlank="1"/>
    </cacheField>
    <cacheField name="Column3435" numFmtId="0">
      <sharedItems containsNonDate="0" containsString="0" containsBlank="1"/>
    </cacheField>
    <cacheField name="Column3436" numFmtId="0">
      <sharedItems containsNonDate="0" containsString="0" containsBlank="1"/>
    </cacheField>
    <cacheField name="Column3437" numFmtId="0">
      <sharedItems containsNonDate="0" containsString="0" containsBlank="1"/>
    </cacheField>
    <cacheField name="Column3438" numFmtId="0">
      <sharedItems containsNonDate="0" containsString="0" containsBlank="1"/>
    </cacheField>
    <cacheField name="Column3439" numFmtId="0">
      <sharedItems containsNonDate="0" containsString="0" containsBlank="1"/>
    </cacheField>
    <cacheField name="Column3440" numFmtId="0">
      <sharedItems containsNonDate="0" containsString="0" containsBlank="1"/>
    </cacheField>
    <cacheField name="Column3441" numFmtId="0">
      <sharedItems containsNonDate="0" containsString="0" containsBlank="1"/>
    </cacheField>
    <cacheField name="Column3442" numFmtId="0">
      <sharedItems containsNonDate="0" containsString="0" containsBlank="1"/>
    </cacheField>
    <cacheField name="Column3443" numFmtId="0">
      <sharedItems containsNonDate="0" containsString="0" containsBlank="1"/>
    </cacheField>
    <cacheField name="Column3444" numFmtId="0">
      <sharedItems containsNonDate="0" containsString="0" containsBlank="1"/>
    </cacheField>
    <cacheField name="Column3445" numFmtId="0">
      <sharedItems containsNonDate="0" containsString="0" containsBlank="1"/>
    </cacheField>
    <cacheField name="Column3446" numFmtId="0">
      <sharedItems containsNonDate="0" containsString="0" containsBlank="1"/>
    </cacheField>
    <cacheField name="Column3447" numFmtId="0">
      <sharedItems containsNonDate="0" containsString="0" containsBlank="1"/>
    </cacheField>
    <cacheField name="Column3448" numFmtId="0">
      <sharedItems containsNonDate="0" containsString="0" containsBlank="1"/>
    </cacheField>
    <cacheField name="Column3449" numFmtId="0">
      <sharedItems containsNonDate="0" containsString="0" containsBlank="1"/>
    </cacheField>
    <cacheField name="Column3450" numFmtId="0">
      <sharedItems containsNonDate="0" containsString="0" containsBlank="1"/>
    </cacheField>
    <cacheField name="Column3451" numFmtId="0">
      <sharedItems containsNonDate="0" containsString="0" containsBlank="1"/>
    </cacheField>
    <cacheField name="Column3452" numFmtId="0">
      <sharedItems containsNonDate="0" containsString="0" containsBlank="1"/>
    </cacheField>
    <cacheField name="Column3453" numFmtId="0">
      <sharedItems containsNonDate="0" containsString="0" containsBlank="1"/>
    </cacheField>
    <cacheField name="Column3454" numFmtId="0">
      <sharedItems containsNonDate="0" containsString="0" containsBlank="1"/>
    </cacheField>
    <cacheField name="Column3455" numFmtId="0">
      <sharedItems containsNonDate="0" containsString="0" containsBlank="1"/>
    </cacheField>
    <cacheField name="Column3456" numFmtId="0">
      <sharedItems containsNonDate="0" containsString="0" containsBlank="1"/>
    </cacheField>
    <cacheField name="Column3457" numFmtId="0">
      <sharedItems containsNonDate="0" containsString="0" containsBlank="1"/>
    </cacheField>
    <cacheField name="Column3458" numFmtId="0">
      <sharedItems containsNonDate="0" containsString="0" containsBlank="1"/>
    </cacheField>
    <cacheField name="Column3459" numFmtId="0">
      <sharedItems containsNonDate="0" containsString="0" containsBlank="1"/>
    </cacheField>
    <cacheField name="Column3460" numFmtId="0">
      <sharedItems containsNonDate="0" containsString="0" containsBlank="1"/>
    </cacheField>
    <cacheField name="Column3461" numFmtId="0">
      <sharedItems containsNonDate="0" containsString="0" containsBlank="1"/>
    </cacheField>
    <cacheField name="Column3462" numFmtId="0">
      <sharedItems containsNonDate="0" containsString="0" containsBlank="1"/>
    </cacheField>
    <cacheField name="Column3463" numFmtId="0">
      <sharedItems containsNonDate="0" containsString="0" containsBlank="1"/>
    </cacheField>
    <cacheField name="Column3464" numFmtId="0">
      <sharedItems containsNonDate="0" containsString="0" containsBlank="1"/>
    </cacheField>
    <cacheField name="Column3465" numFmtId="0">
      <sharedItems containsNonDate="0" containsString="0" containsBlank="1"/>
    </cacheField>
    <cacheField name="Column3466" numFmtId="0">
      <sharedItems containsNonDate="0" containsString="0" containsBlank="1"/>
    </cacheField>
    <cacheField name="Column3467" numFmtId="0">
      <sharedItems containsNonDate="0" containsString="0" containsBlank="1"/>
    </cacheField>
    <cacheField name="Column3468" numFmtId="0">
      <sharedItems containsNonDate="0" containsString="0" containsBlank="1"/>
    </cacheField>
    <cacheField name="Column3469" numFmtId="0">
      <sharedItems containsNonDate="0" containsString="0" containsBlank="1"/>
    </cacheField>
    <cacheField name="Column3470" numFmtId="0">
      <sharedItems containsNonDate="0" containsString="0" containsBlank="1"/>
    </cacheField>
    <cacheField name="Column3471" numFmtId="0">
      <sharedItems containsNonDate="0" containsString="0" containsBlank="1"/>
    </cacheField>
    <cacheField name="Column3472" numFmtId="0">
      <sharedItems containsNonDate="0" containsString="0" containsBlank="1"/>
    </cacheField>
    <cacheField name="Column3473" numFmtId="0">
      <sharedItems containsNonDate="0" containsString="0" containsBlank="1"/>
    </cacheField>
    <cacheField name="Column3474" numFmtId="0">
      <sharedItems containsNonDate="0" containsString="0" containsBlank="1"/>
    </cacheField>
    <cacheField name="Column3475" numFmtId="0">
      <sharedItems containsNonDate="0" containsString="0" containsBlank="1"/>
    </cacheField>
    <cacheField name="Column3476" numFmtId="0">
      <sharedItems containsNonDate="0" containsString="0" containsBlank="1"/>
    </cacheField>
    <cacheField name="Column3477" numFmtId="0">
      <sharedItems containsNonDate="0" containsString="0" containsBlank="1"/>
    </cacheField>
    <cacheField name="Column3478" numFmtId="0">
      <sharedItems containsNonDate="0" containsString="0" containsBlank="1"/>
    </cacheField>
    <cacheField name="Column3479" numFmtId="0">
      <sharedItems containsNonDate="0" containsString="0" containsBlank="1"/>
    </cacheField>
    <cacheField name="Column3480" numFmtId="0">
      <sharedItems containsNonDate="0" containsString="0" containsBlank="1"/>
    </cacheField>
    <cacheField name="Column3481" numFmtId="0">
      <sharedItems containsNonDate="0" containsString="0" containsBlank="1"/>
    </cacheField>
    <cacheField name="Column3482" numFmtId="0">
      <sharedItems containsNonDate="0" containsString="0" containsBlank="1"/>
    </cacheField>
    <cacheField name="Column3483" numFmtId="0">
      <sharedItems containsNonDate="0" containsString="0" containsBlank="1"/>
    </cacheField>
    <cacheField name="Column3484" numFmtId="0">
      <sharedItems containsNonDate="0" containsString="0" containsBlank="1"/>
    </cacheField>
    <cacheField name="Column3485" numFmtId="0">
      <sharedItems containsNonDate="0" containsString="0" containsBlank="1"/>
    </cacheField>
    <cacheField name="Column3486" numFmtId="0">
      <sharedItems containsNonDate="0" containsString="0" containsBlank="1"/>
    </cacheField>
    <cacheField name="Column3487" numFmtId="0">
      <sharedItems containsNonDate="0" containsString="0" containsBlank="1"/>
    </cacheField>
    <cacheField name="Column3488" numFmtId="0">
      <sharedItems containsNonDate="0" containsString="0" containsBlank="1"/>
    </cacheField>
    <cacheField name="Column3489" numFmtId="0">
      <sharedItems containsNonDate="0" containsString="0" containsBlank="1"/>
    </cacheField>
    <cacheField name="Column3490" numFmtId="0">
      <sharedItems containsNonDate="0" containsString="0" containsBlank="1"/>
    </cacheField>
    <cacheField name="Column3491" numFmtId="0">
      <sharedItems containsNonDate="0" containsString="0" containsBlank="1"/>
    </cacheField>
    <cacheField name="Column3492" numFmtId="0">
      <sharedItems containsNonDate="0" containsString="0" containsBlank="1"/>
    </cacheField>
    <cacheField name="Column3493" numFmtId="0">
      <sharedItems containsNonDate="0" containsString="0" containsBlank="1"/>
    </cacheField>
    <cacheField name="Column3494" numFmtId="0">
      <sharedItems containsNonDate="0" containsString="0" containsBlank="1"/>
    </cacheField>
    <cacheField name="Column3495" numFmtId="0">
      <sharedItems containsNonDate="0" containsString="0" containsBlank="1"/>
    </cacheField>
    <cacheField name="Column3496" numFmtId="0">
      <sharedItems containsNonDate="0" containsString="0" containsBlank="1"/>
    </cacheField>
    <cacheField name="Column3497" numFmtId="0">
      <sharedItems containsNonDate="0" containsString="0" containsBlank="1"/>
    </cacheField>
    <cacheField name="Column3498" numFmtId="0">
      <sharedItems containsNonDate="0" containsString="0" containsBlank="1"/>
    </cacheField>
    <cacheField name="Column3499" numFmtId="0">
      <sharedItems containsNonDate="0" containsString="0" containsBlank="1"/>
    </cacheField>
    <cacheField name="Column3500" numFmtId="0">
      <sharedItems containsNonDate="0" containsString="0" containsBlank="1"/>
    </cacheField>
    <cacheField name="Column3501" numFmtId="0">
      <sharedItems containsNonDate="0" containsString="0" containsBlank="1"/>
    </cacheField>
    <cacheField name="Column3502" numFmtId="0">
      <sharedItems containsNonDate="0" containsString="0" containsBlank="1"/>
    </cacheField>
    <cacheField name="Column3503" numFmtId="0">
      <sharedItems containsNonDate="0" containsString="0" containsBlank="1"/>
    </cacheField>
    <cacheField name="Column3504" numFmtId="0">
      <sharedItems containsNonDate="0" containsString="0" containsBlank="1"/>
    </cacheField>
    <cacheField name="Column3505" numFmtId="0">
      <sharedItems containsNonDate="0" containsString="0" containsBlank="1"/>
    </cacheField>
    <cacheField name="Column3506" numFmtId="0">
      <sharedItems containsNonDate="0" containsString="0" containsBlank="1"/>
    </cacheField>
    <cacheField name="Column3507" numFmtId="0">
      <sharedItems containsNonDate="0" containsString="0" containsBlank="1"/>
    </cacheField>
    <cacheField name="Column3508" numFmtId="0">
      <sharedItems containsNonDate="0" containsString="0" containsBlank="1"/>
    </cacheField>
    <cacheField name="Column3509" numFmtId="0">
      <sharedItems containsNonDate="0" containsString="0" containsBlank="1"/>
    </cacheField>
    <cacheField name="Column3510" numFmtId="0">
      <sharedItems containsNonDate="0" containsString="0" containsBlank="1"/>
    </cacheField>
    <cacheField name="Column3511" numFmtId="0">
      <sharedItems containsNonDate="0" containsString="0" containsBlank="1"/>
    </cacheField>
    <cacheField name="Column3512" numFmtId="0">
      <sharedItems containsNonDate="0" containsString="0" containsBlank="1"/>
    </cacheField>
    <cacheField name="Column3513" numFmtId="0">
      <sharedItems containsNonDate="0" containsString="0" containsBlank="1"/>
    </cacheField>
    <cacheField name="Column3514" numFmtId="0">
      <sharedItems containsNonDate="0" containsString="0" containsBlank="1"/>
    </cacheField>
    <cacheField name="Column3515" numFmtId="0">
      <sharedItems containsNonDate="0" containsString="0" containsBlank="1"/>
    </cacheField>
    <cacheField name="Column3516" numFmtId="0">
      <sharedItems containsNonDate="0" containsString="0" containsBlank="1"/>
    </cacheField>
    <cacheField name="Column3517" numFmtId="0">
      <sharedItems containsNonDate="0" containsString="0" containsBlank="1"/>
    </cacheField>
    <cacheField name="Column3518" numFmtId="0">
      <sharedItems containsNonDate="0" containsString="0" containsBlank="1"/>
    </cacheField>
    <cacheField name="Column3519" numFmtId="0">
      <sharedItems containsNonDate="0" containsString="0" containsBlank="1"/>
    </cacheField>
    <cacheField name="Column3520" numFmtId="0">
      <sharedItems containsNonDate="0" containsString="0" containsBlank="1"/>
    </cacheField>
    <cacheField name="Column3521" numFmtId="0">
      <sharedItems containsNonDate="0" containsString="0" containsBlank="1"/>
    </cacheField>
    <cacheField name="Column3522" numFmtId="0">
      <sharedItems containsNonDate="0" containsString="0" containsBlank="1"/>
    </cacheField>
    <cacheField name="Column3523" numFmtId="0">
      <sharedItems containsNonDate="0" containsString="0" containsBlank="1"/>
    </cacheField>
    <cacheField name="Column3524" numFmtId="0">
      <sharedItems containsNonDate="0" containsString="0" containsBlank="1"/>
    </cacheField>
    <cacheField name="Column3525" numFmtId="0">
      <sharedItems containsNonDate="0" containsString="0" containsBlank="1"/>
    </cacheField>
    <cacheField name="Column3526" numFmtId="0">
      <sharedItems containsNonDate="0" containsString="0" containsBlank="1"/>
    </cacheField>
    <cacheField name="Column3527" numFmtId="0">
      <sharedItems containsNonDate="0" containsString="0" containsBlank="1"/>
    </cacheField>
    <cacheField name="Column3528" numFmtId="0">
      <sharedItems containsNonDate="0" containsString="0" containsBlank="1"/>
    </cacheField>
    <cacheField name="Column3529" numFmtId="0">
      <sharedItems containsNonDate="0" containsString="0" containsBlank="1"/>
    </cacheField>
    <cacheField name="Column3530" numFmtId="0">
      <sharedItems containsNonDate="0" containsString="0" containsBlank="1"/>
    </cacheField>
    <cacheField name="Column3531" numFmtId="0">
      <sharedItems containsNonDate="0" containsString="0" containsBlank="1"/>
    </cacheField>
    <cacheField name="Column3532" numFmtId="0">
      <sharedItems containsNonDate="0" containsString="0" containsBlank="1"/>
    </cacheField>
    <cacheField name="Column3533" numFmtId="0">
      <sharedItems containsNonDate="0" containsString="0" containsBlank="1"/>
    </cacheField>
    <cacheField name="Column3534" numFmtId="0">
      <sharedItems containsNonDate="0" containsString="0" containsBlank="1"/>
    </cacheField>
    <cacheField name="Column3535" numFmtId="0">
      <sharedItems containsNonDate="0" containsString="0" containsBlank="1"/>
    </cacheField>
    <cacheField name="Column3536" numFmtId="0">
      <sharedItems containsNonDate="0" containsString="0" containsBlank="1"/>
    </cacheField>
    <cacheField name="Column3537" numFmtId="0">
      <sharedItems containsNonDate="0" containsString="0" containsBlank="1"/>
    </cacheField>
    <cacheField name="Column3538" numFmtId="0">
      <sharedItems containsNonDate="0" containsString="0" containsBlank="1"/>
    </cacheField>
    <cacheField name="Column3539" numFmtId="0">
      <sharedItems containsNonDate="0" containsString="0" containsBlank="1"/>
    </cacheField>
    <cacheField name="Column3540" numFmtId="0">
      <sharedItems containsNonDate="0" containsString="0" containsBlank="1"/>
    </cacheField>
    <cacheField name="Column3541" numFmtId="0">
      <sharedItems containsNonDate="0" containsString="0" containsBlank="1"/>
    </cacheField>
    <cacheField name="Column3542" numFmtId="0">
      <sharedItems containsNonDate="0" containsString="0" containsBlank="1"/>
    </cacheField>
    <cacheField name="Column3543" numFmtId="0">
      <sharedItems containsNonDate="0" containsString="0" containsBlank="1"/>
    </cacheField>
    <cacheField name="Column3544" numFmtId="0">
      <sharedItems containsNonDate="0" containsString="0" containsBlank="1"/>
    </cacheField>
    <cacheField name="Column3545" numFmtId="0">
      <sharedItems containsNonDate="0" containsString="0" containsBlank="1"/>
    </cacheField>
    <cacheField name="Column3546" numFmtId="0">
      <sharedItems containsNonDate="0" containsString="0" containsBlank="1"/>
    </cacheField>
    <cacheField name="Column3547" numFmtId="0">
      <sharedItems containsNonDate="0" containsString="0" containsBlank="1"/>
    </cacheField>
    <cacheField name="Column3548" numFmtId="0">
      <sharedItems containsNonDate="0" containsString="0" containsBlank="1"/>
    </cacheField>
    <cacheField name="Column3549" numFmtId="0">
      <sharedItems containsNonDate="0" containsString="0" containsBlank="1"/>
    </cacheField>
    <cacheField name="Column3550" numFmtId="0">
      <sharedItems containsNonDate="0" containsString="0" containsBlank="1"/>
    </cacheField>
    <cacheField name="Column3551" numFmtId="0">
      <sharedItems containsNonDate="0" containsString="0" containsBlank="1"/>
    </cacheField>
    <cacheField name="Column3552" numFmtId="0">
      <sharedItems containsNonDate="0" containsString="0" containsBlank="1"/>
    </cacheField>
    <cacheField name="Column3553" numFmtId="0">
      <sharedItems containsNonDate="0" containsString="0" containsBlank="1"/>
    </cacheField>
    <cacheField name="Column3554" numFmtId="0">
      <sharedItems containsNonDate="0" containsString="0" containsBlank="1"/>
    </cacheField>
    <cacheField name="Column3555" numFmtId="0">
      <sharedItems containsNonDate="0" containsString="0" containsBlank="1"/>
    </cacheField>
    <cacheField name="Column3556" numFmtId="0">
      <sharedItems containsNonDate="0" containsString="0" containsBlank="1"/>
    </cacheField>
    <cacheField name="Column3557" numFmtId="0">
      <sharedItems containsNonDate="0" containsString="0" containsBlank="1"/>
    </cacheField>
    <cacheField name="Column3558" numFmtId="0">
      <sharedItems containsNonDate="0" containsString="0" containsBlank="1"/>
    </cacheField>
    <cacheField name="Column3559" numFmtId="0">
      <sharedItems containsNonDate="0" containsString="0" containsBlank="1"/>
    </cacheField>
    <cacheField name="Column3560" numFmtId="0">
      <sharedItems containsNonDate="0" containsString="0" containsBlank="1"/>
    </cacheField>
    <cacheField name="Column3561" numFmtId="0">
      <sharedItems containsNonDate="0" containsString="0" containsBlank="1"/>
    </cacheField>
    <cacheField name="Column3562" numFmtId="0">
      <sharedItems containsNonDate="0" containsString="0" containsBlank="1"/>
    </cacheField>
    <cacheField name="Column3563" numFmtId="0">
      <sharedItems containsNonDate="0" containsString="0" containsBlank="1"/>
    </cacheField>
    <cacheField name="Column3564" numFmtId="0">
      <sharedItems containsNonDate="0" containsString="0" containsBlank="1"/>
    </cacheField>
    <cacheField name="Column3565" numFmtId="0">
      <sharedItems containsNonDate="0" containsString="0" containsBlank="1"/>
    </cacheField>
    <cacheField name="Column3566" numFmtId="0">
      <sharedItems containsNonDate="0" containsString="0" containsBlank="1"/>
    </cacheField>
    <cacheField name="Column3567" numFmtId="0">
      <sharedItems containsNonDate="0" containsString="0" containsBlank="1"/>
    </cacheField>
    <cacheField name="Column3568" numFmtId="0">
      <sharedItems containsNonDate="0" containsString="0" containsBlank="1"/>
    </cacheField>
    <cacheField name="Column3569" numFmtId="0">
      <sharedItems containsNonDate="0" containsString="0" containsBlank="1"/>
    </cacheField>
    <cacheField name="Column3570" numFmtId="0">
      <sharedItems containsNonDate="0" containsString="0" containsBlank="1"/>
    </cacheField>
    <cacheField name="Column3571" numFmtId="0">
      <sharedItems containsNonDate="0" containsString="0" containsBlank="1"/>
    </cacheField>
    <cacheField name="Column3572" numFmtId="0">
      <sharedItems containsNonDate="0" containsString="0" containsBlank="1"/>
    </cacheField>
    <cacheField name="Column3573" numFmtId="0">
      <sharedItems containsNonDate="0" containsString="0" containsBlank="1"/>
    </cacheField>
    <cacheField name="Column3574" numFmtId="0">
      <sharedItems containsNonDate="0" containsString="0" containsBlank="1"/>
    </cacheField>
    <cacheField name="Column3575" numFmtId="0">
      <sharedItems containsNonDate="0" containsString="0" containsBlank="1"/>
    </cacheField>
    <cacheField name="Column3576" numFmtId="0">
      <sharedItems containsNonDate="0" containsString="0" containsBlank="1"/>
    </cacheField>
    <cacheField name="Column3577" numFmtId="0">
      <sharedItems containsNonDate="0" containsString="0" containsBlank="1"/>
    </cacheField>
    <cacheField name="Column3578" numFmtId="0">
      <sharedItems containsNonDate="0" containsString="0" containsBlank="1"/>
    </cacheField>
    <cacheField name="Column3579" numFmtId="0">
      <sharedItems containsNonDate="0" containsString="0" containsBlank="1"/>
    </cacheField>
    <cacheField name="Column3580" numFmtId="0">
      <sharedItems containsNonDate="0" containsString="0" containsBlank="1"/>
    </cacheField>
    <cacheField name="Column3581" numFmtId="0">
      <sharedItems containsNonDate="0" containsString="0" containsBlank="1"/>
    </cacheField>
    <cacheField name="Column3582" numFmtId="0">
      <sharedItems containsNonDate="0" containsString="0" containsBlank="1"/>
    </cacheField>
    <cacheField name="Column3583" numFmtId="0">
      <sharedItems containsNonDate="0" containsString="0" containsBlank="1"/>
    </cacheField>
    <cacheField name="Column3584" numFmtId="0">
      <sharedItems containsNonDate="0" containsString="0" containsBlank="1"/>
    </cacheField>
    <cacheField name="Column3585" numFmtId="0">
      <sharedItems containsNonDate="0" containsString="0" containsBlank="1"/>
    </cacheField>
    <cacheField name="Column3586" numFmtId="0">
      <sharedItems containsNonDate="0" containsString="0" containsBlank="1"/>
    </cacheField>
    <cacheField name="Column3587" numFmtId="0">
      <sharedItems containsNonDate="0" containsString="0" containsBlank="1"/>
    </cacheField>
    <cacheField name="Column3588" numFmtId="0">
      <sharedItems containsNonDate="0" containsString="0" containsBlank="1"/>
    </cacheField>
    <cacheField name="Column3589" numFmtId="0">
      <sharedItems containsNonDate="0" containsString="0" containsBlank="1"/>
    </cacheField>
    <cacheField name="Column3590" numFmtId="0">
      <sharedItems containsNonDate="0" containsString="0" containsBlank="1"/>
    </cacheField>
    <cacheField name="Column3591" numFmtId="0">
      <sharedItems containsNonDate="0" containsString="0" containsBlank="1"/>
    </cacheField>
    <cacheField name="Column3592" numFmtId="0">
      <sharedItems containsNonDate="0" containsString="0" containsBlank="1"/>
    </cacheField>
    <cacheField name="Column3593" numFmtId="0">
      <sharedItems containsNonDate="0" containsString="0" containsBlank="1"/>
    </cacheField>
    <cacheField name="Column3594" numFmtId="0">
      <sharedItems containsNonDate="0" containsString="0" containsBlank="1"/>
    </cacheField>
    <cacheField name="Column3595" numFmtId="0">
      <sharedItems containsNonDate="0" containsString="0" containsBlank="1"/>
    </cacheField>
    <cacheField name="Column3596" numFmtId="0">
      <sharedItems containsNonDate="0" containsString="0" containsBlank="1"/>
    </cacheField>
    <cacheField name="Column3597" numFmtId="0">
      <sharedItems containsNonDate="0" containsString="0" containsBlank="1"/>
    </cacheField>
    <cacheField name="Column3598" numFmtId="0">
      <sharedItems containsNonDate="0" containsString="0" containsBlank="1"/>
    </cacheField>
    <cacheField name="Column3599" numFmtId="0">
      <sharedItems containsNonDate="0" containsString="0" containsBlank="1"/>
    </cacheField>
    <cacheField name="Column3600" numFmtId="0">
      <sharedItems containsNonDate="0" containsString="0" containsBlank="1"/>
    </cacheField>
    <cacheField name="Column3601" numFmtId="0">
      <sharedItems containsNonDate="0" containsString="0" containsBlank="1"/>
    </cacheField>
    <cacheField name="Column3602" numFmtId="0">
      <sharedItems containsNonDate="0" containsString="0" containsBlank="1"/>
    </cacheField>
    <cacheField name="Column3603" numFmtId="0">
      <sharedItems containsNonDate="0" containsString="0" containsBlank="1"/>
    </cacheField>
    <cacheField name="Column3604" numFmtId="0">
      <sharedItems containsNonDate="0" containsString="0" containsBlank="1"/>
    </cacheField>
    <cacheField name="Column3605" numFmtId="0">
      <sharedItems containsNonDate="0" containsString="0" containsBlank="1"/>
    </cacheField>
    <cacheField name="Column3606" numFmtId="0">
      <sharedItems containsNonDate="0" containsString="0" containsBlank="1"/>
    </cacheField>
    <cacheField name="Column3607" numFmtId="0">
      <sharedItems containsNonDate="0" containsString="0" containsBlank="1"/>
    </cacheField>
    <cacheField name="Column3608" numFmtId="0">
      <sharedItems containsNonDate="0" containsString="0" containsBlank="1"/>
    </cacheField>
    <cacheField name="Column3609" numFmtId="0">
      <sharedItems containsNonDate="0" containsString="0" containsBlank="1"/>
    </cacheField>
    <cacheField name="Column3610" numFmtId="0">
      <sharedItems containsNonDate="0" containsString="0" containsBlank="1"/>
    </cacheField>
    <cacheField name="Column3611" numFmtId="0">
      <sharedItems containsNonDate="0" containsString="0" containsBlank="1"/>
    </cacheField>
    <cacheField name="Column3612" numFmtId="0">
      <sharedItems containsNonDate="0" containsString="0" containsBlank="1"/>
    </cacheField>
    <cacheField name="Column3613" numFmtId="0">
      <sharedItems containsNonDate="0" containsString="0" containsBlank="1"/>
    </cacheField>
    <cacheField name="Column3614" numFmtId="0">
      <sharedItems containsNonDate="0" containsString="0" containsBlank="1"/>
    </cacheField>
    <cacheField name="Column3615" numFmtId="0">
      <sharedItems containsNonDate="0" containsString="0" containsBlank="1"/>
    </cacheField>
    <cacheField name="Column3616" numFmtId="0">
      <sharedItems containsNonDate="0" containsString="0" containsBlank="1"/>
    </cacheField>
    <cacheField name="Column3617" numFmtId="0">
      <sharedItems containsNonDate="0" containsString="0" containsBlank="1"/>
    </cacheField>
    <cacheField name="Column3618" numFmtId="0">
      <sharedItems containsNonDate="0" containsString="0" containsBlank="1"/>
    </cacheField>
    <cacheField name="Column3619" numFmtId="0">
      <sharedItems containsNonDate="0" containsString="0" containsBlank="1"/>
    </cacheField>
    <cacheField name="Column3620" numFmtId="0">
      <sharedItems containsNonDate="0" containsString="0" containsBlank="1"/>
    </cacheField>
    <cacheField name="Column3621" numFmtId="0">
      <sharedItems containsNonDate="0" containsString="0" containsBlank="1"/>
    </cacheField>
    <cacheField name="Column3622" numFmtId="0">
      <sharedItems containsNonDate="0" containsString="0" containsBlank="1"/>
    </cacheField>
    <cacheField name="Column3623" numFmtId="0">
      <sharedItems containsNonDate="0" containsString="0" containsBlank="1"/>
    </cacheField>
    <cacheField name="Column3624" numFmtId="0">
      <sharedItems containsNonDate="0" containsString="0" containsBlank="1"/>
    </cacheField>
    <cacheField name="Column3625" numFmtId="0">
      <sharedItems containsNonDate="0" containsString="0" containsBlank="1"/>
    </cacheField>
    <cacheField name="Column3626" numFmtId="0">
      <sharedItems containsNonDate="0" containsString="0" containsBlank="1"/>
    </cacheField>
    <cacheField name="Column3627" numFmtId="0">
      <sharedItems containsNonDate="0" containsString="0" containsBlank="1"/>
    </cacheField>
    <cacheField name="Column3628" numFmtId="0">
      <sharedItems containsNonDate="0" containsString="0" containsBlank="1"/>
    </cacheField>
    <cacheField name="Column3629" numFmtId="0">
      <sharedItems containsNonDate="0" containsString="0" containsBlank="1"/>
    </cacheField>
    <cacheField name="Column3630" numFmtId="0">
      <sharedItems containsNonDate="0" containsString="0" containsBlank="1"/>
    </cacheField>
    <cacheField name="Column3631" numFmtId="0">
      <sharedItems containsNonDate="0" containsString="0" containsBlank="1"/>
    </cacheField>
    <cacheField name="Column3632" numFmtId="0">
      <sharedItems containsNonDate="0" containsString="0" containsBlank="1"/>
    </cacheField>
    <cacheField name="Column3633" numFmtId="0">
      <sharedItems containsNonDate="0" containsString="0" containsBlank="1"/>
    </cacheField>
    <cacheField name="Column3634" numFmtId="0">
      <sharedItems containsNonDate="0" containsString="0" containsBlank="1"/>
    </cacheField>
    <cacheField name="Column3635" numFmtId="0">
      <sharedItems containsNonDate="0" containsString="0" containsBlank="1"/>
    </cacheField>
    <cacheField name="Column3636" numFmtId="0">
      <sharedItems containsNonDate="0" containsString="0" containsBlank="1"/>
    </cacheField>
    <cacheField name="Column3637" numFmtId="0">
      <sharedItems containsNonDate="0" containsString="0" containsBlank="1"/>
    </cacheField>
    <cacheField name="Column3638" numFmtId="0">
      <sharedItems containsNonDate="0" containsString="0" containsBlank="1"/>
    </cacheField>
    <cacheField name="Column3639" numFmtId="0">
      <sharedItems containsNonDate="0" containsString="0" containsBlank="1"/>
    </cacheField>
    <cacheField name="Column3640" numFmtId="0">
      <sharedItems containsNonDate="0" containsString="0" containsBlank="1"/>
    </cacheField>
    <cacheField name="Column3641" numFmtId="0">
      <sharedItems containsNonDate="0" containsString="0" containsBlank="1"/>
    </cacheField>
    <cacheField name="Column3642" numFmtId="0">
      <sharedItems containsNonDate="0" containsString="0" containsBlank="1"/>
    </cacheField>
    <cacheField name="Column3643" numFmtId="0">
      <sharedItems containsNonDate="0" containsString="0" containsBlank="1"/>
    </cacheField>
    <cacheField name="Column3644" numFmtId="0">
      <sharedItems containsNonDate="0" containsString="0" containsBlank="1"/>
    </cacheField>
    <cacheField name="Column3645" numFmtId="0">
      <sharedItems containsNonDate="0" containsString="0" containsBlank="1"/>
    </cacheField>
    <cacheField name="Column3646" numFmtId="0">
      <sharedItems containsNonDate="0" containsString="0" containsBlank="1"/>
    </cacheField>
    <cacheField name="Column3647" numFmtId="0">
      <sharedItems containsNonDate="0" containsString="0" containsBlank="1"/>
    </cacheField>
    <cacheField name="Column3648" numFmtId="0">
      <sharedItems containsNonDate="0" containsString="0" containsBlank="1"/>
    </cacheField>
    <cacheField name="Column3649" numFmtId="0">
      <sharedItems containsNonDate="0" containsString="0" containsBlank="1"/>
    </cacheField>
    <cacheField name="Column3650" numFmtId="0">
      <sharedItems containsNonDate="0" containsString="0" containsBlank="1"/>
    </cacheField>
    <cacheField name="Column3651" numFmtId="0">
      <sharedItems containsNonDate="0" containsString="0" containsBlank="1"/>
    </cacheField>
    <cacheField name="Column3652" numFmtId="0">
      <sharedItems containsNonDate="0" containsString="0" containsBlank="1"/>
    </cacheField>
    <cacheField name="Column3653" numFmtId="0">
      <sharedItems containsNonDate="0" containsString="0" containsBlank="1"/>
    </cacheField>
    <cacheField name="Column3654" numFmtId="0">
      <sharedItems containsNonDate="0" containsString="0" containsBlank="1"/>
    </cacheField>
    <cacheField name="Column3655" numFmtId="0">
      <sharedItems containsNonDate="0" containsString="0" containsBlank="1"/>
    </cacheField>
    <cacheField name="Column3656" numFmtId="0">
      <sharedItems containsNonDate="0" containsString="0" containsBlank="1"/>
    </cacheField>
    <cacheField name="Column3657" numFmtId="0">
      <sharedItems containsNonDate="0" containsString="0" containsBlank="1"/>
    </cacheField>
    <cacheField name="Column3658" numFmtId="0">
      <sharedItems containsNonDate="0" containsString="0" containsBlank="1"/>
    </cacheField>
    <cacheField name="Column3659" numFmtId="0">
      <sharedItems containsNonDate="0" containsString="0" containsBlank="1"/>
    </cacheField>
    <cacheField name="Column3660" numFmtId="0">
      <sharedItems containsNonDate="0" containsString="0" containsBlank="1"/>
    </cacheField>
    <cacheField name="Column3661" numFmtId="0">
      <sharedItems containsNonDate="0" containsString="0" containsBlank="1"/>
    </cacheField>
    <cacheField name="Column3662" numFmtId="0">
      <sharedItems containsNonDate="0" containsString="0" containsBlank="1"/>
    </cacheField>
    <cacheField name="Column3663" numFmtId="0">
      <sharedItems containsNonDate="0" containsString="0" containsBlank="1"/>
    </cacheField>
    <cacheField name="Column3664" numFmtId="0">
      <sharedItems containsNonDate="0" containsString="0" containsBlank="1"/>
    </cacheField>
    <cacheField name="Column3665" numFmtId="0">
      <sharedItems containsNonDate="0" containsString="0" containsBlank="1"/>
    </cacheField>
    <cacheField name="Column3666" numFmtId="0">
      <sharedItems containsNonDate="0" containsString="0" containsBlank="1"/>
    </cacheField>
    <cacheField name="Column3667" numFmtId="0">
      <sharedItems containsNonDate="0" containsString="0" containsBlank="1"/>
    </cacheField>
    <cacheField name="Column3668" numFmtId="0">
      <sharedItems containsNonDate="0" containsString="0" containsBlank="1"/>
    </cacheField>
    <cacheField name="Column3669" numFmtId="0">
      <sharedItems containsNonDate="0" containsString="0" containsBlank="1"/>
    </cacheField>
    <cacheField name="Column3670" numFmtId="0">
      <sharedItems containsNonDate="0" containsString="0" containsBlank="1"/>
    </cacheField>
    <cacheField name="Column3671" numFmtId="0">
      <sharedItems containsNonDate="0" containsString="0" containsBlank="1"/>
    </cacheField>
    <cacheField name="Column3672" numFmtId="0">
      <sharedItems containsNonDate="0" containsString="0" containsBlank="1"/>
    </cacheField>
    <cacheField name="Column3673" numFmtId="0">
      <sharedItems containsNonDate="0" containsString="0" containsBlank="1"/>
    </cacheField>
    <cacheField name="Column3674" numFmtId="0">
      <sharedItems containsNonDate="0" containsString="0" containsBlank="1"/>
    </cacheField>
    <cacheField name="Column3675" numFmtId="0">
      <sharedItems containsNonDate="0" containsString="0" containsBlank="1"/>
    </cacheField>
    <cacheField name="Column3676" numFmtId="0">
      <sharedItems containsNonDate="0" containsString="0" containsBlank="1"/>
    </cacheField>
    <cacheField name="Column3677" numFmtId="0">
      <sharedItems containsNonDate="0" containsString="0" containsBlank="1"/>
    </cacheField>
    <cacheField name="Column3678" numFmtId="0">
      <sharedItems containsNonDate="0" containsString="0" containsBlank="1"/>
    </cacheField>
    <cacheField name="Column3679" numFmtId="0">
      <sharedItems containsNonDate="0" containsString="0" containsBlank="1"/>
    </cacheField>
    <cacheField name="Column3680" numFmtId="0">
      <sharedItems containsNonDate="0" containsString="0" containsBlank="1"/>
    </cacheField>
    <cacheField name="Column3681" numFmtId="0">
      <sharedItems containsNonDate="0" containsString="0" containsBlank="1"/>
    </cacheField>
    <cacheField name="Column3682" numFmtId="0">
      <sharedItems containsNonDate="0" containsString="0" containsBlank="1"/>
    </cacheField>
    <cacheField name="Column3683" numFmtId="0">
      <sharedItems containsNonDate="0" containsString="0" containsBlank="1"/>
    </cacheField>
    <cacheField name="Column3684" numFmtId="0">
      <sharedItems containsNonDate="0" containsString="0" containsBlank="1"/>
    </cacheField>
    <cacheField name="Column3685" numFmtId="0">
      <sharedItems containsNonDate="0" containsString="0" containsBlank="1"/>
    </cacheField>
    <cacheField name="Column3686" numFmtId="0">
      <sharedItems containsNonDate="0" containsString="0" containsBlank="1"/>
    </cacheField>
    <cacheField name="Column3687" numFmtId="0">
      <sharedItems containsNonDate="0" containsString="0" containsBlank="1"/>
    </cacheField>
    <cacheField name="Column3688" numFmtId="0">
      <sharedItems containsNonDate="0" containsString="0" containsBlank="1"/>
    </cacheField>
    <cacheField name="Column3689" numFmtId="0">
      <sharedItems containsNonDate="0" containsString="0" containsBlank="1"/>
    </cacheField>
    <cacheField name="Column3690" numFmtId="0">
      <sharedItems containsNonDate="0" containsString="0" containsBlank="1"/>
    </cacheField>
    <cacheField name="Column3691" numFmtId="0">
      <sharedItems containsNonDate="0" containsString="0" containsBlank="1"/>
    </cacheField>
    <cacheField name="Column3692" numFmtId="0">
      <sharedItems containsNonDate="0" containsString="0" containsBlank="1"/>
    </cacheField>
    <cacheField name="Column3693" numFmtId="0">
      <sharedItems containsNonDate="0" containsString="0" containsBlank="1"/>
    </cacheField>
    <cacheField name="Column3694" numFmtId="0">
      <sharedItems containsNonDate="0" containsString="0" containsBlank="1"/>
    </cacheField>
    <cacheField name="Column3695" numFmtId="0">
      <sharedItems containsNonDate="0" containsString="0" containsBlank="1"/>
    </cacheField>
    <cacheField name="Column3696" numFmtId="0">
      <sharedItems containsNonDate="0" containsString="0" containsBlank="1"/>
    </cacheField>
    <cacheField name="Column3697" numFmtId="0">
      <sharedItems containsNonDate="0" containsString="0" containsBlank="1"/>
    </cacheField>
    <cacheField name="Column3698" numFmtId="0">
      <sharedItems containsNonDate="0" containsString="0" containsBlank="1"/>
    </cacheField>
    <cacheField name="Column3699" numFmtId="0">
      <sharedItems containsNonDate="0" containsString="0" containsBlank="1"/>
    </cacheField>
    <cacheField name="Column3700" numFmtId="0">
      <sharedItems containsNonDate="0" containsString="0" containsBlank="1"/>
    </cacheField>
    <cacheField name="Column3701" numFmtId="0">
      <sharedItems containsNonDate="0" containsString="0" containsBlank="1"/>
    </cacheField>
    <cacheField name="Column3702" numFmtId="0">
      <sharedItems containsNonDate="0" containsString="0" containsBlank="1"/>
    </cacheField>
    <cacheField name="Column3703" numFmtId="0">
      <sharedItems containsNonDate="0" containsString="0" containsBlank="1"/>
    </cacheField>
    <cacheField name="Column3704" numFmtId="0">
      <sharedItems containsNonDate="0" containsString="0" containsBlank="1"/>
    </cacheField>
    <cacheField name="Column3705" numFmtId="0">
      <sharedItems containsNonDate="0" containsString="0" containsBlank="1"/>
    </cacheField>
    <cacheField name="Column3706" numFmtId="0">
      <sharedItems containsNonDate="0" containsString="0" containsBlank="1"/>
    </cacheField>
    <cacheField name="Column3707" numFmtId="0">
      <sharedItems containsNonDate="0" containsString="0" containsBlank="1"/>
    </cacheField>
    <cacheField name="Column3708" numFmtId="0">
      <sharedItems containsNonDate="0" containsString="0" containsBlank="1"/>
    </cacheField>
    <cacheField name="Column3709" numFmtId="0">
      <sharedItems containsNonDate="0" containsString="0" containsBlank="1"/>
    </cacheField>
    <cacheField name="Column3710" numFmtId="0">
      <sharedItems containsNonDate="0" containsString="0" containsBlank="1"/>
    </cacheField>
    <cacheField name="Column3711" numFmtId="0">
      <sharedItems containsNonDate="0" containsString="0" containsBlank="1"/>
    </cacheField>
    <cacheField name="Column3712" numFmtId="0">
      <sharedItems containsNonDate="0" containsString="0" containsBlank="1"/>
    </cacheField>
    <cacheField name="Column3713" numFmtId="0">
      <sharedItems containsNonDate="0" containsString="0" containsBlank="1"/>
    </cacheField>
    <cacheField name="Column3714" numFmtId="0">
      <sharedItems containsNonDate="0" containsString="0" containsBlank="1"/>
    </cacheField>
    <cacheField name="Column3715" numFmtId="0">
      <sharedItems containsNonDate="0" containsString="0" containsBlank="1"/>
    </cacheField>
    <cacheField name="Column3716" numFmtId="0">
      <sharedItems containsNonDate="0" containsString="0" containsBlank="1"/>
    </cacheField>
    <cacheField name="Column3717" numFmtId="0">
      <sharedItems containsNonDate="0" containsString="0" containsBlank="1"/>
    </cacheField>
    <cacheField name="Column3718" numFmtId="0">
      <sharedItems containsNonDate="0" containsString="0" containsBlank="1"/>
    </cacheField>
    <cacheField name="Column3719" numFmtId="0">
      <sharedItems containsNonDate="0" containsString="0" containsBlank="1"/>
    </cacheField>
    <cacheField name="Column3720" numFmtId="0">
      <sharedItems containsNonDate="0" containsString="0" containsBlank="1"/>
    </cacheField>
    <cacheField name="Column3721" numFmtId="0">
      <sharedItems containsNonDate="0" containsString="0" containsBlank="1"/>
    </cacheField>
    <cacheField name="Column3722" numFmtId="0">
      <sharedItems containsNonDate="0" containsString="0" containsBlank="1"/>
    </cacheField>
    <cacheField name="Column3723" numFmtId="0">
      <sharedItems containsNonDate="0" containsString="0" containsBlank="1"/>
    </cacheField>
    <cacheField name="Column3724" numFmtId="0">
      <sharedItems containsNonDate="0" containsString="0" containsBlank="1"/>
    </cacheField>
    <cacheField name="Column3725" numFmtId="0">
      <sharedItems containsNonDate="0" containsString="0" containsBlank="1"/>
    </cacheField>
    <cacheField name="Column3726" numFmtId="0">
      <sharedItems containsNonDate="0" containsString="0" containsBlank="1"/>
    </cacheField>
    <cacheField name="Column3727" numFmtId="0">
      <sharedItems containsNonDate="0" containsString="0" containsBlank="1"/>
    </cacheField>
    <cacheField name="Column3728" numFmtId="0">
      <sharedItems containsNonDate="0" containsString="0" containsBlank="1"/>
    </cacheField>
    <cacheField name="Column3729" numFmtId="0">
      <sharedItems containsNonDate="0" containsString="0" containsBlank="1"/>
    </cacheField>
    <cacheField name="Column3730" numFmtId="0">
      <sharedItems containsNonDate="0" containsString="0" containsBlank="1"/>
    </cacheField>
    <cacheField name="Column3731" numFmtId="0">
      <sharedItems containsNonDate="0" containsString="0" containsBlank="1"/>
    </cacheField>
    <cacheField name="Column3732" numFmtId="0">
      <sharedItems containsNonDate="0" containsString="0" containsBlank="1"/>
    </cacheField>
    <cacheField name="Column3733" numFmtId="0">
      <sharedItems containsNonDate="0" containsString="0" containsBlank="1"/>
    </cacheField>
    <cacheField name="Column3734" numFmtId="0">
      <sharedItems containsNonDate="0" containsString="0" containsBlank="1"/>
    </cacheField>
    <cacheField name="Column3735" numFmtId="0">
      <sharedItems containsNonDate="0" containsString="0" containsBlank="1"/>
    </cacheField>
    <cacheField name="Column3736" numFmtId="0">
      <sharedItems containsNonDate="0" containsString="0" containsBlank="1"/>
    </cacheField>
    <cacheField name="Column3737" numFmtId="0">
      <sharedItems containsNonDate="0" containsString="0" containsBlank="1"/>
    </cacheField>
    <cacheField name="Column3738" numFmtId="0">
      <sharedItems containsNonDate="0" containsString="0" containsBlank="1"/>
    </cacheField>
    <cacheField name="Column3739" numFmtId="0">
      <sharedItems containsNonDate="0" containsString="0" containsBlank="1"/>
    </cacheField>
    <cacheField name="Column3740" numFmtId="0">
      <sharedItems containsNonDate="0" containsString="0" containsBlank="1"/>
    </cacheField>
    <cacheField name="Column3741" numFmtId="0">
      <sharedItems containsNonDate="0" containsString="0" containsBlank="1"/>
    </cacheField>
    <cacheField name="Column3742" numFmtId="0">
      <sharedItems containsNonDate="0" containsString="0" containsBlank="1"/>
    </cacheField>
    <cacheField name="Column3743" numFmtId="0">
      <sharedItems containsNonDate="0" containsString="0" containsBlank="1"/>
    </cacheField>
    <cacheField name="Column3744" numFmtId="0">
      <sharedItems containsNonDate="0" containsString="0" containsBlank="1"/>
    </cacheField>
    <cacheField name="Column3745" numFmtId="0">
      <sharedItems containsNonDate="0" containsString="0" containsBlank="1"/>
    </cacheField>
    <cacheField name="Column3746" numFmtId="0">
      <sharedItems containsNonDate="0" containsString="0" containsBlank="1"/>
    </cacheField>
    <cacheField name="Column3747" numFmtId="0">
      <sharedItems containsNonDate="0" containsString="0" containsBlank="1"/>
    </cacheField>
    <cacheField name="Column3748" numFmtId="0">
      <sharedItems containsNonDate="0" containsString="0" containsBlank="1"/>
    </cacheField>
    <cacheField name="Column3749" numFmtId="0">
      <sharedItems containsNonDate="0" containsString="0" containsBlank="1"/>
    </cacheField>
    <cacheField name="Column3750" numFmtId="0">
      <sharedItems containsNonDate="0" containsString="0" containsBlank="1"/>
    </cacheField>
    <cacheField name="Column3751" numFmtId="0">
      <sharedItems containsNonDate="0" containsString="0" containsBlank="1"/>
    </cacheField>
    <cacheField name="Column3752" numFmtId="0">
      <sharedItems containsNonDate="0" containsString="0" containsBlank="1"/>
    </cacheField>
    <cacheField name="Column3753" numFmtId="0">
      <sharedItems containsNonDate="0" containsString="0" containsBlank="1"/>
    </cacheField>
    <cacheField name="Column3754" numFmtId="0">
      <sharedItems containsNonDate="0" containsString="0" containsBlank="1"/>
    </cacheField>
    <cacheField name="Column3755" numFmtId="0">
      <sharedItems containsNonDate="0" containsString="0" containsBlank="1"/>
    </cacheField>
    <cacheField name="Column3756" numFmtId="0">
      <sharedItems containsNonDate="0" containsString="0" containsBlank="1"/>
    </cacheField>
    <cacheField name="Column3757" numFmtId="0">
      <sharedItems containsNonDate="0" containsString="0" containsBlank="1"/>
    </cacheField>
    <cacheField name="Column3758" numFmtId="0">
      <sharedItems containsNonDate="0" containsString="0" containsBlank="1"/>
    </cacheField>
    <cacheField name="Column3759" numFmtId="0">
      <sharedItems containsNonDate="0" containsString="0" containsBlank="1"/>
    </cacheField>
    <cacheField name="Column3760" numFmtId="0">
      <sharedItems containsNonDate="0" containsString="0" containsBlank="1"/>
    </cacheField>
    <cacheField name="Column3761" numFmtId="0">
      <sharedItems containsNonDate="0" containsString="0" containsBlank="1"/>
    </cacheField>
    <cacheField name="Column3762" numFmtId="0">
      <sharedItems containsNonDate="0" containsString="0" containsBlank="1"/>
    </cacheField>
    <cacheField name="Column3763" numFmtId="0">
      <sharedItems containsNonDate="0" containsString="0" containsBlank="1"/>
    </cacheField>
    <cacheField name="Column3764" numFmtId="0">
      <sharedItems containsNonDate="0" containsString="0" containsBlank="1"/>
    </cacheField>
    <cacheField name="Column3765" numFmtId="0">
      <sharedItems containsNonDate="0" containsString="0" containsBlank="1"/>
    </cacheField>
    <cacheField name="Column3766" numFmtId="0">
      <sharedItems containsNonDate="0" containsString="0" containsBlank="1"/>
    </cacheField>
    <cacheField name="Column3767" numFmtId="0">
      <sharedItems containsNonDate="0" containsString="0" containsBlank="1"/>
    </cacheField>
    <cacheField name="Column3768" numFmtId="0">
      <sharedItems containsNonDate="0" containsString="0" containsBlank="1"/>
    </cacheField>
    <cacheField name="Column3769" numFmtId="0">
      <sharedItems containsNonDate="0" containsString="0" containsBlank="1"/>
    </cacheField>
    <cacheField name="Column3770" numFmtId="0">
      <sharedItems containsNonDate="0" containsString="0" containsBlank="1"/>
    </cacheField>
    <cacheField name="Column3771" numFmtId="0">
      <sharedItems containsNonDate="0" containsString="0" containsBlank="1"/>
    </cacheField>
    <cacheField name="Column3772" numFmtId="0">
      <sharedItems containsNonDate="0" containsString="0" containsBlank="1"/>
    </cacheField>
    <cacheField name="Column3773" numFmtId="0">
      <sharedItems containsNonDate="0" containsString="0" containsBlank="1"/>
    </cacheField>
    <cacheField name="Column3774" numFmtId="0">
      <sharedItems containsNonDate="0" containsString="0" containsBlank="1"/>
    </cacheField>
    <cacheField name="Column3775" numFmtId="0">
      <sharedItems containsNonDate="0" containsString="0" containsBlank="1"/>
    </cacheField>
    <cacheField name="Column3776" numFmtId="0">
      <sharedItems containsNonDate="0" containsString="0" containsBlank="1"/>
    </cacheField>
    <cacheField name="Column3777" numFmtId="0">
      <sharedItems containsNonDate="0" containsString="0" containsBlank="1"/>
    </cacheField>
    <cacheField name="Column3778" numFmtId="0">
      <sharedItems containsNonDate="0" containsString="0" containsBlank="1"/>
    </cacheField>
    <cacheField name="Column3779" numFmtId="0">
      <sharedItems containsNonDate="0" containsString="0" containsBlank="1"/>
    </cacheField>
    <cacheField name="Column3780" numFmtId="0">
      <sharedItems containsNonDate="0" containsString="0" containsBlank="1"/>
    </cacheField>
    <cacheField name="Column3781" numFmtId="0">
      <sharedItems containsNonDate="0" containsString="0" containsBlank="1"/>
    </cacheField>
    <cacheField name="Column3782" numFmtId="0">
      <sharedItems containsNonDate="0" containsString="0" containsBlank="1"/>
    </cacheField>
    <cacheField name="Column3783" numFmtId="0">
      <sharedItems containsNonDate="0" containsString="0" containsBlank="1"/>
    </cacheField>
    <cacheField name="Column3784" numFmtId="0">
      <sharedItems containsNonDate="0" containsString="0" containsBlank="1"/>
    </cacheField>
    <cacheField name="Column3785" numFmtId="0">
      <sharedItems containsNonDate="0" containsString="0" containsBlank="1"/>
    </cacheField>
    <cacheField name="Column3786" numFmtId="0">
      <sharedItems containsNonDate="0" containsString="0" containsBlank="1"/>
    </cacheField>
    <cacheField name="Column3787" numFmtId="0">
      <sharedItems containsNonDate="0" containsString="0" containsBlank="1"/>
    </cacheField>
    <cacheField name="Column3788" numFmtId="0">
      <sharedItems containsNonDate="0" containsString="0" containsBlank="1"/>
    </cacheField>
    <cacheField name="Column3789" numFmtId="0">
      <sharedItems containsNonDate="0" containsString="0" containsBlank="1"/>
    </cacheField>
    <cacheField name="Column3790" numFmtId="0">
      <sharedItems containsNonDate="0" containsString="0" containsBlank="1"/>
    </cacheField>
    <cacheField name="Column3791" numFmtId="0">
      <sharedItems containsNonDate="0" containsString="0" containsBlank="1"/>
    </cacheField>
    <cacheField name="Column3792" numFmtId="0">
      <sharedItems containsNonDate="0" containsString="0" containsBlank="1"/>
    </cacheField>
    <cacheField name="Column3793" numFmtId="0">
      <sharedItems containsNonDate="0" containsString="0" containsBlank="1"/>
    </cacheField>
    <cacheField name="Column3794" numFmtId="0">
      <sharedItems containsNonDate="0" containsString="0" containsBlank="1"/>
    </cacheField>
    <cacheField name="Column3795" numFmtId="0">
      <sharedItems containsNonDate="0" containsString="0" containsBlank="1"/>
    </cacheField>
    <cacheField name="Column3796" numFmtId="0">
      <sharedItems containsNonDate="0" containsString="0" containsBlank="1"/>
    </cacheField>
    <cacheField name="Column3797" numFmtId="0">
      <sharedItems containsNonDate="0" containsString="0" containsBlank="1"/>
    </cacheField>
    <cacheField name="Column3798" numFmtId="0">
      <sharedItems containsNonDate="0" containsString="0" containsBlank="1"/>
    </cacheField>
    <cacheField name="Column3799" numFmtId="0">
      <sharedItems containsNonDate="0" containsString="0" containsBlank="1"/>
    </cacheField>
    <cacheField name="Column3800" numFmtId="0">
      <sharedItems containsNonDate="0" containsString="0" containsBlank="1"/>
    </cacheField>
    <cacheField name="Column3801" numFmtId="0">
      <sharedItems containsNonDate="0" containsString="0" containsBlank="1"/>
    </cacheField>
    <cacheField name="Column3802" numFmtId="0">
      <sharedItems containsNonDate="0" containsString="0" containsBlank="1"/>
    </cacheField>
    <cacheField name="Column3803" numFmtId="0">
      <sharedItems containsNonDate="0" containsString="0" containsBlank="1"/>
    </cacheField>
    <cacheField name="Column3804" numFmtId="0">
      <sharedItems containsNonDate="0" containsString="0" containsBlank="1"/>
    </cacheField>
    <cacheField name="Column3805" numFmtId="0">
      <sharedItems containsNonDate="0" containsString="0" containsBlank="1"/>
    </cacheField>
    <cacheField name="Column3806" numFmtId="0">
      <sharedItems containsNonDate="0" containsString="0" containsBlank="1"/>
    </cacheField>
    <cacheField name="Column3807" numFmtId="0">
      <sharedItems containsNonDate="0" containsString="0" containsBlank="1"/>
    </cacheField>
    <cacheField name="Column3808" numFmtId="0">
      <sharedItems containsNonDate="0" containsString="0" containsBlank="1"/>
    </cacheField>
    <cacheField name="Column3809" numFmtId="0">
      <sharedItems containsNonDate="0" containsString="0" containsBlank="1"/>
    </cacheField>
    <cacheField name="Column3810" numFmtId="0">
      <sharedItems containsNonDate="0" containsString="0" containsBlank="1"/>
    </cacheField>
    <cacheField name="Column3811" numFmtId="0">
      <sharedItems containsNonDate="0" containsString="0" containsBlank="1"/>
    </cacheField>
    <cacheField name="Column3812" numFmtId="0">
      <sharedItems containsNonDate="0" containsString="0" containsBlank="1"/>
    </cacheField>
    <cacheField name="Column3813" numFmtId="0">
      <sharedItems containsNonDate="0" containsString="0" containsBlank="1"/>
    </cacheField>
    <cacheField name="Column3814" numFmtId="0">
      <sharedItems containsNonDate="0" containsString="0" containsBlank="1"/>
    </cacheField>
    <cacheField name="Column3815" numFmtId="0">
      <sharedItems containsNonDate="0" containsString="0" containsBlank="1"/>
    </cacheField>
    <cacheField name="Column3816" numFmtId="0">
      <sharedItems containsNonDate="0" containsString="0" containsBlank="1"/>
    </cacheField>
    <cacheField name="Column3817" numFmtId="0">
      <sharedItems containsNonDate="0" containsString="0" containsBlank="1"/>
    </cacheField>
    <cacheField name="Column3818" numFmtId="0">
      <sharedItems containsNonDate="0" containsString="0" containsBlank="1"/>
    </cacheField>
    <cacheField name="Column3819" numFmtId="0">
      <sharedItems containsNonDate="0" containsString="0" containsBlank="1"/>
    </cacheField>
    <cacheField name="Column3820" numFmtId="0">
      <sharedItems containsNonDate="0" containsString="0" containsBlank="1"/>
    </cacheField>
    <cacheField name="Column3821" numFmtId="0">
      <sharedItems containsNonDate="0" containsString="0" containsBlank="1"/>
    </cacheField>
    <cacheField name="Column3822" numFmtId="0">
      <sharedItems containsNonDate="0" containsString="0" containsBlank="1"/>
    </cacheField>
    <cacheField name="Column3823" numFmtId="0">
      <sharedItems containsNonDate="0" containsString="0" containsBlank="1"/>
    </cacheField>
    <cacheField name="Column3824" numFmtId="0">
      <sharedItems containsNonDate="0" containsString="0" containsBlank="1"/>
    </cacheField>
    <cacheField name="Column3825" numFmtId="0">
      <sharedItems containsNonDate="0" containsString="0" containsBlank="1"/>
    </cacheField>
    <cacheField name="Column3826" numFmtId="0">
      <sharedItems containsNonDate="0" containsString="0" containsBlank="1"/>
    </cacheField>
    <cacheField name="Column3827" numFmtId="0">
      <sharedItems containsNonDate="0" containsString="0" containsBlank="1"/>
    </cacheField>
    <cacheField name="Column3828" numFmtId="0">
      <sharedItems containsNonDate="0" containsString="0" containsBlank="1"/>
    </cacheField>
    <cacheField name="Column3829" numFmtId="0">
      <sharedItems containsNonDate="0" containsString="0" containsBlank="1"/>
    </cacheField>
    <cacheField name="Column3830" numFmtId="0">
      <sharedItems containsNonDate="0" containsString="0" containsBlank="1"/>
    </cacheField>
    <cacheField name="Column3831" numFmtId="0">
      <sharedItems containsNonDate="0" containsString="0" containsBlank="1"/>
    </cacheField>
    <cacheField name="Column3832" numFmtId="0">
      <sharedItems containsNonDate="0" containsString="0" containsBlank="1"/>
    </cacheField>
    <cacheField name="Column3833" numFmtId="0">
      <sharedItems containsNonDate="0" containsString="0" containsBlank="1"/>
    </cacheField>
    <cacheField name="Column3834" numFmtId="0">
      <sharedItems containsNonDate="0" containsString="0" containsBlank="1"/>
    </cacheField>
    <cacheField name="Column3835" numFmtId="0">
      <sharedItems containsNonDate="0" containsString="0" containsBlank="1"/>
    </cacheField>
    <cacheField name="Column3836" numFmtId="0">
      <sharedItems containsNonDate="0" containsString="0" containsBlank="1"/>
    </cacheField>
    <cacheField name="Column3837" numFmtId="0">
      <sharedItems containsNonDate="0" containsString="0" containsBlank="1"/>
    </cacheField>
    <cacheField name="Column3838" numFmtId="0">
      <sharedItems containsNonDate="0" containsString="0" containsBlank="1"/>
    </cacheField>
    <cacheField name="Column3839" numFmtId="0">
      <sharedItems containsNonDate="0" containsString="0" containsBlank="1"/>
    </cacheField>
    <cacheField name="Column3840" numFmtId="0">
      <sharedItems containsNonDate="0" containsString="0" containsBlank="1"/>
    </cacheField>
    <cacheField name="Column3841" numFmtId="0">
      <sharedItems containsNonDate="0" containsString="0" containsBlank="1"/>
    </cacheField>
    <cacheField name="Column3842" numFmtId="0">
      <sharedItems containsNonDate="0" containsString="0" containsBlank="1"/>
    </cacheField>
    <cacheField name="Column3843" numFmtId="0">
      <sharedItems containsNonDate="0" containsString="0" containsBlank="1"/>
    </cacheField>
    <cacheField name="Column3844" numFmtId="0">
      <sharedItems containsNonDate="0" containsString="0" containsBlank="1"/>
    </cacheField>
    <cacheField name="Column3845" numFmtId="0">
      <sharedItems containsNonDate="0" containsString="0" containsBlank="1"/>
    </cacheField>
    <cacheField name="Column3846" numFmtId="0">
      <sharedItems containsNonDate="0" containsString="0" containsBlank="1"/>
    </cacheField>
    <cacheField name="Column3847" numFmtId="0">
      <sharedItems containsNonDate="0" containsString="0" containsBlank="1"/>
    </cacheField>
    <cacheField name="Column3848" numFmtId="0">
      <sharedItems containsNonDate="0" containsString="0" containsBlank="1"/>
    </cacheField>
    <cacheField name="Column3849" numFmtId="0">
      <sharedItems containsNonDate="0" containsString="0" containsBlank="1"/>
    </cacheField>
    <cacheField name="Column3850" numFmtId="0">
      <sharedItems containsNonDate="0" containsString="0" containsBlank="1"/>
    </cacheField>
    <cacheField name="Column3851" numFmtId="0">
      <sharedItems containsNonDate="0" containsString="0" containsBlank="1"/>
    </cacheField>
    <cacheField name="Column3852" numFmtId="0">
      <sharedItems containsNonDate="0" containsString="0" containsBlank="1"/>
    </cacheField>
    <cacheField name="Column3853" numFmtId="0">
      <sharedItems containsNonDate="0" containsString="0" containsBlank="1"/>
    </cacheField>
    <cacheField name="Column3854" numFmtId="0">
      <sharedItems containsNonDate="0" containsString="0" containsBlank="1"/>
    </cacheField>
    <cacheField name="Column3855" numFmtId="0">
      <sharedItems containsNonDate="0" containsString="0" containsBlank="1"/>
    </cacheField>
    <cacheField name="Column3856" numFmtId="0">
      <sharedItems containsNonDate="0" containsString="0" containsBlank="1"/>
    </cacheField>
    <cacheField name="Column3857" numFmtId="0">
      <sharedItems containsNonDate="0" containsString="0" containsBlank="1"/>
    </cacheField>
    <cacheField name="Column3858" numFmtId="0">
      <sharedItems containsNonDate="0" containsString="0" containsBlank="1"/>
    </cacheField>
    <cacheField name="Column3859" numFmtId="0">
      <sharedItems containsNonDate="0" containsString="0" containsBlank="1"/>
    </cacheField>
    <cacheField name="Column3860" numFmtId="0">
      <sharedItems containsNonDate="0" containsString="0" containsBlank="1"/>
    </cacheField>
    <cacheField name="Column3861" numFmtId="0">
      <sharedItems containsNonDate="0" containsString="0" containsBlank="1"/>
    </cacheField>
    <cacheField name="Column3862" numFmtId="0">
      <sharedItems containsNonDate="0" containsString="0" containsBlank="1"/>
    </cacheField>
    <cacheField name="Column3863" numFmtId="0">
      <sharedItems containsNonDate="0" containsString="0" containsBlank="1"/>
    </cacheField>
    <cacheField name="Column3864" numFmtId="0">
      <sharedItems containsNonDate="0" containsString="0" containsBlank="1"/>
    </cacheField>
    <cacheField name="Column3865" numFmtId="0">
      <sharedItems containsNonDate="0" containsString="0" containsBlank="1"/>
    </cacheField>
    <cacheField name="Column3866" numFmtId="0">
      <sharedItems containsNonDate="0" containsString="0" containsBlank="1"/>
    </cacheField>
    <cacheField name="Column3867" numFmtId="0">
      <sharedItems containsNonDate="0" containsString="0" containsBlank="1"/>
    </cacheField>
    <cacheField name="Column3868" numFmtId="0">
      <sharedItems containsNonDate="0" containsString="0" containsBlank="1"/>
    </cacheField>
    <cacheField name="Column3869" numFmtId="0">
      <sharedItems containsNonDate="0" containsString="0" containsBlank="1"/>
    </cacheField>
    <cacheField name="Column3870" numFmtId="0">
      <sharedItems containsNonDate="0" containsString="0" containsBlank="1"/>
    </cacheField>
    <cacheField name="Column3871" numFmtId="0">
      <sharedItems containsNonDate="0" containsString="0" containsBlank="1"/>
    </cacheField>
    <cacheField name="Column3872" numFmtId="0">
      <sharedItems containsNonDate="0" containsString="0" containsBlank="1"/>
    </cacheField>
    <cacheField name="Column3873" numFmtId="0">
      <sharedItems containsNonDate="0" containsString="0" containsBlank="1"/>
    </cacheField>
    <cacheField name="Column3874" numFmtId="0">
      <sharedItems containsNonDate="0" containsString="0" containsBlank="1"/>
    </cacheField>
    <cacheField name="Column3875" numFmtId="0">
      <sharedItems containsNonDate="0" containsString="0" containsBlank="1"/>
    </cacheField>
    <cacheField name="Column3876" numFmtId="0">
      <sharedItems containsNonDate="0" containsString="0" containsBlank="1"/>
    </cacheField>
    <cacheField name="Column3877" numFmtId="0">
      <sharedItems containsNonDate="0" containsString="0" containsBlank="1"/>
    </cacheField>
    <cacheField name="Column3878" numFmtId="0">
      <sharedItems containsNonDate="0" containsString="0" containsBlank="1"/>
    </cacheField>
    <cacheField name="Column3879" numFmtId="0">
      <sharedItems containsNonDate="0" containsString="0" containsBlank="1"/>
    </cacheField>
    <cacheField name="Column3880" numFmtId="0">
      <sharedItems containsNonDate="0" containsString="0" containsBlank="1"/>
    </cacheField>
    <cacheField name="Column3881" numFmtId="0">
      <sharedItems containsNonDate="0" containsString="0" containsBlank="1"/>
    </cacheField>
    <cacheField name="Column3882" numFmtId="0">
      <sharedItems containsNonDate="0" containsString="0" containsBlank="1"/>
    </cacheField>
    <cacheField name="Column3883" numFmtId="0">
      <sharedItems containsNonDate="0" containsString="0" containsBlank="1"/>
    </cacheField>
    <cacheField name="Column3884" numFmtId="0">
      <sharedItems containsNonDate="0" containsString="0" containsBlank="1"/>
    </cacheField>
    <cacheField name="Column3885" numFmtId="0">
      <sharedItems containsNonDate="0" containsString="0" containsBlank="1"/>
    </cacheField>
    <cacheField name="Column3886" numFmtId="0">
      <sharedItems containsNonDate="0" containsString="0" containsBlank="1"/>
    </cacheField>
    <cacheField name="Column3887" numFmtId="0">
      <sharedItems containsNonDate="0" containsString="0" containsBlank="1"/>
    </cacheField>
    <cacheField name="Column3888" numFmtId="0">
      <sharedItems containsNonDate="0" containsString="0" containsBlank="1"/>
    </cacheField>
    <cacheField name="Column3889" numFmtId="0">
      <sharedItems containsNonDate="0" containsString="0" containsBlank="1"/>
    </cacheField>
    <cacheField name="Column3890" numFmtId="0">
      <sharedItems containsNonDate="0" containsString="0" containsBlank="1"/>
    </cacheField>
    <cacheField name="Column3891" numFmtId="0">
      <sharedItems containsNonDate="0" containsString="0" containsBlank="1"/>
    </cacheField>
    <cacheField name="Column3892" numFmtId="0">
      <sharedItems containsNonDate="0" containsString="0" containsBlank="1"/>
    </cacheField>
    <cacheField name="Column3893" numFmtId="0">
      <sharedItems containsNonDate="0" containsString="0" containsBlank="1"/>
    </cacheField>
    <cacheField name="Column3894" numFmtId="0">
      <sharedItems containsNonDate="0" containsString="0" containsBlank="1"/>
    </cacheField>
    <cacheField name="Column3895" numFmtId="0">
      <sharedItems containsNonDate="0" containsString="0" containsBlank="1"/>
    </cacheField>
    <cacheField name="Column3896" numFmtId="0">
      <sharedItems containsNonDate="0" containsString="0" containsBlank="1"/>
    </cacheField>
    <cacheField name="Column3897" numFmtId="0">
      <sharedItems containsNonDate="0" containsString="0" containsBlank="1"/>
    </cacheField>
    <cacheField name="Column3898" numFmtId="0">
      <sharedItems containsNonDate="0" containsString="0" containsBlank="1"/>
    </cacheField>
    <cacheField name="Column3899" numFmtId="0">
      <sharedItems containsNonDate="0" containsString="0" containsBlank="1"/>
    </cacheField>
    <cacheField name="Column3900" numFmtId="0">
      <sharedItems containsNonDate="0" containsString="0" containsBlank="1"/>
    </cacheField>
    <cacheField name="Column3901" numFmtId="0">
      <sharedItems containsNonDate="0" containsString="0" containsBlank="1"/>
    </cacheField>
    <cacheField name="Column3902" numFmtId="0">
      <sharedItems containsNonDate="0" containsString="0" containsBlank="1"/>
    </cacheField>
    <cacheField name="Column3903" numFmtId="0">
      <sharedItems containsNonDate="0" containsString="0" containsBlank="1"/>
    </cacheField>
    <cacheField name="Column3904" numFmtId="0">
      <sharedItems containsNonDate="0" containsString="0" containsBlank="1"/>
    </cacheField>
    <cacheField name="Column3905" numFmtId="0">
      <sharedItems containsNonDate="0" containsString="0" containsBlank="1"/>
    </cacheField>
    <cacheField name="Column3906" numFmtId="0">
      <sharedItems containsNonDate="0" containsString="0" containsBlank="1"/>
    </cacheField>
    <cacheField name="Column3907" numFmtId="0">
      <sharedItems containsNonDate="0" containsString="0" containsBlank="1"/>
    </cacheField>
    <cacheField name="Column3908" numFmtId="0">
      <sharedItems containsNonDate="0" containsString="0" containsBlank="1"/>
    </cacheField>
    <cacheField name="Column3909" numFmtId="0">
      <sharedItems containsNonDate="0" containsString="0" containsBlank="1"/>
    </cacheField>
    <cacheField name="Column3910" numFmtId="0">
      <sharedItems containsNonDate="0" containsString="0" containsBlank="1"/>
    </cacheField>
    <cacheField name="Column3911" numFmtId="0">
      <sharedItems containsNonDate="0" containsString="0" containsBlank="1"/>
    </cacheField>
    <cacheField name="Column3912" numFmtId="0">
      <sharedItems containsNonDate="0" containsString="0" containsBlank="1"/>
    </cacheField>
    <cacheField name="Column3913" numFmtId="0">
      <sharedItems containsNonDate="0" containsString="0" containsBlank="1"/>
    </cacheField>
    <cacheField name="Column3914" numFmtId="0">
      <sharedItems containsNonDate="0" containsString="0" containsBlank="1"/>
    </cacheField>
    <cacheField name="Column3915" numFmtId="0">
      <sharedItems containsNonDate="0" containsString="0" containsBlank="1"/>
    </cacheField>
    <cacheField name="Column3916" numFmtId="0">
      <sharedItems containsNonDate="0" containsString="0" containsBlank="1"/>
    </cacheField>
    <cacheField name="Column3917" numFmtId="0">
      <sharedItems containsNonDate="0" containsString="0" containsBlank="1"/>
    </cacheField>
    <cacheField name="Column3918" numFmtId="0">
      <sharedItems containsNonDate="0" containsString="0" containsBlank="1"/>
    </cacheField>
    <cacheField name="Column3919" numFmtId="0">
      <sharedItems containsNonDate="0" containsString="0" containsBlank="1"/>
    </cacheField>
    <cacheField name="Column3920" numFmtId="0">
      <sharedItems containsNonDate="0" containsString="0" containsBlank="1"/>
    </cacheField>
    <cacheField name="Column3921" numFmtId="0">
      <sharedItems containsNonDate="0" containsString="0" containsBlank="1"/>
    </cacheField>
    <cacheField name="Column3922" numFmtId="0">
      <sharedItems containsNonDate="0" containsString="0" containsBlank="1"/>
    </cacheField>
    <cacheField name="Column3923" numFmtId="0">
      <sharedItems containsNonDate="0" containsString="0" containsBlank="1"/>
    </cacheField>
    <cacheField name="Column3924" numFmtId="0">
      <sharedItems containsNonDate="0" containsString="0" containsBlank="1"/>
    </cacheField>
    <cacheField name="Column3925" numFmtId="0">
      <sharedItems containsNonDate="0" containsString="0" containsBlank="1"/>
    </cacheField>
    <cacheField name="Column3926" numFmtId="0">
      <sharedItems containsNonDate="0" containsString="0" containsBlank="1"/>
    </cacheField>
    <cacheField name="Column3927" numFmtId="0">
      <sharedItems containsNonDate="0" containsString="0" containsBlank="1"/>
    </cacheField>
    <cacheField name="Column3928" numFmtId="0">
      <sharedItems containsNonDate="0" containsString="0" containsBlank="1"/>
    </cacheField>
    <cacheField name="Column3929" numFmtId="0">
      <sharedItems containsNonDate="0" containsString="0" containsBlank="1"/>
    </cacheField>
    <cacheField name="Column3930" numFmtId="0">
      <sharedItems containsNonDate="0" containsString="0" containsBlank="1"/>
    </cacheField>
    <cacheField name="Column3931" numFmtId="0">
      <sharedItems containsNonDate="0" containsString="0" containsBlank="1"/>
    </cacheField>
    <cacheField name="Column3932" numFmtId="0">
      <sharedItems containsNonDate="0" containsString="0" containsBlank="1"/>
    </cacheField>
    <cacheField name="Column3933" numFmtId="0">
      <sharedItems containsNonDate="0" containsString="0" containsBlank="1"/>
    </cacheField>
    <cacheField name="Column3934" numFmtId="0">
      <sharedItems containsNonDate="0" containsString="0" containsBlank="1"/>
    </cacheField>
    <cacheField name="Column3935" numFmtId="0">
      <sharedItems containsNonDate="0" containsString="0" containsBlank="1"/>
    </cacheField>
    <cacheField name="Column3936" numFmtId="0">
      <sharedItems containsNonDate="0" containsString="0" containsBlank="1"/>
    </cacheField>
    <cacheField name="Column3937" numFmtId="0">
      <sharedItems containsNonDate="0" containsString="0" containsBlank="1"/>
    </cacheField>
    <cacheField name="Column3938" numFmtId="0">
      <sharedItems containsNonDate="0" containsString="0" containsBlank="1"/>
    </cacheField>
    <cacheField name="Column3939" numFmtId="0">
      <sharedItems containsNonDate="0" containsString="0" containsBlank="1"/>
    </cacheField>
    <cacheField name="Column3940" numFmtId="0">
      <sharedItems containsNonDate="0" containsString="0" containsBlank="1"/>
    </cacheField>
    <cacheField name="Column3941" numFmtId="0">
      <sharedItems containsNonDate="0" containsString="0" containsBlank="1"/>
    </cacheField>
    <cacheField name="Column3942" numFmtId="0">
      <sharedItems containsNonDate="0" containsString="0" containsBlank="1"/>
    </cacheField>
    <cacheField name="Column3943" numFmtId="0">
      <sharedItems containsNonDate="0" containsString="0" containsBlank="1"/>
    </cacheField>
    <cacheField name="Column3944" numFmtId="0">
      <sharedItems containsNonDate="0" containsString="0" containsBlank="1"/>
    </cacheField>
    <cacheField name="Column3945" numFmtId="0">
      <sharedItems containsNonDate="0" containsString="0" containsBlank="1"/>
    </cacheField>
    <cacheField name="Column3946" numFmtId="0">
      <sharedItems containsNonDate="0" containsString="0" containsBlank="1"/>
    </cacheField>
    <cacheField name="Column3947" numFmtId="0">
      <sharedItems containsNonDate="0" containsString="0" containsBlank="1"/>
    </cacheField>
    <cacheField name="Column3948" numFmtId="0">
      <sharedItems containsNonDate="0" containsString="0" containsBlank="1"/>
    </cacheField>
    <cacheField name="Column3949" numFmtId="0">
      <sharedItems containsNonDate="0" containsString="0" containsBlank="1"/>
    </cacheField>
    <cacheField name="Column3950" numFmtId="0">
      <sharedItems containsNonDate="0" containsString="0" containsBlank="1"/>
    </cacheField>
    <cacheField name="Column3951" numFmtId="0">
      <sharedItems containsNonDate="0" containsString="0" containsBlank="1"/>
    </cacheField>
    <cacheField name="Column3952" numFmtId="0">
      <sharedItems containsNonDate="0" containsString="0" containsBlank="1"/>
    </cacheField>
    <cacheField name="Column3953" numFmtId="0">
      <sharedItems containsNonDate="0" containsString="0" containsBlank="1"/>
    </cacheField>
    <cacheField name="Column3954" numFmtId="0">
      <sharedItems containsNonDate="0" containsString="0" containsBlank="1"/>
    </cacheField>
    <cacheField name="Column3955" numFmtId="0">
      <sharedItems containsNonDate="0" containsString="0" containsBlank="1"/>
    </cacheField>
    <cacheField name="Column3956" numFmtId="0">
      <sharedItems containsNonDate="0" containsString="0" containsBlank="1"/>
    </cacheField>
    <cacheField name="Column3957" numFmtId="0">
      <sharedItems containsNonDate="0" containsString="0" containsBlank="1"/>
    </cacheField>
    <cacheField name="Column3958" numFmtId="0">
      <sharedItems containsNonDate="0" containsString="0" containsBlank="1"/>
    </cacheField>
    <cacheField name="Column3959" numFmtId="0">
      <sharedItems containsNonDate="0" containsString="0" containsBlank="1"/>
    </cacheField>
    <cacheField name="Column3960" numFmtId="0">
      <sharedItems containsNonDate="0" containsString="0" containsBlank="1"/>
    </cacheField>
    <cacheField name="Column3961" numFmtId="0">
      <sharedItems containsNonDate="0" containsString="0" containsBlank="1"/>
    </cacheField>
    <cacheField name="Column3962" numFmtId="0">
      <sharedItems containsNonDate="0" containsString="0" containsBlank="1"/>
    </cacheField>
    <cacheField name="Column3963" numFmtId="0">
      <sharedItems containsNonDate="0" containsString="0" containsBlank="1"/>
    </cacheField>
    <cacheField name="Column3964" numFmtId="0">
      <sharedItems containsNonDate="0" containsString="0" containsBlank="1"/>
    </cacheField>
    <cacheField name="Column3965" numFmtId="0">
      <sharedItems containsNonDate="0" containsString="0" containsBlank="1"/>
    </cacheField>
    <cacheField name="Column3966" numFmtId="0">
      <sharedItems containsNonDate="0" containsString="0" containsBlank="1"/>
    </cacheField>
    <cacheField name="Column3967" numFmtId="0">
      <sharedItems containsNonDate="0" containsString="0" containsBlank="1"/>
    </cacheField>
    <cacheField name="Column3968" numFmtId="0">
      <sharedItems containsNonDate="0" containsString="0" containsBlank="1"/>
    </cacheField>
    <cacheField name="Column3969" numFmtId="0">
      <sharedItems containsNonDate="0" containsString="0" containsBlank="1"/>
    </cacheField>
    <cacheField name="Column3970" numFmtId="0">
      <sharedItems containsNonDate="0" containsString="0" containsBlank="1"/>
    </cacheField>
    <cacheField name="Column3971" numFmtId="0">
      <sharedItems containsNonDate="0" containsString="0" containsBlank="1"/>
    </cacheField>
    <cacheField name="Column3972" numFmtId="0">
      <sharedItems containsNonDate="0" containsString="0" containsBlank="1"/>
    </cacheField>
    <cacheField name="Column3973" numFmtId="0">
      <sharedItems containsNonDate="0" containsString="0" containsBlank="1"/>
    </cacheField>
    <cacheField name="Column3974" numFmtId="0">
      <sharedItems containsNonDate="0" containsString="0" containsBlank="1"/>
    </cacheField>
    <cacheField name="Column3975" numFmtId="0">
      <sharedItems containsNonDate="0" containsString="0" containsBlank="1"/>
    </cacheField>
    <cacheField name="Column3976" numFmtId="0">
      <sharedItems containsNonDate="0" containsString="0" containsBlank="1"/>
    </cacheField>
    <cacheField name="Column3977" numFmtId="0">
      <sharedItems containsNonDate="0" containsString="0" containsBlank="1"/>
    </cacheField>
    <cacheField name="Column3978" numFmtId="0">
      <sharedItems containsNonDate="0" containsString="0" containsBlank="1"/>
    </cacheField>
    <cacheField name="Column3979" numFmtId="0">
      <sharedItems containsNonDate="0" containsString="0" containsBlank="1"/>
    </cacheField>
    <cacheField name="Column3980" numFmtId="0">
      <sharedItems containsNonDate="0" containsString="0" containsBlank="1"/>
    </cacheField>
    <cacheField name="Column3981" numFmtId="0">
      <sharedItems containsNonDate="0" containsString="0" containsBlank="1"/>
    </cacheField>
    <cacheField name="Column3982" numFmtId="0">
      <sharedItems containsNonDate="0" containsString="0" containsBlank="1"/>
    </cacheField>
    <cacheField name="Column3983" numFmtId="0">
      <sharedItems containsNonDate="0" containsString="0" containsBlank="1"/>
    </cacheField>
    <cacheField name="Column3984" numFmtId="0">
      <sharedItems containsNonDate="0" containsString="0" containsBlank="1"/>
    </cacheField>
    <cacheField name="Column3985" numFmtId="0">
      <sharedItems containsNonDate="0" containsString="0" containsBlank="1"/>
    </cacheField>
    <cacheField name="Column3986" numFmtId="0">
      <sharedItems containsNonDate="0" containsString="0" containsBlank="1"/>
    </cacheField>
    <cacheField name="Column3987" numFmtId="0">
      <sharedItems containsNonDate="0" containsString="0" containsBlank="1"/>
    </cacheField>
    <cacheField name="Column3988" numFmtId="0">
      <sharedItems containsNonDate="0" containsString="0" containsBlank="1"/>
    </cacheField>
    <cacheField name="Column3989" numFmtId="0">
      <sharedItems containsNonDate="0" containsString="0" containsBlank="1"/>
    </cacheField>
    <cacheField name="Column3990" numFmtId="0">
      <sharedItems containsNonDate="0" containsString="0" containsBlank="1"/>
    </cacheField>
    <cacheField name="Column3991" numFmtId="0">
      <sharedItems containsNonDate="0" containsString="0" containsBlank="1"/>
    </cacheField>
    <cacheField name="Column3992" numFmtId="0">
      <sharedItems containsNonDate="0" containsString="0" containsBlank="1"/>
    </cacheField>
    <cacheField name="Column3993" numFmtId="0">
      <sharedItems containsNonDate="0" containsString="0" containsBlank="1"/>
    </cacheField>
    <cacheField name="Column3994" numFmtId="0">
      <sharedItems containsNonDate="0" containsString="0" containsBlank="1"/>
    </cacheField>
    <cacheField name="Column3995" numFmtId="0">
      <sharedItems containsNonDate="0" containsString="0" containsBlank="1"/>
    </cacheField>
    <cacheField name="Column3996" numFmtId="0">
      <sharedItems containsNonDate="0" containsString="0" containsBlank="1"/>
    </cacheField>
    <cacheField name="Column3997" numFmtId="0">
      <sharedItems containsNonDate="0" containsString="0" containsBlank="1"/>
    </cacheField>
    <cacheField name="Column3998" numFmtId="0">
      <sharedItems containsNonDate="0" containsString="0" containsBlank="1"/>
    </cacheField>
    <cacheField name="Column3999" numFmtId="0">
      <sharedItems containsNonDate="0" containsString="0" containsBlank="1"/>
    </cacheField>
    <cacheField name="Column4000" numFmtId="0">
      <sharedItems containsNonDate="0" containsString="0" containsBlank="1"/>
    </cacheField>
    <cacheField name="Column4001" numFmtId="0">
      <sharedItems containsNonDate="0" containsString="0" containsBlank="1"/>
    </cacheField>
    <cacheField name="Column4002" numFmtId="0">
      <sharedItems containsNonDate="0" containsString="0" containsBlank="1"/>
    </cacheField>
    <cacheField name="Column4003" numFmtId="0">
      <sharedItems containsNonDate="0" containsString="0" containsBlank="1"/>
    </cacheField>
    <cacheField name="Column4004" numFmtId="0">
      <sharedItems containsNonDate="0" containsString="0" containsBlank="1"/>
    </cacheField>
    <cacheField name="Column4005" numFmtId="0">
      <sharedItems containsNonDate="0" containsString="0" containsBlank="1"/>
    </cacheField>
    <cacheField name="Column4006" numFmtId="0">
      <sharedItems containsNonDate="0" containsString="0" containsBlank="1"/>
    </cacheField>
    <cacheField name="Column4007" numFmtId="0">
      <sharedItems containsNonDate="0" containsString="0" containsBlank="1"/>
    </cacheField>
    <cacheField name="Column4008" numFmtId="0">
      <sharedItems containsNonDate="0" containsString="0" containsBlank="1"/>
    </cacheField>
    <cacheField name="Column4009" numFmtId="0">
      <sharedItems containsNonDate="0" containsString="0" containsBlank="1"/>
    </cacheField>
    <cacheField name="Column4010" numFmtId="0">
      <sharedItems containsNonDate="0" containsString="0" containsBlank="1"/>
    </cacheField>
    <cacheField name="Column4011" numFmtId="0">
      <sharedItems containsNonDate="0" containsString="0" containsBlank="1"/>
    </cacheField>
    <cacheField name="Column4012" numFmtId="0">
      <sharedItems containsNonDate="0" containsString="0" containsBlank="1"/>
    </cacheField>
    <cacheField name="Column4013" numFmtId="0">
      <sharedItems containsNonDate="0" containsString="0" containsBlank="1"/>
    </cacheField>
    <cacheField name="Column4014" numFmtId="0">
      <sharedItems containsNonDate="0" containsString="0" containsBlank="1"/>
    </cacheField>
    <cacheField name="Column4015" numFmtId="0">
      <sharedItems containsNonDate="0" containsString="0" containsBlank="1"/>
    </cacheField>
    <cacheField name="Column4016" numFmtId="0">
      <sharedItems containsNonDate="0" containsString="0" containsBlank="1"/>
    </cacheField>
    <cacheField name="Column4017" numFmtId="0">
      <sharedItems containsNonDate="0" containsString="0" containsBlank="1"/>
    </cacheField>
    <cacheField name="Column4018" numFmtId="0">
      <sharedItems containsNonDate="0" containsString="0" containsBlank="1"/>
    </cacheField>
    <cacheField name="Column4019" numFmtId="0">
      <sharedItems containsNonDate="0" containsString="0" containsBlank="1"/>
    </cacheField>
    <cacheField name="Column4020" numFmtId="0">
      <sharedItems containsNonDate="0" containsString="0" containsBlank="1"/>
    </cacheField>
    <cacheField name="Column4021" numFmtId="0">
      <sharedItems containsNonDate="0" containsString="0" containsBlank="1"/>
    </cacheField>
    <cacheField name="Column4022" numFmtId="0">
      <sharedItems containsNonDate="0" containsString="0" containsBlank="1"/>
    </cacheField>
    <cacheField name="Column4023" numFmtId="0">
      <sharedItems containsNonDate="0" containsString="0" containsBlank="1"/>
    </cacheField>
    <cacheField name="Column4024" numFmtId="0">
      <sharedItems containsNonDate="0" containsString="0" containsBlank="1"/>
    </cacheField>
    <cacheField name="Column4025" numFmtId="0">
      <sharedItems containsNonDate="0" containsString="0" containsBlank="1"/>
    </cacheField>
    <cacheField name="Column4026" numFmtId="0">
      <sharedItems containsNonDate="0" containsString="0" containsBlank="1"/>
    </cacheField>
    <cacheField name="Column4027" numFmtId="0">
      <sharedItems containsNonDate="0" containsString="0" containsBlank="1"/>
    </cacheField>
    <cacheField name="Column4028" numFmtId="0">
      <sharedItems containsNonDate="0" containsString="0" containsBlank="1"/>
    </cacheField>
    <cacheField name="Column4029" numFmtId="0">
      <sharedItems containsNonDate="0" containsString="0" containsBlank="1"/>
    </cacheField>
    <cacheField name="Column4030" numFmtId="0">
      <sharedItems containsNonDate="0" containsString="0" containsBlank="1"/>
    </cacheField>
    <cacheField name="Column4031" numFmtId="0">
      <sharedItems containsNonDate="0" containsString="0" containsBlank="1"/>
    </cacheField>
    <cacheField name="Column4032" numFmtId="0">
      <sharedItems containsNonDate="0" containsString="0" containsBlank="1"/>
    </cacheField>
    <cacheField name="Column4033" numFmtId="0">
      <sharedItems containsNonDate="0" containsString="0" containsBlank="1"/>
    </cacheField>
    <cacheField name="Column4034" numFmtId="0">
      <sharedItems containsNonDate="0" containsString="0" containsBlank="1"/>
    </cacheField>
    <cacheField name="Column4035" numFmtId="0">
      <sharedItems containsNonDate="0" containsString="0" containsBlank="1"/>
    </cacheField>
    <cacheField name="Column4036" numFmtId="0">
      <sharedItems containsNonDate="0" containsString="0" containsBlank="1"/>
    </cacheField>
    <cacheField name="Column4037" numFmtId="0">
      <sharedItems containsNonDate="0" containsString="0" containsBlank="1"/>
    </cacheField>
    <cacheField name="Column4038" numFmtId="0">
      <sharedItems containsNonDate="0" containsString="0" containsBlank="1"/>
    </cacheField>
    <cacheField name="Column4039" numFmtId="0">
      <sharedItems containsNonDate="0" containsString="0" containsBlank="1"/>
    </cacheField>
    <cacheField name="Column4040" numFmtId="0">
      <sharedItems containsNonDate="0" containsString="0" containsBlank="1"/>
    </cacheField>
    <cacheField name="Column4041" numFmtId="0">
      <sharedItems containsNonDate="0" containsString="0" containsBlank="1"/>
    </cacheField>
    <cacheField name="Column4042" numFmtId="0">
      <sharedItems containsNonDate="0" containsString="0" containsBlank="1"/>
    </cacheField>
    <cacheField name="Column4043" numFmtId="0">
      <sharedItems containsNonDate="0" containsString="0" containsBlank="1"/>
    </cacheField>
    <cacheField name="Column4044" numFmtId="0">
      <sharedItems containsNonDate="0" containsString="0" containsBlank="1"/>
    </cacheField>
    <cacheField name="Column4045" numFmtId="0">
      <sharedItems containsNonDate="0" containsString="0" containsBlank="1"/>
    </cacheField>
    <cacheField name="Column4046" numFmtId="0">
      <sharedItems containsNonDate="0" containsString="0" containsBlank="1"/>
    </cacheField>
    <cacheField name="Column4047" numFmtId="0">
      <sharedItems containsNonDate="0" containsString="0" containsBlank="1"/>
    </cacheField>
    <cacheField name="Column4048" numFmtId="0">
      <sharedItems containsNonDate="0" containsString="0" containsBlank="1"/>
    </cacheField>
    <cacheField name="Column4049" numFmtId="0">
      <sharedItems containsNonDate="0" containsString="0" containsBlank="1"/>
    </cacheField>
    <cacheField name="Column4050" numFmtId="0">
      <sharedItems containsNonDate="0" containsString="0" containsBlank="1"/>
    </cacheField>
    <cacheField name="Column4051" numFmtId="0">
      <sharedItems containsNonDate="0" containsString="0" containsBlank="1"/>
    </cacheField>
    <cacheField name="Column4052" numFmtId="0">
      <sharedItems containsNonDate="0" containsString="0" containsBlank="1"/>
    </cacheField>
    <cacheField name="Column4053" numFmtId="0">
      <sharedItems containsNonDate="0" containsString="0" containsBlank="1"/>
    </cacheField>
    <cacheField name="Column4054" numFmtId="0">
      <sharedItems containsNonDate="0" containsString="0" containsBlank="1"/>
    </cacheField>
    <cacheField name="Column4055" numFmtId="0">
      <sharedItems containsNonDate="0" containsString="0" containsBlank="1"/>
    </cacheField>
    <cacheField name="Column4056" numFmtId="0">
      <sharedItems containsNonDate="0" containsString="0" containsBlank="1"/>
    </cacheField>
    <cacheField name="Column4057" numFmtId="0">
      <sharedItems containsNonDate="0" containsString="0" containsBlank="1"/>
    </cacheField>
    <cacheField name="Column4058" numFmtId="0">
      <sharedItems containsNonDate="0" containsString="0" containsBlank="1"/>
    </cacheField>
    <cacheField name="Column4059" numFmtId="0">
      <sharedItems containsNonDate="0" containsString="0" containsBlank="1"/>
    </cacheField>
    <cacheField name="Column4060" numFmtId="0">
      <sharedItems containsNonDate="0" containsString="0" containsBlank="1"/>
    </cacheField>
    <cacheField name="Column4061" numFmtId="0">
      <sharedItems containsNonDate="0" containsString="0" containsBlank="1"/>
    </cacheField>
    <cacheField name="Column4062" numFmtId="0">
      <sharedItems containsNonDate="0" containsString="0" containsBlank="1"/>
    </cacheField>
    <cacheField name="Column4063" numFmtId="0">
      <sharedItems containsNonDate="0" containsString="0" containsBlank="1"/>
    </cacheField>
    <cacheField name="Column4064" numFmtId="0">
      <sharedItems containsNonDate="0" containsString="0" containsBlank="1"/>
    </cacheField>
    <cacheField name="Column4065" numFmtId="0">
      <sharedItems containsNonDate="0" containsString="0" containsBlank="1"/>
    </cacheField>
    <cacheField name="Column4066" numFmtId="0">
      <sharedItems containsNonDate="0" containsString="0" containsBlank="1"/>
    </cacheField>
    <cacheField name="Column4067" numFmtId="0">
      <sharedItems containsNonDate="0" containsString="0" containsBlank="1"/>
    </cacheField>
    <cacheField name="Column4068" numFmtId="0">
      <sharedItems containsNonDate="0" containsString="0" containsBlank="1"/>
    </cacheField>
    <cacheField name="Column4069" numFmtId="0">
      <sharedItems containsNonDate="0" containsString="0" containsBlank="1"/>
    </cacheField>
    <cacheField name="Column4070" numFmtId="0">
      <sharedItems containsNonDate="0" containsString="0" containsBlank="1"/>
    </cacheField>
    <cacheField name="Column4071" numFmtId="0">
      <sharedItems containsNonDate="0" containsString="0" containsBlank="1"/>
    </cacheField>
    <cacheField name="Column4072" numFmtId="0">
      <sharedItems containsNonDate="0" containsString="0" containsBlank="1"/>
    </cacheField>
    <cacheField name="Column4073" numFmtId="0">
      <sharedItems containsNonDate="0" containsString="0" containsBlank="1"/>
    </cacheField>
    <cacheField name="Column4074" numFmtId="0">
      <sharedItems containsNonDate="0" containsString="0" containsBlank="1"/>
    </cacheField>
    <cacheField name="Column4075" numFmtId="0">
      <sharedItems containsNonDate="0" containsString="0" containsBlank="1"/>
    </cacheField>
    <cacheField name="Column4076" numFmtId="0">
      <sharedItems containsNonDate="0" containsString="0" containsBlank="1"/>
    </cacheField>
    <cacheField name="Column4077" numFmtId="0">
      <sharedItems containsNonDate="0" containsString="0" containsBlank="1"/>
    </cacheField>
    <cacheField name="Column4078" numFmtId="0">
      <sharedItems containsNonDate="0" containsString="0" containsBlank="1"/>
    </cacheField>
    <cacheField name="Column4079" numFmtId="0">
      <sharedItems containsNonDate="0" containsString="0" containsBlank="1"/>
    </cacheField>
    <cacheField name="Column4080" numFmtId="0">
      <sharedItems containsNonDate="0" containsString="0" containsBlank="1"/>
    </cacheField>
    <cacheField name="Column4081" numFmtId="0">
      <sharedItems containsNonDate="0" containsString="0" containsBlank="1"/>
    </cacheField>
    <cacheField name="Column4082" numFmtId="0">
      <sharedItems containsNonDate="0" containsString="0" containsBlank="1"/>
    </cacheField>
    <cacheField name="Column4083" numFmtId="0">
      <sharedItems containsNonDate="0" containsString="0" containsBlank="1"/>
    </cacheField>
    <cacheField name="Column4084" numFmtId="0">
      <sharedItems containsNonDate="0" containsString="0" containsBlank="1"/>
    </cacheField>
    <cacheField name="Column4085" numFmtId="0">
      <sharedItems containsNonDate="0" containsString="0" containsBlank="1"/>
    </cacheField>
    <cacheField name="Column4086" numFmtId="0">
      <sharedItems containsNonDate="0" containsString="0" containsBlank="1"/>
    </cacheField>
    <cacheField name="Column4087" numFmtId="0">
      <sharedItems containsNonDate="0" containsString="0" containsBlank="1"/>
    </cacheField>
    <cacheField name="Column4088" numFmtId="0">
      <sharedItems containsNonDate="0" containsString="0" containsBlank="1"/>
    </cacheField>
    <cacheField name="Column4089" numFmtId="0">
      <sharedItems containsNonDate="0" containsString="0" containsBlank="1"/>
    </cacheField>
    <cacheField name="Column4090" numFmtId="0">
      <sharedItems containsNonDate="0" containsString="0" containsBlank="1"/>
    </cacheField>
    <cacheField name="Column4091" numFmtId="0">
      <sharedItems containsNonDate="0" containsString="0" containsBlank="1"/>
    </cacheField>
    <cacheField name="Column4092" numFmtId="0">
      <sharedItems containsNonDate="0" containsString="0" containsBlank="1"/>
    </cacheField>
    <cacheField name="Column4093" numFmtId="0">
      <sharedItems containsNonDate="0" containsString="0" containsBlank="1"/>
    </cacheField>
    <cacheField name="Column4094" numFmtId="0">
      <sharedItems containsNonDate="0" containsString="0" containsBlank="1"/>
    </cacheField>
    <cacheField name="Column4095" numFmtId="0">
      <sharedItems containsNonDate="0" containsString="0" containsBlank="1"/>
    </cacheField>
    <cacheField name="Column4096" numFmtId="0">
      <sharedItems containsNonDate="0" containsString="0" containsBlank="1"/>
    </cacheField>
    <cacheField name="Column4097" numFmtId="0">
      <sharedItems containsNonDate="0" containsString="0" containsBlank="1"/>
    </cacheField>
    <cacheField name="Column4098" numFmtId="0">
      <sharedItems containsNonDate="0" containsString="0" containsBlank="1"/>
    </cacheField>
    <cacheField name="Column4099" numFmtId="0">
      <sharedItems containsNonDate="0" containsString="0" containsBlank="1"/>
    </cacheField>
    <cacheField name="Column4100" numFmtId="0">
      <sharedItems containsNonDate="0" containsString="0" containsBlank="1"/>
    </cacheField>
    <cacheField name="Column4101" numFmtId="0">
      <sharedItems containsNonDate="0" containsString="0" containsBlank="1"/>
    </cacheField>
    <cacheField name="Column4102" numFmtId="0">
      <sharedItems containsNonDate="0" containsString="0" containsBlank="1"/>
    </cacheField>
    <cacheField name="Column4103" numFmtId="0">
      <sharedItems containsNonDate="0" containsString="0" containsBlank="1"/>
    </cacheField>
    <cacheField name="Column4104" numFmtId="0">
      <sharedItems containsNonDate="0" containsString="0" containsBlank="1"/>
    </cacheField>
    <cacheField name="Column4105" numFmtId="0">
      <sharedItems containsNonDate="0" containsString="0" containsBlank="1"/>
    </cacheField>
    <cacheField name="Column4106" numFmtId="0">
      <sharedItems containsNonDate="0" containsString="0" containsBlank="1"/>
    </cacheField>
    <cacheField name="Column4107" numFmtId="0">
      <sharedItems containsNonDate="0" containsString="0" containsBlank="1"/>
    </cacheField>
    <cacheField name="Column4108" numFmtId="0">
      <sharedItems containsNonDate="0" containsString="0" containsBlank="1"/>
    </cacheField>
    <cacheField name="Column4109" numFmtId="0">
      <sharedItems containsNonDate="0" containsString="0" containsBlank="1"/>
    </cacheField>
    <cacheField name="Column4110" numFmtId="0">
      <sharedItems containsNonDate="0" containsString="0" containsBlank="1"/>
    </cacheField>
    <cacheField name="Column4111" numFmtId="0">
      <sharedItems containsNonDate="0" containsString="0" containsBlank="1"/>
    </cacheField>
    <cacheField name="Column4112" numFmtId="0">
      <sharedItems containsNonDate="0" containsString="0" containsBlank="1"/>
    </cacheField>
    <cacheField name="Column4113" numFmtId="0">
      <sharedItems containsNonDate="0" containsString="0" containsBlank="1"/>
    </cacheField>
    <cacheField name="Column4114" numFmtId="0">
      <sharedItems containsNonDate="0" containsString="0" containsBlank="1"/>
    </cacheField>
    <cacheField name="Column4115" numFmtId="0">
      <sharedItems containsNonDate="0" containsString="0" containsBlank="1"/>
    </cacheField>
    <cacheField name="Column4116" numFmtId="0">
      <sharedItems containsNonDate="0" containsString="0" containsBlank="1"/>
    </cacheField>
    <cacheField name="Column4117" numFmtId="0">
      <sharedItems containsNonDate="0" containsString="0" containsBlank="1"/>
    </cacheField>
    <cacheField name="Column4118" numFmtId="0">
      <sharedItems containsNonDate="0" containsString="0" containsBlank="1"/>
    </cacheField>
    <cacheField name="Column4119" numFmtId="0">
      <sharedItems containsNonDate="0" containsString="0" containsBlank="1"/>
    </cacheField>
    <cacheField name="Column4120" numFmtId="0">
      <sharedItems containsNonDate="0" containsString="0" containsBlank="1"/>
    </cacheField>
    <cacheField name="Column4121" numFmtId="0">
      <sharedItems containsNonDate="0" containsString="0" containsBlank="1"/>
    </cacheField>
    <cacheField name="Column4122" numFmtId="0">
      <sharedItems containsNonDate="0" containsString="0" containsBlank="1"/>
    </cacheField>
    <cacheField name="Column4123" numFmtId="0">
      <sharedItems containsNonDate="0" containsString="0" containsBlank="1"/>
    </cacheField>
    <cacheField name="Column4124" numFmtId="0">
      <sharedItems containsNonDate="0" containsString="0" containsBlank="1"/>
    </cacheField>
    <cacheField name="Column4125" numFmtId="0">
      <sharedItems containsNonDate="0" containsString="0" containsBlank="1"/>
    </cacheField>
    <cacheField name="Column4126" numFmtId="0">
      <sharedItems containsNonDate="0" containsString="0" containsBlank="1"/>
    </cacheField>
    <cacheField name="Column4127" numFmtId="0">
      <sharedItems containsNonDate="0" containsString="0" containsBlank="1"/>
    </cacheField>
    <cacheField name="Column4128" numFmtId="0">
      <sharedItems containsNonDate="0" containsString="0" containsBlank="1"/>
    </cacheField>
    <cacheField name="Column4129" numFmtId="0">
      <sharedItems containsNonDate="0" containsString="0" containsBlank="1"/>
    </cacheField>
    <cacheField name="Column4130" numFmtId="0">
      <sharedItems containsNonDate="0" containsString="0" containsBlank="1"/>
    </cacheField>
    <cacheField name="Column4131" numFmtId="0">
      <sharedItems containsNonDate="0" containsString="0" containsBlank="1"/>
    </cacheField>
    <cacheField name="Column4132" numFmtId="0">
      <sharedItems containsNonDate="0" containsString="0" containsBlank="1"/>
    </cacheField>
    <cacheField name="Column4133" numFmtId="0">
      <sharedItems containsNonDate="0" containsString="0" containsBlank="1"/>
    </cacheField>
    <cacheField name="Column4134" numFmtId="0">
      <sharedItems containsNonDate="0" containsString="0" containsBlank="1"/>
    </cacheField>
    <cacheField name="Column4135" numFmtId="0">
      <sharedItems containsNonDate="0" containsString="0" containsBlank="1"/>
    </cacheField>
    <cacheField name="Column4136" numFmtId="0">
      <sharedItems containsNonDate="0" containsString="0" containsBlank="1"/>
    </cacheField>
    <cacheField name="Column4137" numFmtId="0">
      <sharedItems containsNonDate="0" containsString="0" containsBlank="1"/>
    </cacheField>
    <cacheField name="Column4138" numFmtId="0">
      <sharedItems containsNonDate="0" containsString="0" containsBlank="1"/>
    </cacheField>
    <cacheField name="Column4139" numFmtId="0">
      <sharedItems containsNonDate="0" containsString="0" containsBlank="1"/>
    </cacheField>
    <cacheField name="Column4140" numFmtId="0">
      <sharedItems containsNonDate="0" containsString="0" containsBlank="1"/>
    </cacheField>
    <cacheField name="Column4141" numFmtId="0">
      <sharedItems containsNonDate="0" containsString="0" containsBlank="1"/>
    </cacheField>
    <cacheField name="Column4142" numFmtId="0">
      <sharedItems containsNonDate="0" containsString="0" containsBlank="1"/>
    </cacheField>
    <cacheField name="Column4143" numFmtId="0">
      <sharedItems containsNonDate="0" containsString="0" containsBlank="1"/>
    </cacheField>
    <cacheField name="Column4144" numFmtId="0">
      <sharedItems containsNonDate="0" containsString="0" containsBlank="1"/>
    </cacheField>
    <cacheField name="Column4145" numFmtId="0">
      <sharedItems containsNonDate="0" containsString="0" containsBlank="1"/>
    </cacheField>
    <cacheField name="Column4146" numFmtId="0">
      <sharedItems containsNonDate="0" containsString="0" containsBlank="1"/>
    </cacheField>
    <cacheField name="Column4147" numFmtId="0">
      <sharedItems containsNonDate="0" containsString="0" containsBlank="1"/>
    </cacheField>
    <cacheField name="Column4148" numFmtId="0">
      <sharedItems containsNonDate="0" containsString="0" containsBlank="1"/>
    </cacheField>
    <cacheField name="Column4149" numFmtId="0">
      <sharedItems containsNonDate="0" containsString="0" containsBlank="1"/>
    </cacheField>
    <cacheField name="Column4150" numFmtId="0">
      <sharedItems containsNonDate="0" containsString="0" containsBlank="1"/>
    </cacheField>
    <cacheField name="Column4151" numFmtId="0">
      <sharedItems containsNonDate="0" containsString="0" containsBlank="1"/>
    </cacheField>
    <cacheField name="Column4152" numFmtId="0">
      <sharedItems containsNonDate="0" containsString="0" containsBlank="1"/>
    </cacheField>
    <cacheField name="Column4153" numFmtId="0">
      <sharedItems containsNonDate="0" containsString="0" containsBlank="1"/>
    </cacheField>
    <cacheField name="Column4154" numFmtId="0">
      <sharedItems containsNonDate="0" containsString="0" containsBlank="1"/>
    </cacheField>
    <cacheField name="Column4155" numFmtId="0">
      <sharedItems containsNonDate="0" containsString="0" containsBlank="1"/>
    </cacheField>
    <cacheField name="Column4156" numFmtId="0">
      <sharedItems containsNonDate="0" containsString="0" containsBlank="1"/>
    </cacheField>
    <cacheField name="Column4157" numFmtId="0">
      <sharedItems containsNonDate="0" containsString="0" containsBlank="1"/>
    </cacheField>
    <cacheField name="Column4158" numFmtId="0">
      <sharedItems containsNonDate="0" containsString="0" containsBlank="1"/>
    </cacheField>
    <cacheField name="Column4159" numFmtId="0">
      <sharedItems containsNonDate="0" containsString="0" containsBlank="1"/>
    </cacheField>
    <cacheField name="Column4160" numFmtId="0">
      <sharedItems containsNonDate="0" containsString="0" containsBlank="1"/>
    </cacheField>
    <cacheField name="Column4161" numFmtId="0">
      <sharedItems containsNonDate="0" containsString="0" containsBlank="1"/>
    </cacheField>
    <cacheField name="Column4162" numFmtId="0">
      <sharedItems containsNonDate="0" containsString="0" containsBlank="1"/>
    </cacheField>
    <cacheField name="Column4163" numFmtId="0">
      <sharedItems containsNonDate="0" containsString="0" containsBlank="1"/>
    </cacheField>
    <cacheField name="Column4164" numFmtId="0">
      <sharedItems containsNonDate="0" containsString="0" containsBlank="1"/>
    </cacheField>
    <cacheField name="Column4165" numFmtId="0">
      <sharedItems containsNonDate="0" containsString="0" containsBlank="1"/>
    </cacheField>
    <cacheField name="Column4166" numFmtId="0">
      <sharedItems containsNonDate="0" containsString="0" containsBlank="1"/>
    </cacheField>
    <cacheField name="Column4167" numFmtId="0">
      <sharedItems containsNonDate="0" containsString="0" containsBlank="1"/>
    </cacheField>
    <cacheField name="Column4168" numFmtId="0">
      <sharedItems containsNonDate="0" containsString="0" containsBlank="1"/>
    </cacheField>
    <cacheField name="Column4169" numFmtId="0">
      <sharedItems containsNonDate="0" containsString="0" containsBlank="1"/>
    </cacheField>
    <cacheField name="Column4170" numFmtId="0">
      <sharedItems containsNonDate="0" containsString="0" containsBlank="1"/>
    </cacheField>
    <cacheField name="Column4171" numFmtId="0">
      <sharedItems containsNonDate="0" containsString="0" containsBlank="1"/>
    </cacheField>
    <cacheField name="Column4172" numFmtId="0">
      <sharedItems containsNonDate="0" containsString="0" containsBlank="1"/>
    </cacheField>
    <cacheField name="Column4173" numFmtId="0">
      <sharedItems containsNonDate="0" containsString="0" containsBlank="1"/>
    </cacheField>
    <cacheField name="Column4174" numFmtId="0">
      <sharedItems containsNonDate="0" containsString="0" containsBlank="1"/>
    </cacheField>
    <cacheField name="Column4175" numFmtId="0">
      <sharedItems containsNonDate="0" containsString="0" containsBlank="1"/>
    </cacheField>
    <cacheField name="Column4176" numFmtId="0">
      <sharedItems containsNonDate="0" containsString="0" containsBlank="1"/>
    </cacheField>
    <cacheField name="Column4177" numFmtId="0">
      <sharedItems containsNonDate="0" containsString="0" containsBlank="1"/>
    </cacheField>
    <cacheField name="Column4178" numFmtId="0">
      <sharedItems containsNonDate="0" containsString="0" containsBlank="1"/>
    </cacheField>
    <cacheField name="Column4179" numFmtId="0">
      <sharedItems containsNonDate="0" containsString="0" containsBlank="1"/>
    </cacheField>
    <cacheField name="Column4180" numFmtId="0">
      <sharedItems containsNonDate="0" containsString="0" containsBlank="1"/>
    </cacheField>
    <cacheField name="Column4181" numFmtId="0">
      <sharedItems containsNonDate="0" containsString="0" containsBlank="1"/>
    </cacheField>
    <cacheField name="Column4182" numFmtId="0">
      <sharedItems containsNonDate="0" containsString="0" containsBlank="1"/>
    </cacheField>
    <cacheField name="Column4183" numFmtId="0">
      <sharedItems containsNonDate="0" containsString="0" containsBlank="1"/>
    </cacheField>
    <cacheField name="Column4184" numFmtId="0">
      <sharedItems containsNonDate="0" containsString="0" containsBlank="1"/>
    </cacheField>
    <cacheField name="Column4185" numFmtId="0">
      <sharedItems containsNonDate="0" containsString="0" containsBlank="1"/>
    </cacheField>
    <cacheField name="Column4186" numFmtId="0">
      <sharedItems containsNonDate="0" containsString="0" containsBlank="1"/>
    </cacheField>
    <cacheField name="Column4187" numFmtId="0">
      <sharedItems containsNonDate="0" containsString="0" containsBlank="1"/>
    </cacheField>
    <cacheField name="Column4188" numFmtId="0">
      <sharedItems containsNonDate="0" containsString="0" containsBlank="1"/>
    </cacheField>
    <cacheField name="Column4189" numFmtId="0">
      <sharedItems containsNonDate="0" containsString="0" containsBlank="1"/>
    </cacheField>
    <cacheField name="Column4190" numFmtId="0">
      <sharedItems containsNonDate="0" containsString="0" containsBlank="1"/>
    </cacheField>
    <cacheField name="Column4191" numFmtId="0">
      <sharedItems containsNonDate="0" containsString="0" containsBlank="1"/>
    </cacheField>
    <cacheField name="Column4192" numFmtId="0">
      <sharedItems containsNonDate="0" containsString="0" containsBlank="1"/>
    </cacheField>
    <cacheField name="Column4193" numFmtId="0">
      <sharedItems containsNonDate="0" containsString="0" containsBlank="1"/>
    </cacheField>
    <cacheField name="Column4194" numFmtId="0">
      <sharedItems containsNonDate="0" containsString="0" containsBlank="1"/>
    </cacheField>
    <cacheField name="Column4195" numFmtId="0">
      <sharedItems containsNonDate="0" containsString="0" containsBlank="1"/>
    </cacheField>
    <cacheField name="Column4196" numFmtId="0">
      <sharedItems containsNonDate="0" containsString="0" containsBlank="1"/>
    </cacheField>
    <cacheField name="Column4197" numFmtId="0">
      <sharedItems containsNonDate="0" containsString="0" containsBlank="1"/>
    </cacheField>
    <cacheField name="Column4198" numFmtId="0">
      <sharedItems containsNonDate="0" containsString="0" containsBlank="1"/>
    </cacheField>
    <cacheField name="Column4199" numFmtId="0">
      <sharedItems containsNonDate="0" containsString="0" containsBlank="1"/>
    </cacheField>
    <cacheField name="Column4200" numFmtId="0">
      <sharedItems containsNonDate="0" containsString="0" containsBlank="1"/>
    </cacheField>
    <cacheField name="Column4201" numFmtId="0">
      <sharedItems containsNonDate="0" containsString="0" containsBlank="1"/>
    </cacheField>
    <cacheField name="Column4202" numFmtId="0">
      <sharedItems containsNonDate="0" containsString="0" containsBlank="1"/>
    </cacheField>
    <cacheField name="Column4203" numFmtId="0">
      <sharedItems containsNonDate="0" containsString="0" containsBlank="1"/>
    </cacheField>
    <cacheField name="Column4204" numFmtId="0">
      <sharedItems containsNonDate="0" containsString="0" containsBlank="1"/>
    </cacheField>
    <cacheField name="Column4205" numFmtId="0">
      <sharedItems containsNonDate="0" containsString="0" containsBlank="1"/>
    </cacheField>
    <cacheField name="Column4206" numFmtId="0">
      <sharedItems containsNonDate="0" containsString="0" containsBlank="1"/>
    </cacheField>
    <cacheField name="Column4207" numFmtId="0">
      <sharedItems containsNonDate="0" containsString="0" containsBlank="1"/>
    </cacheField>
    <cacheField name="Column4208" numFmtId="0">
      <sharedItems containsNonDate="0" containsString="0" containsBlank="1"/>
    </cacheField>
    <cacheField name="Column4209" numFmtId="0">
      <sharedItems containsNonDate="0" containsString="0" containsBlank="1"/>
    </cacheField>
    <cacheField name="Column4210" numFmtId="0">
      <sharedItems containsNonDate="0" containsString="0" containsBlank="1"/>
    </cacheField>
    <cacheField name="Column4211" numFmtId="0">
      <sharedItems containsNonDate="0" containsString="0" containsBlank="1"/>
    </cacheField>
    <cacheField name="Column4212" numFmtId="0">
      <sharedItems containsNonDate="0" containsString="0" containsBlank="1"/>
    </cacheField>
    <cacheField name="Column4213" numFmtId="0">
      <sharedItems containsNonDate="0" containsString="0" containsBlank="1"/>
    </cacheField>
    <cacheField name="Column4214" numFmtId="0">
      <sharedItems containsNonDate="0" containsString="0" containsBlank="1"/>
    </cacheField>
    <cacheField name="Column4215" numFmtId="0">
      <sharedItems containsNonDate="0" containsString="0" containsBlank="1"/>
    </cacheField>
    <cacheField name="Column4216" numFmtId="0">
      <sharedItems containsNonDate="0" containsString="0" containsBlank="1"/>
    </cacheField>
    <cacheField name="Column4217" numFmtId="0">
      <sharedItems containsNonDate="0" containsString="0" containsBlank="1"/>
    </cacheField>
    <cacheField name="Column4218" numFmtId="0">
      <sharedItems containsNonDate="0" containsString="0" containsBlank="1"/>
    </cacheField>
    <cacheField name="Column4219" numFmtId="0">
      <sharedItems containsNonDate="0" containsString="0" containsBlank="1"/>
    </cacheField>
    <cacheField name="Column4220" numFmtId="0">
      <sharedItems containsNonDate="0" containsString="0" containsBlank="1"/>
    </cacheField>
    <cacheField name="Column4221" numFmtId="0">
      <sharedItems containsNonDate="0" containsString="0" containsBlank="1"/>
    </cacheField>
    <cacheField name="Column4222" numFmtId="0">
      <sharedItems containsNonDate="0" containsString="0" containsBlank="1"/>
    </cacheField>
    <cacheField name="Column4223" numFmtId="0">
      <sharedItems containsNonDate="0" containsString="0" containsBlank="1"/>
    </cacheField>
    <cacheField name="Column4224" numFmtId="0">
      <sharedItems containsNonDate="0" containsString="0" containsBlank="1"/>
    </cacheField>
    <cacheField name="Column4225" numFmtId="0">
      <sharedItems containsNonDate="0" containsString="0" containsBlank="1"/>
    </cacheField>
    <cacheField name="Column4226" numFmtId="0">
      <sharedItems containsNonDate="0" containsString="0" containsBlank="1"/>
    </cacheField>
    <cacheField name="Column4227" numFmtId="0">
      <sharedItems containsNonDate="0" containsString="0" containsBlank="1"/>
    </cacheField>
    <cacheField name="Column4228" numFmtId="0">
      <sharedItems containsNonDate="0" containsString="0" containsBlank="1"/>
    </cacheField>
    <cacheField name="Column4229" numFmtId="0">
      <sharedItems containsNonDate="0" containsString="0" containsBlank="1"/>
    </cacheField>
    <cacheField name="Column4230" numFmtId="0">
      <sharedItems containsNonDate="0" containsString="0" containsBlank="1"/>
    </cacheField>
    <cacheField name="Column4231" numFmtId="0">
      <sharedItems containsNonDate="0" containsString="0" containsBlank="1"/>
    </cacheField>
    <cacheField name="Column4232" numFmtId="0">
      <sharedItems containsNonDate="0" containsString="0" containsBlank="1"/>
    </cacheField>
    <cacheField name="Column4233" numFmtId="0">
      <sharedItems containsNonDate="0" containsString="0" containsBlank="1"/>
    </cacheField>
    <cacheField name="Column4234" numFmtId="0">
      <sharedItems containsNonDate="0" containsString="0" containsBlank="1"/>
    </cacheField>
    <cacheField name="Column4235" numFmtId="0">
      <sharedItems containsNonDate="0" containsString="0" containsBlank="1"/>
    </cacheField>
    <cacheField name="Column4236" numFmtId="0">
      <sharedItems containsNonDate="0" containsString="0" containsBlank="1"/>
    </cacheField>
    <cacheField name="Column4237" numFmtId="0">
      <sharedItems containsNonDate="0" containsString="0" containsBlank="1"/>
    </cacheField>
    <cacheField name="Column4238" numFmtId="0">
      <sharedItems containsNonDate="0" containsString="0" containsBlank="1"/>
    </cacheField>
    <cacheField name="Column4239" numFmtId="0">
      <sharedItems containsNonDate="0" containsString="0" containsBlank="1"/>
    </cacheField>
    <cacheField name="Column4240" numFmtId="0">
      <sharedItems containsNonDate="0" containsString="0" containsBlank="1"/>
    </cacheField>
    <cacheField name="Column4241" numFmtId="0">
      <sharedItems containsNonDate="0" containsString="0" containsBlank="1"/>
    </cacheField>
    <cacheField name="Column4242" numFmtId="0">
      <sharedItems containsNonDate="0" containsString="0" containsBlank="1"/>
    </cacheField>
    <cacheField name="Column4243" numFmtId="0">
      <sharedItems containsNonDate="0" containsString="0" containsBlank="1"/>
    </cacheField>
    <cacheField name="Column4244" numFmtId="0">
      <sharedItems containsNonDate="0" containsString="0" containsBlank="1"/>
    </cacheField>
    <cacheField name="Column4245" numFmtId="0">
      <sharedItems containsNonDate="0" containsString="0" containsBlank="1"/>
    </cacheField>
    <cacheField name="Column4246" numFmtId="0">
      <sharedItems containsNonDate="0" containsString="0" containsBlank="1"/>
    </cacheField>
    <cacheField name="Column4247" numFmtId="0">
      <sharedItems containsNonDate="0" containsString="0" containsBlank="1"/>
    </cacheField>
    <cacheField name="Column4248" numFmtId="0">
      <sharedItems containsNonDate="0" containsString="0" containsBlank="1"/>
    </cacheField>
    <cacheField name="Column4249" numFmtId="0">
      <sharedItems containsNonDate="0" containsString="0" containsBlank="1"/>
    </cacheField>
    <cacheField name="Column4250" numFmtId="0">
      <sharedItems containsNonDate="0" containsString="0" containsBlank="1"/>
    </cacheField>
    <cacheField name="Column4251" numFmtId="0">
      <sharedItems containsNonDate="0" containsString="0" containsBlank="1"/>
    </cacheField>
    <cacheField name="Column4252" numFmtId="0">
      <sharedItems containsNonDate="0" containsString="0" containsBlank="1"/>
    </cacheField>
    <cacheField name="Column4253" numFmtId="0">
      <sharedItems containsNonDate="0" containsString="0" containsBlank="1"/>
    </cacheField>
    <cacheField name="Column4254" numFmtId="0">
      <sharedItems containsNonDate="0" containsString="0" containsBlank="1"/>
    </cacheField>
    <cacheField name="Column4255" numFmtId="0">
      <sharedItems containsNonDate="0" containsString="0" containsBlank="1"/>
    </cacheField>
    <cacheField name="Column4256" numFmtId="0">
      <sharedItems containsNonDate="0" containsString="0" containsBlank="1"/>
    </cacheField>
    <cacheField name="Column4257" numFmtId="0">
      <sharedItems containsNonDate="0" containsString="0" containsBlank="1"/>
    </cacheField>
    <cacheField name="Column4258" numFmtId="0">
      <sharedItems containsNonDate="0" containsString="0" containsBlank="1"/>
    </cacheField>
    <cacheField name="Column4259" numFmtId="0">
      <sharedItems containsNonDate="0" containsString="0" containsBlank="1"/>
    </cacheField>
    <cacheField name="Column4260" numFmtId="0">
      <sharedItems containsNonDate="0" containsString="0" containsBlank="1"/>
    </cacheField>
    <cacheField name="Column4261" numFmtId="0">
      <sharedItems containsNonDate="0" containsString="0" containsBlank="1"/>
    </cacheField>
    <cacheField name="Column4262" numFmtId="0">
      <sharedItems containsNonDate="0" containsString="0" containsBlank="1"/>
    </cacheField>
    <cacheField name="Column4263" numFmtId="0">
      <sharedItems containsNonDate="0" containsString="0" containsBlank="1"/>
    </cacheField>
    <cacheField name="Column4264" numFmtId="0">
      <sharedItems containsNonDate="0" containsString="0" containsBlank="1"/>
    </cacheField>
    <cacheField name="Column4265" numFmtId="0">
      <sharedItems containsNonDate="0" containsString="0" containsBlank="1"/>
    </cacheField>
    <cacheField name="Column4266" numFmtId="0">
      <sharedItems containsNonDate="0" containsString="0" containsBlank="1"/>
    </cacheField>
    <cacheField name="Column4267" numFmtId="0">
      <sharedItems containsNonDate="0" containsString="0" containsBlank="1"/>
    </cacheField>
    <cacheField name="Column4268" numFmtId="0">
      <sharedItems containsNonDate="0" containsString="0" containsBlank="1"/>
    </cacheField>
    <cacheField name="Column4269" numFmtId="0">
      <sharedItems containsNonDate="0" containsString="0" containsBlank="1"/>
    </cacheField>
    <cacheField name="Column4270" numFmtId="0">
      <sharedItems containsNonDate="0" containsString="0" containsBlank="1"/>
    </cacheField>
    <cacheField name="Column4271" numFmtId="0">
      <sharedItems containsNonDate="0" containsString="0" containsBlank="1"/>
    </cacheField>
    <cacheField name="Column4272" numFmtId="0">
      <sharedItems containsNonDate="0" containsString="0" containsBlank="1"/>
    </cacheField>
    <cacheField name="Column4273" numFmtId="0">
      <sharedItems containsNonDate="0" containsString="0" containsBlank="1"/>
    </cacheField>
    <cacheField name="Column4274" numFmtId="0">
      <sharedItems containsNonDate="0" containsString="0" containsBlank="1"/>
    </cacheField>
    <cacheField name="Column4275" numFmtId="0">
      <sharedItems containsNonDate="0" containsString="0" containsBlank="1"/>
    </cacheField>
    <cacheField name="Column4276" numFmtId="0">
      <sharedItems containsNonDate="0" containsString="0" containsBlank="1"/>
    </cacheField>
    <cacheField name="Column4277" numFmtId="0">
      <sharedItems containsNonDate="0" containsString="0" containsBlank="1"/>
    </cacheField>
    <cacheField name="Column4278" numFmtId="0">
      <sharedItems containsNonDate="0" containsString="0" containsBlank="1"/>
    </cacheField>
    <cacheField name="Column4279" numFmtId="0">
      <sharedItems containsNonDate="0" containsString="0" containsBlank="1"/>
    </cacheField>
    <cacheField name="Column4280" numFmtId="0">
      <sharedItems containsNonDate="0" containsString="0" containsBlank="1"/>
    </cacheField>
    <cacheField name="Column4281" numFmtId="0">
      <sharedItems containsNonDate="0" containsString="0" containsBlank="1"/>
    </cacheField>
    <cacheField name="Column4282" numFmtId="0">
      <sharedItems containsNonDate="0" containsString="0" containsBlank="1"/>
    </cacheField>
    <cacheField name="Column4283" numFmtId="0">
      <sharedItems containsNonDate="0" containsString="0" containsBlank="1"/>
    </cacheField>
    <cacheField name="Column4284" numFmtId="0">
      <sharedItems containsNonDate="0" containsString="0" containsBlank="1"/>
    </cacheField>
    <cacheField name="Column4285" numFmtId="0">
      <sharedItems containsNonDate="0" containsString="0" containsBlank="1"/>
    </cacheField>
    <cacheField name="Column4286" numFmtId="0">
      <sharedItems containsNonDate="0" containsString="0" containsBlank="1"/>
    </cacheField>
    <cacheField name="Column4287" numFmtId="0">
      <sharedItems containsNonDate="0" containsString="0" containsBlank="1"/>
    </cacheField>
    <cacheField name="Column4288" numFmtId="0">
      <sharedItems containsNonDate="0" containsString="0" containsBlank="1"/>
    </cacheField>
    <cacheField name="Column4289" numFmtId="0">
      <sharedItems containsNonDate="0" containsString="0" containsBlank="1"/>
    </cacheField>
    <cacheField name="Column4290" numFmtId="0">
      <sharedItems containsNonDate="0" containsString="0" containsBlank="1"/>
    </cacheField>
    <cacheField name="Column4291" numFmtId="0">
      <sharedItems containsNonDate="0" containsString="0" containsBlank="1"/>
    </cacheField>
    <cacheField name="Column4292" numFmtId="0">
      <sharedItems containsNonDate="0" containsString="0" containsBlank="1"/>
    </cacheField>
    <cacheField name="Column4293" numFmtId="0">
      <sharedItems containsNonDate="0" containsString="0" containsBlank="1"/>
    </cacheField>
    <cacheField name="Column4294" numFmtId="0">
      <sharedItems containsNonDate="0" containsString="0" containsBlank="1"/>
    </cacheField>
    <cacheField name="Column4295" numFmtId="0">
      <sharedItems containsNonDate="0" containsString="0" containsBlank="1"/>
    </cacheField>
    <cacheField name="Column4296" numFmtId="0">
      <sharedItems containsNonDate="0" containsString="0" containsBlank="1"/>
    </cacheField>
    <cacheField name="Column4297" numFmtId="0">
      <sharedItems containsNonDate="0" containsString="0" containsBlank="1"/>
    </cacheField>
    <cacheField name="Column4298" numFmtId="0">
      <sharedItems containsNonDate="0" containsString="0" containsBlank="1"/>
    </cacheField>
    <cacheField name="Column4299" numFmtId="0">
      <sharedItems containsNonDate="0" containsString="0" containsBlank="1"/>
    </cacheField>
    <cacheField name="Column4300" numFmtId="0">
      <sharedItems containsNonDate="0" containsString="0" containsBlank="1"/>
    </cacheField>
    <cacheField name="Column4301" numFmtId="0">
      <sharedItems containsNonDate="0" containsString="0" containsBlank="1"/>
    </cacheField>
    <cacheField name="Column4302" numFmtId="0">
      <sharedItems containsNonDate="0" containsString="0" containsBlank="1"/>
    </cacheField>
    <cacheField name="Column4303" numFmtId="0">
      <sharedItems containsNonDate="0" containsString="0" containsBlank="1"/>
    </cacheField>
    <cacheField name="Column4304" numFmtId="0">
      <sharedItems containsNonDate="0" containsString="0" containsBlank="1"/>
    </cacheField>
    <cacheField name="Column4305" numFmtId="0">
      <sharedItems containsNonDate="0" containsString="0" containsBlank="1"/>
    </cacheField>
    <cacheField name="Column4306" numFmtId="0">
      <sharedItems containsNonDate="0" containsString="0" containsBlank="1"/>
    </cacheField>
    <cacheField name="Column4307" numFmtId="0">
      <sharedItems containsNonDate="0" containsString="0" containsBlank="1"/>
    </cacheField>
    <cacheField name="Column4308" numFmtId="0">
      <sharedItems containsNonDate="0" containsString="0" containsBlank="1"/>
    </cacheField>
    <cacheField name="Column4309" numFmtId="0">
      <sharedItems containsNonDate="0" containsString="0" containsBlank="1"/>
    </cacheField>
    <cacheField name="Column4310" numFmtId="0">
      <sharedItems containsNonDate="0" containsString="0" containsBlank="1"/>
    </cacheField>
    <cacheField name="Column4311" numFmtId="0">
      <sharedItems containsNonDate="0" containsString="0" containsBlank="1"/>
    </cacheField>
    <cacheField name="Column4312" numFmtId="0">
      <sharedItems containsNonDate="0" containsString="0" containsBlank="1"/>
    </cacheField>
    <cacheField name="Column4313" numFmtId="0">
      <sharedItems containsNonDate="0" containsString="0" containsBlank="1"/>
    </cacheField>
    <cacheField name="Column4314" numFmtId="0">
      <sharedItems containsNonDate="0" containsString="0" containsBlank="1"/>
    </cacheField>
    <cacheField name="Column4315" numFmtId="0">
      <sharedItems containsNonDate="0" containsString="0" containsBlank="1"/>
    </cacheField>
    <cacheField name="Column4316" numFmtId="0">
      <sharedItems containsNonDate="0" containsString="0" containsBlank="1"/>
    </cacheField>
    <cacheField name="Column4317" numFmtId="0">
      <sharedItems containsNonDate="0" containsString="0" containsBlank="1"/>
    </cacheField>
    <cacheField name="Column4318" numFmtId="0">
      <sharedItems containsNonDate="0" containsString="0" containsBlank="1"/>
    </cacheField>
    <cacheField name="Column4319" numFmtId="0">
      <sharedItems containsNonDate="0" containsString="0" containsBlank="1"/>
    </cacheField>
    <cacheField name="Column4320" numFmtId="0">
      <sharedItems containsNonDate="0" containsString="0" containsBlank="1"/>
    </cacheField>
    <cacheField name="Column4321" numFmtId="0">
      <sharedItems containsNonDate="0" containsString="0" containsBlank="1"/>
    </cacheField>
    <cacheField name="Column4322" numFmtId="0">
      <sharedItems containsNonDate="0" containsString="0" containsBlank="1"/>
    </cacheField>
    <cacheField name="Column4323" numFmtId="0">
      <sharedItems containsNonDate="0" containsString="0" containsBlank="1"/>
    </cacheField>
    <cacheField name="Column4324" numFmtId="0">
      <sharedItems containsNonDate="0" containsString="0" containsBlank="1"/>
    </cacheField>
    <cacheField name="Column4325" numFmtId="0">
      <sharedItems containsNonDate="0" containsString="0" containsBlank="1"/>
    </cacheField>
    <cacheField name="Column4326" numFmtId="0">
      <sharedItems containsNonDate="0" containsString="0" containsBlank="1"/>
    </cacheField>
    <cacheField name="Column4327" numFmtId="0">
      <sharedItems containsNonDate="0" containsString="0" containsBlank="1"/>
    </cacheField>
    <cacheField name="Column4328" numFmtId="0">
      <sharedItems containsNonDate="0" containsString="0" containsBlank="1"/>
    </cacheField>
    <cacheField name="Column4329" numFmtId="0">
      <sharedItems containsNonDate="0" containsString="0" containsBlank="1"/>
    </cacheField>
    <cacheField name="Column4330" numFmtId="0">
      <sharedItems containsNonDate="0" containsString="0" containsBlank="1"/>
    </cacheField>
    <cacheField name="Column4331" numFmtId="0">
      <sharedItems containsNonDate="0" containsString="0" containsBlank="1"/>
    </cacheField>
    <cacheField name="Column4332" numFmtId="0">
      <sharedItems containsNonDate="0" containsString="0" containsBlank="1"/>
    </cacheField>
    <cacheField name="Column4333" numFmtId="0">
      <sharedItems containsNonDate="0" containsString="0" containsBlank="1"/>
    </cacheField>
    <cacheField name="Column4334" numFmtId="0">
      <sharedItems containsNonDate="0" containsString="0" containsBlank="1"/>
    </cacheField>
    <cacheField name="Column4335" numFmtId="0">
      <sharedItems containsNonDate="0" containsString="0" containsBlank="1"/>
    </cacheField>
    <cacheField name="Column4336" numFmtId="0">
      <sharedItems containsNonDate="0" containsString="0" containsBlank="1"/>
    </cacheField>
    <cacheField name="Column4337" numFmtId="0">
      <sharedItems containsNonDate="0" containsString="0" containsBlank="1"/>
    </cacheField>
    <cacheField name="Column4338" numFmtId="0">
      <sharedItems containsNonDate="0" containsString="0" containsBlank="1"/>
    </cacheField>
    <cacheField name="Column4339" numFmtId="0">
      <sharedItems containsNonDate="0" containsString="0" containsBlank="1"/>
    </cacheField>
    <cacheField name="Column4340" numFmtId="0">
      <sharedItems containsNonDate="0" containsString="0" containsBlank="1"/>
    </cacheField>
    <cacheField name="Column4341" numFmtId="0">
      <sharedItems containsNonDate="0" containsString="0" containsBlank="1"/>
    </cacheField>
    <cacheField name="Column4342" numFmtId="0">
      <sharedItems containsNonDate="0" containsString="0" containsBlank="1"/>
    </cacheField>
    <cacheField name="Column4343" numFmtId="0">
      <sharedItems containsNonDate="0" containsString="0" containsBlank="1"/>
    </cacheField>
    <cacheField name="Column4344" numFmtId="0">
      <sharedItems containsNonDate="0" containsString="0" containsBlank="1"/>
    </cacheField>
    <cacheField name="Column4345" numFmtId="0">
      <sharedItems containsNonDate="0" containsString="0" containsBlank="1"/>
    </cacheField>
    <cacheField name="Column4346" numFmtId="0">
      <sharedItems containsNonDate="0" containsString="0" containsBlank="1"/>
    </cacheField>
    <cacheField name="Column4347" numFmtId="0">
      <sharedItems containsNonDate="0" containsString="0" containsBlank="1"/>
    </cacheField>
    <cacheField name="Column4348" numFmtId="0">
      <sharedItems containsNonDate="0" containsString="0" containsBlank="1"/>
    </cacheField>
    <cacheField name="Column4349" numFmtId="0">
      <sharedItems containsNonDate="0" containsString="0" containsBlank="1"/>
    </cacheField>
    <cacheField name="Column4350" numFmtId="0">
      <sharedItems containsNonDate="0" containsString="0" containsBlank="1"/>
    </cacheField>
    <cacheField name="Column4351" numFmtId="0">
      <sharedItems containsNonDate="0" containsString="0" containsBlank="1"/>
    </cacheField>
    <cacheField name="Column4352" numFmtId="0">
      <sharedItems containsNonDate="0" containsString="0" containsBlank="1"/>
    </cacheField>
    <cacheField name="Column4353" numFmtId="0">
      <sharedItems containsNonDate="0" containsString="0" containsBlank="1"/>
    </cacheField>
    <cacheField name="Column4354" numFmtId="0">
      <sharedItems containsNonDate="0" containsString="0" containsBlank="1"/>
    </cacheField>
    <cacheField name="Column4355" numFmtId="0">
      <sharedItems containsNonDate="0" containsString="0" containsBlank="1"/>
    </cacheField>
    <cacheField name="Column4356" numFmtId="0">
      <sharedItems containsNonDate="0" containsString="0" containsBlank="1"/>
    </cacheField>
    <cacheField name="Column4357" numFmtId="0">
      <sharedItems containsNonDate="0" containsString="0" containsBlank="1"/>
    </cacheField>
    <cacheField name="Column4358" numFmtId="0">
      <sharedItems containsNonDate="0" containsString="0" containsBlank="1"/>
    </cacheField>
    <cacheField name="Column4359" numFmtId="0">
      <sharedItems containsNonDate="0" containsString="0" containsBlank="1"/>
    </cacheField>
    <cacheField name="Column4360" numFmtId="0">
      <sharedItems containsNonDate="0" containsString="0" containsBlank="1"/>
    </cacheField>
    <cacheField name="Column4361" numFmtId="0">
      <sharedItems containsNonDate="0" containsString="0" containsBlank="1"/>
    </cacheField>
    <cacheField name="Column4362" numFmtId="0">
      <sharedItems containsNonDate="0" containsString="0" containsBlank="1"/>
    </cacheField>
    <cacheField name="Column4363" numFmtId="0">
      <sharedItems containsNonDate="0" containsString="0" containsBlank="1"/>
    </cacheField>
    <cacheField name="Column4364" numFmtId="0">
      <sharedItems containsNonDate="0" containsString="0" containsBlank="1"/>
    </cacheField>
    <cacheField name="Column4365" numFmtId="0">
      <sharedItems containsNonDate="0" containsString="0" containsBlank="1"/>
    </cacheField>
    <cacheField name="Column4366" numFmtId="0">
      <sharedItems containsNonDate="0" containsString="0" containsBlank="1"/>
    </cacheField>
    <cacheField name="Column4367" numFmtId="0">
      <sharedItems containsNonDate="0" containsString="0" containsBlank="1"/>
    </cacheField>
    <cacheField name="Column4368" numFmtId="0">
      <sharedItems containsNonDate="0" containsString="0" containsBlank="1"/>
    </cacheField>
    <cacheField name="Column4369" numFmtId="0">
      <sharedItems containsNonDate="0" containsString="0" containsBlank="1"/>
    </cacheField>
    <cacheField name="Column4370" numFmtId="0">
      <sharedItems containsNonDate="0" containsString="0" containsBlank="1"/>
    </cacheField>
    <cacheField name="Column4371" numFmtId="0">
      <sharedItems containsNonDate="0" containsString="0" containsBlank="1"/>
    </cacheField>
    <cacheField name="Column4372" numFmtId="0">
      <sharedItems containsNonDate="0" containsString="0" containsBlank="1"/>
    </cacheField>
    <cacheField name="Column4373" numFmtId="0">
      <sharedItems containsNonDate="0" containsString="0" containsBlank="1"/>
    </cacheField>
    <cacheField name="Column4374" numFmtId="0">
      <sharedItems containsNonDate="0" containsString="0" containsBlank="1"/>
    </cacheField>
    <cacheField name="Column4375" numFmtId="0">
      <sharedItems containsNonDate="0" containsString="0" containsBlank="1"/>
    </cacheField>
    <cacheField name="Column4376" numFmtId="0">
      <sharedItems containsNonDate="0" containsString="0" containsBlank="1"/>
    </cacheField>
    <cacheField name="Column4377" numFmtId="0">
      <sharedItems containsNonDate="0" containsString="0" containsBlank="1"/>
    </cacheField>
    <cacheField name="Column4378" numFmtId="0">
      <sharedItems containsNonDate="0" containsString="0" containsBlank="1"/>
    </cacheField>
    <cacheField name="Column4379" numFmtId="0">
      <sharedItems containsNonDate="0" containsString="0" containsBlank="1"/>
    </cacheField>
    <cacheField name="Column4380" numFmtId="0">
      <sharedItems containsNonDate="0" containsString="0" containsBlank="1"/>
    </cacheField>
    <cacheField name="Column4381" numFmtId="0">
      <sharedItems containsNonDate="0" containsString="0" containsBlank="1"/>
    </cacheField>
    <cacheField name="Column4382" numFmtId="0">
      <sharedItems containsNonDate="0" containsString="0" containsBlank="1"/>
    </cacheField>
    <cacheField name="Column4383" numFmtId="0">
      <sharedItems containsNonDate="0" containsString="0" containsBlank="1"/>
    </cacheField>
    <cacheField name="Column4384" numFmtId="0">
      <sharedItems containsNonDate="0" containsString="0" containsBlank="1"/>
    </cacheField>
    <cacheField name="Column4385" numFmtId="0">
      <sharedItems containsNonDate="0" containsString="0" containsBlank="1"/>
    </cacheField>
    <cacheField name="Column4386" numFmtId="0">
      <sharedItems containsNonDate="0" containsString="0" containsBlank="1"/>
    </cacheField>
    <cacheField name="Column4387" numFmtId="0">
      <sharedItems containsNonDate="0" containsString="0" containsBlank="1"/>
    </cacheField>
    <cacheField name="Column4388" numFmtId="0">
      <sharedItems containsNonDate="0" containsString="0" containsBlank="1"/>
    </cacheField>
    <cacheField name="Column4389" numFmtId="0">
      <sharedItems containsNonDate="0" containsString="0" containsBlank="1"/>
    </cacheField>
    <cacheField name="Column4390" numFmtId="0">
      <sharedItems containsNonDate="0" containsString="0" containsBlank="1"/>
    </cacheField>
    <cacheField name="Column4391" numFmtId="0">
      <sharedItems containsNonDate="0" containsString="0" containsBlank="1"/>
    </cacheField>
    <cacheField name="Column4392" numFmtId="0">
      <sharedItems containsNonDate="0" containsString="0" containsBlank="1"/>
    </cacheField>
    <cacheField name="Column4393" numFmtId="0">
      <sharedItems containsNonDate="0" containsString="0" containsBlank="1"/>
    </cacheField>
    <cacheField name="Column4394" numFmtId="0">
      <sharedItems containsNonDate="0" containsString="0" containsBlank="1"/>
    </cacheField>
    <cacheField name="Column4395" numFmtId="0">
      <sharedItems containsNonDate="0" containsString="0" containsBlank="1"/>
    </cacheField>
    <cacheField name="Column4396" numFmtId="0">
      <sharedItems containsNonDate="0" containsString="0" containsBlank="1"/>
    </cacheField>
    <cacheField name="Column4397" numFmtId="0">
      <sharedItems containsNonDate="0" containsString="0" containsBlank="1"/>
    </cacheField>
    <cacheField name="Column4398" numFmtId="0">
      <sharedItems containsNonDate="0" containsString="0" containsBlank="1"/>
    </cacheField>
    <cacheField name="Column4399" numFmtId="0">
      <sharedItems containsNonDate="0" containsString="0" containsBlank="1"/>
    </cacheField>
    <cacheField name="Column4400" numFmtId="0">
      <sharedItems containsNonDate="0" containsString="0" containsBlank="1"/>
    </cacheField>
    <cacheField name="Column4401" numFmtId="0">
      <sharedItems containsNonDate="0" containsString="0" containsBlank="1"/>
    </cacheField>
    <cacheField name="Column4402" numFmtId="0">
      <sharedItems containsNonDate="0" containsString="0" containsBlank="1"/>
    </cacheField>
    <cacheField name="Column4403" numFmtId="0">
      <sharedItems containsNonDate="0" containsString="0" containsBlank="1"/>
    </cacheField>
    <cacheField name="Column4404" numFmtId="0">
      <sharedItems containsNonDate="0" containsString="0" containsBlank="1"/>
    </cacheField>
    <cacheField name="Column4405" numFmtId="0">
      <sharedItems containsNonDate="0" containsString="0" containsBlank="1"/>
    </cacheField>
    <cacheField name="Column4406" numFmtId="0">
      <sharedItems containsNonDate="0" containsString="0" containsBlank="1"/>
    </cacheField>
    <cacheField name="Column4407" numFmtId="0">
      <sharedItems containsNonDate="0" containsString="0" containsBlank="1"/>
    </cacheField>
    <cacheField name="Column4408" numFmtId="0">
      <sharedItems containsNonDate="0" containsString="0" containsBlank="1"/>
    </cacheField>
    <cacheField name="Column4409" numFmtId="0">
      <sharedItems containsNonDate="0" containsString="0" containsBlank="1"/>
    </cacheField>
    <cacheField name="Column4410" numFmtId="0">
      <sharedItems containsNonDate="0" containsString="0" containsBlank="1"/>
    </cacheField>
    <cacheField name="Column4411" numFmtId="0">
      <sharedItems containsNonDate="0" containsString="0" containsBlank="1"/>
    </cacheField>
    <cacheField name="Column4412" numFmtId="0">
      <sharedItems containsNonDate="0" containsString="0" containsBlank="1"/>
    </cacheField>
    <cacheField name="Column4413" numFmtId="0">
      <sharedItems containsNonDate="0" containsString="0" containsBlank="1"/>
    </cacheField>
    <cacheField name="Column4414" numFmtId="0">
      <sharedItems containsNonDate="0" containsString="0" containsBlank="1"/>
    </cacheField>
    <cacheField name="Column4415" numFmtId="0">
      <sharedItems containsNonDate="0" containsString="0" containsBlank="1"/>
    </cacheField>
    <cacheField name="Column4416" numFmtId="0">
      <sharedItems containsNonDate="0" containsString="0" containsBlank="1"/>
    </cacheField>
    <cacheField name="Column4417" numFmtId="0">
      <sharedItems containsNonDate="0" containsString="0" containsBlank="1"/>
    </cacheField>
    <cacheField name="Column4418" numFmtId="0">
      <sharedItems containsNonDate="0" containsString="0" containsBlank="1"/>
    </cacheField>
    <cacheField name="Column4419" numFmtId="0">
      <sharedItems containsNonDate="0" containsString="0" containsBlank="1"/>
    </cacheField>
    <cacheField name="Column4420" numFmtId="0">
      <sharedItems containsNonDate="0" containsString="0" containsBlank="1"/>
    </cacheField>
    <cacheField name="Column4421" numFmtId="0">
      <sharedItems containsNonDate="0" containsString="0" containsBlank="1"/>
    </cacheField>
    <cacheField name="Column4422" numFmtId="0">
      <sharedItems containsNonDate="0" containsString="0" containsBlank="1"/>
    </cacheField>
    <cacheField name="Column4423" numFmtId="0">
      <sharedItems containsNonDate="0" containsString="0" containsBlank="1"/>
    </cacheField>
    <cacheField name="Column4424" numFmtId="0">
      <sharedItems containsNonDate="0" containsString="0" containsBlank="1"/>
    </cacheField>
    <cacheField name="Column4425" numFmtId="0">
      <sharedItems containsNonDate="0" containsString="0" containsBlank="1"/>
    </cacheField>
    <cacheField name="Column4426" numFmtId="0">
      <sharedItems containsNonDate="0" containsString="0" containsBlank="1"/>
    </cacheField>
    <cacheField name="Column4427" numFmtId="0">
      <sharedItems containsNonDate="0" containsString="0" containsBlank="1"/>
    </cacheField>
    <cacheField name="Column4428" numFmtId="0">
      <sharedItems containsNonDate="0" containsString="0" containsBlank="1"/>
    </cacheField>
    <cacheField name="Column4429" numFmtId="0">
      <sharedItems containsNonDate="0" containsString="0" containsBlank="1"/>
    </cacheField>
    <cacheField name="Column4430" numFmtId="0">
      <sharedItems containsNonDate="0" containsString="0" containsBlank="1"/>
    </cacheField>
    <cacheField name="Column4431" numFmtId="0">
      <sharedItems containsNonDate="0" containsString="0" containsBlank="1"/>
    </cacheField>
    <cacheField name="Column4432" numFmtId="0">
      <sharedItems containsNonDate="0" containsString="0" containsBlank="1"/>
    </cacheField>
    <cacheField name="Column4433" numFmtId="0">
      <sharedItems containsNonDate="0" containsString="0" containsBlank="1"/>
    </cacheField>
    <cacheField name="Column4434" numFmtId="0">
      <sharedItems containsNonDate="0" containsString="0" containsBlank="1"/>
    </cacheField>
    <cacheField name="Column4435" numFmtId="0">
      <sharedItems containsNonDate="0" containsString="0" containsBlank="1"/>
    </cacheField>
    <cacheField name="Column4436" numFmtId="0">
      <sharedItems containsNonDate="0" containsString="0" containsBlank="1"/>
    </cacheField>
    <cacheField name="Column4437" numFmtId="0">
      <sharedItems containsNonDate="0" containsString="0" containsBlank="1"/>
    </cacheField>
    <cacheField name="Column4438" numFmtId="0">
      <sharedItems containsNonDate="0" containsString="0" containsBlank="1"/>
    </cacheField>
    <cacheField name="Column4439" numFmtId="0">
      <sharedItems containsNonDate="0" containsString="0" containsBlank="1"/>
    </cacheField>
    <cacheField name="Column4440" numFmtId="0">
      <sharedItems containsNonDate="0" containsString="0" containsBlank="1"/>
    </cacheField>
    <cacheField name="Column4441" numFmtId="0">
      <sharedItems containsNonDate="0" containsString="0" containsBlank="1"/>
    </cacheField>
    <cacheField name="Column4442" numFmtId="0">
      <sharedItems containsNonDate="0" containsString="0" containsBlank="1"/>
    </cacheField>
    <cacheField name="Column4443" numFmtId="0">
      <sharedItems containsNonDate="0" containsString="0" containsBlank="1"/>
    </cacheField>
    <cacheField name="Column4444" numFmtId="0">
      <sharedItems containsNonDate="0" containsString="0" containsBlank="1"/>
    </cacheField>
    <cacheField name="Column4445" numFmtId="0">
      <sharedItems containsNonDate="0" containsString="0" containsBlank="1"/>
    </cacheField>
    <cacheField name="Column4446" numFmtId="0">
      <sharedItems containsNonDate="0" containsString="0" containsBlank="1"/>
    </cacheField>
    <cacheField name="Column4447" numFmtId="0">
      <sharedItems containsNonDate="0" containsString="0" containsBlank="1"/>
    </cacheField>
    <cacheField name="Column4448" numFmtId="0">
      <sharedItems containsNonDate="0" containsString="0" containsBlank="1"/>
    </cacheField>
    <cacheField name="Column4449" numFmtId="0">
      <sharedItems containsNonDate="0" containsString="0" containsBlank="1"/>
    </cacheField>
    <cacheField name="Column4450" numFmtId="0">
      <sharedItems containsNonDate="0" containsString="0" containsBlank="1"/>
    </cacheField>
    <cacheField name="Column4451" numFmtId="0">
      <sharedItems containsNonDate="0" containsString="0" containsBlank="1"/>
    </cacheField>
    <cacheField name="Column4452" numFmtId="0">
      <sharedItems containsNonDate="0" containsString="0" containsBlank="1"/>
    </cacheField>
    <cacheField name="Column4453" numFmtId="0">
      <sharedItems containsNonDate="0" containsString="0" containsBlank="1"/>
    </cacheField>
    <cacheField name="Column4454" numFmtId="0">
      <sharedItems containsNonDate="0" containsString="0" containsBlank="1"/>
    </cacheField>
    <cacheField name="Column4455" numFmtId="0">
      <sharedItems containsNonDate="0" containsString="0" containsBlank="1"/>
    </cacheField>
    <cacheField name="Column4456" numFmtId="0">
      <sharedItems containsNonDate="0" containsString="0" containsBlank="1"/>
    </cacheField>
    <cacheField name="Column4457" numFmtId="0">
      <sharedItems containsNonDate="0" containsString="0" containsBlank="1"/>
    </cacheField>
    <cacheField name="Column4458" numFmtId="0">
      <sharedItems containsNonDate="0" containsString="0" containsBlank="1"/>
    </cacheField>
    <cacheField name="Column4459" numFmtId="0">
      <sharedItems containsNonDate="0" containsString="0" containsBlank="1"/>
    </cacheField>
    <cacheField name="Column4460" numFmtId="0">
      <sharedItems containsNonDate="0" containsString="0" containsBlank="1"/>
    </cacheField>
    <cacheField name="Column4461" numFmtId="0">
      <sharedItems containsNonDate="0" containsString="0" containsBlank="1"/>
    </cacheField>
    <cacheField name="Column4462" numFmtId="0">
      <sharedItems containsNonDate="0" containsString="0" containsBlank="1"/>
    </cacheField>
    <cacheField name="Column4463" numFmtId="0">
      <sharedItems containsNonDate="0" containsString="0" containsBlank="1"/>
    </cacheField>
    <cacheField name="Column4464" numFmtId="0">
      <sharedItems containsNonDate="0" containsString="0" containsBlank="1"/>
    </cacheField>
    <cacheField name="Column4465" numFmtId="0">
      <sharedItems containsNonDate="0" containsString="0" containsBlank="1"/>
    </cacheField>
    <cacheField name="Column4466" numFmtId="0">
      <sharedItems containsNonDate="0" containsString="0" containsBlank="1"/>
    </cacheField>
    <cacheField name="Column4467" numFmtId="0">
      <sharedItems containsNonDate="0" containsString="0" containsBlank="1"/>
    </cacheField>
    <cacheField name="Column4468" numFmtId="0">
      <sharedItems containsNonDate="0" containsString="0" containsBlank="1"/>
    </cacheField>
    <cacheField name="Column4469" numFmtId="0">
      <sharedItems containsNonDate="0" containsString="0" containsBlank="1"/>
    </cacheField>
    <cacheField name="Column4470" numFmtId="0">
      <sharedItems containsNonDate="0" containsString="0" containsBlank="1"/>
    </cacheField>
    <cacheField name="Column4471" numFmtId="0">
      <sharedItems containsNonDate="0" containsString="0" containsBlank="1"/>
    </cacheField>
    <cacheField name="Column4472" numFmtId="0">
      <sharedItems containsNonDate="0" containsString="0" containsBlank="1"/>
    </cacheField>
    <cacheField name="Column4473" numFmtId="0">
      <sharedItems containsNonDate="0" containsString="0" containsBlank="1"/>
    </cacheField>
    <cacheField name="Column4474" numFmtId="0">
      <sharedItems containsNonDate="0" containsString="0" containsBlank="1"/>
    </cacheField>
    <cacheField name="Column4475" numFmtId="0">
      <sharedItems containsNonDate="0" containsString="0" containsBlank="1"/>
    </cacheField>
    <cacheField name="Column4476" numFmtId="0">
      <sharedItems containsNonDate="0" containsString="0" containsBlank="1"/>
    </cacheField>
    <cacheField name="Column4477" numFmtId="0">
      <sharedItems containsNonDate="0" containsString="0" containsBlank="1"/>
    </cacheField>
    <cacheField name="Column4478" numFmtId="0">
      <sharedItems containsNonDate="0" containsString="0" containsBlank="1"/>
    </cacheField>
    <cacheField name="Column4479" numFmtId="0">
      <sharedItems containsNonDate="0" containsString="0" containsBlank="1"/>
    </cacheField>
    <cacheField name="Column4480" numFmtId="0">
      <sharedItems containsNonDate="0" containsString="0" containsBlank="1"/>
    </cacheField>
    <cacheField name="Column4481" numFmtId="0">
      <sharedItems containsNonDate="0" containsString="0" containsBlank="1"/>
    </cacheField>
    <cacheField name="Column4482" numFmtId="0">
      <sharedItems containsNonDate="0" containsString="0" containsBlank="1"/>
    </cacheField>
    <cacheField name="Column4483" numFmtId="0">
      <sharedItems containsNonDate="0" containsString="0" containsBlank="1"/>
    </cacheField>
    <cacheField name="Column4484" numFmtId="0">
      <sharedItems containsNonDate="0" containsString="0" containsBlank="1"/>
    </cacheField>
    <cacheField name="Column4485" numFmtId="0">
      <sharedItems containsNonDate="0" containsString="0" containsBlank="1"/>
    </cacheField>
    <cacheField name="Column4486" numFmtId="0">
      <sharedItems containsNonDate="0" containsString="0" containsBlank="1"/>
    </cacheField>
    <cacheField name="Column4487" numFmtId="0">
      <sharedItems containsNonDate="0" containsString="0" containsBlank="1"/>
    </cacheField>
    <cacheField name="Column4488" numFmtId="0">
      <sharedItems containsNonDate="0" containsString="0" containsBlank="1"/>
    </cacheField>
    <cacheField name="Column4489" numFmtId="0">
      <sharedItems containsNonDate="0" containsString="0" containsBlank="1"/>
    </cacheField>
    <cacheField name="Column4490" numFmtId="0">
      <sharedItems containsNonDate="0" containsString="0" containsBlank="1"/>
    </cacheField>
    <cacheField name="Column4491" numFmtId="0">
      <sharedItems containsNonDate="0" containsString="0" containsBlank="1"/>
    </cacheField>
    <cacheField name="Column4492" numFmtId="0">
      <sharedItems containsNonDate="0" containsString="0" containsBlank="1"/>
    </cacheField>
    <cacheField name="Column4493" numFmtId="0">
      <sharedItems containsNonDate="0" containsString="0" containsBlank="1"/>
    </cacheField>
    <cacheField name="Column4494" numFmtId="0">
      <sharedItems containsNonDate="0" containsString="0" containsBlank="1"/>
    </cacheField>
    <cacheField name="Column4495" numFmtId="0">
      <sharedItems containsNonDate="0" containsString="0" containsBlank="1"/>
    </cacheField>
    <cacheField name="Column4496" numFmtId="0">
      <sharedItems containsNonDate="0" containsString="0" containsBlank="1"/>
    </cacheField>
    <cacheField name="Column4497" numFmtId="0">
      <sharedItems containsNonDate="0" containsString="0" containsBlank="1"/>
    </cacheField>
    <cacheField name="Column4498" numFmtId="0">
      <sharedItems containsNonDate="0" containsString="0" containsBlank="1"/>
    </cacheField>
    <cacheField name="Column4499" numFmtId="0">
      <sharedItems containsNonDate="0" containsString="0" containsBlank="1"/>
    </cacheField>
    <cacheField name="Column4500" numFmtId="0">
      <sharedItems containsNonDate="0" containsString="0" containsBlank="1"/>
    </cacheField>
    <cacheField name="Column4501" numFmtId="0">
      <sharedItems containsNonDate="0" containsString="0" containsBlank="1"/>
    </cacheField>
    <cacheField name="Column4502" numFmtId="0">
      <sharedItems containsNonDate="0" containsString="0" containsBlank="1"/>
    </cacheField>
    <cacheField name="Column4503" numFmtId="0">
      <sharedItems containsNonDate="0" containsString="0" containsBlank="1"/>
    </cacheField>
    <cacheField name="Column4504" numFmtId="0">
      <sharedItems containsNonDate="0" containsString="0" containsBlank="1"/>
    </cacheField>
    <cacheField name="Column4505" numFmtId="0">
      <sharedItems containsNonDate="0" containsString="0" containsBlank="1"/>
    </cacheField>
    <cacheField name="Column4506" numFmtId="0">
      <sharedItems containsNonDate="0" containsString="0" containsBlank="1"/>
    </cacheField>
    <cacheField name="Column4507" numFmtId="0">
      <sharedItems containsNonDate="0" containsString="0" containsBlank="1"/>
    </cacheField>
    <cacheField name="Column4508" numFmtId="0">
      <sharedItems containsNonDate="0" containsString="0" containsBlank="1"/>
    </cacheField>
    <cacheField name="Column4509" numFmtId="0">
      <sharedItems containsNonDate="0" containsString="0" containsBlank="1"/>
    </cacheField>
    <cacheField name="Column4510" numFmtId="0">
      <sharedItems containsNonDate="0" containsString="0" containsBlank="1"/>
    </cacheField>
    <cacheField name="Column4511" numFmtId="0">
      <sharedItems containsNonDate="0" containsString="0" containsBlank="1"/>
    </cacheField>
    <cacheField name="Column4512" numFmtId="0">
      <sharedItems containsNonDate="0" containsString="0" containsBlank="1"/>
    </cacheField>
    <cacheField name="Column4513" numFmtId="0">
      <sharedItems containsNonDate="0" containsString="0" containsBlank="1"/>
    </cacheField>
    <cacheField name="Column4514" numFmtId="0">
      <sharedItems containsNonDate="0" containsString="0" containsBlank="1"/>
    </cacheField>
    <cacheField name="Column4515" numFmtId="0">
      <sharedItems containsNonDate="0" containsString="0" containsBlank="1"/>
    </cacheField>
    <cacheField name="Column4516" numFmtId="0">
      <sharedItems containsNonDate="0" containsString="0" containsBlank="1"/>
    </cacheField>
    <cacheField name="Column4517" numFmtId="0">
      <sharedItems containsNonDate="0" containsString="0" containsBlank="1"/>
    </cacheField>
    <cacheField name="Column4518" numFmtId="0">
      <sharedItems containsNonDate="0" containsString="0" containsBlank="1"/>
    </cacheField>
    <cacheField name="Column4519" numFmtId="0">
      <sharedItems containsNonDate="0" containsString="0" containsBlank="1"/>
    </cacheField>
    <cacheField name="Column4520" numFmtId="0">
      <sharedItems containsNonDate="0" containsString="0" containsBlank="1"/>
    </cacheField>
    <cacheField name="Column4521" numFmtId="0">
      <sharedItems containsNonDate="0" containsString="0" containsBlank="1"/>
    </cacheField>
    <cacheField name="Column4522" numFmtId="0">
      <sharedItems containsNonDate="0" containsString="0" containsBlank="1"/>
    </cacheField>
    <cacheField name="Column4523" numFmtId="0">
      <sharedItems containsNonDate="0" containsString="0" containsBlank="1"/>
    </cacheField>
    <cacheField name="Column4524" numFmtId="0">
      <sharedItems containsNonDate="0" containsString="0" containsBlank="1"/>
    </cacheField>
    <cacheField name="Column4525" numFmtId="0">
      <sharedItems containsNonDate="0" containsString="0" containsBlank="1"/>
    </cacheField>
    <cacheField name="Column4526" numFmtId="0">
      <sharedItems containsNonDate="0" containsString="0" containsBlank="1"/>
    </cacheField>
    <cacheField name="Column4527" numFmtId="0">
      <sharedItems containsNonDate="0" containsString="0" containsBlank="1"/>
    </cacheField>
    <cacheField name="Column4528" numFmtId="0">
      <sharedItems containsNonDate="0" containsString="0" containsBlank="1"/>
    </cacheField>
    <cacheField name="Column4529" numFmtId="0">
      <sharedItems containsNonDate="0" containsString="0" containsBlank="1"/>
    </cacheField>
    <cacheField name="Column4530" numFmtId="0">
      <sharedItems containsNonDate="0" containsString="0" containsBlank="1"/>
    </cacheField>
    <cacheField name="Column4531" numFmtId="0">
      <sharedItems containsNonDate="0" containsString="0" containsBlank="1"/>
    </cacheField>
    <cacheField name="Column4532" numFmtId="0">
      <sharedItems containsNonDate="0" containsString="0" containsBlank="1"/>
    </cacheField>
    <cacheField name="Column4533" numFmtId="0">
      <sharedItems containsNonDate="0" containsString="0" containsBlank="1"/>
    </cacheField>
    <cacheField name="Column4534" numFmtId="0">
      <sharedItems containsNonDate="0" containsString="0" containsBlank="1"/>
    </cacheField>
    <cacheField name="Column4535" numFmtId="0">
      <sharedItems containsNonDate="0" containsString="0" containsBlank="1"/>
    </cacheField>
    <cacheField name="Column4536" numFmtId="0">
      <sharedItems containsNonDate="0" containsString="0" containsBlank="1"/>
    </cacheField>
    <cacheField name="Column4537" numFmtId="0">
      <sharedItems containsNonDate="0" containsString="0" containsBlank="1"/>
    </cacheField>
    <cacheField name="Column4538" numFmtId="0">
      <sharedItems containsNonDate="0" containsString="0" containsBlank="1"/>
    </cacheField>
    <cacheField name="Column4539" numFmtId="0">
      <sharedItems containsNonDate="0" containsString="0" containsBlank="1"/>
    </cacheField>
    <cacheField name="Column4540" numFmtId="0">
      <sharedItems containsNonDate="0" containsString="0" containsBlank="1"/>
    </cacheField>
    <cacheField name="Column4541" numFmtId="0">
      <sharedItems containsNonDate="0" containsString="0" containsBlank="1"/>
    </cacheField>
    <cacheField name="Column4542" numFmtId="0">
      <sharedItems containsNonDate="0" containsString="0" containsBlank="1"/>
    </cacheField>
    <cacheField name="Column4543" numFmtId="0">
      <sharedItems containsNonDate="0" containsString="0" containsBlank="1"/>
    </cacheField>
    <cacheField name="Column4544" numFmtId="0">
      <sharedItems containsNonDate="0" containsString="0" containsBlank="1"/>
    </cacheField>
    <cacheField name="Column4545" numFmtId="0">
      <sharedItems containsNonDate="0" containsString="0" containsBlank="1"/>
    </cacheField>
    <cacheField name="Column4546" numFmtId="0">
      <sharedItems containsNonDate="0" containsString="0" containsBlank="1"/>
    </cacheField>
    <cacheField name="Column4547" numFmtId="0">
      <sharedItems containsNonDate="0" containsString="0" containsBlank="1"/>
    </cacheField>
    <cacheField name="Column4548" numFmtId="0">
      <sharedItems containsNonDate="0" containsString="0" containsBlank="1"/>
    </cacheField>
    <cacheField name="Column4549" numFmtId="0">
      <sharedItems containsNonDate="0" containsString="0" containsBlank="1"/>
    </cacheField>
    <cacheField name="Column4550" numFmtId="0">
      <sharedItems containsNonDate="0" containsString="0" containsBlank="1"/>
    </cacheField>
    <cacheField name="Column4551" numFmtId="0">
      <sharedItems containsNonDate="0" containsString="0" containsBlank="1"/>
    </cacheField>
    <cacheField name="Column4552" numFmtId="0">
      <sharedItems containsNonDate="0" containsString="0" containsBlank="1"/>
    </cacheField>
    <cacheField name="Column4553" numFmtId="0">
      <sharedItems containsNonDate="0" containsString="0" containsBlank="1"/>
    </cacheField>
    <cacheField name="Column4554" numFmtId="0">
      <sharedItems containsNonDate="0" containsString="0" containsBlank="1"/>
    </cacheField>
    <cacheField name="Column4555" numFmtId="0">
      <sharedItems containsNonDate="0" containsString="0" containsBlank="1"/>
    </cacheField>
    <cacheField name="Column4556" numFmtId="0">
      <sharedItems containsNonDate="0" containsString="0" containsBlank="1"/>
    </cacheField>
    <cacheField name="Column4557" numFmtId="0">
      <sharedItems containsNonDate="0" containsString="0" containsBlank="1"/>
    </cacheField>
    <cacheField name="Column4558" numFmtId="0">
      <sharedItems containsNonDate="0" containsString="0" containsBlank="1"/>
    </cacheField>
    <cacheField name="Column4559" numFmtId="0">
      <sharedItems containsNonDate="0" containsString="0" containsBlank="1"/>
    </cacheField>
    <cacheField name="Column4560" numFmtId="0">
      <sharedItems containsNonDate="0" containsString="0" containsBlank="1"/>
    </cacheField>
    <cacheField name="Column4561" numFmtId="0">
      <sharedItems containsNonDate="0" containsString="0" containsBlank="1"/>
    </cacheField>
    <cacheField name="Column4562" numFmtId="0">
      <sharedItems containsNonDate="0" containsString="0" containsBlank="1"/>
    </cacheField>
    <cacheField name="Column4563" numFmtId="0">
      <sharedItems containsNonDate="0" containsString="0" containsBlank="1"/>
    </cacheField>
    <cacheField name="Column4564" numFmtId="0">
      <sharedItems containsNonDate="0" containsString="0" containsBlank="1"/>
    </cacheField>
    <cacheField name="Column4565" numFmtId="0">
      <sharedItems containsNonDate="0" containsString="0" containsBlank="1"/>
    </cacheField>
    <cacheField name="Column4566" numFmtId="0">
      <sharedItems containsNonDate="0" containsString="0" containsBlank="1"/>
    </cacheField>
    <cacheField name="Column4567" numFmtId="0">
      <sharedItems containsNonDate="0" containsString="0" containsBlank="1"/>
    </cacheField>
    <cacheField name="Column4568" numFmtId="0">
      <sharedItems containsNonDate="0" containsString="0" containsBlank="1"/>
    </cacheField>
    <cacheField name="Column4569" numFmtId="0">
      <sharedItems containsNonDate="0" containsString="0" containsBlank="1"/>
    </cacheField>
    <cacheField name="Column4570" numFmtId="0">
      <sharedItems containsNonDate="0" containsString="0" containsBlank="1"/>
    </cacheField>
    <cacheField name="Column4571" numFmtId="0">
      <sharedItems containsNonDate="0" containsString="0" containsBlank="1"/>
    </cacheField>
    <cacheField name="Column4572" numFmtId="0">
      <sharedItems containsNonDate="0" containsString="0" containsBlank="1"/>
    </cacheField>
    <cacheField name="Column4573" numFmtId="0">
      <sharedItems containsNonDate="0" containsString="0" containsBlank="1"/>
    </cacheField>
    <cacheField name="Column4574" numFmtId="0">
      <sharedItems containsNonDate="0" containsString="0" containsBlank="1"/>
    </cacheField>
    <cacheField name="Column4575" numFmtId="0">
      <sharedItems containsNonDate="0" containsString="0" containsBlank="1"/>
    </cacheField>
    <cacheField name="Column4576" numFmtId="0">
      <sharedItems containsNonDate="0" containsString="0" containsBlank="1"/>
    </cacheField>
    <cacheField name="Column4577" numFmtId="0">
      <sharedItems containsNonDate="0" containsString="0" containsBlank="1"/>
    </cacheField>
    <cacheField name="Column4578" numFmtId="0">
      <sharedItems containsNonDate="0" containsString="0" containsBlank="1"/>
    </cacheField>
    <cacheField name="Column4579" numFmtId="0">
      <sharedItems containsNonDate="0" containsString="0" containsBlank="1"/>
    </cacheField>
    <cacheField name="Column4580" numFmtId="0">
      <sharedItems containsNonDate="0" containsString="0" containsBlank="1"/>
    </cacheField>
    <cacheField name="Column4581" numFmtId="0">
      <sharedItems containsNonDate="0" containsString="0" containsBlank="1"/>
    </cacheField>
    <cacheField name="Column4582" numFmtId="0">
      <sharedItems containsNonDate="0" containsString="0" containsBlank="1"/>
    </cacheField>
    <cacheField name="Column4583" numFmtId="0">
      <sharedItems containsNonDate="0" containsString="0" containsBlank="1"/>
    </cacheField>
    <cacheField name="Column4584" numFmtId="0">
      <sharedItems containsNonDate="0" containsString="0" containsBlank="1"/>
    </cacheField>
    <cacheField name="Column4585" numFmtId="0">
      <sharedItems containsNonDate="0" containsString="0" containsBlank="1"/>
    </cacheField>
    <cacheField name="Column4586" numFmtId="0">
      <sharedItems containsNonDate="0" containsString="0" containsBlank="1"/>
    </cacheField>
    <cacheField name="Column4587" numFmtId="0">
      <sharedItems containsNonDate="0" containsString="0" containsBlank="1"/>
    </cacheField>
    <cacheField name="Column4588" numFmtId="0">
      <sharedItems containsNonDate="0" containsString="0" containsBlank="1"/>
    </cacheField>
    <cacheField name="Column4589" numFmtId="0">
      <sharedItems containsNonDate="0" containsString="0" containsBlank="1"/>
    </cacheField>
    <cacheField name="Column4590" numFmtId="0">
      <sharedItems containsNonDate="0" containsString="0" containsBlank="1"/>
    </cacheField>
    <cacheField name="Column4591" numFmtId="0">
      <sharedItems containsNonDate="0" containsString="0" containsBlank="1"/>
    </cacheField>
    <cacheField name="Column4592" numFmtId="0">
      <sharedItems containsNonDate="0" containsString="0" containsBlank="1"/>
    </cacheField>
    <cacheField name="Column4593" numFmtId="0">
      <sharedItems containsNonDate="0" containsString="0" containsBlank="1"/>
    </cacheField>
    <cacheField name="Column4594" numFmtId="0">
      <sharedItems containsNonDate="0" containsString="0" containsBlank="1"/>
    </cacheField>
    <cacheField name="Column4595" numFmtId="0">
      <sharedItems containsNonDate="0" containsString="0" containsBlank="1"/>
    </cacheField>
    <cacheField name="Column4596" numFmtId="0">
      <sharedItems containsNonDate="0" containsString="0" containsBlank="1"/>
    </cacheField>
    <cacheField name="Column4597" numFmtId="0">
      <sharedItems containsNonDate="0" containsString="0" containsBlank="1"/>
    </cacheField>
    <cacheField name="Column4598" numFmtId="0">
      <sharedItems containsNonDate="0" containsString="0" containsBlank="1"/>
    </cacheField>
    <cacheField name="Column4599" numFmtId="0">
      <sharedItems containsNonDate="0" containsString="0" containsBlank="1"/>
    </cacheField>
    <cacheField name="Column4600" numFmtId="0">
      <sharedItems containsNonDate="0" containsString="0" containsBlank="1"/>
    </cacheField>
    <cacheField name="Column4601" numFmtId="0">
      <sharedItems containsNonDate="0" containsString="0" containsBlank="1"/>
    </cacheField>
    <cacheField name="Column4602" numFmtId="0">
      <sharedItems containsNonDate="0" containsString="0" containsBlank="1"/>
    </cacheField>
    <cacheField name="Column4603" numFmtId="0">
      <sharedItems containsNonDate="0" containsString="0" containsBlank="1"/>
    </cacheField>
    <cacheField name="Column4604" numFmtId="0">
      <sharedItems containsNonDate="0" containsString="0" containsBlank="1"/>
    </cacheField>
    <cacheField name="Column4605" numFmtId="0">
      <sharedItems containsNonDate="0" containsString="0" containsBlank="1"/>
    </cacheField>
    <cacheField name="Column4606" numFmtId="0">
      <sharedItems containsNonDate="0" containsString="0" containsBlank="1"/>
    </cacheField>
    <cacheField name="Column4607" numFmtId="0">
      <sharedItems containsNonDate="0" containsString="0" containsBlank="1"/>
    </cacheField>
    <cacheField name="Column4608" numFmtId="0">
      <sharedItems containsNonDate="0" containsString="0" containsBlank="1"/>
    </cacheField>
    <cacheField name="Column4609" numFmtId="0">
      <sharedItems containsNonDate="0" containsString="0" containsBlank="1"/>
    </cacheField>
    <cacheField name="Column4610" numFmtId="0">
      <sharedItems containsNonDate="0" containsString="0" containsBlank="1"/>
    </cacheField>
    <cacheField name="Column4611" numFmtId="0">
      <sharedItems containsNonDate="0" containsString="0" containsBlank="1"/>
    </cacheField>
    <cacheField name="Column4612" numFmtId="0">
      <sharedItems containsNonDate="0" containsString="0" containsBlank="1"/>
    </cacheField>
    <cacheField name="Column4613" numFmtId="0">
      <sharedItems containsNonDate="0" containsString="0" containsBlank="1"/>
    </cacheField>
    <cacheField name="Column4614" numFmtId="0">
      <sharedItems containsNonDate="0" containsString="0" containsBlank="1"/>
    </cacheField>
    <cacheField name="Column4615" numFmtId="0">
      <sharedItems containsNonDate="0" containsString="0" containsBlank="1"/>
    </cacheField>
    <cacheField name="Column4616" numFmtId="0">
      <sharedItems containsNonDate="0" containsString="0" containsBlank="1"/>
    </cacheField>
    <cacheField name="Column4617" numFmtId="0">
      <sharedItems containsNonDate="0" containsString="0" containsBlank="1"/>
    </cacheField>
    <cacheField name="Column4618" numFmtId="0">
      <sharedItems containsNonDate="0" containsString="0" containsBlank="1"/>
    </cacheField>
    <cacheField name="Column4619" numFmtId="0">
      <sharedItems containsNonDate="0" containsString="0" containsBlank="1"/>
    </cacheField>
    <cacheField name="Column4620" numFmtId="0">
      <sharedItems containsNonDate="0" containsString="0" containsBlank="1"/>
    </cacheField>
    <cacheField name="Column4621" numFmtId="0">
      <sharedItems containsNonDate="0" containsString="0" containsBlank="1"/>
    </cacheField>
    <cacheField name="Column4622" numFmtId="0">
      <sharedItems containsNonDate="0" containsString="0" containsBlank="1"/>
    </cacheField>
    <cacheField name="Column4623" numFmtId="0">
      <sharedItems containsNonDate="0" containsString="0" containsBlank="1"/>
    </cacheField>
    <cacheField name="Column4624" numFmtId="0">
      <sharedItems containsNonDate="0" containsString="0" containsBlank="1"/>
    </cacheField>
    <cacheField name="Column4625" numFmtId="0">
      <sharedItems containsNonDate="0" containsString="0" containsBlank="1"/>
    </cacheField>
    <cacheField name="Column4626" numFmtId="0">
      <sharedItems containsNonDate="0" containsString="0" containsBlank="1"/>
    </cacheField>
    <cacheField name="Column4627" numFmtId="0">
      <sharedItems containsNonDate="0" containsString="0" containsBlank="1"/>
    </cacheField>
    <cacheField name="Column4628" numFmtId="0">
      <sharedItems containsNonDate="0" containsString="0" containsBlank="1"/>
    </cacheField>
    <cacheField name="Column4629" numFmtId="0">
      <sharedItems containsNonDate="0" containsString="0" containsBlank="1"/>
    </cacheField>
    <cacheField name="Column4630" numFmtId="0">
      <sharedItems containsNonDate="0" containsString="0" containsBlank="1"/>
    </cacheField>
    <cacheField name="Column4631" numFmtId="0">
      <sharedItems containsNonDate="0" containsString="0" containsBlank="1"/>
    </cacheField>
    <cacheField name="Column4632" numFmtId="0">
      <sharedItems containsNonDate="0" containsString="0" containsBlank="1"/>
    </cacheField>
    <cacheField name="Column4633" numFmtId="0">
      <sharedItems containsNonDate="0" containsString="0" containsBlank="1"/>
    </cacheField>
    <cacheField name="Column4634" numFmtId="0">
      <sharedItems containsNonDate="0" containsString="0" containsBlank="1"/>
    </cacheField>
    <cacheField name="Column4635" numFmtId="0">
      <sharedItems containsNonDate="0" containsString="0" containsBlank="1"/>
    </cacheField>
    <cacheField name="Column4636" numFmtId="0">
      <sharedItems containsNonDate="0" containsString="0" containsBlank="1"/>
    </cacheField>
    <cacheField name="Column4637" numFmtId="0">
      <sharedItems containsNonDate="0" containsString="0" containsBlank="1"/>
    </cacheField>
    <cacheField name="Column4638" numFmtId="0">
      <sharedItems containsNonDate="0" containsString="0" containsBlank="1"/>
    </cacheField>
    <cacheField name="Column4639" numFmtId="0">
      <sharedItems containsNonDate="0" containsString="0" containsBlank="1"/>
    </cacheField>
    <cacheField name="Column4640" numFmtId="0">
      <sharedItems containsNonDate="0" containsString="0" containsBlank="1"/>
    </cacheField>
    <cacheField name="Column4641" numFmtId="0">
      <sharedItems containsNonDate="0" containsString="0" containsBlank="1"/>
    </cacheField>
    <cacheField name="Column4642" numFmtId="0">
      <sharedItems containsNonDate="0" containsString="0" containsBlank="1"/>
    </cacheField>
    <cacheField name="Column4643" numFmtId="0">
      <sharedItems containsNonDate="0" containsString="0" containsBlank="1"/>
    </cacheField>
    <cacheField name="Column4644" numFmtId="0">
      <sharedItems containsNonDate="0" containsString="0" containsBlank="1"/>
    </cacheField>
    <cacheField name="Column4645" numFmtId="0">
      <sharedItems containsNonDate="0" containsString="0" containsBlank="1"/>
    </cacheField>
    <cacheField name="Column4646" numFmtId="0">
      <sharedItems containsNonDate="0" containsString="0" containsBlank="1"/>
    </cacheField>
    <cacheField name="Column4647" numFmtId="0">
      <sharedItems containsNonDate="0" containsString="0" containsBlank="1"/>
    </cacheField>
    <cacheField name="Column4648" numFmtId="0">
      <sharedItems containsNonDate="0" containsString="0" containsBlank="1"/>
    </cacheField>
    <cacheField name="Column4649" numFmtId="0">
      <sharedItems containsNonDate="0" containsString="0" containsBlank="1"/>
    </cacheField>
    <cacheField name="Column4650" numFmtId="0">
      <sharedItems containsNonDate="0" containsString="0" containsBlank="1"/>
    </cacheField>
    <cacheField name="Column4651" numFmtId="0">
      <sharedItems containsNonDate="0" containsString="0" containsBlank="1"/>
    </cacheField>
    <cacheField name="Column4652" numFmtId="0">
      <sharedItems containsNonDate="0" containsString="0" containsBlank="1"/>
    </cacheField>
    <cacheField name="Column4653" numFmtId="0">
      <sharedItems containsNonDate="0" containsString="0" containsBlank="1"/>
    </cacheField>
    <cacheField name="Column4654" numFmtId="0">
      <sharedItems containsNonDate="0" containsString="0" containsBlank="1"/>
    </cacheField>
    <cacheField name="Column4655" numFmtId="0">
      <sharedItems containsNonDate="0" containsString="0" containsBlank="1"/>
    </cacheField>
    <cacheField name="Column4656" numFmtId="0">
      <sharedItems containsNonDate="0" containsString="0" containsBlank="1"/>
    </cacheField>
    <cacheField name="Column4657" numFmtId="0">
      <sharedItems containsNonDate="0" containsString="0" containsBlank="1"/>
    </cacheField>
    <cacheField name="Column4658" numFmtId="0">
      <sharedItems containsNonDate="0" containsString="0" containsBlank="1"/>
    </cacheField>
    <cacheField name="Column4659" numFmtId="0">
      <sharedItems containsNonDate="0" containsString="0" containsBlank="1"/>
    </cacheField>
    <cacheField name="Column4660" numFmtId="0">
      <sharedItems containsNonDate="0" containsString="0" containsBlank="1"/>
    </cacheField>
    <cacheField name="Column4661" numFmtId="0">
      <sharedItems containsNonDate="0" containsString="0" containsBlank="1"/>
    </cacheField>
    <cacheField name="Column4662" numFmtId="0">
      <sharedItems containsNonDate="0" containsString="0" containsBlank="1"/>
    </cacheField>
    <cacheField name="Column4663" numFmtId="0">
      <sharedItems containsNonDate="0" containsString="0" containsBlank="1"/>
    </cacheField>
    <cacheField name="Column4664" numFmtId="0">
      <sharedItems containsNonDate="0" containsString="0" containsBlank="1"/>
    </cacheField>
    <cacheField name="Column4665" numFmtId="0">
      <sharedItems containsNonDate="0" containsString="0" containsBlank="1"/>
    </cacheField>
    <cacheField name="Column4666" numFmtId="0">
      <sharedItems containsNonDate="0" containsString="0" containsBlank="1"/>
    </cacheField>
    <cacheField name="Column4667" numFmtId="0">
      <sharedItems containsNonDate="0" containsString="0" containsBlank="1"/>
    </cacheField>
    <cacheField name="Column4668" numFmtId="0">
      <sharedItems containsNonDate="0" containsString="0" containsBlank="1"/>
    </cacheField>
    <cacheField name="Column4669" numFmtId="0">
      <sharedItems containsNonDate="0" containsString="0" containsBlank="1"/>
    </cacheField>
    <cacheField name="Column4670" numFmtId="0">
      <sharedItems containsNonDate="0" containsString="0" containsBlank="1"/>
    </cacheField>
    <cacheField name="Column4671" numFmtId="0">
      <sharedItems containsNonDate="0" containsString="0" containsBlank="1"/>
    </cacheField>
    <cacheField name="Column4672" numFmtId="0">
      <sharedItems containsNonDate="0" containsString="0" containsBlank="1"/>
    </cacheField>
    <cacheField name="Column4673" numFmtId="0">
      <sharedItems containsNonDate="0" containsString="0" containsBlank="1"/>
    </cacheField>
    <cacheField name="Column4674" numFmtId="0">
      <sharedItems containsNonDate="0" containsString="0" containsBlank="1"/>
    </cacheField>
    <cacheField name="Column4675" numFmtId="0">
      <sharedItems containsNonDate="0" containsString="0" containsBlank="1"/>
    </cacheField>
    <cacheField name="Column4676" numFmtId="0">
      <sharedItems containsNonDate="0" containsString="0" containsBlank="1"/>
    </cacheField>
    <cacheField name="Column4677" numFmtId="0">
      <sharedItems containsNonDate="0" containsString="0" containsBlank="1"/>
    </cacheField>
    <cacheField name="Column4678" numFmtId="0">
      <sharedItems containsNonDate="0" containsString="0" containsBlank="1"/>
    </cacheField>
    <cacheField name="Column4679" numFmtId="0">
      <sharedItems containsNonDate="0" containsString="0" containsBlank="1"/>
    </cacheField>
    <cacheField name="Column4680" numFmtId="0">
      <sharedItems containsNonDate="0" containsString="0" containsBlank="1"/>
    </cacheField>
    <cacheField name="Column4681" numFmtId="0">
      <sharedItems containsNonDate="0" containsString="0" containsBlank="1"/>
    </cacheField>
    <cacheField name="Column4682" numFmtId="0">
      <sharedItems containsNonDate="0" containsString="0" containsBlank="1"/>
    </cacheField>
    <cacheField name="Column4683" numFmtId="0">
      <sharedItems containsNonDate="0" containsString="0" containsBlank="1"/>
    </cacheField>
    <cacheField name="Column4684" numFmtId="0">
      <sharedItems containsNonDate="0" containsString="0" containsBlank="1"/>
    </cacheField>
    <cacheField name="Column4685" numFmtId="0">
      <sharedItems containsNonDate="0" containsString="0" containsBlank="1"/>
    </cacheField>
    <cacheField name="Column4686" numFmtId="0">
      <sharedItems containsNonDate="0" containsString="0" containsBlank="1"/>
    </cacheField>
    <cacheField name="Column4687" numFmtId="0">
      <sharedItems containsNonDate="0" containsString="0" containsBlank="1"/>
    </cacheField>
    <cacheField name="Column4688" numFmtId="0">
      <sharedItems containsNonDate="0" containsString="0" containsBlank="1"/>
    </cacheField>
    <cacheField name="Column4689" numFmtId="0">
      <sharedItems containsNonDate="0" containsString="0" containsBlank="1"/>
    </cacheField>
    <cacheField name="Column4690" numFmtId="0">
      <sharedItems containsNonDate="0" containsString="0" containsBlank="1"/>
    </cacheField>
    <cacheField name="Column4691" numFmtId="0">
      <sharedItems containsNonDate="0" containsString="0" containsBlank="1"/>
    </cacheField>
    <cacheField name="Column4692" numFmtId="0">
      <sharedItems containsNonDate="0" containsString="0" containsBlank="1"/>
    </cacheField>
    <cacheField name="Column4693" numFmtId="0">
      <sharedItems containsNonDate="0" containsString="0" containsBlank="1"/>
    </cacheField>
    <cacheField name="Column4694" numFmtId="0">
      <sharedItems containsNonDate="0" containsString="0" containsBlank="1"/>
    </cacheField>
    <cacheField name="Column4695" numFmtId="0">
      <sharedItems containsNonDate="0" containsString="0" containsBlank="1"/>
    </cacheField>
    <cacheField name="Column4696" numFmtId="0">
      <sharedItems containsNonDate="0" containsString="0" containsBlank="1"/>
    </cacheField>
    <cacheField name="Column4697" numFmtId="0">
      <sharedItems containsNonDate="0" containsString="0" containsBlank="1"/>
    </cacheField>
    <cacheField name="Column4698" numFmtId="0">
      <sharedItems containsNonDate="0" containsString="0" containsBlank="1"/>
    </cacheField>
    <cacheField name="Column4699" numFmtId="0">
      <sharedItems containsNonDate="0" containsString="0" containsBlank="1"/>
    </cacheField>
    <cacheField name="Column4700" numFmtId="0">
      <sharedItems containsNonDate="0" containsString="0" containsBlank="1"/>
    </cacheField>
    <cacheField name="Column4701" numFmtId="0">
      <sharedItems containsNonDate="0" containsString="0" containsBlank="1"/>
    </cacheField>
    <cacheField name="Column4702" numFmtId="0">
      <sharedItems containsNonDate="0" containsString="0" containsBlank="1"/>
    </cacheField>
    <cacheField name="Column4703" numFmtId="0">
      <sharedItems containsNonDate="0" containsString="0" containsBlank="1"/>
    </cacheField>
    <cacheField name="Column4704" numFmtId="0">
      <sharedItems containsNonDate="0" containsString="0" containsBlank="1"/>
    </cacheField>
    <cacheField name="Column4705" numFmtId="0">
      <sharedItems containsNonDate="0" containsString="0" containsBlank="1"/>
    </cacheField>
    <cacheField name="Column4706" numFmtId="0">
      <sharedItems containsNonDate="0" containsString="0" containsBlank="1"/>
    </cacheField>
    <cacheField name="Column4707" numFmtId="0">
      <sharedItems containsNonDate="0" containsString="0" containsBlank="1"/>
    </cacheField>
    <cacheField name="Column4708" numFmtId="0">
      <sharedItems containsNonDate="0" containsString="0" containsBlank="1"/>
    </cacheField>
    <cacheField name="Column4709" numFmtId="0">
      <sharedItems containsNonDate="0" containsString="0" containsBlank="1"/>
    </cacheField>
    <cacheField name="Column4710" numFmtId="0">
      <sharedItems containsNonDate="0" containsString="0" containsBlank="1"/>
    </cacheField>
    <cacheField name="Column4711" numFmtId="0">
      <sharedItems containsNonDate="0" containsString="0" containsBlank="1"/>
    </cacheField>
    <cacheField name="Column4712" numFmtId="0">
      <sharedItems containsNonDate="0" containsString="0" containsBlank="1"/>
    </cacheField>
    <cacheField name="Column4713" numFmtId="0">
      <sharedItems containsNonDate="0" containsString="0" containsBlank="1"/>
    </cacheField>
    <cacheField name="Column4714" numFmtId="0">
      <sharedItems containsNonDate="0" containsString="0" containsBlank="1"/>
    </cacheField>
    <cacheField name="Column4715" numFmtId="0">
      <sharedItems containsNonDate="0" containsString="0" containsBlank="1"/>
    </cacheField>
    <cacheField name="Column4716" numFmtId="0">
      <sharedItems containsNonDate="0" containsString="0" containsBlank="1"/>
    </cacheField>
    <cacheField name="Column4717" numFmtId="0">
      <sharedItems containsNonDate="0" containsString="0" containsBlank="1"/>
    </cacheField>
    <cacheField name="Column4718" numFmtId="0">
      <sharedItems containsNonDate="0" containsString="0" containsBlank="1"/>
    </cacheField>
    <cacheField name="Column4719" numFmtId="0">
      <sharedItems containsNonDate="0" containsString="0" containsBlank="1"/>
    </cacheField>
    <cacheField name="Column4720" numFmtId="0">
      <sharedItems containsNonDate="0" containsString="0" containsBlank="1"/>
    </cacheField>
    <cacheField name="Column4721" numFmtId="0">
      <sharedItems containsNonDate="0" containsString="0" containsBlank="1"/>
    </cacheField>
    <cacheField name="Column4722" numFmtId="0">
      <sharedItems containsNonDate="0" containsString="0" containsBlank="1"/>
    </cacheField>
    <cacheField name="Column4723" numFmtId="0">
      <sharedItems containsNonDate="0" containsString="0" containsBlank="1"/>
    </cacheField>
    <cacheField name="Column4724" numFmtId="0">
      <sharedItems containsNonDate="0" containsString="0" containsBlank="1"/>
    </cacheField>
    <cacheField name="Column4725" numFmtId="0">
      <sharedItems containsNonDate="0" containsString="0" containsBlank="1"/>
    </cacheField>
    <cacheField name="Column4726" numFmtId="0">
      <sharedItems containsNonDate="0" containsString="0" containsBlank="1"/>
    </cacheField>
    <cacheField name="Column4727" numFmtId="0">
      <sharedItems containsNonDate="0" containsString="0" containsBlank="1"/>
    </cacheField>
    <cacheField name="Column4728" numFmtId="0">
      <sharedItems containsNonDate="0" containsString="0" containsBlank="1"/>
    </cacheField>
    <cacheField name="Column4729" numFmtId="0">
      <sharedItems containsNonDate="0" containsString="0" containsBlank="1"/>
    </cacheField>
    <cacheField name="Column4730" numFmtId="0">
      <sharedItems containsNonDate="0" containsString="0" containsBlank="1"/>
    </cacheField>
    <cacheField name="Column4731" numFmtId="0">
      <sharedItems containsNonDate="0" containsString="0" containsBlank="1"/>
    </cacheField>
    <cacheField name="Column4732" numFmtId="0">
      <sharedItems containsNonDate="0" containsString="0" containsBlank="1"/>
    </cacheField>
    <cacheField name="Column4733" numFmtId="0">
      <sharedItems containsNonDate="0" containsString="0" containsBlank="1"/>
    </cacheField>
    <cacheField name="Column4734" numFmtId="0">
      <sharedItems containsNonDate="0" containsString="0" containsBlank="1"/>
    </cacheField>
    <cacheField name="Column4735" numFmtId="0">
      <sharedItems containsNonDate="0" containsString="0" containsBlank="1"/>
    </cacheField>
    <cacheField name="Column4736" numFmtId="0">
      <sharedItems containsNonDate="0" containsString="0" containsBlank="1"/>
    </cacheField>
    <cacheField name="Column4737" numFmtId="0">
      <sharedItems containsNonDate="0" containsString="0" containsBlank="1"/>
    </cacheField>
    <cacheField name="Column4738" numFmtId="0">
      <sharedItems containsNonDate="0" containsString="0" containsBlank="1"/>
    </cacheField>
    <cacheField name="Column4739" numFmtId="0">
      <sharedItems containsNonDate="0" containsString="0" containsBlank="1"/>
    </cacheField>
    <cacheField name="Column4740" numFmtId="0">
      <sharedItems containsNonDate="0" containsString="0" containsBlank="1"/>
    </cacheField>
    <cacheField name="Column4741" numFmtId="0">
      <sharedItems containsNonDate="0" containsString="0" containsBlank="1"/>
    </cacheField>
    <cacheField name="Column4742" numFmtId="0">
      <sharedItems containsNonDate="0" containsString="0" containsBlank="1"/>
    </cacheField>
    <cacheField name="Column4743" numFmtId="0">
      <sharedItems containsNonDate="0" containsString="0" containsBlank="1"/>
    </cacheField>
    <cacheField name="Column4744" numFmtId="0">
      <sharedItems containsNonDate="0" containsString="0" containsBlank="1"/>
    </cacheField>
    <cacheField name="Column4745" numFmtId="0">
      <sharedItems containsNonDate="0" containsString="0" containsBlank="1"/>
    </cacheField>
    <cacheField name="Column4746" numFmtId="0">
      <sharedItems containsNonDate="0" containsString="0" containsBlank="1"/>
    </cacheField>
    <cacheField name="Column4747" numFmtId="0">
      <sharedItems containsNonDate="0" containsString="0" containsBlank="1"/>
    </cacheField>
    <cacheField name="Column4748" numFmtId="0">
      <sharedItems containsNonDate="0" containsString="0" containsBlank="1"/>
    </cacheField>
    <cacheField name="Column4749" numFmtId="0">
      <sharedItems containsNonDate="0" containsString="0" containsBlank="1"/>
    </cacheField>
    <cacheField name="Column4750" numFmtId="0">
      <sharedItems containsNonDate="0" containsString="0" containsBlank="1"/>
    </cacheField>
    <cacheField name="Column4751" numFmtId="0">
      <sharedItems containsNonDate="0" containsString="0" containsBlank="1"/>
    </cacheField>
    <cacheField name="Column4752" numFmtId="0">
      <sharedItems containsNonDate="0" containsString="0" containsBlank="1"/>
    </cacheField>
    <cacheField name="Column4753" numFmtId="0">
      <sharedItems containsNonDate="0" containsString="0" containsBlank="1"/>
    </cacheField>
    <cacheField name="Column4754" numFmtId="0">
      <sharedItems containsNonDate="0" containsString="0" containsBlank="1"/>
    </cacheField>
    <cacheField name="Column4755" numFmtId="0">
      <sharedItems containsNonDate="0" containsString="0" containsBlank="1"/>
    </cacheField>
    <cacheField name="Column4756" numFmtId="0">
      <sharedItems containsNonDate="0" containsString="0" containsBlank="1"/>
    </cacheField>
    <cacheField name="Column4757" numFmtId="0">
      <sharedItems containsNonDate="0" containsString="0" containsBlank="1"/>
    </cacheField>
    <cacheField name="Column4758" numFmtId="0">
      <sharedItems containsNonDate="0" containsString="0" containsBlank="1"/>
    </cacheField>
    <cacheField name="Column4759" numFmtId="0">
      <sharedItems containsNonDate="0" containsString="0" containsBlank="1"/>
    </cacheField>
    <cacheField name="Column4760" numFmtId="0">
      <sharedItems containsNonDate="0" containsString="0" containsBlank="1"/>
    </cacheField>
    <cacheField name="Column4761" numFmtId="0">
      <sharedItems containsNonDate="0" containsString="0" containsBlank="1"/>
    </cacheField>
    <cacheField name="Column4762" numFmtId="0">
      <sharedItems containsNonDate="0" containsString="0" containsBlank="1"/>
    </cacheField>
    <cacheField name="Column4763" numFmtId="0">
      <sharedItems containsNonDate="0" containsString="0" containsBlank="1"/>
    </cacheField>
    <cacheField name="Column4764" numFmtId="0">
      <sharedItems containsNonDate="0" containsString="0" containsBlank="1"/>
    </cacheField>
    <cacheField name="Column4765" numFmtId="0">
      <sharedItems containsNonDate="0" containsString="0" containsBlank="1"/>
    </cacheField>
    <cacheField name="Column4766" numFmtId="0">
      <sharedItems containsNonDate="0" containsString="0" containsBlank="1"/>
    </cacheField>
    <cacheField name="Column4767" numFmtId="0">
      <sharedItems containsNonDate="0" containsString="0" containsBlank="1"/>
    </cacheField>
    <cacheField name="Column4768" numFmtId="0">
      <sharedItems containsNonDate="0" containsString="0" containsBlank="1"/>
    </cacheField>
    <cacheField name="Column4769" numFmtId="0">
      <sharedItems containsNonDate="0" containsString="0" containsBlank="1"/>
    </cacheField>
    <cacheField name="Column4770" numFmtId="0">
      <sharedItems containsNonDate="0" containsString="0" containsBlank="1"/>
    </cacheField>
    <cacheField name="Column4771" numFmtId="0">
      <sharedItems containsNonDate="0" containsString="0" containsBlank="1"/>
    </cacheField>
    <cacheField name="Column4772" numFmtId="0">
      <sharedItems containsNonDate="0" containsString="0" containsBlank="1"/>
    </cacheField>
    <cacheField name="Column4773" numFmtId="0">
      <sharedItems containsNonDate="0" containsString="0" containsBlank="1"/>
    </cacheField>
    <cacheField name="Column4774" numFmtId="0">
      <sharedItems containsNonDate="0" containsString="0" containsBlank="1"/>
    </cacheField>
    <cacheField name="Column4775" numFmtId="0">
      <sharedItems containsNonDate="0" containsString="0" containsBlank="1"/>
    </cacheField>
    <cacheField name="Column4776" numFmtId="0">
      <sharedItems containsNonDate="0" containsString="0" containsBlank="1"/>
    </cacheField>
    <cacheField name="Column4777" numFmtId="0">
      <sharedItems containsNonDate="0" containsString="0" containsBlank="1"/>
    </cacheField>
    <cacheField name="Column4778" numFmtId="0">
      <sharedItems containsNonDate="0" containsString="0" containsBlank="1"/>
    </cacheField>
    <cacheField name="Column4779" numFmtId="0">
      <sharedItems containsNonDate="0" containsString="0" containsBlank="1"/>
    </cacheField>
    <cacheField name="Column4780" numFmtId="0">
      <sharedItems containsNonDate="0" containsString="0" containsBlank="1"/>
    </cacheField>
    <cacheField name="Column4781" numFmtId="0">
      <sharedItems containsNonDate="0" containsString="0" containsBlank="1"/>
    </cacheField>
    <cacheField name="Column4782" numFmtId="0">
      <sharedItems containsNonDate="0" containsString="0" containsBlank="1"/>
    </cacheField>
    <cacheField name="Column4783" numFmtId="0">
      <sharedItems containsNonDate="0" containsString="0" containsBlank="1"/>
    </cacheField>
    <cacheField name="Column4784" numFmtId="0">
      <sharedItems containsNonDate="0" containsString="0" containsBlank="1"/>
    </cacheField>
    <cacheField name="Column4785" numFmtId="0">
      <sharedItems containsNonDate="0" containsString="0" containsBlank="1"/>
    </cacheField>
    <cacheField name="Column4786" numFmtId="0">
      <sharedItems containsNonDate="0" containsString="0" containsBlank="1"/>
    </cacheField>
    <cacheField name="Column4787" numFmtId="0">
      <sharedItems containsNonDate="0" containsString="0" containsBlank="1"/>
    </cacheField>
    <cacheField name="Column4788" numFmtId="0">
      <sharedItems containsNonDate="0" containsString="0" containsBlank="1"/>
    </cacheField>
    <cacheField name="Column4789" numFmtId="0">
      <sharedItems containsNonDate="0" containsString="0" containsBlank="1"/>
    </cacheField>
    <cacheField name="Column4790" numFmtId="0">
      <sharedItems containsNonDate="0" containsString="0" containsBlank="1"/>
    </cacheField>
    <cacheField name="Column4791" numFmtId="0">
      <sharedItems containsNonDate="0" containsString="0" containsBlank="1"/>
    </cacheField>
    <cacheField name="Column4792" numFmtId="0">
      <sharedItems containsNonDate="0" containsString="0" containsBlank="1"/>
    </cacheField>
    <cacheField name="Column4793" numFmtId="0">
      <sharedItems containsNonDate="0" containsString="0" containsBlank="1"/>
    </cacheField>
    <cacheField name="Column4794" numFmtId="0">
      <sharedItems containsNonDate="0" containsString="0" containsBlank="1"/>
    </cacheField>
    <cacheField name="Column4795" numFmtId="0">
      <sharedItems containsNonDate="0" containsString="0" containsBlank="1"/>
    </cacheField>
    <cacheField name="Column4796" numFmtId="0">
      <sharedItems containsNonDate="0" containsString="0" containsBlank="1"/>
    </cacheField>
    <cacheField name="Column4797" numFmtId="0">
      <sharedItems containsNonDate="0" containsString="0" containsBlank="1"/>
    </cacheField>
    <cacheField name="Column4798" numFmtId="0">
      <sharedItems containsNonDate="0" containsString="0" containsBlank="1"/>
    </cacheField>
    <cacheField name="Column4799" numFmtId="0">
      <sharedItems containsNonDate="0" containsString="0" containsBlank="1"/>
    </cacheField>
    <cacheField name="Column4800" numFmtId="0">
      <sharedItems containsNonDate="0" containsString="0" containsBlank="1"/>
    </cacheField>
    <cacheField name="Column4801" numFmtId="0">
      <sharedItems containsNonDate="0" containsString="0" containsBlank="1"/>
    </cacheField>
    <cacheField name="Column4802" numFmtId="0">
      <sharedItems containsNonDate="0" containsString="0" containsBlank="1"/>
    </cacheField>
    <cacheField name="Column4803" numFmtId="0">
      <sharedItems containsNonDate="0" containsString="0" containsBlank="1"/>
    </cacheField>
    <cacheField name="Column4804" numFmtId="0">
      <sharedItems containsNonDate="0" containsString="0" containsBlank="1"/>
    </cacheField>
    <cacheField name="Column4805" numFmtId="0">
      <sharedItems containsNonDate="0" containsString="0" containsBlank="1"/>
    </cacheField>
    <cacheField name="Column4806" numFmtId="0">
      <sharedItems containsNonDate="0" containsString="0" containsBlank="1"/>
    </cacheField>
    <cacheField name="Column4807" numFmtId="0">
      <sharedItems containsNonDate="0" containsString="0" containsBlank="1"/>
    </cacheField>
    <cacheField name="Column4808" numFmtId="0">
      <sharedItems containsNonDate="0" containsString="0" containsBlank="1"/>
    </cacheField>
    <cacheField name="Column4809" numFmtId="0">
      <sharedItems containsNonDate="0" containsString="0" containsBlank="1"/>
    </cacheField>
    <cacheField name="Column4810" numFmtId="0">
      <sharedItems containsNonDate="0" containsString="0" containsBlank="1"/>
    </cacheField>
    <cacheField name="Column4811" numFmtId="0">
      <sharedItems containsNonDate="0" containsString="0" containsBlank="1"/>
    </cacheField>
    <cacheField name="Column4812" numFmtId="0">
      <sharedItems containsNonDate="0" containsString="0" containsBlank="1"/>
    </cacheField>
    <cacheField name="Column4813" numFmtId="0">
      <sharedItems containsNonDate="0" containsString="0" containsBlank="1"/>
    </cacheField>
    <cacheField name="Column4814" numFmtId="0">
      <sharedItems containsNonDate="0" containsString="0" containsBlank="1"/>
    </cacheField>
    <cacheField name="Column4815" numFmtId="0">
      <sharedItems containsNonDate="0" containsString="0" containsBlank="1"/>
    </cacheField>
    <cacheField name="Column4816" numFmtId="0">
      <sharedItems containsNonDate="0" containsString="0" containsBlank="1"/>
    </cacheField>
    <cacheField name="Column4817" numFmtId="0">
      <sharedItems containsNonDate="0" containsString="0" containsBlank="1"/>
    </cacheField>
    <cacheField name="Column4818" numFmtId="0">
      <sharedItems containsNonDate="0" containsString="0" containsBlank="1"/>
    </cacheField>
    <cacheField name="Column4819" numFmtId="0">
      <sharedItems containsNonDate="0" containsString="0" containsBlank="1"/>
    </cacheField>
    <cacheField name="Column4820" numFmtId="0">
      <sharedItems containsNonDate="0" containsString="0" containsBlank="1"/>
    </cacheField>
    <cacheField name="Column4821" numFmtId="0">
      <sharedItems containsNonDate="0" containsString="0" containsBlank="1"/>
    </cacheField>
    <cacheField name="Column4822" numFmtId="0">
      <sharedItems containsNonDate="0" containsString="0" containsBlank="1"/>
    </cacheField>
    <cacheField name="Column4823" numFmtId="0">
      <sharedItems containsNonDate="0" containsString="0" containsBlank="1"/>
    </cacheField>
    <cacheField name="Column4824" numFmtId="0">
      <sharedItems containsNonDate="0" containsString="0" containsBlank="1"/>
    </cacheField>
    <cacheField name="Column4825" numFmtId="0">
      <sharedItems containsNonDate="0" containsString="0" containsBlank="1"/>
    </cacheField>
    <cacheField name="Column4826" numFmtId="0">
      <sharedItems containsNonDate="0" containsString="0" containsBlank="1"/>
    </cacheField>
    <cacheField name="Column4827" numFmtId="0">
      <sharedItems containsNonDate="0" containsString="0" containsBlank="1"/>
    </cacheField>
    <cacheField name="Column4828" numFmtId="0">
      <sharedItems containsNonDate="0" containsString="0" containsBlank="1"/>
    </cacheField>
    <cacheField name="Column4829" numFmtId="0">
      <sharedItems containsNonDate="0" containsString="0" containsBlank="1"/>
    </cacheField>
    <cacheField name="Column4830" numFmtId="0">
      <sharedItems containsNonDate="0" containsString="0" containsBlank="1"/>
    </cacheField>
    <cacheField name="Column4831" numFmtId="0">
      <sharedItems containsNonDate="0" containsString="0" containsBlank="1"/>
    </cacheField>
    <cacheField name="Column4832" numFmtId="0">
      <sharedItems containsNonDate="0" containsString="0" containsBlank="1"/>
    </cacheField>
    <cacheField name="Column4833" numFmtId="0">
      <sharedItems containsNonDate="0" containsString="0" containsBlank="1"/>
    </cacheField>
    <cacheField name="Column4834" numFmtId="0">
      <sharedItems containsNonDate="0" containsString="0" containsBlank="1"/>
    </cacheField>
    <cacheField name="Column4835" numFmtId="0">
      <sharedItems containsNonDate="0" containsString="0" containsBlank="1"/>
    </cacheField>
    <cacheField name="Column4836" numFmtId="0">
      <sharedItems containsNonDate="0" containsString="0" containsBlank="1"/>
    </cacheField>
    <cacheField name="Column4837" numFmtId="0">
      <sharedItems containsNonDate="0" containsString="0" containsBlank="1"/>
    </cacheField>
    <cacheField name="Column4838" numFmtId="0">
      <sharedItems containsNonDate="0" containsString="0" containsBlank="1"/>
    </cacheField>
    <cacheField name="Column4839" numFmtId="0">
      <sharedItems containsNonDate="0" containsString="0" containsBlank="1"/>
    </cacheField>
    <cacheField name="Column4840" numFmtId="0">
      <sharedItems containsNonDate="0" containsString="0" containsBlank="1"/>
    </cacheField>
    <cacheField name="Column4841" numFmtId="0">
      <sharedItems containsNonDate="0" containsString="0" containsBlank="1"/>
    </cacheField>
    <cacheField name="Column4842" numFmtId="0">
      <sharedItems containsNonDate="0" containsString="0" containsBlank="1"/>
    </cacheField>
    <cacheField name="Column4843" numFmtId="0">
      <sharedItems containsNonDate="0" containsString="0" containsBlank="1"/>
    </cacheField>
    <cacheField name="Column4844" numFmtId="0">
      <sharedItems containsNonDate="0" containsString="0" containsBlank="1"/>
    </cacheField>
    <cacheField name="Column4845" numFmtId="0">
      <sharedItems containsNonDate="0" containsString="0" containsBlank="1"/>
    </cacheField>
    <cacheField name="Column4846" numFmtId="0">
      <sharedItems containsNonDate="0" containsString="0" containsBlank="1"/>
    </cacheField>
    <cacheField name="Column4847" numFmtId="0">
      <sharedItems containsNonDate="0" containsString="0" containsBlank="1"/>
    </cacheField>
    <cacheField name="Column4848" numFmtId="0">
      <sharedItems containsNonDate="0" containsString="0" containsBlank="1"/>
    </cacheField>
    <cacheField name="Column4849" numFmtId="0">
      <sharedItems containsNonDate="0" containsString="0" containsBlank="1"/>
    </cacheField>
    <cacheField name="Column4850" numFmtId="0">
      <sharedItems containsNonDate="0" containsString="0" containsBlank="1"/>
    </cacheField>
    <cacheField name="Column4851" numFmtId="0">
      <sharedItems containsNonDate="0" containsString="0" containsBlank="1"/>
    </cacheField>
    <cacheField name="Column4852" numFmtId="0">
      <sharedItems containsNonDate="0" containsString="0" containsBlank="1"/>
    </cacheField>
    <cacheField name="Column4853" numFmtId="0">
      <sharedItems containsNonDate="0" containsString="0" containsBlank="1"/>
    </cacheField>
    <cacheField name="Column4854" numFmtId="0">
      <sharedItems containsNonDate="0" containsString="0" containsBlank="1"/>
    </cacheField>
    <cacheField name="Column4855" numFmtId="0">
      <sharedItems containsNonDate="0" containsString="0" containsBlank="1"/>
    </cacheField>
    <cacheField name="Column4856" numFmtId="0">
      <sharedItems containsNonDate="0" containsString="0" containsBlank="1"/>
    </cacheField>
    <cacheField name="Column4857" numFmtId="0">
      <sharedItems containsNonDate="0" containsString="0" containsBlank="1"/>
    </cacheField>
    <cacheField name="Column4858" numFmtId="0">
      <sharedItems containsNonDate="0" containsString="0" containsBlank="1"/>
    </cacheField>
    <cacheField name="Column4859" numFmtId="0">
      <sharedItems containsNonDate="0" containsString="0" containsBlank="1"/>
    </cacheField>
    <cacheField name="Column4860" numFmtId="0">
      <sharedItems containsNonDate="0" containsString="0" containsBlank="1"/>
    </cacheField>
    <cacheField name="Column4861" numFmtId="0">
      <sharedItems containsNonDate="0" containsString="0" containsBlank="1"/>
    </cacheField>
    <cacheField name="Column4862" numFmtId="0">
      <sharedItems containsNonDate="0" containsString="0" containsBlank="1"/>
    </cacheField>
    <cacheField name="Column4863" numFmtId="0">
      <sharedItems containsNonDate="0" containsString="0" containsBlank="1"/>
    </cacheField>
    <cacheField name="Column4864" numFmtId="0">
      <sharedItems containsNonDate="0" containsString="0" containsBlank="1"/>
    </cacheField>
    <cacheField name="Column4865" numFmtId="0">
      <sharedItems containsNonDate="0" containsString="0" containsBlank="1"/>
    </cacheField>
    <cacheField name="Column4866" numFmtId="0">
      <sharedItems containsNonDate="0" containsString="0" containsBlank="1"/>
    </cacheField>
    <cacheField name="Column4867" numFmtId="0">
      <sharedItems containsNonDate="0" containsString="0" containsBlank="1"/>
    </cacheField>
    <cacheField name="Column4868" numFmtId="0">
      <sharedItems containsNonDate="0" containsString="0" containsBlank="1"/>
    </cacheField>
    <cacheField name="Column4869" numFmtId="0">
      <sharedItems containsNonDate="0" containsString="0" containsBlank="1"/>
    </cacheField>
    <cacheField name="Column4870" numFmtId="0">
      <sharedItems containsNonDate="0" containsString="0" containsBlank="1"/>
    </cacheField>
    <cacheField name="Column4871" numFmtId="0">
      <sharedItems containsNonDate="0" containsString="0" containsBlank="1"/>
    </cacheField>
    <cacheField name="Column4872" numFmtId="0">
      <sharedItems containsNonDate="0" containsString="0" containsBlank="1"/>
    </cacheField>
    <cacheField name="Column4873" numFmtId="0">
      <sharedItems containsNonDate="0" containsString="0" containsBlank="1"/>
    </cacheField>
    <cacheField name="Column4874" numFmtId="0">
      <sharedItems containsNonDate="0" containsString="0" containsBlank="1"/>
    </cacheField>
    <cacheField name="Column4875" numFmtId="0">
      <sharedItems containsNonDate="0" containsString="0" containsBlank="1"/>
    </cacheField>
    <cacheField name="Column4876" numFmtId="0">
      <sharedItems containsNonDate="0" containsString="0" containsBlank="1"/>
    </cacheField>
    <cacheField name="Column4877" numFmtId="0">
      <sharedItems containsNonDate="0" containsString="0" containsBlank="1"/>
    </cacheField>
    <cacheField name="Column4878" numFmtId="0">
      <sharedItems containsNonDate="0" containsString="0" containsBlank="1"/>
    </cacheField>
    <cacheField name="Column4879" numFmtId="0">
      <sharedItems containsNonDate="0" containsString="0" containsBlank="1"/>
    </cacheField>
    <cacheField name="Column4880" numFmtId="0">
      <sharedItems containsNonDate="0" containsString="0" containsBlank="1"/>
    </cacheField>
    <cacheField name="Column4881" numFmtId="0">
      <sharedItems containsNonDate="0" containsString="0" containsBlank="1"/>
    </cacheField>
    <cacheField name="Column4882" numFmtId="0">
      <sharedItems containsNonDate="0" containsString="0" containsBlank="1"/>
    </cacheField>
    <cacheField name="Column4883" numFmtId="0">
      <sharedItems containsNonDate="0" containsString="0" containsBlank="1"/>
    </cacheField>
    <cacheField name="Column4884" numFmtId="0">
      <sharedItems containsNonDate="0" containsString="0" containsBlank="1"/>
    </cacheField>
    <cacheField name="Column4885" numFmtId="0">
      <sharedItems containsNonDate="0" containsString="0" containsBlank="1"/>
    </cacheField>
    <cacheField name="Column4886" numFmtId="0">
      <sharedItems containsNonDate="0" containsString="0" containsBlank="1"/>
    </cacheField>
    <cacheField name="Column4887" numFmtId="0">
      <sharedItems containsNonDate="0" containsString="0" containsBlank="1"/>
    </cacheField>
    <cacheField name="Column4888" numFmtId="0">
      <sharedItems containsNonDate="0" containsString="0" containsBlank="1"/>
    </cacheField>
    <cacheField name="Column4889" numFmtId="0">
      <sharedItems containsNonDate="0" containsString="0" containsBlank="1"/>
    </cacheField>
    <cacheField name="Column4890" numFmtId="0">
      <sharedItems containsNonDate="0" containsString="0" containsBlank="1"/>
    </cacheField>
    <cacheField name="Column4891" numFmtId="0">
      <sharedItems containsNonDate="0" containsString="0" containsBlank="1"/>
    </cacheField>
    <cacheField name="Column4892" numFmtId="0">
      <sharedItems containsNonDate="0" containsString="0" containsBlank="1"/>
    </cacheField>
    <cacheField name="Column4893" numFmtId="0">
      <sharedItems containsNonDate="0" containsString="0" containsBlank="1"/>
    </cacheField>
    <cacheField name="Column4894" numFmtId="0">
      <sharedItems containsNonDate="0" containsString="0" containsBlank="1"/>
    </cacheField>
    <cacheField name="Column4895" numFmtId="0">
      <sharedItems containsNonDate="0" containsString="0" containsBlank="1"/>
    </cacheField>
    <cacheField name="Column4896" numFmtId="0">
      <sharedItems containsNonDate="0" containsString="0" containsBlank="1"/>
    </cacheField>
    <cacheField name="Column4897" numFmtId="0">
      <sharedItems containsNonDate="0" containsString="0" containsBlank="1"/>
    </cacheField>
    <cacheField name="Column4898" numFmtId="0">
      <sharedItems containsNonDate="0" containsString="0" containsBlank="1"/>
    </cacheField>
    <cacheField name="Column4899" numFmtId="0">
      <sharedItems containsNonDate="0" containsString="0" containsBlank="1"/>
    </cacheField>
    <cacheField name="Column4900" numFmtId="0">
      <sharedItems containsNonDate="0" containsString="0" containsBlank="1"/>
    </cacheField>
    <cacheField name="Column4901" numFmtId="0">
      <sharedItems containsNonDate="0" containsString="0" containsBlank="1"/>
    </cacheField>
    <cacheField name="Column4902" numFmtId="0">
      <sharedItems containsNonDate="0" containsString="0" containsBlank="1"/>
    </cacheField>
    <cacheField name="Column4903" numFmtId="0">
      <sharedItems containsNonDate="0" containsString="0" containsBlank="1"/>
    </cacheField>
    <cacheField name="Column4904" numFmtId="0">
      <sharedItems containsNonDate="0" containsString="0" containsBlank="1"/>
    </cacheField>
    <cacheField name="Column4905" numFmtId="0">
      <sharedItems containsNonDate="0" containsString="0" containsBlank="1"/>
    </cacheField>
    <cacheField name="Column4906" numFmtId="0">
      <sharedItems containsNonDate="0" containsString="0" containsBlank="1"/>
    </cacheField>
    <cacheField name="Column4907" numFmtId="0">
      <sharedItems containsNonDate="0" containsString="0" containsBlank="1"/>
    </cacheField>
    <cacheField name="Column4908" numFmtId="0">
      <sharedItems containsNonDate="0" containsString="0" containsBlank="1"/>
    </cacheField>
    <cacheField name="Column4909" numFmtId="0">
      <sharedItems containsNonDate="0" containsString="0" containsBlank="1"/>
    </cacheField>
    <cacheField name="Column4910" numFmtId="0">
      <sharedItems containsNonDate="0" containsString="0" containsBlank="1"/>
    </cacheField>
    <cacheField name="Column4911" numFmtId="0">
      <sharedItems containsNonDate="0" containsString="0" containsBlank="1"/>
    </cacheField>
    <cacheField name="Column4912" numFmtId="0">
      <sharedItems containsNonDate="0" containsString="0" containsBlank="1"/>
    </cacheField>
    <cacheField name="Column4913" numFmtId="0">
      <sharedItems containsNonDate="0" containsString="0" containsBlank="1"/>
    </cacheField>
    <cacheField name="Column4914" numFmtId="0">
      <sharedItems containsNonDate="0" containsString="0" containsBlank="1"/>
    </cacheField>
    <cacheField name="Column4915" numFmtId="0">
      <sharedItems containsNonDate="0" containsString="0" containsBlank="1"/>
    </cacheField>
    <cacheField name="Column4916" numFmtId="0">
      <sharedItems containsNonDate="0" containsString="0" containsBlank="1"/>
    </cacheField>
    <cacheField name="Column4917" numFmtId="0">
      <sharedItems containsNonDate="0" containsString="0" containsBlank="1"/>
    </cacheField>
    <cacheField name="Column4918" numFmtId="0">
      <sharedItems containsNonDate="0" containsString="0" containsBlank="1"/>
    </cacheField>
    <cacheField name="Column4919" numFmtId="0">
      <sharedItems containsNonDate="0" containsString="0" containsBlank="1"/>
    </cacheField>
    <cacheField name="Column4920" numFmtId="0">
      <sharedItems containsNonDate="0" containsString="0" containsBlank="1"/>
    </cacheField>
    <cacheField name="Column4921" numFmtId="0">
      <sharedItems containsNonDate="0" containsString="0" containsBlank="1"/>
    </cacheField>
    <cacheField name="Column4922" numFmtId="0">
      <sharedItems containsNonDate="0" containsString="0" containsBlank="1"/>
    </cacheField>
    <cacheField name="Column4923" numFmtId="0">
      <sharedItems containsNonDate="0" containsString="0" containsBlank="1"/>
    </cacheField>
    <cacheField name="Column4924" numFmtId="0">
      <sharedItems containsNonDate="0" containsString="0" containsBlank="1"/>
    </cacheField>
    <cacheField name="Column4925" numFmtId="0">
      <sharedItems containsNonDate="0" containsString="0" containsBlank="1"/>
    </cacheField>
    <cacheField name="Column4926" numFmtId="0">
      <sharedItems containsNonDate="0" containsString="0" containsBlank="1"/>
    </cacheField>
    <cacheField name="Column4927" numFmtId="0">
      <sharedItems containsNonDate="0" containsString="0" containsBlank="1"/>
    </cacheField>
    <cacheField name="Column4928" numFmtId="0">
      <sharedItems containsNonDate="0" containsString="0" containsBlank="1"/>
    </cacheField>
    <cacheField name="Column4929" numFmtId="0">
      <sharedItems containsNonDate="0" containsString="0" containsBlank="1"/>
    </cacheField>
    <cacheField name="Column4930" numFmtId="0">
      <sharedItems containsNonDate="0" containsString="0" containsBlank="1"/>
    </cacheField>
    <cacheField name="Column4931" numFmtId="0">
      <sharedItems containsNonDate="0" containsString="0" containsBlank="1"/>
    </cacheField>
    <cacheField name="Column4932" numFmtId="0">
      <sharedItems containsNonDate="0" containsString="0" containsBlank="1"/>
    </cacheField>
    <cacheField name="Column4933" numFmtId="0">
      <sharedItems containsNonDate="0" containsString="0" containsBlank="1"/>
    </cacheField>
    <cacheField name="Column4934" numFmtId="0">
      <sharedItems containsNonDate="0" containsString="0" containsBlank="1"/>
    </cacheField>
    <cacheField name="Column4935" numFmtId="0">
      <sharedItems containsNonDate="0" containsString="0" containsBlank="1"/>
    </cacheField>
    <cacheField name="Column4936" numFmtId="0">
      <sharedItems containsNonDate="0" containsString="0" containsBlank="1"/>
    </cacheField>
    <cacheField name="Column4937" numFmtId="0">
      <sharedItems containsNonDate="0" containsString="0" containsBlank="1"/>
    </cacheField>
    <cacheField name="Column4938" numFmtId="0">
      <sharedItems containsNonDate="0" containsString="0" containsBlank="1"/>
    </cacheField>
    <cacheField name="Column4939" numFmtId="0">
      <sharedItems containsNonDate="0" containsString="0" containsBlank="1"/>
    </cacheField>
    <cacheField name="Column4940" numFmtId="0">
      <sharedItems containsNonDate="0" containsString="0" containsBlank="1"/>
    </cacheField>
    <cacheField name="Column4941" numFmtId="0">
      <sharedItems containsNonDate="0" containsString="0" containsBlank="1"/>
    </cacheField>
    <cacheField name="Column4942" numFmtId="0">
      <sharedItems containsNonDate="0" containsString="0" containsBlank="1"/>
    </cacheField>
    <cacheField name="Column4943" numFmtId="0">
      <sharedItems containsNonDate="0" containsString="0" containsBlank="1"/>
    </cacheField>
    <cacheField name="Column4944" numFmtId="0">
      <sharedItems containsNonDate="0" containsString="0" containsBlank="1"/>
    </cacheField>
    <cacheField name="Column4945" numFmtId="0">
      <sharedItems containsNonDate="0" containsString="0" containsBlank="1"/>
    </cacheField>
    <cacheField name="Column4946" numFmtId="0">
      <sharedItems containsNonDate="0" containsString="0" containsBlank="1"/>
    </cacheField>
    <cacheField name="Column4947" numFmtId="0">
      <sharedItems containsNonDate="0" containsString="0" containsBlank="1"/>
    </cacheField>
    <cacheField name="Column4948" numFmtId="0">
      <sharedItems containsNonDate="0" containsString="0" containsBlank="1"/>
    </cacheField>
    <cacheField name="Column4949" numFmtId="0">
      <sharedItems containsNonDate="0" containsString="0" containsBlank="1"/>
    </cacheField>
    <cacheField name="Column4950" numFmtId="0">
      <sharedItems containsNonDate="0" containsString="0" containsBlank="1"/>
    </cacheField>
    <cacheField name="Column4951" numFmtId="0">
      <sharedItems containsNonDate="0" containsString="0" containsBlank="1"/>
    </cacheField>
    <cacheField name="Column4952" numFmtId="0">
      <sharedItems containsNonDate="0" containsString="0" containsBlank="1"/>
    </cacheField>
    <cacheField name="Column4953" numFmtId="0">
      <sharedItems containsNonDate="0" containsString="0" containsBlank="1"/>
    </cacheField>
    <cacheField name="Column4954" numFmtId="0">
      <sharedItems containsNonDate="0" containsString="0" containsBlank="1"/>
    </cacheField>
    <cacheField name="Column4955" numFmtId="0">
      <sharedItems containsNonDate="0" containsString="0" containsBlank="1"/>
    </cacheField>
    <cacheField name="Column4956" numFmtId="0">
      <sharedItems containsNonDate="0" containsString="0" containsBlank="1"/>
    </cacheField>
    <cacheField name="Column4957" numFmtId="0">
      <sharedItems containsNonDate="0" containsString="0" containsBlank="1"/>
    </cacheField>
    <cacheField name="Column4958" numFmtId="0">
      <sharedItems containsNonDate="0" containsString="0" containsBlank="1"/>
    </cacheField>
    <cacheField name="Column4959" numFmtId="0">
      <sharedItems containsNonDate="0" containsString="0" containsBlank="1"/>
    </cacheField>
    <cacheField name="Column4960" numFmtId="0">
      <sharedItems containsNonDate="0" containsString="0" containsBlank="1"/>
    </cacheField>
    <cacheField name="Column4961" numFmtId="0">
      <sharedItems containsNonDate="0" containsString="0" containsBlank="1"/>
    </cacheField>
    <cacheField name="Column4962" numFmtId="0">
      <sharedItems containsNonDate="0" containsString="0" containsBlank="1"/>
    </cacheField>
    <cacheField name="Column4963" numFmtId="0">
      <sharedItems containsNonDate="0" containsString="0" containsBlank="1"/>
    </cacheField>
    <cacheField name="Column4964" numFmtId="0">
      <sharedItems containsNonDate="0" containsString="0" containsBlank="1"/>
    </cacheField>
    <cacheField name="Column4965" numFmtId="0">
      <sharedItems containsNonDate="0" containsString="0" containsBlank="1"/>
    </cacheField>
    <cacheField name="Column4966" numFmtId="0">
      <sharedItems containsNonDate="0" containsString="0" containsBlank="1"/>
    </cacheField>
    <cacheField name="Column4967" numFmtId="0">
      <sharedItems containsNonDate="0" containsString="0" containsBlank="1"/>
    </cacheField>
    <cacheField name="Column4968" numFmtId="0">
      <sharedItems containsNonDate="0" containsString="0" containsBlank="1"/>
    </cacheField>
    <cacheField name="Column4969" numFmtId="0">
      <sharedItems containsNonDate="0" containsString="0" containsBlank="1"/>
    </cacheField>
    <cacheField name="Column4970" numFmtId="0">
      <sharedItems containsNonDate="0" containsString="0" containsBlank="1"/>
    </cacheField>
    <cacheField name="Column4971" numFmtId="0">
      <sharedItems containsNonDate="0" containsString="0" containsBlank="1"/>
    </cacheField>
    <cacheField name="Column4972" numFmtId="0">
      <sharedItems containsNonDate="0" containsString="0" containsBlank="1"/>
    </cacheField>
    <cacheField name="Column4973" numFmtId="0">
      <sharedItems containsNonDate="0" containsString="0" containsBlank="1"/>
    </cacheField>
    <cacheField name="Column4974" numFmtId="0">
      <sharedItems containsNonDate="0" containsString="0" containsBlank="1"/>
    </cacheField>
    <cacheField name="Column4975" numFmtId="0">
      <sharedItems containsNonDate="0" containsString="0" containsBlank="1"/>
    </cacheField>
    <cacheField name="Column4976" numFmtId="0">
      <sharedItems containsNonDate="0" containsString="0" containsBlank="1"/>
    </cacheField>
    <cacheField name="Column4977" numFmtId="0">
      <sharedItems containsNonDate="0" containsString="0" containsBlank="1"/>
    </cacheField>
    <cacheField name="Column4978" numFmtId="0">
      <sharedItems containsNonDate="0" containsString="0" containsBlank="1"/>
    </cacheField>
    <cacheField name="Column4979" numFmtId="0">
      <sharedItems containsNonDate="0" containsString="0" containsBlank="1"/>
    </cacheField>
    <cacheField name="Column4980" numFmtId="0">
      <sharedItems containsNonDate="0" containsString="0" containsBlank="1"/>
    </cacheField>
    <cacheField name="Column4981" numFmtId="0">
      <sharedItems containsNonDate="0" containsString="0" containsBlank="1"/>
    </cacheField>
    <cacheField name="Column4982" numFmtId="0">
      <sharedItems containsNonDate="0" containsString="0" containsBlank="1"/>
    </cacheField>
    <cacheField name="Column4983" numFmtId="0">
      <sharedItems containsNonDate="0" containsString="0" containsBlank="1"/>
    </cacheField>
    <cacheField name="Column4984" numFmtId="0">
      <sharedItems containsNonDate="0" containsString="0" containsBlank="1"/>
    </cacheField>
    <cacheField name="Column4985" numFmtId="0">
      <sharedItems containsNonDate="0" containsString="0" containsBlank="1"/>
    </cacheField>
    <cacheField name="Column4986" numFmtId="0">
      <sharedItems containsNonDate="0" containsString="0" containsBlank="1"/>
    </cacheField>
    <cacheField name="Column4987" numFmtId="0">
      <sharedItems containsNonDate="0" containsString="0" containsBlank="1"/>
    </cacheField>
    <cacheField name="Column4988" numFmtId="0">
      <sharedItems containsNonDate="0" containsString="0" containsBlank="1"/>
    </cacheField>
    <cacheField name="Column4989" numFmtId="0">
      <sharedItems containsNonDate="0" containsString="0" containsBlank="1"/>
    </cacheField>
    <cacheField name="Column4990" numFmtId="0">
      <sharedItems containsNonDate="0" containsString="0" containsBlank="1"/>
    </cacheField>
    <cacheField name="Column4991" numFmtId="0">
      <sharedItems containsNonDate="0" containsString="0" containsBlank="1"/>
    </cacheField>
    <cacheField name="Column4992" numFmtId="0">
      <sharedItems containsNonDate="0" containsString="0" containsBlank="1"/>
    </cacheField>
    <cacheField name="Column4993" numFmtId="0">
      <sharedItems containsNonDate="0" containsString="0" containsBlank="1"/>
    </cacheField>
    <cacheField name="Column4994" numFmtId="0">
      <sharedItems containsNonDate="0" containsString="0" containsBlank="1"/>
    </cacheField>
    <cacheField name="Column4995" numFmtId="0">
      <sharedItems containsNonDate="0" containsString="0" containsBlank="1"/>
    </cacheField>
    <cacheField name="Column4996" numFmtId="0">
      <sharedItems containsNonDate="0" containsString="0" containsBlank="1"/>
    </cacheField>
    <cacheField name="Column4997" numFmtId="0">
      <sharedItems containsNonDate="0" containsString="0" containsBlank="1"/>
    </cacheField>
    <cacheField name="Column4998" numFmtId="0">
      <sharedItems containsNonDate="0" containsString="0" containsBlank="1"/>
    </cacheField>
    <cacheField name="Column4999" numFmtId="0">
      <sharedItems containsNonDate="0" containsString="0" containsBlank="1"/>
    </cacheField>
    <cacheField name="Column5000" numFmtId="0">
      <sharedItems containsNonDate="0" containsString="0" containsBlank="1"/>
    </cacheField>
    <cacheField name="Column5001" numFmtId="0">
      <sharedItems containsNonDate="0" containsString="0" containsBlank="1"/>
    </cacheField>
    <cacheField name="Column5002" numFmtId="0">
      <sharedItems containsNonDate="0" containsString="0" containsBlank="1"/>
    </cacheField>
    <cacheField name="Column5003" numFmtId="0">
      <sharedItems containsNonDate="0" containsString="0" containsBlank="1"/>
    </cacheField>
    <cacheField name="Column5004" numFmtId="0">
      <sharedItems containsNonDate="0" containsString="0" containsBlank="1"/>
    </cacheField>
    <cacheField name="Column5005" numFmtId="0">
      <sharedItems containsNonDate="0" containsString="0" containsBlank="1"/>
    </cacheField>
    <cacheField name="Column5006" numFmtId="0">
      <sharedItems containsNonDate="0" containsString="0" containsBlank="1"/>
    </cacheField>
    <cacheField name="Column5007" numFmtId="0">
      <sharedItems containsNonDate="0" containsString="0" containsBlank="1"/>
    </cacheField>
    <cacheField name="Column5008" numFmtId="0">
      <sharedItems containsNonDate="0" containsString="0" containsBlank="1"/>
    </cacheField>
    <cacheField name="Column5009" numFmtId="0">
      <sharedItems containsNonDate="0" containsString="0" containsBlank="1"/>
    </cacheField>
    <cacheField name="Column5010" numFmtId="0">
      <sharedItems containsNonDate="0" containsString="0" containsBlank="1"/>
    </cacheField>
    <cacheField name="Column5011" numFmtId="0">
      <sharedItems containsNonDate="0" containsString="0" containsBlank="1"/>
    </cacheField>
    <cacheField name="Column5012" numFmtId="0">
      <sharedItems containsNonDate="0" containsString="0" containsBlank="1"/>
    </cacheField>
    <cacheField name="Column5013" numFmtId="0">
      <sharedItems containsNonDate="0" containsString="0" containsBlank="1"/>
    </cacheField>
    <cacheField name="Column5014" numFmtId="0">
      <sharedItems containsNonDate="0" containsString="0" containsBlank="1"/>
    </cacheField>
    <cacheField name="Column5015" numFmtId="0">
      <sharedItems containsNonDate="0" containsString="0" containsBlank="1"/>
    </cacheField>
    <cacheField name="Column5016" numFmtId="0">
      <sharedItems containsNonDate="0" containsString="0" containsBlank="1"/>
    </cacheField>
    <cacheField name="Column5017" numFmtId="0">
      <sharedItems containsNonDate="0" containsString="0" containsBlank="1"/>
    </cacheField>
    <cacheField name="Column5018" numFmtId="0">
      <sharedItems containsNonDate="0" containsString="0" containsBlank="1"/>
    </cacheField>
    <cacheField name="Column5019" numFmtId="0">
      <sharedItems containsNonDate="0" containsString="0" containsBlank="1"/>
    </cacheField>
    <cacheField name="Column5020" numFmtId="0">
      <sharedItems containsNonDate="0" containsString="0" containsBlank="1"/>
    </cacheField>
    <cacheField name="Column5021" numFmtId="0">
      <sharedItems containsNonDate="0" containsString="0" containsBlank="1"/>
    </cacheField>
    <cacheField name="Column5022" numFmtId="0">
      <sharedItems containsNonDate="0" containsString="0" containsBlank="1"/>
    </cacheField>
    <cacheField name="Column5023" numFmtId="0">
      <sharedItems containsNonDate="0" containsString="0" containsBlank="1"/>
    </cacheField>
    <cacheField name="Column5024" numFmtId="0">
      <sharedItems containsNonDate="0" containsString="0" containsBlank="1"/>
    </cacheField>
    <cacheField name="Column5025" numFmtId="0">
      <sharedItems containsNonDate="0" containsString="0" containsBlank="1"/>
    </cacheField>
    <cacheField name="Column5026" numFmtId="0">
      <sharedItems containsNonDate="0" containsString="0" containsBlank="1"/>
    </cacheField>
    <cacheField name="Column5027" numFmtId="0">
      <sharedItems containsNonDate="0" containsString="0" containsBlank="1"/>
    </cacheField>
    <cacheField name="Column5028" numFmtId="0">
      <sharedItems containsNonDate="0" containsString="0" containsBlank="1"/>
    </cacheField>
    <cacheField name="Column5029" numFmtId="0">
      <sharedItems containsNonDate="0" containsString="0" containsBlank="1"/>
    </cacheField>
    <cacheField name="Column5030" numFmtId="0">
      <sharedItems containsNonDate="0" containsString="0" containsBlank="1"/>
    </cacheField>
    <cacheField name="Column5031" numFmtId="0">
      <sharedItems containsNonDate="0" containsString="0" containsBlank="1"/>
    </cacheField>
    <cacheField name="Column5032" numFmtId="0">
      <sharedItems containsNonDate="0" containsString="0" containsBlank="1"/>
    </cacheField>
    <cacheField name="Column5033" numFmtId="0">
      <sharedItems containsNonDate="0" containsString="0" containsBlank="1"/>
    </cacheField>
    <cacheField name="Column5034" numFmtId="0">
      <sharedItems containsNonDate="0" containsString="0" containsBlank="1"/>
    </cacheField>
    <cacheField name="Column5035" numFmtId="0">
      <sharedItems containsNonDate="0" containsString="0" containsBlank="1"/>
    </cacheField>
    <cacheField name="Column5036" numFmtId="0">
      <sharedItems containsNonDate="0" containsString="0" containsBlank="1"/>
    </cacheField>
    <cacheField name="Column5037" numFmtId="0">
      <sharedItems containsNonDate="0" containsString="0" containsBlank="1"/>
    </cacheField>
    <cacheField name="Column5038" numFmtId="0">
      <sharedItems containsNonDate="0" containsString="0" containsBlank="1"/>
    </cacheField>
    <cacheField name="Column5039" numFmtId="0">
      <sharedItems containsNonDate="0" containsString="0" containsBlank="1"/>
    </cacheField>
    <cacheField name="Column5040" numFmtId="0">
      <sharedItems containsNonDate="0" containsString="0" containsBlank="1"/>
    </cacheField>
    <cacheField name="Column5041" numFmtId="0">
      <sharedItems containsNonDate="0" containsString="0" containsBlank="1"/>
    </cacheField>
    <cacheField name="Column5042" numFmtId="0">
      <sharedItems containsNonDate="0" containsString="0" containsBlank="1"/>
    </cacheField>
    <cacheField name="Column5043" numFmtId="0">
      <sharedItems containsNonDate="0" containsString="0" containsBlank="1"/>
    </cacheField>
    <cacheField name="Column5044" numFmtId="0">
      <sharedItems containsNonDate="0" containsString="0" containsBlank="1"/>
    </cacheField>
    <cacheField name="Column5045" numFmtId="0">
      <sharedItems containsNonDate="0" containsString="0" containsBlank="1"/>
    </cacheField>
    <cacheField name="Column5046" numFmtId="0">
      <sharedItems containsNonDate="0" containsString="0" containsBlank="1"/>
    </cacheField>
    <cacheField name="Column5047" numFmtId="0">
      <sharedItems containsNonDate="0" containsString="0" containsBlank="1"/>
    </cacheField>
    <cacheField name="Column5048" numFmtId="0">
      <sharedItems containsNonDate="0" containsString="0" containsBlank="1"/>
    </cacheField>
    <cacheField name="Column5049" numFmtId="0">
      <sharedItems containsNonDate="0" containsString="0" containsBlank="1"/>
    </cacheField>
    <cacheField name="Column5050" numFmtId="0">
      <sharedItems containsNonDate="0" containsString="0" containsBlank="1"/>
    </cacheField>
    <cacheField name="Column5051" numFmtId="0">
      <sharedItems containsNonDate="0" containsString="0" containsBlank="1"/>
    </cacheField>
    <cacheField name="Column5052" numFmtId="0">
      <sharedItems containsNonDate="0" containsString="0" containsBlank="1"/>
    </cacheField>
    <cacheField name="Column5053" numFmtId="0">
      <sharedItems containsNonDate="0" containsString="0" containsBlank="1"/>
    </cacheField>
    <cacheField name="Column5054" numFmtId="0">
      <sharedItems containsNonDate="0" containsString="0" containsBlank="1"/>
    </cacheField>
    <cacheField name="Column5055" numFmtId="0">
      <sharedItems containsNonDate="0" containsString="0" containsBlank="1"/>
    </cacheField>
    <cacheField name="Column5056" numFmtId="0">
      <sharedItems containsNonDate="0" containsString="0" containsBlank="1"/>
    </cacheField>
    <cacheField name="Column5057" numFmtId="0">
      <sharedItems containsNonDate="0" containsString="0" containsBlank="1"/>
    </cacheField>
    <cacheField name="Column5058" numFmtId="0">
      <sharedItems containsNonDate="0" containsString="0" containsBlank="1"/>
    </cacheField>
    <cacheField name="Column5059" numFmtId="0">
      <sharedItems containsNonDate="0" containsString="0" containsBlank="1"/>
    </cacheField>
    <cacheField name="Column5060" numFmtId="0">
      <sharedItems containsNonDate="0" containsString="0" containsBlank="1"/>
    </cacheField>
    <cacheField name="Column5061" numFmtId="0">
      <sharedItems containsNonDate="0" containsString="0" containsBlank="1"/>
    </cacheField>
    <cacheField name="Column5062" numFmtId="0">
      <sharedItems containsNonDate="0" containsString="0" containsBlank="1"/>
    </cacheField>
    <cacheField name="Column5063" numFmtId="0">
      <sharedItems containsNonDate="0" containsString="0" containsBlank="1"/>
    </cacheField>
    <cacheField name="Column5064" numFmtId="0">
      <sharedItems containsNonDate="0" containsString="0" containsBlank="1"/>
    </cacheField>
    <cacheField name="Column5065" numFmtId="0">
      <sharedItems containsNonDate="0" containsString="0" containsBlank="1"/>
    </cacheField>
    <cacheField name="Column5066" numFmtId="0">
      <sharedItems containsNonDate="0" containsString="0" containsBlank="1"/>
    </cacheField>
    <cacheField name="Column5067" numFmtId="0">
      <sharedItems containsNonDate="0" containsString="0" containsBlank="1"/>
    </cacheField>
    <cacheField name="Column5068" numFmtId="0">
      <sharedItems containsNonDate="0" containsString="0" containsBlank="1"/>
    </cacheField>
    <cacheField name="Column5069" numFmtId="0">
      <sharedItems containsNonDate="0" containsString="0" containsBlank="1"/>
    </cacheField>
    <cacheField name="Column5070" numFmtId="0">
      <sharedItems containsNonDate="0" containsString="0" containsBlank="1"/>
    </cacheField>
    <cacheField name="Column5071" numFmtId="0">
      <sharedItems containsNonDate="0" containsString="0" containsBlank="1"/>
    </cacheField>
    <cacheField name="Column5072" numFmtId="0">
      <sharedItems containsNonDate="0" containsString="0" containsBlank="1"/>
    </cacheField>
    <cacheField name="Column5073" numFmtId="0">
      <sharedItems containsNonDate="0" containsString="0" containsBlank="1"/>
    </cacheField>
    <cacheField name="Column5074" numFmtId="0">
      <sharedItems containsNonDate="0" containsString="0" containsBlank="1"/>
    </cacheField>
    <cacheField name="Column5075" numFmtId="0">
      <sharedItems containsNonDate="0" containsString="0" containsBlank="1"/>
    </cacheField>
    <cacheField name="Column5076" numFmtId="0">
      <sharedItems containsNonDate="0" containsString="0" containsBlank="1"/>
    </cacheField>
    <cacheField name="Column5077" numFmtId="0">
      <sharedItems containsNonDate="0" containsString="0" containsBlank="1"/>
    </cacheField>
    <cacheField name="Column5078" numFmtId="0">
      <sharedItems containsNonDate="0" containsString="0" containsBlank="1"/>
    </cacheField>
    <cacheField name="Column5079" numFmtId="0">
      <sharedItems containsNonDate="0" containsString="0" containsBlank="1"/>
    </cacheField>
    <cacheField name="Column5080" numFmtId="0">
      <sharedItems containsNonDate="0" containsString="0" containsBlank="1"/>
    </cacheField>
    <cacheField name="Column5081" numFmtId="0">
      <sharedItems containsNonDate="0" containsString="0" containsBlank="1"/>
    </cacheField>
    <cacheField name="Column5082" numFmtId="0">
      <sharedItems containsNonDate="0" containsString="0" containsBlank="1"/>
    </cacheField>
    <cacheField name="Column5083" numFmtId="0">
      <sharedItems containsNonDate="0" containsString="0" containsBlank="1"/>
    </cacheField>
    <cacheField name="Column5084" numFmtId="0">
      <sharedItems containsNonDate="0" containsString="0" containsBlank="1"/>
    </cacheField>
    <cacheField name="Column5085" numFmtId="0">
      <sharedItems containsNonDate="0" containsString="0" containsBlank="1"/>
    </cacheField>
    <cacheField name="Column5086" numFmtId="0">
      <sharedItems containsNonDate="0" containsString="0" containsBlank="1"/>
    </cacheField>
    <cacheField name="Column5087" numFmtId="0">
      <sharedItems containsNonDate="0" containsString="0" containsBlank="1"/>
    </cacheField>
    <cacheField name="Column5088" numFmtId="0">
      <sharedItems containsNonDate="0" containsString="0" containsBlank="1"/>
    </cacheField>
    <cacheField name="Column5089" numFmtId="0">
      <sharedItems containsNonDate="0" containsString="0" containsBlank="1"/>
    </cacheField>
    <cacheField name="Column5090" numFmtId="0">
      <sharedItems containsNonDate="0" containsString="0" containsBlank="1"/>
    </cacheField>
    <cacheField name="Column5091" numFmtId="0">
      <sharedItems containsNonDate="0" containsString="0" containsBlank="1"/>
    </cacheField>
    <cacheField name="Column5092" numFmtId="0">
      <sharedItems containsNonDate="0" containsString="0" containsBlank="1"/>
    </cacheField>
    <cacheField name="Column5093" numFmtId="0">
      <sharedItems containsNonDate="0" containsString="0" containsBlank="1"/>
    </cacheField>
    <cacheField name="Column5094" numFmtId="0">
      <sharedItems containsNonDate="0" containsString="0" containsBlank="1"/>
    </cacheField>
    <cacheField name="Column5095" numFmtId="0">
      <sharedItems containsNonDate="0" containsString="0" containsBlank="1"/>
    </cacheField>
    <cacheField name="Column5096" numFmtId="0">
      <sharedItems containsNonDate="0" containsString="0" containsBlank="1"/>
    </cacheField>
    <cacheField name="Column5097" numFmtId="0">
      <sharedItems containsNonDate="0" containsString="0" containsBlank="1"/>
    </cacheField>
    <cacheField name="Column5098" numFmtId="0">
      <sharedItems containsNonDate="0" containsString="0" containsBlank="1"/>
    </cacheField>
    <cacheField name="Column5099" numFmtId="0">
      <sharedItems containsNonDate="0" containsString="0" containsBlank="1"/>
    </cacheField>
    <cacheField name="Column5100" numFmtId="0">
      <sharedItems containsNonDate="0" containsString="0" containsBlank="1"/>
    </cacheField>
    <cacheField name="Column5101" numFmtId="0">
      <sharedItems containsNonDate="0" containsString="0" containsBlank="1"/>
    </cacheField>
    <cacheField name="Column5102" numFmtId="0">
      <sharedItems containsNonDate="0" containsString="0" containsBlank="1"/>
    </cacheField>
    <cacheField name="Column5103" numFmtId="0">
      <sharedItems containsNonDate="0" containsString="0" containsBlank="1"/>
    </cacheField>
    <cacheField name="Column5104" numFmtId="0">
      <sharedItems containsNonDate="0" containsString="0" containsBlank="1"/>
    </cacheField>
    <cacheField name="Column5105" numFmtId="0">
      <sharedItems containsNonDate="0" containsString="0" containsBlank="1"/>
    </cacheField>
    <cacheField name="Column5106" numFmtId="0">
      <sharedItems containsNonDate="0" containsString="0" containsBlank="1"/>
    </cacheField>
    <cacheField name="Column5107" numFmtId="0">
      <sharedItems containsNonDate="0" containsString="0" containsBlank="1"/>
    </cacheField>
    <cacheField name="Column5108" numFmtId="0">
      <sharedItems containsNonDate="0" containsString="0" containsBlank="1"/>
    </cacheField>
    <cacheField name="Column5109" numFmtId="0">
      <sharedItems containsNonDate="0" containsString="0" containsBlank="1"/>
    </cacheField>
    <cacheField name="Column5110" numFmtId="0">
      <sharedItems containsNonDate="0" containsString="0" containsBlank="1"/>
    </cacheField>
    <cacheField name="Column5111" numFmtId="0">
      <sharedItems containsNonDate="0" containsString="0" containsBlank="1"/>
    </cacheField>
    <cacheField name="Column5112" numFmtId="0">
      <sharedItems containsNonDate="0" containsString="0" containsBlank="1"/>
    </cacheField>
    <cacheField name="Column5113" numFmtId="0">
      <sharedItems containsNonDate="0" containsString="0" containsBlank="1"/>
    </cacheField>
    <cacheField name="Column5114" numFmtId="0">
      <sharedItems containsNonDate="0" containsString="0" containsBlank="1"/>
    </cacheField>
    <cacheField name="Column5115" numFmtId="0">
      <sharedItems containsNonDate="0" containsString="0" containsBlank="1"/>
    </cacheField>
    <cacheField name="Column5116" numFmtId="0">
      <sharedItems containsNonDate="0" containsString="0" containsBlank="1"/>
    </cacheField>
    <cacheField name="Column5117" numFmtId="0">
      <sharedItems containsNonDate="0" containsString="0" containsBlank="1"/>
    </cacheField>
    <cacheField name="Column5118" numFmtId="0">
      <sharedItems containsNonDate="0" containsString="0" containsBlank="1"/>
    </cacheField>
    <cacheField name="Column5119" numFmtId="0">
      <sharedItems containsNonDate="0" containsString="0" containsBlank="1"/>
    </cacheField>
    <cacheField name="Column5120" numFmtId="0">
      <sharedItems containsNonDate="0" containsString="0" containsBlank="1"/>
    </cacheField>
    <cacheField name="Column5121" numFmtId="0">
      <sharedItems containsNonDate="0" containsString="0" containsBlank="1"/>
    </cacheField>
    <cacheField name="Column5122" numFmtId="0">
      <sharedItems containsNonDate="0" containsString="0" containsBlank="1"/>
    </cacheField>
    <cacheField name="Column5123" numFmtId="0">
      <sharedItems containsNonDate="0" containsString="0" containsBlank="1"/>
    </cacheField>
    <cacheField name="Column5124" numFmtId="0">
      <sharedItems containsNonDate="0" containsString="0" containsBlank="1"/>
    </cacheField>
    <cacheField name="Column5125" numFmtId="0">
      <sharedItems containsNonDate="0" containsString="0" containsBlank="1"/>
    </cacheField>
    <cacheField name="Column5126" numFmtId="0">
      <sharedItems containsNonDate="0" containsString="0" containsBlank="1"/>
    </cacheField>
    <cacheField name="Column5127" numFmtId="0">
      <sharedItems containsNonDate="0" containsString="0" containsBlank="1"/>
    </cacheField>
    <cacheField name="Column5128" numFmtId="0">
      <sharedItems containsNonDate="0" containsString="0" containsBlank="1"/>
    </cacheField>
    <cacheField name="Column5129" numFmtId="0">
      <sharedItems containsNonDate="0" containsString="0" containsBlank="1"/>
    </cacheField>
    <cacheField name="Column5130" numFmtId="0">
      <sharedItems containsNonDate="0" containsString="0" containsBlank="1"/>
    </cacheField>
    <cacheField name="Column5131" numFmtId="0">
      <sharedItems containsNonDate="0" containsString="0" containsBlank="1"/>
    </cacheField>
    <cacheField name="Column5132" numFmtId="0">
      <sharedItems containsNonDate="0" containsString="0" containsBlank="1"/>
    </cacheField>
    <cacheField name="Column5133" numFmtId="0">
      <sharedItems containsNonDate="0" containsString="0" containsBlank="1"/>
    </cacheField>
    <cacheField name="Column5134" numFmtId="0">
      <sharedItems containsNonDate="0" containsString="0" containsBlank="1"/>
    </cacheField>
    <cacheField name="Column5135" numFmtId="0">
      <sharedItems containsNonDate="0" containsString="0" containsBlank="1"/>
    </cacheField>
    <cacheField name="Column5136" numFmtId="0">
      <sharedItems containsNonDate="0" containsString="0" containsBlank="1"/>
    </cacheField>
    <cacheField name="Column5137" numFmtId="0">
      <sharedItems containsNonDate="0" containsString="0" containsBlank="1"/>
    </cacheField>
    <cacheField name="Column5138" numFmtId="0">
      <sharedItems containsNonDate="0" containsString="0" containsBlank="1"/>
    </cacheField>
    <cacheField name="Column5139" numFmtId="0">
      <sharedItems containsNonDate="0" containsString="0" containsBlank="1"/>
    </cacheField>
    <cacheField name="Column5140" numFmtId="0">
      <sharedItems containsNonDate="0" containsString="0" containsBlank="1"/>
    </cacheField>
    <cacheField name="Column5141" numFmtId="0">
      <sharedItems containsNonDate="0" containsString="0" containsBlank="1"/>
    </cacheField>
    <cacheField name="Column5142" numFmtId="0">
      <sharedItems containsNonDate="0" containsString="0" containsBlank="1"/>
    </cacheField>
    <cacheField name="Column5143" numFmtId="0">
      <sharedItems containsNonDate="0" containsString="0" containsBlank="1"/>
    </cacheField>
    <cacheField name="Column5144" numFmtId="0">
      <sharedItems containsNonDate="0" containsString="0" containsBlank="1"/>
    </cacheField>
    <cacheField name="Column5145" numFmtId="0">
      <sharedItems containsNonDate="0" containsString="0" containsBlank="1"/>
    </cacheField>
    <cacheField name="Column5146" numFmtId="0">
      <sharedItems containsNonDate="0" containsString="0" containsBlank="1"/>
    </cacheField>
    <cacheField name="Column5147" numFmtId="0">
      <sharedItems containsNonDate="0" containsString="0" containsBlank="1"/>
    </cacheField>
    <cacheField name="Column5148" numFmtId="0">
      <sharedItems containsNonDate="0" containsString="0" containsBlank="1"/>
    </cacheField>
    <cacheField name="Column5149" numFmtId="0">
      <sharedItems containsNonDate="0" containsString="0" containsBlank="1"/>
    </cacheField>
    <cacheField name="Column5150" numFmtId="0">
      <sharedItems containsNonDate="0" containsString="0" containsBlank="1"/>
    </cacheField>
    <cacheField name="Column5151" numFmtId="0">
      <sharedItems containsNonDate="0" containsString="0" containsBlank="1"/>
    </cacheField>
    <cacheField name="Column5152" numFmtId="0">
      <sharedItems containsNonDate="0" containsString="0" containsBlank="1"/>
    </cacheField>
    <cacheField name="Column5153" numFmtId="0">
      <sharedItems containsNonDate="0" containsString="0" containsBlank="1"/>
    </cacheField>
    <cacheField name="Column5154" numFmtId="0">
      <sharedItems containsNonDate="0" containsString="0" containsBlank="1"/>
    </cacheField>
    <cacheField name="Column5155" numFmtId="0">
      <sharedItems containsNonDate="0" containsString="0" containsBlank="1"/>
    </cacheField>
    <cacheField name="Column5156" numFmtId="0">
      <sharedItems containsNonDate="0" containsString="0" containsBlank="1"/>
    </cacheField>
    <cacheField name="Column5157" numFmtId="0">
      <sharedItems containsNonDate="0" containsString="0" containsBlank="1"/>
    </cacheField>
    <cacheField name="Column5158" numFmtId="0">
      <sharedItems containsNonDate="0" containsString="0" containsBlank="1"/>
    </cacheField>
    <cacheField name="Column5159" numFmtId="0">
      <sharedItems containsNonDate="0" containsString="0" containsBlank="1"/>
    </cacheField>
    <cacheField name="Column5160" numFmtId="0">
      <sharedItems containsNonDate="0" containsString="0" containsBlank="1"/>
    </cacheField>
    <cacheField name="Column5161" numFmtId="0">
      <sharedItems containsNonDate="0" containsString="0" containsBlank="1"/>
    </cacheField>
    <cacheField name="Column5162" numFmtId="0">
      <sharedItems containsNonDate="0" containsString="0" containsBlank="1"/>
    </cacheField>
    <cacheField name="Column5163" numFmtId="0">
      <sharedItems containsNonDate="0" containsString="0" containsBlank="1"/>
    </cacheField>
    <cacheField name="Column5164" numFmtId="0">
      <sharedItems containsNonDate="0" containsString="0" containsBlank="1"/>
    </cacheField>
    <cacheField name="Column5165" numFmtId="0">
      <sharedItems containsNonDate="0" containsString="0" containsBlank="1"/>
    </cacheField>
    <cacheField name="Column5166" numFmtId="0">
      <sharedItems containsNonDate="0" containsString="0" containsBlank="1"/>
    </cacheField>
    <cacheField name="Column5167" numFmtId="0">
      <sharedItems containsNonDate="0" containsString="0" containsBlank="1"/>
    </cacheField>
    <cacheField name="Column5168" numFmtId="0">
      <sharedItems containsNonDate="0" containsString="0" containsBlank="1"/>
    </cacheField>
    <cacheField name="Column5169" numFmtId="0">
      <sharedItems containsNonDate="0" containsString="0" containsBlank="1"/>
    </cacheField>
    <cacheField name="Column5170" numFmtId="0">
      <sharedItems containsNonDate="0" containsString="0" containsBlank="1"/>
    </cacheField>
    <cacheField name="Column5171" numFmtId="0">
      <sharedItems containsNonDate="0" containsString="0" containsBlank="1"/>
    </cacheField>
    <cacheField name="Column5172" numFmtId="0">
      <sharedItems containsNonDate="0" containsString="0" containsBlank="1"/>
    </cacheField>
    <cacheField name="Column5173" numFmtId="0">
      <sharedItems containsNonDate="0" containsString="0" containsBlank="1"/>
    </cacheField>
    <cacheField name="Column5174" numFmtId="0">
      <sharedItems containsNonDate="0" containsString="0" containsBlank="1"/>
    </cacheField>
    <cacheField name="Column5175" numFmtId="0">
      <sharedItems containsNonDate="0" containsString="0" containsBlank="1"/>
    </cacheField>
    <cacheField name="Column5176" numFmtId="0">
      <sharedItems containsNonDate="0" containsString="0" containsBlank="1"/>
    </cacheField>
    <cacheField name="Column5177" numFmtId="0">
      <sharedItems containsNonDate="0" containsString="0" containsBlank="1"/>
    </cacheField>
    <cacheField name="Column5178" numFmtId="0">
      <sharedItems containsNonDate="0" containsString="0" containsBlank="1"/>
    </cacheField>
    <cacheField name="Column5179" numFmtId="0">
      <sharedItems containsNonDate="0" containsString="0" containsBlank="1"/>
    </cacheField>
    <cacheField name="Column5180" numFmtId="0">
      <sharedItems containsNonDate="0" containsString="0" containsBlank="1"/>
    </cacheField>
    <cacheField name="Column5181" numFmtId="0">
      <sharedItems containsNonDate="0" containsString="0" containsBlank="1"/>
    </cacheField>
    <cacheField name="Column5182" numFmtId="0">
      <sharedItems containsNonDate="0" containsString="0" containsBlank="1"/>
    </cacheField>
    <cacheField name="Column5183" numFmtId="0">
      <sharedItems containsNonDate="0" containsString="0" containsBlank="1"/>
    </cacheField>
    <cacheField name="Column5184" numFmtId="0">
      <sharedItems containsNonDate="0" containsString="0" containsBlank="1"/>
    </cacheField>
    <cacheField name="Column5185" numFmtId="0">
      <sharedItems containsNonDate="0" containsString="0" containsBlank="1"/>
    </cacheField>
    <cacheField name="Column5186" numFmtId="0">
      <sharedItems containsNonDate="0" containsString="0" containsBlank="1"/>
    </cacheField>
    <cacheField name="Column5187" numFmtId="0">
      <sharedItems containsNonDate="0" containsString="0" containsBlank="1"/>
    </cacheField>
    <cacheField name="Column5188" numFmtId="0">
      <sharedItems containsNonDate="0" containsString="0" containsBlank="1"/>
    </cacheField>
    <cacheField name="Column5189" numFmtId="0">
      <sharedItems containsNonDate="0" containsString="0" containsBlank="1"/>
    </cacheField>
    <cacheField name="Column5190" numFmtId="0">
      <sharedItems containsNonDate="0" containsString="0" containsBlank="1"/>
    </cacheField>
    <cacheField name="Column5191" numFmtId="0">
      <sharedItems containsNonDate="0" containsString="0" containsBlank="1"/>
    </cacheField>
    <cacheField name="Column5192" numFmtId="0">
      <sharedItems containsNonDate="0" containsString="0" containsBlank="1"/>
    </cacheField>
    <cacheField name="Column5193" numFmtId="0">
      <sharedItems containsNonDate="0" containsString="0" containsBlank="1"/>
    </cacheField>
    <cacheField name="Column5194" numFmtId="0">
      <sharedItems containsNonDate="0" containsString="0" containsBlank="1"/>
    </cacheField>
    <cacheField name="Column5195" numFmtId="0">
      <sharedItems containsNonDate="0" containsString="0" containsBlank="1"/>
    </cacheField>
    <cacheField name="Column5196" numFmtId="0">
      <sharedItems containsNonDate="0" containsString="0" containsBlank="1"/>
    </cacheField>
    <cacheField name="Column5197" numFmtId="0">
      <sharedItems containsNonDate="0" containsString="0" containsBlank="1"/>
    </cacheField>
    <cacheField name="Column5198" numFmtId="0">
      <sharedItems containsNonDate="0" containsString="0" containsBlank="1"/>
    </cacheField>
    <cacheField name="Column5199" numFmtId="0">
      <sharedItems containsNonDate="0" containsString="0" containsBlank="1"/>
    </cacheField>
    <cacheField name="Column5200" numFmtId="0">
      <sharedItems containsNonDate="0" containsString="0" containsBlank="1"/>
    </cacheField>
    <cacheField name="Column5201" numFmtId="0">
      <sharedItems containsNonDate="0" containsString="0" containsBlank="1"/>
    </cacheField>
    <cacheField name="Column5202" numFmtId="0">
      <sharedItems containsNonDate="0" containsString="0" containsBlank="1"/>
    </cacheField>
    <cacheField name="Column5203" numFmtId="0">
      <sharedItems containsNonDate="0" containsString="0" containsBlank="1"/>
    </cacheField>
    <cacheField name="Column5204" numFmtId="0">
      <sharedItems containsNonDate="0" containsString="0" containsBlank="1"/>
    </cacheField>
    <cacheField name="Column5205" numFmtId="0">
      <sharedItems containsNonDate="0" containsString="0" containsBlank="1"/>
    </cacheField>
    <cacheField name="Column5206" numFmtId="0">
      <sharedItems containsNonDate="0" containsString="0" containsBlank="1"/>
    </cacheField>
    <cacheField name="Column5207" numFmtId="0">
      <sharedItems containsNonDate="0" containsString="0" containsBlank="1"/>
    </cacheField>
    <cacheField name="Column5208" numFmtId="0">
      <sharedItems containsNonDate="0" containsString="0" containsBlank="1"/>
    </cacheField>
    <cacheField name="Column5209" numFmtId="0">
      <sharedItems containsNonDate="0" containsString="0" containsBlank="1"/>
    </cacheField>
    <cacheField name="Column5210" numFmtId="0">
      <sharedItems containsNonDate="0" containsString="0" containsBlank="1"/>
    </cacheField>
    <cacheField name="Column5211" numFmtId="0">
      <sharedItems containsNonDate="0" containsString="0" containsBlank="1"/>
    </cacheField>
    <cacheField name="Column5212" numFmtId="0">
      <sharedItems containsNonDate="0" containsString="0" containsBlank="1"/>
    </cacheField>
    <cacheField name="Column5213" numFmtId="0">
      <sharedItems containsNonDate="0" containsString="0" containsBlank="1"/>
    </cacheField>
    <cacheField name="Column5214" numFmtId="0">
      <sharedItems containsNonDate="0" containsString="0" containsBlank="1"/>
    </cacheField>
    <cacheField name="Column5215" numFmtId="0">
      <sharedItems containsNonDate="0" containsString="0" containsBlank="1"/>
    </cacheField>
    <cacheField name="Column5216" numFmtId="0">
      <sharedItems containsNonDate="0" containsString="0" containsBlank="1"/>
    </cacheField>
    <cacheField name="Column5217" numFmtId="0">
      <sharedItems containsNonDate="0" containsString="0" containsBlank="1"/>
    </cacheField>
    <cacheField name="Column5218" numFmtId="0">
      <sharedItems containsNonDate="0" containsString="0" containsBlank="1"/>
    </cacheField>
    <cacheField name="Column5219" numFmtId="0">
      <sharedItems containsNonDate="0" containsString="0" containsBlank="1"/>
    </cacheField>
    <cacheField name="Column5220" numFmtId="0">
      <sharedItems containsNonDate="0" containsString="0" containsBlank="1"/>
    </cacheField>
    <cacheField name="Column5221" numFmtId="0">
      <sharedItems containsNonDate="0" containsString="0" containsBlank="1"/>
    </cacheField>
    <cacheField name="Column5222" numFmtId="0">
      <sharedItems containsNonDate="0" containsString="0" containsBlank="1"/>
    </cacheField>
    <cacheField name="Column5223" numFmtId="0">
      <sharedItems containsNonDate="0" containsString="0" containsBlank="1"/>
    </cacheField>
    <cacheField name="Column5224" numFmtId="0">
      <sharedItems containsNonDate="0" containsString="0" containsBlank="1"/>
    </cacheField>
    <cacheField name="Column5225" numFmtId="0">
      <sharedItems containsNonDate="0" containsString="0" containsBlank="1"/>
    </cacheField>
    <cacheField name="Column5226" numFmtId="0">
      <sharedItems containsNonDate="0" containsString="0" containsBlank="1"/>
    </cacheField>
    <cacheField name="Column5227" numFmtId="0">
      <sharedItems containsNonDate="0" containsString="0" containsBlank="1"/>
    </cacheField>
    <cacheField name="Column5228" numFmtId="0">
      <sharedItems containsNonDate="0" containsString="0" containsBlank="1"/>
    </cacheField>
    <cacheField name="Column5229" numFmtId="0">
      <sharedItems containsNonDate="0" containsString="0" containsBlank="1"/>
    </cacheField>
    <cacheField name="Column5230" numFmtId="0">
      <sharedItems containsNonDate="0" containsString="0" containsBlank="1"/>
    </cacheField>
    <cacheField name="Column5231" numFmtId="0">
      <sharedItems containsNonDate="0" containsString="0" containsBlank="1"/>
    </cacheField>
    <cacheField name="Column5232" numFmtId="0">
      <sharedItems containsNonDate="0" containsString="0" containsBlank="1"/>
    </cacheField>
    <cacheField name="Column5233" numFmtId="0">
      <sharedItems containsNonDate="0" containsString="0" containsBlank="1"/>
    </cacheField>
    <cacheField name="Column5234" numFmtId="0">
      <sharedItems containsNonDate="0" containsString="0" containsBlank="1"/>
    </cacheField>
    <cacheField name="Column5235" numFmtId="0">
      <sharedItems containsNonDate="0" containsString="0" containsBlank="1"/>
    </cacheField>
    <cacheField name="Column5236" numFmtId="0">
      <sharedItems containsNonDate="0" containsString="0" containsBlank="1"/>
    </cacheField>
    <cacheField name="Column5237" numFmtId="0">
      <sharedItems containsNonDate="0" containsString="0" containsBlank="1"/>
    </cacheField>
    <cacheField name="Column5238" numFmtId="0">
      <sharedItems containsNonDate="0" containsString="0" containsBlank="1"/>
    </cacheField>
    <cacheField name="Column5239" numFmtId="0">
      <sharedItems containsNonDate="0" containsString="0" containsBlank="1"/>
    </cacheField>
    <cacheField name="Column5240" numFmtId="0">
      <sharedItems containsNonDate="0" containsString="0" containsBlank="1"/>
    </cacheField>
    <cacheField name="Column5241" numFmtId="0">
      <sharedItems containsNonDate="0" containsString="0" containsBlank="1"/>
    </cacheField>
    <cacheField name="Column5242" numFmtId="0">
      <sharedItems containsNonDate="0" containsString="0" containsBlank="1"/>
    </cacheField>
    <cacheField name="Column5243" numFmtId="0">
      <sharedItems containsNonDate="0" containsString="0" containsBlank="1"/>
    </cacheField>
    <cacheField name="Column5244" numFmtId="0">
      <sharedItems containsNonDate="0" containsString="0" containsBlank="1"/>
    </cacheField>
    <cacheField name="Column5245" numFmtId="0">
      <sharedItems containsNonDate="0" containsString="0" containsBlank="1"/>
    </cacheField>
    <cacheField name="Column5246" numFmtId="0">
      <sharedItems containsNonDate="0" containsString="0" containsBlank="1"/>
    </cacheField>
    <cacheField name="Column5247" numFmtId="0">
      <sharedItems containsNonDate="0" containsString="0" containsBlank="1"/>
    </cacheField>
    <cacheField name="Column5248" numFmtId="0">
      <sharedItems containsNonDate="0" containsString="0" containsBlank="1"/>
    </cacheField>
    <cacheField name="Column5249" numFmtId="0">
      <sharedItems containsNonDate="0" containsString="0" containsBlank="1"/>
    </cacheField>
    <cacheField name="Column5250" numFmtId="0">
      <sharedItems containsNonDate="0" containsString="0" containsBlank="1"/>
    </cacheField>
    <cacheField name="Column5251" numFmtId="0">
      <sharedItems containsNonDate="0" containsString="0" containsBlank="1"/>
    </cacheField>
    <cacheField name="Column5252" numFmtId="0">
      <sharedItems containsNonDate="0" containsString="0" containsBlank="1"/>
    </cacheField>
    <cacheField name="Column5253" numFmtId="0">
      <sharedItems containsNonDate="0" containsString="0" containsBlank="1"/>
    </cacheField>
    <cacheField name="Column5254" numFmtId="0">
      <sharedItems containsNonDate="0" containsString="0" containsBlank="1"/>
    </cacheField>
    <cacheField name="Column5255" numFmtId="0">
      <sharedItems containsNonDate="0" containsString="0" containsBlank="1"/>
    </cacheField>
    <cacheField name="Column5256" numFmtId="0">
      <sharedItems containsNonDate="0" containsString="0" containsBlank="1"/>
    </cacheField>
    <cacheField name="Column5257" numFmtId="0">
      <sharedItems containsNonDate="0" containsString="0" containsBlank="1"/>
    </cacheField>
    <cacheField name="Column5258" numFmtId="0">
      <sharedItems containsNonDate="0" containsString="0" containsBlank="1"/>
    </cacheField>
    <cacheField name="Column5259" numFmtId="0">
      <sharedItems containsNonDate="0" containsString="0" containsBlank="1"/>
    </cacheField>
    <cacheField name="Column5260" numFmtId="0">
      <sharedItems containsNonDate="0" containsString="0" containsBlank="1"/>
    </cacheField>
    <cacheField name="Column5261" numFmtId="0">
      <sharedItems containsNonDate="0" containsString="0" containsBlank="1"/>
    </cacheField>
    <cacheField name="Column5262" numFmtId="0">
      <sharedItems containsNonDate="0" containsString="0" containsBlank="1"/>
    </cacheField>
    <cacheField name="Column5263" numFmtId="0">
      <sharedItems containsNonDate="0" containsString="0" containsBlank="1"/>
    </cacheField>
    <cacheField name="Column5264" numFmtId="0">
      <sharedItems containsNonDate="0" containsString="0" containsBlank="1"/>
    </cacheField>
    <cacheField name="Column5265" numFmtId="0">
      <sharedItems containsNonDate="0" containsString="0" containsBlank="1"/>
    </cacheField>
    <cacheField name="Column5266" numFmtId="0">
      <sharedItems containsNonDate="0" containsString="0" containsBlank="1"/>
    </cacheField>
    <cacheField name="Column5267" numFmtId="0">
      <sharedItems containsNonDate="0" containsString="0" containsBlank="1"/>
    </cacheField>
    <cacheField name="Column5268" numFmtId="0">
      <sharedItems containsNonDate="0" containsString="0" containsBlank="1"/>
    </cacheField>
    <cacheField name="Column5269" numFmtId="0">
      <sharedItems containsNonDate="0" containsString="0" containsBlank="1"/>
    </cacheField>
    <cacheField name="Column5270" numFmtId="0">
      <sharedItems containsNonDate="0" containsString="0" containsBlank="1"/>
    </cacheField>
    <cacheField name="Column5271" numFmtId="0">
      <sharedItems containsNonDate="0" containsString="0" containsBlank="1"/>
    </cacheField>
    <cacheField name="Column5272" numFmtId="0">
      <sharedItems containsNonDate="0" containsString="0" containsBlank="1"/>
    </cacheField>
    <cacheField name="Column5273" numFmtId="0">
      <sharedItems containsNonDate="0" containsString="0" containsBlank="1"/>
    </cacheField>
    <cacheField name="Column5274" numFmtId="0">
      <sharedItems containsNonDate="0" containsString="0" containsBlank="1"/>
    </cacheField>
    <cacheField name="Column5275" numFmtId="0">
      <sharedItems containsNonDate="0" containsString="0" containsBlank="1"/>
    </cacheField>
    <cacheField name="Column5276" numFmtId="0">
      <sharedItems containsNonDate="0" containsString="0" containsBlank="1"/>
    </cacheField>
    <cacheField name="Column5277" numFmtId="0">
      <sharedItems containsNonDate="0" containsString="0" containsBlank="1"/>
    </cacheField>
    <cacheField name="Column5278" numFmtId="0">
      <sharedItems containsNonDate="0" containsString="0" containsBlank="1"/>
    </cacheField>
    <cacheField name="Column5279" numFmtId="0">
      <sharedItems containsNonDate="0" containsString="0" containsBlank="1"/>
    </cacheField>
    <cacheField name="Column5280" numFmtId="0">
      <sharedItems containsNonDate="0" containsString="0" containsBlank="1"/>
    </cacheField>
    <cacheField name="Column5281" numFmtId="0">
      <sharedItems containsNonDate="0" containsString="0" containsBlank="1"/>
    </cacheField>
    <cacheField name="Column5282" numFmtId="0">
      <sharedItems containsNonDate="0" containsString="0" containsBlank="1"/>
    </cacheField>
    <cacheField name="Column5283" numFmtId="0">
      <sharedItems containsNonDate="0" containsString="0" containsBlank="1"/>
    </cacheField>
    <cacheField name="Column5284" numFmtId="0">
      <sharedItems containsNonDate="0" containsString="0" containsBlank="1"/>
    </cacheField>
    <cacheField name="Column5285" numFmtId="0">
      <sharedItems containsNonDate="0" containsString="0" containsBlank="1"/>
    </cacheField>
    <cacheField name="Column5286" numFmtId="0">
      <sharedItems containsNonDate="0" containsString="0" containsBlank="1"/>
    </cacheField>
    <cacheField name="Column5287" numFmtId="0">
      <sharedItems containsNonDate="0" containsString="0" containsBlank="1"/>
    </cacheField>
    <cacheField name="Column5288" numFmtId="0">
      <sharedItems containsNonDate="0" containsString="0" containsBlank="1"/>
    </cacheField>
    <cacheField name="Column5289" numFmtId="0">
      <sharedItems containsNonDate="0" containsString="0" containsBlank="1"/>
    </cacheField>
    <cacheField name="Column5290" numFmtId="0">
      <sharedItems containsNonDate="0" containsString="0" containsBlank="1"/>
    </cacheField>
    <cacheField name="Column5291" numFmtId="0">
      <sharedItems containsNonDate="0" containsString="0" containsBlank="1"/>
    </cacheField>
    <cacheField name="Column5292" numFmtId="0">
      <sharedItems containsNonDate="0" containsString="0" containsBlank="1"/>
    </cacheField>
    <cacheField name="Column5293" numFmtId="0">
      <sharedItems containsNonDate="0" containsString="0" containsBlank="1"/>
    </cacheField>
    <cacheField name="Column5294" numFmtId="0">
      <sharedItems containsNonDate="0" containsString="0" containsBlank="1"/>
    </cacheField>
    <cacheField name="Column5295" numFmtId="0">
      <sharedItems containsNonDate="0" containsString="0" containsBlank="1"/>
    </cacheField>
    <cacheField name="Column5296" numFmtId="0">
      <sharedItems containsNonDate="0" containsString="0" containsBlank="1"/>
    </cacheField>
    <cacheField name="Column5297" numFmtId="0">
      <sharedItems containsNonDate="0" containsString="0" containsBlank="1"/>
    </cacheField>
    <cacheField name="Column5298" numFmtId="0">
      <sharedItems containsNonDate="0" containsString="0" containsBlank="1"/>
    </cacheField>
    <cacheField name="Column5299" numFmtId="0">
      <sharedItems containsNonDate="0" containsString="0" containsBlank="1"/>
    </cacheField>
    <cacheField name="Column5300" numFmtId="0">
      <sharedItems containsNonDate="0" containsString="0" containsBlank="1"/>
    </cacheField>
    <cacheField name="Column5301" numFmtId="0">
      <sharedItems containsNonDate="0" containsString="0" containsBlank="1"/>
    </cacheField>
    <cacheField name="Column5302" numFmtId="0">
      <sharedItems containsNonDate="0" containsString="0" containsBlank="1"/>
    </cacheField>
    <cacheField name="Column5303" numFmtId="0">
      <sharedItems containsNonDate="0" containsString="0" containsBlank="1"/>
    </cacheField>
    <cacheField name="Column5304" numFmtId="0">
      <sharedItems containsNonDate="0" containsString="0" containsBlank="1"/>
    </cacheField>
    <cacheField name="Column5305" numFmtId="0">
      <sharedItems containsNonDate="0" containsString="0" containsBlank="1"/>
    </cacheField>
    <cacheField name="Column5306" numFmtId="0">
      <sharedItems containsNonDate="0" containsString="0" containsBlank="1"/>
    </cacheField>
    <cacheField name="Column5307" numFmtId="0">
      <sharedItems containsNonDate="0" containsString="0" containsBlank="1"/>
    </cacheField>
    <cacheField name="Column5308" numFmtId="0">
      <sharedItems containsNonDate="0" containsString="0" containsBlank="1"/>
    </cacheField>
    <cacheField name="Column5309" numFmtId="0">
      <sharedItems containsNonDate="0" containsString="0" containsBlank="1"/>
    </cacheField>
    <cacheField name="Column5310" numFmtId="0">
      <sharedItems containsNonDate="0" containsString="0" containsBlank="1"/>
    </cacheField>
    <cacheField name="Column5311" numFmtId="0">
      <sharedItems containsNonDate="0" containsString="0" containsBlank="1"/>
    </cacheField>
    <cacheField name="Column5312" numFmtId="0">
      <sharedItems containsNonDate="0" containsString="0" containsBlank="1"/>
    </cacheField>
    <cacheField name="Column5313" numFmtId="0">
      <sharedItems containsNonDate="0" containsString="0" containsBlank="1"/>
    </cacheField>
    <cacheField name="Column5314" numFmtId="0">
      <sharedItems containsNonDate="0" containsString="0" containsBlank="1"/>
    </cacheField>
    <cacheField name="Column5315" numFmtId="0">
      <sharedItems containsNonDate="0" containsString="0" containsBlank="1"/>
    </cacheField>
    <cacheField name="Column5316" numFmtId="0">
      <sharedItems containsNonDate="0" containsString="0" containsBlank="1"/>
    </cacheField>
    <cacheField name="Column5317" numFmtId="0">
      <sharedItems containsNonDate="0" containsString="0" containsBlank="1"/>
    </cacheField>
    <cacheField name="Column5318" numFmtId="0">
      <sharedItems containsNonDate="0" containsString="0" containsBlank="1"/>
    </cacheField>
    <cacheField name="Column5319" numFmtId="0">
      <sharedItems containsNonDate="0" containsString="0" containsBlank="1"/>
    </cacheField>
    <cacheField name="Column5320" numFmtId="0">
      <sharedItems containsNonDate="0" containsString="0" containsBlank="1"/>
    </cacheField>
    <cacheField name="Column5321" numFmtId="0">
      <sharedItems containsNonDate="0" containsString="0" containsBlank="1"/>
    </cacheField>
    <cacheField name="Column5322" numFmtId="0">
      <sharedItems containsNonDate="0" containsString="0" containsBlank="1"/>
    </cacheField>
    <cacheField name="Column5323" numFmtId="0">
      <sharedItems containsNonDate="0" containsString="0" containsBlank="1"/>
    </cacheField>
    <cacheField name="Column5324" numFmtId="0">
      <sharedItems containsNonDate="0" containsString="0" containsBlank="1"/>
    </cacheField>
    <cacheField name="Column5325" numFmtId="0">
      <sharedItems containsNonDate="0" containsString="0" containsBlank="1"/>
    </cacheField>
    <cacheField name="Column5326" numFmtId="0">
      <sharedItems containsNonDate="0" containsString="0" containsBlank="1"/>
    </cacheField>
    <cacheField name="Column5327" numFmtId="0">
      <sharedItems containsNonDate="0" containsString="0" containsBlank="1"/>
    </cacheField>
    <cacheField name="Column5328" numFmtId="0">
      <sharedItems containsNonDate="0" containsString="0" containsBlank="1"/>
    </cacheField>
    <cacheField name="Column5329" numFmtId="0">
      <sharedItems containsNonDate="0" containsString="0" containsBlank="1"/>
    </cacheField>
    <cacheField name="Column5330" numFmtId="0">
      <sharedItems containsNonDate="0" containsString="0" containsBlank="1"/>
    </cacheField>
    <cacheField name="Column5331" numFmtId="0">
      <sharedItems containsNonDate="0" containsString="0" containsBlank="1"/>
    </cacheField>
    <cacheField name="Column5332" numFmtId="0">
      <sharedItems containsNonDate="0" containsString="0" containsBlank="1"/>
    </cacheField>
    <cacheField name="Column5333" numFmtId="0">
      <sharedItems containsNonDate="0" containsString="0" containsBlank="1"/>
    </cacheField>
    <cacheField name="Column5334" numFmtId="0">
      <sharedItems containsNonDate="0" containsString="0" containsBlank="1"/>
    </cacheField>
    <cacheField name="Column5335" numFmtId="0">
      <sharedItems containsNonDate="0" containsString="0" containsBlank="1"/>
    </cacheField>
    <cacheField name="Column5336" numFmtId="0">
      <sharedItems containsNonDate="0" containsString="0" containsBlank="1"/>
    </cacheField>
    <cacheField name="Column5337" numFmtId="0">
      <sharedItems containsNonDate="0" containsString="0" containsBlank="1"/>
    </cacheField>
    <cacheField name="Column5338" numFmtId="0">
      <sharedItems containsNonDate="0" containsString="0" containsBlank="1"/>
    </cacheField>
    <cacheField name="Column5339" numFmtId="0">
      <sharedItems containsNonDate="0" containsString="0" containsBlank="1"/>
    </cacheField>
    <cacheField name="Column5340" numFmtId="0">
      <sharedItems containsNonDate="0" containsString="0" containsBlank="1"/>
    </cacheField>
    <cacheField name="Column5341" numFmtId="0">
      <sharedItems containsNonDate="0" containsString="0" containsBlank="1"/>
    </cacheField>
    <cacheField name="Column5342" numFmtId="0">
      <sharedItems containsNonDate="0" containsString="0" containsBlank="1"/>
    </cacheField>
    <cacheField name="Column5343" numFmtId="0">
      <sharedItems containsNonDate="0" containsString="0" containsBlank="1"/>
    </cacheField>
    <cacheField name="Column5344" numFmtId="0">
      <sharedItems containsNonDate="0" containsString="0" containsBlank="1"/>
    </cacheField>
    <cacheField name="Column5345" numFmtId="0">
      <sharedItems containsNonDate="0" containsString="0" containsBlank="1"/>
    </cacheField>
    <cacheField name="Column5346" numFmtId="0">
      <sharedItems containsNonDate="0" containsString="0" containsBlank="1"/>
    </cacheField>
    <cacheField name="Column5347" numFmtId="0">
      <sharedItems containsNonDate="0" containsString="0" containsBlank="1"/>
    </cacheField>
    <cacheField name="Column5348" numFmtId="0">
      <sharedItems containsNonDate="0" containsString="0" containsBlank="1"/>
    </cacheField>
    <cacheField name="Column5349" numFmtId="0">
      <sharedItems containsNonDate="0" containsString="0" containsBlank="1"/>
    </cacheField>
    <cacheField name="Column5350" numFmtId="0">
      <sharedItems containsNonDate="0" containsString="0" containsBlank="1"/>
    </cacheField>
    <cacheField name="Column5351" numFmtId="0">
      <sharedItems containsNonDate="0" containsString="0" containsBlank="1"/>
    </cacheField>
    <cacheField name="Column5352" numFmtId="0">
      <sharedItems containsNonDate="0" containsString="0" containsBlank="1"/>
    </cacheField>
    <cacheField name="Column5353" numFmtId="0">
      <sharedItems containsNonDate="0" containsString="0" containsBlank="1"/>
    </cacheField>
    <cacheField name="Column5354" numFmtId="0">
      <sharedItems containsNonDate="0" containsString="0" containsBlank="1"/>
    </cacheField>
    <cacheField name="Column5355" numFmtId="0">
      <sharedItems containsNonDate="0" containsString="0" containsBlank="1"/>
    </cacheField>
    <cacheField name="Column5356" numFmtId="0">
      <sharedItems containsNonDate="0" containsString="0" containsBlank="1"/>
    </cacheField>
    <cacheField name="Column5357" numFmtId="0">
      <sharedItems containsNonDate="0" containsString="0" containsBlank="1"/>
    </cacheField>
    <cacheField name="Column5358" numFmtId="0">
      <sharedItems containsNonDate="0" containsString="0" containsBlank="1"/>
    </cacheField>
    <cacheField name="Column5359" numFmtId="0">
      <sharedItems containsNonDate="0" containsString="0" containsBlank="1"/>
    </cacheField>
    <cacheField name="Column5360" numFmtId="0">
      <sharedItems containsNonDate="0" containsString="0" containsBlank="1"/>
    </cacheField>
    <cacheField name="Column5361" numFmtId="0">
      <sharedItems containsNonDate="0" containsString="0" containsBlank="1"/>
    </cacheField>
    <cacheField name="Column5362" numFmtId="0">
      <sharedItems containsNonDate="0" containsString="0" containsBlank="1"/>
    </cacheField>
    <cacheField name="Column5363" numFmtId="0">
      <sharedItems containsNonDate="0" containsString="0" containsBlank="1"/>
    </cacheField>
    <cacheField name="Column5364" numFmtId="0">
      <sharedItems containsNonDate="0" containsString="0" containsBlank="1"/>
    </cacheField>
    <cacheField name="Column5365" numFmtId="0">
      <sharedItems containsNonDate="0" containsString="0" containsBlank="1"/>
    </cacheField>
    <cacheField name="Column5366" numFmtId="0">
      <sharedItems containsNonDate="0" containsString="0" containsBlank="1"/>
    </cacheField>
    <cacheField name="Column5367" numFmtId="0">
      <sharedItems containsNonDate="0" containsString="0" containsBlank="1"/>
    </cacheField>
    <cacheField name="Column5368" numFmtId="0">
      <sharedItems containsNonDate="0" containsString="0" containsBlank="1"/>
    </cacheField>
    <cacheField name="Column5369" numFmtId="0">
      <sharedItems containsNonDate="0" containsString="0" containsBlank="1"/>
    </cacheField>
    <cacheField name="Column5370" numFmtId="0">
      <sharedItems containsNonDate="0" containsString="0" containsBlank="1"/>
    </cacheField>
    <cacheField name="Column5371" numFmtId="0">
      <sharedItems containsNonDate="0" containsString="0" containsBlank="1"/>
    </cacheField>
    <cacheField name="Column5372" numFmtId="0">
      <sharedItems containsNonDate="0" containsString="0" containsBlank="1"/>
    </cacheField>
    <cacheField name="Column5373" numFmtId="0">
      <sharedItems containsNonDate="0" containsString="0" containsBlank="1"/>
    </cacheField>
    <cacheField name="Column5374" numFmtId="0">
      <sharedItems containsNonDate="0" containsString="0" containsBlank="1"/>
    </cacheField>
    <cacheField name="Column5375" numFmtId="0">
      <sharedItems containsNonDate="0" containsString="0" containsBlank="1"/>
    </cacheField>
    <cacheField name="Column5376" numFmtId="0">
      <sharedItems containsNonDate="0" containsString="0" containsBlank="1"/>
    </cacheField>
    <cacheField name="Column5377" numFmtId="0">
      <sharedItems containsNonDate="0" containsString="0" containsBlank="1"/>
    </cacheField>
    <cacheField name="Column5378" numFmtId="0">
      <sharedItems containsNonDate="0" containsString="0" containsBlank="1"/>
    </cacheField>
    <cacheField name="Column5379" numFmtId="0">
      <sharedItems containsNonDate="0" containsString="0" containsBlank="1"/>
    </cacheField>
    <cacheField name="Column5380" numFmtId="0">
      <sharedItems containsNonDate="0" containsString="0" containsBlank="1"/>
    </cacheField>
    <cacheField name="Column5381" numFmtId="0">
      <sharedItems containsNonDate="0" containsString="0" containsBlank="1"/>
    </cacheField>
    <cacheField name="Column5382" numFmtId="0">
      <sharedItems containsNonDate="0" containsString="0" containsBlank="1"/>
    </cacheField>
    <cacheField name="Column5383" numFmtId="0">
      <sharedItems containsNonDate="0" containsString="0" containsBlank="1"/>
    </cacheField>
    <cacheField name="Column5384" numFmtId="0">
      <sharedItems containsNonDate="0" containsString="0" containsBlank="1"/>
    </cacheField>
    <cacheField name="Column5385" numFmtId="0">
      <sharedItems containsNonDate="0" containsString="0" containsBlank="1"/>
    </cacheField>
    <cacheField name="Column5386" numFmtId="0">
      <sharedItems containsNonDate="0" containsString="0" containsBlank="1"/>
    </cacheField>
    <cacheField name="Column5387" numFmtId="0">
      <sharedItems containsNonDate="0" containsString="0" containsBlank="1"/>
    </cacheField>
    <cacheField name="Column5388" numFmtId="0">
      <sharedItems containsNonDate="0" containsString="0" containsBlank="1"/>
    </cacheField>
    <cacheField name="Column5389" numFmtId="0">
      <sharedItems containsNonDate="0" containsString="0" containsBlank="1"/>
    </cacheField>
    <cacheField name="Column5390" numFmtId="0">
      <sharedItems containsNonDate="0" containsString="0" containsBlank="1"/>
    </cacheField>
    <cacheField name="Column5391" numFmtId="0">
      <sharedItems containsNonDate="0" containsString="0" containsBlank="1"/>
    </cacheField>
    <cacheField name="Column5392" numFmtId="0">
      <sharedItems containsNonDate="0" containsString="0" containsBlank="1"/>
    </cacheField>
    <cacheField name="Column5393" numFmtId="0">
      <sharedItems containsNonDate="0" containsString="0" containsBlank="1"/>
    </cacheField>
    <cacheField name="Column5394" numFmtId="0">
      <sharedItems containsNonDate="0" containsString="0" containsBlank="1"/>
    </cacheField>
    <cacheField name="Column5395" numFmtId="0">
      <sharedItems containsNonDate="0" containsString="0" containsBlank="1"/>
    </cacheField>
    <cacheField name="Column5396" numFmtId="0">
      <sharedItems containsNonDate="0" containsString="0" containsBlank="1"/>
    </cacheField>
    <cacheField name="Column5397" numFmtId="0">
      <sharedItems containsNonDate="0" containsString="0" containsBlank="1"/>
    </cacheField>
    <cacheField name="Column5398" numFmtId="0">
      <sharedItems containsNonDate="0" containsString="0" containsBlank="1"/>
    </cacheField>
    <cacheField name="Column5399" numFmtId="0">
      <sharedItems containsNonDate="0" containsString="0" containsBlank="1"/>
    </cacheField>
    <cacheField name="Column5400" numFmtId="0">
      <sharedItems containsNonDate="0" containsString="0" containsBlank="1"/>
    </cacheField>
    <cacheField name="Column5401" numFmtId="0">
      <sharedItems containsNonDate="0" containsString="0" containsBlank="1"/>
    </cacheField>
    <cacheField name="Column5402" numFmtId="0">
      <sharedItems containsNonDate="0" containsString="0" containsBlank="1"/>
    </cacheField>
    <cacheField name="Column5403" numFmtId="0">
      <sharedItems containsNonDate="0" containsString="0" containsBlank="1"/>
    </cacheField>
    <cacheField name="Column5404" numFmtId="0">
      <sharedItems containsNonDate="0" containsString="0" containsBlank="1"/>
    </cacheField>
    <cacheField name="Column5405" numFmtId="0">
      <sharedItems containsNonDate="0" containsString="0" containsBlank="1"/>
    </cacheField>
    <cacheField name="Column5406" numFmtId="0">
      <sharedItems containsNonDate="0" containsString="0" containsBlank="1"/>
    </cacheField>
    <cacheField name="Column5407" numFmtId="0">
      <sharedItems containsNonDate="0" containsString="0" containsBlank="1"/>
    </cacheField>
    <cacheField name="Column5408" numFmtId="0">
      <sharedItems containsNonDate="0" containsString="0" containsBlank="1"/>
    </cacheField>
    <cacheField name="Column5409" numFmtId="0">
      <sharedItems containsNonDate="0" containsString="0" containsBlank="1"/>
    </cacheField>
    <cacheField name="Column5410" numFmtId="0">
      <sharedItems containsNonDate="0" containsString="0" containsBlank="1"/>
    </cacheField>
    <cacheField name="Column5411" numFmtId="0">
      <sharedItems containsNonDate="0" containsString="0" containsBlank="1"/>
    </cacheField>
    <cacheField name="Column5412" numFmtId="0">
      <sharedItems containsNonDate="0" containsString="0" containsBlank="1"/>
    </cacheField>
    <cacheField name="Column5413" numFmtId="0">
      <sharedItems containsNonDate="0" containsString="0" containsBlank="1"/>
    </cacheField>
    <cacheField name="Column5414" numFmtId="0">
      <sharedItems containsNonDate="0" containsString="0" containsBlank="1"/>
    </cacheField>
    <cacheField name="Column5415" numFmtId="0">
      <sharedItems containsNonDate="0" containsString="0" containsBlank="1"/>
    </cacheField>
    <cacheField name="Column5416" numFmtId="0">
      <sharedItems containsNonDate="0" containsString="0" containsBlank="1"/>
    </cacheField>
    <cacheField name="Column5417" numFmtId="0">
      <sharedItems containsNonDate="0" containsString="0" containsBlank="1"/>
    </cacheField>
    <cacheField name="Column5418" numFmtId="0">
      <sharedItems containsNonDate="0" containsString="0" containsBlank="1"/>
    </cacheField>
    <cacheField name="Column5419" numFmtId="0">
      <sharedItems containsNonDate="0" containsString="0" containsBlank="1"/>
    </cacheField>
    <cacheField name="Column5420" numFmtId="0">
      <sharedItems containsNonDate="0" containsString="0" containsBlank="1"/>
    </cacheField>
    <cacheField name="Column5421" numFmtId="0">
      <sharedItems containsNonDate="0" containsString="0" containsBlank="1"/>
    </cacheField>
    <cacheField name="Column5422" numFmtId="0">
      <sharedItems containsNonDate="0" containsString="0" containsBlank="1"/>
    </cacheField>
    <cacheField name="Column5423" numFmtId="0">
      <sharedItems containsNonDate="0" containsString="0" containsBlank="1"/>
    </cacheField>
    <cacheField name="Column5424" numFmtId="0">
      <sharedItems containsNonDate="0" containsString="0" containsBlank="1"/>
    </cacheField>
    <cacheField name="Column5425" numFmtId="0">
      <sharedItems containsNonDate="0" containsString="0" containsBlank="1"/>
    </cacheField>
    <cacheField name="Column5426" numFmtId="0">
      <sharedItems containsNonDate="0" containsString="0" containsBlank="1"/>
    </cacheField>
    <cacheField name="Column5427" numFmtId="0">
      <sharedItems containsNonDate="0" containsString="0" containsBlank="1"/>
    </cacheField>
    <cacheField name="Column5428" numFmtId="0">
      <sharedItems containsNonDate="0" containsString="0" containsBlank="1"/>
    </cacheField>
    <cacheField name="Column5429" numFmtId="0">
      <sharedItems containsNonDate="0" containsString="0" containsBlank="1"/>
    </cacheField>
    <cacheField name="Column5430" numFmtId="0">
      <sharedItems containsNonDate="0" containsString="0" containsBlank="1"/>
    </cacheField>
    <cacheField name="Column5431" numFmtId="0">
      <sharedItems containsNonDate="0" containsString="0" containsBlank="1"/>
    </cacheField>
    <cacheField name="Column5432" numFmtId="0">
      <sharedItems containsNonDate="0" containsString="0" containsBlank="1"/>
    </cacheField>
    <cacheField name="Column5433" numFmtId="0">
      <sharedItems containsNonDate="0" containsString="0" containsBlank="1"/>
    </cacheField>
    <cacheField name="Column5434" numFmtId="0">
      <sharedItems containsNonDate="0" containsString="0" containsBlank="1"/>
    </cacheField>
    <cacheField name="Column5435" numFmtId="0">
      <sharedItems containsNonDate="0" containsString="0" containsBlank="1"/>
    </cacheField>
    <cacheField name="Column5436" numFmtId="0">
      <sharedItems containsNonDate="0" containsString="0" containsBlank="1"/>
    </cacheField>
    <cacheField name="Column5437" numFmtId="0">
      <sharedItems containsNonDate="0" containsString="0" containsBlank="1"/>
    </cacheField>
    <cacheField name="Column5438" numFmtId="0">
      <sharedItems containsNonDate="0" containsString="0" containsBlank="1"/>
    </cacheField>
    <cacheField name="Column5439" numFmtId="0">
      <sharedItems containsNonDate="0" containsString="0" containsBlank="1"/>
    </cacheField>
    <cacheField name="Column5440" numFmtId="0">
      <sharedItems containsNonDate="0" containsString="0" containsBlank="1"/>
    </cacheField>
    <cacheField name="Column5441" numFmtId="0">
      <sharedItems containsNonDate="0" containsString="0" containsBlank="1"/>
    </cacheField>
    <cacheField name="Column5442" numFmtId="0">
      <sharedItems containsNonDate="0" containsString="0" containsBlank="1"/>
    </cacheField>
    <cacheField name="Column5443" numFmtId="0">
      <sharedItems containsNonDate="0" containsString="0" containsBlank="1"/>
    </cacheField>
    <cacheField name="Column5444" numFmtId="0">
      <sharedItems containsNonDate="0" containsString="0" containsBlank="1"/>
    </cacheField>
    <cacheField name="Column5445" numFmtId="0">
      <sharedItems containsNonDate="0" containsString="0" containsBlank="1"/>
    </cacheField>
    <cacheField name="Column5446" numFmtId="0">
      <sharedItems containsNonDate="0" containsString="0" containsBlank="1"/>
    </cacheField>
    <cacheField name="Column5447" numFmtId="0">
      <sharedItems containsNonDate="0" containsString="0" containsBlank="1"/>
    </cacheField>
    <cacheField name="Column5448" numFmtId="0">
      <sharedItems containsNonDate="0" containsString="0" containsBlank="1"/>
    </cacheField>
    <cacheField name="Column5449" numFmtId="0">
      <sharedItems containsNonDate="0" containsString="0" containsBlank="1"/>
    </cacheField>
    <cacheField name="Column5450" numFmtId="0">
      <sharedItems containsNonDate="0" containsString="0" containsBlank="1"/>
    </cacheField>
    <cacheField name="Column5451" numFmtId="0">
      <sharedItems containsNonDate="0" containsString="0" containsBlank="1"/>
    </cacheField>
    <cacheField name="Column5452" numFmtId="0">
      <sharedItems containsNonDate="0" containsString="0" containsBlank="1"/>
    </cacheField>
    <cacheField name="Column5453" numFmtId="0">
      <sharedItems containsNonDate="0" containsString="0" containsBlank="1"/>
    </cacheField>
    <cacheField name="Column5454" numFmtId="0">
      <sharedItems containsNonDate="0" containsString="0" containsBlank="1"/>
    </cacheField>
    <cacheField name="Column5455" numFmtId="0">
      <sharedItems containsNonDate="0" containsString="0" containsBlank="1"/>
    </cacheField>
    <cacheField name="Column5456" numFmtId="0">
      <sharedItems containsNonDate="0" containsString="0" containsBlank="1"/>
    </cacheField>
    <cacheField name="Column5457" numFmtId="0">
      <sharedItems containsNonDate="0" containsString="0" containsBlank="1"/>
    </cacheField>
    <cacheField name="Column5458" numFmtId="0">
      <sharedItems containsNonDate="0" containsString="0" containsBlank="1"/>
    </cacheField>
    <cacheField name="Column5459" numFmtId="0">
      <sharedItems containsNonDate="0" containsString="0" containsBlank="1"/>
    </cacheField>
    <cacheField name="Column5460" numFmtId="0">
      <sharedItems containsNonDate="0" containsString="0" containsBlank="1"/>
    </cacheField>
    <cacheField name="Column5461" numFmtId="0">
      <sharedItems containsNonDate="0" containsString="0" containsBlank="1"/>
    </cacheField>
    <cacheField name="Column5462" numFmtId="0">
      <sharedItems containsNonDate="0" containsString="0" containsBlank="1"/>
    </cacheField>
    <cacheField name="Column5463" numFmtId="0">
      <sharedItems containsNonDate="0" containsString="0" containsBlank="1"/>
    </cacheField>
    <cacheField name="Column5464" numFmtId="0">
      <sharedItems containsNonDate="0" containsString="0" containsBlank="1"/>
    </cacheField>
    <cacheField name="Column5465" numFmtId="0">
      <sharedItems containsNonDate="0" containsString="0" containsBlank="1"/>
    </cacheField>
    <cacheField name="Column5466" numFmtId="0">
      <sharedItems containsNonDate="0" containsString="0" containsBlank="1"/>
    </cacheField>
    <cacheField name="Column5467" numFmtId="0">
      <sharedItems containsNonDate="0" containsString="0" containsBlank="1"/>
    </cacheField>
    <cacheField name="Column5468" numFmtId="0">
      <sharedItems containsNonDate="0" containsString="0" containsBlank="1"/>
    </cacheField>
    <cacheField name="Column5469" numFmtId="0">
      <sharedItems containsNonDate="0" containsString="0" containsBlank="1"/>
    </cacheField>
    <cacheField name="Column5470" numFmtId="0">
      <sharedItems containsNonDate="0" containsString="0" containsBlank="1"/>
    </cacheField>
    <cacheField name="Column5471" numFmtId="0">
      <sharedItems containsNonDate="0" containsString="0" containsBlank="1"/>
    </cacheField>
    <cacheField name="Column5472" numFmtId="0">
      <sharedItems containsNonDate="0" containsString="0" containsBlank="1"/>
    </cacheField>
    <cacheField name="Column5473" numFmtId="0">
      <sharedItems containsNonDate="0" containsString="0" containsBlank="1"/>
    </cacheField>
    <cacheField name="Column5474" numFmtId="0">
      <sharedItems containsNonDate="0" containsString="0" containsBlank="1"/>
    </cacheField>
    <cacheField name="Column5475" numFmtId="0">
      <sharedItems containsNonDate="0" containsString="0" containsBlank="1"/>
    </cacheField>
    <cacheField name="Column5476" numFmtId="0">
      <sharedItems containsNonDate="0" containsString="0" containsBlank="1"/>
    </cacheField>
    <cacheField name="Column5477" numFmtId="0">
      <sharedItems containsNonDate="0" containsString="0" containsBlank="1"/>
    </cacheField>
    <cacheField name="Column5478" numFmtId="0">
      <sharedItems containsNonDate="0" containsString="0" containsBlank="1"/>
    </cacheField>
    <cacheField name="Column5479" numFmtId="0">
      <sharedItems containsNonDate="0" containsString="0" containsBlank="1"/>
    </cacheField>
    <cacheField name="Column5480" numFmtId="0">
      <sharedItems containsNonDate="0" containsString="0" containsBlank="1"/>
    </cacheField>
    <cacheField name="Column5481" numFmtId="0">
      <sharedItems containsNonDate="0" containsString="0" containsBlank="1"/>
    </cacheField>
    <cacheField name="Column5482" numFmtId="0">
      <sharedItems containsNonDate="0" containsString="0" containsBlank="1"/>
    </cacheField>
    <cacheField name="Column5483" numFmtId="0">
      <sharedItems containsNonDate="0" containsString="0" containsBlank="1"/>
    </cacheField>
    <cacheField name="Column5484" numFmtId="0">
      <sharedItems containsNonDate="0" containsString="0" containsBlank="1"/>
    </cacheField>
    <cacheField name="Column5485" numFmtId="0">
      <sharedItems containsNonDate="0" containsString="0" containsBlank="1"/>
    </cacheField>
    <cacheField name="Column5486" numFmtId="0">
      <sharedItems containsNonDate="0" containsString="0" containsBlank="1"/>
    </cacheField>
    <cacheField name="Column5487" numFmtId="0">
      <sharedItems containsNonDate="0" containsString="0" containsBlank="1"/>
    </cacheField>
    <cacheField name="Column5488" numFmtId="0">
      <sharedItems containsNonDate="0" containsString="0" containsBlank="1"/>
    </cacheField>
    <cacheField name="Column5489" numFmtId="0">
      <sharedItems containsNonDate="0" containsString="0" containsBlank="1"/>
    </cacheField>
    <cacheField name="Column5490" numFmtId="0">
      <sharedItems containsNonDate="0" containsString="0" containsBlank="1"/>
    </cacheField>
    <cacheField name="Column5491" numFmtId="0">
      <sharedItems containsNonDate="0" containsString="0" containsBlank="1"/>
    </cacheField>
    <cacheField name="Column5492" numFmtId="0">
      <sharedItems containsNonDate="0" containsString="0" containsBlank="1"/>
    </cacheField>
    <cacheField name="Column5493" numFmtId="0">
      <sharedItems containsNonDate="0" containsString="0" containsBlank="1"/>
    </cacheField>
    <cacheField name="Column5494" numFmtId="0">
      <sharedItems containsNonDate="0" containsString="0" containsBlank="1"/>
    </cacheField>
    <cacheField name="Column5495" numFmtId="0">
      <sharedItems containsNonDate="0" containsString="0" containsBlank="1"/>
    </cacheField>
    <cacheField name="Column5496" numFmtId="0">
      <sharedItems containsNonDate="0" containsString="0" containsBlank="1"/>
    </cacheField>
    <cacheField name="Column5497" numFmtId="0">
      <sharedItems containsNonDate="0" containsString="0" containsBlank="1"/>
    </cacheField>
    <cacheField name="Column5498" numFmtId="0">
      <sharedItems containsNonDate="0" containsString="0" containsBlank="1"/>
    </cacheField>
    <cacheField name="Column5499" numFmtId="0">
      <sharedItems containsNonDate="0" containsString="0" containsBlank="1"/>
    </cacheField>
    <cacheField name="Column5500" numFmtId="0">
      <sharedItems containsNonDate="0" containsString="0" containsBlank="1"/>
    </cacheField>
    <cacheField name="Column5501" numFmtId="0">
      <sharedItems containsNonDate="0" containsString="0" containsBlank="1"/>
    </cacheField>
    <cacheField name="Column5502" numFmtId="0">
      <sharedItems containsNonDate="0" containsString="0" containsBlank="1"/>
    </cacheField>
    <cacheField name="Column5503" numFmtId="0">
      <sharedItems containsNonDate="0" containsString="0" containsBlank="1"/>
    </cacheField>
    <cacheField name="Column5504" numFmtId="0">
      <sharedItems containsNonDate="0" containsString="0" containsBlank="1"/>
    </cacheField>
    <cacheField name="Column5505" numFmtId="0">
      <sharedItems containsNonDate="0" containsString="0" containsBlank="1"/>
    </cacheField>
    <cacheField name="Column5506" numFmtId="0">
      <sharedItems containsNonDate="0" containsString="0" containsBlank="1"/>
    </cacheField>
    <cacheField name="Column5507" numFmtId="0">
      <sharedItems containsNonDate="0" containsString="0" containsBlank="1"/>
    </cacheField>
    <cacheField name="Column5508" numFmtId="0">
      <sharedItems containsNonDate="0" containsString="0" containsBlank="1"/>
    </cacheField>
    <cacheField name="Column5509" numFmtId="0">
      <sharedItems containsNonDate="0" containsString="0" containsBlank="1"/>
    </cacheField>
    <cacheField name="Column5510" numFmtId="0">
      <sharedItems containsNonDate="0" containsString="0" containsBlank="1"/>
    </cacheField>
    <cacheField name="Column5511" numFmtId="0">
      <sharedItems containsNonDate="0" containsString="0" containsBlank="1"/>
    </cacheField>
    <cacheField name="Column5512" numFmtId="0">
      <sharedItems containsNonDate="0" containsString="0" containsBlank="1"/>
    </cacheField>
    <cacheField name="Column5513" numFmtId="0">
      <sharedItems containsNonDate="0" containsString="0" containsBlank="1"/>
    </cacheField>
    <cacheField name="Column5514" numFmtId="0">
      <sharedItems containsNonDate="0" containsString="0" containsBlank="1"/>
    </cacheField>
    <cacheField name="Column5515" numFmtId="0">
      <sharedItems containsNonDate="0" containsString="0" containsBlank="1"/>
    </cacheField>
    <cacheField name="Column5516" numFmtId="0">
      <sharedItems containsNonDate="0" containsString="0" containsBlank="1"/>
    </cacheField>
    <cacheField name="Column5517" numFmtId="0">
      <sharedItems containsNonDate="0" containsString="0" containsBlank="1"/>
    </cacheField>
    <cacheField name="Column5518" numFmtId="0">
      <sharedItems containsNonDate="0" containsString="0" containsBlank="1"/>
    </cacheField>
    <cacheField name="Column5519" numFmtId="0">
      <sharedItems containsNonDate="0" containsString="0" containsBlank="1"/>
    </cacheField>
    <cacheField name="Column5520" numFmtId="0">
      <sharedItems containsNonDate="0" containsString="0" containsBlank="1"/>
    </cacheField>
    <cacheField name="Column5521" numFmtId="0">
      <sharedItems containsNonDate="0" containsString="0" containsBlank="1"/>
    </cacheField>
    <cacheField name="Column5522" numFmtId="0">
      <sharedItems containsNonDate="0" containsString="0" containsBlank="1"/>
    </cacheField>
    <cacheField name="Column5523" numFmtId="0">
      <sharedItems containsNonDate="0" containsString="0" containsBlank="1"/>
    </cacheField>
    <cacheField name="Column5524" numFmtId="0">
      <sharedItems containsNonDate="0" containsString="0" containsBlank="1"/>
    </cacheField>
    <cacheField name="Column5525" numFmtId="0">
      <sharedItems containsNonDate="0" containsString="0" containsBlank="1"/>
    </cacheField>
    <cacheField name="Column5526" numFmtId="0">
      <sharedItems containsNonDate="0" containsString="0" containsBlank="1"/>
    </cacheField>
    <cacheField name="Column5527" numFmtId="0">
      <sharedItems containsNonDate="0" containsString="0" containsBlank="1"/>
    </cacheField>
    <cacheField name="Column5528" numFmtId="0">
      <sharedItems containsNonDate="0" containsString="0" containsBlank="1"/>
    </cacheField>
    <cacheField name="Column5529" numFmtId="0">
      <sharedItems containsNonDate="0" containsString="0" containsBlank="1"/>
    </cacheField>
    <cacheField name="Column5530" numFmtId="0">
      <sharedItems containsNonDate="0" containsString="0" containsBlank="1"/>
    </cacheField>
    <cacheField name="Column5531" numFmtId="0">
      <sharedItems containsNonDate="0" containsString="0" containsBlank="1"/>
    </cacheField>
    <cacheField name="Column5532" numFmtId="0">
      <sharedItems containsNonDate="0" containsString="0" containsBlank="1"/>
    </cacheField>
    <cacheField name="Column5533" numFmtId="0">
      <sharedItems containsNonDate="0" containsString="0" containsBlank="1"/>
    </cacheField>
    <cacheField name="Column5534" numFmtId="0">
      <sharedItems containsNonDate="0" containsString="0" containsBlank="1"/>
    </cacheField>
    <cacheField name="Column5535" numFmtId="0">
      <sharedItems containsNonDate="0" containsString="0" containsBlank="1"/>
    </cacheField>
    <cacheField name="Column5536" numFmtId="0">
      <sharedItems containsNonDate="0" containsString="0" containsBlank="1"/>
    </cacheField>
    <cacheField name="Column5537" numFmtId="0">
      <sharedItems containsNonDate="0" containsString="0" containsBlank="1"/>
    </cacheField>
    <cacheField name="Column5538" numFmtId="0">
      <sharedItems containsNonDate="0" containsString="0" containsBlank="1"/>
    </cacheField>
    <cacheField name="Column5539" numFmtId="0">
      <sharedItems containsNonDate="0" containsString="0" containsBlank="1"/>
    </cacheField>
    <cacheField name="Column5540" numFmtId="0">
      <sharedItems containsNonDate="0" containsString="0" containsBlank="1"/>
    </cacheField>
    <cacheField name="Column5541" numFmtId="0">
      <sharedItems containsNonDate="0" containsString="0" containsBlank="1"/>
    </cacheField>
    <cacheField name="Column5542" numFmtId="0">
      <sharedItems containsNonDate="0" containsString="0" containsBlank="1"/>
    </cacheField>
    <cacheField name="Column5543" numFmtId="0">
      <sharedItems containsNonDate="0" containsString="0" containsBlank="1"/>
    </cacheField>
    <cacheField name="Column5544" numFmtId="0">
      <sharedItems containsNonDate="0" containsString="0" containsBlank="1"/>
    </cacheField>
    <cacheField name="Column5545" numFmtId="0">
      <sharedItems containsNonDate="0" containsString="0" containsBlank="1"/>
    </cacheField>
    <cacheField name="Column5546" numFmtId="0">
      <sharedItems containsNonDate="0" containsString="0" containsBlank="1"/>
    </cacheField>
    <cacheField name="Column5547" numFmtId="0">
      <sharedItems containsNonDate="0" containsString="0" containsBlank="1"/>
    </cacheField>
    <cacheField name="Column5548" numFmtId="0">
      <sharedItems containsNonDate="0" containsString="0" containsBlank="1"/>
    </cacheField>
    <cacheField name="Column5549" numFmtId="0">
      <sharedItems containsNonDate="0" containsString="0" containsBlank="1"/>
    </cacheField>
    <cacheField name="Column5550" numFmtId="0">
      <sharedItems containsNonDate="0" containsString="0" containsBlank="1"/>
    </cacheField>
    <cacheField name="Column5551" numFmtId="0">
      <sharedItems containsNonDate="0" containsString="0" containsBlank="1"/>
    </cacheField>
    <cacheField name="Column5552" numFmtId="0">
      <sharedItems containsNonDate="0" containsString="0" containsBlank="1"/>
    </cacheField>
    <cacheField name="Column5553" numFmtId="0">
      <sharedItems containsNonDate="0" containsString="0" containsBlank="1"/>
    </cacheField>
    <cacheField name="Column5554" numFmtId="0">
      <sharedItems containsNonDate="0" containsString="0" containsBlank="1"/>
    </cacheField>
    <cacheField name="Column5555" numFmtId="0">
      <sharedItems containsNonDate="0" containsString="0" containsBlank="1"/>
    </cacheField>
    <cacheField name="Column5556" numFmtId="0">
      <sharedItems containsNonDate="0" containsString="0" containsBlank="1"/>
    </cacheField>
    <cacheField name="Column5557" numFmtId="0">
      <sharedItems containsNonDate="0" containsString="0" containsBlank="1"/>
    </cacheField>
    <cacheField name="Column5558" numFmtId="0">
      <sharedItems containsNonDate="0" containsString="0" containsBlank="1"/>
    </cacheField>
    <cacheField name="Column5559" numFmtId="0">
      <sharedItems containsNonDate="0" containsString="0" containsBlank="1"/>
    </cacheField>
    <cacheField name="Column5560" numFmtId="0">
      <sharedItems containsNonDate="0" containsString="0" containsBlank="1"/>
    </cacheField>
    <cacheField name="Column5561" numFmtId="0">
      <sharedItems containsNonDate="0" containsString="0" containsBlank="1"/>
    </cacheField>
    <cacheField name="Column5562" numFmtId="0">
      <sharedItems containsNonDate="0" containsString="0" containsBlank="1"/>
    </cacheField>
    <cacheField name="Column5563" numFmtId="0">
      <sharedItems containsNonDate="0" containsString="0" containsBlank="1"/>
    </cacheField>
    <cacheField name="Column5564" numFmtId="0">
      <sharedItems containsNonDate="0" containsString="0" containsBlank="1"/>
    </cacheField>
    <cacheField name="Column5565" numFmtId="0">
      <sharedItems containsNonDate="0" containsString="0" containsBlank="1"/>
    </cacheField>
    <cacheField name="Column5566" numFmtId="0">
      <sharedItems containsNonDate="0" containsString="0" containsBlank="1"/>
    </cacheField>
    <cacheField name="Column5567" numFmtId="0">
      <sharedItems containsNonDate="0" containsString="0" containsBlank="1"/>
    </cacheField>
    <cacheField name="Column5568" numFmtId="0">
      <sharedItems containsNonDate="0" containsString="0" containsBlank="1"/>
    </cacheField>
    <cacheField name="Column5569" numFmtId="0">
      <sharedItems containsNonDate="0" containsString="0" containsBlank="1"/>
    </cacheField>
    <cacheField name="Column5570" numFmtId="0">
      <sharedItems containsNonDate="0" containsString="0" containsBlank="1"/>
    </cacheField>
    <cacheField name="Column5571" numFmtId="0">
      <sharedItems containsNonDate="0" containsString="0" containsBlank="1"/>
    </cacheField>
    <cacheField name="Column5572" numFmtId="0">
      <sharedItems containsNonDate="0" containsString="0" containsBlank="1"/>
    </cacheField>
    <cacheField name="Column5573" numFmtId="0">
      <sharedItems containsNonDate="0" containsString="0" containsBlank="1"/>
    </cacheField>
    <cacheField name="Column5574" numFmtId="0">
      <sharedItems containsNonDate="0" containsString="0" containsBlank="1"/>
    </cacheField>
    <cacheField name="Column5575" numFmtId="0">
      <sharedItems containsNonDate="0" containsString="0" containsBlank="1"/>
    </cacheField>
    <cacheField name="Column5576" numFmtId="0">
      <sharedItems containsNonDate="0" containsString="0" containsBlank="1"/>
    </cacheField>
    <cacheField name="Column5577" numFmtId="0">
      <sharedItems containsNonDate="0" containsString="0" containsBlank="1"/>
    </cacheField>
    <cacheField name="Column5578" numFmtId="0">
      <sharedItems containsNonDate="0" containsString="0" containsBlank="1"/>
    </cacheField>
    <cacheField name="Column5579" numFmtId="0">
      <sharedItems containsNonDate="0" containsString="0" containsBlank="1"/>
    </cacheField>
    <cacheField name="Column5580" numFmtId="0">
      <sharedItems containsNonDate="0" containsString="0" containsBlank="1"/>
    </cacheField>
    <cacheField name="Column5581" numFmtId="0">
      <sharedItems containsNonDate="0" containsString="0" containsBlank="1"/>
    </cacheField>
    <cacheField name="Column5582" numFmtId="0">
      <sharedItems containsNonDate="0" containsString="0" containsBlank="1"/>
    </cacheField>
    <cacheField name="Column5583" numFmtId="0">
      <sharedItems containsNonDate="0" containsString="0" containsBlank="1"/>
    </cacheField>
    <cacheField name="Column5584" numFmtId="0">
      <sharedItems containsNonDate="0" containsString="0" containsBlank="1"/>
    </cacheField>
    <cacheField name="Column5585" numFmtId="0">
      <sharedItems containsNonDate="0" containsString="0" containsBlank="1"/>
    </cacheField>
    <cacheField name="Column5586" numFmtId="0">
      <sharedItems containsNonDate="0" containsString="0" containsBlank="1"/>
    </cacheField>
    <cacheField name="Column5587" numFmtId="0">
      <sharedItems containsNonDate="0" containsString="0" containsBlank="1"/>
    </cacheField>
    <cacheField name="Column5588" numFmtId="0">
      <sharedItems containsNonDate="0" containsString="0" containsBlank="1"/>
    </cacheField>
    <cacheField name="Column5589" numFmtId="0">
      <sharedItems containsNonDate="0" containsString="0" containsBlank="1"/>
    </cacheField>
    <cacheField name="Column5590" numFmtId="0">
      <sharedItems containsNonDate="0" containsString="0" containsBlank="1"/>
    </cacheField>
    <cacheField name="Column5591" numFmtId="0">
      <sharedItems containsNonDate="0" containsString="0" containsBlank="1"/>
    </cacheField>
    <cacheField name="Column5592" numFmtId="0">
      <sharedItems containsNonDate="0" containsString="0" containsBlank="1"/>
    </cacheField>
    <cacheField name="Column5593" numFmtId="0">
      <sharedItems containsNonDate="0" containsString="0" containsBlank="1"/>
    </cacheField>
    <cacheField name="Column5594" numFmtId="0">
      <sharedItems containsNonDate="0" containsString="0" containsBlank="1"/>
    </cacheField>
    <cacheField name="Column5595" numFmtId="0">
      <sharedItems containsNonDate="0" containsString="0" containsBlank="1"/>
    </cacheField>
    <cacheField name="Column5596" numFmtId="0">
      <sharedItems containsNonDate="0" containsString="0" containsBlank="1"/>
    </cacheField>
    <cacheField name="Column5597" numFmtId="0">
      <sharedItems containsNonDate="0" containsString="0" containsBlank="1"/>
    </cacheField>
    <cacheField name="Column5598" numFmtId="0">
      <sharedItems containsNonDate="0" containsString="0" containsBlank="1"/>
    </cacheField>
    <cacheField name="Column5599" numFmtId="0">
      <sharedItems containsNonDate="0" containsString="0" containsBlank="1"/>
    </cacheField>
    <cacheField name="Column5600" numFmtId="0">
      <sharedItems containsNonDate="0" containsString="0" containsBlank="1"/>
    </cacheField>
    <cacheField name="Column5601" numFmtId="0">
      <sharedItems containsNonDate="0" containsString="0" containsBlank="1"/>
    </cacheField>
    <cacheField name="Column5602" numFmtId="0">
      <sharedItems containsNonDate="0" containsString="0" containsBlank="1"/>
    </cacheField>
    <cacheField name="Column5603" numFmtId="0">
      <sharedItems containsNonDate="0" containsString="0" containsBlank="1"/>
    </cacheField>
    <cacheField name="Column5604" numFmtId="0">
      <sharedItems containsNonDate="0" containsString="0" containsBlank="1"/>
    </cacheField>
    <cacheField name="Column5605" numFmtId="0">
      <sharedItems containsNonDate="0" containsString="0" containsBlank="1"/>
    </cacheField>
    <cacheField name="Column5606" numFmtId="0">
      <sharedItems containsNonDate="0" containsString="0" containsBlank="1"/>
    </cacheField>
    <cacheField name="Column5607" numFmtId="0">
      <sharedItems containsNonDate="0" containsString="0" containsBlank="1"/>
    </cacheField>
    <cacheField name="Column5608" numFmtId="0">
      <sharedItems containsNonDate="0" containsString="0" containsBlank="1"/>
    </cacheField>
    <cacheField name="Column5609" numFmtId="0">
      <sharedItems containsNonDate="0" containsString="0" containsBlank="1"/>
    </cacheField>
    <cacheField name="Column5610" numFmtId="0">
      <sharedItems containsNonDate="0" containsString="0" containsBlank="1"/>
    </cacheField>
    <cacheField name="Column5611" numFmtId="0">
      <sharedItems containsNonDate="0" containsString="0" containsBlank="1"/>
    </cacheField>
    <cacheField name="Column5612" numFmtId="0">
      <sharedItems containsNonDate="0" containsString="0" containsBlank="1"/>
    </cacheField>
    <cacheField name="Column5613" numFmtId="0">
      <sharedItems containsNonDate="0" containsString="0" containsBlank="1"/>
    </cacheField>
    <cacheField name="Column5614" numFmtId="0">
      <sharedItems containsNonDate="0" containsString="0" containsBlank="1"/>
    </cacheField>
    <cacheField name="Column5615" numFmtId="0">
      <sharedItems containsNonDate="0" containsString="0" containsBlank="1"/>
    </cacheField>
    <cacheField name="Column5616" numFmtId="0">
      <sharedItems containsNonDate="0" containsString="0" containsBlank="1"/>
    </cacheField>
    <cacheField name="Column5617" numFmtId="0">
      <sharedItems containsNonDate="0" containsString="0" containsBlank="1"/>
    </cacheField>
    <cacheField name="Column5618" numFmtId="0">
      <sharedItems containsNonDate="0" containsString="0" containsBlank="1"/>
    </cacheField>
    <cacheField name="Column5619" numFmtId="0">
      <sharedItems containsNonDate="0" containsString="0" containsBlank="1"/>
    </cacheField>
    <cacheField name="Column5620" numFmtId="0">
      <sharedItems containsNonDate="0" containsString="0" containsBlank="1"/>
    </cacheField>
    <cacheField name="Column5621" numFmtId="0">
      <sharedItems containsNonDate="0" containsString="0" containsBlank="1"/>
    </cacheField>
    <cacheField name="Column5622" numFmtId="0">
      <sharedItems containsNonDate="0" containsString="0" containsBlank="1"/>
    </cacheField>
    <cacheField name="Column5623" numFmtId="0">
      <sharedItems containsNonDate="0" containsString="0" containsBlank="1"/>
    </cacheField>
    <cacheField name="Column5624" numFmtId="0">
      <sharedItems containsNonDate="0" containsString="0" containsBlank="1"/>
    </cacheField>
    <cacheField name="Column5625" numFmtId="0">
      <sharedItems containsNonDate="0" containsString="0" containsBlank="1"/>
    </cacheField>
    <cacheField name="Column5626" numFmtId="0">
      <sharedItems containsNonDate="0" containsString="0" containsBlank="1"/>
    </cacheField>
    <cacheField name="Column5627" numFmtId="0">
      <sharedItems containsNonDate="0" containsString="0" containsBlank="1"/>
    </cacheField>
    <cacheField name="Column5628" numFmtId="0">
      <sharedItems containsNonDate="0" containsString="0" containsBlank="1"/>
    </cacheField>
    <cacheField name="Column5629" numFmtId="0">
      <sharedItems containsNonDate="0" containsString="0" containsBlank="1"/>
    </cacheField>
    <cacheField name="Column5630" numFmtId="0">
      <sharedItems containsNonDate="0" containsString="0" containsBlank="1"/>
    </cacheField>
    <cacheField name="Column5631" numFmtId="0">
      <sharedItems containsNonDate="0" containsString="0" containsBlank="1"/>
    </cacheField>
    <cacheField name="Column5632" numFmtId="0">
      <sharedItems containsNonDate="0" containsString="0" containsBlank="1"/>
    </cacheField>
    <cacheField name="Column5633" numFmtId="0">
      <sharedItems containsNonDate="0" containsString="0" containsBlank="1"/>
    </cacheField>
    <cacheField name="Column5634" numFmtId="0">
      <sharedItems containsNonDate="0" containsString="0" containsBlank="1"/>
    </cacheField>
    <cacheField name="Column5635" numFmtId="0">
      <sharedItems containsNonDate="0" containsString="0" containsBlank="1"/>
    </cacheField>
    <cacheField name="Column5636" numFmtId="0">
      <sharedItems containsNonDate="0" containsString="0" containsBlank="1"/>
    </cacheField>
    <cacheField name="Column5637" numFmtId="0">
      <sharedItems containsNonDate="0" containsString="0" containsBlank="1"/>
    </cacheField>
    <cacheField name="Column5638" numFmtId="0">
      <sharedItems containsNonDate="0" containsString="0" containsBlank="1"/>
    </cacheField>
    <cacheField name="Column5639" numFmtId="0">
      <sharedItems containsNonDate="0" containsString="0" containsBlank="1"/>
    </cacheField>
    <cacheField name="Column5640" numFmtId="0">
      <sharedItems containsNonDate="0" containsString="0" containsBlank="1"/>
    </cacheField>
    <cacheField name="Column5641" numFmtId="0">
      <sharedItems containsNonDate="0" containsString="0" containsBlank="1"/>
    </cacheField>
    <cacheField name="Column5642" numFmtId="0">
      <sharedItems containsNonDate="0" containsString="0" containsBlank="1"/>
    </cacheField>
    <cacheField name="Column5643" numFmtId="0">
      <sharedItems containsNonDate="0" containsString="0" containsBlank="1"/>
    </cacheField>
    <cacheField name="Column5644" numFmtId="0">
      <sharedItems containsNonDate="0" containsString="0" containsBlank="1"/>
    </cacheField>
    <cacheField name="Column5645" numFmtId="0">
      <sharedItems containsNonDate="0" containsString="0" containsBlank="1"/>
    </cacheField>
    <cacheField name="Column5646" numFmtId="0">
      <sharedItems containsNonDate="0" containsString="0" containsBlank="1"/>
    </cacheField>
    <cacheField name="Column5647" numFmtId="0">
      <sharedItems containsNonDate="0" containsString="0" containsBlank="1"/>
    </cacheField>
    <cacheField name="Column5648" numFmtId="0">
      <sharedItems containsNonDate="0" containsString="0" containsBlank="1"/>
    </cacheField>
    <cacheField name="Column5649" numFmtId="0">
      <sharedItems containsNonDate="0" containsString="0" containsBlank="1"/>
    </cacheField>
    <cacheField name="Column5650" numFmtId="0">
      <sharedItems containsNonDate="0" containsString="0" containsBlank="1"/>
    </cacheField>
    <cacheField name="Column5651" numFmtId="0">
      <sharedItems containsNonDate="0" containsString="0" containsBlank="1"/>
    </cacheField>
    <cacheField name="Column5652" numFmtId="0">
      <sharedItems containsNonDate="0" containsString="0" containsBlank="1"/>
    </cacheField>
    <cacheField name="Column5653" numFmtId="0">
      <sharedItems containsNonDate="0" containsString="0" containsBlank="1"/>
    </cacheField>
    <cacheField name="Column5654" numFmtId="0">
      <sharedItems containsNonDate="0" containsString="0" containsBlank="1"/>
    </cacheField>
    <cacheField name="Column5655" numFmtId="0">
      <sharedItems containsNonDate="0" containsString="0" containsBlank="1"/>
    </cacheField>
    <cacheField name="Column5656" numFmtId="0">
      <sharedItems containsNonDate="0" containsString="0" containsBlank="1"/>
    </cacheField>
    <cacheField name="Column5657" numFmtId="0">
      <sharedItems containsNonDate="0" containsString="0" containsBlank="1"/>
    </cacheField>
    <cacheField name="Column5658" numFmtId="0">
      <sharedItems containsNonDate="0" containsString="0" containsBlank="1"/>
    </cacheField>
    <cacheField name="Column5659" numFmtId="0">
      <sharedItems containsNonDate="0" containsString="0" containsBlank="1"/>
    </cacheField>
    <cacheField name="Column5660" numFmtId="0">
      <sharedItems containsNonDate="0" containsString="0" containsBlank="1"/>
    </cacheField>
    <cacheField name="Column5661" numFmtId="0">
      <sharedItems containsNonDate="0" containsString="0" containsBlank="1"/>
    </cacheField>
    <cacheField name="Column5662" numFmtId="0">
      <sharedItems containsNonDate="0" containsString="0" containsBlank="1"/>
    </cacheField>
    <cacheField name="Column5663" numFmtId="0">
      <sharedItems containsNonDate="0" containsString="0" containsBlank="1"/>
    </cacheField>
    <cacheField name="Column5664" numFmtId="0">
      <sharedItems containsNonDate="0" containsString="0" containsBlank="1"/>
    </cacheField>
    <cacheField name="Column5665" numFmtId="0">
      <sharedItems containsNonDate="0" containsString="0" containsBlank="1"/>
    </cacheField>
    <cacheField name="Column5666" numFmtId="0">
      <sharedItems containsNonDate="0" containsString="0" containsBlank="1"/>
    </cacheField>
    <cacheField name="Column5667" numFmtId="0">
      <sharedItems containsNonDate="0" containsString="0" containsBlank="1"/>
    </cacheField>
    <cacheField name="Column5668" numFmtId="0">
      <sharedItems containsNonDate="0" containsString="0" containsBlank="1"/>
    </cacheField>
    <cacheField name="Column5669" numFmtId="0">
      <sharedItems containsNonDate="0" containsString="0" containsBlank="1"/>
    </cacheField>
    <cacheField name="Column5670" numFmtId="0">
      <sharedItems containsNonDate="0" containsString="0" containsBlank="1"/>
    </cacheField>
    <cacheField name="Column5671" numFmtId="0">
      <sharedItems containsNonDate="0" containsString="0" containsBlank="1"/>
    </cacheField>
    <cacheField name="Column5672" numFmtId="0">
      <sharedItems containsNonDate="0" containsString="0" containsBlank="1"/>
    </cacheField>
    <cacheField name="Column5673" numFmtId="0">
      <sharedItems containsNonDate="0" containsString="0" containsBlank="1"/>
    </cacheField>
    <cacheField name="Column5674" numFmtId="0">
      <sharedItems containsNonDate="0" containsString="0" containsBlank="1"/>
    </cacheField>
    <cacheField name="Column5675" numFmtId="0">
      <sharedItems containsNonDate="0" containsString="0" containsBlank="1"/>
    </cacheField>
    <cacheField name="Column5676" numFmtId="0">
      <sharedItems containsNonDate="0" containsString="0" containsBlank="1"/>
    </cacheField>
    <cacheField name="Column5677" numFmtId="0">
      <sharedItems containsNonDate="0" containsString="0" containsBlank="1"/>
    </cacheField>
    <cacheField name="Column5678" numFmtId="0">
      <sharedItems containsNonDate="0" containsString="0" containsBlank="1"/>
    </cacheField>
    <cacheField name="Column5679" numFmtId="0">
      <sharedItems containsNonDate="0" containsString="0" containsBlank="1"/>
    </cacheField>
    <cacheField name="Column5680" numFmtId="0">
      <sharedItems containsNonDate="0" containsString="0" containsBlank="1"/>
    </cacheField>
    <cacheField name="Column5681" numFmtId="0">
      <sharedItems containsNonDate="0" containsString="0" containsBlank="1"/>
    </cacheField>
    <cacheField name="Column5682" numFmtId="0">
      <sharedItems containsNonDate="0" containsString="0" containsBlank="1"/>
    </cacheField>
    <cacheField name="Column5683" numFmtId="0">
      <sharedItems containsNonDate="0" containsString="0" containsBlank="1"/>
    </cacheField>
    <cacheField name="Column5684" numFmtId="0">
      <sharedItems containsNonDate="0" containsString="0" containsBlank="1"/>
    </cacheField>
    <cacheField name="Column5685" numFmtId="0">
      <sharedItems containsNonDate="0" containsString="0" containsBlank="1"/>
    </cacheField>
    <cacheField name="Column5686" numFmtId="0">
      <sharedItems containsNonDate="0" containsString="0" containsBlank="1"/>
    </cacheField>
    <cacheField name="Column5687" numFmtId="0">
      <sharedItems containsNonDate="0" containsString="0" containsBlank="1"/>
    </cacheField>
    <cacheField name="Column5688" numFmtId="0">
      <sharedItems containsNonDate="0" containsString="0" containsBlank="1"/>
    </cacheField>
    <cacheField name="Column5689" numFmtId="0">
      <sharedItems containsNonDate="0" containsString="0" containsBlank="1"/>
    </cacheField>
    <cacheField name="Column5690" numFmtId="0">
      <sharedItems containsNonDate="0" containsString="0" containsBlank="1"/>
    </cacheField>
    <cacheField name="Column5691" numFmtId="0">
      <sharedItems containsNonDate="0" containsString="0" containsBlank="1"/>
    </cacheField>
    <cacheField name="Column5692" numFmtId="0">
      <sharedItems containsNonDate="0" containsString="0" containsBlank="1"/>
    </cacheField>
    <cacheField name="Column5693" numFmtId="0">
      <sharedItems containsNonDate="0" containsString="0" containsBlank="1"/>
    </cacheField>
    <cacheField name="Column5694" numFmtId="0">
      <sharedItems containsNonDate="0" containsString="0" containsBlank="1"/>
    </cacheField>
    <cacheField name="Column5695" numFmtId="0">
      <sharedItems containsNonDate="0" containsString="0" containsBlank="1"/>
    </cacheField>
    <cacheField name="Column5696" numFmtId="0">
      <sharedItems containsNonDate="0" containsString="0" containsBlank="1"/>
    </cacheField>
    <cacheField name="Column5697" numFmtId="0">
      <sharedItems containsNonDate="0" containsString="0" containsBlank="1"/>
    </cacheField>
    <cacheField name="Column5698" numFmtId="0">
      <sharedItems containsNonDate="0" containsString="0" containsBlank="1"/>
    </cacheField>
    <cacheField name="Column5699" numFmtId="0">
      <sharedItems containsNonDate="0" containsString="0" containsBlank="1"/>
    </cacheField>
    <cacheField name="Column5700" numFmtId="0">
      <sharedItems containsNonDate="0" containsString="0" containsBlank="1"/>
    </cacheField>
    <cacheField name="Column5701" numFmtId="0">
      <sharedItems containsNonDate="0" containsString="0" containsBlank="1"/>
    </cacheField>
    <cacheField name="Column5702" numFmtId="0">
      <sharedItems containsNonDate="0" containsString="0" containsBlank="1"/>
    </cacheField>
    <cacheField name="Column5703" numFmtId="0">
      <sharedItems containsNonDate="0" containsString="0" containsBlank="1"/>
    </cacheField>
    <cacheField name="Column5704" numFmtId="0">
      <sharedItems containsNonDate="0" containsString="0" containsBlank="1"/>
    </cacheField>
    <cacheField name="Column5705" numFmtId="0">
      <sharedItems containsNonDate="0" containsString="0" containsBlank="1"/>
    </cacheField>
    <cacheField name="Column5706" numFmtId="0">
      <sharedItems containsNonDate="0" containsString="0" containsBlank="1"/>
    </cacheField>
    <cacheField name="Column5707" numFmtId="0">
      <sharedItems containsNonDate="0" containsString="0" containsBlank="1"/>
    </cacheField>
    <cacheField name="Column5708" numFmtId="0">
      <sharedItems containsNonDate="0" containsString="0" containsBlank="1"/>
    </cacheField>
    <cacheField name="Column5709" numFmtId="0">
      <sharedItems containsNonDate="0" containsString="0" containsBlank="1"/>
    </cacheField>
    <cacheField name="Column5710" numFmtId="0">
      <sharedItems containsNonDate="0" containsString="0" containsBlank="1"/>
    </cacheField>
    <cacheField name="Column5711" numFmtId="0">
      <sharedItems containsNonDate="0" containsString="0" containsBlank="1"/>
    </cacheField>
    <cacheField name="Column5712" numFmtId="0">
      <sharedItems containsNonDate="0" containsString="0" containsBlank="1"/>
    </cacheField>
    <cacheField name="Column5713" numFmtId="0">
      <sharedItems containsNonDate="0" containsString="0" containsBlank="1"/>
    </cacheField>
    <cacheField name="Column5714" numFmtId="0">
      <sharedItems containsNonDate="0" containsString="0" containsBlank="1"/>
    </cacheField>
    <cacheField name="Column5715" numFmtId="0">
      <sharedItems containsNonDate="0" containsString="0" containsBlank="1"/>
    </cacheField>
    <cacheField name="Column5716" numFmtId="0">
      <sharedItems containsNonDate="0" containsString="0" containsBlank="1"/>
    </cacheField>
    <cacheField name="Column5717" numFmtId="0">
      <sharedItems containsNonDate="0" containsString="0" containsBlank="1"/>
    </cacheField>
    <cacheField name="Column5718" numFmtId="0">
      <sharedItems containsNonDate="0" containsString="0" containsBlank="1"/>
    </cacheField>
    <cacheField name="Column5719" numFmtId="0">
      <sharedItems containsNonDate="0" containsString="0" containsBlank="1"/>
    </cacheField>
    <cacheField name="Column5720" numFmtId="0">
      <sharedItems containsNonDate="0" containsString="0" containsBlank="1"/>
    </cacheField>
    <cacheField name="Column5721" numFmtId="0">
      <sharedItems containsNonDate="0" containsString="0" containsBlank="1"/>
    </cacheField>
    <cacheField name="Column5722" numFmtId="0">
      <sharedItems containsNonDate="0" containsString="0" containsBlank="1"/>
    </cacheField>
    <cacheField name="Column5723" numFmtId="0">
      <sharedItems containsNonDate="0" containsString="0" containsBlank="1"/>
    </cacheField>
    <cacheField name="Column5724" numFmtId="0">
      <sharedItems containsNonDate="0" containsString="0" containsBlank="1"/>
    </cacheField>
    <cacheField name="Column5725" numFmtId="0">
      <sharedItems containsNonDate="0" containsString="0" containsBlank="1"/>
    </cacheField>
    <cacheField name="Column5726" numFmtId="0">
      <sharedItems containsNonDate="0" containsString="0" containsBlank="1"/>
    </cacheField>
    <cacheField name="Column5727" numFmtId="0">
      <sharedItems containsNonDate="0" containsString="0" containsBlank="1"/>
    </cacheField>
    <cacheField name="Column5728" numFmtId="0">
      <sharedItems containsNonDate="0" containsString="0" containsBlank="1"/>
    </cacheField>
    <cacheField name="Column5729" numFmtId="0">
      <sharedItems containsNonDate="0" containsString="0" containsBlank="1"/>
    </cacheField>
    <cacheField name="Column5730" numFmtId="0">
      <sharedItems containsNonDate="0" containsString="0" containsBlank="1"/>
    </cacheField>
    <cacheField name="Column5731" numFmtId="0">
      <sharedItems containsNonDate="0" containsString="0" containsBlank="1"/>
    </cacheField>
    <cacheField name="Column5732" numFmtId="0">
      <sharedItems containsNonDate="0" containsString="0" containsBlank="1"/>
    </cacheField>
    <cacheField name="Column5733" numFmtId="0">
      <sharedItems containsNonDate="0" containsString="0" containsBlank="1"/>
    </cacheField>
    <cacheField name="Column5734" numFmtId="0">
      <sharedItems containsNonDate="0" containsString="0" containsBlank="1"/>
    </cacheField>
    <cacheField name="Column5735" numFmtId="0">
      <sharedItems containsNonDate="0" containsString="0" containsBlank="1"/>
    </cacheField>
    <cacheField name="Column5736" numFmtId="0">
      <sharedItems containsNonDate="0" containsString="0" containsBlank="1"/>
    </cacheField>
    <cacheField name="Column5737" numFmtId="0">
      <sharedItems containsNonDate="0" containsString="0" containsBlank="1"/>
    </cacheField>
    <cacheField name="Column5738" numFmtId="0">
      <sharedItems containsNonDate="0" containsString="0" containsBlank="1"/>
    </cacheField>
    <cacheField name="Column5739" numFmtId="0">
      <sharedItems containsNonDate="0" containsString="0" containsBlank="1"/>
    </cacheField>
    <cacheField name="Column5740" numFmtId="0">
      <sharedItems containsNonDate="0" containsString="0" containsBlank="1"/>
    </cacheField>
    <cacheField name="Column5741" numFmtId="0">
      <sharedItems containsNonDate="0" containsString="0" containsBlank="1"/>
    </cacheField>
    <cacheField name="Column5742" numFmtId="0">
      <sharedItems containsNonDate="0" containsString="0" containsBlank="1"/>
    </cacheField>
    <cacheField name="Column5743" numFmtId="0">
      <sharedItems containsNonDate="0" containsString="0" containsBlank="1"/>
    </cacheField>
    <cacheField name="Column5744" numFmtId="0">
      <sharedItems containsNonDate="0" containsString="0" containsBlank="1"/>
    </cacheField>
    <cacheField name="Column5745" numFmtId="0">
      <sharedItems containsNonDate="0" containsString="0" containsBlank="1"/>
    </cacheField>
    <cacheField name="Column5746" numFmtId="0">
      <sharedItems containsNonDate="0" containsString="0" containsBlank="1"/>
    </cacheField>
    <cacheField name="Column5747" numFmtId="0">
      <sharedItems containsNonDate="0" containsString="0" containsBlank="1"/>
    </cacheField>
    <cacheField name="Column5748" numFmtId="0">
      <sharedItems containsNonDate="0" containsString="0" containsBlank="1"/>
    </cacheField>
    <cacheField name="Column5749" numFmtId="0">
      <sharedItems containsNonDate="0" containsString="0" containsBlank="1"/>
    </cacheField>
    <cacheField name="Column5750" numFmtId="0">
      <sharedItems containsNonDate="0" containsString="0" containsBlank="1"/>
    </cacheField>
    <cacheField name="Column5751" numFmtId="0">
      <sharedItems containsNonDate="0" containsString="0" containsBlank="1"/>
    </cacheField>
    <cacheField name="Column5752" numFmtId="0">
      <sharedItems containsNonDate="0" containsString="0" containsBlank="1"/>
    </cacheField>
    <cacheField name="Column5753" numFmtId="0">
      <sharedItems containsNonDate="0" containsString="0" containsBlank="1"/>
    </cacheField>
    <cacheField name="Column5754" numFmtId="0">
      <sharedItems containsNonDate="0" containsString="0" containsBlank="1"/>
    </cacheField>
    <cacheField name="Column5755" numFmtId="0">
      <sharedItems containsNonDate="0" containsString="0" containsBlank="1"/>
    </cacheField>
    <cacheField name="Column5756" numFmtId="0">
      <sharedItems containsNonDate="0" containsString="0" containsBlank="1"/>
    </cacheField>
    <cacheField name="Column5757" numFmtId="0">
      <sharedItems containsNonDate="0" containsString="0" containsBlank="1"/>
    </cacheField>
    <cacheField name="Column5758" numFmtId="0">
      <sharedItems containsNonDate="0" containsString="0" containsBlank="1"/>
    </cacheField>
    <cacheField name="Column5759" numFmtId="0">
      <sharedItems containsNonDate="0" containsString="0" containsBlank="1"/>
    </cacheField>
    <cacheField name="Column5760" numFmtId="0">
      <sharedItems containsNonDate="0" containsString="0" containsBlank="1"/>
    </cacheField>
    <cacheField name="Column5761" numFmtId="0">
      <sharedItems containsNonDate="0" containsString="0" containsBlank="1"/>
    </cacheField>
    <cacheField name="Column5762" numFmtId="0">
      <sharedItems containsNonDate="0" containsString="0" containsBlank="1"/>
    </cacheField>
    <cacheField name="Column5763" numFmtId="0">
      <sharedItems containsNonDate="0" containsString="0" containsBlank="1"/>
    </cacheField>
    <cacheField name="Column5764" numFmtId="0">
      <sharedItems containsNonDate="0" containsString="0" containsBlank="1"/>
    </cacheField>
    <cacheField name="Column5765" numFmtId="0">
      <sharedItems containsNonDate="0" containsString="0" containsBlank="1"/>
    </cacheField>
    <cacheField name="Column5766" numFmtId="0">
      <sharedItems containsNonDate="0" containsString="0" containsBlank="1"/>
    </cacheField>
    <cacheField name="Column5767" numFmtId="0">
      <sharedItems containsNonDate="0" containsString="0" containsBlank="1"/>
    </cacheField>
    <cacheField name="Column5768" numFmtId="0">
      <sharedItems containsNonDate="0" containsString="0" containsBlank="1"/>
    </cacheField>
    <cacheField name="Column5769" numFmtId="0">
      <sharedItems containsNonDate="0" containsString="0" containsBlank="1"/>
    </cacheField>
    <cacheField name="Column5770" numFmtId="0">
      <sharedItems containsNonDate="0" containsString="0" containsBlank="1"/>
    </cacheField>
    <cacheField name="Column5771" numFmtId="0">
      <sharedItems containsNonDate="0" containsString="0" containsBlank="1"/>
    </cacheField>
    <cacheField name="Column5772" numFmtId="0">
      <sharedItems containsNonDate="0" containsString="0" containsBlank="1"/>
    </cacheField>
    <cacheField name="Column5773" numFmtId="0">
      <sharedItems containsNonDate="0" containsString="0" containsBlank="1"/>
    </cacheField>
    <cacheField name="Column5774" numFmtId="0">
      <sharedItems containsNonDate="0" containsString="0" containsBlank="1"/>
    </cacheField>
    <cacheField name="Column5775" numFmtId="0">
      <sharedItems containsNonDate="0" containsString="0" containsBlank="1"/>
    </cacheField>
    <cacheField name="Column5776" numFmtId="0">
      <sharedItems containsNonDate="0" containsString="0" containsBlank="1"/>
    </cacheField>
    <cacheField name="Column5777" numFmtId="0">
      <sharedItems containsNonDate="0" containsString="0" containsBlank="1"/>
    </cacheField>
    <cacheField name="Column5778" numFmtId="0">
      <sharedItems containsNonDate="0" containsString="0" containsBlank="1"/>
    </cacheField>
    <cacheField name="Column5779" numFmtId="0">
      <sharedItems containsNonDate="0" containsString="0" containsBlank="1"/>
    </cacheField>
    <cacheField name="Column5780" numFmtId="0">
      <sharedItems containsNonDate="0" containsString="0" containsBlank="1"/>
    </cacheField>
    <cacheField name="Column5781" numFmtId="0">
      <sharedItems containsNonDate="0" containsString="0" containsBlank="1"/>
    </cacheField>
    <cacheField name="Column5782" numFmtId="0">
      <sharedItems containsNonDate="0" containsString="0" containsBlank="1"/>
    </cacheField>
    <cacheField name="Column5783" numFmtId="0">
      <sharedItems containsNonDate="0" containsString="0" containsBlank="1"/>
    </cacheField>
    <cacheField name="Column5784" numFmtId="0">
      <sharedItems containsNonDate="0" containsString="0" containsBlank="1"/>
    </cacheField>
    <cacheField name="Column5785" numFmtId="0">
      <sharedItems containsNonDate="0" containsString="0" containsBlank="1"/>
    </cacheField>
    <cacheField name="Column5786" numFmtId="0">
      <sharedItems containsNonDate="0" containsString="0" containsBlank="1"/>
    </cacheField>
    <cacheField name="Column5787" numFmtId="0">
      <sharedItems containsNonDate="0" containsString="0" containsBlank="1"/>
    </cacheField>
    <cacheField name="Column5788" numFmtId="0">
      <sharedItems containsNonDate="0" containsString="0" containsBlank="1"/>
    </cacheField>
    <cacheField name="Column5789" numFmtId="0">
      <sharedItems containsNonDate="0" containsString="0" containsBlank="1"/>
    </cacheField>
    <cacheField name="Column5790" numFmtId="0">
      <sharedItems containsNonDate="0" containsString="0" containsBlank="1"/>
    </cacheField>
    <cacheField name="Column5791" numFmtId="0">
      <sharedItems containsNonDate="0" containsString="0" containsBlank="1"/>
    </cacheField>
    <cacheField name="Column5792" numFmtId="0">
      <sharedItems containsNonDate="0" containsString="0" containsBlank="1"/>
    </cacheField>
    <cacheField name="Column5793" numFmtId="0">
      <sharedItems containsNonDate="0" containsString="0" containsBlank="1"/>
    </cacheField>
    <cacheField name="Column5794" numFmtId="0">
      <sharedItems containsNonDate="0" containsString="0" containsBlank="1"/>
    </cacheField>
    <cacheField name="Column5795" numFmtId="0">
      <sharedItems containsNonDate="0" containsString="0" containsBlank="1"/>
    </cacheField>
    <cacheField name="Column5796" numFmtId="0">
      <sharedItems containsNonDate="0" containsString="0" containsBlank="1"/>
    </cacheField>
    <cacheField name="Column5797" numFmtId="0">
      <sharedItems containsNonDate="0" containsString="0" containsBlank="1"/>
    </cacheField>
    <cacheField name="Column5798" numFmtId="0">
      <sharedItems containsNonDate="0" containsString="0" containsBlank="1"/>
    </cacheField>
    <cacheField name="Column5799" numFmtId="0">
      <sharedItems containsNonDate="0" containsString="0" containsBlank="1"/>
    </cacheField>
    <cacheField name="Column5800" numFmtId="0">
      <sharedItems containsNonDate="0" containsString="0" containsBlank="1"/>
    </cacheField>
    <cacheField name="Column5801" numFmtId="0">
      <sharedItems containsNonDate="0" containsString="0" containsBlank="1"/>
    </cacheField>
    <cacheField name="Column5802" numFmtId="0">
      <sharedItems containsNonDate="0" containsString="0" containsBlank="1"/>
    </cacheField>
    <cacheField name="Column5803" numFmtId="0">
      <sharedItems containsNonDate="0" containsString="0" containsBlank="1"/>
    </cacheField>
    <cacheField name="Column5804" numFmtId="0">
      <sharedItems containsNonDate="0" containsString="0" containsBlank="1"/>
    </cacheField>
    <cacheField name="Column5805" numFmtId="0">
      <sharedItems containsNonDate="0" containsString="0" containsBlank="1"/>
    </cacheField>
    <cacheField name="Column5806" numFmtId="0">
      <sharedItems containsNonDate="0" containsString="0" containsBlank="1"/>
    </cacheField>
    <cacheField name="Column5807" numFmtId="0">
      <sharedItems containsNonDate="0" containsString="0" containsBlank="1"/>
    </cacheField>
    <cacheField name="Column5808" numFmtId="0">
      <sharedItems containsNonDate="0" containsString="0" containsBlank="1"/>
    </cacheField>
    <cacheField name="Column5809" numFmtId="0">
      <sharedItems containsNonDate="0" containsString="0" containsBlank="1"/>
    </cacheField>
    <cacheField name="Column5810" numFmtId="0">
      <sharedItems containsNonDate="0" containsString="0" containsBlank="1"/>
    </cacheField>
    <cacheField name="Column5811" numFmtId="0">
      <sharedItems containsNonDate="0" containsString="0" containsBlank="1"/>
    </cacheField>
    <cacheField name="Column5812" numFmtId="0">
      <sharedItems containsNonDate="0" containsString="0" containsBlank="1"/>
    </cacheField>
    <cacheField name="Column5813" numFmtId="0">
      <sharedItems containsNonDate="0" containsString="0" containsBlank="1"/>
    </cacheField>
    <cacheField name="Column5814" numFmtId="0">
      <sharedItems containsNonDate="0" containsString="0" containsBlank="1"/>
    </cacheField>
    <cacheField name="Column5815" numFmtId="0">
      <sharedItems containsNonDate="0" containsString="0" containsBlank="1"/>
    </cacheField>
    <cacheField name="Column5816" numFmtId="0">
      <sharedItems containsNonDate="0" containsString="0" containsBlank="1"/>
    </cacheField>
    <cacheField name="Column5817" numFmtId="0">
      <sharedItems containsNonDate="0" containsString="0" containsBlank="1"/>
    </cacheField>
    <cacheField name="Column5818" numFmtId="0">
      <sharedItems containsNonDate="0" containsString="0" containsBlank="1"/>
    </cacheField>
    <cacheField name="Column5819" numFmtId="0">
      <sharedItems containsNonDate="0" containsString="0" containsBlank="1"/>
    </cacheField>
    <cacheField name="Column5820" numFmtId="0">
      <sharedItems containsNonDate="0" containsString="0" containsBlank="1"/>
    </cacheField>
    <cacheField name="Column5821" numFmtId="0">
      <sharedItems containsNonDate="0" containsString="0" containsBlank="1"/>
    </cacheField>
    <cacheField name="Column5822" numFmtId="0">
      <sharedItems containsNonDate="0" containsString="0" containsBlank="1"/>
    </cacheField>
    <cacheField name="Column5823" numFmtId="0">
      <sharedItems containsNonDate="0" containsString="0" containsBlank="1"/>
    </cacheField>
    <cacheField name="Column5824" numFmtId="0">
      <sharedItems containsNonDate="0" containsString="0" containsBlank="1"/>
    </cacheField>
    <cacheField name="Column5825" numFmtId="0">
      <sharedItems containsNonDate="0" containsString="0" containsBlank="1"/>
    </cacheField>
    <cacheField name="Column5826" numFmtId="0">
      <sharedItems containsNonDate="0" containsString="0" containsBlank="1"/>
    </cacheField>
    <cacheField name="Column5827" numFmtId="0">
      <sharedItems containsNonDate="0" containsString="0" containsBlank="1"/>
    </cacheField>
    <cacheField name="Column5828" numFmtId="0">
      <sharedItems containsNonDate="0" containsString="0" containsBlank="1"/>
    </cacheField>
    <cacheField name="Column5829" numFmtId="0">
      <sharedItems containsNonDate="0" containsString="0" containsBlank="1"/>
    </cacheField>
    <cacheField name="Column5830" numFmtId="0">
      <sharedItems containsNonDate="0" containsString="0" containsBlank="1"/>
    </cacheField>
    <cacheField name="Column5831" numFmtId="0">
      <sharedItems containsNonDate="0" containsString="0" containsBlank="1"/>
    </cacheField>
    <cacheField name="Column5832" numFmtId="0">
      <sharedItems containsNonDate="0" containsString="0" containsBlank="1"/>
    </cacheField>
    <cacheField name="Column5833" numFmtId="0">
      <sharedItems containsNonDate="0" containsString="0" containsBlank="1"/>
    </cacheField>
    <cacheField name="Column5834" numFmtId="0">
      <sharedItems containsNonDate="0" containsString="0" containsBlank="1"/>
    </cacheField>
    <cacheField name="Column5835" numFmtId="0">
      <sharedItems containsNonDate="0" containsString="0" containsBlank="1"/>
    </cacheField>
    <cacheField name="Column5836" numFmtId="0">
      <sharedItems containsNonDate="0" containsString="0" containsBlank="1"/>
    </cacheField>
    <cacheField name="Column5837" numFmtId="0">
      <sharedItems containsNonDate="0" containsString="0" containsBlank="1"/>
    </cacheField>
    <cacheField name="Column5838" numFmtId="0">
      <sharedItems containsNonDate="0" containsString="0" containsBlank="1"/>
    </cacheField>
    <cacheField name="Column5839" numFmtId="0">
      <sharedItems containsNonDate="0" containsString="0" containsBlank="1"/>
    </cacheField>
    <cacheField name="Column5840" numFmtId="0">
      <sharedItems containsNonDate="0" containsString="0" containsBlank="1"/>
    </cacheField>
    <cacheField name="Column5841" numFmtId="0">
      <sharedItems containsNonDate="0" containsString="0" containsBlank="1"/>
    </cacheField>
    <cacheField name="Column5842" numFmtId="0">
      <sharedItems containsNonDate="0" containsString="0" containsBlank="1"/>
    </cacheField>
    <cacheField name="Column5843" numFmtId="0">
      <sharedItems containsNonDate="0" containsString="0" containsBlank="1"/>
    </cacheField>
    <cacheField name="Column5844" numFmtId="0">
      <sharedItems containsNonDate="0" containsString="0" containsBlank="1"/>
    </cacheField>
    <cacheField name="Column5845" numFmtId="0">
      <sharedItems containsNonDate="0" containsString="0" containsBlank="1"/>
    </cacheField>
    <cacheField name="Column5846" numFmtId="0">
      <sharedItems containsNonDate="0" containsString="0" containsBlank="1"/>
    </cacheField>
    <cacheField name="Column5847" numFmtId="0">
      <sharedItems containsNonDate="0" containsString="0" containsBlank="1"/>
    </cacheField>
    <cacheField name="Column5848" numFmtId="0">
      <sharedItems containsNonDate="0" containsString="0" containsBlank="1"/>
    </cacheField>
    <cacheField name="Column5849" numFmtId="0">
      <sharedItems containsNonDate="0" containsString="0" containsBlank="1"/>
    </cacheField>
    <cacheField name="Column5850" numFmtId="0">
      <sharedItems containsNonDate="0" containsString="0" containsBlank="1"/>
    </cacheField>
    <cacheField name="Column5851" numFmtId="0">
      <sharedItems containsNonDate="0" containsString="0" containsBlank="1"/>
    </cacheField>
    <cacheField name="Column5852" numFmtId="0">
      <sharedItems containsNonDate="0" containsString="0" containsBlank="1"/>
    </cacheField>
    <cacheField name="Column5853" numFmtId="0">
      <sharedItems containsNonDate="0" containsString="0" containsBlank="1"/>
    </cacheField>
    <cacheField name="Column5854" numFmtId="0">
      <sharedItems containsNonDate="0" containsString="0" containsBlank="1"/>
    </cacheField>
    <cacheField name="Column5855" numFmtId="0">
      <sharedItems containsNonDate="0" containsString="0" containsBlank="1"/>
    </cacheField>
    <cacheField name="Column5856" numFmtId="0">
      <sharedItems containsNonDate="0" containsString="0" containsBlank="1"/>
    </cacheField>
    <cacheField name="Column5857" numFmtId="0">
      <sharedItems containsNonDate="0" containsString="0" containsBlank="1"/>
    </cacheField>
    <cacheField name="Column5858" numFmtId="0">
      <sharedItems containsNonDate="0" containsString="0" containsBlank="1"/>
    </cacheField>
    <cacheField name="Column5859" numFmtId="0">
      <sharedItems containsNonDate="0" containsString="0" containsBlank="1"/>
    </cacheField>
    <cacheField name="Column5860" numFmtId="0">
      <sharedItems containsNonDate="0" containsString="0" containsBlank="1"/>
    </cacheField>
    <cacheField name="Column5861" numFmtId="0">
      <sharedItems containsNonDate="0" containsString="0" containsBlank="1"/>
    </cacheField>
    <cacheField name="Column5862" numFmtId="0">
      <sharedItems containsNonDate="0" containsString="0" containsBlank="1"/>
    </cacheField>
    <cacheField name="Column5863" numFmtId="0">
      <sharedItems containsNonDate="0" containsString="0" containsBlank="1"/>
    </cacheField>
    <cacheField name="Column5864" numFmtId="0">
      <sharedItems containsNonDate="0" containsString="0" containsBlank="1"/>
    </cacheField>
    <cacheField name="Column5865" numFmtId="0">
      <sharedItems containsNonDate="0" containsString="0" containsBlank="1"/>
    </cacheField>
    <cacheField name="Column5866" numFmtId="0">
      <sharedItems containsNonDate="0" containsString="0" containsBlank="1"/>
    </cacheField>
    <cacheField name="Column5867" numFmtId="0">
      <sharedItems containsNonDate="0" containsString="0" containsBlank="1"/>
    </cacheField>
    <cacheField name="Column5868" numFmtId="0">
      <sharedItems containsNonDate="0" containsString="0" containsBlank="1"/>
    </cacheField>
    <cacheField name="Column5869" numFmtId="0">
      <sharedItems containsNonDate="0" containsString="0" containsBlank="1"/>
    </cacheField>
    <cacheField name="Column5870" numFmtId="0">
      <sharedItems containsNonDate="0" containsString="0" containsBlank="1"/>
    </cacheField>
    <cacheField name="Column5871" numFmtId="0">
      <sharedItems containsNonDate="0" containsString="0" containsBlank="1"/>
    </cacheField>
    <cacheField name="Column5872" numFmtId="0">
      <sharedItems containsNonDate="0" containsString="0" containsBlank="1"/>
    </cacheField>
    <cacheField name="Column5873" numFmtId="0">
      <sharedItems containsNonDate="0" containsString="0" containsBlank="1"/>
    </cacheField>
    <cacheField name="Column5874" numFmtId="0">
      <sharedItems containsNonDate="0" containsString="0" containsBlank="1"/>
    </cacheField>
    <cacheField name="Column5875" numFmtId="0">
      <sharedItems containsNonDate="0" containsString="0" containsBlank="1"/>
    </cacheField>
    <cacheField name="Column5876" numFmtId="0">
      <sharedItems containsNonDate="0" containsString="0" containsBlank="1"/>
    </cacheField>
    <cacheField name="Column5877" numFmtId="0">
      <sharedItems containsNonDate="0" containsString="0" containsBlank="1"/>
    </cacheField>
    <cacheField name="Column5878" numFmtId="0">
      <sharedItems containsNonDate="0" containsString="0" containsBlank="1"/>
    </cacheField>
    <cacheField name="Column5879" numFmtId="0">
      <sharedItems containsNonDate="0" containsString="0" containsBlank="1"/>
    </cacheField>
    <cacheField name="Column5880" numFmtId="0">
      <sharedItems containsNonDate="0" containsString="0" containsBlank="1"/>
    </cacheField>
    <cacheField name="Column5881" numFmtId="0">
      <sharedItems containsNonDate="0" containsString="0" containsBlank="1"/>
    </cacheField>
    <cacheField name="Column5882" numFmtId="0">
      <sharedItems containsNonDate="0" containsString="0" containsBlank="1"/>
    </cacheField>
    <cacheField name="Column5883" numFmtId="0">
      <sharedItems containsNonDate="0" containsString="0" containsBlank="1"/>
    </cacheField>
    <cacheField name="Column5884" numFmtId="0">
      <sharedItems containsNonDate="0" containsString="0" containsBlank="1"/>
    </cacheField>
    <cacheField name="Column5885" numFmtId="0">
      <sharedItems containsNonDate="0" containsString="0" containsBlank="1"/>
    </cacheField>
    <cacheField name="Column5886" numFmtId="0">
      <sharedItems containsNonDate="0" containsString="0" containsBlank="1"/>
    </cacheField>
    <cacheField name="Column5887" numFmtId="0">
      <sharedItems containsNonDate="0" containsString="0" containsBlank="1"/>
    </cacheField>
    <cacheField name="Column5888" numFmtId="0">
      <sharedItems containsNonDate="0" containsString="0" containsBlank="1"/>
    </cacheField>
    <cacheField name="Column5889" numFmtId="0">
      <sharedItems containsNonDate="0" containsString="0" containsBlank="1"/>
    </cacheField>
    <cacheField name="Column5890" numFmtId="0">
      <sharedItems containsNonDate="0" containsString="0" containsBlank="1"/>
    </cacheField>
    <cacheField name="Column5891" numFmtId="0">
      <sharedItems containsNonDate="0" containsString="0" containsBlank="1"/>
    </cacheField>
    <cacheField name="Column5892" numFmtId="0">
      <sharedItems containsNonDate="0" containsString="0" containsBlank="1"/>
    </cacheField>
    <cacheField name="Column5893" numFmtId="0">
      <sharedItems containsNonDate="0" containsString="0" containsBlank="1"/>
    </cacheField>
    <cacheField name="Column5894" numFmtId="0">
      <sharedItems containsNonDate="0" containsString="0" containsBlank="1"/>
    </cacheField>
    <cacheField name="Column5895" numFmtId="0">
      <sharedItems containsNonDate="0" containsString="0" containsBlank="1"/>
    </cacheField>
    <cacheField name="Column5896" numFmtId="0">
      <sharedItems containsNonDate="0" containsString="0" containsBlank="1"/>
    </cacheField>
    <cacheField name="Column5897" numFmtId="0">
      <sharedItems containsNonDate="0" containsString="0" containsBlank="1"/>
    </cacheField>
    <cacheField name="Column5898" numFmtId="0">
      <sharedItems containsNonDate="0" containsString="0" containsBlank="1"/>
    </cacheField>
    <cacheField name="Column5899" numFmtId="0">
      <sharedItems containsNonDate="0" containsString="0" containsBlank="1"/>
    </cacheField>
    <cacheField name="Column5900" numFmtId="0">
      <sharedItems containsNonDate="0" containsString="0" containsBlank="1"/>
    </cacheField>
    <cacheField name="Column5901" numFmtId="0">
      <sharedItems containsNonDate="0" containsString="0" containsBlank="1"/>
    </cacheField>
    <cacheField name="Column5902" numFmtId="0">
      <sharedItems containsNonDate="0" containsString="0" containsBlank="1"/>
    </cacheField>
    <cacheField name="Column5903" numFmtId="0">
      <sharedItems containsNonDate="0" containsString="0" containsBlank="1"/>
    </cacheField>
    <cacheField name="Column5904" numFmtId="0">
      <sharedItems containsNonDate="0" containsString="0" containsBlank="1"/>
    </cacheField>
    <cacheField name="Column5905" numFmtId="0">
      <sharedItems containsNonDate="0" containsString="0" containsBlank="1"/>
    </cacheField>
    <cacheField name="Column5906" numFmtId="0">
      <sharedItems containsNonDate="0" containsString="0" containsBlank="1"/>
    </cacheField>
    <cacheField name="Column5907" numFmtId="0">
      <sharedItems containsNonDate="0" containsString="0" containsBlank="1"/>
    </cacheField>
    <cacheField name="Column5908" numFmtId="0">
      <sharedItems containsNonDate="0" containsString="0" containsBlank="1"/>
    </cacheField>
    <cacheField name="Column5909" numFmtId="0">
      <sharedItems containsNonDate="0" containsString="0" containsBlank="1"/>
    </cacheField>
    <cacheField name="Column5910" numFmtId="0">
      <sharedItems containsNonDate="0" containsString="0" containsBlank="1"/>
    </cacheField>
    <cacheField name="Column5911" numFmtId="0">
      <sharedItems containsNonDate="0" containsString="0" containsBlank="1"/>
    </cacheField>
    <cacheField name="Column5912" numFmtId="0">
      <sharedItems containsNonDate="0" containsString="0" containsBlank="1"/>
    </cacheField>
    <cacheField name="Column5913" numFmtId="0">
      <sharedItems containsNonDate="0" containsString="0" containsBlank="1"/>
    </cacheField>
    <cacheField name="Column5914" numFmtId="0">
      <sharedItems containsNonDate="0" containsString="0" containsBlank="1"/>
    </cacheField>
    <cacheField name="Column5915" numFmtId="0">
      <sharedItems containsNonDate="0" containsString="0" containsBlank="1"/>
    </cacheField>
    <cacheField name="Column5916" numFmtId="0">
      <sharedItems containsNonDate="0" containsString="0" containsBlank="1"/>
    </cacheField>
    <cacheField name="Column5917" numFmtId="0">
      <sharedItems containsNonDate="0" containsString="0" containsBlank="1"/>
    </cacheField>
    <cacheField name="Column5918" numFmtId="0">
      <sharedItems containsNonDate="0" containsString="0" containsBlank="1"/>
    </cacheField>
    <cacheField name="Column5919" numFmtId="0">
      <sharedItems containsNonDate="0" containsString="0" containsBlank="1"/>
    </cacheField>
    <cacheField name="Column5920" numFmtId="0">
      <sharedItems containsNonDate="0" containsString="0" containsBlank="1"/>
    </cacheField>
    <cacheField name="Column5921" numFmtId="0">
      <sharedItems containsNonDate="0" containsString="0" containsBlank="1"/>
    </cacheField>
    <cacheField name="Column5922" numFmtId="0">
      <sharedItems containsNonDate="0" containsString="0" containsBlank="1"/>
    </cacheField>
    <cacheField name="Column5923" numFmtId="0">
      <sharedItems containsNonDate="0" containsString="0" containsBlank="1"/>
    </cacheField>
    <cacheField name="Column5924" numFmtId="0">
      <sharedItems containsNonDate="0" containsString="0" containsBlank="1"/>
    </cacheField>
    <cacheField name="Column5925" numFmtId="0">
      <sharedItems containsNonDate="0" containsString="0" containsBlank="1"/>
    </cacheField>
    <cacheField name="Column5926" numFmtId="0">
      <sharedItems containsNonDate="0" containsString="0" containsBlank="1"/>
    </cacheField>
    <cacheField name="Column5927" numFmtId="0">
      <sharedItems containsNonDate="0" containsString="0" containsBlank="1"/>
    </cacheField>
    <cacheField name="Column5928" numFmtId="0">
      <sharedItems containsNonDate="0" containsString="0" containsBlank="1"/>
    </cacheField>
    <cacheField name="Column5929" numFmtId="0">
      <sharedItems containsNonDate="0" containsString="0" containsBlank="1"/>
    </cacheField>
    <cacheField name="Column5930" numFmtId="0">
      <sharedItems containsNonDate="0" containsString="0" containsBlank="1"/>
    </cacheField>
    <cacheField name="Column5931" numFmtId="0">
      <sharedItems containsNonDate="0" containsString="0" containsBlank="1"/>
    </cacheField>
    <cacheField name="Column5932" numFmtId="0">
      <sharedItems containsNonDate="0" containsString="0" containsBlank="1"/>
    </cacheField>
    <cacheField name="Column5933" numFmtId="0">
      <sharedItems containsNonDate="0" containsString="0" containsBlank="1"/>
    </cacheField>
    <cacheField name="Column5934" numFmtId="0">
      <sharedItems containsNonDate="0" containsString="0" containsBlank="1"/>
    </cacheField>
    <cacheField name="Column5935" numFmtId="0">
      <sharedItems containsNonDate="0" containsString="0" containsBlank="1"/>
    </cacheField>
    <cacheField name="Column5936" numFmtId="0">
      <sharedItems containsNonDate="0" containsString="0" containsBlank="1"/>
    </cacheField>
    <cacheField name="Column5937" numFmtId="0">
      <sharedItems containsNonDate="0" containsString="0" containsBlank="1"/>
    </cacheField>
    <cacheField name="Column5938" numFmtId="0">
      <sharedItems containsNonDate="0" containsString="0" containsBlank="1"/>
    </cacheField>
    <cacheField name="Column5939" numFmtId="0">
      <sharedItems containsNonDate="0" containsString="0" containsBlank="1"/>
    </cacheField>
    <cacheField name="Column5940" numFmtId="0">
      <sharedItems containsNonDate="0" containsString="0" containsBlank="1"/>
    </cacheField>
    <cacheField name="Column5941" numFmtId="0">
      <sharedItems containsNonDate="0" containsString="0" containsBlank="1"/>
    </cacheField>
    <cacheField name="Column5942" numFmtId="0">
      <sharedItems containsNonDate="0" containsString="0" containsBlank="1"/>
    </cacheField>
    <cacheField name="Column5943" numFmtId="0">
      <sharedItems containsNonDate="0" containsString="0" containsBlank="1"/>
    </cacheField>
    <cacheField name="Column5944" numFmtId="0">
      <sharedItems containsNonDate="0" containsString="0" containsBlank="1"/>
    </cacheField>
    <cacheField name="Column5945" numFmtId="0">
      <sharedItems containsNonDate="0" containsString="0" containsBlank="1"/>
    </cacheField>
    <cacheField name="Column5946" numFmtId="0">
      <sharedItems containsNonDate="0" containsString="0" containsBlank="1"/>
    </cacheField>
    <cacheField name="Column5947" numFmtId="0">
      <sharedItems containsNonDate="0" containsString="0" containsBlank="1"/>
    </cacheField>
    <cacheField name="Column5948" numFmtId="0">
      <sharedItems containsNonDate="0" containsString="0" containsBlank="1"/>
    </cacheField>
    <cacheField name="Column5949" numFmtId="0">
      <sharedItems containsNonDate="0" containsString="0" containsBlank="1"/>
    </cacheField>
    <cacheField name="Column5950" numFmtId="0">
      <sharedItems containsNonDate="0" containsString="0" containsBlank="1"/>
    </cacheField>
    <cacheField name="Column5951" numFmtId="0">
      <sharedItems containsNonDate="0" containsString="0" containsBlank="1"/>
    </cacheField>
    <cacheField name="Column5952" numFmtId="0">
      <sharedItems containsNonDate="0" containsString="0" containsBlank="1"/>
    </cacheField>
    <cacheField name="Column5953" numFmtId="0">
      <sharedItems containsNonDate="0" containsString="0" containsBlank="1"/>
    </cacheField>
    <cacheField name="Column5954" numFmtId="0">
      <sharedItems containsNonDate="0" containsString="0" containsBlank="1"/>
    </cacheField>
    <cacheField name="Column5955" numFmtId="0">
      <sharedItems containsNonDate="0" containsString="0" containsBlank="1"/>
    </cacheField>
    <cacheField name="Column5956" numFmtId="0">
      <sharedItems containsNonDate="0" containsString="0" containsBlank="1"/>
    </cacheField>
    <cacheField name="Column5957" numFmtId="0">
      <sharedItems containsNonDate="0" containsString="0" containsBlank="1"/>
    </cacheField>
    <cacheField name="Column5958" numFmtId="0">
      <sharedItems containsNonDate="0" containsString="0" containsBlank="1"/>
    </cacheField>
    <cacheField name="Column5959" numFmtId="0">
      <sharedItems containsNonDate="0" containsString="0" containsBlank="1"/>
    </cacheField>
    <cacheField name="Column5960" numFmtId="0">
      <sharedItems containsNonDate="0" containsString="0" containsBlank="1"/>
    </cacheField>
    <cacheField name="Column5961" numFmtId="0">
      <sharedItems containsNonDate="0" containsString="0" containsBlank="1"/>
    </cacheField>
    <cacheField name="Column5962" numFmtId="0">
      <sharedItems containsNonDate="0" containsString="0" containsBlank="1"/>
    </cacheField>
    <cacheField name="Column5963" numFmtId="0">
      <sharedItems containsNonDate="0" containsString="0" containsBlank="1"/>
    </cacheField>
    <cacheField name="Column5964" numFmtId="0">
      <sharedItems containsNonDate="0" containsString="0" containsBlank="1"/>
    </cacheField>
    <cacheField name="Column5965" numFmtId="0">
      <sharedItems containsNonDate="0" containsString="0" containsBlank="1"/>
    </cacheField>
    <cacheField name="Column5966" numFmtId="0">
      <sharedItems containsNonDate="0" containsString="0" containsBlank="1"/>
    </cacheField>
    <cacheField name="Column5967" numFmtId="0">
      <sharedItems containsNonDate="0" containsString="0" containsBlank="1"/>
    </cacheField>
    <cacheField name="Column5968" numFmtId="0">
      <sharedItems containsNonDate="0" containsString="0" containsBlank="1"/>
    </cacheField>
    <cacheField name="Column5969" numFmtId="0">
      <sharedItems containsNonDate="0" containsString="0" containsBlank="1"/>
    </cacheField>
    <cacheField name="Column5970" numFmtId="0">
      <sharedItems containsNonDate="0" containsString="0" containsBlank="1"/>
    </cacheField>
    <cacheField name="Column5971" numFmtId="0">
      <sharedItems containsNonDate="0" containsString="0" containsBlank="1"/>
    </cacheField>
    <cacheField name="Column5972" numFmtId="0">
      <sharedItems containsNonDate="0" containsString="0" containsBlank="1"/>
    </cacheField>
    <cacheField name="Column5973" numFmtId="0">
      <sharedItems containsNonDate="0" containsString="0" containsBlank="1"/>
    </cacheField>
    <cacheField name="Column5974" numFmtId="0">
      <sharedItems containsNonDate="0" containsString="0" containsBlank="1"/>
    </cacheField>
    <cacheField name="Column5975" numFmtId="0">
      <sharedItems containsNonDate="0" containsString="0" containsBlank="1"/>
    </cacheField>
    <cacheField name="Column5976" numFmtId="0">
      <sharedItems containsNonDate="0" containsString="0" containsBlank="1"/>
    </cacheField>
    <cacheField name="Column5977" numFmtId="0">
      <sharedItems containsNonDate="0" containsString="0" containsBlank="1"/>
    </cacheField>
    <cacheField name="Column5978" numFmtId="0">
      <sharedItems containsNonDate="0" containsString="0" containsBlank="1"/>
    </cacheField>
    <cacheField name="Column5979" numFmtId="0">
      <sharedItems containsNonDate="0" containsString="0" containsBlank="1"/>
    </cacheField>
    <cacheField name="Column5980" numFmtId="0">
      <sharedItems containsNonDate="0" containsString="0" containsBlank="1"/>
    </cacheField>
    <cacheField name="Column5981" numFmtId="0">
      <sharedItems containsNonDate="0" containsString="0" containsBlank="1"/>
    </cacheField>
    <cacheField name="Column5982" numFmtId="0">
      <sharedItems containsNonDate="0" containsString="0" containsBlank="1"/>
    </cacheField>
    <cacheField name="Column5983" numFmtId="0">
      <sharedItems containsNonDate="0" containsString="0" containsBlank="1"/>
    </cacheField>
    <cacheField name="Column5984" numFmtId="0">
      <sharedItems containsNonDate="0" containsString="0" containsBlank="1"/>
    </cacheField>
    <cacheField name="Column5985" numFmtId="0">
      <sharedItems containsNonDate="0" containsString="0" containsBlank="1"/>
    </cacheField>
    <cacheField name="Column5986" numFmtId="0">
      <sharedItems containsNonDate="0" containsString="0" containsBlank="1"/>
    </cacheField>
    <cacheField name="Column5987" numFmtId="0">
      <sharedItems containsNonDate="0" containsString="0" containsBlank="1"/>
    </cacheField>
    <cacheField name="Column5988" numFmtId="0">
      <sharedItems containsNonDate="0" containsString="0" containsBlank="1"/>
    </cacheField>
    <cacheField name="Column5989" numFmtId="0">
      <sharedItems containsNonDate="0" containsString="0" containsBlank="1"/>
    </cacheField>
    <cacheField name="Column5990" numFmtId="0">
      <sharedItems containsNonDate="0" containsString="0" containsBlank="1"/>
    </cacheField>
    <cacheField name="Column5991" numFmtId="0">
      <sharedItems containsNonDate="0" containsString="0" containsBlank="1"/>
    </cacheField>
    <cacheField name="Column5992" numFmtId="0">
      <sharedItems containsNonDate="0" containsString="0" containsBlank="1"/>
    </cacheField>
    <cacheField name="Column5993" numFmtId="0">
      <sharedItems containsNonDate="0" containsString="0" containsBlank="1"/>
    </cacheField>
    <cacheField name="Column5994" numFmtId="0">
      <sharedItems containsNonDate="0" containsString="0" containsBlank="1"/>
    </cacheField>
    <cacheField name="Column5995" numFmtId="0">
      <sharedItems containsNonDate="0" containsString="0" containsBlank="1"/>
    </cacheField>
    <cacheField name="Column5996" numFmtId="0">
      <sharedItems containsNonDate="0" containsString="0" containsBlank="1"/>
    </cacheField>
    <cacheField name="Column5997" numFmtId="0">
      <sharedItems containsNonDate="0" containsString="0" containsBlank="1"/>
    </cacheField>
    <cacheField name="Column5998" numFmtId="0">
      <sharedItems containsNonDate="0" containsString="0" containsBlank="1"/>
    </cacheField>
    <cacheField name="Column5999" numFmtId="0">
      <sharedItems containsNonDate="0" containsString="0" containsBlank="1"/>
    </cacheField>
    <cacheField name="Column6000" numFmtId="0">
      <sharedItems containsNonDate="0" containsString="0" containsBlank="1"/>
    </cacheField>
    <cacheField name="Column6001" numFmtId="0">
      <sharedItems containsNonDate="0" containsString="0" containsBlank="1"/>
    </cacheField>
    <cacheField name="Column6002" numFmtId="0">
      <sharedItems containsNonDate="0" containsString="0" containsBlank="1"/>
    </cacheField>
    <cacheField name="Column6003" numFmtId="0">
      <sharedItems containsNonDate="0" containsString="0" containsBlank="1"/>
    </cacheField>
    <cacheField name="Column6004" numFmtId="0">
      <sharedItems containsNonDate="0" containsString="0" containsBlank="1"/>
    </cacheField>
    <cacheField name="Column6005" numFmtId="0">
      <sharedItems containsNonDate="0" containsString="0" containsBlank="1"/>
    </cacheField>
    <cacheField name="Column6006" numFmtId="0">
      <sharedItems containsNonDate="0" containsString="0" containsBlank="1"/>
    </cacheField>
    <cacheField name="Column6007" numFmtId="0">
      <sharedItems containsNonDate="0" containsString="0" containsBlank="1"/>
    </cacheField>
    <cacheField name="Column6008" numFmtId="0">
      <sharedItems containsNonDate="0" containsString="0" containsBlank="1"/>
    </cacheField>
    <cacheField name="Column6009" numFmtId="0">
      <sharedItems containsNonDate="0" containsString="0" containsBlank="1"/>
    </cacheField>
    <cacheField name="Column6010" numFmtId="0">
      <sharedItems containsNonDate="0" containsString="0" containsBlank="1"/>
    </cacheField>
    <cacheField name="Column6011" numFmtId="0">
      <sharedItems containsNonDate="0" containsString="0" containsBlank="1"/>
    </cacheField>
    <cacheField name="Column6012" numFmtId="0">
      <sharedItems containsNonDate="0" containsString="0" containsBlank="1"/>
    </cacheField>
    <cacheField name="Column6013" numFmtId="0">
      <sharedItems containsNonDate="0" containsString="0" containsBlank="1"/>
    </cacheField>
    <cacheField name="Column6014" numFmtId="0">
      <sharedItems containsNonDate="0" containsString="0" containsBlank="1"/>
    </cacheField>
    <cacheField name="Column6015" numFmtId="0">
      <sharedItems containsNonDate="0" containsString="0" containsBlank="1"/>
    </cacheField>
    <cacheField name="Column6016" numFmtId="0">
      <sharedItems containsNonDate="0" containsString="0" containsBlank="1"/>
    </cacheField>
    <cacheField name="Column6017" numFmtId="0">
      <sharedItems containsNonDate="0" containsString="0" containsBlank="1"/>
    </cacheField>
    <cacheField name="Column6018" numFmtId="0">
      <sharedItems containsNonDate="0" containsString="0" containsBlank="1"/>
    </cacheField>
    <cacheField name="Column6019" numFmtId="0">
      <sharedItems containsNonDate="0" containsString="0" containsBlank="1"/>
    </cacheField>
    <cacheField name="Column6020" numFmtId="0">
      <sharedItems containsNonDate="0" containsString="0" containsBlank="1"/>
    </cacheField>
    <cacheField name="Column6021" numFmtId="0">
      <sharedItems containsNonDate="0" containsString="0" containsBlank="1"/>
    </cacheField>
    <cacheField name="Column6022" numFmtId="0">
      <sharedItems containsNonDate="0" containsString="0" containsBlank="1"/>
    </cacheField>
    <cacheField name="Column6023" numFmtId="0">
      <sharedItems containsNonDate="0" containsString="0" containsBlank="1"/>
    </cacheField>
    <cacheField name="Column6024" numFmtId="0">
      <sharedItems containsNonDate="0" containsString="0" containsBlank="1"/>
    </cacheField>
    <cacheField name="Column6025" numFmtId="0">
      <sharedItems containsNonDate="0" containsString="0" containsBlank="1"/>
    </cacheField>
    <cacheField name="Column6026" numFmtId="0">
      <sharedItems containsNonDate="0" containsString="0" containsBlank="1"/>
    </cacheField>
    <cacheField name="Column6027" numFmtId="0">
      <sharedItems containsNonDate="0" containsString="0" containsBlank="1"/>
    </cacheField>
    <cacheField name="Column6028" numFmtId="0">
      <sharedItems containsNonDate="0" containsString="0" containsBlank="1"/>
    </cacheField>
    <cacheField name="Column6029" numFmtId="0">
      <sharedItems containsNonDate="0" containsString="0" containsBlank="1"/>
    </cacheField>
    <cacheField name="Column6030" numFmtId="0">
      <sharedItems containsNonDate="0" containsString="0" containsBlank="1"/>
    </cacheField>
    <cacheField name="Column6031" numFmtId="0">
      <sharedItems containsNonDate="0" containsString="0" containsBlank="1"/>
    </cacheField>
    <cacheField name="Column6032" numFmtId="0">
      <sharedItems containsNonDate="0" containsString="0" containsBlank="1"/>
    </cacheField>
    <cacheField name="Column6033" numFmtId="0">
      <sharedItems containsNonDate="0" containsString="0" containsBlank="1"/>
    </cacheField>
    <cacheField name="Column6034" numFmtId="0">
      <sharedItems containsNonDate="0" containsString="0" containsBlank="1"/>
    </cacheField>
    <cacheField name="Column6035" numFmtId="0">
      <sharedItems containsNonDate="0" containsString="0" containsBlank="1"/>
    </cacheField>
    <cacheField name="Column6036" numFmtId="0">
      <sharedItems containsNonDate="0" containsString="0" containsBlank="1"/>
    </cacheField>
    <cacheField name="Column6037" numFmtId="0">
      <sharedItems containsNonDate="0" containsString="0" containsBlank="1"/>
    </cacheField>
    <cacheField name="Column6038" numFmtId="0">
      <sharedItems containsNonDate="0" containsString="0" containsBlank="1"/>
    </cacheField>
    <cacheField name="Column6039" numFmtId="0">
      <sharedItems containsNonDate="0" containsString="0" containsBlank="1"/>
    </cacheField>
    <cacheField name="Column6040" numFmtId="0">
      <sharedItems containsNonDate="0" containsString="0" containsBlank="1"/>
    </cacheField>
    <cacheField name="Column6041" numFmtId="0">
      <sharedItems containsNonDate="0" containsString="0" containsBlank="1"/>
    </cacheField>
    <cacheField name="Column6042" numFmtId="0">
      <sharedItems containsNonDate="0" containsString="0" containsBlank="1"/>
    </cacheField>
    <cacheField name="Column6043" numFmtId="0">
      <sharedItems containsNonDate="0" containsString="0" containsBlank="1"/>
    </cacheField>
    <cacheField name="Column6044" numFmtId="0">
      <sharedItems containsNonDate="0" containsString="0" containsBlank="1"/>
    </cacheField>
    <cacheField name="Column6045" numFmtId="0">
      <sharedItems containsNonDate="0" containsString="0" containsBlank="1"/>
    </cacheField>
    <cacheField name="Column6046" numFmtId="0">
      <sharedItems containsNonDate="0" containsString="0" containsBlank="1"/>
    </cacheField>
    <cacheField name="Column6047" numFmtId="0">
      <sharedItems containsNonDate="0" containsString="0" containsBlank="1"/>
    </cacheField>
    <cacheField name="Column6048" numFmtId="0">
      <sharedItems containsNonDate="0" containsString="0" containsBlank="1"/>
    </cacheField>
    <cacheField name="Column6049" numFmtId="0">
      <sharedItems containsNonDate="0" containsString="0" containsBlank="1"/>
    </cacheField>
    <cacheField name="Column6050" numFmtId="0">
      <sharedItems containsNonDate="0" containsString="0" containsBlank="1"/>
    </cacheField>
    <cacheField name="Column6051" numFmtId="0">
      <sharedItems containsNonDate="0" containsString="0" containsBlank="1"/>
    </cacheField>
    <cacheField name="Column6052" numFmtId="0">
      <sharedItems containsNonDate="0" containsString="0" containsBlank="1"/>
    </cacheField>
    <cacheField name="Column6053" numFmtId="0">
      <sharedItems containsNonDate="0" containsString="0" containsBlank="1"/>
    </cacheField>
    <cacheField name="Column6054" numFmtId="0">
      <sharedItems containsNonDate="0" containsString="0" containsBlank="1"/>
    </cacheField>
    <cacheField name="Column6055" numFmtId="0">
      <sharedItems containsNonDate="0" containsString="0" containsBlank="1"/>
    </cacheField>
    <cacheField name="Column6056" numFmtId="0">
      <sharedItems containsNonDate="0" containsString="0" containsBlank="1"/>
    </cacheField>
    <cacheField name="Column6057" numFmtId="0">
      <sharedItems containsNonDate="0" containsString="0" containsBlank="1"/>
    </cacheField>
    <cacheField name="Column6058" numFmtId="0">
      <sharedItems containsNonDate="0" containsString="0" containsBlank="1"/>
    </cacheField>
    <cacheField name="Column6059" numFmtId="0">
      <sharedItems containsNonDate="0" containsString="0" containsBlank="1"/>
    </cacheField>
    <cacheField name="Column6060" numFmtId="0">
      <sharedItems containsNonDate="0" containsString="0" containsBlank="1"/>
    </cacheField>
    <cacheField name="Column6061" numFmtId="0">
      <sharedItems containsNonDate="0" containsString="0" containsBlank="1"/>
    </cacheField>
    <cacheField name="Column6062" numFmtId="0">
      <sharedItems containsNonDate="0" containsString="0" containsBlank="1"/>
    </cacheField>
    <cacheField name="Column6063" numFmtId="0">
      <sharedItems containsNonDate="0" containsString="0" containsBlank="1"/>
    </cacheField>
    <cacheField name="Column6064" numFmtId="0">
      <sharedItems containsNonDate="0" containsString="0" containsBlank="1"/>
    </cacheField>
    <cacheField name="Column6065" numFmtId="0">
      <sharedItems containsNonDate="0" containsString="0" containsBlank="1"/>
    </cacheField>
    <cacheField name="Column6066" numFmtId="0">
      <sharedItems containsNonDate="0" containsString="0" containsBlank="1"/>
    </cacheField>
    <cacheField name="Column6067" numFmtId="0">
      <sharedItems containsNonDate="0" containsString="0" containsBlank="1"/>
    </cacheField>
    <cacheField name="Column6068" numFmtId="0">
      <sharedItems containsNonDate="0" containsString="0" containsBlank="1"/>
    </cacheField>
    <cacheField name="Column6069" numFmtId="0">
      <sharedItems containsNonDate="0" containsString="0" containsBlank="1"/>
    </cacheField>
    <cacheField name="Column6070" numFmtId="0">
      <sharedItems containsNonDate="0" containsString="0" containsBlank="1"/>
    </cacheField>
    <cacheField name="Column6071" numFmtId="0">
      <sharedItems containsNonDate="0" containsString="0" containsBlank="1"/>
    </cacheField>
    <cacheField name="Column6072" numFmtId="0">
      <sharedItems containsNonDate="0" containsString="0" containsBlank="1"/>
    </cacheField>
    <cacheField name="Column6073" numFmtId="0">
      <sharedItems containsNonDate="0" containsString="0" containsBlank="1"/>
    </cacheField>
    <cacheField name="Column6074" numFmtId="0">
      <sharedItems containsNonDate="0" containsString="0" containsBlank="1"/>
    </cacheField>
    <cacheField name="Column6075" numFmtId="0">
      <sharedItems containsNonDate="0" containsString="0" containsBlank="1"/>
    </cacheField>
    <cacheField name="Column6076" numFmtId="0">
      <sharedItems containsNonDate="0" containsString="0" containsBlank="1"/>
    </cacheField>
    <cacheField name="Column6077" numFmtId="0">
      <sharedItems containsNonDate="0" containsString="0" containsBlank="1"/>
    </cacheField>
    <cacheField name="Column6078" numFmtId="0">
      <sharedItems containsNonDate="0" containsString="0" containsBlank="1"/>
    </cacheField>
    <cacheField name="Column6079" numFmtId="0">
      <sharedItems containsNonDate="0" containsString="0" containsBlank="1"/>
    </cacheField>
    <cacheField name="Column6080" numFmtId="0">
      <sharedItems containsNonDate="0" containsString="0" containsBlank="1"/>
    </cacheField>
    <cacheField name="Column6081" numFmtId="0">
      <sharedItems containsNonDate="0" containsString="0" containsBlank="1"/>
    </cacheField>
    <cacheField name="Column6082" numFmtId="0">
      <sharedItems containsNonDate="0" containsString="0" containsBlank="1"/>
    </cacheField>
    <cacheField name="Column6083" numFmtId="0">
      <sharedItems containsNonDate="0" containsString="0" containsBlank="1"/>
    </cacheField>
    <cacheField name="Column6084" numFmtId="0">
      <sharedItems containsNonDate="0" containsString="0" containsBlank="1"/>
    </cacheField>
    <cacheField name="Column6085" numFmtId="0">
      <sharedItems containsNonDate="0" containsString="0" containsBlank="1"/>
    </cacheField>
    <cacheField name="Column6086" numFmtId="0">
      <sharedItems containsNonDate="0" containsString="0" containsBlank="1"/>
    </cacheField>
    <cacheField name="Column6087" numFmtId="0">
      <sharedItems containsNonDate="0" containsString="0" containsBlank="1"/>
    </cacheField>
    <cacheField name="Column6088" numFmtId="0">
      <sharedItems containsNonDate="0" containsString="0" containsBlank="1"/>
    </cacheField>
    <cacheField name="Column6089" numFmtId="0">
      <sharedItems containsNonDate="0" containsString="0" containsBlank="1"/>
    </cacheField>
    <cacheField name="Column6090" numFmtId="0">
      <sharedItems containsNonDate="0" containsString="0" containsBlank="1"/>
    </cacheField>
    <cacheField name="Column6091" numFmtId="0">
      <sharedItems containsNonDate="0" containsString="0" containsBlank="1"/>
    </cacheField>
    <cacheField name="Column6092" numFmtId="0">
      <sharedItems containsNonDate="0" containsString="0" containsBlank="1"/>
    </cacheField>
    <cacheField name="Column6093" numFmtId="0">
      <sharedItems containsNonDate="0" containsString="0" containsBlank="1"/>
    </cacheField>
    <cacheField name="Column6094" numFmtId="0">
      <sharedItems containsNonDate="0" containsString="0" containsBlank="1"/>
    </cacheField>
    <cacheField name="Column6095" numFmtId="0">
      <sharedItems containsNonDate="0" containsString="0" containsBlank="1"/>
    </cacheField>
    <cacheField name="Column6096" numFmtId="0">
      <sharedItems containsNonDate="0" containsString="0" containsBlank="1"/>
    </cacheField>
    <cacheField name="Column6097" numFmtId="0">
      <sharedItems containsNonDate="0" containsString="0" containsBlank="1"/>
    </cacheField>
    <cacheField name="Column6098" numFmtId="0">
      <sharedItems containsNonDate="0" containsString="0" containsBlank="1"/>
    </cacheField>
    <cacheField name="Column6099" numFmtId="0">
      <sharedItems containsNonDate="0" containsString="0" containsBlank="1"/>
    </cacheField>
    <cacheField name="Column6100" numFmtId="0">
      <sharedItems containsNonDate="0" containsString="0" containsBlank="1"/>
    </cacheField>
    <cacheField name="Column6101" numFmtId="0">
      <sharedItems containsNonDate="0" containsString="0" containsBlank="1"/>
    </cacheField>
    <cacheField name="Column6102" numFmtId="0">
      <sharedItems containsNonDate="0" containsString="0" containsBlank="1"/>
    </cacheField>
    <cacheField name="Column6103" numFmtId="0">
      <sharedItems containsNonDate="0" containsString="0" containsBlank="1"/>
    </cacheField>
    <cacheField name="Column6104" numFmtId="0">
      <sharedItems containsNonDate="0" containsString="0" containsBlank="1"/>
    </cacheField>
    <cacheField name="Column6105" numFmtId="0">
      <sharedItems containsNonDate="0" containsString="0" containsBlank="1"/>
    </cacheField>
    <cacheField name="Column6106" numFmtId="0">
      <sharedItems containsNonDate="0" containsString="0" containsBlank="1"/>
    </cacheField>
    <cacheField name="Column6107" numFmtId="0">
      <sharedItems containsNonDate="0" containsString="0" containsBlank="1"/>
    </cacheField>
    <cacheField name="Column6108" numFmtId="0">
      <sharedItems containsNonDate="0" containsString="0" containsBlank="1"/>
    </cacheField>
    <cacheField name="Column6109" numFmtId="0">
      <sharedItems containsNonDate="0" containsString="0" containsBlank="1"/>
    </cacheField>
    <cacheField name="Column6110" numFmtId="0">
      <sharedItems containsNonDate="0" containsString="0" containsBlank="1"/>
    </cacheField>
    <cacheField name="Column6111" numFmtId="0">
      <sharedItems containsNonDate="0" containsString="0" containsBlank="1"/>
    </cacheField>
    <cacheField name="Column6112" numFmtId="0">
      <sharedItems containsNonDate="0" containsString="0" containsBlank="1"/>
    </cacheField>
    <cacheField name="Column6113" numFmtId="0">
      <sharedItems containsNonDate="0" containsString="0" containsBlank="1"/>
    </cacheField>
    <cacheField name="Column6114" numFmtId="0">
      <sharedItems containsNonDate="0" containsString="0" containsBlank="1"/>
    </cacheField>
    <cacheField name="Column6115" numFmtId="0">
      <sharedItems containsNonDate="0" containsString="0" containsBlank="1"/>
    </cacheField>
    <cacheField name="Column6116" numFmtId="0">
      <sharedItems containsNonDate="0" containsString="0" containsBlank="1"/>
    </cacheField>
    <cacheField name="Column6117" numFmtId="0">
      <sharedItems containsNonDate="0" containsString="0" containsBlank="1"/>
    </cacheField>
    <cacheField name="Column6118" numFmtId="0">
      <sharedItems containsNonDate="0" containsString="0" containsBlank="1"/>
    </cacheField>
    <cacheField name="Column6119" numFmtId="0">
      <sharedItems containsNonDate="0" containsString="0" containsBlank="1"/>
    </cacheField>
    <cacheField name="Column6120" numFmtId="0">
      <sharedItems containsNonDate="0" containsString="0" containsBlank="1"/>
    </cacheField>
    <cacheField name="Column6121" numFmtId="0">
      <sharedItems containsNonDate="0" containsString="0" containsBlank="1"/>
    </cacheField>
    <cacheField name="Column6122" numFmtId="0">
      <sharedItems containsNonDate="0" containsString="0" containsBlank="1"/>
    </cacheField>
    <cacheField name="Column6123" numFmtId="0">
      <sharedItems containsNonDate="0" containsString="0" containsBlank="1"/>
    </cacheField>
    <cacheField name="Column6124" numFmtId="0">
      <sharedItems containsNonDate="0" containsString="0" containsBlank="1"/>
    </cacheField>
    <cacheField name="Column6125" numFmtId="0">
      <sharedItems containsNonDate="0" containsString="0" containsBlank="1"/>
    </cacheField>
    <cacheField name="Column6126" numFmtId="0">
      <sharedItems containsNonDate="0" containsString="0" containsBlank="1"/>
    </cacheField>
    <cacheField name="Column6127" numFmtId="0">
      <sharedItems containsNonDate="0" containsString="0" containsBlank="1"/>
    </cacheField>
    <cacheField name="Column6128" numFmtId="0">
      <sharedItems containsNonDate="0" containsString="0" containsBlank="1"/>
    </cacheField>
    <cacheField name="Column6129" numFmtId="0">
      <sharedItems containsNonDate="0" containsString="0" containsBlank="1"/>
    </cacheField>
    <cacheField name="Column6130" numFmtId="0">
      <sharedItems containsNonDate="0" containsString="0" containsBlank="1"/>
    </cacheField>
    <cacheField name="Column6131" numFmtId="0">
      <sharedItems containsNonDate="0" containsString="0" containsBlank="1"/>
    </cacheField>
    <cacheField name="Column6132" numFmtId="0">
      <sharedItems containsNonDate="0" containsString="0" containsBlank="1"/>
    </cacheField>
    <cacheField name="Column6133" numFmtId="0">
      <sharedItems containsNonDate="0" containsString="0" containsBlank="1"/>
    </cacheField>
    <cacheField name="Column6134" numFmtId="0">
      <sharedItems containsNonDate="0" containsString="0" containsBlank="1"/>
    </cacheField>
    <cacheField name="Column6135" numFmtId="0">
      <sharedItems containsNonDate="0" containsString="0" containsBlank="1"/>
    </cacheField>
    <cacheField name="Column6136" numFmtId="0">
      <sharedItems containsNonDate="0" containsString="0" containsBlank="1"/>
    </cacheField>
    <cacheField name="Column6137" numFmtId="0">
      <sharedItems containsNonDate="0" containsString="0" containsBlank="1"/>
    </cacheField>
    <cacheField name="Column6138" numFmtId="0">
      <sharedItems containsNonDate="0" containsString="0" containsBlank="1"/>
    </cacheField>
    <cacheField name="Column6139" numFmtId="0">
      <sharedItems containsNonDate="0" containsString="0" containsBlank="1"/>
    </cacheField>
    <cacheField name="Column6140" numFmtId="0">
      <sharedItems containsNonDate="0" containsString="0" containsBlank="1"/>
    </cacheField>
    <cacheField name="Column6141" numFmtId="0">
      <sharedItems containsNonDate="0" containsString="0" containsBlank="1"/>
    </cacheField>
    <cacheField name="Column6142" numFmtId="0">
      <sharedItems containsNonDate="0" containsString="0" containsBlank="1"/>
    </cacheField>
    <cacheField name="Column6143" numFmtId="0">
      <sharedItems containsNonDate="0" containsString="0" containsBlank="1"/>
    </cacheField>
    <cacheField name="Column6144" numFmtId="0">
      <sharedItems containsNonDate="0" containsString="0" containsBlank="1"/>
    </cacheField>
    <cacheField name="Column6145" numFmtId="0">
      <sharedItems containsNonDate="0" containsString="0" containsBlank="1"/>
    </cacheField>
    <cacheField name="Column6146" numFmtId="0">
      <sharedItems containsNonDate="0" containsString="0" containsBlank="1"/>
    </cacheField>
    <cacheField name="Column6147" numFmtId="0">
      <sharedItems containsNonDate="0" containsString="0" containsBlank="1"/>
    </cacheField>
    <cacheField name="Column6148" numFmtId="0">
      <sharedItems containsNonDate="0" containsString="0" containsBlank="1"/>
    </cacheField>
    <cacheField name="Column6149" numFmtId="0">
      <sharedItems containsNonDate="0" containsString="0" containsBlank="1"/>
    </cacheField>
    <cacheField name="Column6150" numFmtId="0">
      <sharedItems containsNonDate="0" containsString="0" containsBlank="1"/>
    </cacheField>
    <cacheField name="Column6151" numFmtId="0">
      <sharedItems containsNonDate="0" containsString="0" containsBlank="1"/>
    </cacheField>
    <cacheField name="Column6152" numFmtId="0">
      <sharedItems containsNonDate="0" containsString="0" containsBlank="1"/>
    </cacheField>
    <cacheField name="Column6153" numFmtId="0">
      <sharedItems containsNonDate="0" containsString="0" containsBlank="1"/>
    </cacheField>
    <cacheField name="Column6154" numFmtId="0">
      <sharedItems containsNonDate="0" containsString="0" containsBlank="1"/>
    </cacheField>
    <cacheField name="Column6155" numFmtId="0">
      <sharedItems containsNonDate="0" containsString="0" containsBlank="1"/>
    </cacheField>
    <cacheField name="Column6156" numFmtId="0">
      <sharedItems containsNonDate="0" containsString="0" containsBlank="1"/>
    </cacheField>
    <cacheField name="Column6157" numFmtId="0">
      <sharedItems containsNonDate="0" containsString="0" containsBlank="1"/>
    </cacheField>
    <cacheField name="Column6158" numFmtId="0">
      <sharedItems containsNonDate="0" containsString="0" containsBlank="1"/>
    </cacheField>
    <cacheField name="Column6159" numFmtId="0">
      <sharedItems containsNonDate="0" containsString="0" containsBlank="1"/>
    </cacheField>
    <cacheField name="Column6160" numFmtId="0">
      <sharedItems containsNonDate="0" containsString="0" containsBlank="1"/>
    </cacheField>
    <cacheField name="Column6161" numFmtId="0">
      <sharedItems containsNonDate="0" containsString="0" containsBlank="1"/>
    </cacheField>
    <cacheField name="Column6162" numFmtId="0">
      <sharedItems containsNonDate="0" containsString="0" containsBlank="1"/>
    </cacheField>
    <cacheField name="Column6163" numFmtId="0">
      <sharedItems containsNonDate="0" containsString="0" containsBlank="1"/>
    </cacheField>
    <cacheField name="Column6164" numFmtId="0">
      <sharedItems containsNonDate="0" containsString="0" containsBlank="1"/>
    </cacheField>
    <cacheField name="Column6165" numFmtId="0">
      <sharedItems containsNonDate="0" containsString="0" containsBlank="1"/>
    </cacheField>
    <cacheField name="Column6166" numFmtId="0">
      <sharedItems containsNonDate="0" containsString="0" containsBlank="1"/>
    </cacheField>
    <cacheField name="Column6167" numFmtId="0">
      <sharedItems containsNonDate="0" containsString="0" containsBlank="1"/>
    </cacheField>
    <cacheField name="Column6168" numFmtId="0">
      <sharedItems containsNonDate="0" containsString="0" containsBlank="1"/>
    </cacheField>
    <cacheField name="Column6169" numFmtId="0">
      <sharedItems containsNonDate="0" containsString="0" containsBlank="1"/>
    </cacheField>
    <cacheField name="Column6170" numFmtId="0">
      <sharedItems containsNonDate="0" containsString="0" containsBlank="1"/>
    </cacheField>
    <cacheField name="Column6171" numFmtId="0">
      <sharedItems containsNonDate="0" containsString="0" containsBlank="1"/>
    </cacheField>
    <cacheField name="Column6172" numFmtId="0">
      <sharedItems containsNonDate="0" containsString="0" containsBlank="1"/>
    </cacheField>
    <cacheField name="Column6173" numFmtId="0">
      <sharedItems containsNonDate="0" containsString="0" containsBlank="1"/>
    </cacheField>
    <cacheField name="Column6174" numFmtId="0">
      <sharedItems containsNonDate="0" containsString="0" containsBlank="1"/>
    </cacheField>
    <cacheField name="Column6175" numFmtId="0">
      <sharedItems containsNonDate="0" containsString="0" containsBlank="1"/>
    </cacheField>
    <cacheField name="Column6176" numFmtId="0">
      <sharedItems containsNonDate="0" containsString="0" containsBlank="1"/>
    </cacheField>
    <cacheField name="Column6177" numFmtId="0">
      <sharedItems containsNonDate="0" containsString="0" containsBlank="1"/>
    </cacheField>
    <cacheField name="Column6178" numFmtId="0">
      <sharedItems containsNonDate="0" containsString="0" containsBlank="1"/>
    </cacheField>
    <cacheField name="Column6179" numFmtId="0">
      <sharedItems containsNonDate="0" containsString="0" containsBlank="1"/>
    </cacheField>
    <cacheField name="Column6180" numFmtId="0">
      <sharedItems containsNonDate="0" containsString="0" containsBlank="1"/>
    </cacheField>
    <cacheField name="Column6181" numFmtId="0">
      <sharedItems containsNonDate="0" containsString="0" containsBlank="1"/>
    </cacheField>
    <cacheField name="Column6182" numFmtId="0">
      <sharedItems containsNonDate="0" containsString="0" containsBlank="1"/>
    </cacheField>
    <cacheField name="Column6183" numFmtId="0">
      <sharedItems containsNonDate="0" containsString="0" containsBlank="1"/>
    </cacheField>
    <cacheField name="Column6184" numFmtId="0">
      <sharedItems containsNonDate="0" containsString="0" containsBlank="1"/>
    </cacheField>
    <cacheField name="Column6185" numFmtId="0">
      <sharedItems containsNonDate="0" containsString="0" containsBlank="1"/>
    </cacheField>
    <cacheField name="Column6186" numFmtId="0">
      <sharedItems containsNonDate="0" containsString="0" containsBlank="1"/>
    </cacheField>
    <cacheField name="Column6187" numFmtId="0">
      <sharedItems containsNonDate="0" containsString="0" containsBlank="1"/>
    </cacheField>
    <cacheField name="Column6188" numFmtId="0">
      <sharedItems containsNonDate="0" containsString="0" containsBlank="1"/>
    </cacheField>
    <cacheField name="Column6189" numFmtId="0">
      <sharedItems containsNonDate="0" containsString="0" containsBlank="1"/>
    </cacheField>
    <cacheField name="Column6190" numFmtId="0">
      <sharedItems containsNonDate="0" containsString="0" containsBlank="1"/>
    </cacheField>
    <cacheField name="Column6191" numFmtId="0">
      <sharedItems containsNonDate="0" containsString="0" containsBlank="1"/>
    </cacheField>
    <cacheField name="Column6192" numFmtId="0">
      <sharedItems containsNonDate="0" containsString="0" containsBlank="1"/>
    </cacheField>
    <cacheField name="Column6193" numFmtId="0">
      <sharedItems containsNonDate="0" containsString="0" containsBlank="1"/>
    </cacheField>
    <cacheField name="Column6194" numFmtId="0">
      <sharedItems containsNonDate="0" containsString="0" containsBlank="1"/>
    </cacheField>
    <cacheField name="Column6195" numFmtId="0">
      <sharedItems containsNonDate="0" containsString="0" containsBlank="1"/>
    </cacheField>
    <cacheField name="Column6196" numFmtId="0">
      <sharedItems containsNonDate="0" containsString="0" containsBlank="1"/>
    </cacheField>
    <cacheField name="Column6197" numFmtId="0">
      <sharedItems containsNonDate="0" containsString="0" containsBlank="1"/>
    </cacheField>
    <cacheField name="Column6198" numFmtId="0">
      <sharedItems containsNonDate="0" containsString="0" containsBlank="1"/>
    </cacheField>
    <cacheField name="Column6199" numFmtId="0">
      <sharedItems containsNonDate="0" containsString="0" containsBlank="1"/>
    </cacheField>
    <cacheField name="Column6200" numFmtId="0">
      <sharedItems containsNonDate="0" containsString="0" containsBlank="1"/>
    </cacheField>
    <cacheField name="Column6201" numFmtId="0">
      <sharedItems containsNonDate="0" containsString="0" containsBlank="1"/>
    </cacheField>
    <cacheField name="Column6202" numFmtId="0">
      <sharedItems containsNonDate="0" containsString="0" containsBlank="1"/>
    </cacheField>
    <cacheField name="Column6203" numFmtId="0">
      <sharedItems containsNonDate="0" containsString="0" containsBlank="1"/>
    </cacheField>
    <cacheField name="Column6204" numFmtId="0">
      <sharedItems containsNonDate="0" containsString="0" containsBlank="1"/>
    </cacheField>
    <cacheField name="Column6205" numFmtId="0">
      <sharedItems containsNonDate="0" containsString="0" containsBlank="1"/>
    </cacheField>
    <cacheField name="Column6206" numFmtId="0">
      <sharedItems containsNonDate="0" containsString="0" containsBlank="1"/>
    </cacheField>
    <cacheField name="Column6207" numFmtId="0">
      <sharedItems containsNonDate="0" containsString="0" containsBlank="1"/>
    </cacheField>
    <cacheField name="Column6208" numFmtId="0">
      <sharedItems containsNonDate="0" containsString="0" containsBlank="1"/>
    </cacheField>
    <cacheField name="Column6209" numFmtId="0">
      <sharedItems containsNonDate="0" containsString="0" containsBlank="1"/>
    </cacheField>
    <cacheField name="Column6210" numFmtId="0">
      <sharedItems containsNonDate="0" containsString="0" containsBlank="1"/>
    </cacheField>
    <cacheField name="Column6211" numFmtId="0">
      <sharedItems containsNonDate="0" containsString="0" containsBlank="1"/>
    </cacheField>
    <cacheField name="Column6212" numFmtId="0">
      <sharedItems containsNonDate="0" containsString="0" containsBlank="1"/>
    </cacheField>
    <cacheField name="Column6213" numFmtId="0">
      <sharedItems containsNonDate="0" containsString="0" containsBlank="1"/>
    </cacheField>
    <cacheField name="Column6214" numFmtId="0">
      <sharedItems containsNonDate="0" containsString="0" containsBlank="1"/>
    </cacheField>
    <cacheField name="Column6215" numFmtId="0">
      <sharedItems containsNonDate="0" containsString="0" containsBlank="1"/>
    </cacheField>
    <cacheField name="Column6216" numFmtId="0">
      <sharedItems containsNonDate="0" containsString="0" containsBlank="1"/>
    </cacheField>
    <cacheField name="Column6217" numFmtId="0">
      <sharedItems containsNonDate="0" containsString="0" containsBlank="1"/>
    </cacheField>
    <cacheField name="Column6218" numFmtId="0">
      <sharedItems containsNonDate="0" containsString="0" containsBlank="1"/>
    </cacheField>
    <cacheField name="Column6219" numFmtId="0">
      <sharedItems containsNonDate="0" containsString="0" containsBlank="1"/>
    </cacheField>
    <cacheField name="Column6220" numFmtId="0">
      <sharedItems containsNonDate="0" containsString="0" containsBlank="1"/>
    </cacheField>
    <cacheField name="Column6221" numFmtId="0">
      <sharedItems containsNonDate="0" containsString="0" containsBlank="1"/>
    </cacheField>
    <cacheField name="Column6222" numFmtId="0">
      <sharedItems containsNonDate="0" containsString="0" containsBlank="1"/>
    </cacheField>
    <cacheField name="Column6223" numFmtId="0">
      <sharedItems containsNonDate="0" containsString="0" containsBlank="1"/>
    </cacheField>
    <cacheField name="Column6224" numFmtId="0">
      <sharedItems containsNonDate="0" containsString="0" containsBlank="1"/>
    </cacheField>
    <cacheField name="Column6225" numFmtId="0">
      <sharedItems containsNonDate="0" containsString="0" containsBlank="1"/>
    </cacheField>
    <cacheField name="Column6226" numFmtId="0">
      <sharedItems containsNonDate="0" containsString="0" containsBlank="1"/>
    </cacheField>
    <cacheField name="Column6227" numFmtId="0">
      <sharedItems containsNonDate="0" containsString="0" containsBlank="1"/>
    </cacheField>
    <cacheField name="Column6228" numFmtId="0">
      <sharedItems containsNonDate="0" containsString="0" containsBlank="1"/>
    </cacheField>
    <cacheField name="Column6229" numFmtId="0">
      <sharedItems containsNonDate="0" containsString="0" containsBlank="1"/>
    </cacheField>
    <cacheField name="Column6230" numFmtId="0">
      <sharedItems containsNonDate="0" containsString="0" containsBlank="1"/>
    </cacheField>
    <cacheField name="Column6231" numFmtId="0">
      <sharedItems containsNonDate="0" containsString="0" containsBlank="1"/>
    </cacheField>
    <cacheField name="Column6232" numFmtId="0">
      <sharedItems containsNonDate="0" containsString="0" containsBlank="1"/>
    </cacheField>
    <cacheField name="Column6233" numFmtId="0">
      <sharedItems containsNonDate="0" containsString="0" containsBlank="1"/>
    </cacheField>
    <cacheField name="Column6234" numFmtId="0">
      <sharedItems containsNonDate="0" containsString="0" containsBlank="1"/>
    </cacheField>
    <cacheField name="Column6235" numFmtId="0">
      <sharedItems containsNonDate="0" containsString="0" containsBlank="1"/>
    </cacheField>
    <cacheField name="Column6236" numFmtId="0">
      <sharedItems containsNonDate="0" containsString="0" containsBlank="1"/>
    </cacheField>
    <cacheField name="Column6237" numFmtId="0">
      <sharedItems containsNonDate="0" containsString="0" containsBlank="1"/>
    </cacheField>
    <cacheField name="Column6238" numFmtId="0">
      <sharedItems containsNonDate="0" containsString="0" containsBlank="1"/>
    </cacheField>
    <cacheField name="Column6239" numFmtId="0">
      <sharedItems containsNonDate="0" containsString="0" containsBlank="1"/>
    </cacheField>
    <cacheField name="Column6240" numFmtId="0">
      <sharedItems containsNonDate="0" containsString="0" containsBlank="1"/>
    </cacheField>
    <cacheField name="Column6241" numFmtId="0">
      <sharedItems containsNonDate="0" containsString="0" containsBlank="1"/>
    </cacheField>
    <cacheField name="Column6242" numFmtId="0">
      <sharedItems containsNonDate="0" containsString="0" containsBlank="1"/>
    </cacheField>
    <cacheField name="Column6243" numFmtId="0">
      <sharedItems containsNonDate="0" containsString="0" containsBlank="1"/>
    </cacheField>
    <cacheField name="Column6244" numFmtId="0">
      <sharedItems containsNonDate="0" containsString="0" containsBlank="1"/>
    </cacheField>
    <cacheField name="Column6245" numFmtId="0">
      <sharedItems containsNonDate="0" containsString="0" containsBlank="1"/>
    </cacheField>
    <cacheField name="Column6246" numFmtId="0">
      <sharedItems containsNonDate="0" containsString="0" containsBlank="1"/>
    </cacheField>
    <cacheField name="Column6247" numFmtId="0">
      <sharedItems containsNonDate="0" containsString="0" containsBlank="1"/>
    </cacheField>
    <cacheField name="Column6248" numFmtId="0">
      <sharedItems containsNonDate="0" containsString="0" containsBlank="1"/>
    </cacheField>
    <cacheField name="Column6249" numFmtId="0">
      <sharedItems containsNonDate="0" containsString="0" containsBlank="1"/>
    </cacheField>
    <cacheField name="Column6250" numFmtId="0">
      <sharedItems containsNonDate="0" containsString="0" containsBlank="1"/>
    </cacheField>
    <cacheField name="Column6251" numFmtId="0">
      <sharedItems containsNonDate="0" containsString="0" containsBlank="1"/>
    </cacheField>
    <cacheField name="Column6252" numFmtId="0">
      <sharedItems containsNonDate="0" containsString="0" containsBlank="1"/>
    </cacheField>
    <cacheField name="Column6253" numFmtId="0">
      <sharedItems containsNonDate="0" containsString="0" containsBlank="1"/>
    </cacheField>
    <cacheField name="Column6254" numFmtId="0">
      <sharedItems containsNonDate="0" containsString="0" containsBlank="1"/>
    </cacheField>
    <cacheField name="Column6255" numFmtId="0">
      <sharedItems containsNonDate="0" containsString="0" containsBlank="1"/>
    </cacheField>
    <cacheField name="Column6256" numFmtId="0">
      <sharedItems containsNonDate="0" containsString="0" containsBlank="1"/>
    </cacheField>
    <cacheField name="Column6257" numFmtId="0">
      <sharedItems containsNonDate="0" containsString="0" containsBlank="1"/>
    </cacheField>
    <cacheField name="Column6258" numFmtId="0">
      <sharedItems containsNonDate="0" containsString="0" containsBlank="1"/>
    </cacheField>
    <cacheField name="Column6259" numFmtId="0">
      <sharedItems containsNonDate="0" containsString="0" containsBlank="1"/>
    </cacheField>
    <cacheField name="Column6260" numFmtId="0">
      <sharedItems containsNonDate="0" containsString="0" containsBlank="1"/>
    </cacheField>
    <cacheField name="Column6261" numFmtId="0">
      <sharedItems containsNonDate="0" containsString="0" containsBlank="1"/>
    </cacheField>
    <cacheField name="Column6262" numFmtId="0">
      <sharedItems containsNonDate="0" containsString="0" containsBlank="1"/>
    </cacheField>
    <cacheField name="Column6263" numFmtId="0">
      <sharedItems containsNonDate="0" containsString="0" containsBlank="1"/>
    </cacheField>
    <cacheField name="Column6264" numFmtId="0">
      <sharedItems containsNonDate="0" containsString="0" containsBlank="1"/>
    </cacheField>
    <cacheField name="Column6265" numFmtId="0">
      <sharedItems containsNonDate="0" containsString="0" containsBlank="1"/>
    </cacheField>
    <cacheField name="Column6266" numFmtId="0">
      <sharedItems containsNonDate="0" containsString="0" containsBlank="1"/>
    </cacheField>
    <cacheField name="Column6267" numFmtId="0">
      <sharedItems containsNonDate="0" containsString="0" containsBlank="1"/>
    </cacheField>
    <cacheField name="Column6268" numFmtId="0">
      <sharedItems containsNonDate="0" containsString="0" containsBlank="1"/>
    </cacheField>
    <cacheField name="Column6269" numFmtId="0">
      <sharedItems containsNonDate="0" containsString="0" containsBlank="1"/>
    </cacheField>
    <cacheField name="Column6270" numFmtId="0">
      <sharedItems containsNonDate="0" containsString="0" containsBlank="1"/>
    </cacheField>
    <cacheField name="Column6271" numFmtId="0">
      <sharedItems containsNonDate="0" containsString="0" containsBlank="1"/>
    </cacheField>
    <cacheField name="Column6272" numFmtId="0">
      <sharedItems containsNonDate="0" containsString="0" containsBlank="1"/>
    </cacheField>
    <cacheField name="Column6273" numFmtId="0">
      <sharedItems containsNonDate="0" containsString="0" containsBlank="1"/>
    </cacheField>
    <cacheField name="Column6274" numFmtId="0">
      <sharedItems containsNonDate="0" containsString="0" containsBlank="1"/>
    </cacheField>
    <cacheField name="Column6275" numFmtId="0">
      <sharedItems containsNonDate="0" containsString="0" containsBlank="1"/>
    </cacheField>
    <cacheField name="Column6276" numFmtId="0">
      <sharedItems containsNonDate="0" containsString="0" containsBlank="1"/>
    </cacheField>
    <cacheField name="Column6277" numFmtId="0">
      <sharedItems containsNonDate="0" containsString="0" containsBlank="1"/>
    </cacheField>
    <cacheField name="Column6278" numFmtId="0">
      <sharedItems containsNonDate="0" containsString="0" containsBlank="1"/>
    </cacheField>
    <cacheField name="Column6279" numFmtId="0">
      <sharedItems containsNonDate="0" containsString="0" containsBlank="1"/>
    </cacheField>
    <cacheField name="Column6280" numFmtId="0">
      <sharedItems containsNonDate="0" containsString="0" containsBlank="1"/>
    </cacheField>
    <cacheField name="Column6281" numFmtId="0">
      <sharedItems containsNonDate="0" containsString="0" containsBlank="1"/>
    </cacheField>
    <cacheField name="Column6282" numFmtId="0">
      <sharedItems containsNonDate="0" containsString="0" containsBlank="1"/>
    </cacheField>
    <cacheField name="Column6283" numFmtId="0">
      <sharedItems containsNonDate="0" containsString="0" containsBlank="1"/>
    </cacheField>
    <cacheField name="Column6284" numFmtId="0">
      <sharedItems containsNonDate="0" containsString="0" containsBlank="1"/>
    </cacheField>
    <cacheField name="Column6285" numFmtId="0">
      <sharedItems containsNonDate="0" containsString="0" containsBlank="1"/>
    </cacheField>
    <cacheField name="Column6286" numFmtId="0">
      <sharedItems containsNonDate="0" containsString="0" containsBlank="1"/>
    </cacheField>
    <cacheField name="Column6287" numFmtId="0">
      <sharedItems containsNonDate="0" containsString="0" containsBlank="1"/>
    </cacheField>
    <cacheField name="Column6288" numFmtId="0">
      <sharedItems containsNonDate="0" containsString="0" containsBlank="1"/>
    </cacheField>
    <cacheField name="Column6289" numFmtId="0">
      <sharedItems containsNonDate="0" containsString="0" containsBlank="1"/>
    </cacheField>
    <cacheField name="Column6290" numFmtId="0">
      <sharedItems containsNonDate="0" containsString="0" containsBlank="1"/>
    </cacheField>
    <cacheField name="Column6291" numFmtId="0">
      <sharedItems containsNonDate="0" containsString="0" containsBlank="1"/>
    </cacheField>
    <cacheField name="Column6292" numFmtId="0">
      <sharedItems containsNonDate="0" containsString="0" containsBlank="1"/>
    </cacheField>
    <cacheField name="Column6293" numFmtId="0">
      <sharedItems containsNonDate="0" containsString="0" containsBlank="1"/>
    </cacheField>
    <cacheField name="Column6294" numFmtId="0">
      <sharedItems containsNonDate="0" containsString="0" containsBlank="1"/>
    </cacheField>
    <cacheField name="Column6295" numFmtId="0">
      <sharedItems containsNonDate="0" containsString="0" containsBlank="1"/>
    </cacheField>
    <cacheField name="Column6296" numFmtId="0">
      <sharedItems containsNonDate="0" containsString="0" containsBlank="1"/>
    </cacheField>
    <cacheField name="Column6297" numFmtId="0">
      <sharedItems containsNonDate="0" containsString="0" containsBlank="1"/>
    </cacheField>
    <cacheField name="Column6298" numFmtId="0">
      <sharedItems containsNonDate="0" containsString="0" containsBlank="1"/>
    </cacheField>
    <cacheField name="Column6299" numFmtId="0">
      <sharedItems containsNonDate="0" containsString="0" containsBlank="1"/>
    </cacheField>
    <cacheField name="Column6300" numFmtId="0">
      <sharedItems containsNonDate="0" containsString="0" containsBlank="1"/>
    </cacheField>
    <cacheField name="Column6301" numFmtId="0">
      <sharedItems containsNonDate="0" containsString="0" containsBlank="1"/>
    </cacheField>
    <cacheField name="Column6302" numFmtId="0">
      <sharedItems containsNonDate="0" containsString="0" containsBlank="1"/>
    </cacheField>
    <cacheField name="Column6303" numFmtId="0">
      <sharedItems containsNonDate="0" containsString="0" containsBlank="1"/>
    </cacheField>
    <cacheField name="Column6304" numFmtId="0">
      <sharedItems containsNonDate="0" containsString="0" containsBlank="1"/>
    </cacheField>
    <cacheField name="Column6305" numFmtId="0">
      <sharedItems containsNonDate="0" containsString="0" containsBlank="1"/>
    </cacheField>
    <cacheField name="Column6306" numFmtId="0">
      <sharedItems containsNonDate="0" containsString="0" containsBlank="1"/>
    </cacheField>
    <cacheField name="Column6307" numFmtId="0">
      <sharedItems containsNonDate="0" containsString="0" containsBlank="1"/>
    </cacheField>
    <cacheField name="Column6308" numFmtId="0">
      <sharedItems containsNonDate="0" containsString="0" containsBlank="1"/>
    </cacheField>
    <cacheField name="Column6309" numFmtId="0">
      <sharedItems containsNonDate="0" containsString="0" containsBlank="1"/>
    </cacheField>
    <cacheField name="Column6310" numFmtId="0">
      <sharedItems containsNonDate="0" containsString="0" containsBlank="1"/>
    </cacheField>
    <cacheField name="Column6311" numFmtId="0">
      <sharedItems containsNonDate="0" containsString="0" containsBlank="1"/>
    </cacheField>
    <cacheField name="Column6312" numFmtId="0">
      <sharedItems containsNonDate="0" containsString="0" containsBlank="1"/>
    </cacheField>
    <cacheField name="Column6313" numFmtId="0">
      <sharedItems containsNonDate="0" containsString="0" containsBlank="1"/>
    </cacheField>
    <cacheField name="Column6314" numFmtId="0">
      <sharedItems containsNonDate="0" containsString="0" containsBlank="1"/>
    </cacheField>
    <cacheField name="Column6315" numFmtId="0">
      <sharedItems containsNonDate="0" containsString="0" containsBlank="1"/>
    </cacheField>
    <cacheField name="Column6316" numFmtId="0">
      <sharedItems containsNonDate="0" containsString="0" containsBlank="1"/>
    </cacheField>
    <cacheField name="Column6317" numFmtId="0">
      <sharedItems containsNonDate="0" containsString="0" containsBlank="1"/>
    </cacheField>
    <cacheField name="Column6318" numFmtId="0">
      <sharedItems containsNonDate="0" containsString="0" containsBlank="1"/>
    </cacheField>
    <cacheField name="Column6319" numFmtId="0">
      <sharedItems containsNonDate="0" containsString="0" containsBlank="1"/>
    </cacheField>
    <cacheField name="Column6320" numFmtId="0">
      <sharedItems containsNonDate="0" containsString="0" containsBlank="1"/>
    </cacheField>
    <cacheField name="Column6321" numFmtId="0">
      <sharedItems containsNonDate="0" containsString="0" containsBlank="1"/>
    </cacheField>
    <cacheField name="Column6322" numFmtId="0">
      <sharedItems containsNonDate="0" containsString="0" containsBlank="1"/>
    </cacheField>
    <cacheField name="Column6323" numFmtId="0">
      <sharedItems containsNonDate="0" containsString="0" containsBlank="1"/>
    </cacheField>
    <cacheField name="Column6324" numFmtId="0">
      <sharedItems containsNonDate="0" containsString="0" containsBlank="1"/>
    </cacheField>
    <cacheField name="Column6325" numFmtId="0">
      <sharedItems containsNonDate="0" containsString="0" containsBlank="1"/>
    </cacheField>
    <cacheField name="Column6326" numFmtId="0">
      <sharedItems containsNonDate="0" containsString="0" containsBlank="1"/>
    </cacheField>
    <cacheField name="Column6327" numFmtId="0">
      <sharedItems containsNonDate="0" containsString="0" containsBlank="1"/>
    </cacheField>
    <cacheField name="Column6328" numFmtId="0">
      <sharedItems containsNonDate="0" containsString="0" containsBlank="1"/>
    </cacheField>
    <cacheField name="Column6329" numFmtId="0">
      <sharedItems containsNonDate="0" containsString="0" containsBlank="1"/>
    </cacheField>
    <cacheField name="Column6330" numFmtId="0">
      <sharedItems containsNonDate="0" containsString="0" containsBlank="1"/>
    </cacheField>
    <cacheField name="Column6331" numFmtId="0">
      <sharedItems containsNonDate="0" containsString="0" containsBlank="1"/>
    </cacheField>
    <cacheField name="Column6332" numFmtId="0">
      <sharedItems containsNonDate="0" containsString="0" containsBlank="1"/>
    </cacheField>
    <cacheField name="Column6333" numFmtId="0">
      <sharedItems containsNonDate="0" containsString="0" containsBlank="1"/>
    </cacheField>
    <cacheField name="Column6334" numFmtId="0">
      <sharedItems containsNonDate="0" containsString="0" containsBlank="1"/>
    </cacheField>
    <cacheField name="Column6335" numFmtId="0">
      <sharedItems containsNonDate="0" containsString="0" containsBlank="1"/>
    </cacheField>
    <cacheField name="Column6336" numFmtId="0">
      <sharedItems containsNonDate="0" containsString="0" containsBlank="1"/>
    </cacheField>
    <cacheField name="Column6337" numFmtId="0">
      <sharedItems containsNonDate="0" containsString="0" containsBlank="1"/>
    </cacheField>
    <cacheField name="Column6338" numFmtId="0">
      <sharedItems containsNonDate="0" containsString="0" containsBlank="1"/>
    </cacheField>
    <cacheField name="Column6339" numFmtId="0">
      <sharedItems containsNonDate="0" containsString="0" containsBlank="1"/>
    </cacheField>
    <cacheField name="Column6340" numFmtId="0">
      <sharedItems containsNonDate="0" containsString="0" containsBlank="1"/>
    </cacheField>
    <cacheField name="Column6341" numFmtId="0">
      <sharedItems containsNonDate="0" containsString="0" containsBlank="1"/>
    </cacheField>
    <cacheField name="Column6342" numFmtId="0">
      <sharedItems containsNonDate="0" containsString="0" containsBlank="1"/>
    </cacheField>
    <cacheField name="Column6343" numFmtId="0">
      <sharedItems containsNonDate="0" containsString="0" containsBlank="1"/>
    </cacheField>
    <cacheField name="Column6344" numFmtId="0">
      <sharedItems containsNonDate="0" containsString="0" containsBlank="1"/>
    </cacheField>
    <cacheField name="Column6345" numFmtId="0">
      <sharedItems containsNonDate="0" containsString="0" containsBlank="1"/>
    </cacheField>
    <cacheField name="Column6346" numFmtId="0">
      <sharedItems containsNonDate="0" containsString="0" containsBlank="1"/>
    </cacheField>
    <cacheField name="Column6347" numFmtId="0">
      <sharedItems containsNonDate="0" containsString="0" containsBlank="1"/>
    </cacheField>
    <cacheField name="Column6348" numFmtId="0">
      <sharedItems containsNonDate="0" containsString="0" containsBlank="1"/>
    </cacheField>
    <cacheField name="Column6349" numFmtId="0">
      <sharedItems containsNonDate="0" containsString="0" containsBlank="1"/>
    </cacheField>
    <cacheField name="Column6350" numFmtId="0">
      <sharedItems containsNonDate="0" containsString="0" containsBlank="1"/>
    </cacheField>
    <cacheField name="Column6351" numFmtId="0">
      <sharedItems containsNonDate="0" containsString="0" containsBlank="1"/>
    </cacheField>
    <cacheField name="Column6352" numFmtId="0">
      <sharedItems containsNonDate="0" containsString="0" containsBlank="1"/>
    </cacheField>
    <cacheField name="Column6353" numFmtId="0">
      <sharedItems containsNonDate="0" containsString="0" containsBlank="1"/>
    </cacheField>
    <cacheField name="Column6354" numFmtId="0">
      <sharedItems containsNonDate="0" containsString="0" containsBlank="1"/>
    </cacheField>
    <cacheField name="Column6355" numFmtId="0">
      <sharedItems containsNonDate="0" containsString="0" containsBlank="1"/>
    </cacheField>
    <cacheField name="Column6356" numFmtId="0">
      <sharedItems containsNonDate="0" containsString="0" containsBlank="1"/>
    </cacheField>
    <cacheField name="Column6357" numFmtId="0">
      <sharedItems containsNonDate="0" containsString="0" containsBlank="1"/>
    </cacheField>
    <cacheField name="Column6358" numFmtId="0">
      <sharedItems containsNonDate="0" containsString="0" containsBlank="1"/>
    </cacheField>
    <cacheField name="Column6359" numFmtId="0">
      <sharedItems containsNonDate="0" containsString="0" containsBlank="1"/>
    </cacheField>
    <cacheField name="Column6360" numFmtId="0">
      <sharedItems containsNonDate="0" containsString="0" containsBlank="1"/>
    </cacheField>
    <cacheField name="Column6361" numFmtId="0">
      <sharedItems containsNonDate="0" containsString="0" containsBlank="1"/>
    </cacheField>
    <cacheField name="Column6362" numFmtId="0">
      <sharedItems containsNonDate="0" containsString="0" containsBlank="1"/>
    </cacheField>
    <cacheField name="Column6363" numFmtId="0">
      <sharedItems containsNonDate="0" containsString="0" containsBlank="1"/>
    </cacheField>
    <cacheField name="Column6364" numFmtId="0">
      <sharedItems containsNonDate="0" containsString="0" containsBlank="1"/>
    </cacheField>
    <cacheField name="Column6365" numFmtId="0">
      <sharedItems containsNonDate="0" containsString="0" containsBlank="1"/>
    </cacheField>
    <cacheField name="Column6366" numFmtId="0">
      <sharedItems containsNonDate="0" containsString="0" containsBlank="1"/>
    </cacheField>
    <cacheField name="Column6367" numFmtId="0">
      <sharedItems containsNonDate="0" containsString="0" containsBlank="1"/>
    </cacheField>
    <cacheField name="Column6368" numFmtId="0">
      <sharedItems containsNonDate="0" containsString="0" containsBlank="1"/>
    </cacheField>
    <cacheField name="Column6369" numFmtId="0">
      <sharedItems containsNonDate="0" containsString="0" containsBlank="1"/>
    </cacheField>
    <cacheField name="Column6370" numFmtId="0">
      <sharedItems containsNonDate="0" containsString="0" containsBlank="1"/>
    </cacheField>
    <cacheField name="Column6371" numFmtId="0">
      <sharedItems containsNonDate="0" containsString="0" containsBlank="1"/>
    </cacheField>
    <cacheField name="Column6372" numFmtId="0">
      <sharedItems containsNonDate="0" containsString="0" containsBlank="1"/>
    </cacheField>
    <cacheField name="Column6373" numFmtId="0">
      <sharedItems containsNonDate="0" containsString="0" containsBlank="1"/>
    </cacheField>
    <cacheField name="Column6374" numFmtId="0">
      <sharedItems containsNonDate="0" containsString="0" containsBlank="1"/>
    </cacheField>
    <cacheField name="Column6375" numFmtId="0">
      <sharedItems containsNonDate="0" containsString="0" containsBlank="1"/>
    </cacheField>
    <cacheField name="Column6376" numFmtId="0">
      <sharedItems containsNonDate="0" containsString="0" containsBlank="1"/>
    </cacheField>
    <cacheField name="Column6377" numFmtId="0">
      <sharedItems containsNonDate="0" containsString="0" containsBlank="1"/>
    </cacheField>
    <cacheField name="Column6378" numFmtId="0">
      <sharedItems containsNonDate="0" containsString="0" containsBlank="1"/>
    </cacheField>
    <cacheField name="Column6379" numFmtId="0">
      <sharedItems containsNonDate="0" containsString="0" containsBlank="1"/>
    </cacheField>
    <cacheField name="Column6380" numFmtId="0">
      <sharedItems containsNonDate="0" containsString="0" containsBlank="1"/>
    </cacheField>
    <cacheField name="Column6381" numFmtId="0">
      <sharedItems containsNonDate="0" containsString="0" containsBlank="1"/>
    </cacheField>
    <cacheField name="Column6382" numFmtId="0">
      <sharedItems containsNonDate="0" containsString="0" containsBlank="1"/>
    </cacheField>
    <cacheField name="Column6383" numFmtId="0">
      <sharedItems containsNonDate="0" containsString="0" containsBlank="1"/>
    </cacheField>
    <cacheField name="Column6384" numFmtId="0">
      <sharedItems containsNonDate="0" containsString="0" containsBlank="1"/>
    </cacheField>
    <cacheField name="Column6385" numFmtId="0">
      <sharedItems containsNonDate="0" containsString="0" containsBlank="1"/>
    </cacheField>
    <cacheField name="Column6386" numFmtId="0">
      <sharedItems containsNonDate="0" containsString="0" containsBlank="1"/>
    </cacheField>
    <cacheField name="Column6387" numFmtId="0">
      <sharedItems containsNonDate="0" containsString="0" containsBlank="1"/>
    </cacheField>
    <cacheField name="Column6388" numFmtId="0">
      <sharedItems containsNonDate="0" containsString="0" containsBlank="1"/>
    </cacheField>
    <cacheField name="Column6389" numFmtId="0">
      <sharedItems containsNonDate="0" containsString="0" containsBlank="1"/>
    </cacheField>
    <cacheField name="Column6390" numFmtId="0">
      <sharedItems containsNonDate="0" containsString="0" containsBlank="1"/>
    </cacheField>
    <cacheField name="Column6391" numFmtId="0">
      <sharedItems containsNonDate="0" containsString="0" containsBlank="1"/>
    </cacheField>
    <cacheField name="Column6392" numFmtId="0">
      <sharedItems containsNonDate="0" containsString="0" containsBlank="1"/>
    </cacheField>
    <cacheField name="Column6393" numFmtId="0">
      <sharedItems containsNonDate="0" containsString="0" containsBlank="1"/>
    </cacheField>
    <cacheField name="Column6394" numFmtId="0">
      <sharedItems containsNonDate="0" containsString="0" containsBlank="1"/>
    </cacheField>
    <cacheField name="Column6395" numFmtId="0">
      <sharedItems containsNonDate="0" containsString="0" containsBlank="1"/>
    </cacheField>
    <cacheField name="Column6396" numFmtId="0">
      <sharedItems containsNonDate="0" containsString="0" containsBlank="1"/>
    </cacheField>
    <cacheField name="Column6397" numFmtId="0">
      <sharedItems containsNonDate="0" containsString="0" containsBlank="1"/>
    </cacheField>
    <cacheField name="Column6398" numFmtId="0">
      <sharedItems containsNonDate="0" containsString="0" containsBlank="1"/>
    </cacheField>
    <cacheField name="Column6399" numFmtId="0">
      <sharedItems containsNonDate="0" containsString="0" containsBlank="1"/>
    </cacheField>
    <cacheField name="Column6400" numFmtId="0">
      <sharedItems containsNonDate="0" containsString="0" containsBlank="1"/>
    </cacheField>
    <cacheField name="Column6401" numFmtId="0">
      <sharedItems containsNonDate="0" containsString="0" containsBlank="1"/>
    </cacheField>
    <cacheField name="Column6402" numFmtId="0">
      <sharedItems containsNonDate="0" containsString="0" containsBlank="1"/>
    </cacheField>
    <cacheField name="Column6403" numFmtId="0">
      <sharedItems containsNonDate="0" containsString="0" containsBlank="1"/>
    </cacheField>
    <cacheField name="Column6404" numFmtId="0">
      <sharedItems containsNonDate="0" containsString="0" containsBlank="1"/>
    </cacheField>
    <cacheField name="Column6405" numFmtId="0">
      <sharedItems containsNonDate="0" containsString="0" containsBlank="1"/>
    </cacheField>
    <cacheField name="Column6406" numFmtId="0">
      <sharedItems containsNonDate="0" containsString="0" containsBlank="1"/>
    </cacheField>
    <cacheField name="Column6407" numFmtId="0">
      <sharedItems containsNonDate="0" containsString="0" containsBlank="1"/>
    </cacheField>
    <cacheField name="Column6408" numFmtId="0">
      <sharedItems containsNonDate="0" containsString="0" containsBlank="1"/>
    </cacheField>
    <cacheField name="Column6409" numFmtId="0">
      <sharedItems containsNonDate="0" containsString="0" containsBlank="1"/>
    </cacheField>
    <cacheField name="Column6410" numFmtId="0">
      <sharedItems containsNonDate="0" containsString="0" containsBlank="1"/>
    </cacheField>
    <cacheField name="Column6411" numFmtId="0">
      <sharedItems containsNonDate="0" containsString="0" containsBlank="1"/>
    </cacheField>
    <cacheField name="Column6412" numFmtId="0">
      <sharedItems containsNonDate="0" containsString="0" containsBlank="1"/>
    </cacheField>
    <cacheField name="Column6413" numFmtId="0">
      <sharedItems containsNonDate="0" containsString="0" containsBlank="1"/>
    </cacheField>
    <cacheField name="Column6414" numFmtId="0">
      <sharedItems containsNonDate="0" containsString="0" containsBlank="1"/>
    </cacheField>
    <cacheField name="Column6415" numFmtId="0">
      <sharedItems containsNonDate="0" containsString="0" containsBlank="1"/>
    </cacheField>
    <cacheField name="Column6416" numFmtId="0">
      <sharedItems containsNonDate="0" containsString="0" containsBlank="1"/>
    </cacheField>
    <cacheField name="Column6417" numFmtId="0">
      <sharedItems containsNonDate="0" containsString="0" containsBlank="1"/>
    </cacheField>
    <cacheField name="Column6418" numFmtId="0">
      <sharedItems containsNonDate="0" containsString="0" containsBlank="1"/>
    </cacheField>
    <cacheField name="Column6419" numFmtId="0">
      <sharedItems containsNonDate="0" containsString="0" containsBlank="1"/>
    </cacheField>
    <cacheField name="Column6420" numFmtId="0">
      <sharedItems containsNonDate="0" containsString="0" containsBlank="1"/>
    </cacheField>
    <cacheField name="Column6421" numFmtId="0">
      <sharedItems containsNonDate="0" containsString="0" containsBlank="1"/>
    </cacheField>
    <cacheField name="Column6422" numFmtId="0">
      <sharedItems containsNonDate="0" containsString="0" containsBlank="1"/>
    </cacheField>
    <cacheField name="Column6423" numFmtId="0">
      <sharedItems containsNonDate="0" containsString="0" containsBlank="1"/>
    </cacheField>
    <cacheField name="Column6424" numFmtId="0">
      <sharedItems containsNonDate="0" containsString="0" containsBlank="1"/>
    </cacheField>
    <cacheField name="Column6425" numFmtId="0">
      <sharedItems containsNonDate="0" containsString="0" containsBlank="1"/>
    </cacheField>
    <cacheField name="Column6426" numFmtId="0">
      <sharedItems containsNonDate="0" containsString="0" containsBlank="1"/>
    </cacheField>
    <cacheField name="Column6427" numFmtId="0">
      <sharedItems containsNonDate="0" containsString="0" containsBlank="1"/>
    </cacheField>
    <cacheField name="Column6428" numFmtId="0">
      <sharedItems containsNonDate="0" containsString="0" containsBlank="1"/>
    </cacheField>
    <cacheField name="Column6429" numFmtId="0">
      <sharedItems containsNonDate="0" containsString="0" containsBlank="1"/>
    </cacheField>
    <cacheField name="Column6430" numFmtId="0">
      <sharedItems containsNonDate="0" containsString="0" containsBlank="1"/>
    </cacheField>
    <cacheField name="Column6431" numFmtId="0">
      <sharedItems containsNonDate="0" containsString="0" containsBlank="1"/>
    </cacheField>
    <cacheField name="Column6432" numFmtId="0">
      <sharedItems containsNonDate="0" containsString="0" containsBlank="1"/>
    </cacheField>
    <cacheField name="Column6433" numFmtId="0">
      <sharedItems containsNonDate="0" containsString="0" containsBlank="1"/>
    </cacheField>
    <cacheField name="Column6434" numFmtId="0">
      <sharedItems containsNonDate="0" containsString="0" containsBlank="1"/>
    </cacheField>
    <cacheField name="Column6435" numFmtId="0">
      <sharedItems containsNonDate="0" containsString="0" containsBlank="1"/>
    </cacheField>
    <cacheField name="Column6436" numFmtId="0">
      <sharedItems containsNonDate="0" containsString="0" containsBlank="1"/>
    </cacheField>
    <cacheField name="Column6437" numFmtId="0">
      <sharedItems containsNonDate="0" containsString="0" containsBlank="1"/>
    </cacheField>
    <cacheField name="Column6438" numFmtId="0">
      <sharedItems containsNonDate="0" containsString="0" containsBlank="1"/>
    </cacheField>
    <cacheField name="Column6439" numFmtId="0">
      <sharedItems containsNonDate="0" containsString="0" containsBlank="1"/>
    </cacheField>
    <cacheField name="Column6440" numFmtId="0">
      <sharedItems containsNonDate="0" containsString="0" containsBlank="1"/>
    </cacheField>
    <cacheField name="Column6441" numFmtId="0">
      <sharedItems containsNonDate="0" containsString="0" containsBlank="1"/>
    </cacheField>
    <cacheField name="Column6442" numFmtId="0">
      <sharedItems containsNonDate="0" containsString="0" containsBlank="1"/>
    </cacheField>
    <cacheField name="Column6443" numFmtId="0">
      <sharedItems containsNonDate="0" containsString="0" containsBlank="1"/>
    </cacheField>
    <cacheField name="Column6444" numFmtId="0">
      <sharedItems containsNonDate="0" containsString="0" containsBlank="1"/>
    </cacheField>
    <cacheField name="Column6445" numFmtId="0">
      <sharedItems containsNonDate="0" containsString="0" containsBlank="1"/>
    </cacheField>
    <cacheField name="Column6446" numFmtId="0">
      <sharedItems containsNonDate="0" containsString="0" containsBlank="1"/>
    </cacheField>
    <cacheField name="Column6447" numFmtId="0">
      <sharedItems containsNonDate="0" containsString="0" containsBlank="1"/>
    </cacheField>
    <cacheField name="Column6448" numFmtId="0">
      <sharedItems containsNonDate="0" containsString="0" containsBlank="1"/>
    </cacheField>
    <cacheField name="Column6449" numFmtId="0">
      <sharedItems containsNonDate="0" containsString="0" containsBlank="1"/>
    </cacheField>
    <cacheField name="Column6450" numFmtId="0">
      <sharedItems containsNonDate="0" containsString="0" containsBlank="1"/>
    </cacheField>
    <cacheField name="Column6451" numFmtId="0">
      <sharedItems containsNonDate="0" containsString="0" containsBlank="1"/>
    </cacheField>
    <cacheField name="Column6452" numFmtId="0">
      <sharedItems containsNonDate="0" containsString="0" containsBlank="1"/>
    </cacheField>
    <cacheField name="Column6453" numFmtId="0">
      <sharedItems containsNonDate="0" containsString="0" containsBlank="1"/>
    </cacheField>
    <cacheField name="Column6454" numFmtId="0">
      <sharedItems containsNonDate="0" containsString="0" containsBlank="1"/>
    </cacheField>
    <cacheField name="Column6455" numFmtId="0">
      <sharedItems containsNonDate="0" containsString="0" containsBlank="1"/>
    </cacheField>
    <cacheField name="Column6456" numFmtId="0">
      <sharedItems containsNonDate="0" containsString="0" containsBlank="1"/>
    </cacheField>
    <cacheField name="Column6457" numFmtId="0">
      <sharedItems containsNonDate="0" containsString="0" containsBlank="1"/>
    </cacheField>
    <cacheField name="Column6458" numFmtId="0">
      <sharedItems containsNonDate="0" containsString="0" containsBlank="1"/>
    </cacheField>
    <cacheField name="Column6459" numFmtId="0">
      <sharedItems containsNonDate="0" containsString="0" containsBlank="1"/>
    </cacheField>
    <cacheField name="Column6460" numFmtId="0">
      <sharedItems containsNonDate="0" containsString="0" containsBlank="1"/>
    </cacheField>
    <cacheField name="Column6461" numFmtId="0">
      <sharedItems containsNonDate="0" containsString="0" containsBlank="1"/>
    </cacheField>
    <cacheField name="Column6462" numFmtId="0">
      <sharedItems containsNonDate="0" containsString="0" containsBlank="1"/>
    </cacheField>
    <cacheField name="Column6463" numFmtId="0">
      <sharedItems containsNonDate="0" containsString="0" containsBlank="1"/>
    </cacheField>
    <cacheField name="Column6464" numFmtId="0">
      <sharedItems containsNonDate="0" containsString="0" containsBlank="1"/>
    </cacheField>
    <cacheField name="Column6465" numFmtId="0">
      <sharedItems containsNonDate="0" containsString="0" containsBlank="1"/>
    </cacheField>
    <cacheField name="Column6466" numFmtId="0">
      <sharedItems containsNonDate="0" containsString="0" containsBlank="1"/>
    </cacheField>
    <cacheField name="Column6467" numFmtId="0">
      <sharedItems containsNonDate="0" containsString="0" containsBlank="1"/>
    </cacheField>
    <cacheField name="Column6468" numFmtId="0">
      <sharedItems containsNonDate="0" containsString="0" containsBlank="1"/>
    </cacheField>
    <cacheField name="Column6469" numFmtId="0">
      <sharedItems containsNonDate="0" containsString="0" containsBlank="1"/>
    </cacheField>
    <cacheField name="Column6470" numFmtId="0">
      <sharedItems containsNonDate="0" containsString="0" containsBlank="1"/>
    </cacheField>
    <cacheField name="Column6471" numFmtId="0">
      <sharedItems containsNonDate="0" containsString="0" containsBlank="1"/>
    </cacheField>
    <cacheField name="Column6472" numFmtId="0">
      <sharedItems containsNonDate="0" containsString="0" containsBlank="1"/>
    </cacheField>
    <cacheField name="Column6473" numFmtId="0">
      <sharedItems containsNonDate="0" containsString="0" containsBlank="1"/>
    </cacheField>
    <cacheField name="Column6474" numFmtId="0">
      <sharedItems containsNonDate="0" containsString="0" containsBlank="1"/>
    </cacheField>
    <cacheField name="Column6475" numFmtId="0">
      <sharedItems containsNonDate="0" containsString="0" containsBlank="1"/>
    </cacheField>
    <cacheField name="Column6476" numFmtId="0">
      <sharedItems containsNonDate="0" containsString="0" containsBlank="1"/>
    </cacheField>
    <cacheField name="Column6477" numFmtId="0">
      <sharedItems containsNonDate="0" containsString="0" containsBlank="1"/>
    </cacheField>
    <cacheField name="Column6478" numFmtId="0">
      <sharedItems containsNonDate="0" containsString="0" containsBlank="1"/>
    </cacheField>
    <cacheField name="Column6479" numFmtId="0">
      <sharedItems containsNonDate="0" containsString="0" containsBlank="1"/>
    </cacheField>
    <cacheField name="Column6480" numFmtId="0">
      <sharedItems containsNonDate="0" containsString="0" containsBlank="1"/>
    </cacheField>
    <cacheField name="Column6481" numFmtId="0">
      <sharedItems containsNonDate="0" containsString="0" containsBlank="1"/>
    </cacheField>
    <cacheField name="Column6482" numFmtId="0">
      <sharedItems containsNonDate="0" containsString="0" containsBlank="1"/>
    </cacheField>
    <cacheField name="Column6483" numFmtId="0">
      <sharedItems containsNonDate="0" containsString="0" containsBlank="1"/>
    </cacheField>
    <cacheField name="Column6484" numFmtId="0">
      <sharedItems containsNonDate="0" containsString="0" containsBlank="1"/>
    </cacheField>
    <cacheField name="Column6485" numFmtId="0">
      <sharedItems containsNonDate="0" containsString="0" containsBlank="1"/>
    </cacheField>
    <cacheField name="Column6486" numFmtId="0">
      <sharedItems containsNonDate="0" containsString="0" containsBlank="1"/>
    </cacheField>
    <cacheField name="Column6487" numFmtId="0">
      <sharedItems containsNonDate="0" containsString="0" containsBlank="1"/>
    </cacheField>
    <cacheField name="Column6488" numFmtId="0">
      <sharedItems containsNonDate="0" containsString="0" containsBlank="1"/>
    </cacheField>
    <cacheField name="Column6489" numFmtId="0">
      <sharedItems containsNonDate="0" containsString="0" containsBlank="1"/>
    </cacheField>
    <cacheField name="Column6490" numFmtId="0">
      <sharedItems containsNonDate="0" containsString="0" containsBlank="1"/>
    </cacheField>
    <cacheField name="Column6491" numFmtId="0">
      <sharedItems containsNonDate="0" containsString="0" containsBlank="1"/>
    </cacheField>
    <cacheField name="Column6492" numFmtId="0">
      <sharedItems containsNonDate="0" containsString="0" containsBlank="1"/>
    </cacheField>
    <cacheField name="Column6493" numFmtId="0">
      <sharedItems containsNonDate="0" containsString="0" containsBlank="1"/>
    </cacheField>
    <cacheField name="Column6494" numFmtId="0">
      <sharedItems containsNonDate="0" containsString="0" containsBlank="1"/>
    </cacheField>
    <cacheField name="Column6495" numFmtId="0">
      <sharedItems containsNonDate="0" containsString="0" containsBlank="1"/>
    </cacheField>
    <cacheField name="Column6496" numFmtId="0">
      <sharedItems containsNonDate="0" containsString="0" containsBlank="1"/>
    </cacheField>
    <cacheField name="Column6497" numFmtId="0">
      <sharedItems containsNonDate="0" containsString="0" containsBlank="1"/>
    </cacheField>
    <cacheField name="Column6498" numFmtId="0">
      <sharedItems containsNonDate="0" containsString="0" containsBlank="1"/>
    </cacheField>
    <cacheField name="Column6499" numFmtId="0">
      <sharedItems containsNonDate="0" containsString="0" containsBlank="1"/>
    </cacheField>
    <cacheField name="Column6500" numFmtId="0">
      <sharedItems containsNonDate="0" containsString="0" containsBlank="1"/>
    </cacheField>
    <cacheField name="Column6501" numFmtId="0">
      <sharedItems containsNonDate="0" containsString="0" containsBlank="1"/>
    </cacheField>
    <cacheField name="Column6502" numFmtId="0">
      <sharedItems containsNonDate="0" containsString="0" containsBlank="1"/>
    </cacheField>
    <cacheField name="Column6503" numFmtId="0">
      <sharedItems containsNonDate="0" containsString="0" containsBlank="1"/>
    </cacheField>
    <cacheField name="Column6504" numFmtId="0">
      <sharedItems containsNonDate="0" containsString="0" containsBlank="1"/>
    </cacheField>
    <cacheField name="Column6505" numFmtId="0">
      <sharedItems containsNonDate="0" containsString="0" containsBlank="1"/>
    </cacheField>
    <cacheField name="Column6506" numFmtId="0">
      <sharedItems containsNonDate="0" containsString="0" containsBlank="1"/>
    </cacheField>
    <cacheField name="Column6507" numFmtId="0">
      <sharedItems containsNonDate="0" containsString="0" containsBlank="1"/>
    </cacheField>
    <cacheField name="Column6508" numFmtId="0">
      <sharedItems containsNonDate="0" containsString="0" containsBlank="1"/>
    </cacheField>
    <cacheField name="Column6509" numFmtId="0">
      <sharedItems containsNonDate="0" containsString="0" containsBlank="1"/>
    </cacheField>
    <cacheField name="Column6510" numFmtId="0">
      <sharedItems containsNonDate="0" containsString="0" containsBlank="1"/>
    </cacheField>
    <cacheField name="Column6511" numFmtId="0">
      <sharedItems containsNonDate="0" containsString="0" containsBlank="1"/>
    </cacheField>
    <cacheField name="Column6512" numFmtId="0">
      <sharedItems containsNonDate="0" containsString="0" containsBlank="1"/>
    </cacheField>
    <cacheField name="Column6513" numFmtId="0">
      <sharedItems containsNonDate="0" containsString="0" containsBlank="1"/>
    </cacheField>
    <cacheField name="Column6514" numFmtId="0">
      <sharedItems containsNonDate="0" containsString="0" containsBlank="1"/>
    </cacheField>
    <cacheField name="Column6515" numFmtId="0">
      <sharedItems containsNonDate="0" containsString="0" containsBlank="1"/>
    </cacheField>
    <cacheField name="Column6516" numFmtId="0">
      <sharedItems containsNonDate="0" containsString="0" containsBlank="1"/>
    </cacheField>
    <cacheField name="Column6517" numFmtId="0">
      <sharedItems containsNonDate="0" containsString="0" containsBlank="1"/>
    </cacheField>
    <cacheField name="Column6518" numFmtId="0">
      <sharedItems containsNonDate="0" containsString="0" containsBlank="1"/>
    </cacheField>
    <cacheField name="Column6519" numFmtId="0">
      <sharedItems containsNonDate="0" containsString="0" containsBlank="1"/>
    </cacheField>
    <cacheField name="Column6520" numFmtId="0">
      <sharedItems containsNonDate="0" containsString="0" containsBlank="1"/>
    </cacheField>
    <cacheField name="Column6521" numFmtId="0">
      <sharedItems containsNonDate="0" containsString="0" containsBlank="1"/>
    </cacheField>
    <cacheField name="Column6522" numFmtId="0">
      <sharedItems containsNonDate="0" containsString="0" containsBlank="1"/>
    </cacheField>
    <cacheField name="Column6523" numFmtId="0">
      <sharedItems containsNonDate="0" containsString="0" containsBlank="1"/>
    </cacheField>
    <cacheField name="Column6524" numFmtId="0">
      <sharedItems containsNonDate="0" containsString="0" containsBlank="1"/>
    </cacheField>
    <cacheField name="Column6525" numFmtId="0">
      <sharedItems containsNonDate="0" containsString="0" containsBlank="1"/>
    </cacheField>
    <cacheField name="Column6526" numFmtId="0">
      <sharedItems containsNonDate="0" containsString="0" containsBlank="1"/>
    </cacheField>
    <cacheField name="Column6527" numFmtId="0">
      <sharedItems containsNonDate="0" containsString="0" containsBlank="1"/>
    </cacheField>
    <cacheField name="Column6528" numFmtId="0">
      <sharedItems containsNonDate="0" containsString="0" containsBlank="1"/>
    </cacheField>
    <cacheField name="Column6529" numFmtId="0">
      <sharedItems containsNonDate="0" containsString="0" containsBlank="1"/>
    </cacheField>
    <cacheField name="Column6530" numFmtId="0">
      <sharedItems containsNonDate="0" containsString="0" containsBlank="1"/>
    </cacheField>
    <cacheField name="Column6531" numFmtId="0">
      <sharedItems containsNonDate="0" containsString="0" containsBlank="1"/>
    </cacheField>
    <cacheField name="Column6532" numFmtId="0">
      <sharedItems containsNonDate="0" containsString="0" containsBlank="1"/>
    </cacheField>
    <cacheField name="Column6533" numFmtId="0">
      <sharedItems containsNonDate="0" containsString="0" containsBlank="1"/>
    </cacheField>
    <cacheField name="Column6534" numFmtId="0">
      <sharedItems containsNonDate="0" containsString="0" containsBlank="1"/>
    </cacheField>
    <cacheField name="Column6535" numFmtId="0">
      <sharedItems containsNonDate="0" containsString="0" containsBlank="1"/>
    </cacheField>
    <cacheField name="Column6536" numFmtId="0">
      <sharedItems containsNonDate="0" containsString="0" containsBlank="1"/>
    </cacheField>
    <cacheField name="Column6537" numFmtId="0">
      <sharedItems containsNonDate="0" containsString="0" containsBlank="1"/>
    </cacheField>
    <cacheField name="Column6538" numFmtId="0">
      <sharedItems containsNonDate="0" containsString="0" containsBlank="1"/>
    </cacheField>
    <cacheField name="Column6539" numFmtId="0">
      <sharedItems containsNonDate="0" containsString="0" containsBlank="1"/>
    </cacheField>
    <cacheField name="Column6540" numFmtId="0">
      <sharedItems containsNonDate="0" containsString="0" containsBlank="1"/>
    </cacheField>
    <cacheField name="Column6541" numFmtId="0">
      <sharedItems containsNonDate="0" containsString="0" containsBlank="1"/>
    </cacheField>
    <cacheField name="Column6542" numFmtId="0">
      <sharedItems containsNonDate="0" containsString="0" containsBlank="1"/>
    </cacheField>
    <cacheField name="Column6543" numFmtId="0">
      <sharedItems containsNonDate="0" containsString="0" containsBlank="1"/>
    </cacheField>
    <cacheField name="Column6544" numFmtId="0">
      <sharedItems containsNonDate="0" containsString="0" containsBlank="1"/>
    </cacheField>
    <cacheField name="Column6545" numFmtId="0">
      <sharedItems containsNonDate="0" containsString="0" containsBlank="1"/>
    </cacheField>
    <cacheField name="Column6546" numFmtId="0">
      <sharedItems containsNonDate="0" containsString="0" containsBlank="1"/>
    </cacheField>
    <cacheField name="Column6547" numFmtId="0">
      <sharedItems containsNonDate="0" containsString="0" containsBlank="1"/>
    </cacheField>
    <cacheField name="Column6548" numFmtId="0">
      <sharedItems containsNonDate="0" containsString="0" containsBlank="1"/>
    </cacheField>
    <cacheField name="Column6549" numFmtId="0">
      <sharedItems containsNonDate="0" containsString="0" containsBlank="1"/>
    </cacheField>
    <cacheField name="Column6550" numFmtId="0">
      <sharedItems containsNonDate="0" containsString="0" containsBlank="1"/>
    </cacheField>
    <cacheField name="Column6551" numFmtId="0">
      <sharedItems containsNonDate="0" containsString="0" containsBlank="1"/>
    </cacheField>
    <cacheField name="Column6552" numFmtId="0">
      <sharedItems containsNonDate="0" containsString="0" containsBlank="1"/>
    </cacheField>
    <cacheField name="Column6553" numFmtId="0">
      <sharedItems containsNonDate="0" containsString="0" containsBlank="1"/>
    </cacheField>
    <cacheField name="Column6554" numFmtId="0">
      <sharedItems containsNonDate="0" containsString="0" containsBlank="1"/>
    </cacheField>
    <cacheField name="Column6555" numFmtId="0">
      <sharedItems containsNonDate="0" containsString="0" containsBlank="1"/>
    </cacheField>
    <cacheField name="Column6556" numFmtId="0">
      <sharedItems containsNonDate="0" containsString="0" containsBlank="1"/>
    </cacheField>
    <cacheField name="Column6557" numFmtId="0">
      <sharedItems containsNonDate="0" containsString="0" containsBlank="1"/>
    </cacheField>
    <cacheField name="Column6558" numFmtId="0">
      <sharedItems containsNonDate="0" containsString="0" containsBlank="1"/>
    </cacheField>
    <cacheField name="Column6559" numFmtId="0">
      <sharedItems containsNonDate="0" containsString="0" containsBlank="1"/>
    </cacheField>
    <cacheField name="Column6560" numFmtId="0">
      <sharedItems containsNonDate="0" containsString="0" containsBlank="1"/>
    </cacheField>
    <cacheField name="Column6561" numFmtId="0">
      <sharedItems containsNonDate="0" containsString="0" containsBlank="1"/>
    </cacheField>
    <cacheField name="Column6562" numFmtId="0">
      <sharedItems containsNonDate="0" containsString="0" containsBlank="1"/>
    </cacheField>
    <cacheField name="Column6563" numFmtId="0">
      <sharedItems containsNonDate="0" containsString="0" containsBlank="1"/>
    </cacheField>
    <cacheField name="Column6564" numFmtId="0">
      <sharedItems containsNonDate="0" containsString="0" containsBlank="1"/>
    </cacheField>
    <cacheField name="Column6565" numFmtId="0">
      <sharedItems containsNonDate="0" containsString="0" containsBlank="1"/>
    </cacheField>
    <cacheField name="Column6566" numFmtId="0">
      <sharedItems containsNonDate="0" containsString="0" containsBlank="1"/>
    </cacheField>
    <cacheField name="Column6567" numFmtId="0">
      <sharedItems containsNonDate="0" containsString="0" containsBlank="1"/>
    </cacheField>
    <cacheField name="Column6568" numFmtId="0">
      <sharedItems containsNonDate="0" containsString="0" containsBlank="1"/>
    </cacheField>
    <cacheField name="Column6569" numFmtId="0">
      <sharedItems containsNonDate="0" containsString="0" containsBlank="1"/>
    </cacheField>
    <cacheField name="Column6570" numFmtId="0">
      <sharedItems containsNonDate="0" containsString="0" containsBlank="1"/>
    </cacheField>
    <cacheField name="Column6571" numFmtId="0">
      <sharedItems containsNonDate="0" containsString="0" containsBlank="1"/>
    </cacheField>
    <cacheField name="Column6572" numFmtId="0">
      <sharedItems containsNonDate="0" containsString="0" containsBlank="1"/>
    </cacheField>
    <cacheField name="Column6573" numFmtId="0">
      <sharedItems containsNonDate="0" containsString="0" containsBlank="1"/>
    </cacheField>
    <cacheField name="Column6574" numFmtId="0">
      <sharedItems containsNonDate="0" containsString="0" containsBlank="1"/>
    </cacheField>
    <cacheField name="Column6575" numFmtId="0">
      <sharedItems containsNonDate="0" containsString="0" containsBlank="1"/>
    </cacheField>
    <cacheField name="Column6576" numFmtId="0">
      <sharedItems containsNonDate="0" containsString="0" containsBlank="1"/>
    </cacheField>
    <cacheField name="Column6577" numFmtId="0">
      <sharedItems containsNonDate="0" containsString="0" containsBlank="1"/>
    </cacheField>
    <cacheField name="Column6578" numFmtId="0">
      <sharedItems containsNonDate="0" containsString="0" containsBlank="1"/>
    </cacheField>
    <cacheField name="Column6579" numFmtId="0">
      <sharedItems containsNonDate="0" containsString="0" containsBlank="1"/>
    </cacheField>
    <cacheField name="Column6580" numFmtId="0">
      <sharedItems containsNonDate="0" containsString="0" containsBlank="1"/>
    </cacheField>
    <cacheField name="Column6581" numFmtId="0">
      <sharedItems containsNonDate="0" containsString="0" containsBlank="1"/>
    </cacheField>
    <cacheField name="Column6582" numFmtId="0">
      <sharedItems containsNonDate="0" containsString="0" containsBlank="1"/>
    </cacheField>
    <cacheField name="Column6583" numFmtId="0">
      <sharedItems containsNonDate="0" containsString="0" containsBlank="1"/>
    </cacheField>
    <cacheField name="Column6584" numFmtId="0">
      <sharedItems containsNonDate="0" containsString="0" containsBlank="1"/>
    </cacheField>
    <cacheField name="Column6585" numFmtId="0">
      <sharedItems containsNonDate="0" containsString="0" containsBlank="1"/>
    </cacheField>
    <cacheField name="Column6586" numFmtId="0">
      <sharedItems containsNonDate="0" containsString="0" containsBlank="1"/>
    </cacheField>
    <cacheField name="Column6587" numFmtId="0">
      <sharedItems containsNonDate="0" containsString="0" containsBlank="1"/>
    </cacheField>
    <cacheField name="Column6588" numFmtId="0">
      <sharedItems containsNonDate="0" containsString="0" containsBlank="1"/>
    </cacheField>
    <cacheField name="Column6589" numFmtId="0">
      <sharedItems containsNonDate="0" containsString="0" containsBlank="1"/>
    </cacheField>
    <cacheField name="Column6590" numFmtId="0">
      <sharedItems containsNonDate="0" containsString="0" containsBlank="1"/>
    </cacheField>
    <cacheField name="Column6591" numFmtId="0">
      <sharedItems containsNonDate="0" containsString="0" containsBlank="1"/>
    </cacheField>
    <cacheField name="Column6592" numFmtId="0">
      <sharedItems containsNonDate="0" containsString="0" containsBlank="1"/>
    </cacheField>
    <cacheField name="Column6593" numFmtId="0">
      <sharedItems containsNonDate="0" containsString="0" containsBlank="1"/>
    </cacheField>
    <cacheField name="Column6594" numFmtId="0">
      <sharedItems containsNonDate="0" containsString="0" containsBlank="1"/>
    </cacheField>
    <cacheField name="Column6595" numFmtId="0">
      <sharedItems containsNonDate="0" containsString="0" containsBlank="1"/>
    </cacheField>
    <cacheField name="Column6596" numFmtId="0">
      <sharedItems containsNonDate="0" containsString="0" containsBlank="1"/>
    </cacheField>
    <cacheField name="Column6597" numFmtId="0">
      <sharedItems containsNonDate="0" containsString="0" containsBlank="1"/>
    </cacheField>
    <cacheField name="Column6598" numFmtId="0">
      <sharedItems containsNonDate="0" containsString="0" containsBlank="1"/>
    </cacheField>
    <cacheField name="Column6599" numFmtId="0">
      <sharedItems containsNonDate="0" containsString="0" containsBlank="1"/>
    </cacheField>
    <cacheField name="Column6600" numFmtId="0">
      <sharedItems containsNonDate="0" containsString="0" containsBlank="1"/>
    </cacheField>
    <cacheField name="Column6601" numFmtId="0">
      <sharedItems containsNonDate="0" containsString="0" containsBlank="1"/>
    </cacheField>
    <cacheField name="Column6602" numFmtId="0">
      <sharedItems containsNonDate="0" containsString="0" containsBlank="1"/>
    </cacheField>
    <cacheField name="Column6603" numFmtId="0">
      <sharedItems containsNonDate="0" containsString="0" containsBlank="1"/>
    </cacheField>
    <cacheField name="Column6604" numFmtId="0">
      <sharedItems containsNonDate="0" containsString="0" containsBlank="1"/>
    </cacheField>
    <cacheField name="Column6605" numFmtId="0">
      <sharedItems containsNonDate="0" containsString="0" containsBlank="1"/>
    </cacheField>
    <cacheField name="Column6606" numFmtId="0">
      <sharedItems containsNonDate="0" containsString="0" containsBlank="1"/>
    </cacheField>
    <cacheField name="Column6607" numFmtId="0">
      <sharedItems containsNonDate="0" containsString="0" containsBlank="1"/>
    </cacheField>
    <cacheField name="Column6608" numFmtId="0">
      <sharedItems containsNonDate="0" containsString="0" containsBlank="1"/>
    </cacheField>
    <cacheField name="Column6609" numFmtId="0">
      <sharedItems containsNonDate="0" containsString="0" containsBlank="1"/>
    </cacheField>
    <cacheField name="Column6610" numFmtId="0">
      <sharedItems containsNonDate="0" containsString="0" containsBlank="1"/>
    </cacheField>
    <cacheField name="Column6611" numFmtId="0">
      <sharedItems containsNonDate="0" containsString="0" containsBlank="1"/>
    </cacheField>
    <cacheField name="Column6612" numFmtId="0">
      <sharedItems containsNonDate="0" containsString="0" containsBlank="1"/>
    </cacheField>
    <cacheField name="Column6613" numFmtId="0">
      <sharedItems containsNonDate="0" containsString="0" containsBlank="1"/>
    </cacheField>
    <cacheField name="Column6614" numFmtId="0">
      <sharedItems containsNonDate="0" containsString="0" containsBlank="1"/>
    </cacheField>
    <cacheField name="Column6615" numFmtId="0">
      <sharedItems containsNonDate="0" containsString="0" containsBlank="1"/>
    </cacheField>
    <cacheField name="Column6616" numFmtId="0">
      <sharedItems containsNonDate="0" containsString="0" containsBlank="1"/>
    </cacheField>
    <cacheField name="Column6617" numFmtId="0">
      <sharedItems containsNonDate="0" containsString="0" containsBlank="1"/>
    </cacheField>
    <cacheField name="Column6618" numFmtId="0">
      <sharedItems containsNonDate="0" containsString="0" containsBlank="1"/>
    </cacheField>
    <cacheField name="Column6619" numFmtId="0">
      <sharedItems containsNonDate="0" containsString="0" containsBlank="1"/>
    </cacheField>
    <cacheField name="Column6620" numFmtId="0">
      <sharedItems containsNonDate="0" containsString="0" containsBlank="1"/>
    </cacheField>
    <cacheField name="Column6621" numFmtId="0">
      <sharedItems containsNonDate="0" containsString="0" containsBlank="1"/>
    </cacheField>
    <cacheField name="Column6622" numFmtId="0">
      <sharedItems containsNonDate="0" containsString="0" containsBlank="1"/>
    </cacheField>
    <cacheField name="Column6623" numFmtId="0">
      <sharedItems containsNonDate="0" containsString="0" containsBlank="1"/>
    </cacheField>
    <cacheField name="Column6624" numFmtId="0">
      <sharedItems containsNonDate="0" containsString="0" containsBlank="1"/>
    </cacheField>
    <cacheField name="Column6625" numFmtId="0">
      <sharedItems containsNonDate="0" containsString="0" containsBlank="1"/>
    </cacheField>
    <cacheField name="Column6626" numFmtId="0">
      <sharedItems containsNonDate="0" containsString="0" containsBlank="1"/>
    </cacheField>
    <cacheField name="Column6627" numFmtId="0">
      <sharedItems containsNonDate="0" containsString="0" containsBlank="1"/>
    </cacheField>
    <cacheField name="Column6628" numFmtId="0">
      <sharedItems containsNonDate="0" containsString="0" containsBlank="1"/>
    </cacheField>
    <cacheField name="Column6629" numFmtId="0">
      <sharedItems containsNonDate="0" containsString="0" containsBlank="1"/>
    </cacheField>
    <cacheField name="Column6630" numFmtId="0">
      <sharedItems containsNonDate="0" containsString="0" containsBlank="1"/>
    </cacheField>
    <cacheField name="Column6631" numFmtId="0">
      <sharedItems containsNonDate="0" containsString="0" containsBlank="1"/>
    </cacheField>
    <cacheField name="Column6632" numFmtId="0">
      <sharedItems containsNonDate="0" containsString="0" containsBlank="1"/>
    </cacheField>
    <cacheField name="Column6633" numFmtId="0">
      <sharedItems containsNonDate="0" containsString="0" containsBlank="1"/>
    </cacheField>
    <cacheField name="Column6634" numFmtId="0">
      <sharedItems containsNonDate="0" containsString="0" containsBlank="1"/>
    </cacheField>
    <cacheField name="Column6635" numFmtId="0">
      <sharedItems containsNonDate="0" containsString="0" containsBlank="1"/>
    </cacheField>
    <cacheField name="Column6636" numFmtId="0">
      <sharedItems containsNonDate="0" containsString="0" containsBlank="1"/>
    </cacheField>
    <cacheField name="Column6637" numFmtId="0">
      <sharedItems containsNonDate="0" containsString="0" containsBlank="1"/>
    </cacheField>
    <cacheField name="Column6638" numFmtId="0">
      <sharedItems containsNonDate="0" containsString="0" containsBlank="1"/>
    </cacheField>
    <cacheField name="Column6639" numFmtId="0">
      <sharedItems containsNonDate="0" containsString="0" containsBlank="1"/>
    </cacheField>
    <cacheField name="Column6640" numFmtId="0">
      <sharedItems containsNonDate="0" containsString="0" containsBlank="1"/>
    </cacheField>
    <cacheField name="Column6641" numFmtId="0">
      <sharedItems containsNonDate="0" containsString="0" containsBlank="1"/>
    </cacheField>
    <cacheField name="Column6642" numFmtId="0">
      <sharedItems containsNonDate="0" containsString="0" containsBlank="1"/>
    </cacheField>
    <cacheField name="Column6643" numFmtId="0">
      <sharedItems containsNonDate="0" containsString="0" containsBlank="1"/>
    </cacheField>
    <cacheField name="Column6644" numFmtId="0">
      <sharedItems containsNonDate="0" containsString="0" containsBlank="1"/>
    </cacheField>
    <cacheField name="Column6645" numFmtId="0">
      <sharedItems containsNonDate="0" containsString="0" containsBlank="1"/>
    </cacheField>
    <cacheField name="Column6646" numFmtId="0">
      <sharedItems containsNonDate="0" containsString="0" containsBlank="1"/>
    </cacheField>
    <cacheField name="Column6647" numFmtId="0">
      <sharedItems containsNonDate="0" containsString="0" containsBlank="1"/>
    </cacheField>
    <cacheField name="Column6648" numFmtId="0">
      <sharedItems containsNonDate="0" containsString="0" containsBlank="1"/>
    </cacheField>
    <cacheField name="Column6649" numFmtId="0">
      <sharedItems containsNonDate="0" containsString="0" containsBlank="1"/>
    </cacheField>
    <cacheField name="Column6650" numFmtId="0">
      <sharedItems containsNonDate="0" containsString="0" containsBlank="1"/>
    </cacheField>
    <cacheField name="Column6651" numFmtId="0">
      <sharedItems containsNonDate="0" containsString="0" containsBlank="1"/>
    </cacheField>
    <cacheField name="Column6652" numFmtId="0">
      <sharedItems containsNonDate="0" containsString="0" containsBlank="1"/>
    </cacheField>
    <cacheField name="Column6653" numFmtId="0">
      <sharedItems containsNonDate="0" containsString="0" containsBlank="1"/>
    </cacheField>
    <cacheField name="Column6654" numFmtId="0">
      <sharedItems containsNonDate="0" containsString="0" containsBlank="1"/>
    </cacheField>
    <cacheField name="Column6655" numFmtId="0">
      <sharedItems containsNonDate="0" containsString="0" containsBlank="1"/>
    </cacheField>
    <cacheField name="Column6656" numFmtId="0">
      <sharedItems containsNonDate="0" containsString="0" containsBlank="1"/>
    </cacheField>
    <cacheField name="Column6657" numFmtId="0">
      <sharedItems containsNonDate="0" containsString="0" containsBlank="1"/>
    </cacheField>
    <cacheField name="Column6658" numFmtId="0">
      <sharedItems containsNonDate="0" containsString="0" containsBlank="1"/>
    </cacheField>
    <cacheField name="Column6659" numFmtId="0">
      <sharedItems containsNonDate="0" containsString="0" containsBlank="1"/>
    </cacheField>
    <cacheField name="Column6660" numFmtId="0">
      <sharedItems containsNonDate="0" containsString="0" containsBlank="1"/>
    </cacheField>
    <cacheField name="Column6661" numFmtId="0">
      <sharedItems containsNonDate="0" containsString="0" containsBlank="1"/>
    </cacheField>
    <cacheField name="Column6662" numFmtId="0">
      <sharedItems containsNonDate="0" containsString="0" containsBlank="1"/>
    </cacheField>
    <cacheField name="Column6663" numFmtId="0">
      <sharedItems containsNonDate="0" containsString="0" containsBlank="1"/>
    </cacheField>
    <cacheField name="Column6664" numFmtId="0">
      <sharedItems containsNonDate="0" containsString="0" containsBlank="1"/>
    </cacheField>
    <cacheField name="Column6665" numFmtId="0">
      <sharedItems containsNonDate="0" containsString="0" containsBlank="1"/>
    </cacheField>
    <cacheField name="Column6666" numFmtId="0">
      <sharedItems containsNonDate="0" containsString="0" containsBlank="1"/>
    </cacheField>
    <cacheField name="Column6667" numFmtId="0">
      <sharedItems containsNonDate="0" containsString="0" containsBlank="1"/>
    </cacheField>
    <cacheField name="Column6668" numFmtId="0">
      <sharedItems containsNonDate="0" containsString="0" containsBlank="1"/>
    </cacheField>
    <cacheField name="Column6669" numFmtId="0">
      <sharedItems containsNonDate="0" containsString="0" containsBlank="1"/>
    </cacheField>
    <cacheField name="Column6670" numFmtId="0">
      <sharedItems containsNonDate="0" containsString="0" containsBlank="1"/>
    </cacheField>
    <cacheField name="Column6671" numFmtId="0">
      <sharedItems containsNonDate="0" containsString="0" containsBlank="1"/>
    </cacheField>
    <cacheField name="Column6672" numFmtId="0">
      <sharedItems containsNonDate="0" containsString="0" containsBlank="1"/>
    </cacheField>
    <cacheField name="Column6673" numFmtId="0">
      <sharedItems containsNonDate="0" containsString="0" containsBlank="1"/>
    </cacheField>
    <cacheField name="Column6674" numFmtId="0">
      <sharedItems containsNonDate="0" containsString="0" containsBlank="1"/>
    </cacheField>
    <cacheField name="Column6675" numFmtId="0">
      <sharedItems containsNonDate="0" containsString="0" containsBlank="1"/>
    </cacheField>
    <cacheField name="Column6676" numFmtId="0">
      <sharedItems containsNonDate="0" containsString="0" containsBlank="1"/>
    </cacheField>
    <cacheField name="Column6677" numFmtId="0">
      <sharedItems containsNonDate="0" containsString="0" containsBlank="1"/>
    </cacheField>
    <cacheField name="Column6678" numFmtId="0">
      <sharedItems containsNonDate="0" containsString="0" containsBlank="1"/>
    </cacheField>
    <cacheField name="Column6679" numFmtId="0">
      <sharedItems containsNonDate="0" containsString="0" containsBlank="1"/>
    </cacheField>
    <cacheField name="Column6680" numFmtId="0">
      <sharedItems containsNonDate="0" containsString="0" containsBlank="1"/>
    </cacheField>
    <cacheField name="Column6681" numFmtId="0">
      <sharedItems containsNonDate="0" containsString="0" containsBlank="1"/>
    </cacheField>
    <cacheField name="Column6682" numFmtId="0">
      <sharedItems containsNonDate="0" containsString="0" containsBlank="1"/>
    </cacheField>
    <cacheField name="Column6683" numFmtId="0">
      <sharedItems containsNonDate="0" containsString="0" containsBlank="1"/>
    </cacheField>
    <cacheField name="Column6684" numFmtId="0">
      <sharedItems containsNonDate="0" containsString="0" containsBlank="1"/>
    </cacheField>
    <cacheField name="Column6685" numFmtId="0">
      <sharedItems containsNonDate="0" containsString="0" containsBlank="1"/>
    </cacheField>
    <cacheField name="Column6686" numFmtId="0">
      <sharedItems containsNonDate="0" containsString="0" containsBlank="1"/>
    </cacheField>
    <cacheField name="Column6687" numFmtId="0">
      <sharedItems containsNonDate="0" containsString="0" containsBlank="1"/>
    </cacheField>
    <cacheField name="Column6688" numFmtId="0">
      <sharedItems containsNonDate="0" containsString="0" containsBlank="1"/>
    </cacheField>
    <cacheField name="Column6689" numFmtId="0">
      <sharedItems containsNonDate="0" containsString="0" containsBlank="1"/>
    </cacheField>
    <cacheField name="Column6690" numFmtId="0">
      <sharedItems containsNonDate="0" containsString="0" containsBlank="1"/>
    </cacheField>
    <cacheField name="Column6691" numFmtId="0">
      <sharedItems containsNonDate="0" containsString="0" containsBlank="1"/>
    </cacheField>
    <cacheField name="Column6692" numFmtId="0">
      <sharedItems containsNonDate="0" containsString="0" containsBlank="1"/>
    </cacheField>
    <cacheField name="Column6693" numFmtId="0">
      <sharedItems containsNonDate="0" containsString="0" containsBlank="1"/>
    </cacheField>
    <cacheField name="Column6694" numFmtId="0">
      <sharedItems containsNonDate="0" containsString="0" containsBlank="1"/>
    </cacheField>
    <cacheField name="Column6695" numFmtId="0">
      <sharedItems containsNonDate="0" containsString="0" containsBlank="1"/>
    </cacheField>
    <cacheField name="Column6696" numFmtId="0">
      <sharedItems containsNonDate="0" containsString="0" containsBlank="1"/>
    </cacheField>
    <cacheField name="Column6697" numFmtId="0">
      <sharedItems containsNonDate="0" containsString="0" containsBlank="1"/>
    </cacheField>
    <cacheField name="Column6698" numFmtId="0">
      <sharedItems containsNonDate="0" containsString="0" containsBlank="1"/>
    </cacheField>
    <cacheField name="Column6699" numFmtId="0">
      <sharedItems containsNonDate="0" containsString="0" containsBlank="1"/>
    </cacheField>
    <cacheField name="Column6700" numFmtId="0">
      <sharedItems containsNonDate="0" containsString="0" containsBlank="1"/>
    </cacheField>
    <cacheField name="Column6701" numFmtId="0">
      <sharedItems containsNonDate="0" containsString="0" containsBlank="1"/>
    </cacheField>
    <cacheField name="Column6702" numFmtId="0">
      <sharedItems containsNonDate="0" containsString="0" containsBlank="1"/>
    </cacheField>
    <cacheField name="Column6703" numFmtId="0">
      <sharedItems containsNonDate="0" containsString="0" containsBlank="1"/>
    </cacheField>
    <cacheField name="Column6704" numFmtId="0">
      <sharedItems containsNonDate="0" containsString="0" containsBlank="1"/>
    </cacheField>
    <cacheField name="Column6705" numFmtId="0">
      <sharedItems containsNonDate="0" containsString="0" containsBlank="1"/>
    </cacheField>
    <cacheField name="Column6706" numFmtId="0">
      <sharedItems containsNonDate="0" containsString="0" containsBlank="1"/>
    </cacheField>
    <cacheField name="Column6707" numFmtId="0">
      <sharedItems containsNonDate="0" containsString="0" containsBlank="1"/>
    </cacheField>
    <cacheField name="Column6708" numFmtId="0">
      <sharedItems containsNonDate="0" containsString="0" containsBlank="1"/>
    </cacheField>
    <cacheField name="Column6709" numFmtId="0">
      <sharedItems containsNonDate="0" containsString="0" containsBlank="1"/>
    </cacheField>
    <cacheField name="Column6710" numFmtId="0">
      <sharedItems containsNonDate="0" containsString="0" containsBlank="1"/>
    </cacheField>
    <cacheField name="Column6711" numFmtId="0">
      <sharedItems containsNonDate="0" containsString="0" containsBlank="1"/>
    </cacheField>
    <cacheField name="Column6712" numFmtId="0">
      <sharedItems containsNonDate="0" containsString="0" containsBlank="1"/>
    </cacheField>
    <cacheField name="Column6713" numFmtId="0">
      <sharedItems containsNonDate="0" containsString="0" containsBlank="1"/>
    </cacheField>
    <cacheField name="Column6714" numFmtId="0">
      <sharedItems containsNonDate="0" containsString="0" containsBlank="1"/>
    </cacheField>
    <cacheField name="Column6715" numFmtId="0">
      <sharedItems containsNonDate="0" containsString="0" containsBlank="1"/>
    </cacheField>
    <cacheField name="Column6716" numFmtId="0">
      <sharedItems containsNonDate="0" containsString="0" containsBlank="1"/>
    </cacheField>
    <cacheField name="Column6717" numFmtId="0">
      <sharedItems containsNonDate="0" containsString="0" containsBlank="1"/>
    </cacheField>
    <cacheField name="Column6718" numFmtId="0">
      <sharedItems containsNonDate="0" containsString="0" containsBlank="1"/>
    </cacheField>
    <cacheField name="Column6719" numFmtId="0">
      <sharedItems containsNonDate="0" containsString="0" containsBlank="1"/>
    </cacheField>
    <cacheField name="Column6720" numFmtId="0">
      <sharedItems containsNonDate="0" containsString="0" containsBlank="1"/>
    </cacheField>
    <cacheField name="Column6721" numFmtId="0">
      <sharedItems containsNonDate="0" containsString="0" containsBlank="1"/>
    </cacheField>
    <cacheField name="Column6722" numFmtId="0">
      <sharedItems containsNonDate="0" containsString="0" containsBlank="1"/>
    </cacheField>
    <cacheField name="Column6723" numFmtId="0">
      <sharedItems containsNonDate="0" containsString="0" containsBlank="1"/>
    </cacheField>
    <cacheField name="Column6724" numFmtId="0">
      <sharedItems containsNonDate="0" containsString="0" containsBlank="1"/>
    </cacheField>
    <cacheField name="Column6725" numFmtId="0">
      <sharedItems containsNonDate="0" containsString="0" containsBlank="1"/>
    </cacheField>
    <cacheField name="Column6726" numFmtId="0">
      <sharedItems containsNonDate="0" containsString="0" containsBlank="1"/>
    </cacheField>
    <cacheField name="Column6727" numFmtId="0">
      <sharedItems containsNonDate="0" containsString="0" containsBlank="1"/>
    </cacheField>
    <cacheField name="Column6728" numFmtId="0">
      <sharedItems containsNonDate="0" containsString="0" containsBlank="1"/>
    </cacheField>
    <cacheField name="Column6729" numFmtId="0">
      <sharedItems containsNonDate="0" containsString="0" containsBlank="1"/>
    </cacheField>
    <cacheField name="Column6730" numFmtId="0">
      <sharedItems containsNonDate="0" containsString="0" containsBlank="1"/>
    </cacheField>
    <cacheField name="Column6731" numFmtId="0">
      <sharedItems containsNonDate="0" containsString="0" containsBlank="1"/>
    </cacheField>
    <cacheField name="Column6732" numFmtId="0">
      <sharedItems containsNonDate="0" containsString="0" containsBlank="1"/>
    </cacheField>
    <cacheField name="Column6733" numFmtId="0">
      <sharedItems containsNonDate="0" containsString="0" containsBlank="1"/>
    </cacheField>
    <cacheField name="Column6734" numFmtId="0">
      <sharedItems containsNonDate="0" containsString="0" containsBlank="1"/>
    </cacheField>
    <cacheField name="Column6735" numFmtId="0">
      <sharedItems containsNonDate="0" containsString="0" containsBlank="1"/>
    </cacheField>
    <cacheField name="Column6736" numFmtId="0">
      <sharedItems containsNonDate="0" containsString="0" containsBlank="1"/>
    </cacheField>
    <cacheField name="Column6737" numFmtId="0">
      <sharedItems containsNonDate="0" containsString="0" containsBlank="1"/>
    </cacheField>
    <cacheField name="Column6738" numFmtId="0">
      <sharedItems containsNonDate="0" containsString="0" containsBlank="1"/>
    </cacheField>
    <cacheField name="Column6739" numFmtId="0">
      <sharedItems containsNonDate="0" containsString="0" containsBlank="1"/>
    </cacheField>
    <cacheField name="Column6740" numFmtId="0">
      <sharedItems containsNonDate="0" containsString="0" containsBlank="1"/>
    </cacheField>
    <cacheField name="Column6741" numFmtId="0">
      <sharedItems containsNonDate="0" containsString="0" containsBlank="1"/>
    </cacheField>
    <cacheField name="Column6742" numFmtId="0">
      <sharedItems containsNonDate="0" containsString="0" containsBlank="1"/>
    </cacheField>
    <cacheField name="Column6743" numFmtId="0">
      <sharedItems containsNonDate="0" containsString="0" containsBlank="1"/>
    </cacheField>
    <cacheField name="Column6744" numFmtId="0">
      <sharedItems containsNonDate="0" containsString="0" containsBlank="1"/>
    </cacheField>
    <cacheField name="Column6745" numFmtId="0">
      <sharedItems containsNonDate="0" containsString="0" containsBlank="1"/>
    </cacheField>
    <cacheField name="Column6746" numFmtId="0">
      <sharedItems containsNonDate="0" containsString="0" containsBlank="1"/>
    </cacheField>
    <cacheField name="Column6747" numFmtId="0">
      <sharedItems containsNonDate="0" containsString="0" containsBlank="1"/>
    </cacheField>
    <cacheField name="Column6748" numFmtId="0">
      <sharedItems containsNonDate="0" containsString="0" containsBlank="1"/>
    </cacheField>
    <cacheField name="Column6749" numFmtId="0">
      <sharedItems containsNonDate="0" containsString="0" containsBlank="1"/>
    </cacheField>
    <cacheField name="Column6750" numFmtId="0">
      <sharedItems containsNonDate="0" containsString="0" containsBlank="1"/>
    </cacheField>
    <cacheField name="Column6751" numFmtId="0">
      <sharedItems containsNonDate="0" containsString="0" containsBlank="1"/>
    </cacheField>
    <cacheField name="Column6752" numFmtId="0">
      <sharedItems containsNonDate="0" containsString="0" containsBlank="1"/>
    </cacheField>
    <cacheField name="Column6753" numFmtId="0">
      <sharedItems containsNonDate="0" containsString="0" containsBlank="1"/>
    </cacheField>
    <cacheField name="Column6754" numFmtId="0">
      <sharedItems containsNonDate="0" containsString="0" containsBlank="1"/>
    </cacheField>
    <cacheField name="Column6755" numFmtId="0">
      <sharedItems containsNonDate="0" containsString="0" containsBlank="1"/>
    </cacheField>
    <cacheField name="Column6756" numFmtId="0">
      <sharedItems containsNonDate="0" containsString="0" containsBlank="1"/>
    </cacheField>
    <cacheField name="Column6757" numFmtId="0">
      <sharedItems containsNonDate="0" containsString="0" containsBlank="1"/>
    </cacheField>
    <cacheField name="Column6758" numFmtId="0">
      <sharedItems containsNonDate="0" containsString="0" containsBlank="1"/>
    </cacheField>
    <cacheField name="Column6759" numFmtId="0">
      <sharedItems containsNonDate="0" containsString="0" containsBlank="1"/>
    </cacheField>
    <cacheField name="Column6760" numFmtId="0">
      <sharedItems containsNonDate="0" containsString="0" containsBlank="1"/>
    </cacheField>
    <cacheField name="Column6761" numFmtId="0">
      <sharedItems containsNonDate="0" containsString="0" containsBlank="1"/>
    </cacheField>
    <cacheField name="Column6762" numFmtId="0">
      <sharedItems containsNonDate="0" containsString="0" containsBlank="1"/>
    </cacheField>
    <cacheField name="Column6763" numFmtId="0">
      <sharedItems containsNonDate="0" containsString="0" containsBlank="1"/>
    </cacheField>
    <cacheField name="Column6764" numFmtId="0">
      <sharedItems containsNonDate="0" containsString="0" containsBlank="1"/>
    </cacheField>
    <cacheField name="Column6765" numFmtId="0">
      <sharedItems containsNonDate="0" containsString="0" containsBlank="1"/>
    </cacheField>
    <cacheField name="Column6766" numFmtId="0">
      <sharedItems containsNonDate="0" containsString="0" containsBlank="1"/>
    </cacheField>
    <cacheField name="Column6767" numFmtId="0">
      <sharedItems containsNonDate="0" containsString="0" containsBlank="1"/>
    </cacheField>
    <cacheField name="Column6768" numFmtId="0">
      <sharedItems containsNonDate="0" containsString="0" containsBlank="1"/>
    </cacheField>
    <cacheField name="Column6769" numFmtId="0">
      <sharedItems containsNonDate="0" containsString="0" containsBlank="1"/>
    </cacheField>
    <cacheField name="Column6770" numFmtId="0">
      <sharedItems containsNonDate="0" containsString="0" containsBlank="1"/>
    </cacheField>
    <cacheField name="Column6771" numFmtId="0">
      <sharedItems containsNonDate="0" containsString="0" containsBlank="1"/>
    </cacheField>
    <cacheField name="Column6772" numFmtId="0">
      <sharedItems containsNonDate="0" containsString="0" containsBlank="1"/>
    </cacheField>
    <cacheField name="Column6773" numFmtId="0">
      <sharedItems containsNonDate="0" containsString="0" containsBlank="1"/>
    </cacheField>
    <cacheField name="Column6774" numFmtId="0">
      <sharedItems containsNonDate="0" containsString="0" containsBlank="1"/>
    </cacheField>
    <cacheField name="Column6775" numFmtId="0">
      <sharedItems containsNonDate="0" containsString="0" containsBlank="1"/>
    </cacheField>
    <cacheField name="Column6776" numFmtId="0">
      <sharedItems containsNonDate="0" containsString="0" containsBlank="1"/>
    </cacheField>
    <cacheField name="Column6777" numFmtId="0">
      <sharedItems containsNonDate="0" containsString="0" containsBlank="1"/>
    </cacheField>
    <cacheField name="Column6778" numFmtId="0">
      <sharedItems containsNonDate="0" containsString="0" containsBlank="1"/>
    </cacheField>
    <cacheField name="Column6779" numFmtId="0">
      <sharedItems containsNonDate="0" containsString="0" containsBlank="1"/>
    </cacheField>
    <cacheField name="Column6780" numFmtId="0">
      <sharedItems containsNonDate="0" containsString="0" containsBlank="1"/>
    </cacheField>
    <cacheField name="Column6781" numFmtId="0">
      <sharedItems containsNonDate="0" containsString="0" containsBlank="1"/>
    </cacheField>
    <cacheField name="Column6782" numFmtId="0">
      <sharedItems containsNonDate="0" containsString="0" containsBlank="1"/>
    </cacheField>
    <cacheField name="Column6783" numFmtId="0">
      <sharedItems containsNonDate="0" containsString="0" containsBlank="1"/>
    </cacheField>
    <cacheField name="Column6784" numFmtId="0">
      <sharedItems containsNonDate="0" containsString="0" containsBlank="1"/>
    </cacheField>
    <cacheField name="Column6785" numFmtId="0">
      <sharedItems containsNonDate="0" containsString="0" containsBlank="1"/>
    </cacheField>
    <cacheField name="Column6786" numFmtId="0">
      <sharedItems containsNonDate="0" containsString="0" containsBlank="1"/>
    </cacheField>
    <cacheField name="Column6787" numFmtId="0">
      <sharedItems containsNonDate="0" containsString="0" containsBlank="1"/>
    </cacheField>
    <cacheField name="Column6788" numFmtId="0">
      <sharedItems containsNonDate="0" containsString="0" containsBlank="1"/>
    </cacheField>
    <cacheField name="Column6789" numFmtId="0">
      <sharedItems containsNonDate="0" containsString="0" containsBlank="1"/>
    </cacheField>
    <cacheField name="Column6790" numFmtId="0">
      <sharedItems containsNonDate="0" containsString="0" containsBlank="1"/>
    </cacheField>
    <cacheField name="Column6791" numFmtId="0">
      <sharedItems containsNonDate="0" containsString="0" containsBlank="1"/>
    </cacheField>
    <cacheField name="Column6792" numFmtId="0">
      <sharedItems containsNonDate="0" containsString="0" containsBlank="1"/>
    </cacheField>
    <cacheField name="Column6793" numFmtId="0">
      <sharedItems containsNonDate="0" containsString="0" containsBlank="1"/>
    </cacheField>
    <cacheField name="Column6794" numFmtId="0">
      <sharedItems containsNonDate="0" containsString="0" containsBlank="1"/>
    </cacheField>
    <cacheField name="Column6795" numFmtId="0">
      <sharedItems containsNonDate="0" containsString="0" containsBlank="1"/>
    </cacheField>
    <cacheField name="Column6796" numFmtId="0">
      <sharedItems containsNonDate="0" containsString="0" containsBlank="1"/>
    </cacheField>
    <cacheField name="Column6797" numFmtId="0">
      <sharedItems containsNonDate="0" containsString="0" containsBlank="1"/>
    </cacheField>
    <cacheField name="Column6798" numFmtId="0">
      <sharedItems containsNonDate="0" containsString="0" containsBlank="1"/>
    </cacheField>
    <cacheField name="Column6799" numFmtId="0">
      <sharedItems containsNonDate="0" containsString="0" containsBlank="1"/>
    </cacheField>
    <cacheField name="Column6800" numFmtId="0">
      <sharedItems containsNonDate="0" containsString="0" containsBlank="1"/>
    </cacheField>
    <cacheField name="Column6801" numFmtId="0">
      <sharedItems containsNonDate="0" containsString="0" containsBlank="1"/>
    </cacheField>
    <cacheField name="Column6802" numFmtId="0">
      <sharedItems containsNonDate="0" containsString="0" containsBlank="1"/>
    </cacheField>
    <cacheField name="Column6803" numFmtId="0">
      <sharedItems containsNonDate="0" containsString="0" containsBlank="1"/>
    </cacheField>
    <cacheField name="Column6804" numFmtId="0">
      <sharedItems containsNonDate="0" containsString="0" containsBlank="1"/>
    </cacheField>
    <cacheField name="Column6805" numFmtId="0">
      <sharedItems containsNonDate="0" containsString="0" containsBlank="1"/>
    </cacheField>
    <cacheField name="Column6806" numFmtId="0">
      <sharedItems containsNonDate="0" containsString="0" containsBlank="1"/>
    </cacheField>
    <cacheField name="Column6807" numFmtId="0">
      <sharedItems containsNonDate="0" containsString="0" containsBlank="1"/>
    </cacheField>
    <cacheField name="Column6808" numFmtId="0">
      <sharedItems containsNonDate="0" containsString="0" containsBlank="1"/>
    </cacheField>
    <cacheField name="Column6809" numFmtId="0">
      <sharedItems containsNonDate="0" containsString="0" containsBlank="1"/>
    </cacheField>
    <cacheField name="Column6810" numFmtId="0">
      <sharedItems containsNonDate="0" containsString="0" containsBlank="1"/>
    </cacheField>
    <cacheField name="Column6811" numFmtId="0">
      <sharedItems containsNonDate="0" containsString="0" containsBlank="1"/>
    </cacheField>
    <cacheField name="Column6812" numFmtId="0">
      <sharedItems containsNonDate="0" containsString="0" containsBlank="1"/>
    </cacheField>
    <cacheField name="Column6813" numFmtId="0">
      <sharedItems containsNonDate="0" containsString="0" containsBlank="1"/>
    </cacheField>
    <cacheField name="Column6814" numFmtId="0">
      <sharedItems containsNonDate="0" containsString="0" containsBlank="1"/>
    </cacheField>
    <cacheField name="Column6815" numFmtId="0">
      <sharedItems containsNonDate="0" containsString="0" containsBlank="1"/>
    </cacheField>
    <cacheField name="Column6816" numFmtId="0">
      <sharedItems containsNonDate="0" containsString="0" containsBlank="1"/>
    </cacheField>
    <cacheField name="Column6817" numFmtId="0">
      <sharedItems containsNonDate="0" containsString="0" containsBlank="1"/>
    </cacheField>
    <cacheField name="Column6818" numFmtId="0">
      <sharedItems containsNonDate="0" containsString="0" containsBlank="1"/>
    </cacheField>
    <cacheField name="Column6819" numFmtId="0">
      <sharedItems containsNonDate="0" containsString="0" containsBlank="1"/>
    </cacheField>
    <cacheField name="Column6820" numFmtId="0">
      <sharedItems containsNonDate="0" containsString="0" containsBlank="1"/>
    </cacheField>
    <cacheField name="Column6821" numFmtId="0">
      <sharedItems containsNonDate="0" containsString="0" containsBlank="1"/>
    </cacheField>
    <cacheField name="Column6822" numFmtId="0">
      <sharedItems containsNonDate="0" containsString="0" containsBlank="1"/>
    </cacheField>
    <cacheField name="Column6823" numFmtId="0">
      <sharedItems containsNonDate="0" containsString="0" containsBlank="1"/>
    </cacheField>
    <cacheField name="Column6824" numFmtId="0">
      <sharedItems containsNonDate="0" containsString="0" containsBlank="1"/>
    </cacheField>
    <cacheField name="Column6825" numFmtId="0">
      <sharedItems containsNonDate="0" containsString="0" containsBlank="1"/>
    </cacheField>
    <cacheField name="Column6826" numFmtId="0">
      <sharedItems containsNonDate="0" containsString="0" containsBlank="1"/>
    </cacheField>
    <cacheField name="Column6827" numFmtId="0">
      <sharedItems containsNonDate="0" containsString="0" containsBlank="1"/>
    </cacheField>
    <cacheField name="Column6828" numFmtId="0">
      <sharedItems containsNonDate="0" containsString="0" containsBlank="1"/>
    </cacheField>
    <cacheField name="Column6829" numFmtId="0">
      <sharedItems containsNonDate="0" containsString="0" containsBlank="1"/>
    </cacheField>
    <cacheField name="Column6830" numFmtId="0">
      <sharedItems containsNonDate="0" containsString="0" containsBlank="1"/>
    </cacheField>
    <cacheField name="Column6831" numFmtId="0">
      <sharedItems containsNonDate="0" containsString="0" containsBlank="1"/>
    </cacheField>
    <cacheField name="Column6832" numFmtId="0">
      <sharedItems containsNonDate="0" containsString="0" containsBlank="1"/>
    </cacheField>
    <cacheField name="Column6833" numFmtId="0">
      <sharedItems containsNonDate="0" containsString="0" containsBlank="1"/>
    </cacheField>
    <cacheField name="Column6834" numFmtId="0">
      <sharedItems containsNonDate="0" containsString="0" containsBlank="1"/>
    </cacheField>
    <cacheField name="Column6835" numFmtId="0">
      <sharedItems containsNonDate="0" containsString="0" containsBlank="1"/>
    </cacheField>
    <cacheField name="Column6836" numFmtId="0">
      <sharedItems containsNonDate="0" containsString="0" containsBlank="1"/>
    </cacheField>
    <cacheField name="Column6837" numFmtId="0">
      <sharedItems containsNonDate="0" containsString="0" containsBlank="1"/>
    </cacheField>
    <cacheField name="Column6838" numFmtId="0">
      <sharedItems containsNonDate="0" containsString="0" containsBlank="1"/>
    </cacheField>
    <cacheField name="Column6839" numFmtId="0">
      <sharedItems containsNonDate="0" containsString="0" containsBlank="1"/>
    </cacheField>
    <cacheField name="Column6840" numFmtId="0">
      <sharedItems containsNonDate="0" containsString="0" containsBlank="1"/>
    </cacheField>
    <cacheField name="Column6841" numFmtId="0">
      <sharedItems containsNonDate="0" containsString="0" containsBlank="1"/>
    </cacheField>
    <cacheField name="Column6842" numFmtId="0">
      <sharedItems containsNonDate="0" containsString="0" containsBlank="1"/>
    </cacheField>
    <cacheField name="Column6843" numFmtId="0">
      <sharedItems containsNonDate="0" containsString="0" containsBlank="1"/>
    </cacheField>
    <cacheField name="Column6844" numFmtId="0">
      <sharedItems containsNonDate="0" containsString="0" containsBlank="1"/>
    </cacheField>
    <cacheField name="Column6845" numFmtId="0">
      <sharedItems containsNonDate="0" containsString="0" containsBlank="1"/>
    </cacheField>
    <cacheField name="Column6846" numFmtId="0">
      <sharedItems containsNonDate="0" containsString="0" containsBlank="1"/>
    </cacheField>
    <cacheField name="Column6847" numFmtId="0">
      <sharedItems containsNonDate="0" containsString="0" containsBlank="1"/>
    </cacheField>
    <cacheField name="Column6848" numFmtId="0">
      <sharedItems containsNonDate="0" containsString="0" containsBlank="1"/>
    </cacheField>
    <cacheField name="Column6849" numFmtId="0">
      <sharedItems containsNonDate="0" containsString="0" containsBlank="1"/>
    </cacheField>
    <cacheField name="Column6850" numFmtId="0">
      <sharedItems containsNonDate="0" containsString="0" containsBlank="1"/>
    </cacheField>
    <cacheField name="Column6851" numFmtId="0">
      <sharedItems containsNonDate="0" containsString="0" containsBlank="1"/>
    </cacheField>
    <cacheField name="Column6852" numFmtId="0">
      <sharedItems containsNonDate="0" containsString="0" containsBlank="1"/>
    </cacheField>
    <cacheField name="Column6853" numFmtId="0">
      <sharedItems containsNonDate="0" containsString="0" containsBlank="1"/>
    </cacheField>
    <cacheField name="Column6854" numFmtId="0">
      <sharedItems containsNonDate="0" containsString="0" containsBlank="1"/>
    </cacheField>
    <cacheField name="Column6855" numFmtId="0">
      <sharedItems containsNonDate="0" containsString="0" containsBlank="1"/>
    </cacheField>
    <cacheField name="Column6856" numFmtId="0">
      <sharedItems containsNonDate="0" containsString="0" containsBlank="1"/>
    </cacheField>
    <cacheField name="Column6857" numFmtId="0">
      <sharedItems containsNonDate="0" containsString="0" containsBlank="1"/>
    </cacheField>
    <cacheField name="Column6858" numFmtId="0">
      <sharedItems containsNonDate="0" containsString="0" containsBlank="1"/>
    </cacheField>
    <cacheField name="Column6859" numFmtId="0">
      <sharedItems containsNonDate="0" containsString="0" containsBlank="1"/>
    </cacheField>
    <cacheField name="Column6860" numFmtId="0">
      <sharedItems containsNonDate="0" containsString="0" containsBlank="1"/>
    </cacheField>
    <cacheField name="Column6861" numFmtId="0">
      <sharedItems containsNonDate="0" containsString="0" containsBlank="1"/>
    </cacheField>
    <cacheField name="Column6862" numFmtId="0">
      <sharedItems containsNonDate="0" containsString="0" containsBlank="1"/>
    </cacheField>
    <cacheField name="Column6863" numFmtId="0">
      <sharedItems containsNonDate="0" containsString="0" containsBlank="1"/>
    </cacheField>
    <cacheField name="Column6864" numFmtId="0">
      <sharedItems containsNonDate="0" containsString="0" containsBlank="1"/>
    </cacheField>
    <cacheField name="Column6865" numFmtId="0">
      <sharedItems containsNonDate="0" containsString="0" containsBlank="1"/>
    </cacheField>
    <cacheField name="Column6866" numFmtId="0">
      <sharedItems containsNonDate="0" containsString="0" containsBlank="1"/>
    </cacheField>
    <cacheField name="Column6867" numFmtId="0">
      <sharedItems containsNonDate="0" containsString="0" containsBlank="1"/>
    </cacheField>
    <cacheField name="Column6868" numFmtId="0">
      <sharedItems containsNonDate="0" containsString="0" containsBlank="1"/>
    </cacheField>
    <cacheField name="Column6869" numFmtId="0">
      <sharedItems containsNonDate="0" containsString="0" containsBlank="1"/>
    </cacheField>
    <cacheField name="Column6870" numFmtId="0">
      <sharedItems containsNonDate="0" containsString="0" containsBlank="1"/>
    </cacheField>
    <cacheField name="Column6871" numFmtId="0">
      <sharedItems containsNonDate="0" containsString="0" containsBlank="1"/>
    </cacheField>
    <cacheField name="Column6872" numFmtId="0">
      <sharedItems containsNonDate="0" containsString="0" containsBlank="1"/>
    </cacheField>
    <cacheField name="Column6873" numFmtId="0">
      <sharedItems containsNonDate="0" containsString="0" containsBlank="1"/>
    </cacheField>
    <cacheField name="Column6874" numFmtId="0">
      <sharedItems containsNonDate="0" containsString="0" containsBlank="1"/>
    </cacheField>
    <cacheField name="Column6875" numFmtId="0">
      <sharedItems containsNonDate="0" containsString="0" containsBlank="1"/>
    </cacheField>
    <cacheField name="Column6876" numFmtId="0">
      <sharedItems containsNonDate="0" containsString="0" containsBlank="1"/>
    </cacheField>
    <cacheField name="Column6877" numFmtId="0">
      <sharedItems containsNonDate="0" containsString="0" containsBlank="1"/>
    </cacheField>
    <cacheField name="Column6878" numFmtId="0">
      <sharedItems containsNonDate="0" containsString="0" containsBlank="1"/>
    </cacheField>
    <cacheField name="Column6879" numFmtId="0">
      <sharedItems containsNonDate="0" containsString="0" containsBlank="1"/>
    </cacheField>
    <cacheField name="Column6880" numFmtId="0">
      <sharedItems containsNonDate="0" containsString="0" containsBlank="1"/>
    </cacheField>
    <cacheField name="Column6881" numFmtId="0">
      <sharedItems containsNonDate="0" containsString="0" containsBlank="1"/>
    </cacheField>
    <cacheField name="Column6882" numFmtId="0">
      <sharedItems containsNonDate="0" containsString="0" containsBlank="1"/>
    </cacheField>
    <cacheField name="Column6883" numFmtId="0">
      <sharedItems containsNonDate="0" containsString="0" containsBlank="1"/>
    </cacheField>
    <cacheField name="Column6884" numFmtId="0">
      <sharedItems containsNonDate="0" containsString="0" containsBlank="1"/>
    </cacheField>
    <cacheField name="Column6885" numFmtId="0">
      <sharedItems containsNonDate="0" containsString="0" containsBlank="1"/>
    </cacheField>
    <cacheField name="Column6886" numFmtId="0">
      <sharedItems containsNonDate="0" containsString="0" containsBlank="1"/>
    </cacheField>
    <cacheField name="Column6887" numFmtId="0">
      <sharedItems containsNonDate="0" containsString="0" containsBlank="1"/>
    </cacheField>
    <cacheField name="Column6888" numFmtId="0">
      <sharedItems containsNonDate="0" containsString="0" containsBlank="1"/>
    </cacheField>
    <cacheField name="Column6889" numFmtId="0">
      <sharedItems containsNonDate="0" containsString="0" containsBlank="1"/>
    </cacheField>
    <cacheField name="Column6890" numFmtId="0">
      <sharedItems containsNonDate="0" containsString="0" containsBlank="1"/>
    </cacheField>
    <cacheField name="Column6891" numFmtId="0">
      <sharedItems containsNonDate="0" containsString="0" containsBlank="1"/>
    </cacheField>
    <cacheField name="Column6892" numFmtId="0">
      <sharedItems containsNonDate="0" containsString="0" containsBlank="1"/>
    </cacheField>
    <cacheField name="Column6893" numFmtId="0">
      <sharedItems containsNonDate="0" containsString="0" containsBlank="1"/>
    </cacheField>
    <cacheField name="Column6894" numFmtId="0">
      <sharedItems containsNonDate="0" containsString="0" containsBlank="1"/>
    </cacheField>
    <cacheField name="Column6895" numFmtId="0">
      <sharedItems containsNonDate="0" containsString="0" containsBlank="1"/>
    </cacheField>
    <cacheField name="Column6896" numFmtId="0">
      <sharedItems containsNonDate="0" containsString="0" containsBlank="1"/>
    </cacheField>
    <cacheField name="Column6897" numFmtId="0">
      <sharedItems containsNonDate="0" containsString="0" containsBlank="1"/>
    </cacheField>
    <cacheField name="Column6898" numFmtId="0">
      <sharedItems containsNonDate="0" containsString="0" containsBlank="1"/>
    </cacheField>
    <cacheField name="Column6899" numFmtId="0">
      <sharedItems containsNonDate="0" containsString="0" containsBlank="1"/>
    </cacheField>
    <cacheField name="Column6900" numFmtId="0">
      <sharedItems containsNonDate="0" containsString="0" containsBlank="1"/>
    </cacheField>
    <cacheField name="Column6901" numFmtId="0">
      <sharedItems containsNonDate="0" containsString="0" containsBlank="1"/>
    </cacheField>
    <cacheField name="Column6902" numFmtId="0">
      <sharedItems containsNonDate="0" containsString="0" containsBlank="1"/>
    </cacheField>
    <cacheField name="Column6903" numFmtId="0">
      <sharedItems containsNonDate="0" containsString="0" containsBlank="1"/>
    </cacheField>
    <cacheField name="Column6904" numFmtId="0">
      <sharedItems containsNonDate="0" containsString="0" containsBlank="1"/>
    </cacheField>
    <cacheField name="Column6905" numFmtId="0">
      <sharedItems containsNonDate="0" containsString="0" containsBlank="1"/>
    </cacheField>
    <cacheField name="Column6906" numFmtId="0">
      <sharedItems containsNonDate="0" containsString="0" containsBlank="1"/>
    </cacheField>
    <cacheField name="Column6907" numFmtId="0">
      <sharedItems containsNonDate="0" containsString="0" containsBlank="1"/>
    </cacheField>
    <cacheField name="Column6908" numFmtId="0">
      <sharedItems containsNonDate="0" containsString="0" containsBlank="1"/>
    </cacheField>
    <cacheField name="Column6909" numFmtId="0">
      <sharedItems containsNonDate="0" containsString="0" containsBlank="1"/>
    </cacheField>
    <cacheField name="Column6910" numFmtId="0">
      <sharedItems containsNonDate="0" containsString="0" containsBlank="1"/>
    </cacheField>
    <cacheField name="Column6911" numFmtId="0">
      <sharedItems containsNonDate="0" containsString="0" containsBlank="1"/>
    </cacheField>
    <cacheField name="Column6912" numFmtId="0">
      <sharedItems containsNonDate="0" containsString="0" containsBlank="1"/>
    </cacheField>
    <cacheField name="Column6913" numFmtId="0">
      <sharedItems containsNonDate="0" containsString="0" containsBlank="1"/>
    </cacheField>
    <cacheField name="Column6914" numFmtId="0">
      <sharedItems containsNonDate="0" containsString="0" containsBlank="1"/>
    </cacheField>
    <cacheField name="Column6915" numFmtId="0">
      <sharedItems containsNonDate="0" containsString="0" containsBlank="1"/>
    </cacheField>
    <cacheField name="Column6916" numFmtId="0">
      <sharedItems containsNonDate="0" containsString="0" containsBlank="1"/>
    </cacheField>
    <cacheField name="Column6917" numFmtId="0">
      <sharedItems containsNonDate="0" containsString="0" containsBlank="1"/>
    </cacheField>
    <cacheField name="Column6918" numFmtId="0">
      <sharedItems containsNonDate="0" containsString="0" containsBlank="1"/>
    </cacheField>
    <cacheField name="Column6919" numFmtId="0">
      <sharedItems containsNonDate="0" containsString="0" containsBlank="1"/>
    </cacheField>
    <cacheField name="Column6920" numFmtId="0">
      <sharedItems containsNonDate="0" containsString="0" containsBlank="1"/>
    </cacheField>
    <cacheField name="Column6921" numFmtId="0">
      <sharedItems containsNonDate="0" containsString="0" containsBlank="1"/>
    </cacheField>
    <cacheField name="Column6922" numFmtId="0">
      <sharedItems containsNonDate="0" containsString="0" containsBlank="1"/>
    </cacheField>
    <cacheField name="Column6923" numFmtId="0">
      <sharedItems containsNonDate="0" containsString="0" containsBlank="1"/>
    </cacheField>
    <cacheField name="Column6924" numFmtId="0">
      <sharedItems containsNonDate="0" containsString="0" containsBlank="1"/>
    </cacheField>
    <cacheField name="Column6925" numFmtId="0">
      <sharedItems containsNonDate="0" containsString="0" containsBlank="1"/>
    </cacheField>
    <cacheField name="Column6926" numFmtId="0">
      <sharedItems containsNonDate="0" containsString="0" containsBlank="1"/>
    </cacheField>
    <cacheField name="Column6927" numFmtId="0">
      <sharedItems containsNonDate="0" containsString="0" containsBlank="1"/>
    </cacheField>
    <cacheField name="Column6928" numFmtId="0">
      <sharedItems containsNonDate="0" containsString="0" containsBlank="1"/>
    </cacheField>
    <cacheField name="Column6929" numFmtId="0">
      <sharedItems containsNonDate="0" containsString="0" containsBlank="1"/>
    </cacheField>
    <cacheField name="Column6930" numFmtId="0">
      <sharedItems containsNonDate="0" containsString="0" containsBlank="1"/>
    </cacheField>
    <cacheField name="Column6931" numFmtId="0">
      <sharedItems containsNonDate="0" containsString="0" containsBlank="1"/>
    </cacheField>
    <cacheField name="Column6932" numFmtId="0">
      <sharedItems containsNonDate="0" containsString="0" containsBlank="1"/>
    </cacheField>
    <cacheField name="Column6933" numFmtId="0">
      <sharedItems containsNonDate="0" containsString="0" containsBlank="1"/>
    </cacheField>
    <cacheField name="Column6934" numFmtId="0">
      <sharedItems containsNonDate="0" containsString="0" containsBlank="1"/>
    </cacheField>
    <cacheField name="Column6935" numFmtId="0">
      <sharedItems containsNonDate="0" containsString="0" containsBlank="1"/>
    </cacheField>
    <cacheField name="Column6936" numFmtId="0">
      <sharedItems containsNonDate="0" containsString="0" containsBlank="1"/>
    </cacheField>
    <cacheField name="Column6937" numFmtId="0">
      <sharedItems containsNonDate="0" containsString="0" containsBlank="1"/>
    </cacheField>
    <cacheField name="Column6938" numFmtId="0">
      <sharedItems containsNonDate="0" containsString="0" containsBlank="1"/>
    </cacheField>
    <cacheField name="Column6939" numFmtId="0">
      <sharedItems containsNonDate="0" containsString="0" containsBlank="1"/>
    </cacheField>
    <cacheField name="Column6940" numFmtId="0">
      <sharedItems containsNonDate="0" containsString="0" containsBlank="1"/>
    </cacheField>
    <cacheField name="Column6941" numFmtId="0">
      <sharedItems containsNonDate="0" containsString="0" containsBlank="1"/>
    </cacheField>
    <cacheField name="Column6942" numFmtId="0">
      <sharedItems containsNonDate="0" containsString="0" containsBlank="1"/>
    </cacheField>
    <cacheField name="Column6943" numFmtId="0">
      <sharedItems containsNonDate="0" containsString="0" containsBlank="1"/>
    </cacheField>
    <cacheField name="Column6944" numFmtId="0">
      <sharedItems containsNonDate="0" containsString="0" containsBlank="1"/>
    </cacheField>
    <cacheField name="Column6945" numFmtId="0">
      <sharedItems containsNonDate="0" containsString="0" containsBlank="1"/>
    </cacheField>
    <cacheField name="Column6946" numFmtId="0">
      <sharedItems containsNonDate="0" containsString="0" containsBlank="1"/>
    </cacheField>
    <cacheField name="Column6947" numFmtId="0">
      <sharedItems containsNonDate="0" containsString="0" containsBlank="1"/>
    </cacheField>
    <cacheField name="Column6948" numFmtId="0">
      <sharedItems containsNonDate="0" containsString="0" containsBlank="1"/>
    </cacheField>
    <cacheField name="Column6949" numFmtId="0">
      <sharedItems containsNonDate="0" containsString="0" containsBlank="1"/>
    </cacheField>
    <cacheField name="Column6950" numFmtId="0">
      <sharedItems containsNonDate="0" containsString="0" containsBlank="1"/>
    </cacheField>
    <cacheField name="Column6951" numFmtId="0">
      <sharedItems containsNonDate="0" containsString="0" containsBlank="1"/>
    </cacheField>
    <cacheField name="Column6952" numFmtId="0">
      <sharedItems containsNonDate="0" containsString="0" containsBlank="1"/>
    </cacheField>
    <cacheField name="Column6953" numFmtId="0">
      <sharedItems containsNonDate="0" containsString="0" containsBlank="1"/>
    </cacheField>
    <cacheField name="Column6954" numFmtId="0">
      <sharedItems containsNonDate="0" containsString="0" containsBlank="1"/>
    </cacheField>
    <cacheField name="Column6955" numFmtId="0">
      <sharedItems containsNonDate="0" containsString="0" containsBlank="1"/>
    </cacheField>
    <cacheField name="Column6956" numFmtId="0">
      <sharedItems containsNonDate="0" containsString="0" containsBlank="1"/>
    </cacheField>
    <cacheField name="Column6957" numFmtId="0">
      <sharedItems containsNonDate="0" containsString="0" containsBlank="1"/>
    </cacheField>
    <cacheField name="Column6958" numFmtId="0">
      <sharedItems containsNonDate="0" containsString="0" containsBlank="1"/>
    </cacheField>
    <cacheField name="Column6959" numFmtId="0">
      <sharedItems containsNonDate="0" containsString="0" containsBlank="1"/>
    </cacheField>
    <cacheField name="Column6960" numFmtId="0">
      <sharedItems containsNonDate="0" containsString="0" containsBlank="1"/>
    </cacheField>
    <cacheField name="Column6961" numFmtId="0">
      <sharedItems containsNonDate="0" containsString="0" containsBlank="1"/>
    </cacheField>
    <cacheField name="Column6962" numFmtId="0">
      <sharedItems containsNonDate="0" containsString="0" containsBlank="1"/>
    </cacheField>
    <cacheField name="Column6963" numFmtId="0">
      <sharedItems containsNonDate="0" containsString="0" containsBlank="1"/>
    </cacheField>
    <cacheField name="Column6964" numFmtId="0">
      <sharedItems containsNonDate="0" containsString="0" containsBlank="1"/>
    </cacheField>
    <cacheField name="Column6965" numFmtId="0">
      <sharedItems containsNonDate="0" containsString="0" containsBlank="1"/>
    </cacheField>
    <cacheField name="Column6966" numFmtId="0">
      <sharedItems containsNonDate="0" containsString="0" containsBlank="1"/>
    </cacheField>
    <cacheField name="Column6967" numFmtId="0">
      <sharedItems containsNonDate="0" containsString="0" containsBlank="1"/>
    </cacheField>
    <cacheField name="Column6968" numFmtId="0">
      <sharedItems containsNonDate="0" containsString="0" containsBlank="1"/>
    </cacheField>
    <cacheField name="Column6969" numFmtId="0">
      <sharedItems containsNonDate="0" containsString="0" containsBlank="1"/>
    </cacheField>
    <cacheField name="Column6970" numFmtId="0">
      <sharedItems containsNonDate="0" containsString="0" containsBlank="1"/>
    </cacheField>
    <cacheField name="Column6971" numFmtId="0">
      <sharedItems containsNonDate="0" containsString="0" containsBlank="1"/>
    </cacheField>
    <cacheField name="Column6972" numFmtId="0">
      <sharedItems containsNonDate="0" containsString="0" containsBlank="1"/>
    </cacheField>
    <cacheField name="Column6973" numFmtId="0">
      <sharedItems containsNonDate="0" containsString="0" containsBlank="1"/>
    </cacheField>
    <cacheField name="Column6974" numFmtId="0">
      <sharedItems containsNonDate="0" containsString="0" containsBlank="1"/>
    </cacheField>
    <cacheField name="Column6975" numFmtId="0">
      <sharedItems containsNonDate="0" containsString="0" containsBlank="1"/>
    </cacheField>
    <cacheField name="Column6976" numFmtId="0">
      <sharedItems containsNonDate="0" containsString="0" containsBlank="1"/>
    </cacheField>
    <cacheField name="Column6977" numFmtId="0">
      <sharedItems containsNonDate="0" containsString="0" containsBlank="1"/>
    </cacheField>
    <cacheField name="Column6978" numFmtId="0">
      <sharedItems containsNonDate="0" containsString="0" containsBlank="1"/>
    </cacheField>
    <cacheField name="Column6979" numFmtId="0">
      <sharedItems containsNonDate="0" containsString="0" containsBlank="1"/>
    </cacheField>
    <cacheField name="Column6980" numFmtId="0">
      <sharedItems containsNonDate="0" containsString="0" containsBlank="1"/>
    </cacheField>
    <cacheField name="Column6981" numFmtId="0">
      <sharedItems containsNonDate="0" containsString="0" containsBlank="1"/>
    </cacheField>
    <cacheField name="Column6982" numFmtId="0">
      <sharedItems containsNonDate="0" containsString="0" containsBlank="1"/>
    </cacheField>
    <cacheField name="Column6983" numFmtId="0">
      <sharedItems containsNonDate="0" containsString="0" containsBlank="1"/>
    </cacheField>
    <cacheField name="Column6984" numFmtId="0">
      <sharedItems containsNonDate="0" containsString="0" containsBlank="1"/>
    </cacheField>
    <cacheField name="Column6985" numFmtId="0">
      <sharedItems containsNonDate="0" containsString="0" containsBlank="1"/>
    </cacheField>
    <cacheField name="Column6986" numFmtId="0">
      <sharedItems containsNonDate="0" containsString="0" containsBlank="1"/>
    </cacheField>
    <cacheField name="Column6987" numFmtId="0">
      <sharedItems containsNonDate="0" containsString="0" containsBlank="1"/>
    </cacheField>
    <cacheField name="Column6988" numFmtId="0">
      <sharedItems containsNonDate="0" containsString="0" containsBlank="1"/>
    </cacheField>
    <cacheField name="Column6989" numFmtId="0">
      <sharedItems containsNonDate="0" containsString="0" containsBlank="1"/>
    </cacheField>
    <cacheField name="Column6990" numFmtId="0">
      <sharedItems containsNonDate="0" containsString="0" containsBlank="1"/>
    </cacheField>
    <cacheField name="Column6991" numFmtId="0">
      <sharedItems containsNonDate="0" containsString="0" containsBlank="1"/>
    </cacheField>
    <cacheField name="Column6992" numFmtId="0">
      <sharedItems containsNonDate="0" containsString="0" containsBlank="1"/>
    </cacheField>
    <cacheField name="Column6993" numFmtId="0">
      <sharedItems containsNonDate="0" containsString="0" containsBlank="1"/>
    </cacheField>
    <cacheField name="Column6994" numFmtId="0">
      <sharedItems containsNonDate="0" containsString="0" containsBlank="1"/>
    </cacheField>
    <cacheField name="Column6995" numFmtId="0">
      <sharedItems containsNonDate="0" containsString="0" containsBlank="1"/>
    </cacheField>
    <cacheField name="Column6996" numFmtId="0">
      <sharedItems containsNonDate="0" containsString="0" containsBlank="1"/>
    </cacheField>
    <cacheField name="Column6997" numFmtId="0">
      <sharedItems containsNonDate="0" containsString="0" containsBlank="1"/>
    </cacheField>
    <cacheField name="Column6998" numFmtId="0">
      <sharedItems containsNonDate="0" containsString="0" containsBlank="1"/>
    </cacheField>
    <cacheField name="Column6999" numFmtId="0">
      <sharedItems containsNonDate="0" containsString="0" containsBlank="1"/>
    </cacheField>
    <cacheField name="Column7000" numFmtId="0">
      <sharedItems containsNonDate="0" containsString="0" containsBlank="1"/>
    </cacheField>
    <cacheField name="Column7001" numFmtId="0">
      <sharedItems containsNonDate="0" containsString="0" containsBlank="1"/>
    </cacheField>
    <cacheField name="Column7002" numFmtId="0">
      <sharedItems containsNonDate="0" containsString="0" containsBlank="1"/>
    </cacheField>
    <cacheField name="Column7003" numFmtId="0">
      <sharedItems containsNonDate="0" containsString="0" containsBlank="1"/>
    </cacheField>
    <cacheField name="Column7004" numFmtId="0">
      <sharedItems containsNonDate="0" containsString="0" containsBlank="1"/>
    </cacheField>
    <cacheField name="Column7005" numFmtId="0">
      <sharedItems containsNonDate="0" containsString="0" containsBlank="1"/>
    </cacheField>
    <cacheField name="Column7006" numFmtId="0">
      <sharedItems containsNonDate="0" containsString="0" containsBlank="1"/>
    </cacheField>
    <cacheField name="Column7007" numFmtId="0">
      <sharedItems containsNonDate="0" containsString="0" containsBlank="1"/>
    </cacheField>
    <cacheField name="Column7008" numFmtId="0">
      <sharedItems containsNonDate="0" containsString="0" containsBlank="1"/>
    </cacheField>
    <cacheField name="Column7009" numFmtId="0">
      <sharedItems containsNonDate="0" containsString="0" containsBlank="1"/>
    </cacheField>
    <cacheField name="Column7010" numFmtId="0">
      <sharedItems containsNonDate="0" containsString="0" containsBlank="1"/>
    </cacheField>
    <cacheField name="Column7011" numFmtId="0">
      <sharedItems containsNonDate="0" containsString="0" containsBlank="1"/>
    </cacheField>
    <cacheField name="Column7012" numFmtId="0">
      <sharedItems containsNonDate="0" containsString="0" containsBlank="1"/>
    </cacheField>
    <cacheField name="Column7013" numFmtId="0">
      <sharedItems containsNonDate="0" containsString="0" containsBlank="1"/>
    </cacheField>
    <cacheField name="Column7014" numFmtId="0">
      <sharedItems containsNonDate="0" containsString="0" containsBlank="1"/>
    </cacheField>
    <cacheField name="Column7015" numFmtId="0">
      <sharedItems containsNonDate="0" containsString="0" containsBlank="1"/>
    </cacheField>
    <cacheField name="Column7016" numFmtId="0">
      <sharedItems containsNonDate="0" containsString="0" containsBlank="1"/>
    </cacheField>
    <cacheField name="Column7017" numFmtId="0">
      <sharedItems containsNonDate="0" containsString="0" containsBlank="1"/>
    </cacheField>
    <cacheField name="Column7018" numFmtId="0">
      <sharedItems containsNonDate="0" containsString="0" containsBlank="1"/>
    </cacheField>
    <cacheField name="Column7019" numFmtId="0">
      <sharedItems containsNonDate="0" containsString="0" containsBlank="1"/>
    </cacheField>
    <cacheField name="Column7020" numFmtId="0">
      <sharedItems containsNonDate="0" containsString="0" containsBlank="1"/>
    </cacheField>
    <cacheField name="Column7021" numFmtId="0">
      <sharedItems containsNonDate="0" containsString="0" containsBlank="1"/>
    </cacheField>
    <cacheField name="Column7022" numFmtId="0">
      <sharedItems containsNonDate="0" containsString="0" containsBlank="1"/>
    </cacheField>
    <cacheField name="Column7023" numFmtId="0">
      <sharedItems containsNonDate="0" containsString="0" containsBlank="1"/>
    </cacheField>
    <cacheField name="Column7024" numFmtId="0">
      <sharedItems containsNonDate="0" containsString="0" containsBlank="1"/>
    </cacheField>
    <cacheField name="Column7025" numFmtId="0">
      <sharedItems containsNonDate="0" containsString="0" containsBlank="1"/>
    </cacheField>
    <cacheField name="Column7026" numFmtId="0">
      <sharedItems containsNonDate="0" containsString="0" containsBlank="1"/>
    </cacheField>
    <cacheField name="Column7027" numFmtId="0">
      <sharedItems containsNonDate="0" containsString="0" containsBlank="1"/>
    </cacheField>
    <cacheField name="Column7028" numFmtId="0">
      <sharedItems containsNonDate="0" containsString="0" containsBlank="1"/>
    </cacheField>
    <cacheField name="Column7029" numFmtId="0">
      <sharedItems containsNonDate="0" containsString="0" containsBlank="1"/>
    </cacheField>
    <cacheField name="Column7030" numFmtId="0">
      <sharedItems containsNonDate="0" containsString="0" containsBlank="1"/>
    </cacheField>
    <cacheField name="Column7031" numFmtId="0">
      <sharedItems containsNonDate="0" containsString="0" containsBlank="1"/>
    </cacheField>
    <cacheField name="Column7032" numFmtId="0">
      <sharedItems containsNonDate="0" containsString="0" containsBlank="1"/>
    </cacheField>
    <cacheField name="Column7033" numFmtId="0">
      <sharedItems containsNonDate="0" containsString="0" containsBlank="1"/>
    </cacheField>
    <cacheField name="Column7034" numFmtId="0">
      <sharedItems containsNonDate="0" containsString="0" containsBlank="1"/>
    </cacheField>
    <cacheField name="Column7035" numFmtId="0">
      <sharedItems containsNonDate="0" containsString="0" containsBlank="1"/>
    </cacheField>
    <cacheField name="Column7036" numFmtId="0">
      <sharedItems containsNonDate="0" containsString="0" containsBlank="1"/>
    </cacheField>
    <cacheField name="Column7037" numFmtId="0">
      <sharedItems containsNonDate="0" containsString="0" containsBlank="1"/>
    </cacheField>
    <cacheField name="Column7038" numFmtId="0">
      <sharedItems containsNonDate="0" containsString="0" containsBlank="1"/>
    </cacheField>
    <cacheField name="Column7039" numFmtId="0">
      <sharedItems containsNonDate="0" containsString="0" containsBlank="1"/>
    </cacheField>
    <cacheField name="Column7040" numFmtId="0">
      <sharedItems containsNonDate="0" containsString="0" containsBlank="1"/>
    </cacheField>
    <cacheField name="Column7041" numFmtId="0">
      <sharedItems containsNonDate="0" containsString="0" containsBlank="1"/>
    </cacheField>
    <cacheField name="Column7042" numFmtId="0">
      <sharedItems containsNonDate="0" containsString="0" containsBlank="1"/>
    </cacheField>
    <cacheField name="Column7043" numFmtId="0">
      <sharedItems containsNonDate="0" containsString="0" containsBlank="1"/>
    </cacheField>
    <cacheField name="Column7044" numFmtId="0">
      <sharedItems containsNonDate="0" containsString="0" containsBlank="1"/>
    </cacheField>
    <cacheField name="Column7045" numFmtId="0">
      <sharedItems containsNonDate="0" containsString="0" containsBlank="1"/>
    </cacheField>
    <cacheField name="Column7046" numFmtId="0">
      <sharedItems containsNonDate="0" containsString="0" containsBlank="1"/>
    </cacheField>
    <cacheField name="Column7047" numFmtId="0">
      <sharedItems containsNonDate="0" containsString="0" containsBlank="1"/>
    </cacheField>
    <cacheField name="Column7048" numFmtId="0">
      <sharedItems containsNonDate="0" containsString="0" containsBlank="1"/>
    </cacheField>
    <cacheField name="Column7049" numFmtId="0">
      <sharedItems containsNonDate="0" containsString="0" containsBlank="1"/>
    </cacheField>
    <cacheField name="Column7050" numFmtId="0">
      <sharedItems containsNonDate="0" containsString="0" containsBlank="1"/>
    </cacheField>
    <cacheField name="Column7051" numFmtId="0">
      <sharedItems containsNonDate="0" containsString="0" containsBlank="1"/>
    </cacheField>
    <cacheField name="Column7052" numFmtId="0">
      <sharedItems containsNonDate="0" containsString="0" containsBlank="1"/>
    </cacheField>
    <cacheField name="Column7053" numFmtId="0">
      <sharedItems containsNonDate="0" containsString="0" containsBlank="1"/>
    </cacheField>
    <cacheField name="Column7054" numFmtId="0">
      <sharedItems containsNonDate="0" containsString="0" containsBlank="1"/>
    </cacheField>
    <cacheField name="Column7055" numFmtId="0">
      <sharedItems containsNonDate="0" containsString="0" containsBlank="1"/>
    </cacheField>
    <cacheField name="Column7056" numFmtId="0">
      <sharedItems containsNonDate="0" containsString="0" containsBlank="1"/>
    </cacheField>
    <cacheField name="Column7057" numFmtId="0">
      <sharedItems containsNonDate="0" containsString="0" containsBlank="1"/>
    </cacheField>
    <cacheField name="Column7058" numFmtId="0">
      <sharedItems containsNonDate="0" containsString="0" containsBlank="1"/>
    </cacheField>
    <cacheField name="Column7059" numFmtId="0">
      <sharedItems containsNonDate="0" containsString="0" containsBlank="1"/>
    </cacheField>
    <cacheField name="Column7060" numFmtId="0">
      <sharedItems containsNonDate="0" containsString="0" containsBlank="1"/>
    </cacheField>
    <cacheField name="Column7061" numFmtId="0">
      <sharedItems containsNonDate="0" containsString="0" containsBlank="1"/>
    </cacheField>
    <cacheField name="Column7062" numFmtId="0">
      <sharedItems containsNonDate="0" containsString="0" containsBlank="1"/>
    </cacheField>
    <cacheField name="Column7063" numFmtId="0">
      <sharedItems containsNonDate="0" containsString="0" containsBlank="1"/>
    </cacheField>
    <cacheField name="Column7064" numFmtId="0">
      <sharedItems containsNonDate="0" containsString="0" containsBlank="1"/>
    </cacheField>
    <cacheField name="Column7065" numFmtId="0">
      <sharedItems containsNonDate="0" containsString="0" containsBlank="1"/>
    </cacheField>
    <cacheField name="Column7066" numFmtId="0">
      <sharedItems containsNonDate="0" containsString="0" containsBlank="1"/>
    </cacheField>
    <cacheField name="Column7067" numFmtId="0">
      <sharedItems containsNonDate="0" containsString="0" containsBlank="1"/>
    </cacheField>
    <cacheField name="Column7068" numFmtId="0">
      <sharedItems containsNonDate="0" containsString="0" containsBlank="1"/>
    </cacheField>
    <cacheField name="Column7069" numFmtId="0">
      <sharedItems containsNonDate="0" containsString="0" containsBlank="1"/>
    </cacheField>
    <cacheField name="Column7070" numFmtId="0">
      <sharedItems containsNonDate="0" containsString="0" containsBlank="1"/>
    </cacheField>
    <cacheField name="Column7071" numFmtId="0">
      <sharedItems containsNonDate="0" containsString="0" containsBlank="1"/>
    </cacheField>
    <cacheField name="Column7072" numFmtId="0">
      <sharedItems containsNonDate="0" containsString="0" containsBlank="1"/>
    </cacheField>
    <cacheField name="Column7073" numFmtId="0">
      <sharedItems containsNonDate="0" containsString="0" containsBlank="1"/>
    </cacheField>
    <cacheField name="Column7074" numFmtId="0">
      <sharedItems containsNonDate="0" containsString="0" containsBlank="1"/>
    </cacheField>
    <cacheField name="Column7075" numFmtId="0">
      <sharedItems containsNonDate="0" containsString="0" containsBlank="1"/>
    </cacheField>
    <cacheField name="Column7076" numFmtId="0">
      <sharedItems containsNonDate="0" containsString="0" containsBlank="1"/>
    </cacheField>
    <cacheField name="Column7077" numFmtId="0">
      <sharedItems containsNonDate="0" containsString="0" containsBlank="1"/>
    </cacheField>
    <cacheField name="Column7078" numFmtId="0">
      <sharedItems containsNonDate="0" containsString="0" containsBlank="1"/>
    </cacheField>
    <cacheField name="Column7079" numFmtId="0">
      <sharedItems containsNonDate="0" containsString="0" containsBlank="1"/>
    </cacheField>
    <cacheField name="Column7080" numFmtId="0">
      <sharedItems containsNonDate="0" containsString="0" containsBlank="1"/>
    </cacheField>
    <cacheField name="Column7081" numFmtId="0">
      <sharedItems containsNonDate="0" containsString="0" containsBlank="1"/>
    </cacheField>
    <cacheField name="Column7082" numFmtId="0">
      <sharedItems containsNonDate="0" containsString="0" containsBlank="1"/>
    </cacheField>
    <cacheField name="Column7083" numFmtId="0">
      <sharedItems containsNonDate="0" containsString="0" containsBlank="1"/>
    </cacheField>
    <cacheField name="Column7084" numFmtId="0">
      <sharedItems containsNonDate="0" containsString="0" containsBlank="1"/>
    </cacheField>
    <cacheField name="Column7085" numFmtId="0">
      <sharedItems containsNonDate="0" containsString="0" containsBlank="1"/>
    </cacheField>
    <cacheField name="Column7086" numFmtId="0">
      <sharedItems containsNonDate="0" containsString="0" containsBlank="1"/>
    </cacheField>
    <cacheField name="Column7087" numFmtId="0">
      <sharedItems containsNonDate="0" containsString="0" containsBlank="1"/>
    </cacheField>
    <cacheField name="Column7088" numFmtId="0">
      <sharedItems containsNonDate="0" containsString="0" containsBlank="1"/>
    </cacheField>
    <cacheField name="Column7089" numFmtId="0">
      <sharedItems containsNonDate="0" containsString="0" containsBlank="1"/>
    </cacheField>
    <cacheField name="Column7090" numFmtId="0">
      <sharedItems containsNonDate="0" containsString="0" containsBlank="1"/>
    </cacheField>
    <cacheField name="Column7091" numFmtId="0">
      <sharedItems containsNonDate="0" containsString="0" containsBlank="1"/>
    </cacheField>
    <cacheField name="Column7092" numFmtId="0">
      <sharedItems containsNonDate="0" containsString="0" containsBlank="1"/>
    </cacheField>
    <cacheField name="Column7093" numFmtId="0">
      <sharedItems containsNonDate="0" containsString="0" containsBlank="1"/>
    </cacheField>
    <cacheField name="Column7094" numFmtId="0">
      <sharedItems containsNonDate="0" containsString="0" containsBlank="1"/>
    </cacheField>
    <cacheField name="Column7095" numFmtId="0">
      <sharedItems containsNonDate="0" containsString="0" containsBlank="1"/>
    </cacheField>
    <cacheField name="Column7096" numFmtId="0">
      <sharedItems containsNonDate="0" containsString="0" containsBlank="1"/>
    </cacheField>
    <cacheField name="Column7097" numFmtId="0">
      <sharedItems containsNonDate="0" containsString="0" containsBlank="1"/>
    </cacheField>
    <cacheField name="Column7098" numFmtId="0">
      <sharedItems containsNonDate="0" containsString="0" containsBlank="1"/>
    </cacheField>
    <cacheField name="Column7099" numFmtId="0">
      <sharedItems containsNonDate="0" containsString="0" containsBlank="1"/>
    </cacheField>
    <cacheField name="Column7100" numFmtId="0">
      <sharedItems containsNonDate="0" containsString="0" containsBlank="1"/>
    </cacheField>
    <cacheField name="Column7101" numFmtId="0">
      <sharedItems containsNonDate="0" containsString="0" containsBlank="1"/>
    </cacheField>
    <cacheField name="Column7102" numFmtId="0">
      <sharedItems containsNonDate="0" containsString="0" containsBlank="1"/>
    </cacheField>
    <cacheField name="Column7103" numFmtId="0">
      <sharedItems containsNonDate="0" containsString="0" containsBlank="1"/>
    </cacheField>
    <cacheField name="Column7104" numFmtId="0">
      <sharedItems containsNonDate="0" containsString="0" containsBlank="1"/>
    </cacheField>
    <cacheField name="Column7105" numFmtId="0">
      <sharedItems containsNonDate="0" containsString="0" containsBlank="1"/>
    </cacheField>
    <cacheField name="Column7106" numFmtId="0">
      <sharedItems containsNonDate="0" containsString="0" containsBlank="1"/>
    </cacheField>
    <cacheField name="Column7107" numFmtId="0">
      <sharedItems containsNonDate="0" containsString="0" containsBlank="1"/>
    </cacheField>
    <cacheField name="Column7108" numFmtId="0">
      <sharedItems containsNonDate="0" containsString="0" containsBlank="1"/>
    </cacheField>
    <cacheField name="Column7109" numFmtId="0">
      <sharedItems containsNonDate="0" containsString="0" containsBlank="1"/>
    </cacheField>
    <cacheField name="Column7110" numFmtId="0">
      <sharedItems containsNonDate="0" containsString="0" containsBlank="1"/>
    </cacheField>
    <cacheField name="Column7111" numFmtId="0">
      <sharedItems containsNonDate="0" containsString="0" containsBlank="1"/>
    </cacheField>
    <cacheField name="Column7112" numFmtId="0">
      <sharedItems containsNonDate="0" containsString="0" containsBlank="1"/>
    </cacheField>
    <cacheField name="Column7113" numFmtId="0">
      <sharedItems containsNonDate="0" containsString="0" containsBlank="1"/>
    </cacheField>
    <cacheField name="Column7114" numFmtId="0">
      <sharedItems containsNonDate="0" containsString="0" containsBlank="1"/>
    </cacheField>
    <cacheField name="Column7115" numFmtId="0">
      <sharedItems containsNonDate="0" containsString="0" containsBlank="1"/>
    </cacheField>
    <cacheField name="Column7116" numFmtId="0">
      <sharedItems containsNonDate="0" containsString="0" containsBlank="1"/>
    </cacheField>
    <cacheField name="Column7117" numFmtId="0">
      <sharedItems containsNonDate="0" containsString="0" containsBlank="1"/>
    </cacheField>
    <cacheField name="Column7118" numFmtId="0">
      <sharedItems containsNonDate="0" containsString="0" containsBlank="1"/>
    </cacheField>
    <cacheField name="Column7119" numFmtId="0">
      <sharedItems containsNonDate="0" containsString="0" containsBlank="1"/>
    </cacheField>
    <cacheField name="Column7120" numFmtId="0">
      <sharedItems containsNonDate="0" containsString="0" containsBlank="1"/>
    </cacheField>
    <cacheField name="Column7121" numFmtId="0">
      <sharedItems containsNonDate="0" containsString="0" containsBlank="1"/>
    </cacheField>
    <cacheField name="Column7122" numFmtId="0">
      <sharedItems containsNonDate="0" containsString="0" containsBlank="1"/>
    </cacheField>
    <cacheField name="Column7123" numFmtId="0">
      <sharedItems containsNonDate="0" containsString="0" containsBlank="1"/>
    </cacheField>
    <cacheField name="Column7124" numFmtId="0">
      <sharedItems containsNonDate="0" containsString="0" containsBlank="1"/>
    </cacheField>
    <cacheField name="Column7125" numFmtId="0">
      <sharedItems containsNonDate="0" containsString="0" containsBlank="1"/>
    </cacheField>
    <cacheField name="Column7126" numFmtId="0">
      <sharedItems containsNonDate="0" containsString="0" containsBlank="1"/>
    </cacheField>
    <cacheField name="Column7127" numFmtId="0">
      <sharedItems containsNonDate="0" containsString="0" containsBlank="1"/>
    </cacheField>
    <cacheField name="Column7128" numFmtId="0">
      <sharedItems containsNonDate="0" containsString="0" containsBlank="1"/>
    </cacheField>
    <cacheField name="Column7129" numFmtId="0">
      <sharedItems containsNonDate="0" containsString="0" containsBlank="1"/>
    </cacheField>
    <cacheField name="Column7130" numFmtId="0">
      <sharedItems containsNonDate="0" containsString="0" containsBlank="1"/>
    </cacheField>
    <cacheField name="Column7131" numFmtId="0">
      <sharedItems containsNonDate="0" containsString="0" containsBlank="1"/>
    </cacheField>
    <cacheField name="Column7132" numFmtId="0">
      <sharedItems containsNonDate="0" containsString="0" containsBlank="1"/>
    </cacheField>
    <cacheField name="Column7133" numFmtId="0">
      <sharedItems containsNonDate="0" containsString="0" containsBlank="1"/>
    </cacheField>
    <cacheField name="Column7134" numFmtId="0">
      <sharedItems containsNonDate="0" containsString="0" containsBlank="1"/>
    </cacheField>
    <cacheField name="Column7135" numFmtId="0">
      <sharedItems containsNonDate="0" containsString="0" containsBlank="1"/>
    </cacheField>
    <cacheField name="Column7136" numFmtId="0">
      <sharedItems containsNonDate="0" containsString="0" containsBlank="1"/>
    </cacheField>
    <cacheField name="Column7137" numFmtId="0">
      <sharedItems containsNonDate="0" containsString="0" containsBlank="1"/>
    </cacheField>
    <cacheField name="Column7138" numFmtId="0">
      <sharedItems containsNonDate="0" containsString="0" containsBlank="1"/>
    </cacheField>
    <cacheField name="Column7139" numFmtId="0">
      <sharedItems containsNonDate="0" containsString="0" containsBlank="1"/>
    </cacheField>
    <cacheField name="Column7140" numFmtId="0">
      <sharedItems containsNonDate="0" containsString="0" containsBlank="1"/>
    </cacheField>
    <cacheField name="Column7141" numFmtId="0">
      <sharedItems containsNonDate="0" containsString="0" containsBlank="1"/>
    </cacheField>
    <cacheField name="Column7142" numFmtId="0">
      <sharedItems containsNonDate="0" containsString="0" containsBlank="1"/>
    </cacheField>
    <cacheField name="Column7143" numFmtId="0">
      <sharedItems containsNonDate="0" containsString="0" containsBlank="1"/>
    </cacheField>
    <cacheField name="Column7144" numFmtId="0">
      <sharedItems containsNonDate="0" containsString="0" containsBlank="1"/>
    </cacheField>
    <cacheField name="Column7145" numFmtId="0">
      <sharedItems containsNonDate="0" containsString="0" containsBlank="1"/>
    </cacheField>
    <cacheField name="Column7146" numFmtId="0">
      <sharedItems containsNonDate="0" containsString="0" containsBlank="1"/>
    </cacheField>
    <cacheField name="Column7147" numFmtId="0">
      <sharedItems containsNonDate="0" containsString="0" containsBlank="1"/>
    </cacheField>
    <cacheField name="Column7148" numFmtId="0">
      <sharedItems containsNonDate="0" containsString="0" containsBlank="1"/>
    </cacheField>
    <cacheField name="Column7149" numFmtId="0">
      <sharedItems containsNonDate="0" containsString="0" containsBlank="1"/>
    </cacheField>
    <cacheField name="Column7150" numFmtId="0">
      <sharedItems containsNonDate="0" containsString="0" containsBlank="1"/>
    </cacheField>
    <cacheField name="Column7151" numFmtId="0">
      <sharedItems containsNonDate="0" containsString="0" containsBlank="1"/>
    </cacheField>
    <cacheField name="Column7152" numFmtId="0">
      <sharedItems containsNonDate="0" containsString="0" containsBlank="1"/>
    </cacheField>
    <cacheField name="Column7153" numFmtId="0">
      <sharedItems containsNonDate="0" containsString="0" containsBlank="1"/>
    </cacheField>
    <cacheField name="Column7154" numFmtId="0">
      <sharedItems containsNonDate="0" containsString="0" containsBlank="1"/>
    </cacheField>
    <cacheField name="Column7155" numFmtId="0">
      <sharedItems containsNonDate="0" containsString="0" containsBlank="1"/>
    </cacheField>
    <cacheField name="Column7156" numFmtId="0">
      <sharedItems containsNonDate="0" containsString="0" containsBlank="1"/>
    </cacheField>
    <cacheField name="Column7157" numFmtId="0">
      <sharedItems containsNonDate="0" containsString="0" containsBlank="1"/>
    </cacheField>
    <cacheField name="Column7158" numFmtId="0">
      <sharedItems containsNonDate="0" containsString="0" containsBlank="1"/>
    </cacheField>
    <cacheField name="Column7159" numFmtId="0">
      <sharedItems containsNonDate="0" containsString="0" containsBlank="1"/>
    </cacheField>
    <cacheField name="Column7160" numFmtId="0">
      <sharedItems containsNonDate="0" containsString="0" containsBlank="1"/>
    </cacheField>
    <cacheField name="Column7161" numFmtId="0">
      <sharedItems containsNonDate="0" containsString="0" containsBlank="1"/>
    </cacheField>
    <cacheField name="Column7162" numFmtId="0">
      <sharedItems containsNonDate="0" containsString="0" containsBlank="1"/>
    </cacheField>
    <cacheField name="Column7163" numFmtId="0">
      <sharedItems containsNonDate="0" containsString="0" containsBlank="1"/>
    </cacheField>
    <cacheField name="Column7164" numFmtId="0">
      <sharedItems containsNonDate="0" containsString="0" containsBlank="1"/>
    </cacheField>
    <cacheField name="Column7165" numFmtId="0">
      <sharedItems containsNonDate="0" containsString="0" containsBlank="1"/>
    </cacheField>
    <cacheField name="Column7166" numFmtId="0">
      <sharedItems containsNonDate="0" containsString="0" containsBlank="1"/>
    </cacheField>
    <cacheField name="Column7167" numFmtId="0">
      <sharedItems containsNonDate="0" containsString="0" containsBlank="1"/>
    </cacheField>
    <cacheField name="Column7168" numFmtId="0">
      <sharedItems containsNonDate="0" containsString="0" containsBlank="1"/>
    </cacheField>
    <cacheField name="Column7169" numFmtId="0">
      <sharedItems containsNonDate="0" containsString="0" containsBlank="1"/>
    </cacheField>
    <cacheField name="Column7170" numFmtId="0">
      <sharedItems containsNonDate="0" containsString="0" containsBlank="1"/>
    </cacheField>
    <cacheField name="Column7171" numFmtId="0">
      <sharedItems containsNonDate="0" containsString="0" containsBlank="1"/>
    </cacheField>
    <cacheField name="Column7172" numFmtId="0">
      <sharedItems containsNonDate="0" containsString="0" containsBlank="1"/>
    </cacheField>
    <cacheField name="Column7173" numFmtId="0">
      <sharedItems containsNonDate="0" containsString="0" containsBlank="1"/>
    </cacheField>
    <cacheField name="Column7174" numFmtId="0">
      <sharedItems containsNonDate="0" containsString="0" containsBlank="1"/>
    </cacheField>
    <cacheField name="Column7175" numFmtId="0">
      <sharedItems containsNonDate="0" containsString="0" containsBlank="1"/>
    </cacheField>
    <cacheField name="Column7176" numFmtId="0">
      <sharedItems containsNonDate="0" containsString="0" containsBlank="1"/>
    </cacheField>
    <cacheField name="Column7177" numFmtId="0">
      <sharedItems containsNonDate="0" containsString="0" containsBlank="1"/>
    </cacheField>
    <cacheField name="Column7178" numFmtId="0">
      <sharedItems containsNonDate="0" containsString="0" containsBlank="1"/>
    </cacheField>
    <cacheField name="Column7179" numFmtId="0">
      <sharedItems containsNonDate="0" containsString="0" containsBlank="1"/>
    </cacheField>
    <cacheField name="Column7180" numFmtId="0">
      <sharedItems containsNonDate="0" containsString="0" containsBlank="1"/>
    </cacheField>
    <cacheField name="Column7181" numFmtId="0">
      <sharedItems containsNonDate="0" containsString="0" containsBlank="1"/>
    </cacheField>
    <cacheField name="Column7182" numFmtId="0">
      <sharedItems containsNonDate="0" containsString="0" containsBlank="1"/>
    </cacheField>
    <cacheField name="Column7183" numFmtId="0">
      <sharedItems containsNonDate="0" containsString="0" containsBlank="1"/>
    </cacheField>
    <cacheField name="Column7184" numFmtId="0">
      <sharedItems containsNonDate="0" containsString="0" containsBlank="1"/>
    </cacheField>
    <cacheField name="Column7185" numFmtId="0">
      <sharedItems containsNonDate="0" containsString="0" containsBlank="1"/>
    </cacheField>
    <cacheField name="Column7186" numFmtId="0">
      <sharedItems containsNonDate="0" containsString="0" containsBlank="1"/>
    </cacheField>
    <cacheField name="Column7187" numFmtId="0">
      <sharedItems containsNonDate="0" containsString="0" containsBlank="1"/>
    </cacheField>
    <cacheField name="Column7188" numFmtId="0">
      <sharedItems containsNonDate="0" containsString="0" containsBlank="1"/>
    </cacheField>
    <cacheField name="Column7189" numFmtId="0">
      <sharedItems containsNonDate="0" containsString="0" containsBlank="1"/>
    </cacheField>
    <cacheField name="Column7190" numFmtId="0">
      <sharedItems containsNonDate="0" containsString="0" containsBlank="1"/>
    </cacheField>
    <cacheField name="Column7191" numFmtId="0">
      <sharedItems containsNonDate="0" containsString="0" containsBlank="1"/>
    </cacheField>
    <cacheField name="Column7192" numFmtId="0">
      <sharedItems containsNonDate="0" containsString="0" containsBlank="1"/>
    </cacheField>
    <cacheField name="Column7193" numFmtId="0">
      <sharedItems containsNonDate="0" containsString="0" containsBlank="1"/>
    </cacheField>
    <cacheField name="Column7194" numFmtId="0">
      <sharedItems containsNonDate="0" containsString="0" containsBlank="1"/>
    </cacheField>
    <cacheField name="Column7195" numFmtId="0">
      <sharedItems containsNonDate="0" containsString="0" containsBlank="1"/>
    </cacheField>
    <cacheField name="Column7196" numFmtId="0">
      <sharedItems containsNonDate="0" containsString="0" containsBlank="1"/>
    </cacheField>
    <cacheField name="Column7197" numFmtId="0">
      <sharedItems containsNonDate="0" containsString="0" containsBlank="1"/>
    </cacheField>
    <cacheField name="Column7198" numFmtId="0">
      <sharedItems containsNonDate="0" containsString="0" containsBlank="1"/>
    </cacheField>
    <cacheField name="Column7199" numFmtId="0">
      <sharedItems containsNonDate="0" containsString="0" containsBlank="1"/>
    </cacheField>
    <cacheField name="Column7200" numFmtId="0">
      <sharedItems containsNonDate="0" containsString="0" containsBlank="1"/>
    </cacheField>
    <cacheField name="Column7201" numFmtId="0">
      <sharedItems containsNonDate="0" containsString="0" containsBlank="1"/>
    </cacheField>
    <cacheField name="Column7202" numFmtId="0">
      <sharedItems containsNonDate="0" containsString="0" containsBlank="1"/>
    </cacheField>
    <cacheField name="Column7203" numFmtId="0">
      <sharedItems containsNonDate="0" containsString="0" containsBlank="1"/>
    </cacheField>
    <cacheField name="Column7204" numFmtId="0">
      <sharedItems containsNonDate="0" containsString="0" containsBlank="1"/>
    </cacheField>
    <cacheField name="Column7205" numFmtId="0">
      <sharedItems containsNonDate="0" containsString="0" containsBlank="1"/>
    </cacheField>
    <cacheField name="Column7206" numFmtId="0">
      <sharedItems containsNonDate="0" containsString="0" containsBlank="1"/>
    </cacheField>
    <cacheField name="Column7207" numFmtId="0">
      <sharedItems containsNonDate="0" containsString="0" containsBlank="1"/>
    </cacheField>
    <cacheField name="Column7208" numFmtId="0">
      <sharedItems containsNonDate="0" containsString="0" containsBlank="1"/>
    </cacheField>
    <cacheField name="Column7209" numFmtId="0">
      <sharedItems containsNonDate="0" containsString="0" containsBlank="1"/>
    </cacheField>
    <cacheField name="Column7210" numFmtId="0">
      <sharedItems containsNonDate="0" containsString="0" containsBlank="1"/>
    </cacheField>
    <cacheField name="Column7211" numFmtId="0">
      <sharedItems containsNonDate="0" containsString="0" containsBlank="1"/>
    </cacheField>
    <cacheField name="Column7212" numFmtId="0">
      <sharedItems containsNonDate="0" containsString="0" containsBlank="1"/>
    </cacheField>
    <cacheField name="Column7213" numFmtId="0">
      <sharedItems containsNonDate="0" containsString="0" containsBlank="1"/>
    </cacheField>
    <cacheField name="Column7214" numFmtId="0">
      <sharedItems containsNonDate="0" containsString="0" containsBlank="1"/>
    </cacheField>
    <cacheField name="Column7215" numFmtId="0">
      <sharedItems containsNonDate="0" containsString="0" containsBlank="1"/>
    </cacheField>
    <cacheField name="Column7216" numFmtId="0">
      <sharedItems containsNonDate="0" containsString="0" containsBlank="1"/>
    </cacheField>
    <cacheField name="Column7217" numFmtId="0">
      <sharedItems containsNonDate="0" containsString="0" containsBlank="1"/>
    </cacheField>
    <cacheField name="Column7218" numFmtId="0">
      <sharedItems containsNonDate="0" containsString="0" containsBlank="1"/>
    </cacheField>
    <cacheField name="Column7219" numFmtId="0">
      <sharedItems containsNonDate="0" containsString="0" containsBlank="1"/>
    </cacheField>
    <cacheField name="Column7220" numFmtId="0">
      <sharedItems containsNonDate="0" containsString="0" containsBlank="1"/>
    </cacheField>
    <cacheField name="Column7221" numFmtId="0">
      <sharedItems containsNonDate="0" containsString="0" containsBlank="1"/>
    </cacheField>
    <cacheField name="Column7222" numFmtId="0">
      <sharedItems containsNonDate="0" containsString="0" containsBlank="1"/>
    </cacheField>
    <cacheField name="Column7223" numFmtId="0">
      <sharedItems containsNonDate="0" containsString="0" containsBlank="1"/>
    </cacheField>
    <cacheField name="Column7224" numFmtId="0">
      <sharedItems containsNonDate="0" containsString="0" containsBlank="1"/>
    </cacheField>
    <cacheField name="Column7225" numFmtId="0">
      <sharedItems containsNonDate="0" containsString="0" containsBlank="1"/>
    </cacheField>
    <cacheField name="Column7226" numFmtId="0">
      <sharedItems containsNonDate="0" containsString="0" containsBlank="1"/>
    </cacheField>
    <cacheField name="Column7227" numFmtId="0">
      <sharedItems containsNonDate="0" containsString="0" containsBlank="1"/>
    </cacheField>
    <cacheField name="Column7228" numFmtId="0">
      <sharedItems containsNonDate="0" containsString="0" containsBlank="1"/>
    </cacheField>
    <cacheField name="Column7229" numFmtId="0">
      <sharedItems containsNonDate="0" containsString="0" containsBlank="1"/>
    </cacheField>
    <cacheField name="Column7230" numFmtId="0">
      <sharedItems containsNonDate="0" containsString="0" containsBlank="1"/>
    </cacheField>
    <cacheField name="Column7231" numFmtId="0">
      <sharedItems containsNonDate="0" containsString="0" containsBlank="1"/>
    </cacheField>
    <cacheField name="Column7232" numFmtId="0">
      <sharedItems containsNonDate="0" containsString="0" containsBlank="1"/>
    </cacheField>
    <cacheField name="Column7233" numFmtId="0">
      <sharedItems containsNonDate="0" containsString="0" containsBlank="1"/>
    </cacheField>
    <cacheField name="Column7234" numFmtId="0">
      <sharedItems containsNonDate="0" containsString="0" containsBlank="1"/>
    </cacheField>
    <cacheField name="Column7235" numFmtId="0">
      <sharedItems containsNonDate="0" containsString="0" containsBlank="1"/>
    </cacheField>
    <cacheField name="Column7236" numFmtId="0">
      <sharedItems containsNonDate="0" containsString="0" containsBlank="1"/>
    </cacheField>
    <cacheField name="Column7237" numFmtId="0">
      <sharedItems containsNonDate="0" containsString="0" containsBlank="1"/>
    </cacheField>
    <cacheField name="Column7238" numFmtId="0">
      <sharedItems containsNonDate="0" containsString="0" containsBlank="1"/>
    </cacheField>
    <cacheField name="Column7239" numFmtId="0">
      <sharedItems containsNonDate="0" containsString="0" containsBlank="1"/>
    </cacheField>
    <cacheField name="Column7240" numFmtId="0">
      <sharedItems containsNonDate="0" containsString="0" containsBlank="1"/>
    </cacheField>
    <cacheField name="Column7241" numFmtId="0">
      <sharedItems containsNonDate="0" containsString="0" containsBlank="1"/>
    </cacheField>
    <cacheField name="Column7242" numFmtId="0">
      <sharedItems containsNonDate="0" containsString="0" containsBlank="1"/>
    </cacheField>
    <cacheField name="Column7243" numFmtId="0">
      <sharedItems containsNonDate="0" containsString="0" containsBlank="1"/>
    </cacheField>
    <cacheField name="Column7244" numFmtId="0">
      <sharedItems containsNonDate="0" containsString="0" containsBlank="1"/>
    </cacheField>
    <cacheField name="Column7245" numFmtId="0">
      <sharedItems containsNonDate="0" containsString="0" containsBlank="1"/>
    </cacheField>
    <cacheField name="Column7246" numFmtId="0">
      <sharedItems containsNonDate="0" containsString="0" containsBlank="1"/>
    </cacheField>
    <cacheField name="Column7247" numFmtId="0">
      <sharedItems containsNonDate="0" containsString="0" containsBlank="1"/>
    </cacheField>
    <cacheField name="Column7248" numFmtId="0">
      <sharedItems containsNonDate="0" containsString="0" containsBlank="1"/>
    </cacheField>
    <cacheField name="Column7249" numFmtId="0">
      <sharedItems containsNonDate="0" containsString="0" containsBlank="1"/>
    </cacheField>
    <cacheField name="Column7250" numFmtId="0">
      <sharedItems containsNonDate="0" containsString="0" containsBlank="1"/>
    </cacheField>
    <cacheField name="Column7251" numFmtId="0">
      <sharedItems containsNonDate="0" containsString="0" containsBlank="1"/>
    </cacheField>
    <cacheField name="Column7252" numFmtId="0">
      <sharedItems containsNonDate="0" containsString="0" containsBlank="1"/>
    </cacheField>
    <cacheField name="Column7253" numFmtId="0">
      <sharedItems containsNonDate="0" containsString="0" containsBlank="1"/>
    </cacheField>
    <cacheField name="Column7254" numFmtId="0">
      <sharedItems containsNonDate="0" containsString="0" containsBlank="1"/>
    </cacheField>
    <cacheField name="Column7255" numFmtId="0">
      <sharedItems containsNonDate="0" containsString="0" containsBlank="1"/>
    </cacheField>
    <cacheField name="Column7256" numFmtId="0">
      <sharedItems containsNonDate="0" containsString="0" containsBlank="1"/>
    </cacheField>
    <cacheField name="Column7257" numFmtId="0">
      <sharedItems containsNonDate="0" containsString="0" containsBlank="1"/>
    </cacheField>
    <cacheField name="Column7258" numFmtId="0">
      <sharedItems containsNonDate="0" containsString="0" containsBlank="1"/>
    </cacheField>
    <cacheField name="Column7259" numFmtId="0">
      <sharedItems containsNonDate="0" containsString="0" containsBlank="1"/>
    </cacheField>
    <cacheField name="Column7260" numFmtId="0">
      <sharedItems containsNonDate="0" containsString="0" containsBlank="1"/>
    </cacheField>
    <cacheField name="Column7261" numFmtId="0">
      <sharedItems containsNonDate="0" containsString="0" containsBlank="1"/>
    </cacheField>
    <cacheField name="Column7262" numFmtId="0">
      <sharedItems containsNonDate="0" containsString="0" containsBlank="1"/>
    </cacheField>
    <cacheField name="Column7263" numFmtId="0">
      <sharedItems containsNonDate="0" containsString="0" containsBlank="1"/>
    </cacheField>
    <cacheField name="Column7264" numFmtId="0">
      <sharedItems containsNonDate="0" containsString="0" containsBlank="1"/>
    </cacheField>
    <cacheField name="Column7265" numFmtId="0">
      <sharedItems containsNonDate="0" containsString="0" containsBlank="1"/>
    </cacheField>
    <cacheField name="Column7266" numFmtId="0">
      <sharedItems containsNonDate="0" containsString="0" containsBlank="1"/>
    </cacheField>
    <cacheField name="Column7267" numFmtId="0">
      <sharedItems containsNonDate="0" containsString="0" containsBlank="1"/>
    </cacheField>
    <cacheField name="Column7268" numFmtId="0">
      <sharedItems containsNonDate="0" containsString="0" containsBlank="1"/>
    </cacheField>
    <cacheField name="Column7269" numFmtId="0">
      <sharedItems containsNonDate="0" containsString="0" containsBlank="1"/>
    </cacheField>
    <cacheField name="Column7270" numFmtId="0">
      <sharedItems containsNonDate="0" containsString="0" containsBlank="1"/>
    </cacheField>
    <cacheField name="Column7271" numFmtId="0">
      <sharedItems containsNonDate="0" containsString="0" containsBlank="1"/>
    </cacheField>
    <cacheField name="Column7272" numFmtId="0">
      <sharedItems containsNonDate="0" containsString="0" containsBlank="1"/>
    </cacheField>
    <cacheField name="Column7273" numFmtId="0">
      <sharedItems containsNonDate="0" containsString="0" containsBlank="1"/>
    </cacheField>
    <cacheField name="Column7274" numFmtId="0">
      <sharedItems containsNonDate="0" containsString="0" containsBlank="1"/>
    </cacheField>
    <cacheField name="Column7275" numFmtId="0">
      <sharedItems containsNonDate="0" containsString="0" containsBlank="1"/>
    </cacheField>
    <cacheField name="Column7276" numFmtId="0">
      <sharedItems containsNonDate="0" containsString="0" containsBlank="1"/>
    </cacheField>
    <cacheField name="Column7277" numFmtId="0">
      <sharedItems containsNonDate="0" containsString="0" containsBlank="1"/>
    </cacheField>
    <cacheField name="Column7278" numFmtId="0">
      <sharedItems containsNonDate="0" containsString="0" containsBlank="1"/>
    </cacheField>
    <cacheField name="Column7279" numFmtId="0">
      <sharedItems containsNonDate="0" containsString="0" containsBlank="1"/>
    </cacheField>
    <cacheField name="Column7280" numFmtId="0">
      <sharedItems containsNonDate="0" containsString="0" containsBlank="1"/>
    </cacheField>
    <cacheField name="Column7281" numFmtId="0">
      <sharedItems containsNonDate="0" containsString="0" containsBlank="1"/>
    </cacheField>
    <cacheField name="Column7282" numFmtId="0">
      <sharedItems containsNonDate="0" containsString="0" containsBlank="1"/>
    </cacheField>
    <cacheField name="Column7283" numFmtId="0">
      <sharedItems containsNonDate="0" containsString="0" containsBlank="1"/>
    </cacheField>
    <cacheField name="Column7284" numFmtId="0">
      <sharedItems containsNonDate="0" containsString="0" containsBlank="1"/>
    </cacheField>
    <cacheField name="Column7285" numFmtId="0">
      <sharedItems containsNonDate="0" containsString="0" containsBlank="1"/>
    </cacheField>
    <cacheField name="Column7286" numFmtId="0">
      <sharedItems containsNonDate="0" containsString="0" containsBlank="1"/>
    </cacheField>
    <cacheField name="Column7287" numFmtId="0">
      <sharedItems containsNonDate="0" containsString="0" containsBlank="1"/>
    </cacheField>
    <cacheField name="Column7288" numFmtId="0">
      <sharedItems containsNonDate="0" containsString="0" containsBlank="1"/>
    </cacheField>
    <cacheField name="Column7289" numFmtId="0">
      <sharedItems containsNonDate="0" containsString="0" containsBlank="1"/>
    </cacheField>
    <cacheField name="Column7290" numFmtId="0">
      <sharedItems containsNonDate="0" containsString="0" containsBlank="1"/>
    </cacheField>
    <cacheField name="Column7291" numFmtId="0">
      <sharedItems containsNonDate="0" containsString="0" containsBlank="1"/>
    </cacheField>
    <cacheField name="Column7292" numFmtId="0">
      <sharedItems containsNonDate="0" containsString="0" containsBlank="1"/>
    </cacheField>
    <cacheField name="Column7293" numFmtId="0">
      <sharedItems containsNonDate="0" containsString="0" containsBlank="1"/>
    </cacheField>
    <cacheField name="Column7294" numFmtId="0">
      <sharedItems containsNonDate="0" containsString="0" containsBlank="1"/>
    </cacheField>
    <cacheField name="Column7295" numFmtId="0">
      <sharedItems containsNonDate="0" containsString="0" containsBlank="1"/>
    </cacheField>
    <cacheField name="Column7296" numFmtId="0">
      <sharedItems containsNonDate="0" containsString="0" containsBlank="1"/>
    </cacheField>
    <cacheField name="Column7297" numFmtId="0">
      <sharedItems containsNonDate="0" containsString="0" containsBlank="1"/>
    </cacheField>
    <cacheField name="Column7298" numFmtId="0">
      <sharedItems containsNonDate="0" containsString="0" containsBlank="1"/>
    </cacheField>
    <cacheField name="Column7299" numFmtId="0">
      <sharedItems containsNonDate="0" containsString="0" containsBlank="1"/>
    </cacheField>
    <cacheField name="Column7300" numFmtId="0">
      <sharedItems containsNonDate="0" containsString="0" containsBlank="1"/>
    </cacheField>
    <cacheField name="Column7301" numFmtId="0">
      <sharedItems containsNonDate="0" containsString="0" containsBlank="1"/>
    </cacheField>
    <cacheField name="Column7302" numFmtId="0">
      <sharedItems containsNonDate="0" containsString="0" containsBlank="1"/>
    </cacheField>
    <cacheField name="Column7303" numFmtId="0">
      <sharedItems containsNonDate="0" containsString="0" containsBlank="1"/>
    </cacheField>
    <cacheField name="Column7304" numFmtId="0">
      <sharedItems containsNonDate="0" containsString="0" containsBlank="1"/>
    </cacheField>
    <cacheField name="Column7305" numFmtId="0">
      <sharedItems containsNonDate="0" containsString="0" containsBlank="1"/>
    </cacheField>
    <cacheField name="Column7306" numFmtId="0">
      <sharedItems containsNonDate="0" containsString="0" containsBlank="1"/>
    </cacheField>
    <cacheField name="Column7307" numFmtId="0">
      <sharedItems containsNonDate="0" containsString="0" containsBlank="1"/>
    </cacheField>
    <cacheField name="Column7308" numFmtId="0">
      <sharedItems containsNonDate="0" containsString="0" containsBlank="1"/>
    </cacheField>
    <cacheField name="Column7309" numFmtId="0">
      <sharedItems containsNonDate="0" containsString="0" containsBlank="1"/>
    </cacheField>
    <cacheField name="Column7310" numFmtId="0">
      <sharedItems containsNonDate="0" containsString="0" containsBlank="1"/>
    </cacheField>
    <cacheField name="Column7311" numFmtId="0">
      <sharedItems containsNonDate="0" containsString="0" containsBlank="1"/>
    </cacheField>
    <cacheField name="Column7312" numFmtId="0">
      <sharedItems containsNonDate="0" containsString="0" containsBlank="1"/>
    </cacheField>
    <cacheField name="Column7313" numFmtId="0">
      <sharedItems containsNonDate="0" containsString="0" containsBlank="1"/>
    </cacheField>
    <cacheField name="Column7314" numFmtId="0">
      <sharedItems containsNonDate="0" containsString="0" containsBlank="1"/>
    </cacheField>
    <cacheField name="Column7315" numFmtId="0">
      <sharedItems containsNonDate="0" containsString="0" containsBlank="1"/>
    </cacheField>
    <cacheField name="Column7316" numFmtId="0">
      <sharedItems containsNonDate="0" containsString="0" containsBlank="1"/>
    </cacheField>
    <cacheField name="Column7317" numFmtId="0">
      <sharedItems containsNonDate="0" containsString="0" containsBlank="1"/>
    </cacheField>
    <cacheField name="Column7318" numFmtId="0">
      <sharedItems containsNonDate="0" containsString="0" containsBlank="1"/>
    </cacheField>
    <cacheField name="Column7319" numFmtId="0">
      <sharedItems containsNonDate="0" containsString="0" containsBlank="1"/>
    </cacheField>
    <cacheField name="Column7320" numFmtId="0">
      <sharedItems containsNonDate="0" containsString="0" containsBlank="1"/>
    </cacheField>
    <cacheField name="Column7321" numFmtId="0">
      <sharedItems containsNonDate="0" containsString="0" containsBlank="1"/>
    </cacheField>
    <cacheField name="Column7322" numFmtId="0">
      <sharedItems containsNonDate="0" containsString="0" containsBlank="1"/>
    </cacheField>
    <cacheField name="Column7323" numFmtId="0">
      <sharedItems containsNonDate="0" containsString="0" containsBlank="1"/>
    </cacheField>
    <cacheField name="Column7324" numFmtId="0">
      <sharedItems containsNonDate="0" containsString="0" containsBlank="1"/>
    </cacheField>
    <cacheField name="Column7325" numFmtId="0">
      <sharedItems containsNonDate="0" containsString="0" containsBlank="1"/>
    </cacheField>
    <cacheField name="Column7326" numFmtId="0">
      <sharedItems containsNonDate="0" containsString="0" containsBlank="1"/>
    </cacheField>
    <cacheField name="Column7327" numFmtId="0">
      <sharedItems containsNonDate="0" containsString="0" containsBlank="1"/>
    </cacheField>
    <cacheField name="Column7328" numFmtId="0">
      <sharedItems containsNonDate="0" containsString="0" containsBlank="1"/>
    </cacheField>
    <cacheField name="Column7329" numFmtId="0">
      <sharedItems containsNonDate="0" containsString="0" containsBlank="1"/>
    </cacheField>
    <cacheField name="Column7330" numFmtId="0">
      <sharedItems containsNonDate="0" containsString="0" containsBlank="1"/>
    </cacheField>
    <cacheField name="Column7331" numFmtId="0">
      <sharedItems containsNonDate="0" containsString="0" containsBlank="1"/>
    </cacheField>
    <cacheField name="Column7332" numFmtId="0">
      <sharedItems containsNonDate="0" containsString="0" containsBlank="1"/>
    </cacheField>
    <cacheField name="Column7333" numFmtId="0">
      <sharedItems containsNonDate="0" containsString="0" containsBlank="1"/>
    </cacheField>
    <cacheField name="Column7334" numFmtId="0">
      <sharedItems containsNonDate="0" containsString="0" containsBlank="1"/>
    </cacheField>
    <cacheField name="Column7335" numFmtId="0">
      <sharedItems containsNonDate="0" containsString="0" containsBlank="1"/>
    </cacheField>
    <cacheField name="Column7336" numFmtId="0">
      <sharedItems containsNonDate="0" containsString="0" containsBlank="1"/>
    </cacheField>
    <cacheField name="Column7337" numFmtId="0">
      <sharedItems containsNonDate="0" containsString="0" containsBlank="1"/>
    </cacheField>
    <cacheField name="Column7338" numFmtId="0">
      <sharedItems containsNonDate="0" containsString="0" containsBlank="1"/>
    </cacheField>
    <cacheField name="Column7339" numFmtId="0">
      <sharedItems containsNonDate="0" containsString="0" containsBlank="1"/>
    </cacheField>
    <cacheField name="Column7340" numFmtId="0">
      <sharedItems containsNonDate="0" containsString="0" containsBlank="1"/>
    </cacheField>
    <cacheField name="Column7341" numFmtId="0">
      <sharedItems containsNonDate="0" containsString="0" containsBlank="1"/>
    </cacheField>
    <cacheField name="Column7342" numFmtId="0">
      <sharedItems containsNonDate="0" containsString="0" containsBlank="1"/>
    </cacheField>
    <cacheField name="Column7343" numFmtId="0">
      <sharedItems containsNonDate="0" containsString="0" containsBlank="1"/>
    </cacheField>
    <cacheField name="Column7344" numFmtId="0">
      <sharedItems containsNonDate="0" containsString="0" containsBlank="1"/>
    </cacheField>
    <cacheField name="Column7345" numFmtId="0">
      <sharedItems containsNonDate="0" containsString="0" containsBlank="1"/>
    </cacheField>
    <cacheField name="Column7346" numFmtId="0">
      <sharedItems containsNonDate="0" containsString="0" containsBlank="1"/>
    </cacheField>
    <cacheField name="Column7347" numFmtId="0">
      <sharedItems containsNonDate="0" containsString="0" containsBlank="1"/>
    </cacheField>
    <cacheField name="Column7348" numFmtId="0">
      <sharedItems containsNonDate="0" containsString="0" containsBlank="1"/>
    </cacheField>
    <cacheField name="Column7349" numFmtId="0">
      <sharedItems containsNonDate="0" containsString="0" containsBlank="1"/>
    </cacheField>
    <cacheField name="Column7350" numFmtId="0">
      <sharedItems containsNonDate="0" containsString="0" containsBlank="1"/>
    </cacheField>
    <cacheField name="Column7351" numFmtId="0">
      <sharedItems containsNonDate="0" containsString="0" containsBlank="1"/>
    </cacheField>
    <cacheField name="Column7352" numFmtId="0">
      <sharedItems containsNonDate="0" containsString="0" containsBlank="1"/>
    </cacheField>
    <cacheField name="Column7353" numFmtId="0">
      <sharedItems containsNonDate="0" containsString="0" containsBlank="1"/>
    </cacheField>
    <cacheField name="Column7354" numFmtId="0">
      <sharedItems containsNonDate="0" containsString="0" containsBlank="1"/>
    </cacheField>
    <cacheField name="Column7355" numFmtId="0">
      <sharedItems containsNonDate="0" containsString="0" containsBlank="1"/>
    </cacheField>
    <cacheField name="Column7356" numFmtId="0">
      <sharedItems containsNonDate="0" containsString="0" containsBlank="1"/>
    </cacheField>
    <cacheField name="Column7357" numFmtId="0">
      <sharedItems containsNonDate="0" containsString="0" containsBlank="1"/>
    </cacheField>
    <cacheField name="Column7358" numFmtId="0">
      <sharedItems containsNonDate="0" containsString="0" containsBlank="1"/>
    </cacheField>
    <cacheField name="Column7359" numFmtId="0">
      <sharedItems containsNonDate="0" containsString="0" containsBlank="1"/>
    </cacheField>
    <cacheField name="Column7360" numFmtId="0">
      <sharedItems containsNonDate="0" containsString="0" containsBlank="1"/>
    </cacheField>
    <cacheField name="Column7361" numFmtId="0">
      <sharedItems containsNonDate="0" containsString="0" containsBlank="1"/>
    </cacheField>
    <cacheField name="Column7362" numFmtId="0">
      <sharedItems containsNonDate="0" containsString="0" containsBlank="1"/>
    </cacheField>
    <cacheField name="Column7363" numFmtId="0">
      <sharedItems containsNonDate="0" containsString="0" containsBlank="1"/>
    </cacheField>
    <cacheField name="Column7364" numFmtId="0">
      <sharedItems containsNonDate="0" containsString="0" containsBlank="1"/>
    </cacheField>
    <cacheField name="Column7365" numFmtId="0">
      <sharedItems containsNonDate="0" containsString="0" containsBlank="1"/>
    </cacheField>
    <cacheField name="Column7366" numFmtId="0">
      <sharedItems containsNonDate="0" containsString="0" containsBlank="1"/>
    </cacheField>
    <cacheField name="Column7367" numFmtId="0">
      <sharedItems containsNonDate="0" containsString="0" containsBlank="1"/>
    </cacheField>
    <cacheField name="Column7368" numFmtId="0">
      <sharedItems containsNonDate="0" containsString="0" containsBlank="1"/>
    </cacheField>
    <cacheField name="Column7369" numFmtId="0">
      <sharedItems containsNonDate="0" containsString="0" containsBlank="1"/>
    </cacheField>
    <cacheField name="Column7370" numFmtId="0">
      <sharedItems containsNonDate="0" containsString="0" containsBlank="1"/>
    </cacheField>
    <cacheField name="Column7371" numFmtId="0">
      <sharedItems containsNonDate="0" containsString="0" containsBlank="1"/>
    </cacheField>
    <cacheField name="Column7372" numFmtId="0">
      <sharedItems containsNonDate="0" containsString="0" containsBlank="1"/>
    </cacheField>
    <cacheField name="Column7373" numFmtId="0">
      <sharedItems containsNonDate="0" containsString="0" containsBlank="1"/>
    </cacheField>
    <cacheField name="Column7374" numFmtId="0">
      <sharedItems containsNonDate="0" containsString="0" containsBlank="1"/>
    </cacheField>
    <cacheField name="Column7375" numFmtId="0">
      <sharedItems containsNonDate="0" containsString="0" containsBlank="1"/>
    </cacheField>
    <cacheField name="Column7376" numFmtId="0">
      <sharedItems containsNonDate="0" containsString="0" containsBlank="1"/>
    </cacheField>
    <cacheField name="Column7377" numFmtId="0">
      <sharedItems containsNonDate="0" containsString="0" containsBlank="1"/>
    </cacheField>
    <cacheField name="Column7378" numFmtId="0">
      <sharedItems containsNonDate="0" containsString="0" containsBlank="1"/>
    </cacheField>
    <cacheField name="Column7379" numFmtId="0">
      <sharedItems containsNonDate="0" containsString="0" containsBlank="1"/>
    </cacheField>
    <cacheField name="Column7380" numFmtId="0">
      <sharedItems containsNonDate="0" containsString="0" containsBlank="1"/>
    </cacheField>
    <cacheField name="Column7381" numFmtId="0">
      <sharedItems containsNonDate="0" containsString="0" containsBlank="1"/>
    </cacheField>
    <cacheField name="Column7382" numFmtId="0">
      <sharedItems containsNonDate="0" containsString="0" containsBlank="1"/>
    </cacheField>
    <cacheField name="Column7383" numFmtId="0">
      <sharedItems containsNonDate="0" containsString="0" containsBlank="1"/>
    </cacheField>
    <cacheField name="Column7384" numFmtId="0">
      <sharedItems containsNonDate="0" containsString="0" containsBlank="1"/>
    </cacheField>
    <cacheField name="Column7385" numFmtId="0">
      <sharedItems containsNonDate="0" containsString="0" containsBlank="1"/>
    </cacheField>
    <cacheField name="Column7386" numFmtId="0">
      <sharedItems containsNonDate="0" containsString="0" containsBlank="1"/>
    </cacheField>
    <cacheField name="Column7387" numFmtId="0">
      <sharedItems containsNonDate="0" containsString="0" containsBlank="1"/>
    </cacheField>
    <cacheField name="Column7388" numFmtId="0">
      <sharedItems containsNonDate="0" containsString="0" containsBlank="1"/>
    </cacheField>
    <cacheField name="Column7389" numFmtId="0">
      <sharedItems containsNonDate="0" containsString="0" containsBlank="1"/>
    </cacheField>
    <cacheField name="Column7390" numFmtId="0">
      <sharedItems containsNonDate="0" containsString="0" containsBlank="1"/>
    </cacheField>
    <cacheField name="Column7391" numFmtId="0">
      <sharedItems containsNonDate="0" containsString="0" containsBlank="1"/>
    </cacheField>
    <cacheField name="Column7392" numFmtId="0">
      <sharedItems containsNonDate="0" containsString="0" containsBlank="1"/>
    </cacheField>
    <cacheField name="Column7393" numFmtId="0">
      <sharedItems containsNonDate="0" containsString="0" containsBlank="1"/>
    </cacheField>
    <cacheField name="Column7394" numFmtId="0">
      <sharedItems containsNonDate="0" containsString="0" containsBlank="1"/>
    </cacheField>
    <cacheField name="Column7395" numFmtId="0">
      <sharedItems containsNonDate="0" containsString="0" containsBlank="1"/>
    </cacheField>
    <cacheField name="Column7396" numFmtId="0">
      <sharedItems containsNonDate="0" containsString="0" containsBlank="1"/>
    </cacheField>
    <cacheField name="Column7397" numFmtId="0">
      <sharedItems containsNonDate="0" containsString="0" containsBlank="1"/>
    </cacheField>
    <cacheField name="Column7398" numFmtId="0">
      <sharedItems containsNonDate="0" containsString="0" containsBlank="1"/>
    </cacheField>
    <cacheField name="Column7399" numFmtId="0">
      <sharedItems containsNonDate="0" containsString="0" containsBlank="1"/>
    </cacheField>
    <cacheField name="Column7400" numFmtId="0">
      <sharedItems containsNonDate="0" containsString="0" containsBlank="1"/>
    </cacheField>
    <cacheField name="Column7401" numFmtId="0">
      <sharedItems containsNonDate="0" containsString="0" containsBlank="1"/>
    </cacheField>
    <cacheField name="Column7402" numFmtId="0">
      <sharedItems containsNonDate="0" containsString="0" containsBlank="1"/>
    </cacheField>
    <cacheField name="Column7403" numFmtId="0">
      <sharedItems containsNonDate="0" containsString="0" containsBlank="1"/>
    </cacheField>
    <cacheField name="Column7404" numFmtId="0">
      <sharedItems containsNonDate="0" containsString="0" containsBlank="1"/>
    </cacheField>
    <cacheField name="Column7405" numFmtId="0">
      <sharedItems containsNonDate="0" containsString="0" containsBlank="1"/>
    </cacheField>
    <cacheField name="Column7406" numFmtId="0">
      <sharedItems containsNonDate="0" containsString="0" containsBlank="1"/>
    </cacheField>
    <cacheField name="Column7407" numFmtId="0">
      <sharedItems containsNonDate="0" containsString="0" containsBlank="1"/>
    </cacheField>
    <cacheField name="Column7408" numFmtId="0">
      <sharedItems containsNonDate="0" containsString="0" containsBlank="1"/>
    </cacheField>
    <cacheField name="Column7409" numFmtId="0">
      <sharedItems containsNonDate="0" containsString="0" containsBlank="1"/>
    </cacheField>
    <cacheField name="Column7410" numFmtId="0">
      <sharedItems containsNonDate="0" containsString="0" containsBlank="1"/>
    </cacheField>
    <cacheField name="Column7411" numFmtId="0">
      <sharedItems containsNonDate="0" containsString="0" containsBlank="1"/>
    </cacheField>
    <cacheField name="Column7412" numFmtId="0">
      <sharedItems containsNonDate="0" containsString="0" containsBlank="1"/>
    </cacheField>
    <cacheField name="Column7413" numFmtId="0">
      <sharedItems containsNonDate="0" containsString="0" containsBlank="1"/>
    </cacheField>
    <cacheField name="Column7414" numFmtId="0">
      <sharedItems containsNonDate="0" containsString="0" containsBlank="1"/>
    </cacheField>
    <cacheField name="Column7415" numFmtId="0">
      <sharedItems containsNonDate="0" containsString="0" containsBlank="1"/>
    </cacheField>
    <cacheField name="Column7416" numFmtId="0">
      <sharedItems containsNonDate="0" containsString="0" containsBlank="1"/>
    </cacheField>
    <cacheField name="Column7417" numFmtId="0">
      <sharedItems containsNonDate="0" containsString="0" containsBlank="1"/>
    </cacheField>
    <cacheField name="Column7418" numFmtId="0">
      <sharedItems containsNonDate="0" containsString="0" containsBlank="1"/>
    </cacheField>
    <cacheField name="Column7419" numFmtId="0">
      <sharedItems containsNonDate="0" containsString="0" containsBlank="1"/>
    </cacheField>
    <cacheField name="Column7420" numFmtId="0">
      <sharedItems containsNonDate="0" containsString="0" containsBlank="1"/>
    </cacheField>
    <cacheField name="Column7421" numFmtId="0">
      <sharedItems containsNonDate="0" containsString="0" containsBlank="1"/>
    </cacheField>
    <cacheField name="Column7422" numFmtId="0">
      <sharedItems containsNonDate="0" containsString="0" containsBlank="1"/>
    </cacheField>
    <cacheField name="Column7423" numFmtId="0">
      <sharedItems containsNonDate="0" containsString="0" containsBlank="1"/>
    </cacheField>
    <cacheField name="Column7424" numFmtId="0">
      <sharedItems containsNonDate="0" containsString="0" containsBlank="1"/>
    </cacheField>
    <cacheField name="Column7425" numFmtId="0">
      <sharedItems containsNonDate="0" containsString="0" containsBlank="1"/>
    </cacheField>
    <cacheField name="Column7426" numFmtId="0">
      <sharedItems containsNonDate="0" containsString="0" containsBlank="1"/>
    </cacheField>
    <cacheField name="Column7427" numFmtId="0">
      <sharedItems containsNonDate="0" containsString="0" containsBlank="1"/>
    </cacheField>
    <cacheField name="Column7428" numFmtId="0">
      <sharedItems containsNonDate="0" containsString="0" containsBlank="1"/>
    </cacheField>
    <cacheField name="Column7429" numFmtId="0">
      <sharedItems containsNonDate="0" containsString="0" containsBlank="1"/>
    </cacheField>
    <cacheField name="Column7430" numFmtId="0">
      <sharedItems containsNonDate="0" containsString="0" containsBlank="1"/>
    </cacheField>
    <cacheField name="Column7431" numFmtId="0">
      <sharedItems containsNonDate="0" containsString="0" containsBlank="1"/>
    </cacheField>
    <cacheField name="Column7432" numFmtId="0">
      <sharedItems containsNonDate="0" containsString="0" containsBlank="1"/>
    </cacheField>
    <cacheField name="Column7433" numFmtId="0">
      <sharedItems containsNonDate="0" containsString="0" containsBlank="1"/>
    </cacheField>
    <cacheField name="Column7434" numFmtId="0">
      <sharedItems containsNonDate="0" containsString="0" containsBlank="1"/>
    </cacheField>
    <cacheField name="Column7435" numFmtId="0">
      <sharedItems containsNonDate="0" containsString="0" containsBlank="1"/>
    </cacheField>
    <cacheField name="Column7436" numFmtId="0">
      <sharedItems containsNonDate="0" containsString="0" containsBlank="1"/>
    </cacheField>
    <cacheField name="Column7437" numFmtId="0">
      <sharedItems containsNonDate="0" containsString="0" containsBlank="1"/>
    </cacheField>
    <cacheField name="Column7438" numFmtId="0">
      <sharedItems containsNonDate="0" containsString="0" containsBlank="1"/>
    </cacheField>
    <cacheField name="Column7439" numFmtId="0">
      <sharedItems containsNonDate="0" containsString="0" containsBlank="1"/>
    </cacheField>
    <cacheField name="Column7440" numFmtId="0">
      <sharedItems containsNonDate="0" containsString="0" containsBlank="1"/>
    </cacheField>
    <cacheField name="Column7441" numFmtId="0">
      <sharedItems containsNonDate="0" containsString="0" containsBlank="1"/>
    </cacheField>
    <cacheField name="Column7442" numFmtId="0">
      <sharedItems containsNonDate="0" containsString="0" containsBlank="1"/>
    </cacheField>
    <cacheField name="Column7443" numFmtId="0">
      <sharedItems containsNonDate="0" containsString="0" containsBlank="1"/>
    </cacheField>
    <cacheField name="Column7444" numFmtId="0">
      <sharedItems containsNonDate="0" containsString="0" containsBlank="1"/>
    </cacheField>
    <cacheField name="Column7445" numFmtId="0">
      <sharedItems containsNonDate="0" containsString="0" containsBlank="1"/>
    </cacheField>
    <cacheField name="Column7446" numFmtId="0">
      <sharedItems containsNonDate="0" containsString="0" containsBlank="1"/>
    </cacheField>
    <cacheField name="Column7447" numFmtId="0">
      <sharedItems containsNonDate="0" containsString="0" containsBlank="1"/>
    </cacheField>
    <cacheField name="Column7448" numFmtId="0">
      <sharedItems containsNonDate="0" containsString="0" containsBlank="1"/>
    </cacheField>
    <cacheField name="Column7449" numFmtId="0">
      <sharedItems containsNonDate="0" containsString="0" containsBlank="1"/>
    </cacheField>
    <cacheField name="Column7450" numFmtId="0">
      <sharedItems containsNonDate="0" containsString="0" containsBlank="1"/>
    </cacheField>
    <cacheField name="Column7451" numFmtId="0">
      <sharedItems containsNonDate="0" containsString="0" containsBlank="1"/>
    </cacheField>
    <cacheField name="Column7452" numFmtId="0">
      <sharedItems containsNonDate="0" containsString="0" containsBlank="1"/>
    </cacheField>
    <cacheField name="Column7453" numFmtId="0">
      <sharedItems containsNonDate="0" containsString="0" containsBlank="1"/>
    </cacheField>
    <cacheField name="Column7454" numFmtId="0">
      <sharedItems containsNonDate="0" containsString="0" containsBlank="1"/>
    </cacheField>
    <cacheField name="Column7455" numFmtId="0">
      <sharedItems containsNonDate="0" containsString="0" containsBlank="1"/>
    </cacheField>
    <cacheField name="Column7456" numFmtId="0">
      <sharedItems containsNonDate="0" containsString="0" containsBlank="1"/>
    </cacheField>
    <cacheField name="Column7457" numFmtId="0">
      <sharedItems containsNonDate="0" containsString="0" containsBlank="1"/>
    </cacheField>
    <cacheField name="Column7458" numFmtId="0">
      <sharedItems containsNonDate="0" containsString="0" containsBlank="1"/>
    </cacheField>
    <cacheField name="Column7459" numFmtId="0">
      <sharedItems containsNonDate="0" containsString="0" containsBlank="1"/>
    </cacheField>
    <cacheField name="Column7460" numFmtId="0">
      <sharedItems containsNonDate="0" containsString="0" containsBlank="1"/>
    </cacheField>
    <cacheField name="Column7461" numFmtId="0">
      <sharedItems containsNonDate="0" containsString="0" containsBlank="1"/>
    </cacheField>
    <cacheField name="Column7462" numFmtId="0">
      <sharedItems containsNonDate="0" containsString="0" containsBlank="1"/>
    </cacheField>
    <cacheField name="Column7463" numFmtId="0">
      <sharedItems containsNonDate="0" containsString="0" containsBlank="1"/>
    </cacheField>
    <cacheField name="Column7464" numFmtId="0">
      <sharedItems containsNonDate="0" containsString="0" containsBlank="1"/>
    </cacheField>
    <cacheField name="Column7465" numFmtId="0">
      <sharedItems containsNonDate="0" containsString="0" containsBlank="1"/>
    </cacheField>
    <cacheField name="Column7466" numFmtId="0">
      <sharedItems containsNonDate="0" containsString="0" containsBlank="1"/>
    </cacheField>
    <cacheField name="Column7467" numFmtId="0">
      <sharedItems containsNonDate="0" containsString="0" containsBlank="1"/>
    </cacheField>
    <cacheField name="Column7468" numFmtId="0">
      <sharedItems containsNonDate="0" containsString="0" containsBlank="1"/>
    </cacheField>
    <cacheField name="Column7469" numFmtId="0">
      <sharedItems containsNonDate="0" containsString="0" containsBlank="1"/>
    </cacheField>
    <cacheField name="Column7470" numFmtId="0">
      <sharedItems containsNonDate="0" containsString="0" containsBlank="1"/>
    </cacheField>
    <cacheField name="Column7471" numFmtId="0">
      <sharedItems containsNonDate="0" containsString="0" containsBlank="1"/>
    </cacheField>
    <cacheField name="Column7472" numFmtId="0">
      <sharedItems containsNonDate="0" containsString="0" containsBlank="1"/>
    </cacheField>
    <cacheField name="Column7473" numFmtId="0">
      <sharedItems containsNonDate="0" containsString="0" containsBlank="1"/>
    </cacheField>
    <cacheField name="Column7474" numFmtId="0">
      <sharedItems containsNonDate="0" containsString="0" containsBlank="1"/>
    </cacheField>
    <cacheField name="Column7475" numFmtId="0">
      <sharedItems containsNonDate="0" containsString="0" containsBlank="1"/>
    </cacheField>
    <cacheField name="Column7476" numFmtId="0">
      <sharedItems containsNonDate="0" containsString="0" containsBlank="1"/>
    </cacheField>
    <cacheField name="Column7477" numFmtId="0">
      <sharedItems containsNonDate="0" containsString="0" containsBlank="1"/>
    </cacheField>
    <cacheField name="Column7478" numFmtId="0">
      <sharedItems containsNonDate="0" containsString="0" containsBlank="1"/>
    </cacheField>
    <cacheField name="Column7479" numFmtId="0">
      <sharedItems containsNonDate="0" containsString="0" containsBlank="1"/>
    </cacheField>
    <cacheField name="Column7480" numFmtId="0">
      <sharedItems containsNonDate="0" containsString="0" containsBlank="1"/>
    </cacheField>
    <cacheField name="Column7481" numFmtId="0">
      <sharedItems containsNonDate="0" containsString="0" containsBlank="1"/>
    </cacheField>
    <cacheField name="Column7482" numFmtId="0">
      <sharedItems containsNonDate="0" containsString="0" containsBlank="1"/>
    </cacheField>
    <cacheField name="Column7483" numFmtId="0">
      <sharedItems containsNonDate="0" containsString="0" containsBlank="1"/>
    </cacheField>
    <cacheField name="Column7484" numFmtId="0">
      <sharedItems containsNonDate="0" containsString="0" containsBlank="1"/>
    </cacheField>
    <cacheField name="Column7485" numFmtId="0">
      <sharedItems containsNonDate="0" containsString="0" containsBlank="1"/>
    </cacheField>
    <cacheField name="Column7486" numFmtId="0">
      <sharedItems containsNonDate="0" containsString="0" containsBlank="1"/>
    </cacheField>
    <cacheField name="Column7487" numFmtId="0">
      <sharedItems containsNonDate="0" containsString="0" containsBlank="1"/>
    </cacheField>
    <cacheField name="Column7488" numFmtId="0">
      <sharedItems containsNonDate="0" containsString="0" containsBlank="1"/>
    </cacheField>
    <cacheField name="Column7489" numFmtId="0">
      <sharedItems containsNonDate="0" containsString="0" containsBlank="1"/>
    </cacheField>
    <cacheField name="Column7490" numFmtId="0">
      <sharedItems containsNonDate="0" containsString="0" containsBlank="1"/>
    </cacheField>
    <cacheField name="Column7491" numFmtId="0">
      <sharedItems containsNonDate="0" containsString="0" containsBlank="1"/>
    </cacheField>
    <cacheField name="Column7492" numFmtId="0">
      <sharedItems containsNonDate="0" containsString="0" containsBlank="1"/>
    </cacheField>
    <cacheField name="Column7493" numFmtId="0">
      <sharedItems containsNonDate="0" containsString="0" containsBlank="1"/>
    </cacheField>
    <cacheField name="Column7494" numFmtId="0">
      <sharedItems containsNonDate="0" containsString="0" containsBlank="1"/>
    </cacheField>
    <cacheField name="Column7495" numFmtId="0">
      <sharedItems containsNonDate="0" containsString="0" containsBlank="1"/>
    </cacheField>
    <cacheField name="Column7496" numFmtId="0">
      <sharedItems containsNonDate="0" containsString="0" containsBlank="1"/>
    </cacheField>
    <cacheField name="Column7497" numFmtId="0">
      <sharedItems containsNonDate="0" containsString="0" containsBlank="1"/>
    </cacheField>
    <cacheField name="Column7498" numFmtId="0">
      <sharedItems containsNonDate="0" containsString="0" containsBlank="1"/>
    </cacheField>
    <cacheField name="Column7499" numFmtId="0">
      <sharedItems containsNonDate="0" containsString="0" containsBlank="1"/>
    </cacheField>
    <cacheField name="Column7500" numFmtId="0">
      <sharedItems containsNonDate="0" containsString="0" containsBlank="1"/>
    </cacheField>
    <cacheField name="Column7501" numFmtId="0">
      <sharedItems containsNonDate="0" containsString="0" containsBlank="1"/>
    </cacheField>
    <cacheField name="Column7502" numFmtId="0">
      <sharedItems containsNonDate="0" containsString="0" containsBlank="1"/>
    </cacheField>
    <cacheField name="Column7503" numFmtId="0">
      <sharedItems containsNonDate="0" containsString="0" containsBlank="1"/>
    </cacheField>
    <cacheField name="Column7504" numFmtId="0">
      <sharedItems containsNonDate="0" containsString="0" containsBlank="1"/>
    </cacheField>
    <cacheField name="Column7505" numFmtId="0">
      <sharedItems containsNonDate="0" containsString="0" containsBlank="1"/>
    </cacheField>
    <cacheField name="Column7506" numFmtId="0">
      <sharedItems containsNonDate="0" containsString="0" containsBlank="1"/>
    </cacheField>
    <cacheField name="Column7507" numFmtId="0">
      <sharedItems containsNonDate="0" containsString="0" containsBlank="1"/>
    </cacheField>
    <cacheField name="Column7508" numFmtId="0">
      <sharedItems containsNonDate="0" containsString="0" containsBlank="1"/>
    </cacheField>
    <cacheField name="Column7509" numFmtId="0">
      <sharedItems containsNonDate="0" containsString="0" containsBlank="1"/>
    </cacheField>
    <cacheField name="Column7510" numFmtId="0">
      <sharedItems containsNonDate="0" containsString="0" containsBlank="1"/>
    </cacheField>
    <cacheField name="Column7511" numFmtId="0">
      <sharedItems containsNonDate="0" containsString="0" containsBlank="1"/>
    </cacheField>
    <cacheField name="Column7512" numFmtId="0">
      <sharedItems containsNonDate="0" containsString="0" containsBlank="1"/>
    </cacheField>
    <cacheField name="Column7513" numFmtId="0">
      <sharedItems containsNonDate="0" containsString="0" containsBlank="1"/>
    </cacheField>
    <cacheField name="Column7514" numFmtId="0">
      <sharedItems containsNonDate="0" containsString="0" containsBlank="1"/>
    </cacheField>
    <cacheField name="Column7515" numFmtId="0">
      <sharedItems containsNonDate="0" containsString="0" containsBlank="1"/>
    </cacheField>
    <cacheField name="Column7516" numFmtId="0">
      <sharedItems containsNonDate="0" containsString="0" containsBlank="1"/>
    </cacheField>
    <cacheField name="Column7517" numFmtId="0">
      <sharedItems containsNonDate="0" containsString="0" containsBlank="1"/>
    </cacheField>
    <cacheField name="Column7518" numFmtId="0">
      <sharedItems containsNonDate="0" containsString="0" containsBlank="1"/>
    </cacheField>
    <cacheField name="Column7519" numFmtId="0">
      <sharedItems containsNonDate="0" containsString="0" containsBlank="1"/>
    </cacheField>
    <cacheField name="Column7520" numFmtId="0">
      <sharedItems containsNonDate="0" containsString="0" containsBlank="1"/>
    </cacheField>
    <cacheField name="Column7521" numFmtId="0">
      <sharedItems containsNonDate="0" containsString="0" containsBlank="1"/>
    </cacheField>
    <cacheField name="Column7522" numFmtId="0">
      <sharedItems containsNonDate="0" containsString="0" containsBlank="1"/>
    </cacheField>
    <cacheField name="Column7523" numFmtId="0">
      <sharedItems containsNonDate="0" containsString="0" containsBlank="1"/>
    </cacheField>
    <cacheField name="Column7524" numFmtId="0">
      <sharedItems containsNonDate="0" containsString="0" containsBlank="1"/>
    </cacheField>
    <cacheField name="Column7525" numFmtId="0">
      <sharedItems containsNonDate="0" containsString="0" containsBlank="1"/>
    </cacheField>
    <cacheField name="Column7526" numFmtId="0">
      <sharedItems containsNonDate="0" containsString="0" containsBlank="1"/>
    </cacheField>
    <cacheField name="Column7527" numFmtId="0">
      <sharedItems containsNonDate="0" containsString="0" containsBlank="1"/>
    </cacheField>
    <cacheField name="Column7528" numFmtId="0">
      <sharedItems containsNonDate="0" containsString="0" containsBlank="1"/>
    </cacheField>
    <cacheField name="Column7529" numFmtId="0">
      <sharedItems containsNonDate="0" containsString="0" containsBlank="1"/>
    </cacheField>
    <cacheField name="Column7530" numFmtId="0">
      <sharedItems containsNonDate="0" containsString="0" containsBlank="1"/>
    </cacheField>
    <cacheField name="Column7531" numFmtId="0">
      <sharedItems containsNonDate="0" containsString="0" containsBlank="1"/>
    </cacheField>
    <cacheField name="Column7532" numFmtId="0">
      <sharedItems containsNonDate="0" containsString="0" containsBlank="1"/>
    </cacheField>
    <cacheField name="Column7533" numFmtId="0">
      <sharedItems containsNonDate="0" containsString="0" containsBlank="1"/>
    </cacheField>
    <cacheField name="Column7534" numFmtId="0">
      <sharedItems containsNonDate="0" containsString="0" containsBlank="1"/>
    </cacheField>
    <cacheField name="Column7535" numFmtId="0">
      <sharedItems containsNonDate="0" containsString="0" containsBlank="1"/>
    </cacheField>
    <cacheField name="Column7536" numFmtId="0">
      <sharedItems containsNonDate="0" containsString="0" containsBlank="1"/>
    </cacheField>
    <cacheField name="Column7537" numFmtId="0">
      <sharedItems containsNonDate="0" containsString="0" containsBlank="1"/>
    </cacheField>
    <cacheField name="Column7538" numFmtId="0">
      <sharedItems containsNonDate="0" containsString="0" containsBlank="1"/>
    </cacheField>
    <cacheField name="Column7539" numFmtId="0">
      <sharedItems containsNonDate="0" containsString="0" containsBlank="1"/>
    </cacheField>
    <cacheField name="Column7540" numFmtId="0">
      <sharedItems containsNonDate="0" containsString="0" containsBlank="1"/>
    </cacheField>
    <cacheField name="Column7541" numFmtId="0">
      <sharedItems containsNonDate="0" containsString="0" containsBlank="1"/>
    </cacheField>
    <cacheField name="Column7542" numFmtId="0">
      <sharedItems containsNonDate="0" containsString="0" containsBlank="1"/>
    </cacheField>
    <cacheField name="Column7543" numFmtId="0">
      <sharedItems containsNonDate="0" containsString="0" containsBlank="1"/>
    </cacheField>
    <cacheField name="Column7544" numFmtId="0">
      <sharedItems containsNonDate="0" containsString="0" containsBlank="1"/>
    </cacheField>
    <cacheField name="Column7545" numFmtId="0">
      <sharedItems containsNonDate="0" containsString="0" containsBlank="1"/>
    </cacheField>
    <cacheField name="Column7546" numFmtId="0">
      <sharedItems containsNonDate="0" containsString="0" containsBlank="1"/>
    </cacheField>
    <cacheField name="Column7547" numFmtId="0">
      <sharedItems containsNonDate="0" containsString="0" containsBlank="1"/>
    </cacheField>
    <cacheField name="Column7548" numFmtId="0">
      <sharedItems containsNonDate="0" containsString="0" containsBlank="1"/>
    </cacheField>
    <cacheField name="Column7549" numFmtId="0">
      <sharedItems containsNonDate="0" containsString="0" containsBlank="1"/>
    </cacheField>
    <cacheField name="Column7550" numFmtId="0">
      <sharedItems containsNonDate="0" containsString="0" containsBlank="1"/>
    </cacheField>
    <cacheField name="Column7551" numFmtId="0">
      <sharedItems containsNonDate="0" containsString="0" containsBlank="1"/>
    </cacheField>
    <cacheField name="Column7552" numFmtId="0">
      <sharedItems containsNonDate="0" containsString="0" containsBlank="1"/>
    </cacheField>
    <cacheField name="Column7553" numFmtId="0">
      <sharedItems containsNonDate="0" containsString="0" containsBlank="1"/>
    </cacheField>
    <cacheField name="Column7554" numFmtId="0">
      <sharedItems containsNonDate="0" containsString="0" containsBlank="1"/>
    </cacheField>
    <cacheField name="Column7555" numFmtId="0">
      <sharedItems containsNonDate="0" containsString="0" containsBlank="1"/>
    </cacheField>
    <cacheField name="Column7556" numFmtId="0">
      <sharedItems containsNonDate="0" containsString="0" containsBlank="1"/>
    </cacheField>
    <cacheField name="Column7557" numFmtId="0">
      <sharedItems containsNonDate="0" containsString="0" containsBlank="1"/>
    </cacheField>
    <cacheField name="Column7558" numFmtId="0">
      <sharedItems containsNonDate="0" containsString="0" containsBlank="1"/>
    </cacheField>
    <cacheField name="Column7559" numFmtId="0">
      <sharedItems containsNonDate="0" containsString="0" containsBlank="1"/>
    </cacheField>
    <cacheField name="Column7560" numFmtId="0">
      <sharedItems containsNonDate="0" containsString="0" containsBlank="1"/>
    </cacheField>
    <cacheField name="Column7561" numFmtId="0">
      <sharedItems containsNonDate="0" containsString="0" containsBlank="1"/>
    </cacheField>
    <cacheField name="Column7562" numFmtId="0">
      <sharedItems containsNonDate="0" containsString="0" containsBlank="1"/>
    </cacheField>
    <cacheField name="Column7563" numFmtId="0">
      <sharedItems containsNonDate="0" containsString="0" containsBlank="1"/>
    </cacheField>
    <cacheField name="Column7564" numFmtId="0">
      <sharedItems containsNonDate="0" containsString="0" containsBlank="1"/>
    </cacheField>
    <cacheField name="Column7565" numFmtId="0">
      <sharedItems containsNonDate="0" containsString="0" containsBlank="1"/>
    </cacheField>
    <cacheField name="Column7566" numFmtId="0">
      <sharedItems containsNonDate="0" containsString="0" containsBlank="1"/>
    </cacheField>
    <cacheField name="Column7567" numFmtId="0">
      <sharedItems containsNonDate="0" containsString="0" containsBlank="1"/>
    </cacheField>
    <cacheField name="Column7568" numFmtId="0">
      <sharedItems containsNonDate="0" containsString="0" containsBlank="1"/>
    </cacheField>
    <cacheField name="Column7569" numFmtId="0">
      <sharedItems containsNonDate="0" containsString="0" containsBlank="1"/>
    </cacheField>
    <cacheField name="Column7570" numFmtId="0">
      <sharedItems containsNonDate="0" containsString="0" containsBlank="1"/>
    </cacheField>
    <cacheField name="Column7571" numFmtId="0">
      <sharedItems containsNonDate="0" containsString="0" containsBlank="1"/>
    </cacheField>
    <cacheField name="Column7572" numFmtId="0">
      <sharedItems containsNonDate="0" containsString="0" containsBlank="1"/>
    </cacheField>
    <cacheField name="Column7573" numFmtId="0">
      <sharedItems containsNonDate="0" containsString="0" containsBlank="1"/>
    </cacheField>
    <cacheField name="Column7574" numFmtId="0">
      <sharedItems containsNonDate="0" containsString="0" containsBlank="1"/>
    </cacheField>
    <cacheField name="Column7575" numFmtId="0">
      <sharedItems containsNonDate="0" containsString="0" containsBlank="1"/>
    </cacheField>
    <cacheField name="Column7576" numFmtId="0">
      <sharedItems containsNonDate="0" containsString="0" containsBlank="1"/>
    </cacheField>
    <cacheField name="Column7577" numFmtId="0">
      <sharedItems containsNonDate="0" containsString="0" containsBlank="1"/>
    </cacheField>
    <cacheField name="Column7578" numFmtId="0">
      <sharedItems containsNonDate="0" containsString="0" containsBlank="1"/>
    </cacheField>
    <cacheField name="Column7579" numFmtId="0">
      <sharedItems containsNonDate="0" containsString="0" containsBlank="1"/>
    </cacheField>
    <cacheField name="Column7580" numFmtId="0">
      <sharedItems containsNonDate="0" containsString="0" containsBlank="1"/>
    </cacheField>
    <cacheField name="Column7581" numFmtId="0">
      <sharedItems containsNonDate="0" containsString="0" containsBlank="1"/>
    </cacheField>
    <cacheField name="Column7582" numFmtId="0">
      <sharedItems containsNonDate="0" containsString="0" containsBlank="1"/>
    </cacheField>
    <cacheField name="Column7583" numFmtId="0">
      <sharedItems containsNonDate="0" containsString="0" containsBlank="1"/>
    </cacheField>
    <cacheField name="Column7584" numFmtId="0">
      <sharedItems containsNonDate="0" containsString="0" containsBlank="1"/>
    </cacheField>
    <cacheField name="Column7585" numFmtId="0">
      <sharedItems containsNonDate="0" containsString="0" containsBlank="1"/>
    </cacheField>
    <cacheField name="Column7586" numFmtId="0">
      <sharedItems containsNonDate="0" containsString="0" containsBlank="1"/>
    </cacheField>
    <cacheField name="Column7587" numFmtId="0">
      <sharedItems containsNonDate="0" containsString="0" containsBlank="1"/>
    </cacheField>
    <cacheField name="Column7588" numFmtId="0">
      <sharedItems containsNonDate="0" containsString="0" containsBlank="1"/>
    </cacheField>
    <cacheField name="Column7589" numFmtId="0">
      <sharedItems containsNonDate="0" containsString="0" containsBlank="1"/>
    </cacheField>
    <cacheField name="Column7590" numFmtId="0">
      <sharedItems containsNonDate="0" containsString="0" containsBlank="1"/>
    </cacheField>
    <cacheField name="Column7591" numFmtId="0">
      <sharedItems containsNonDate="0" containsString="0" containsBlank="1"/>
    </cacheField>
    <cacheField name="Column7592" numFmtId="0">
      <sharedItems containsNonDate="0" containsString="0" containsBlank="1"/>
    </cacheField>
    <cacheField name="Column7593" numFmtId="0">
      <sharedItems containsNonDate="0" containsString="0" containsBlank="1"/>
    </cacheField>
    <cacheField name="Column7594" numFmtId="0">
      <sharedItems containsNonDate="0" containsString="0" containsBlank="1"/>
    </cacheField>
    <cacheField name="Column7595" numFmtId="0">
      <sharedItems containsNonDate="0" containsString="0" containsBlank="1"/>
    </cacheField>
    <cacheField name="Column7596" numFmtId="0">
      <sharedItems containsNonDate="0" containsString="0" containsBlank="1"/>
    </cacheField>
    <cacheField name="Column7597" numFmtId="0">
      <sharedItems containsNonDate="0" containsString="0" containsBlank="1"/>
    </cacheField>
    <cacheField name="Column7598" numFmtId="0">
      <sharedItems containsNonDate="0" containsString="0" containsBlank="1"/>
    </cacheField>
    <cacheField name="Column7599" numFmtId="0">
      <sharedItems containsNonDate="0" containsString="0" containsBlank="1"/>
    </cacheField>
    <cacheField name="Column7600" numFmtId="0">
      <sharedItems containsNonDate="0" containsString="0" containsBlank="1"/>
    </cacheField>
    <cacheField name="Column7601" numFmtId="0">
      <sharedItems containsNonDate="0" containsString="0" containsBlank="1"/>
    </cacheField>
    <cacheField name="Column7602" numFmtId="0">
      <sharedItems containsNonDate="0" containsString="0" containsBlank="1"/>
    </cacheField>
    <cacheField name="Column7603" numFmtId="0">
      <sharedItems containsNonDate="0" containsString="0" containsBlank="1"/>
    </cacheField>
    <cacheField name="Column7604" numFmtId="0">
      <sharedItems containsNonDate="0" containsString="0" containsBlank="1"/>
    </cacheField>
    <cacheField name="Column7605" numFmtId="0">
      <sharedItems containsNonDate="0" containsString="0" containsBlank="1"/>
    </cacheField>
    <cacheField name="Column7606" numFmtId="0">
      <sharedItems containsNonDate="0" containsString="0" containsBlank="1"/>
    </cacheField>
    <cacheField name="Column7607" numFmtId="0">
      <sharedItems containsNonDate="0" containsString="0" containsBlank="1"/>
    </cacheField>
    <cacheField name="Column7608" numFmtId="0">
      <sharedItems containsNonDate="0" containsString="0" containsBlank="1"/>
    </cacheField>
    <cacheField name="Column7609" numFmtId="0">
      <sharedItems containsNonDate="0" containsString="0" containsBlank="1"/>
    </cacheField>
    <cacheField name="Column7610" numFmtId="0">
      <sharedItems containsNonDate="0" containsString="0" containsBlank="1"/>
    </cacheField>
    <cacheField name="Column7611" numFmtId="0">
      <sharedItems containsNonDate="0" containsString="0" containsBlank="1"/>
    </cacheField>
    <cacheField name="Column7612" numFmtId="0">
      <sharedItems containsNonDate="0" containsString="0" containsBlank="1"/>
    </cacheField>
    <cacheField name="Column7613" numFmtId="0">
      <sharedItems containsNonDate="0" containsString="0" containsBlank="1"/>
    </cacheField>
    <cacheField name="Column7614" numFmtId="0">
      <sharedItems containsNonDate="0" containsString="0" containsBlank="1"/>
    </cacheField>
    <cacheField name="Column7615" numFmtId="0">
      <sharedItems containsNonDate="0" containsString="0" containsBlank="1"/>
    </cacheField>
    <cacheField name="Column7616" numFmtId="0">
      <sharedItems containsNonDate="0" containsString="0" containsBlank="1"/>
    </cacheField>
    <cacheField name="Column7617" numFmtId="0">
      <sharedItems containsNonDate="0" containsString="0" containsBlank="1"/>
    </cacheField>
    <cacheField name="Column7618" numFmtId="0">
      <sharedItems containsNonDate="0" containsString="0" containsBlank="1"/>
    </cacheField>
    <cacheField name="Column7619" numFmtId="0">
      <sharedItems containsNonDate="0" containsString="0" containsBlank="1"/>
    </cacheField>
    <cacheField name="Column7620" numFmtId="0">
      <sharedItems containsNonDate="0" containsString="0" containsBlank="1"/>
    </cacheField>
    <cacheField name="Column7621" numFmtId="0">
      <sharedItems containsNonDate="0" containsString="0" containsBlank="1"/>
    </cacheField>
    <cacheField name="Column7622" numFmtId="0">
      <sharedItems containsNonDate="0" containsString="0" containsBlank="1"/>
    </cacheField>
    <cacheField name="Column7623" numFmtId="0">
      <sharedItems containsNonDate="0" containsString="0" containsBlank="1"/>
    </cacheField>
    <cacheField name="Column7624" numFmtId="0">
      <sharedItems containsNonDate="0" containsString="0" containsBlank="1"/>
    </cacheField>
    <cacheField name="Column7625" numFmtId="0">
      <sharedItems containsNonDate="0" containsString="0" containsBlank="1"/>
    </cacheField>
    <cacheField name="Column7626" numFmtId="0">
      <sharedItems containsNonDate="0" containsString="0" containsBlank="1"/>
    </cacheField>
    <cacheField name="Column7627" numFmtId="0">
      <sharedItems containsNonDate="0" containsString="0" containsBlank="1"/>
    </cacheField>
    <cacheField name="Column7628" numFmtId="0">
      <sharedItems containsNonDate="0" containsString="0" containsBlank="1"/>
    </cacheField>
    <cacheField name="Column7629" numFmtId="0">
      <sharedItems containsNonDate="0" containsString="0" containsBlank="1"/>
    </cacheField>
    <cacheField name="Column7630" numFmtId="0">
      <sharedItems containsNonDate="0" containsString="0" containsBlank="1"/>
    </cacheField>
    <cacheField name="Column7631" numFmtId="0">
      <sharedItems containsNonDate="0" containsString="0" containsBlank="1"/>
    </cacheField>
    <cacheField name="Column7632" numFmtId="0">
      <sharedItems containsNonDate="0" containsString="0" containsBlank="1"/>
    </cacheField>
    <cacheField name="Column7633" numFmtId="0">
      <sharedItems containsNonDate="0" containsString="0" containsBlank="1"/>
    </cacheField>
    <cacheField name="Column7634" numFmtId="0">
      <sharedItems containsNonDate="0" containsString="0" containsBlank="1"/>
    </cacheField>
    <cacheField name="Column7635" numFmtId="0">
      <sharedItems containsNonDate="0" containsString="0" containsBlank="1"/>
    </cacheField>
    <cacheField name="Column7636" numFmtId="0">
      <sharedItems containsNonDate="0" containsString="0" containsBlank="1"/>
    </cacheField>
    <cacheField name="Column7637" numFmtId="0">
      <sharedItems containsNonDate="0" containsString="0" containsBlank="1"/>
    </cacheField>
    <cacheField name="Column7638" numFmtId="0">
      <sharedItems containsNonDate="0" containsString="0" containsBlank="1"/>
    </cacheField>
    <cacheField name="Column7639" numFmtId="0">
      <sharedItems containsNonDate="0" containsString="0" containsBlank="1"/>
    </cacheField>
    <cacheField name="Column7640" numFmtId="0">
      <sharedItems containsNonDate="0" containsString="0" containsBlank="1"/>
    </cacheField>
    <cacheField name="Column7641" numFmtId="0">
      <sharedItems containsNonDate="0" containsString="0" containsBlank="1"/>
    </cacheField>
    <cacheField name="Column7642" numFmtId="0">
      <sharedItems containsNonDate="0" containsString="0" containsBlank="1"/>
    </cacheField>
    <cacheField name="Column7643" numFmtId="0">
      <sharedItems containsNonDate="0" containsString="0" containsBlank="1"/>
    </cacheField>
    <cacheField name="Column7644" numFmtId="0">
      <sharedItems containsNonDate="0" containsString="0" containsBlank="1"/>
    </cacheField>
    <cacheField name="Column7645" numFmtId="0">
      <sharedItems containsNonDate="0" containsString="0" containsBlank="1"/>
    </cacheField>
    <cacheField name="Column7646" numFmtId="0">
      <sharedItems containsNonDate="0" containsString="0" containsBlank="1"/>
    </cacheField>
    <cacheField name="Column7647" numFmtId="0">
      <sharedItems containsNonDate="0" containsString="0" containsBlank="1"/>
    </cacheField>
    <cacheField name="Column7648" numFmtId="0">
      <sharedItems containsNonDate="0" containsString="0" containsBlank="1"/>
    </cacheField>
    <cacheField name="Column7649" numFmtId="0">
      <sharedItems containsNonDate="0" containsString="0" containsBlank="1"/>
    </cacheField>
    <cacheField name="Column7650" numFmtId="0">
      <sharedItems containsNonDate="0" containsString="0" containsBlank="1"/>
    </cacheField>
    <cacheField name="Column7651" numFmtId="0">
      <sharedItems containsNonDate="0" containsString="0" containsBlank="1"/>
    </cacheField>
    <cacheField name="Column7652" numFmtId="0">
      <sharedItems containsNonDate="0" containsString="0" containsBlank="1"/>
    </cacheField>
    <cacheField name="Column7653" numFmtId="0">
      <sharedItems containsNonDate="0" containsString="0" containsBlank="1"/>
    </cacheField>
    <cacheField name="Column7654" numFmtId="0">
      <sharedItems containsNonDate="0" containsString="0" containsBlank="1"/>
    </cacheField>
    <cacheField name="Column7655" numFmtId="0">
      <sharedItems containsNonDate="0" containsString="0" containsBlank="1"/>
    </cacheField>
    <cacheField name="Column7656" numFmtId="0">
      <sharedItems containsNonDate="0" containsString="0" containsBlank="1"/>
    </cacheField>
    <cacheField name="Column7657" numFmtId="0">
      <sharedItems containsNonDate="0" containsString="0" containsBlank="1"/>
    </cacheField>
    <cacheField name="Column7658" numFmtId="0">
      <sharedItems containsNonDate="0" containsString="0" containsBlank="1"/>
    </cacheField>
    <cacheField name="Column7659" numFmtId="0">
      <sharedItems containsNonDate="0" containsString="0" containsBlank="1"/>
    </cacheField>
    <cacheField name="Column7660" numFmtId="0">
      <sharedItems containsNonDate="0" containsString="0" containsBlank="1"/>
    </cacheField>
    <cacheField name="Column7661" numFmtId="0">
      <sharedItems containsNonDate="0" containsString="0" containsBlank="1"/>
    </cacheField>
    <cacheField name="Column7662" numFmtId="0">
      <sharedItems containsNonDate="0" containsString="0" containsBlank="1"/>
    </cacheField>
    <cacheField name="Column7663" numFmtId="0">
      <sharedItems containsNonDate="0" containsString="0" containsBlank="1"/>
    </cacheField>
    <cacheField name="Column7664" numFmtId="0">
      <sharedItems containsNonDate="0" containsString="0" containsBlank="1"/>
    </cacheField>
    <cacheField name="Column7665" numFmtId="0">
      <sharedItems containsNonDate="0" containsString="0" containsBlank="1"/>
    </cacheField>
    <cacheField name="Column7666" numFmtId="0">
      <sharedItems containsNonDate="0" containsString="0" containsBlank="1"/>
    </cacheField>
    <cacheField name="Column7667" numFmtId="0">
      <sharedItems containsNonDate="0" containsString="0" containsBlank="1"/>
    </cacheField>
    <cacheField name="Column7668" numFmtId="0">
      <sharedItems containsNonDate="0" containsString="0" containsBlank="1"/>
    </cacheField>
    <cacheField name="Column7669" numFmtId="0">
      <sharedItems containsNonDate="0" containsString="0" containsBlank="1"/>
    </cacheField>
    <cacheField name="Column7670" numFmtId="0">
      <sharedItems containsNonDate="0" containsString="0" containsBlank="1"/>
    </cacheField>
    <cacheField name="Column7671" numFmtId="0">
      <sharedItems containsNonDate="0" containsString="0" containsBlank="1"/>
    </cacheField>
    <cacheField name="Column7672" numFmtId="0">
      <sharedItems containsNonDate="0" containsString="0" containsBlank="1"/>
    </cacheField>
    <cacheField name="Column7673" numFmtId="0">
      <sharedItems containsNonDate="0" containsString="0" containsBlank="1"/>
    </cacheField>
    <cacheField name="Column7674" numFmtId="0">
      <sharedItems containsNonDate="0" containsString="0" containsBlank="1"/>
    </cacheField>
    <cacheField name="Column7675" numFmtId="0">
      <sharedItems containsNonDate="0" containsString="0" containsBlank="1"/>
    </cacheField>
    <cacheField name="Column7676" numFmtId="0">
      <sharedItems containsNonDate="0" containsString="0" containsBlank="1"/>
    </cacheField>
    <cacheField name="Column7677" numFmtId="0">
      <sharedItems containsNonDate="0" containsString="0" containsBlank="1"/>
    </cacheField>
    <cacheField name="Column7678" numFmtId="0">
      <sharedItems containsNonDate="0" containsString="0" containsBlank="1"/>
    </cacheField>
    <cacheField name="Column7679" numFmtId="0">
      <sharedItems containsNonDate="0" containsString="0" containsBlank="1"/>
    </cacheField>
    <cacheField name="Column7680" numFmtId="0">
      <sharedItems containsNonDate="0" containsString="0" containsBlank="1"/>
    </cacheField>
    <cacheField name="Column7681" numFmtId="0">
      <sharedItems containsNonDate="0" containsString="0" containsBlank="1"/>
    </cacheField>
    <cacheField name="Column7682" numFmtId="0">
      <sharedItems containsNonDate="0" containsString="0" containsBlank="1"/>
    </cacheField>
    <cacheField name="Column7683" numFmtId="0">
      <sharedItems containsNonDate="0" containsString="0" containsBlank="1"/>
    </cacheField>
    <cacheField name="Column7684" numFmtId="0">
      <sharedItems containsNonDate="0" containsString="0" containsBlank="1"/>
    </cacheField>
    <cacheField name="Column7685" numFmtId="0">
      <sharedItems containsNonDate="0" containsString="0" containsBlank="1"/>
    </cacheField>
    <cacheField name="Column7686" numFmtId="0">
      <sharedItems containsNonDate="0" containsString="0" containsBlank="1"/>
    </cacheField>
    <cacheField name="Column7687" numFmtId="0">
      <sharedItems containsNonDate="0" containsString="0" containsBlank="1"/>
    </cacheField>
    <cacheField name="Column7688" numFmtId="0">
      <sharedItems containsNonDate="0" containsString="0" containsBlank="1"/>
    </cacheField>
    <cacheField name="Column7689" numFmtId="0">
      <sharedItems containsNonDate="0" containsString="0" containsBlank="1"/>
    </cacheField>
    <cacheField name="Column7690" numFmtId="0">
      <sharedItems containsNonDate="0" containsString="0" containsBlank="1"/>
    </cacheField>
    <cacheField name="Column7691" numFmtId="0">
      <sharedItems containsNonDate="0" containsString="0" containsBlank="1"/>
    </cacheField>
    <cacheField name="Column7692" numFmtId="0">
      <sharedItems containsNonDate="0" containsString="0" containsBlank="1"/>
    </cacheField>
    <cacheField name="Column7693" numFmtId="0">
      <sharedItems containsNonDate="0" containsString="0" containsBlank="1"/>
    </cacheField>
    <cacheField name="Column7694" numFmtId="0">
      <sharedItems containsNonDate="0" containsString="0" containsBlank="1"/>
    </cacheField>
    <cacheField name="Column7695" numFmtId="0">
      <sharedItems containsNonDate="0" containsString="0" containsBlank="1"/>
    </cacheField>
    <cacheField name="Column7696" numFmtId="0">
      <sharedItems containsNonDate="0" containsString="0" containsBlank="1"/>
    </cacheField>
    <cacheField name="Column7697" numFmtId="0">
      <sharedItems containsNonDate="0" containsString="0" containsBlank="1"/>
    </cacheField>
    <cacheField name="Column7698" numFmtId="0">
      <sharedItems containsNonDate="0" containsString="0" containsBlank="1"/>
    </cacheField>
    <cacheField name="Column7699" numFmtId="0">
      <sharedItems containsNonDate="0" containsString="0" containsBlank="1"/>
    </cacheField>
    <cacheField name="Column7700" numFmtId="0">
      <sharedItems containsNonDate="0" containsString="0" containsBlank="1"/>
    </cacheField>
    <cacheField name="Column7701" numFmtId="0">
      <sharedItems containsNonDate="0" containsString="0" containsBlank="1"/>
    </cacheField>
    <cacheField name="Column7702" numFmtId="0">
      <sharedItems containsNonDate="0" containsString="0" containsBlank="1"/>
    </cacheField>
    <cacheField name="Column7703" numFmtId="0">
      <sharedItems containsNonDate="0" containsString="0" containsBlank="1"/>
    </cacheField>
    <cacheField name="Column7704" numFmtId="0">
      <sharedItems containsNonDate="0" containsString="0" containsBlank="1"/>
    </cacheField>
    <cacheField name="Column7705" numFmtId="0">
      <sharedItems containsNonDate="0" containsString="0" containsBlank="1"/>
    </cacheField>
    <cacheField name="Column7706" numFmtId="0">
      <sharedItems containsNonDate="0" containsString="0" containsBlank="1"/>
    </cacheField>
    <cacheField name="Column7707" numFmtId="0">
      <sharedItems containsNonDate="0" containsString="0" containsBlank="1"/>
    </cacheField>
    <cacheField name="Column7708" numFmtId="0">
      <sharedItems containsNonDate="0" containsString="0" containsBlank="1"/>
    </cacheField>
    <cacheField name="Column7709" numFmtId="0">
      <sharedItems containsNonDate="0" containsString="0" containsBlank="1"/>
    </cacheField>
    <cacheField name="Column7710" numFmtId="0">
      <sharedItems containsNonDate="0" containsString="0" containsBlank="1"/>
    </cacheField>
    <cacheField name="Column7711" numFmtId="0">
      <sharedItems containsNonDate="0" containsString="0" containsBlank="1"/>
    </cacheField>
    <cacheField name="Column7712" numFmtId="0">
      <sharedItems containsNonDate="0" containsString="0" containsBlank="1"/>
    </cacheField>
    <cacheField name="Column7713" numFmtId="0">
      <sharedItems containsNonDate="0" containsString="0" containsBlank="1"/>
    </cacheField>
    <cacheField name="Column7714" numFmtId="0">
      <sharedItems containsNonDate="0" containsString="0" containsBlank="1"/>
    </cacheField>
    <cacheField name="Column7715" numFmtId="0">
      <sharedItems containsNonDate="0" containsString="0" containsBlank="1"/>
    </cacheField>
    <cacheField name="Column7716" numFmtId="0">
      <sharedItems containsNonDate="0" containsString="0" containsBlank="1"/>
    </cacheField>
    <cacheField name="Column7717" numFmtId="0">
      <sharedItems containsNonDate="0" containsString="0" containsBlank="1"/>
    </cacheField>
    <cacheField name="Column7718" numFmtId="0">
      <sharedItems containsNonDate="0" containsString="0" containsBlank="1"/>
    </cacheField>
    <cacheField name="Column7719" numFmtId="0">
      <sharedItems containsNonDate="0" containsString="0" containsBlank="1"/>
    </cacheField>
    <cacheField name="Column7720" numFmtId="0">
      <sharedItems containsNonDate="0" containsString="0" containsBlank="1"/>
    </cacheField>
    <cacheField name="Column7721" numFmtId="0">
      <sharedItems containsNonDate="0" containsString="0" containsBlank="1"/>
    </cacheField>
    <cacheField name="Column7722" numFmtId="0">
      <sharedItems containsNonDate="0" containsString="0" containsBlank="1"/>
    </cacheField>
    <cacheField name="Column7723" numFmtId="0">
      <sharedItems containsNonDate="0" containsString="0" containsBlank="1"/>
    </cacheField>
    <cacheField name="Column7724" numFmtId="0">
      <sharedItems containsNonDate="0" containsString="0" containsBlank="1"/>
    </cacheField>
    <cacheField name="Column7725" numFmtId="0">
      <sharedItems containsNonDate="0" containsString="0" containsBlank="1"/>
    </cacheField>
    <cacheField name="Column7726" numFmtId="0">
      <sharedItems containsNonDate="0" containsString="0" containsBlank="1"/>
    </cacheField>
    <cacheField name="Column7727" numFmtId="0">
      <sharedItems containsNonDate="0" containsString="0" containsBlank="1"/>
    </cacheField>
    <cacheField name="Column7728" numFmtId="0">
      <sharedItems containsNonDate="0" containsString="0" containsBlank="1"/>
    </cacheField>
    <cacheField name="Column7729" numFmtId="0">
      <sharedItems containsNonDate="0" containsString="0" containsBlank="1"/>
    </cacheField>
    <cacheField name="Column7730" numFmtId="0">
      <sharedItems containsNonDate="0" containsString="0" containsBlank="1"/>
    </cacheField>
    <cacheField name="Column7731" numFmtId="0">
      <sharedItems containsNonDate="0" containsString="0" containsBlank="1"/>
    </cacheField>
    <cacheField name="Column7732" numFmtId="0">
      <sharedItems containsNonDate="0" containsString="0" containsBlank="1"/>
    </cacheField>
    <cacheField name="Column7733" numFmtId="0">
      <sharedItems containsNonDate="0" containsString="0" containsBlank="1"/>
    </cacheField>
    <cacheField name="Column7734" numFmtId="0">
      <sharedItems containsNonDate="0" containsString="0" containsBlank="1"/>
    </cacheField>
    <cacheField name="Column7735" numFmtId="0">
      <sharedItems containsNonDate="0" containsString="0" containsBlank="1"/>
    </cacheField>
    <cacheField name="Column7736" numFmtId="0">
      <sharedItems containsNonDate="0" containsString="0" containsBlank="1"/>
    </cacheField>
    <cacheField name="Column7737" numFmtId="0">
      <sharedItems containsNonDate="0" containsString="0" containsBlank="1"/>
    </cacheField>
    <cacheField name="Column7738" numFmtId="0">
      <sharedItems containsNonDate="0" containsString="0" containsBlank="1"/>
    </cacheField>
    <cacheField name="Column7739" numFmtId="0">
      <sharedItems containsNonDate="0" containsString="0" containsBlank="1"/>
    </cacheField>
    <cacheField name="Column7740" numFmtId="0">
      <sharedItems containsNonDate="0" containsString="0" containsBlank="1"/>
    </cacheField>
    <cacheField name="Column7741" numFmtId="0">
      <sharedItems containsNonDate="0" containsString="0" containsBlank="1"/>
    </cacheField>
    <cacheField name="Column7742" numFmtId="0">
      <sharedItems containsNonDate="0" containsString="0" containsBlank="1"/>
    </cacheField>
    <cacheField name="Column7743" numFmtId="0">
      <sharedItems containsNonDate="0" containsString="0" containsBlank="1"/>
    </cacheField>
    <cacheField name="Column7744" numFmtId="0">
      <sharedItems containsNonDate="0" containsString="0" containsBlank="1"/>
    </cacheField>
    <cacheField name="Column7745" numFmtId="0">
      <sharedItems containsNonDate="0" containsString="0" containsBlank="1"/>
    </cacheField>
    <cacheField name="Column7746" numFmtId="0">
      <sharedItems containsNonDate="0" containsString="0" containsBlank="1"/>
    </cacheField>
    <cacheField name="Column7747" numFmtId="0">
      <sharedItems containsNonDate="0" containsString="0" containsBlank="1"/>
    </cacheField>
    <cacheField name="Column7748" numFmtId="0">
      <sharedItems containsNonDate="0" containsString="0" containsBlank="1"/>
    </cacheField>
    <cacheField name="Column7749" numFmtId="0">
      <sharedItems containsNonDate="0" containsString="0" containsBlank="1"/>
    </cacheField>
    <cacheField name="Column7750" numFmtId="0">
      <sharedItems containsNonDate="0" containsString="0" containsBlank="1"/>
    </cacheField>
    <cacheField name="Column7751" numFmtId="0">
      <sharedItems containsNonDate="0" containsString="0" containsBlank="1"/>
    </cacheField>
    <cacheField name="Column7752" numFmtId="0">
      <sharedItems containsNonDate="0" containsString="0" containsBlank="1"/>
    </cacheField>
    <cacheField name="Column7753" numFmtId="0">
      <sharedItems containsNonDate="0" containsString="0" containsBlank="1"/>
    </cacheField>
    <cacheField name="Column7754" numFmtId="0">
      <sharedItems containsNonDate="0" containsString="0" containsBlank="1"/>
    </cacheField>
    <cacheField name="Column7755" numFmtId="0">
      <sharedItems containsNonDate="0" containsString="0" containsBlank="1"/>
    </cacheField>
    <cacheField name="Column7756" numFmtId="0">
      <sharedItems containsNonDate="0" containsString="0" containsBlank="1"/>
    </cacheField>
    <cacheField name="Column7757" numFmtId="0">
      <sharedItems containsNonDate="0" containsString="0" containsBlank="1"/>
    </cacheField>
    <cacheField name="Column7758" numFmtId="0">
      <sharedItems containsNonDate="0" containsString="0" containsBlank="1"/>
    </cacheField>
    <cacheField name="Column7759" numFmtId="0">
      <sharedItems containsNonDate="0" containsString="0" containsBlank="1"/>
    </cacheField>
    <cacheField name="Column7760" numFmtId="0">
      <sharedItems containsNonDate="0" containsString="0" containsBlank="1"/>
    </cacheField>
    <cacheField name="Column7761" numFmtId="0">
      <sharedItems containsNonDate="0" containsString="0" containsBlank="1"/>
    </cacheField>
    <cacheField name="Column7762" numFmtId="0">
      <sharedItems containsNonDate="0" containsString="0" containsBlank="1"/>
    </cacheField>
    <cacheField name="Column7763" numFmtId="0">
      <sharedItems containsNonDate="0" containsString="0" containsBlank="1"/>
    </cacheField>
    <cacheField name="Column7764" numFmtId="0">
      <sharedItems containsNonDate="0" containsString="0" containsBlank="1"/>
    </cacheField>
    <cacheField name="Column7765" numFmtId="0">
      <sharedItems containsNonDate="0" containsString="0" containsBlank="1"/>
    </cacheField>
    <cacheField name="Column7766" numFmtId="0">
      <sharedItems containsNonDate="0" containsString="0" containsBlank="1"/>
    </cacheField>
    <cacheField name="Column7767" numFmtId="0">
      <sharedItems containsNonDate="0" containsString="0" containsBlank="1"/>
    </cacheField>
    <cacheField name="Column7768" numFmtId="0">
      <sharedItems containsNonDate="0" containsString="0" containsBlank="1"/>
    </cacheField>
    <cacheField name="Column7769" numFmtId="0">
      <sharedItems containsNonDate="0" containsString="0" containsBlank="1"/>
    </cacheField>
    <cacheField name="Column7770" numFmtId="0">
      <sharedItems containsNonDate="0" containsString="0" containsBlank="1"/>
    </cacheField>
    <cacheField name="Column7771" numFmtId="0">
      <sharedItems containsNonDate="0" containsString="0" containsBlank="1"/>
    </cacheField>
    <cacheField name="Column7772" numFmtId="0">
      <sharedItems containsNonDate="0" containsString="0" containsBlank="1"/>
    </cacheField>
    <cacheField name="Column7773" numFmtId="0">
      <sharedItems containsNonDate="0" containsString="0" containsBlank="1"/>
    </cacheField>
    <cacheField name="Column7774" numFmtId="0">
      <sharedItems containsNonDate="0" containsString="0" containsBlank="1"/>
    </cacheField>
    <cacheField name="Column7775" numFmtId="0">
      <sharedItems containsNonDate="0" containsString="0" containsBlank="1"/>
    </cacheField>
    <cacheField name="Column7776" numFmtId="0">
      <sharedItems containsNonDate="0" containsString="0" containsBlank="1"/>
    </cacheField>
    <cacheField name="Column7777" numFmtId="0">
      <sharedItems containsNonDate="0" containsString="0" containsBlank="1"/>
    </cacheField>
    <cacheField name="Column7778" numFmtId="0">
      <sharedItems containsNonDate="0" containsString="0" containsBlank="1"/>
    </cacheField>
    <cacheField name="Column7779" numFmtId="0">
      <sharedItems containsNonDate="0" containsString="0" containsBlank="1"/>
    </cacheField>
    <cacheField name="Column7780" numFmtId="0">
      <sharedItems containsNonDate="0" containsString="0" containsBlank="1"/>
    </cacheField>
    <cacheField name="Column7781" numFmtId="0">
      <sharedItems containsNonDate="0" containsString="0" containsBlank="1"/>
    </cacheField>
    <cacheField name="Column7782" numFmtId="0">
      <sharedItems containsNonDate="0" containsString="0" containsBlank="1"/>
    </cacheField>
    <cacheField name="Column7783" numFmtId="0">
      <sharedItems containsNonDate="0" containsString="0" containsBlank="1"/>
    </cacheField>
    <cacheField name="Column7784" numFmtId="0">
      <sharedItems containsNonDate="0" containsString="0" containsBlank="1"/>
    </cacheField>
    <cacheField name="Column7785" numFmtId="0">
      <sharedItems containsNonDate="0" containsString="0" containsBlank="1"/>
    </cacheField>
    <cacheField name="Column7786" numFmtId="0">
      <sharedItems containsNonDate="0" containsString="0" containsBlank="1"/>
    </cacheField>
    <cacheField name="Column7787" numFmtId="0">
      <sharedItems containsNonDate="0" containsString="0" containsBlank="1"/>
    </cacheField>
    <cacheField name="Column7788" numFmtId="0">
      <sharedItems containsNonDate="0" containsString="0" containsBlank="1"/>
    </cacheField>
    <cacheField name="Column7789" numFmtId="0">
      <sharedItems containsNonDate="0" containsString="0" containsBlank="1"/>
    </cacheField>
    <cacheField name="Column7790" numFmtId="0">
      <sharedItems containsNonDate="0" containsString="0" containsBlank="1"/>
    </cacheField>
    <cacheField name="Column7791" numFmtId="0">
      <sharedItems containsNonDate="0" containsString="0" containsBlank="1"/>
    </cacheField>
    <cacheField name="Column7792" numFmtId="0">
      <sharedItems containsNonDate="0" containsString="0" containsBlank="1"/>
    </cacheField>
    <cacheField name="Column7793" numFmtId="0">
      <sharedItems containsNonDate="0" containsString="0" containsBlank="1"/>
    </cacheField>
    <cacheField name="Column7794" numFmtId="0">
      <sharedItems containsNonDate="0" containsString="0" containsBlank="1"/>
    </cacheField>
    <cacheField name="Column7795" numFmtId="0">
      <sharedItems containsNonDate="0" containsString="0" containsBlank="1"/>
    </cacheField>
    <cacheField name="Column7796" numFmtId="0">
      <sharedItems containsNonDate="0" containsString="0" containsBlank="1"/>
    </cacheField>
    <cacheField name="Column7797" numFmtId="0">
      <sharedItems containsNonDate="0" containsString="0" containsBlank="1"/>
    </cacheField>
    <cacheField name="Column7798" numFmtId="0">
      <sharedItems containsNonDate="0" containsString="0" containsBlank="1"/>
    </cacheField>
    <cacheField name="Column7799" numFmtId="0">
      <sharedItems containsNonDate="0" containsString="0" containsBlank="1"/>
    </cacheField>
    <cacheField name="Column7800" numFmtId="0">
      <sharedItems containsNonDate="0" containsString="0" containsBlank="1"/>
    </cacheField>
    <cacheField name="Column7801" numFmtId="0">
      <sharedItems containsNonDate="0" containsString="0" containsBlank="1"/>
    </cacheField>
    <cacheField name="Column7802" numFmtId="0">
      <sharedItems containsNonDate="0" containsString="0" containsBlank="1"/>
    </cacheField>
    <cacheField name="Column7803" numFmtId="0">
      <sharedItems containsNonDate="0" containsString="0" containsBlank="1"/>
    </cacheField>
    <cacheField name="Column7804" numFmtId="0">
      <sharedItems containsNonDate="0" containsString="0" containsBlank="1"/>
    </cacheField>
    <cacheField name="Column7805" numFmtId="0">
      <sharedItems containsNonDate="0" containsString="0" containsBlank="1"/>
    </cacheField>
    <cacheField name="Column7806" numFmtId="0">
      <sharedItems containsNonDate="0" containsString="0" containsBlank="1"/>
    </cacheField>
    <cacheField name="Column7807" numFmtId="0">
      <sharedItems containsNonDate="0" containsString="0" containsBlank="1"/>
    </cacheField>
    <cacheField name="Column7808" numFmtId="0">
      <sharedItems containsNonDate="0" containsString="0" containsBlank="1"/>
    </cacheField>
    <cacheField name="Column7809" numFmtId="0">
      <sharedItems containsNonDate="0" containsString="0" containsBlank="1"/>
    </cacheField>
    <cacheField name="Column7810" numFmtId="0">
      <sharedItems containsNonDate="0" containsString="0" containsBlank="1"/>
    </cacheField>
    <cacheField name="Column7811" numFmtId="0">
      <sharedItems containsNonDate="0" containsString="0" containsBlank="1"/>
    </cacheField>
    <cacheField name="Column7812" numFmtId="0">
      <sharedItems containsNonDate="0" containsString="0" containsBlank="1"/>
    </cacheField>
    <cacheField name="Column7813" numFmtId="0">
      <sharedItems containsNonDate="0" containsString="0" containsBlank="1"/>
    </cacheField>
    <cacheField name="Column7814" numFmtId="0">
      <sharedItems containsNonDate="0" containsString="0" containsBlank="1"/>
    </cacheField>
    <cacheField name="Column7815" numFmtId="0">
      <sharedItems containsNonDate="0" containsString="0" containsBlank="1"/>
    </cacheField>
    <cacheField name="Column7816" numFmtId="0">
      <sharedItems containsNonDate="0" containsString="0" containsBlank="1"/>
    </cacheField>
    <cacheField name="Column7817" numFmtId="0">
      <sharedItems containsNonDate="0" containsString="0" containsBlank="1"/>
    </cacheField>
    <cacheField name="Column7818" numFmtId="0">
      <sharedItems containsNonDate="0" containsString="0" containsBlank="1"/>
    </cacheField>
    <cacheField name="Column7819" numFmtId="0">
      <sharedItems containsNonDate="0" containsString="0" containsBlank="1"/>
    </cacheField>
    <cacheField name="Column7820" numFmtId="0">
      <sharedItems containsNonDate="0" containsString="0" containsBlank="1"/>
    </cacheField>
    <cacheField name="Column7821" numFmtId="0">
      <sharedItems containsNonDate="0" containsString="0" containsBlank="1"/>
    </cacheField>
    <cacheField name="Column7822" numFmtId="0">
      <sharedItems containsNonDate="0" containsString="0" containsBlank="1"/>
    </cacheField>
    <cacheField name="Column7823" numFmtId="0">
      <sharedItems containsNonDate="0" containsString="0" containsBlank="1"/>
    </cacheField>
    <cacheField name="Column7824" numFmtId="0">
      <sharedItems containsNonDate="0" containsString="0" containsBlank="1"/>
    </cacheField>
    <cacheField name="Column7825" numFmtId="0">
      <sharedItems containsNonDate="0" containsString="0" containsBlank="1"/>
    </cacheField>
    <cacheField name="Column7826" numFmtId="0">
      <sharedItems containsNonDate="0" containsString="0" containsBlank="1"/>
    </cacheField>
    <cacheField name="Column7827" numFmtId="0">
      <sharedItems containsNonDate="0" containsString="0" containsBlank="1"/>
    </cacheField>
    <cacheField name="Column7828" numFmtId="0">
      <sharedItems containsNonDate="0" containsString="0" containsBlank="1"/>
    </cacheField>
    <cacheField name="Column7829" numFmtId="0">
      <sharedItems containsNonDate="0" containsString="0" containsBlank="1"/>
    </cacheField>
    <cacheField name="Column7830" numFmtId="0">
      <sharedItems containsNonDate="0" containsString="0" containsBlank="1"/>
    </cacheField>
    <cacheField name="Column7831" numFmtId="0">
      <sharedItems containsNonDate="0" containsString="0" containsBlank="1"/>
    </cacheField>
    <cacheField name="Column7832" numFmtId="0">
      <sharedItems containsNonDate="0" containsString="0" containsBlank="1"/>
    </cacheField>
    <cacheField name="Column7833" numFmtId="0">
      <sharedItems containsNonDate="0" containsString="0" containsBlank="1"/>
    </cacheField>
    <cacheField name="Column7834" numFmtId="0">
      <sharedItems containsNonDate="0" containsString="0" containsBlank="1"/>
    </cacheField>
    <cacheField name="Column7835" numFmtId="0">
      <sharedItems containsNonDate="0" containsString="0" containsBlank="1"/>
    </cacheField>
    <cacheField name="Column7836" numFmtId="0">
      <sharedItems containsNonDate="0" containsString="0" containsBlank="1"/>
    </cacheField>
    <cacheField name="Column7837" numFmtId="0">
      <sharedItems containsNonDate="0" containsString="0" containsBlank="1"/>
    </cacheField>
    <cacheField name="Column7838" numFmtId="0">
      <sharedItems containsNonDate="0" containsString="0" containsBlank="1"/>
    </cacheField>
    <cacheField name="Column7839" numFmtId="0">
      <sharedItems containsNonDate="0" containsString="0" containsBlank="1"/>
    </cacheField>
    <cacheField name="Column7840" numFmtId="0">
      <sharedItems containsNonDate="0" containsString="0" containsBlank="1"/>
    </cacheField>
    <cacheField name="Column7841" numFmtId="0">
      <sharedItems containsNonDate="0" containsString="0" containsBlank="1"/>
    </cacheField>
    <cacheField name="Column7842" numFmtId="0">
      <sharedItems containsNonDate="0" containsString="0" containsBlank="1"/>
    </cacheField>
    <cacheField name="Column7843" numFmtId="0">
      <sharedItems containsNonDate="0" containsString="0" containsBlank="1"/>
    </cacheField>
    <cacheField name="Column7844" numFmtId="0">
      <sharedItems containsNonDate="0" containsString="0" containsBlank="1"/>
    </cacheField>
    <cacheField name="Column7845" numFmtId="0">
      <sharedItems containsNonDate="0" containsString="0" containsBlank="1"/>
    </cacheField>
    <cacheField name="Column7846" numFmtId="0">
      <sharedItems containsNonDate="0" containsString="0" containsBlank="1"/>
    </cacheField>
    <cacheField name="Column7847" numFmtId="0">
      <sharedItems containsNonDate="0" containsString="0" containsBlank="1"/>
    </cacheField>
    <cacheField name="Column7848" numFmtId="0">
      <sharedItems containsNonDate="0" containsString="0" containsBlank="1"/>
    </cacheField>
    <cacheField name="Column7849" numFmtId="0">
      <sharedItems containsNonDate="0" containsString="0" containsBlank="1"/>
    </cacheField>
    <cacheField name="Column7850" numFmtId="0">
      <sharedItems containsNonDate="0" containsString="0" containsBlank="1"/>
    </cacheField>
    <cacheField name="Column7851" numFmtId="0">
      <sharedItems containsNonDate="0" containsString="0" containsBlank="1"/>
    </cacheField>
    <cacheField name="Column7852" numFmtId="0">
      <sharedItems containsNonDate="0" containsString="0" containsBlank="1"/>
    </cacheField>
    <cacheField name="Column7853" numFmtId="0">
      <sharedItems containsNonDate="0" containsString="0" containsBlank="1"/>
    </cacheField>
    <cacheField name="Column7854" numFmtId="0">
      <sharedItems containsNonDate="0" containsString="0" containsBlank="1"/>
    </cacheField>
    <cacheField name="Column7855" numFmtId="0">
      <sharedItems containsNonDate="0" containsString="0" containsBlank="1"/>
    </cacheField>
    <cacheField name="Column7856" numFmtId="0">
      <sharedItems containsNonDate="0" containsString="0" containsBlank="1"/>
    </cacheField>
    <cacheField name="Column7857" numFmtId="0">
      <sharedItems containsNonDate="0" containsString="0" containsBlank="1"/>
    </cacheField>
    <cacheField name="Column7858" numFmtId="0">
      <sharedItems containsNonDate="0" containsString="0" containsBlank="1"/>
    </cacheField>
    <cacheField name="Column7859" numFmtId="0">
      <sharedItems containsNonDate="0" containsString="0" containsBlank="1"/>
    </cacheField>
    <cacheField name="Column7860" numFmtId="0">
      <sharedItems containsNonDate="0" containsString="0" containsBlank="1"/>
    </cacheField>
    <cacheField name="Column7861" numFmtId="0">
      <sharedItems containsNonDate="0" containsString="0" containsBlank="1"/>
    </cacheField>
    <cacheField name="Column7862" numFmtId="0">
      <sharedItems containsNonDate="0" containsString="0" containsBlank="1"/>
    </cacheField>
    <cacheField name="Column7863" numFmtId="0">
      <sharedItems containsNonDate="0" containsString="0" containsBlank="1"/>
    </cacheField>
    <cacheField name="Column7864" numFmtId="0">
      <sharedItems containsNonDate="0" containsString="0" containsBlank="1"/>
    </cacheField>
    <cacheField name="Column7865" numFmtId="0">
      <sharedItems containsNonDate="0" containsString="0" containsBlank="1"/>
    </cacheField>
    <cacheField name="Column7866" numFmtId="0">
      <sharedItems containsNonDate="0" containsString="0" containsBlank="1"/>
    </cacheField>
    <cacheField name="Column7867" numFmtId="0">
      <sharedItems containsNonDate="0" containsString="0" containsBlank="1"/>
    </cacheField>
    <cacheField name="Column7868" numFmtId="0">
      <sharedItems containsNonDate="0" containsString="0" containsBlank="1"/>
    </cacheField>
    <cacheField name="Column7869" numFmtId="0">
      <sharedItems containsNonDate="0" containsString="0" containsBlank="1"/>
    </cacheField>
    <cacheField name="Column7870" numFmtId="0">
      <sharedItems containsNonDate="0" containsString="0" containsBlank="1"/>
    </cacheField>
    <cacheField name="Column7871" numFmtId="0">
      <sharedItems containsNonDate="0" containsString="0" containsBlank="1"/>
    </cacheField>
    <cacheField name="Column7872" numFmtId="0">
      <sharedItems containsNonDate="0" containsString="0" containsBlank="1"/>
    </cacheField>
    <cacheField name="Column7873" numFmtId="0">
      <sharedItems containsNonDate="0" containsString="0" containsBlank="1"/>
    </cacheField>
    <cacheField name="Column7874" numFmtId="0">
      <sharedItems containsNonDate="0" containsString="0" containsBlank="1"/>
    </cacheField>
    <cacheField name="Column7875" numFmtId="0">
      <sharedItems containsNonDate="0" containsString="0" containsBlank="1"/>
    </cacheField>
    <cacheField name="Column7876" numFmtId="0">
      <sharedItems containsNonDate="0" containsString="0" containsBlank="1"/>
    </cacheField>
    <cacheField name="Column7877" numFmtId="0">
      <sharedItems containsNonDate="0" containsString="0" containsBlank="1"/>
    </cacheField>
    <cacheField name="Column7878" numFmtId="0">
      <sharedItems containsNonDate="0" containsString="0" containsBlank="1"/>
    </cacheField>
    <cacheField name="Column7879" numFmtId="0">
      <sharedItems containsNonDate="0" containsString="0" containsBlank="1"/>
    </cacheField>
    <cacheField name="Column7880" numFmtId="0">
      <sharedItems containsNonDate="0" containsString="0" containsBlank="1"/>
    </cacheField>
    <cacheField name="Column7881" numFmtId="0">
      <sharedItems containsNonDate="0" containsString="0" containsBlank="1"/>
    </cacheField>
    <cacheField name="Column7882" numFmtId="0">
      <sharedItems containsNonDate="0" containsString="0" containsBlank="1"/>
    </cacheField>
    <cacheField name="Column7883" numFmtId="0">
      <sharedItems containsNonDate="0" containsString="0" containsBlank="1"/>
    </cacheField>
    <cacheField name="Column7884" numFmtId="0">
      <sharedItems containsNonDate="0" containsString="0" containsBlank="1"/>
    </cacheField>
    <cacheField name="Column7885" numFmtId="0">
      <sharedItems containsNonDate="0" containsString="0" containsBlank="1"/>
    </cacheField>
    <cacheField name="Column7886" numFmtId="0">
      <sharedItems containsNonDate="0" containsString="0" containsBlank="1"/>
    </cacheField>
    <cacheField name="Column7887" numFmtId="0">
      <sharedItems containsNonDate="0" containsString="0" containsBlank="1"/>
    </cacheField>
    <cacheField name="Column7888" numFmtId="0">
      <sharedItems containsNonDate="0" containsString="0" containsBlank="1"/>
    </cacheField>
    <cacheField name="Column7889" numFmtId="0">
      <sharedItems containsNonDate="0" containsString="0" containsBlank="1"/>
    </cacheField>
    <cacheField name="Column7890" numFmtId="0">
      <sharedItems containsNonDate="0" containsString="0" containsBlank="1"/>
    </cacheField>
    <cacheField name="Column7891" numFmtId="0">
      <sharedItems containsNonDate="0" containsString="0" containsBlank="1"/>
    </cacheField>
    <cacheField name="Column7892" numFmtId="0">
      <sharedItems containsNonDate="0" containsString="0" containsBlank="1"/>
    </cacheField>
    <cacheField name="Column7893" numFmtId="0">
      <sharedItems containsNonDate="0" containsString="0" containsBlank="1"/>
    </cacheField>
    <cacheField name="Column7894" numFmtId="0">
      <sharedItems containsNonDate="0" containsString="0" containsBlank="1"/>
    </cacheField>
    <cacheField name="Column7895" numFmtId="0">
      <sharedItems containsNonDate="0" containsString="0" containsBlank="1"/>
    </cacheField>
    <cacheField name="Column7896" numFmtId="0">
      <sharedItems containsNonDate="0" containsString="0" containsBlank="1"/>
    </cacheField>
    <cacheField name="Column7897" numFmtId="0">
      <sharedItems containsNonDate="0" containsString="0" containsBlank="1"/>
    </cacheField>
    <cacheField name="Column7898" numFmtId="0">
      <sharedItems containsNonDate="0" containsString="0" containsBlank="1"/>
    </cacheField>
    <cacheField name="Column7899" numFmtId="0">
      <sharedItems containsNonDate="0" containsString="0" containsBlank="1"/>
    </cacheField>
    <cacheField name="Column7900" numFmtId="0">
      <sharedItems containsNonDate="0" containsString="0" containsBlank="1"/>
    </cacheField>
    <cacheField name="Column7901" numFmtId="0">
      <sharedItems containsNonDate="0" containsString="0" containsBlank="1"/>
    </cacheField>
    <cacheField name="Column7902" numFmtId="0">
      <sharedItems containsNonDate="0" containsString="0" containsBlank="1"/>
    </cacheField>
    <cacheField name="Column7903" numFmtId="0">
      <sharedItems containsNonDate="0" containsString="0" containsBlank="1"/>
    </cacheField>
    <cacheField name="Column7904" numFmtId="0">
      <sharedItems containsNonDate="0" containsString="0" containsBlank="1"/>
    </cacheField>
    <cacheField name="Column7905" numFmtId="0">
      <sharedItems containsNonDate="0" containsString="0" containsBlank="1"/>
    </cacheField>
    <cacheField name="Column7906" numFmtId="0">
      <sharedItems containsNonDate="0" containsString="0" containsBlank="1"/>
    </cacheField>
    <cacheField name="Column7907" numFmtId="0">
      <sharedItems containsNonDate="0" containsString="0" containsBlank="1"/>
    </cacheField>
    <cacheField name="Column7908" numFmtId="0">
      <sharedItems containsNonDate="0" containsString="0" containsBlank="1"/>
    </cacheField>
    <cacheField name="Column7909" numFmtId="0">
      <sharedItems containsNonDate="0" containsString="0" containsBlank="1"/>
    </cacheField>
    <cacheField name="Column7910" numFmtId="0">
      <sharedItems containsNonDate="0" containsString="0" containsBlank="1"/>
    </cacheField>
    <cacheField name="Column7911" numFmtId="0">
      <sharedItems containsNonDate="0" containsString="0" containsBlank="1"/>
    </cacheField>
    <cacheField name="Column7912" numFmtId="0">
      <sharedItems containsNonDate="0" containsString="0" containsBlank="1"/>
    </cacheField>
    <cacheField name="Column7913" numFmtId="0">
      <sharedItems containsNonDate="0" containsString="0" containsBlank="1"/>
    </cacheField>
    <cacheField name="Column7914" numFmtId="0">
      <sharedItems containsNonDate="0" containsString="0" containsBlank="1"/>
    </cacheField>
    <cacheField name="Column7915" numFmtId="0">
      <sharedItems containsNonDate="0" containsString="0" containsBlank="1"/>
    </cacheField>
    <cacheField name="Column7916" numFmtId="0">
      <sharedItems containsNonDate="0" containsString="0" containsBlank="1"/>
    </cacheField>
    <cacheField name="Column7917" numFmtId="0">
      <sharedItems containsNonDate="0" containsString="0" containsBlank="1"/>
    </cacheField>
    <cacheField name="Column7918" numFmtId="0">
      <sharedItems containsNonDate="0" containsString="0" containsBlank="1"/>
    </cacheField>
    <cacheField name="Column7919" numFmtId="0">
      <sharedItems containsNonDate="0" containsString="0" containsBlank="1"/>
    </cacheField>
    <cacheField name="Column7920" numFmtId="0">
      <sharedItems containsNonDate="0" containsString="0" containsBlank="1"/>
    </cacheField>
    <cacheField name="Column7921" numFmtId="0">
      <sharedItems containsNonDate="0" containsString="0" containsBlank="1"/>
    </cacheField>
    <cacheField name="Column7922" numFmtId="0">
      <sharedItems containsNonDate="0" containsString="0" containsBlank="1"/>
    </cacheField>
    <cacheField name="Column7923" numFmtId="0">
      <sharedItems containsNonDate="0" containsString="0" containsBlank="1"/>
    </cacheField>
    <cacheField name="Column7924" numFmtId="0">
      <sharedItems containsNonDate="0" containsString="0" containsBlank="1"/>
    </cacheField>
    <cacheField name="Column7925" numFmtId="0">
      <sharedItems containsNonDate="0" containsString="0" containsBlank="1"/>
    </cacheField>
    <cacheField name="Column7926" numFmtId="0">
      <sharedItems containsNonDate="0" containsString="0" containsBlank="1"/>
    </cacheField>
    <cacheField name="Column7927" numFmtId="0">
      <sharedItems containsNonDate="0" containsString="0" containsBlank="1"/>
    </cacheField>
    <cacheField name="Column7928" numFmtId="0">
      <sharedItems containsNonDate="0" containsString="0" containsBlank="1"/>
    </cacheField>
    <cacheField name="Column7929" numFmtId="0">
      <sharedItems containsNonDate="0" containsString="0" containsBlank="1"/>
    </cacheField>
    <cacheField name="Column7930" numFmtId="0">
      <sharedItems containsNonDate="0" containsString="0" containsBlank="1"/>
    </cacheField>
    <cacheField name="Column7931" numFmtId="0">
      <sharedItems containsNonDate="0" containsString="0" containsBlank="1"/>
    </cacheField>
    <cacheField name="Column7932" numFmtId="0">
      <sharedItems containsNonDate="0" containsString="0" containsBlank="1"/>
    </cacheField>
    <cacheField name="Column7933" numFmtId="0">
      <sharedItems containsNonDate="0" containsString="0" containsBlank="1"/>
    </cacheField>
    <cacheField name="Column7934" numFmtId="0">
      <sharedItems containsNonDate="0" containsString="0" containsBlank="1"/>
    </cacheField>
    <cacheField name="Column7935" numFmtId="0">
      <sharedItems containsNonDate="0" containsString="0" containsBlank="1"/>
    </cacheField>
    <cacheField name="Column7936" numFmtId="0">
      <sharedItems containsNonDate="0" containsString="0" containsBlank="1"/>
    </cacheField>
    <cacheField name="Column7937" numFmtId="0">
      <sharedItems containsNonDate="0" containsString="0" containsBlank="1"/>
    </cacheField>
    <cacheField name="Column7938" numFmtId="0">
      <sharedItems containsNonDate="0" containsString="0" containsBlank="1"/>
    </cacheField>
    <cacheField name="Column7939" numFmtId="0">
      <sharedItems containsNonDate="0" containsString="0" containsBlank="1"/>
    </cacheField>
    <cacheField name="Column7940" numFmtId="0">
      <sharedItems containsNonDate="0" containsString="0" containsBlank="1"/>
    </cacheField>
    <cacheField name="Column7941" numFmtId="0">
      <sharedItems containsNonDate="0" containsString="0" containsBlank="1"/>
    </cacheField>
    <cacheField name="Column7942" numFmtId="0">
      <sharedItems containsNonDate="0" containsString="0" containsBlank="1"/>
    </cacheField>
    <cacheField name="Column7943" numFmtId="0">
      <sharedItems containsNonDate="0" containsString="0" containsBlank="1"/>
    </cacheField>
    <cacheField name="Column7944" numFmtId="0">
      <sharedItems containsNonDate="0" containsString="0" containsBlank="1"/>
    </cacheField>
    <cacheField name="Column7945" numFmtId="0">
      <sharedItems containsNonDate="0" containsString="0" containsBlank="1"/>
    </cacheField>
    <cacheField name="Column7946" numFmtId="0">
      <sharedItems containsNonDate="0" containsString="0" containsBlank="1"/>
    </cacheField>
    <cacheField name="Column7947" numFmtId="0">
      <sharedItems containsNonDate="0" containsString="0" containsBlank="1"/>
    </cacheField>
    <cacheField name="Column7948" numFmtId="0">
      <sharedItems containsNonDate="0" containsString="0" containsBlank="1"/>
    </cacheField>
    <cacheField name="Column7949" numFmtId="0">
      <sharedItems containsNonDate="0" containsString="0" containsBlank="1"/>
    </cacheField>
    <cacheField name="Column7950" numFmtId="0">
      <sharedItems containsNonDate="0" containsString="0" containsBlank="1"/>
    </cacheField>
    <cacheField name="Column7951" numFmtId="0">
      <sharedItems containsNonDate="0" containsString="0" containsBlank="1"/>
    </cacheField>
    <cacheField name="Column7952" numFmtId="0">
      <sharedItems containsNonDate="0" containsString="0" containsBlank="1"/>
    </cacheField>
    <cacheField name="Column7953" numFmtId="0">
      <sharedItems containsNonDate="0" containsString="0" containsBlank="1"/>
    </cacheField>
    <cacheField name="Column7954" numFmtId="0">
      <sharedItems containsNonDate="0" containsString="0" containsBlank="1"/>
    </cacheField>
    <cacheField name="Column7955" numFmtId="0">
      <sharedItems containsNonDate="0" containsString="0" containsBlank="1"/>
    </cacheField>
    <cacheField name="Column7956" numFmtId="0">
      <sharedItems containsNonDate="0" containsString="0" containsBlank="1"/>
    </cacheField>
    <cacheField name="Column7957" numFmtId="0">
      <sharedItems containsNonDate="0" containsString="0" containsBlank="1"/>
    </cacheField>
    <cacheField name="Column7958" numFmtId="0">
      <sharedItems containsNonDate="0" containsString="0" containsBlank="1"/>
    </cacheField>
    <cacheField name="Column7959" numFmtId="0">
      <sharedItems containsNonDate="0" containsString="0" containsBlank="1"/>
    </cacheField>
    <cacheField name="Column7960" numFmtId="0">
      <sharedItems containsNonDate="0" containsString="0" containsBlank="1"/>
    </cacheField>
    <cacheField name="Column7961" numFmtId="0">
      <sharedItems containsNonDate="0" containsString="0" containsBlank="1"/>
    </cacheField>
    <cacheField name="Column7962" numFmtId="0">
      <sharedItems containsNonDate="0" containsString="0" containsBlank="1"/>
    </cacheField>
    <cacheField name="Column7963" numFmtId="0">
      <sharedItems containsNonDate="0" containsString="0" containsBlank="1"/>
    </cacheField>
    <cacheField name="Column7964" numFmtId="0">
      <sharedItems containsNonDate="0" containsString="0" containsBlank="1"/>
    </cacheField>
    <cacheField name="Column7965" numFmtId="0">
      <sharedItems containsNonDate="0" containsString="0" containsBlank="1"/>
    </cacheField>
    <cacheField name="Column7966" numFmtId="0">
      <sharedItems containsNonDate="0" containsString="0" containsBlank="1"/>
    </cacheField>
    <cacheField name="Column7967" numFmtId="0">
      <sharedItems containsNonDate="0" containsString="0" containsBlank="1"/>
    </cacheField>
    <cacheField name="Column7968" numFmtId="0">
      <sharedItems containsNonDate="0" containsString="0" containsBlank="1"/>
    </cacheField>
    <cacheField name="Column7969" numFmtId="0">
      <sharedItems containsNonDate="0" containsString="0" containsBlank="1"/>
    </cacheField>
    <cacheField name="Column7970" numFmtId="0">
      <sharedItems containsNonDate="0" containsString="0" containsBlank="1"/>
    </cacheField>
    <cacheField name="Column7971" numFmtId="0">
      <sharedItems containsNonDate="0" containsString="0" containsBlank="1"/>
    </cacheField>
    <cacheField name="Column7972" numFmtId="0">
      <sharedItems containsNonDate="0" containsString="0" containsBlank="1"/>
    </cacheField>
    <cacheField name="Column7973" numFmtId="0">
      <sharedItems containsNonDate="0" containsString="0" containsBlank="1"/>
    </cacheField>
    <cacheField name="Column7974" numFmtId="0">
      <sharedItems containsNonDate="0" containsString="0" containsBlank="1"/>
    </cacheField>
    <cacheField name="Column7975" numFmtId="0">
      <sharedItems containsNonDate="0" containsString="0" containsBlank="1"/>
    </cacheField>
    <cacheField name="Column7976" numFmtId="0">
      <sharedItems containsNonDate="0" containsString="0" containsBlank="1"/>
    </cacheField>
    <cacheField name="Column7977" numFmtId="0">
      <sharedItems containsNonDate="0" containsString="0" containsBlank="1"/>
    </cacheField>
    <cacheField name="Column7978" numFmtId="0">
      <sharedItems containsNonDate="0" containsString="0" containsBlank="1"/>
    </cacheField>
    <cacheField name="Column7979" numFmtId="0">
      <sharedItems containsNonDate="0" containsString="0" containsBlank="1"/>
    </cacheField>
    <cacheField name="Column7980" numFmtId="0">
      <sharedItems containsNonDate="0" containsString="0" containsBlank="1"/>
    </cacheField>
    <cacheField name="Column7981" numFmtId="0">
      <sharedItems containsNonDate="0" containsString="0" containsBlank="1"/>
    </cacheField>
    <cacheField name="Column7982" numFmtId="0">
      <sharedItems containsNonDate="0" containsString="0" containsBlank="1"/>
    </cacheField>
    <cacheField name="Column7983" numFmtId="0">
      <sharedItems containsNonDate="0" containsString="0" containsBlank="1"/>
    </cacheField>
    <cacheField name="Column7984" numFmtId="0">
      <sharedItems containsNonDate="0" containsString="0" containsBlank="1"/>
    </cacheField>
    <cacheField name="Column7985" numFmtId="0">
      <sharedItems containsNonDate="0" containsString="0" containsBlank="1"/>
    </cacheField>
    <cacheField name="Column7986" numFmtId="0">
      <sharedItems containsNonDate="0" containsString="0" containsBlank="1"/>
    </cacheField>
    <cacheField name="Column7987" numFmtId="0">
      <sharedItems containsNonDate="0" containsString="0" containsBlank="1"/>
    </cacheField>
    <cacheField name="Column7988" numFmtId="0">
      <sharedItems containsNonDate="0" containsString="0" containsBlank="1"/>
    </cacheField>
    <cacheField name="Column7989" numFmtId="0">
      <sharedItems containsNonDate="0" containsString="0" containsBlank="1"/>
    </cacheField>
    <cacheField name="Column7990" numFmtId="0">
      <sharedItems containsNonDate="0" containsString="0" containsBlank="1"/>
    </cacheField>
    <cacheField name="Column7991" numFmtId="0">
      <sharedItems containsNonDate="0" containsString="0" containsBlank="1"/>
    </cacheField>
    <cacheField name="Column7992" numFmtId="0">
      <sharedItems containsNonDate="0" containsString="0" containsBlank="1"/>
    </cacheField>
    <cacheField name="Column7993" numFmtId="0">
      <sharedItems containsNonDate="0" containsString="0" containsBlank="1"/>
    </cacheField>
    <cacheField name="Column7994" numFmtId="0">
      <sharedItems containsNonDate="0" containsString="0" containsBlank="1"/>
    </cacheField>
    <cacheField name="Column7995" numFmtId="0">
      <sharedItems containsNonDate="0" containsString="0" containsBlank="1"/>
    </cacheField>
    <cacheField name="Column7996" numFmtId="0">
      <sharedItems containsNonDate="0" containsString="0" containsBlank="1"/>
    </cacheField>
    <cacheField name="Column7997" numFmtId="0">
      <sharedItems containsNonDate="0" containsString="0" containsBlank="1"/>
    </cacheField>
    <cacheField name="Column7998" numFmtId="0">
      <sharedItems containsNonDate="0" containsString="0" containsBlank="1"/>
    </cacheField>
    <cacheField name="Column7999" numFmtId="0">
      <sharedItems containsNonDate="0" containsString="0" containsBlank="1"/>
    </cacheField>
    <cacheField name="Column8000" numFmtId="0">
      <sharedItems containsNonDate="0" containsString="0" containsBlank="1"/>
    </cacheField>
    <cacheField name="Column8001" numFmtId="0">
      <sharedItems containsNonDate="0" containsString="0" containsBlank="1"/>
    </cacheField>
    <cacheField name="Column8002" numFmtId="0">
      <sharedItems containsNonDate="0" containsString="0" containsBlank="1"/>
    </cacheField>
    <cacheField name="Column8003" numFmtId="0">
      <sharedItems containsNonDate="0" containsString="0" containsBlank="1"/>
    </cacheField>
    <cacheField name="Column8004" numFmtId="0">
      <sharedItems containsNonDate="0" containsString="0" containsBlank="1"/>
    </cacheField>
    <cacheField name="Column8005" numFmtId="0">
      <sharedItems containsNonDate="0" containsString="0" containsBlank="1"/>
    </cacheField>
    <cacheField name="Column8006" numFmtId="0">
      <sharedItems containsNonDate="0" containsString="0" containsBlank="1"/>
    </cacheField>
    <cacheField name="Column8007" numFmtId="0">
      <sharedItems containsNonDate="0" containsString="0" containsBlank="1"/>
    </cacheField>
    <cacheField name="Column8008" numFmtId="0">
      <sharedItems containsNonDate="0" containsString="0" containsBlank="1"/>
    </cacheField>
    <cacheField name="Column8009" numFmtId="0">
      <sharedItems containsNonDate="0" containsString="0" containsBlank="1"/>
    </cacheField>
    <cacheField name="Column8010" numFmtId="0">
      <sharedItems containsNonDate="0" containsString="0" containsBlank="1"/>
    </cacheField>
    <cacheField name="Column8011" numFmtId="0">
      <sharedItems containsNonDate="0" containsString="0" containsBlank="1"/>
    </cacheField>
    <cacheField name="Column8012" numFmtId="0">
      <sharedItems containsNonDate="0" containsString="0" containsBlank="1"/>
    </cacheField>
    <cacheField name="Column8013" numFmtId="0">
      <sharedItems containsNonDate="0" containsString="0" containsBlank="1"/>
    </cacheField>
    <cacheField name="Column8014" numFmtId="0">
      <sharedItems containsNonDate="0" containsString="0" containsBlank="1"/>
    </cacheField>
    <cacheField name="Column8015" numFmtId="0">
      <sharedItems containsNonDate="0" containsString="0" containsBlank="1"/>
    </cacheField>
    <cacheField name="Column8016" numFmtId="0">
      <sharedItems containsNonDate="0" containsString="0" containsBlank="1"/>
    </cacheField>
    <cacheField name="Column8017" numFmtId="0">
      <sharedItems containsNonDate="0" containsString="0" containsBlank="1"/>
    </cacheField>
    <cacheField name="Column8018" numFmtId="0">
      <sharedItems containsNonDate="0" containsString="0" containsBlank="1"/>
    </cacheField>
    <cacheField name="Column8019" numFmtId="0">
      <sharedItems containsNonDate="0" containsString="0" containsBlank="1"/>
    </cacheField>
    <cacheField name="Column8020" numFmtId="0">
      <sharedItems containsNonDate="0" containsString="0" containsBlank="1"/>
    </cacheField>
    <cacheField name="Column8021" numFmtId="0">
      <sharedItems containsNonDate="0" containsString="0" containsBlank="1"/>
    </cacheField>
    <cacheField name="Column8022" numFmtId="0">
      <sharedItems containsNonDate="0" containsString="0" containsBlank="1"/>
    </cacheField>
    <cacheField name="Column8023" numFmtId="0">
      <sharedItems containsNonDate="0" containsString="0" containsBlank="1"/>
    </cacheField>
    <cacheField name="Column8024" numFmtId="0">
      <sharedItems containsNonDate="0" containsString="0" containsBlank="1"/>
    </cacheField>
    <cacheField name="Column8025" numFmtId="0">
      <sharedItems containsNonDate="0" containsString="0" containsBlank="1"/>
    </cacheField>
    <cacheField name="Column8026" numFmtId="0">
      <sharedItems containsNonDate="0" containsString="0" containsBlank="1"/>
    </cacheField>
    <cacheField name="Column8027" numFmtId="0">
      <sharedItems containsNonDate="0" containsString="0" containsBlank="1"/>
    </cacheField>
    <cacheField name="Column8028" numFmtId="0">
      <sharedItems containsNonDate="0" containsString="0" containsBlank="1"/>
    </cacheField>
    <cacheField name="Column8029" numFmtId="0">
      <sharedItems containsNonDate="0" containsString="0" containsBlank="1"/>
    </cacheField>
    <cacheField name="Column8030" numFmtId="0">
      <sharedItems containsNonDate="0" containsString="0" containsBlank="1"/>
    </cacheField>
    <cacheField name="Column8031" numFmtId="0">
      <sharedItems containsNonDate="0" containsString="0" containsBlank="1"/>
    </cacheField>
    <cacheField name="Column8032" numFmtId="0">
      <sharedItems containsNonDate="0" containsString="0" containsBlank="1"/>
    </cacheField>
    <cacheField name="Column8033" numFmtId="0">
      <sharedItems containsNonDate="0" containsString="0" containsBlank="1"/>
    </cacheField>
    <cacheField name="Column8034" numFmtId="0">
      <sharedItems containsNonDate="0" containsString="0" containsBlank="1"/>
    </cacheField>
    <cacheField name="Column8035" numFmtId="0">
      <sharedItems containsNonDate="0" containsString="0" containsBlank="1"/>
    </cacheField>
    <cacheField name="Column8036" numFmtId="0">
      <sharedItems containsNonDate="0" containsString="0" containsBlank="1"/>
    </cacheField>
    <cacheField name="Column8037" numFmtId="0">
      <sharedItems containsNonDate="0" containsString="0" containsBlank="1"/>
    </cacheField>
    <cacheField name="Column8038" numFmtId="0">
      <sharedItems containsNonDate="0" containsString="0" containsBlank="1"/>
    </cacheField>
    <cacheField name="Column8039" numFmtId="0">
      <sharedItems containsNonDate="0" containsString="0" containsBlank="1"/>
    </cacheField>
    <cacheField name="Column8040" numFmtId="0">
      <sharedItems containsNonDate="0" containsString="0" containsBlank="1"/>
    </cacheField>
    <cacheField name="Column8041" numFmtId="0">
      <sharedItems containsNonDate="0" containsString="0" containsBlank="1"/>
    </cacheField>
    <cacheField name="Column8042" numFmtId="0">
      <sharedItems containsNonDate="0" containsString="0" containsBlank="1"/>
    </cacheField>
    <cacheField name="Column8043" numFmtId="0">
      <sharedItems containsNonDate="0" containsString="0" containsBlank="1"/>
    </cacheField>
    <cacheField name="Column8044" numFmtId="0">
      <sharedItems containsNonDate="0" containsString="0" containsBlank="1"/>
    </cacheField>
    <cacheField name="Column8045" numFmtId="0">
      <sharedItems containsNonDate="0" containsString="0" containsBlank="1"/>
    </cacheField>
    <cacheField name="Column8046" numFmtId="0">
      <sharedItems containsNonDate="0" containsString="0" containsBlank="1"/>
    </cacheField>
    <cacheField name="Column8047" numFmtId="0">
      <sharedItems containsNonDate="0" containsString="0" containsBlank="1"/>
    </cacheField>
    <cacheField name="Column8048" numFmtId="0">
      <sharedItems containsNonDate="0" containsString="0" containsBlank="1"/>
    </cacheField>
    <cacheField name="Column8049" numFmtId="0">
      <sharedItems containsNonDate="0" containsString="0" containsBlank="1"/>
    </cacheField>
    <cacheField name="Column8050" numFmtId="0">
      <sharedItems containsNonDate="0" containsString="0" containsBlank="1"/>
    </cacheField>
    <cacheField name="Column8051" numFmtId="0">
      <sharedItems containsNonDate="0" containsString="0" containsBlank="1"/>
    </cacheField>
    <cacheField name="Column8052" numFmtId="0">
      <sharedItems containsNonDate="0" containsString="0" containsBlank="1"/>
    </cacheField>
    <cacheField name="Column8053" numFmtId="0">
      <sharedItems containsNonDate="0" containsString="0" containsBlank="1"/>
    </cacheField>
    <cacheField name="Column8054" numFmtId="0">
      <sharedItems containsNonDate="0" containsString="0" containsBlank="1"/>
    </cacheField>
    <cacheField name="Column8055" numFmtId="0">
      <sharedItems containsNonDate="0" containsString="0" containsBlank="1"/>
    </cacheField>
    <cacheField name="Column8056" numFmtId="0">
      <sharedItems containsNonDate="0" containsString="0" containsBlank="1"/>
    </cacheField>
    <cacheField name="Column8057" numFmtId="0">
      <sharedItems containsNonDate="0" containsString="0" containsBlank="1"/>
    </cacheField>
    <cacheField name="Column8058" numFmtId="0">
      <sharedItems containsNonDate="0" containsString="0" containsBlank="1"/>
    </cacheField>
    <cacheField name="Column8059" numFmtId="0">
      <sharedItems containsNonDate="0" containsString="0" containsBlank="1"/>
    </cacheField>
    <cacheField name="Column8060" numFmtId="0">
      <sharedItems containsNonDate="0" containsString="0" containsBlank="1"/>
    </cacheField>
    <cacheField name="Column8061" numFmtId="0">
      <sharedItems containsNonDate="0" containsString="0" containsBlank="1"/>
    </cacheField>
    <cacheField name="Column8062" numFmtId="0">
      <sharedItems containsNonDate="0" containsString="0" containsBlank="1"/>
    </cacheField>
    <cacheField name="Column8063" numFmtId="0">
      <sharedItems containsNonDate="0" containsString="0" containsBlank="1"/>
    </cacheField>
    <cacheField name="Column8064" numFmtId="0">
      <sharedItems containsNonDate="0" containsString="0" containsBlank="1"/>
    </cacheField>
    <cacheField name="Column8065" numFmtId="0">
      <sharedItems containsNonDate="0" containsString="0" containsBlank="1"/>
    </cacheField>
    <cacheField name="Column8066" numFmtId="0">
      <sharedItems containsNonDate="0" containsString="0" containsBlank="1"/>
    </cacheField>
    <cacheField name="Column8067" numFmtId="0">
      <sharedItems containsNonDate="0" containsString="0" containsBlank="1"/>
    </cacheField>
    <cacheField name="Column8068" numFmtId="0">
      <sharedItems containsNonDate="0" containsString="0" containsBlank="1"/>
    </cacheField>
    <cacheField name="Column8069" numFmtId="0">
      <sharedItems containsNonDate="0" containsString="0" containsBlank="1"/>
    </cacheField>
    <cacheField name="Column8070" numFmtId="0">
      <sharedItems containsNonDate="0" containsString="0" containsBlank="1"/>
    </cacheField>
    <cacheField name="Column8071" numFmtId="0">
      <sharedItems containsNonDate="0" containsString="0" containsBlank="1"/>
    </cacheField>
    <cacheField name="Column8072" numFmtId="0">
      <sharedItems containsNonDate="0" containsString="0" containsBlank="1"/>
    </cacheField>
    <cacheField name="Column8073" numFmtId="0">
      <sharedItems containsNonDate="0" containsString="0" containsBlank="1"/>
    </cacheField>
    <cacheField name="Column8074" numFmtId="0">
      <sharedItems containsNonDate="0" containsString="0" containsBlank="1"/>
    </cacheField>
    <cacheField name="Column8075" numFmtId="0">
      <sharedItems containsNonDate="0" containsString="0" containsBlank="1"/>
    </cacheField>
    <cacheField name="Column8076" numFmtId="0">
      <sharedItems containsNonDate="0" containsString="0" containsBlank="1"/>
    </cacheField>
    <cacheField name="Column8077" numFmtId="0">
      <sharedItems containsNonDate="0" containsString="0" containsBlank="1"/>
    </cacheField>
    <cacheField name="Column8078" numFmtId="0">
      <sharedItems containsNonDate="0" containsString="0" containsBlank="1"/>
    </cacheField>
    <cacheField name="Column8079" numFmtId="0">
      <sharedItems containsNonDate="0" containsString="0" containsBlank="1"/>
    </cacheField>
    <cacheField name="Column8080" numFmtId="0">
      <sharedItems containsNonDate="0" containsString="0" containsBlank="1"/>
    </cacheField>
    <cacheField name="Column8081" numFmtId="0">
      <sharedItems containsNonDate="0" containsString="0" containsBlank="1"/>
    </cacheField>
    <cacheField name="Column8082" numFmtId="0">
      <sharedItems containsNonDate="0" containsString="0" containsBlank="1"/>
    </cacheField>
    <cacheField name="Column8083" numFmtId="0">
      <sharedItems containsNonDate="0" containsString="0" containsBlank="1"/>
    </cacheField>
    <cacheField name="Column8084" numFmtId="0">
      <sharedItems containsNonDate="0" containsString="0" containsBlank="1"/>
    </cacheField>
    <cacheField name="Column8085" numFmtId="0">
      <sharedItems containsNonDate="0" containsString="0" containsBlank="1"/>
    </cacheField>
    <cacheField name="Column8086" numFmtId="0">
      <sharedItems containsNonDate="0" containsString="0" containsBlank="1"/>
    </cacheField>
    <cacheField name="Column8087" numFmtId="0">
      <sharedItems containsNonDate="0" containsString="0" containsBlank="1"/>
    </cacheField>
    <cacheField name="Column8088" numFmtId="0">
      <sharedItems containsNonDate="0" containsString="0" containsBlank="1"/>
    </cacheField>
    <cacheField name="Column8089" numFmtId="0">
      <sharedItems containsNonDate="0" containsString="0" containsBlank="1"/>
    </cacheField>
    <cacheField name="Column8090" numFmtId="0">
      <sharedItems containsNonDate="0" containsString="0" containsBlank="1"/>
    </cacheField>
    <cacheField name="Column8091" numFmtId="0">
      <sharedItems containsNonDate="0" containsString="0" containsBlank="1"/>
    </cacheField>
    <cacheField name="Column8092" numFmtId="0">
      <sharedItems containsNonDate="0" containsString="0" containsBlank="1"/>
    </cacheField>
    <cacheField name="Column8093" numFmtId="0">
      <sharedItems containsNonDate="0" containsString="0" containsBlank="1"/>
    </cacheField>
    <cacheField name="Column8094" numFmtId="0">
      <sharedItems containsNonDate="0" containsString="0" containsBlank="1"/>
    </cacheField>
    <cacheField name="Column8095" numFmtId="0">
      <sharedItems containsNonDate="0" containsString="0" containsBlank="1"/>
    </cacheField>
    <cacheField name="Column8096" numFmtId="0">
      <sharedItems containsNonDate="0" containsString="0" containsBlank="1"/>
    </cacheField>
    <cacheField name="Column8097" numFmtId="0">
      <sharedItems containsNonDate="0" containsString="0" containsBlank="1"/>
    </cacheField>
    <cacheField name="Column8098" numFmtId="0">
      <sharedItems containsNonDate="0" containsString="0" containsBlank="1"/>
    </cacheField>
    <cacheField name="Column8099" numFmtId="0">
      <sharedItems containsNonDate="0" containsString="0" containsBlank="1"/>
    </cacheField>
    <cacheField name="Column8100" numFmtId="0">
      <sharedItems containsNonDate="0" containsString="0" containsBlank="1"/>
    </cacheField>
    <cacheField name="Column8101" numFmtId="0">
      <sharedItems containsNonDate="0" containsString="0" containsBlank="1"/>
    </cacheField>
    <cacheField name="Column8102" numFmtId="0">
      <sharedItems containsNonDate="0" containsString="0" containsBlank="1"/>
    </cacheField>
    <cacheField name="Column8103" numFmtId="0">
      <sharedItems containsNonDate="0" containsString="0" containsBlank="1"/>
    </cacheField>
    <cacheField name="Column8104" numFmtId="0">
      <sharedItems containsNonDate="0" containsString="0" containsBlank="1"/>
    </cacheField>
    <cacheField name="Column8105" numFmtId="0">
      <sharedItems containsNonDate="0" containsString="0" containsBlank="1"/>
    </cacheField>
    <cacheField name="Column8106" numFmtId="0">
      <sharedItems containsNonDate="0" containsString="0" containsBlank="1"/>
    </cacheField>
    <cacheField name="Column8107" numFmtId="0">
      <sharedItems containsNonDate="0" containsString="0" containsBlank="1"/>
    </cacheField>
    <cacheField name="Column8108" numFmtId="0">
      <sharedItems containsNonDate="0" containsString="0" containsBlank="1"/>
    </cacheField>
    <cacheField name="Column8109" numFmtId="0">
      <sharedItems containsNonDate="0" containsString="0" containsBlank="1"/>
    </cacheField>
    <cacheField name="Column8110" numFmtId="0">
      <sharedItems containsNonDate="0" containsString="0" containsBlank="1"/>
    </cacheField>
    <cacheField name="Column8111" numFmtId="0">
      <sharedItems containsNonDate="0" containsString="0" containsBlank="1"/>
    </cacheField>
    <cacheField name="Column8112" numFmtId="0">
      <sharedItems containsNonDate="0" containsString="0" containsBlank="1"/>
    </cacheField>
    <cacheField name="Column8113" numFmtId="0">
      <sharedItems containsNonDate="0" containsString="0" containsBlank="1"/>
    </cacheField>
    <cacheField name="Column8114" numFmtId="0">
      <sharedItems containsNonDate="0" containsString="0" containsBlank="1"/>
    </cacheField>
    <cacheField name="Column8115" numFmtId="0">
      <sharedItems containsNonDate="0" containsString="0" containsBlank="1"/>
    </cacheField>
    <cacheField name="Column8116" numFmtId="0">
      <sharedItems containsNonDate="0" containsString="0" containsBlank="1"/>
    </cacheField>
    <cacheField name="Column8117" numFmtId="0">
      <sharedItems containsNonDate="0" containsString="0" containsBlank="1"/>
    </cacheField>
    <cacheField name="Column8118" numFmtId="0">
      <sharedItems containsNonDate="0" containsString="0" containsBlank="1"/>
    </cacheField>
    <cacheField name="Column8119" numFmtId="0">
      <sharedItems containsNonDate="0" containsString="0" containsBlank="1"/>
    </cacheField>
    <cacheField name="Column8120" numFmtId="0">
      <sharedItems containsNonDate="0" containsString="0" containsBlank="1"/>
    </cacheField>
    <cacheField name="Column8121" numFmtId="0">
      <sharedItems containsNonDate="0" containsString="0" containsBlank="1"/>
    </cacheField>
    <cacheField name="Column8122" numFmtId="0">
      <sharedItems containsNonDate="0" containsString="0" containsBlank="1"/>
    </cacheField>
    <cacheField name="Column8123" numFmtId="0">
      <sharedItems containsNonDate="0" containsString="0" containsBlank="1"/>
    </cacheField>
    <cacheField name="Column8124" numFmtId="0">
      <sharedItems containsNonDate="0" containsString="0" containsBlank="1"/>
    </cacheField>
    <cacheField name="Column8125" numFmtId="0">
      <sharedItems containsNonDate="0" containsString="0" containsBlank="1"/>
    </cacheField>
    <cacheField name="Column8126" numFmtId="0">
      <sharedItems containsNonDate="0" containsString="0" containsBlank="1"/>
    </cacheField>
    <cacheField name="Column8127" numFmtId="0">
      <sharedItems containsNonDate="0" containsString="0" containsBlank="1"/>
    </cacheField>
    <cacheField name="Column8128" numFmtId="0">
      <sharedItems containsNonDate="0" containsString="0" containsBlank="1"/>
    </cacheField>
    <cacheField name="Column8129" numFmtId="0">
      <sharedItems containsNonDate="0" containsString="0" containsBlank="1"/>
    </cacheField>
    <cacheField name="Column8130" numFmtId="0">
      <sharedItems containsNonDate="0" containsString="0" containsBlank="1"/>
    </cacheField>
    <cacheField name="Column8131" numFmtId="0">
      <sharedItems containsNonDate="0" containsString="0" containsBlank="1"/>
    </cacheField>
    <cacheField name="Column8132" numFmtId="0">
      <sharedItems containsNonDate="0" containsString="0" containsBlank="1"/>
    </cacheField>
    <cacheField name="Column8133" numFmtId="0">
      <sharedItems containsNonDate="0" containsString="0" containsBlank="1"/>
    </cacheField>
    <cacheField name="Column8134" numFmtId="0">
      <sharedItems containsNonDate="0" containsString="0" containsBlank="1"/>
    </cacheField>
    <cacheField name="Column8135" numFmtId="0">
      <sharedItems containsNonDate="0" containsString="0" containsBlank="1"/>
    </cacheField>
    <cacheField name="Column8136" numFmtId="0">
      <sharedItems containsNonDate="0" containsString="0" containsBlank="1"/>
    </cacheField>
    <cacheField name="Column8137" numFmtId="0">
      <sharedItems containsNonDate="0" containsString="0" containsBlank="1"/>
    </cacheField>
    <cacheField name="Column8138" numFmtId="0">
      <sharedItems containsNonDate="0" containsString="0" containsBlank="1"/>
    </cacheField>
    <cacheField name="Column8139" numFmtId="0">
      <sharedItems containsNonDate="0" containsString="0" containsBlank="1"/>
    </cacheField>
    <cacheField name="Column8140" numFmtId="0">
      <sharedItems containsNonDate="0" containsString="0" containsBlank="1"/>
    </cacheField>
    <cacheField name="Column8141" numFmtId="0">
      <sharedItems containsNonDate="0" containsString="0" containsBlank="1"/>
    </cacheField>
    <cacheField name="Column8142" numFmtId="0">
      <sharedItems containsNonDate="0" containsString="0" containsBlank="1"/>
    </cacheField>
    <cacheField name="Column8143" numFmtId="0">
      <sharedItems containsNonDate="0" containsString="0" containsBlank="1"/>
    </cacheField>
    <cacheField name="Column8144" numFmtId="0">
      <sharedItems containsNonDate="0" containsString="0" containsBlank="1"/>
    </cacheField>
    <cacheField name="Column8145" numFmtId="0">
      <sharedItems containsNonDate="0" containsString="0" containsBlank="1"/>
    </cacheField>
    <cacheField name="Column8146" numFmtId="0">
      <sharedItems containsNonDate="0" containsString="0" containsBlank="1"/>
    </cacheField>
    <cacheField name="Column8147" numFmtId="0">
      <sharedItems containsNonDate="0" containsString="0" containsBlank="1"/>
    </cacheField>
    <cacheField name="Column8148" numFmtId="0">
      <sharedItems containsNonDate="0" containsString="0" containsBlank="1"/>
    </cacheField>
    <cacheField name="Column8149" numFmtId="0">
      <sharedItems containsNonDate="0" containsString="0" containsBlank="1"/>
    </cacheField>
    <cacheField name="Column8150" numFmtId="0">
      <sharedItems containsNonDate="0" containsString="0" containsBlank="1"/>
    </cacheField>
    <cacheField name="Column8151" numFmtId="0">
      <sharedItems containsNonDate="0" containsString="0" containsBlank="1"/>
    </cacheField>
    <cacheField name="Column8152" numFmtId="0">
      <sharedItems containsNonDate="0" containsString="0" containsBlank="1"/>
    </cacheField>
    <cacheField name="Column8153" numFmtId="0">
      <sharedItems containsNonDate="0" containsString="0" containsBlank="1"/>
    </cacheField>
    <cacheField name="Column8154" numFmtId="0">
      <sharedItems containsNonDate="0" containsString="0" containsBlank="1"/>
    </cacheField>
    <cacheField name="Column8155" numFmtId="0">
      <sharedItems containsNonDate="0" containsString="0" containsBlank="1"/>
    </cacheField>
    <cacheField name="Column8156" numFmtId="0">
      <sharedItems containsNonDate="0" containsString="0" containsBlank="1"/>
    </cacheField>
    <cacheField name="Column8157" numFmtId="0">
      <sharedItems containsNonDate="0" containsString="0" containsBlank="1"/>
    </cacheField>
    <cacheField name="Column8158" numFmtId="0">
      <sharedItems containsNonDate="0" containsString="0" containsBlank="1"/>
    </cacheField>
    <cacheField name="Column8159" numFmtId="0">
      <sharedItems containsNonDate="0" containsString="0" containsBlank="1"/>
    </cacheField>
    <cacheField name="Column8160" numFmtId="0">
      <sharedItems containsNonDate="0" containsString="0" containsBlank="1"/>
    </cacheField>
    <cacheField name="Column8161" numFmtId="0">
      <sharedItems containsNonDate="0" containsString="0" containsBlank="1"/>
    </cacheField>
    <cacheField name="Column8162" numFmtId="0">
      <sharedItems containsNonDate="0" containsString="0" containsBlank="1"/>
    </cacheField>
    <cacheField name="Column8163" numFmtId="0">
      <sharedItems containsNonDate="0" containsString="0" containsBlank="1"/>
    </cacheField>
    <cacheField name="Column8164" numFmtId="0">
      <sharedItems containsNonDate="0" containsString="0" containsBlank="1"/>
    </cacheField>
    <cacheField name="Column8165" numFmtId="0">
      <sharedItems containsNonDate="0" containsString="0" containsBlank="1"/>
    </cacheField>
    <cacheField name="Column8166" numFmtId="0">
      <sharedItems containsNonDate="0" containsString="0" containsBlank="1"/>
    </cacheField>
    <cacheField name="Column8167" numFmtId="0">
      <sharedItems containsNonDate="0" containsString="0" containsBlank="1"/>
    </cacheField>
    <cacheField name="Column8168" numFmtId="0">
      <sharedItems containsNonDate="0" containsString="0" containsBlank="1"/>
    </cacheField>
    <cacheField name="Column8169" numFmtId="0">
      <sharedItems containsNonDate="0" containsString="0" containsBlank="1"/>
    </cacheField>
    <cacheField name="Column8170" numFmtId="0">
      <sharedItems containsNonDate="0" containsString="0" containsBlank="1"/>
    </cacheField>
    <cacheField name="Column8171" numFmtId="0">
      <sharedItems containsNonDate="0" containsString="0" containsBlank="1"/>
    </cacheField>
    <cacheField name="Column8172" numFmtId="0">
      <sharedItems containsNonDate="0" containsString="0" containsBlank="1"/>
    </cacheField>
    <cacheField name="Column8173" numFmtId="0">
      <sharedItems containsNonDate="0" containsString="0" containsBlank="1"/>
    </cacheField>
    <cacheField name="Column8174" numFmtId="0">
      <sharedItems containsNonDate="0" containsString="0" containsBlank="1"/>
    </cacheField>
    <cacheField name="Column8175" numFmtId="0">
      <sharedItems containsNonDate="0" containsString="0" containsBlank="1"/>
    </cacheField>
    <cacheField name="Column8176" numFmtId="0">
      <sharedItems containsNonDate="0" containsString="0" containsBlank="1"/>
    </cacheField>
    <cacheField name="Column8177" numFmtId="0">
      <sharedItems containsNonDate="0" containsString="0" containsBlank="1"/>
    </cacheField>
    <cacheField name="Column8178" numFmtId="0">
      <sharedItems containsNonDate="0" containsString="0" containsBlank="1"/>
    </cacheField>
    <cacheField name="Column8179" numFmtId="0">
      <sharedItems containsNonDate="0" containsString="0" containsBlank="1"/>
    </cacheField>
    <cacheField name="Column8180" numFmtId="0">
      <sharedItems containsNonDate="0" containsString="0" containsBlank="1"/>
    </cacheField>
    <cacheField name="Column8181" numFmtId="0">
      <sharedItems containsNonDate="0" containsString="0" containsBlank="1"/>
    </cacheField>
    <cacheField name="Column8182" numFmtId="0">
      <sharedItems containsNonDate="0" containsString="0" containsBlank="1"/>
    </cacheField>
    <cacheField name="Column8183" numFmtId="0">
      <sharedItems containsNonDate="0" containsString="0" containsBlank="1"/>
    </cacheField>
    <cacheField name="Column8184" numFmtId="0">
      <sharedItems containsNonDate="0" containsString="0" containsBlank="1"/>
    </cacheField>
    <cacheField name="Column8185" numFmtId="0">
      <sharedItems containsNonDate="0" containsString="0" containsBlank="1"/>
    </cacheField>
    <cacheField name="Column8186" numFmtId="0">
      <sharedItems containsNonDate="0" containsString="0" containsBlank="1"/>
    </cacheField>
    <cacheField name="Column8187" numFmtId="0">
      <sharedItems containsNonDate="0" containsString="0" containsBlank="1"/>
    </cacheField>
    <cacheField name="Column8188" numFmtId="0">
      <sharedItems containsNonDate="0" containsString="0" containsBlank="1"/>
    </cacheField>
    <cacheField name="Column8189" numFmtId="0">
      <sharedItems containsNonDate="0" containsString="0" containsBlank="1"/>
    </cacheField>
    <cacheField name="Column8190" numFmtId="0">
      <sharedItems containsNonDate="0" containsString="0" containsBlank="1"/>
    </cacheField>
    <cacheField name="Column8191" numFmtId="0">
      <sharedItems containsNonDate="0" containsString="0" containsBlank="1"/>
    </cacheField>
    <cacheField name="Column8192" numFmtId="0">
      <sharedItems containsNonDate="0" containsString="0" containsBlank="1"/>
    </cacheField>
    <cacheField name="Column8193" numFmtId="0">
      <sharedItems containsNonDate="0" containsString="0" containsBlank="1"/>
    </cacheField>
    <cacheField name="Column8194" numFmtId="0">
      <sharedItems containsNonDate="0" containsString="0" containsBlank="1"/>
    </cacheField>
    <cacheField name="Column8195" numFmtId="0">
      <sharedItems containsNonDate="0" containsString="0" containsBlank="1"/>
    </cacheField>
    <cacheField name="Column8196" numFmtId="0">
      <sharedItems containsNonDate="0" containsString="0" containsBlank="1"/>
    </cacheField>
    <cacheField name="Column8197" numFmtId="0">
      <sharedItems containsNonDate="0" containsString="0" containsBlank="1"/>
    </cacheField>
    <cacheField name="Column8198" numFmtId="0">
      <sharedItems containsNonDate="0" containsString="0" containsBlank="1"/>
    </cacheField>
    <cacheField name="Column8199" numFmtId="0">
      <sharedItems containsNonDate="0" containsString="0" containsBlank="1"/>
    </cacheField>
    <cacheField name="Column8200" numFmtId="0">
      <sharedItems containsNonDate="0" containsString="0" containsBlank="1"/>
    </cacheField>
    <cacheField name="Column8201" numFmtId="0">
      <sharedItems containsNonDate="0" containsString="0" containsBlank="1"/>
    </cacheField>
    <cacheField name="Column8202" numFmtId="0">
      <sharedItems containsNonDate="0" containsString="0" containsBlank="1"/>
    </cacheField>
    <cacheField name="Column8203" numFmtId="0">
      <sharedItems containsNonDate="0" containsString="0" containsBlank="1"/>
    </cacheField>
    <cacheField name="Column8204" numFmtId="0">
      <sharedItems containsNonDate="0" containsString="0" containsBlank="1"/>
    </cacheField>
    <cacheField name="Column8205" numFmtId="0">
      <sharedItems containsNonDate="0" containsString="0" containsBlank="1"/>
    </cacheField>
    <cacheField name="Column8206" numFmtId="0">
      <sharedItems containsNonDate="0" containsString="0" containsBlank="1"/>
    </cacheField>
    <cacheField name="Column8207" numFmtId="0">
      <sharedItems containsNonDate="0" containsString="0" containsBlank="1"/>
    </cacheField>
    <cacheField name="Column8208" numFmtId="0">
      <sharedItems containsNonDate="0" containsString="0" containsBlank="1"/>
    </cacheField>
    <cacheField name="Column8209" numFmtId="0">
      <sharedItems containsNonDate="0" containsString="0" containsBlank="1"/>
    </cacheField>
    <cacheField name="Column8210" numFmtId="0">
      <sharedItems containsNonDate="0" containsString="0" containsBlank="1"/>
    </cacheField>
    <cacheField name="Column8211" numFmtId="0">
      <sharedItems containsNonDate="0" containsString="0" containsBlank="1"/>
    </cacheField>
    <cacheField name="Column8212" numFmtId="0">
      <sharedItems containsNonDate="0" containsString="0" containsBlank="1"/>
    </cacheField>
    <cacheField name="Column8213" numFmtId="0">
      <sharedItems containsNonDate="0" containsString="0" containsBlank="1"/>
    </cacheField>
    <cacheField name="Column8214" numFmtId="0">
      <sharedItems containsNonDate="0" containsString="0" containsBlank="1"/>
    </cacheField>
    <cacheField name="Column8215" numFmtId="0">
      <sharedItems containsNonDate="0" containsString="0" containsBlank="1"/>
    </cacheField>
    <cacheField name="Column8216" numFmtId="0">
      <sharedItems containsNonDate="0" containsString="0" containsBlank="1"/>
    </cacheField>
    <cacheField name="Column8217" numFmtId="0">
      <sharedItems containsNonDate="0" containsString="0" containsBlank="1"/>
    </cacheField>
    <cacheField name="Column8218" numFmtId="0">
      <sharedItems containsNonDate="0" containsString="0" containsBlank="1"/>
    </cacheField>
    <cacheField name="Column8219" numFmtId="0">
      <sharedItems containsNonDate="0" containsString="0" containsBlank="1"/>
    </cacheField>
    <cacheField name="Column8220" numFmtId="0">
      <sharedItems containsNonDate="0" containsString="0" containsBlank="1"/>
    </cacheField>
    <cacheField name="Column8221" numFmtId="0">
      <sharedItems containsNonDate="0" containsString="0" containsBlank="1"/>
    </cacheField>
    <cacheField name="Column8222" numFmtId="0">
      <sharedItems containsNonDate="0" containsString="0" containsBlank="1"/>
    </cacheField>
    <cacheField name="Column8223" numFmtId="0">
      <sharedItems containsNonDate="0" containsString="0" containsBlank="1"/>
    </cacheField>
    <cacheField name="Column8224" numFmtId="0">
      <sharedItems containsNonDate="0" containsString="0" containsBlank="1"/>
    </cacheField>
    <cacheField name="Column8225" numFmtId="0">
      <sharedItems containsNonDate="0" containsString="0" containsBlank="1"/>
    </cacheField>
    <cacheField name="Column8226" numFmtId="0">
      <sharedItems containsNonDate="0" containsString="0" containsBlank="1"/>
    </cacheField>
    <cacheField name="Column8227" numFmtId="0">
      <sharedItems containsNonDate="0" containsString="0" containsBlank="1"/>
    </cacheField>
    <cacheField name="Column8228" numFmtId="0">
      <sharedItems containsNonDate="0" containsString="0" containsBlank="1"/>
    </cacheField>
    <cacheField name="Column8229" numFmtId="0">
      <sharedItems containsNonDate="0" containsString="0" containsBlank="1"/>
    </cacheField>
    <cacheField name="Column8230" numFmtId="0">
      <sharedItems containsNonDate="0" containsString="0" containsBlank="1"/>
    </cacheField>
    <cacheField name="Column8231" numFmtId="0">
      <sharedItems containsNonDate="0" containsString="0" containsBlank="1"/>
    </cacheField>
    <cacheField name="Column8232" numFmtId="0">
      <sharedItems containsNonDate="0" containsString="0" containsBlank="1"/>
    </cacheField>
    <cacheField name="Column8233" numFmtId="0">
      <sharedItems containsNonDate="0" containsString="0" containsBlank="1"/>
    </cacheField>
    <cacheField name="Column8234" numFmtId="0">
      <sharedItems containsNonDate="0" containsString="0" containsBlank="1"/>
    </cacheField>
    <cacheField name="Column8235" numFmtId="0">
      <sharedItems containsNonDate="0" containsString="0" containsBlank="1"/>
    </cacheField>
    <cacheField name="Column8236" numFmtId="0">
      <sharedItems containsNonDate="0" containsString="0" containsBlank="1"/>
    </cacheField>
    <cacheField name="Column8237" numFmtId="0">
      <sharedItems containsNonDate="0" containsString="0" containsBlank="1"/>
    </cacheField>
    <cacheField name="Column8238" numFmtId="0">
      <sharedItems containsNonDate="0" containsString="0" containsBlank="1"/>
    </cacheField>
    <cacheField name="Column8239" numFmtId="0">
      <sharedItems containsNonDate="0" containsString="0" containsBlank="1"/>
    </cacheField>
    <cacheField name="Column8240" numFmtId="0">
      <sharedItems containsNonDate="0" containsString="0" containsBlank="1"/>
    </cacheField>
    <cacheField name="Column8241" numFmtId="0">
      <sharedItems containsNonDate="0" containsString="0" containsBlank="1"/>
    </cacheField>
    <cacheField name="Column8242" numFmtId="0">
      <sharedItems containsNonDate="0" containsString="0" containsBlank="1"/>
    </cacheField>
    <cacheField name="Column8243" numFmtId="0">
      <sharedItems containsNonDate="0" containsString="0" containsBlank="1"/>
    </cacheField>
    <cacheField name="Column8244" numFmtId="0">
      <sharedItems containsNonDate="0" containsString="0" containsBlank="1"/>
    </cacheField>
    <cacheField name="Column8245" numFmtId="0">
      <sharedItems containsNonDate="0" containsString="0" containsBlank="1"/>
    </cacheField>
    <cacheField name="Column8246" numFmtId="0">
      <sharedItems containsNonDate="0" containsString="0" containsBlank="1"/>
    </cacheField>
    <cacheField name="Column8247" numFmtId="0">
      <sharedItems containsNonDate="0" containsString="0" containsBlank="1"/>
    </cacheField>
    <cacheField name="Column8248" numFmtId="0">
      <sharedItems containsNonDate="0" containsString="0" containsBlank="1"/>
    </cacheField>
    <cacheField name="Column8249" numFmtId="0">
      <sharedItems containsNonDate="0" containsString="0" containsBlank="1"/>
    </cacheField>
    <cacheField name="Column8250" numFmtId="0">
      <sharedItems containsNonDate="0" containsString="0" containsBlank="1"/>
    </cacheField>
    <cacheField name="Column8251" numFmtId="0">
      <sharedItems containsNonDate="0" containsString="0" containsBlank="1"/>
    </cacheField>
    <cacheField name="Column8252" numFmtId="0">
      <sharedItems containsNonDate="0" containsString="0" containsBlank="1"/>
    </cacheField>
    <cacheField name="Column8253" numFmtId="0">
      <sharedItems containsNonDate="0" containsString="0" containsBlank="1"/>
    </cacheField>
    <cacheField name="Column8254" numFmtId="0">
      <sharedItems containsNonDate="0" containsString="0" containsBlank="1"/>
    </cacheField>
    <cacheField name="Column8255" numFmtId="0">
      <sharedItems containsNonDate="0" containsString="0" containsBlank="1"/>
    </cacheField>
    <cacheField name="Column8256" numFmtId="0">
      <sharedItems containsNonDate="0" containsString="0" containsBlank="1"/>
    </cacheField>
    <cacheField name="Column8257" numFmtId="0">
      <sharedItems containsNonDate="0" containsString="0" containsBlank="1"/>
    </cacheField>
    <cacheField name="Column8258" numFmtId="0">
      <sharedItems containsNonDate="0" containsString="0" containsBlank="1"/>
    </cacheField>
    <cacheField name="Column8259" numFmtId="0">
      <sharedItems containsNonDate="0" containsString="0" containsBlank="1"/>
    </cacheField>
    <cacheField name="Column8260" numFmtId="0">
      <sharedItems containsNonDate="0" containsString="0" containsBlank="1"/>
    </cacheField>
    <cacheField name="Column8261" numFmtId="0">
      <sharedItems containsNonDate="0" containsString="0" containsBlank="1"/>
    </cacheField>
    <cacheField name="Column8262" numFmtId="0">
      <sharedItems containsNonDate="0" containsString="0" containsBlank="1"/>
    </cacheField>
    <cacheField name="Column8263" numFmtId="0">
      <sharedItems containsNonDate="0" containsString="0" containsBlank="1"/>
    </cacheField>
    <cacheField name="Column8264" numFmtId="0">
      <sharedItems containsNonDate="0" containsString="0" containsBlank="1"/>
    </cacheField>
    <cacheField name="Column8265" numFmtId="0">
      <sharedItems containsNonDate="0" containsString="0" containsBlank="1"/>
    </cacheField>
    <cacheField name="Column8266" numFmtId="0">
      <sharedItems containsNonDate="0" containsString="0" containsBlank="1"/>
    </cacheField>
    <cacheField name="Column8267" numFmtId="0">
      <sharedItems containsNonDate="0" containsString="0" containsBlank="1"/>
    </cacheField>
    <cacheField name="Column8268" numFmtId="0">
      <sharedItems containsNonDate="0" containsString="0" containsBlank="1"/>
    </cacheField>
    <cacheField name="Column8269" numFmtId="0">
      <sharedItems containsNonDate="0" containsString="0" containsBlank="1"/>
    </cacheField>
    <cacheField name="Column8270" numFmtId="0">
      <sharedItems containsNonDate="0" containsString="0" containsBlank="1"/>
    </cacheField>
    <cacheField name="Column8271" numFmtId="0">
      <sharedItems containsNonDate="0" containsString="0" containsBlank="1"/>
    </cacheField>
    <cacheField name="Column8272" numFmtId="0">
      <sharedItems containsNonDate="0" containsString="0" containsBlank="1"/>
    </cacheField>
    <cacheField name="Column8273" numFmtId="0">
      <sharedItems containsNonDate="0" containsString="0" containsBlank="1"/>
    </cacheField>
    <cacheField name="Column8274" numFmtId="0">
      <sharedItems containsNonDate="0" containsString="0" containsBlank="1"/>
    </cacheField>
    <cacheField name="Column8275" numFmtId="0">
      <sharedItems containsNonDate="0" containsString="0" containsBlank="1"/>
    </cacheField>
    <cacheField name="Column8276" numFmtId="0">
      <sharedItems containsNonDate="0" containsString="0" containsBlank="1"/>
    </cacheField>
    <cacheField name="Column8277" numFmtId="0">
      <sharedItems containsNonDate="0" containsString="0" containsBlank="1"/>
    </cacheField>
    <cacheField name="Column8278" numFmtId="0">
      <sharedItems containsNonDate="0" containsString="0" containsBlank="1"/>
    </cacheField>
    <cacheField name="Column8279" numFmtId="0">
      <sharedItems containsNonDate="0" containsString="0" containsBlank="1"/>
    </cacheField>
    <cacheField name="Column8280" numFmtId="0">
      <sharedItems containsNonDate="0" containsString="0" containsBlank="1"/>
    </cacheField>
    <cacheField name="Column8281" numFmtId="0">
      <sharedItems containsNonDate="0" containsString="0" containsBlank="1"/>
    </cacheField>
    <cacheField name="Column8282" numFmtId="0">
      <sharedItems containsNonDate="0" containsString="0" containsBlank="1"/>
    </cacheField>
    <cacheField name="Column8283" numFmtId="0">
      <sharedItems containsNonDate="0" containsString="0" containsBlank="1"/>
    </cacheField>
    <cacheField name="Column8284" numFmtId="0">
      <sharedItems containsNonDate="0" containsString="0" containsBlank="1"/>
    </cacheField>
    <cacheField name="Column8285" numFmtId="0">
      <sharedItems containsNonDate="0" containsString="0" containsBlank="1"/>
    </cacheField>
    <cacheField name="Column8286" numFmtId="0">
      <sharedItems containsNonDate="0" containsString="0" containsBlank="1"/>
    </cacheField>
    <cacheField name="Column8287" numFmtId="0">
      <sharedItems containsNonDate="0" containsString="0" containsBlank="1"/>
    </cacheField>
    <cacheField name="Column8288" numFmtId="0">
      <sharedItems containsNonDate="0" containsString="0" containsBlank="1"/>
    </cacheField>
    <cacheField name="Column8289" numFmtId="0">
      <sharedItems containsNonDate="0" containsString="0" containsBlank="1"/>
    </cacheField>
    <cacheField name="Column8290" numFmtId="0">
      <sharedItems containsNonDate="0" containsString="0" containsBlank="1"/>
    </cacheField>
    <cacheField name="Column8291" numFmtId="0">
      <sharedItems containsNonDate="0" containsString="0" containsBlank="1"/>
    </cacheField>
    <cacheField name="Column8292" numFmtId="0">
      <sharedItems containsNonDate="0" containsString="0" containsBlank="1"/>
    </cacheField>
    <cacheField name="Column8293" numFmtId="0">
      <sharedItems containsNonDate="0" containsString="0" containsBlank="1"/>
    </cacheField>
    <cacheField name="Column8294" numFmtId="0">
      <sharedItems containsNonDate="0" containsString="0" containsBlank="1"/>
    </cacheField>
    <cacheField name="Column8295" numFmtId="0">
      <sharedItems containsNonDate="0" containsString="0" containsBlank="1"/>
    </cacheField>
    <cacheField name="Column8296" numFmtId="0">
      <sharedItems containsNonDate="0" containsString="0" containsBlank="1"/>
    </cacheField>
    <cacheField name="Column8297" numFmtId="0">
      <sharedItems containsNonDate="0" containsString="0" containsBlank="1"/>
    </cacheField>
    <cacheField name="Column8298" numFmtId="0">
      <sharedItems containsNonDate="0" containsString="0" containsBlank="1"/>
    </cacheField>
    <cacheField name="Column8299" numFmtId="0">
      <sharedItems containsNonDate="0" containsString="0" containsBlank="1"/>
    </cacheField>
    <cacheField name="Column8300" numFmtId="0">
      <sharedItems containsNonDate="0" containsString="0" containsBlank="1"/>
    </cacheField>
    <cacheField name="Column8301" numFmtId="0">
      <sharedItems containsNonDate="0" containsString="0" containsBlank="1"/>
    </cacheField>
    <cacheField name="Column8302" numFmtId="0">
      <sharedItems containsNonDate="0" containsString="0" containsBlank="1"/>
    </cacheField>
    <cacheField name="Column8303" numFmtId="0">
      <sharedItems containsNonDate="0" containsString="0" containsBlank="1"/>
    </cacheField>
    <cacheField name="Column8304" numFmtId="0">
      <sharedItems containsNonDate="0" containsString="0" containsBlank="1"/>
    </cacheField>
    <cacheField name="Column8305" numFmtId="0">
      <sharedItems containsNonDate="0" containsString="0" containsBlank="1"/>
    </cacheField>
    <cacheField name="Column8306" numFmtId="0">
      <sharedItems containsNonDate="0" containsString="0" containsBlank="1"/>
    </cacheField>
    <cacheField name="Column8307" numFmtId="0">
      <sharedItems containsNonDate="0" containsString="0" containsBlank="1"/>
    </cacheField>
    <cacheField name="Column8308" numFmtId="0">
      <sharedItems containsNonDate="0" containsString="0" containsBlank="1"/>
    </cacheField>
    <cacheField name="Column8309" numFmtId="0">
      <sharedItems containsNonDate="0" containsString="0" containsBlank="1"/>
    </cacheField>
    <cacheField name="Column8310" numFmtId="0">
      <sharedItems containsNonDate="0" containsString="0" containsBlank="1"/>
    </cacheField>
    <cacheField name="Column8311" numFmtId="0">
      <sharedItems containsNonDate="0" containsString="0" containsBlank="1"/>
    </cacheField>
    <cacheField name="Column8312" numFmtId="0">
      <sharedItems containsNonDate="0" containsString="0" containsBlank="1"/>
    </cacheField>
    <cacheField name="Column8313" numFmtId="0">
      <sharedItems containsNonDate="0" containsString="0" containsBlank="1"/>
    </cacheField>
    <cacheField name="Column8314" numFmtId="0">
      <sharedItems containsNonDate="0" containsString="0" containsBlank="1"/>
    </cacheField>
    <cacheField name="Column8315" numFmtId="0">
      <sharedItems containsNonDate="0" containsString="0" containsBlank="1"/>
    </cacheField>
    <cacheField name="Column8316" numFmtId="0">
      <sharedItems containsNonDate="0" containsString="0" containsBlank="1"/>
    </cacheField>
    <cacheField name="Column8317" numFmtId="0">
      <sharedItems containsNonDate="0" containsString="0" containsBlank="1"/>
    </cacheField>
    <cacheField name="Column8318" numFmtId="0">
      <sharedItems containsNonDate="0" containsString="0" containsBlank="1"/>
    </cacheField>
    <cacheField name="Column8319" numFmtId="0">
      <sharedItems containsNonDate="0" containsString="0" containsBlank="1"/>
    </cacheField>
    <cacheField name="Column8320" numFmtId="0">
      <sharedItems containsNonDate="0" containsString="0" containsBlank="1"/>
    </cacheField>
    <cacheField name="Column8321" numFmtId="0">
      <sharedItems containsNonDate="0" containsString="0" containsBlank="1"/>
    </cacheField>
    <cacheField name="Column8322" numFmtId="0">
      <sharedItems containsNonDate="0" containsString="0" containsBlank="1"/>
    </cacheField>
    <cacheField name="Column8323" numFmtId="0">
      <sharedItems containsNonDate="0" containsString="0" containsBlank="1"/>
    </cacheField>
    <cacheField name="Column8324" numFmtId="0">
      <sharedItems containsNonDate="0" containsString="0" containsBlank="1"/>
    </cacheField>
    <cacheField name="Column8325" numFmtId="0">
      <sharedItems containsNonDate="0" containsString="0" containsBlank="1"/>
    </cacheField>
    <cacheField name="Column8326" numFmtId="0">
      <sharedItems containsNonDate="0" containsString="0" containsBlank="1"/>
    </cacheField>
    <cacheField name="Column8327" numFmtId="0">
      <sharedItems containsNonDate="0" containsString="0" containsBlank="1"/>
    </cacheField>
    <cacheField name="Column8328" numFmtId="0">
      <sharedItems containsNonDate="0" containsString="0" containsBlank="1"/>
    </cacheField>
    <cacheField name="Column8329" numFmtId="0">
      <sharedItems containsNonDate="0" containsString="0" containsBlank="1"/>
    </cacheField>
    <cacheField name="Column8330" numFmtId="0">
      <sharedItems containsNonDate="0" containsString="0" containsBlank="1"/>
    </cacheField>
    <cacheField name="Column8331" numFmtId="0">
      <sharedItems containsNonDate="0" containsString="0" containsBlank="1"/>
    </cacheField>
    <cacheField name="Column8332" numFmtId="0">
      <sharedItems containsNonDate="0" containsString="0" containsBlank="1"/>
    </cacheField>
    <cacheField name="Column8333" numFmtId="0">
      <sharedItems containsNonDate="0" containsString="0" containsBlank="1"/>
    </cacheField>
    <cacheField name="Column8334" numFmtId="0">
      <sharedItems containsNonDate="0" containsString="0" containsBlank="1"/>
    </cacheField>
    <cacheField name="Column8335" numFmtId="0">
      <sharedItems containsNonDate="0" containsString="0" containsBlank="1"/>
    </cacheField>
    <cacheField name="Column8336" numFmtId="0">
      <sharedItems containsNonDate="0" containsString="0" containsBlank="1"/>
    </cacheField>
    <cacheField name="Column8337" numFmtId="0">
      <sharedItems containsNonDate="0" containsString="0" containsBlank="1"/>
    </cacheField>
    <cacheField name="Column8338" numFmtId="0">
      <sharedItems containsNonDate="0" containsString="0" containsBlank="1"/>
    </cacheField>
    <cacheField name="Column8339" numFmtId="0">
      <sharedItems containsNonDate="0" containsString="0" containsBlank="1"/>
    </cacheField>
    <cacheField name="Column8340" numFmtId="0">
      <sharedItems containsNonDate="0" containsString="0" containsBlank="1"/>
    </cacheField>
    <cacheField name="Column8341" numFmtId="0">
      <sharedItems containsNonDate="0" containsString="0" containsBlank="1"/>
    </cacheField>
    <cacheField name="Column8342" numFmtId="0">
      <sharedItems containsNonDate="0" containsString="0" containsBlank="1"/>
    </cacheField>
    <cacheField name="Column8343" numFmtId="0">
      <sharedItems containsNonDate="0" containsString="0" containsBlank="1"/>
    </cacheField>
    <cacheField name="Column8344" numFmtId="0">
      <sharedItems containsNonDate="0" containsString="0" containsBlank="1"/>
    </cacheField>
    <cacheField name="Column8345" numFmtId="0">
      <sharedItems containsNonDate="0" containsString="0" containsBlank="1"/>
    </cacheField>
    <cacheField name="Column8346" numFmtId="0">
      <sharedItems containsNonDate="0" containsString="0" containsBlank="1"/>
    </cacheField>
    <cacheField name="Column8347" numFmtId="0">
      <sharedItems containsNonDate="0" containsString="0" containsBlank="1"/>
    </cacheField>
    <cacheField name="Column8348" numFmtId="0">
      <sharedItems containsNonDate="0" containsString="0" containsBlank="1"/>
    </cacheField>
    <cacheField name="Column8349" numFmtId="0">
      <sharedItems containsNonDate="0" containsString="0" containsBlank="1"/>
    </cacheField>
    <cacheField name="Column8350" numFmtId="0">
      <sharedItems containsNonDate="0" containsString="0" containsBlank="1"/>
    </cacheField>
    <cacheField name="Column8351" numFmtId="0">
      <sharedItems containsNonDate="0" containsString="0" containsBlank="1"/>
    </cacheField>
    <cacheField name="Column8352" numFmtId="0">
      <sharedItems containsNonDate="0" containsString="0" containsBlank="1"/>
    </cacheField>
    <cacheField name="Column8353" numFmtId="0">
      <sharedItems containsNonDate="0" containsString="0" containsBlank="1"/>
    </cacheField>
    <cacheField name="Column8354" numFmtId="0">
      <sharedItems containsNonDate="0" containsString="0" containsBlank="1"/>
    </cacheField>
    <cacheField name="Column8355" numFmtId="0">
      <sharedItems containsNonDate="0" containsString="0" containsBlank="1"/>
    </cacheField>
    <cacheField name="Column8356" numFmtId="0">
      <sharedItems containsNonDate="0" containsString="0" containsBlank="1"/>
    </cacheField>
    <cacheField name="Column8357" numFmtId="0">
      <sharedItems containsNonDate="0" containsString="0" containsBlank="1"/>
    </cacheField>
    <cacheField name="Column8358" numFmtId="0">
      <sharedItems containsNonDate="0" containsString="0" containsBlank="1"/>
    </cacheField>
    <cacheField name="Column8359" numFmtId="0">
      <sharedItems containsNonDate="0" containsString="0" containsBlank="1"/>
    </cacheField>
    <cacheField name="Column8360" numFmtId="0">
      <sharedItems containsNonDate="0" containsString="0" containsBlank="1"/>
    </cacheField>
    <cacheField name="Column8361" numFmtId="0">
      <sharedItems containsNonDate="0" containsString="0" containsBlank="1"/>
    </cacheField>
    <cacheField name="Column8362" numFmtId="0">
      <sharedItems containsNonDate="0" containsString="0" containsBlank="1"/>
    </cacheField>
    <cacheField name="Column8363" numFmtId="0">
      <sharedItems containsNonDate="0" containsString="0" containsBlank="1"/>
    </cacheField>
    <cacheField name="Column8364" numFmtId="0">
      <sharedItems containsNonDate="0" containsString="0" containsBlank="1"/>
    </cacheField>
    <cacheField name="Column8365" numFmtId="0">
      <sharedItems containsNonDate="0" containsString="0" containsBlank="1"/>
    </cacheField>
    <cacheField name="Column8366" numFmtId="0">
      <sharedItems containsNonDate="0" containsString="0" containsBlank="1"/>
    </cacheField>
    <cacheField name="Column8367" numFmtId="0">
      <sharedItems containsNonDate="0" containsString="0" containsBlank="1"/>
    </cacheField>
    <cacheField name="Column8368" numFmtId="0">
      <sharedItems containsNonDate="0" containsString="0" containsBlank="1"/>
    </cacheField>
    <cacheField name="Column8369" numFmtId="0">
      <sharedItems containsNonDate="0" containsString="0" containsBlank="1"/>
    </cacheField>
    <cacheField name="Column8370" numFmtId="0">
      <sharedItems containsNonDate="0" containsString="0" containsBlank="1"/>
    </cacheField>
    <cacheField name="Column8371" numFmtId="0">
      <sharedItems containsNonDate="0" containsString="0" containsBlank="1"/>
    </cacheField>
    <cacheField name="Column8372" numFmtId="0">
      <sharedItems containsNonDate="0" containsString="0" containsBlank="1"/>
    </cacheField>
    <cacheField name="Column8373" numFmtId="0">
      <sharedItems containsNonDate="0" containsString="0" containsBlank="1"/>
    </cacheField>
    <cacheField name="Column8374" numFmtId="0">
      <sharedItems containsNonDate="0" containsString="0" containsBlank="1"/>
    </cacheField>
    <cacheField name="Column8375" numFmtId="0">
      <sharedItems containsNonDate="0" containsString="0" containsBlank="1"/>
    </cacheField>
    <cacheField name="Column8376" numFmtId="0">
      <sharedItems containsNonDate="0" containsString="0" containsBlank="1"/>
    </cacheField>
    <cacheField name="Column8377" numFmtId="0">
      <sharedItems containsNonDate="0" containsString="0" containsBlank="1"/>
    </cacheField>
    <cacheField name="Column8378" numFmtId="0">
      <sharedItems containsNonDate="0" containsString="0" containsBlank="1"/>
    </cacheField>
    <cacheField name="Column8379" numFmtId="0">
      <sharedItems containsNonDate="0" containsString="0" containsBlank="1"/>
    </cacheField>
    <cacheField name="Column8380" numFmtId="0">
      <sharedItems containsNonDate="0" containsString="0" containsBlank="1"/>
    </cacheField>
    <cacheField name="Column8381" numFmtId="0">
      <sharedItems containsNonDate="0" containsString="0" containsBlank="1"/>
    </cacheField>
    <cacheField name="Column8382" numFmtId="0">
      <sharedItems containsNonDate="0" containsString="0" containsBlank="1"/>
    </cacheField>
    <cacheField name="Column8383" numFmtId="0">
      <sharedItems containsNonDate="0" containsString="0" containsBlank="1"/>
    </cacheField>
    <cacheField name="Column8384" numFmtId="0">
      <sharedItems containsNonDate="0" containsString="0" containsBlank="1"/>
    </cacheField>
    <cacheField name="Column8385" numFmtId="0">
      <sharedItems containsNonDate="0" containsString="0" containsBlank="1"/>
    </cacheField>
    <cacheField name="Column8386" numFmtId="0">
      <sharedItems containsNonDate="0" containsString="0" containsBlank="1"/>
    </cacheField>
    <cacheField name="Column8387" numFmtId="0">
      <sharedItems containsNonDate="0" containsString="0" containsBlank="1"/>
    </cacheField>
    <cacheField name="Column8388" numFmtId="0">
      <sharedItems containsNonDate="0" containsString="0" containsBlank="1"/>
    </cacheField>
    <cacheField name="Column8389" numFmtId="0">
      <sharedItems containsNonDate="0" containsString="0" containsBlank="1"/>
    </cacheField>
    <cacheField name="Column8390" numFmtId="0">
      <sharedItems containsNonDate="0" containsString="0" containsBlank="1"/>
    </cacheField>
    <cacheField name="Column8391" numFmtId="0">
      <sharedItems containsNonDate="0" containsString="0" containsBlank="1"/>
    </cacheField>
    <cacheField name="Column8392" numFmtId="0">
      <sharedItems containsNonDate="0" containsString="0" containsBlank="1"/>
    </cacheField>
    <cacheField name="Column8393" numFmtId="0">
      <sharedItems containsNonDate="0" containsString="0" containsBlank="1"/>
    </cacheField>
    <cacheField name="Column8394" numFmtId="0">
      <sharedItems containsNonDate="0" containsString="0" containsBlank="1"/>
    </cacheField>
    <cacheField name="Column8395" numFmtId="0">
      <sharedItems containsNonDate="0" containsString="0" containsBlank="1"/>
    </cacheField>
    <cacheField name="Column8396" numFmtId="0">
      <sharedItems containsNonDate="0" containsString="0" containsBlank="1"/>
    </cacheField>
    <cacheField name="Column8397" numFmtId="0">
      <sharedItems containsNonDate="0" containsString="0" containsBlank="1"/>
    </cacheField>
    <cacheField name="Column8398" numFmtId="0">
      <sharedItems containsNonDate="0" containsString="0" containsBlank="1"/>
    </cacheField>
    <cacheField name="Column8399" numFmtId="0">
      <sharedItems containsNonDate="0" containsString="0" containsBlank="1"/>
    </cacheField>
    <cacheField name="Column8400" numFmtId="0">
      <sharedItems containsNonDate="0" containsString="0" containsBlank="1"/>
    </cacheField>
    <cacheField name="Column8401" numFmtId="0">
      <sharedItems containsNonDate="0" containsString="0" containsBlank="1"/>
    </cacheField>
    <cacheField name="Column8402" numFmtId="0">
      <sharedItems containsNonDate="0" containsString="0" containsBlank="1"/>
    </cacheField>
    <cacheField name="Column8403" numFmtId="0">
      <sharedItems containsNonDate="0" containsString="0" containsBlank="1"/>
    </cacheField>
    <cacheField name="Column8404" numFmtId="0">
      <sharedItems containsNonDate="0" containsString="0" containsBlank="1"/>
    </cacheField>
    <cacheField name="Column8405" numFmtId="0">
      <sharedItems containsNonDate="0" containsString="0" containsBlank="1"/>
    </cacheField>
    <cacheField name="Column8406" numFmtId="0">
      <sharedItems containsNonDate="0" containsString="0" containsBlank="1"/>
    </cacheField>
    <cacheField name="Column8407" numFmtId="0">
      <sharedItems containsNonDate="0" containsString="0" containsBlank="1"/>
    </cacheField>
    <cacheField name="Column8408" numFmtId="0">
      <sharedItems containsNonDate="0" containsString="0" containsBlank="1"/>
    </cacheField>
    <cacheField name="Column8409" numFmtId="0">
      <sharedItems containsNonDate="0" containsString="0" containsBlank="1"/>
    </cacheField>
    <cacheField name="Column8410" numFmtId="0">
      <sharedItems containsNonDate="0" containsString="0" containsBlank="1"/>
    </cacheField>
    <cacheField name="Column8411" numFmtId="0">
      <sharedItems containsNonDate="0" containsString="0" containsBlank="1"/>
    </cacheField>
    <cacheField name="Column8412" numFmtId="0">
      <sharedItems containsNonDate="0" containsString="0" containsBlank="1"/>
    </cacheField>
    <cacheField name="Column8413" numFmtId="0">
      <sharedItems containsNonDate="0" containsString="0" containsBlank="1"/>
    </cacheField>
    <cacheField name="Column8414" numFmtId="0">
      <sharedItems containsNonDate="0" containsString="0" containsBlank="1"/>
    </cacheField>
    <cacheField name="Column8415" numFmtId="0">
      <sharedItems containsNonDate="0" containsString="0" containsBlank="1"/>
    </cacheField>
    <cacheField name="Column8416" numFmtId="0">
      <sharedItems containsNonDate="0" containsString="0" containsBlank="1"/>
    </cacheField>
    <cacheField name="Column8417" numFmtId="0">
      <sharedItems containsNonDate="0" containsString="0" containsBlank="1"/>
    </cacheField>
    <cacheField name="Column8418" numFmtId="0">
      <sharedItems containsNonDate="0" containsString="0" containsBlank="1"/>
    </cacheField>
    <cacheField name="Column8419" numFmtId="0">
      <sharedItems containsNonDate="0" containsString="0" containsBlank="1"/>
    </cacheField>
    <cacheField name="Column8420" numFmtId="0">
      <sharedItems containsNonDate="0" containsString="0" containsBlank="1"/>
    </cacheField>
    <cacheField name="Column8421" numFmtId="0">
      <sharedItems containsNonDate="0" containsString="0" containsBlank="1"/>
    </cacheField>
    <cacheField name="Column8422" numFmtId="0">
      <sharedItems containsNonDate="0" containsString="0" containsBlank="1"/>
    </cacheField>
    <cacheField name="Column8423" numFmtId="0">
      <sharedItems containsNonDate="0" containsString="0" containsBlank="1"/>
    </cacheField>
    <cacheField name="Column8424" numFmtId="0">
      <sharedItems containsNonDate="0" containsString="0" containsBlank="1"/>
    </cacheField>
    <cacheField name="Column8425" numFmtId="0">
      <sharedItems containsNonDate="0" containsString="0" containsBlank="1"/>
    </cacheField>
    <cacheField name="Column8426" numFmtId="0">
      <sharedItems containsNonDate="0" containsString="0" containsBlank="1"/>
    </cacheField>
    <cacheField name="Column8427" numFmtId="0">
      <sharedItems containsNonDate="0" containsString="0" containsBlank="1"/>
    </cacheField>
    <cacheField name="Column8428" numFmtId="0">
      <sharedItems containsNonDate="0" containsString="0" containsBlank="1"/>
    </cacheField>
    <cacheField name="Column8429" numFmtId="0">
      <sharedItems containsNonDate="0" containsString="0" containsBlank="1"/>
    </cacheField>
    <cacheField name="Column8430" numFmtId="0">
      <sharedItems containsNonDate="0" containsString="0" containsBlank="1"/>
    </cacheField>
    <cacheField name="Column8431" numFmtId="0">
      <sharedItems containsNonDate="0" containsString="0" containsBlank="1"/>
    </cacheField>
    <cacheField name="Column8432" numFmtId="0">
      <sharedItems containsNonDate="0" containsString="0" containsBlank="1"/>
    </cacheField>
    <cacheField name="Column8433" numFmtId="0">
      <sharedItems containsNonDate="0" containsString="0" containsBlank="1"/>
    </cacheField>
    <cacheField name="Column8434" numFmtId="0">
      <sharedItems containsNonDate="0" containsString="0" containsBlank="1"/>
    </cacheField>
    <cacheField name="Column8435" numFmtId="0">
      <sharedItems containsNonDate="0" containsString="0" containsBlank="1"/>
    </cacheField>
    <cacheField name="Column8436" numFmtId="0">
      <sharedItems containsNonDate="0" containsString="0" containsBlank="1"/>
    </cacheField>
    <cacheField name="Column8437" numFmtId="0">
      <sharedItems containsNonDate="0" containsString="0" containsBlank="1"/>
    </cacheField>
    <cacheField name="Column8438" numFmtId="0">
      <sharedItems containsNonDate="0" containsString="0" containsBlank="1"/>
    </cacheField>
    <cacheField name="Column8439" numFmtId="0">
      <sharedItems containsNonDate="0" containsString="0" containsBlank="1"/>
    </cacheField>
    <cacheField name="Column8440" numFmtId="0">
      <sharedItems containsNonDate="0" containsString="0" containsBlank="1"/>
    </cacheField>
    <cacheField name="Column8441" numFmtId="0">
      <sharedItems containsNonDate="0" containsString="0" containsBlank="1"/>
    </cacheField>
    <cacheField name="Column8442" numFmtId="0">
      <sharedItems containsNonDate="0" containsString="0" containsBlank="1"/>
    </cacheField>
    <cacheField name="Column8443" numFmtId="0">
      <sharedItems containsNonDate="0" containsString="0" containsBlank="1"/>
    </cacheField>
    <cacheField name="Column8444" numFmtId="0">
      <sharedItems containsNonDate="0" containsString="0" containsBlank="1"/>
    </cacheField>
    <cacheField name="Column8445" numFmtId="0">
      <sharedItems containsNonDate="0" containsString="0" containsBlank="1"/>
    </cacheField>
    <cacheField name="Column8446" numFmtId="0">
      <sharedItems containsNonDate="0" containsString="0" containsBlank="1"/>
    </cacheField>
    <cacheField name="Column8447" numFmtId="0">
      <sharedItems containsNonDate="0" containsString="0" containsBlank="1"/>
    </cacheField>
    <cacheField name="Column8448" numFmtId="0">
      <sharedItems containsNonDate="0" containsString="0" containsBlank="1"/>
    </cacheField>
    <cacheField name="Column8449" numFmtId="0">
      <sharedItems containsNonDate="0" containsString="0" containsBlank="1"/>
    </cacheField>
    <cacheField name="Column8450" numFmtId="0">
      <sharedItems containsNonDate="0" containsString="0" containsBlank="1"/>
    </cacheField>
    <cacheField name="Column8451" numFmtId="0">
      <sharedItems containsNonDate="0" containsString="0" containsBlank="1"/>
    </cacheField>
    <cacheField name="Column8452" numFmtId="0">
      <sharedItems containsNonDate="0" containsString="0" containsBlank="1"/>
    </cacheField>
    <cacheField name="Column8453" numFmtId="0">
      <sharedItems containsNonDate="0" containsString="0" containsBlank="1"/>
    </cacheField>
    <cacheField name="Column8454" numFmtId="0">
      <sharedItems containsNonDate="0" containsString="0" containsBlank="1"/>
    </cacheField>
    <cacheField name="Column8455" numFmtId="0">
      <sharedItems containsNonDate="0" containsString="0" containsBlank="1"/>
    </cacheField>
    <cacheField name="Column8456" numFmtId="0">
      <sharedItems containsNonDate="0" containsString="0" containsBlank="1"/>
    </cacheField>
    <cacheField name="Column8457" numFmtId="0">
      <sharedItems containsNonDate="0" containsString="0" containsBlank="1"/>
    </cacheField>
    <cacheField name="Column8458" numFmtId="0">
      <sharedItems containsNonDate="0" containsString="0" containsBlank="1"/>
    </cacheField>
    <cacheField name="Column8459" numFmtId="0">
      <sharedItems containsNonDate="0" containsString="0" containsBlank="1"/>
    </cacheField>
    <cacheField name="Column8460" numFmtId="0">
      <sharedItems containsNonDate="0" containsString="0" containsBlank="1"/>
    </cacheField>
    <cacheField name="Column8461" numFmtId="0">
      <sharedItems containsNonDate="0" containsString="0" containsBlank="1"/>
    </cacheField>
    <cacheField name="Column8462" numFmtId="0">
      <sharedItems containsNonDate="0" containsString="0" containsBlank="1"/>
    </cacheField>
    <cacheField name="Column8463" numFmtId="0">
      <sharedItems containsNonDate="0" containsString="0" containsBlank="1"/>
    </cacheField>
    <cacheField name="Column8464" numFmtId="0">
      <sharedItems containsNonDate="0" containsString="0" containsBlank="1"/>
    </cacheField>
    <cacheField name="Column8465" numFmtId="0">
      <sharedItems containsNonDate="0" containsString="0" containsBlank="1"/>
    </cacheField>
    <cacheField name="Column8466" numFmtId="0">
      <sharedItems containsNonDate="0" containsString="0" containsBlank="1"/>
    </cacheField>
    <cacheField name="Column8467" numFmtId="0">
      <sharedItems containsNonDate="0" containsString="0" containsBlank="1"/>
    </cacheField>
    <cacheField name="Column8468" numFmtId="0">
      <sharedItems containsNonDate="0" containsString="0" containsBlank="1"/>
    </cacheField>
    <cacheField name="Column8469" numFmtId="0">
      <sharedItems containsNonDate="0" containsString="0" containsBlank="1"/>
    </cacheField>
    <cacheField name="Column8470" numFmtId="0">
      <sharedItems containsNonDate="0" containsString="0" containsBlank="1"/>
    </cacheField>
    <cacheField name="Column8471" numFmtId="0">
      <sharedItems containsNonDate="0" containsString="0" containsBlank="1"/>
    </cacheField>
    <cacheField name="Column8472" numFmtId="0">
      <sharedItems containsNonDate="0" containsString="0" containsBlank="1"/>
    </cacheField>
    <cacheField name="Column8473" numFmtId="0">
      <sharedItems containsNonDate="0" containsString="0" containsBlank="1"/>
    </cacheField>
    <cacheField name="Column8474" numFmtId="0">
      <sharedItems containsNonDate="0" containsString="0" containsBlank="1"/>
    </cacheField>
    <cacheField name="Column8475" numFmtId="0">
      <sharedItems containsNonDate="0" containsString="0" containsBlank="1"/>
    </cacheField>
    <cacheField name="Column8476" numFmtId="0">
      <sharedItems containsNonDate="0" containsString="0" containsBlank="1"/>
    </cacheField>
    <cacheField name="Column8477" numFmtId="0">
      <sharedItems containsNonDate="0" containsString="0" containsBlank="1"/>
    </cacheField>
    <cacheField name="Column8478" numFmtId="0">
      <sharedItems containsNonDate="0" containsString="0" containsBlank="1"/>
    </cacheField>
    <cacheField name="Column8479" numFmtId="0">
      <sharedItems containsNonDate="0" containsString="0" containsBlank="1"/>
    </cacheField>
    <cacheField name="Column8480" numFmtId="0">
      <sharedItems containsNonDate="0" containsString="0" containsBlank="1"/>
    </cacheField>
    <cacheField name="Column8481" numFmtId="0">
      <sharedItems containsNonDate="0" containsString="0" containsBlank="1"/>
    </cacheField>
    <cacheField name="Column8482" numFmtId="0">
      <sharedItems containsNonDate="0" containsString="0" containsBlank="1"/>
    </cacheField>
    <cacheField name="Column8483" numFmtId="0">
      <sharedItems containsNonDate="0" containsString="0" containsBlank="1"/>
    </cacheField>
    <cacheField name="Column8484" numFmtId="0">
      <sharedItems containsNonDate="0" containsString="0" containsBlank="1"/>
    </cacheField>
    <cacheField name="Column8485" numFmtId="0">
      <sharedItems containsNonDate="0" containsString="0" containsBlank="1"/>
    </cacheField>
    <cacheField name="Column8486" numFmtId="0">
      <sharedItems containsNonDate="0" containsString="0" containsBlank="1"/>
    </cacheField>
    <cacheField name="Column8487" numFmtId="0">
      <sharedItems containsNonDate="0" containsString="0" containsBlank="1"/>
    </cacheField>
    <cacheField name="Column8488" numFmtId="0">
      <sharedItems containsNonDate="0" containsString="0" containsBlank="1"/>
    </cacheField>
    <cacheField name="Column8489" numFmtId="0">
      <sharedItems containsNonDate="0" containsString="0" containsBlank="1"/>
    </cacheField>
    <cacheField name="Column8490" numFmtId="0">
      <sharedItems containsNonDate="0" containsString="0" containsBlank="1"/>
    </cacheField>
    <cacheField name="Column8491" numFmtId="0">
      <sharedItems containsNonDate="0" containsString="0" containsBlank="1"/>
    </cacheField>
    <cacheField name="Column8492" numFmtId="0">
      <sharedItems containsNonDate="0" containsString="0" containsBlank="1"/>
    </cacheField>
    <cacheField name="Column8493" numFmtId="0">
      <sharedItems containsNonDate="0" containsString="0" containsBlank="1"/>
    </cacheField>
    <cacheField name="Column8494" numFmtId="0">
      <sharedItems containsNonDate="0" containsString="0" containsBlank="1"/>
    </cacheField>
    <cacheField name="Column8495" numFmtId="0">
      <sharedItems containsNonDate="0" containsString="0" containsBlank="1"/>
    </cacheField>
    <cacheField name="Column8496" numFmtId="0">
      <sharedItems containsNonDate="0" containsString="0" containsBlank="1"/>
    </cacheField>
    <cacheField name="Column8497" numFmtId="0">
      <sharedItems containsNonDate="0" containsString="0" containsBlank="1"/>
    </cacheField>
    <cacheField name="Column8498" numFmtId="0">
      <sharedItems containsNonDate="0" containsString="0" containsBlank="1"/>
    </cacheField>
    <cacheField name="Column8499" numFmtId="0">
      <sharedItems containsNonDate="0" containsString="0" containsBlank="1"/>
    </cacheField>
    <cacheField name="Column8500" numFmtId="0">
      <sharedItems containsNonDate="0" containsString="0" containsBlank="1"/>
    </cacheField>
    <cacheField name="Column8501" numFmtId="0">
      <sharedItems containsNonDate="0" containsString="0" containsBlank="1"/>
    </cacheField>
    <cacheField name="Column8502" numFmtId="0">
      <sharedItems containsNonDate="0" containsString="0" containsBlank="1"/>
    </cacheField>
    <cacheField name="Column8503" numFmtId="0">
      <sharedItems containsNonDate="0" containsString="0" containsBlank="1"/>
    </cacheField>
    <cacheField name="Column8504" numFmtId="0">
      <sharedItems containsNonDate="0" containsString="0" containsBlank="1"/>
    </cacheField>
    <cacheField name="Column8505" numFmtId="0">
      <sharedItems containsNonDate="0" containsString="0" containsBlank="1"/>
    </cacheField>
    <cacheField name="Column8506" numFmtId="0">
      <sharedItems containsNonDate="0" containsString="0" containsBlank="1"/>
    </cacheField>
    <cacheField name="Column8507" numFmtId="0">
      <sharedItems containsNonDate="0" containsString="0" containsBlank="1"/>
    </cacheField>
    <cacheField name="Column8508" numFmtId="0">
      <sharedItems containsNonDate="0" containsString="0" containsBlank="1"/>
    </cacheField>
    <cacheField name="Column8509" numFmtId="0">
      <sharedItems containsNonDate="0" containsString="0" containsBlank="1"/>
    </cacheField>
    <cacheField name="Column8510" numFmtId="0">
      <sharedItems containsNonDate="0" containsString="0" containsBlank="1"/>
    </cacheField>
    <cacheField name="Column8511" numFmtId="0">
      <sharedItems containsNonDate="0" containsString="0" containsBlank="1"/>
    </cacheField>
    <cacheField name="Column8512" numFmtId="0">
      <sharedItems containsNonDate="0" containsString="0" containsBlank="1"/>
    </cacheField>
    <cacheField name="Column8513" numFmtId="0">
      <sharedItems containsNonDate="0" containsString="0" containsBlank="1"/>
    </cacheField>
    <cacheField name="Column8514" numFmtId="0">
      <sharedItems containsNonDate="0" containsString="0" containsBlank="1"/>
    </cacheField>
    <cacheField name="Column8515" numFmtId="0">
      <sharedItems containsNonDate="0" containsString="0" containsBlank="1"/>
    </cacheField>
    <cacheField name="Column8516" numFmtId="0">
      <sharedItems containsNonDate="0" containsString="0" containsBlank="1"/>
    </cacheField>
    <cacheField name="Column8517" numFmtId="0">
      <sharedItems containsNonDate="0" containsString="0" containsBlank="1"/>
    </cacheField>
    <cacheField name="Column8518" numFmtId="0">
      <sharedItems containsNonDate="0" containsString="0" containsBlank="1"/>
    </cacheField>
    <cacheField name="Column8519" numFmtId="0">
      <sharedItems containsNonDate="0" containsString="0" containsBlank="1"/>
    </cacheField>
    <cacheField name="Column8520" numFmtId="0">
      <sharedItems containsNonDate="0" containsString="0" containsBlank="1"/>
    </cacheField>
    <cacheField name="Column8521" numFmtId="0">
      <sharedItems containsNonDate="0" containsString="0" containsBlank="1"/>
    </cacheField>
    <cacheField name="Column8522" numFmtId="0">
      <sharedItems containsNonDate="0" containsString="0" containsBlank="1"/>
    </cacheField>
    <cacheField name="Column8523" numFmtId="0">
      <sharedItems containsNonDate="0" containsString="0" containsBlank="1"/>
    </cacheField>
    <cacheField name="Column8524" numFmtId="0">
      <sharedItems containsNonDate="0" containsString="0" containsBlank="1"/>
    </cacheField>
    <cacheField name="Column8525" numFmtId="0">
      <sharedItems containsNonDate="0" containsString="0" containsBlank="1"/>
    </cacheField>
    <cacheField name="Column8526" numFmtId="0">
      <sharedItems containsNonDate="0" containsString="0" containsBlank="1"/>
    </cacheField>
    <cacheField name="Column8527" numFmtId="0">
      <sharedItems containsNonDate="0" containsString="0" containsBlank="1"/>
    </cacheField>
    <cacheField name="Column8528" numFmtId="0">
      <sharedItems containsNonDate="0" containsString="0" containsBlank="1"/>
    </cacheField>
    <cacheField name="Column8529" numFmtId="0">
      <sharedItems containsNonDate="0" containsString="0" containsBlank="1"/>
    </cacheField>
    <cacheField name="Column8530" numFmtId="0">
      <sharedItems containsNonDate="0" containsString="0" containsBlank="1"/>
    </cacheField>
    <cacheField name="Column8531" numFmtId="0">
      <sharedItems containsNonDate="0" containsString="0" containsBlank="1"/>
    </cacheField>
    <cacheField name="Column8532" numFmtId="0">
      <sharedItems containsNonDate="0" containsString="0" containsBlank="1"/>
    </cacheField>
    <cacheField name="Column8533" numFmtId="0">
      <sharedItems containsNonDate="0" containsString="0" containsBlank="1"/>
    </cacheField>
    <cacheField name="Column8534" numFmtId="0">
      <sharedItems containsNonDate="0" containsString="0" containsBlank="1"/>
    </cacheField>
    <cacheField name="Column8535" numFmtId="0">
      <sharedItems containsNonDate="0" containsString="0" containsBlank="1"/>
    </cacheField>
    <cacheField name="Column8536" numFmtId="0">
      <sharedItems containsNonDate="0" containsString="0" containsBlank="1"/>
    </cacheField>
    <cacheField name="Column8537" numFmtId="0">
      <sharedItems containsNonDate="0" containsString="0" containsBlank="1"/>
    </cacheField>
    <cacheField name="Column8538" numFmtId="0">
      <sharedItems containsNonDate="0" containsString="0" containsBlank="1"/>
    </cacheField>
    <cacheField name="Column8539" numFmtId="0">
      <sharedItems containsNonDate="0" containsString="0" containsBlank="1"/>
    </cacheField>
    <cacheField name="Column8540" numFmtId="0">
      <sharedItems containsNonDate="0" containsString="0" containsBlank="1"/>
    </cacheField>
    <cacheField name="Column8541" numFmtId="0">
      <sharedItems containsNonDate="0" containsString="0" containsBlank="1"/>
    </cacheField>
    <cacheField name="Column8542" numFmtId="0">
      <sharedItems containsNonDate="0" containsString="0" containsBlank="1"/>
    </cacheField>
    <cacheField name="Column8543" numFmtId="0">
      <sharedItems containsNonDate="0" containsString="0" containsBlank="1"/>
    </cacheField>
    <cacheField name="Column8544" numFmtId="0">
      <sharedItems containsNonDate="0" containsString="0" containsBlank="1"/>
    </cacheField>
    <cacheField name="Column8545" numFmtId="0">
      <sharedItems containsNonDate="0" containsString="0" containsBlank="1"/>
    </cacheField>
    <cacheField name="Column8546" numFmtId="0">
      <sharedItems containsNonDate="0" containsString="0" containsBlank="1"/>
    </cacheField>
    <cacheField name="Column8547" numFmtId="0">
      <sharedItems containsNonDate="0" containsString="0" containsBlank="1"/>
    </cacheField>
    <cacheField name="Column8548" numFmtId="0">
      <sharedItems containsNonDate="0" containsString="0" containsBlank="1"/>
    </cacheField>
    <cacheField name="Column8549" numFmtId="0">
      <sharedItems containsNonDate="0" containsString="0" containsBlank="1"/>
    </cacheField>
    <cacheField name="Column8550" numFmtId="0">
      <sharedItems containsNonDate="0" containsString="0" containsBlank="1"/>
    </cacheField>
    <cacheField name="Column8551" numFmtId="0">
      <sharedItems containsNonDate="0" containsString="0" containsBlank="1"/>
    </cacheField>
    <cacheField name="Column8552" numFmtId="0">
      <sharedItems containsNonDate="0" containsString="0" containsBlank="1"/>
    </cacheField>
    <cacheField name="Column8553" numFmtId="0">
      <sharedItems containsNonDate="0" containsString="0" containsBlank="1"/>
    </cacheField>
    <cacheField name="Column8554" numFmtId="0">
      <sharedItems containsNonDate="0" containsString="0" containsBlank="1"/>
    </cacheField>
    <cacheField name="Column8555" numFmtId="0">
      <sharedItems containsNonDate="0" containsString="0" containsBlank="1"/>
    </cacheField>
    <cacheField name="Column8556" numFmtId="0">
      <sharedItems containsNonDate="0" containsString="0" containsBlank="1"/>
    </cacheField>
    <cacheField name="Column8557" numFmtId="0">
      <sharedItems containsNonDate="0" containsString="0" containsBlank="1"/>
    </cacheField>
    <cacheField name="Column8558" numFmtId="0">
      <sharedItems containsNonDate="0" containsString="0" containsBlank="1"/>
    </cacheField>
    <cacheField name="Column8559" numFmtId="0">
      <sharedItems containsNonDate="0" containsString="0" containsBlank="1"/>
    </cacheField>
    <cacheField name="Column8560" numFmtId="0">
      <sharedItems containsNonDate="0" containsString="0" containsBlank="1"/>
    </cacheField>
    <cacheField name="Column8561" numFmtId="0">
      <sharedItems containsNonDate="0" containsString="0" containsBlank="1"/>
    </cacheField>
    <cacheField name="Column8562" numFmtId="0">
      <sharedItems containsNonDate="0" containsString="0" containsBlank="1"/>
    </cacheField>
    <cacheField name="Column8563" numFmtId="0">
      <sharedItems containsNonDate="0" containsString="0" containsBlank="1"/>
    </cacheField>
    <cacheField name="Column8564" numFmtId="0">
      <sharedItems containsNonDate="0" containsString="0" containsBlank="1"/>
    </cacheField>
    <cacheField name="Column8565" numFmtId="0">
      <sharedItems containsNonDate="0" containsString="0" containsBlank="1"/>
    </cacheField>
    <cacheField name="Column8566" numFmtId="0">
      <sharedItems containsNonDate="0" containsString="0" containsBlank="1"/>
    </cacheField>
    <cacheField name="Column8567" numFmtId="0">
      <sharedItems containsNonDate="0" containsString="0" containsBlank="1"/>
    </cacheField>
    <cacheField name="Column8568" numFmtId="0">
      <sharedItems containsNonDate="0" containsString="0" containsBlank="1"/>
    </cacheField>
    <cacheField name="Column8569" numFmtId="0">
      <sharedItems containsNonDate="0" containsString="0" containsBlank="1"/>
    </cacheField>
    <cacheField name="Column8570" numFmtId="0">
      <sharedItems containsNonDate="0" containsString="0" containsBlank="1"/>
    </cacheField>
    <cacheField name="Column8571" numFmtId="0">
      <sharedItems containsNonDate="0" containsString="0" containsBlank="1"/>
    </cacheField>
    <cacheField name="Column8572" numFmtId="0">
      <sharedItems containsNonDate="0" containsString="0" containsBlank="1"/>
    </cacheField>
    <cacheField name="Column8573" numFmtId="0">
      <sharedItems containsNonDate="0" containsString="0" containsBlank="1"/>
    </cacheField>
    <cacheField name="Column8574" numFmtId="0">
      <sharedItems containsNonDate="0" containsString="0" containsBlank="1"/>
    </cacheField>
    <cacheField name="Column8575" numFmtId="0">
      <sharedItems containsNonDate="0" containsString="0" containsBlank="1"/>
    </cacheField>
    <cacheField name="Column8576" numFmtId="0">
      <sharedItems containsNonDate="0" containsString="0" containsBlank="1"/>
    </cacheField>
    <cacheField name="Column8577" numFmtId="0">
      <sharedItems containsNonDate="0" containsString="0" containsBlank="1"/>
    </cacheField>
    <cacheField name="Column8578" numFmtId="0">
      <sharedItems containsNonDate="0" containsString="0" containsBlank="1"/>
    </cacheField>
    <cacheField name="Column8579" numFmtId="0">
      <sharedItems containsNonDate="0" containsString="0" containsBlank="1"/>
    </cacheField>
    <cacheField name="Column8580" numFmtId="0">
      <sharedItems containsNonDate="0" containsString="0" containsBlank="1"/>
    </cacheField>
    <cacheField name="Column8581" numFmtId="0">
      <sharedItems containsNonDate="0" containsString="0" containsBlank="1"/>
    </cacheField>
    <cacheField name="Column8582" numFmtId="0">
      <sharedItems containsNonDate="0" containsString="0" containsBlank="1"/>
    </cacheField>
    <cacheField name="Column8583" numFmtId="0">
      <sharedItems containsNonDate="0" containsString="0" containsBlank="1"/>
    </cacheField>
    <cacheField name="Column8584" numFmtId="0">
      <sharedItems containsNonDate="0" containsString="0" containsBlank="1"/>
    </cacheField>
    <cacheField name="Column8585" numFmtId="0">
      <sharedItems containsNonDate="0" containsString="0" containsBlank="1"/>
    </cacheField>
    <cacheField name="Column8586" numFmtId="0">
      <sharedItems containsNonDate="0" containsString="0" containsBlank="1"/>
    </cacheField>
    <cacheField name="Column8587" numFmtId="0">
      <sharedItems containsNonDate="0" containsString="0" containsBlank="1"/>
    </cacheField>
    <cacheField name="Column8588" numFmtId="0">
      <sharedItems containsNonDate="0" containsString="0" containsBlank="1"/>
    </cacheField>
    <cacheField name="Column8589" numFmtId="0">
      <sharedItems containsNonDate="0" containsString="0" containsBlank="1"/>
    </cacheField>
    <cacheField name="Column8590" numFmtId="0">
      <sharedItems containsNonDate="0" containsString="0" containsBlank="1"/>
    </cacheField>
    <cacheField name="Column8591" numFmtId="0">
      <sharedItems containsNonDate="0" containsString="0" containsBlank="1"/>
    </cacheField>
    <cacheField name="Column8592" numFmtId="0">
      <sharedItems containsNonDate="0" containsString="0" containsBlank="1"/>
    </cacheField>
    <cacheField name="Column8593" numFmtId="0">
      <sharedItems containsNonDate="0" containsString="0" containsBlank="1"/>
    </cacheField>
    <cacheField name="Column8594" numFmtId="0">
      <sharedItems containsNonDate="0" containsString="0" containsBlank="1"/>
    </cacheField>
    <cacheField name="Column8595" numFmtId="0">
      <sharedItems containsNonDate="0" containsString="0" containsBlank="1"/>
    </cacheField>
    <cacheField name="Column8596" numFmtId="0">
      <sharedItems containsNonDate="0" containsString="0" containsBlank="1"/>
    </cacheField>
    <cacheField name="Column8597" numFmtId="0">
      <sharedItems containsNonDate="0" containsString="0" containsBlank="1"/>
    </cacheField>
    <cacheField name="Column8598" numFmtId="0">
      <sharedItems containsNonDate="0" containsString="0" containsBlank="1"/>
    </cacheField>
    <cacheField name="Column8599" numFmtId="0">
      <sharedItems containsNonDate="0" containsString="0" containsBlank="1"/>
    </cacheField>
    <cacheField name="Column8600" numFmtId="0">
      <sharedItems containsNonDate="0" containsString="0" containsBlank="1"/>
    </cacheField>
    <cacheField name="Column8601" numFmtId="0">
      <sharedItems containsNonDate="0" containsString="0" containsBlank="1"/>
    </cacheField>
    <cacheField name="Column8602" numFmtId="0">
      <sharedItems containsNonDate="0" containsString="0" containsBlank="1"/>
    </cacheField>
    <cacheField name="Column8603" numFmtId="0">
      <sharedItems containsNonDate="0" containsString="0" containsBlank="1"/>
    </cacheField>
    <cacheField name="Column8604" numFmtId="0">
      <sharedItems containsNonDate="0" containsString="0" containsBlank="1"/>
    </cacheField>
    <cacheField name="Column8605" numFmtId="0">
      <sharedItems containsNonDate="0" containsString="0" containsBlank="1"/>
    </cacheField>
    <cacheField name="Column8606" numFmtId="0">
      <sharedItems containsNonDate="0" containsString="0" containsBlank="1"/>
    </cacheField>
    <cacheField name="Column8607" numFmtId="0">
      <sharedItems containsNonDate="0" containsString="0" containsBlank="1"/>
    </cacheField>
    <cacheField name="Column8608" numFmtId="0">
      <sharedItems containsNonDate="0" containsString="0" containsBlank="1"/>
    </cacheField>
    <cacheField name="Column8609" numFmtId="0">
      <sharedItems containsNonDate="0" containsString="0" containsBlank="1"/>
    </cacheField>
    <cacheField name="Column8610" numFmtId="0">
      <sharedItems containsNonDate="0" containsString="0" containsBlank="1"/>
    </cacheField>
    <cacheField name="Column8611" numFmtId="0">
      <sharedItems containsNonDate="0" containsString="0" containsBlank="1"/>
    </cacheField>
    <cacheField name="Column8612" numFmtId="0">
      <sharedItems containsNonDate="0" containsString="0" containsBlank="1"/>
    </cacheField>
    <cacheField name="Column8613" numFmtId="0">
      <sharedItems containsNonDate="0" containsString="0" containsBlank="1"/>
    </cacheField>
    <cacheField name="Column8614" numFmtId="0">
      <sharedItems containsNonDate="0" containsString="0" containsBlank="1"/>
    </cacheField>
    <cacheField name="Column8615" numFmtId="0">
      <sharedItems containsNonDate="0" containsString="0" containsBlank="1"/>
    </cacheField>
    <cacheField name="Column8616" numFmtId="0">
      <sharedItems containsNonDate="0" containsString="0" containsBlank="1"/>
    </cacheField>
    <cacheField name="Column8617" numFmtId="0">
      <sharedItems containsNonDate="0" containsString="0" containsBlank="1"/>
    </cacheField>
    <cacheField name="Column8618" numFmtId="0">
      <sharedItems containsNonDate="0" containsString="0" containsBlank="1"/>
    </cacheField>
    <cacheField name="Column8619" numFmtId="0">
      <sharedItems containsNonDate="0" containsString="0" containsBlank="1"/>
    </cacheField>
    <cacheField name="Column8620" numFmtId="0">
      <sharedItems containsNonDate="0" containsString="0" containsBlank="1"/>
    </cacheField>
    <cacheField name="Column8621" numFmtId="0">
      <sharedItems containsNonDate="0" containsString="0" containsBlank="1"/>
    </cacheField>
    <cacheField name="Column8622" numFmtId="0">
      <sharedItems containsNonDate="0" containsString="0" containsBlank="1"/>
    </cacheField>
    <cacheField name="Column8623" numFmtId="0">
      <sharedItems containsNonDate="0" containsString="0" containsBlank="1"/>
    </cacheField>
    <cacheField name="Column8624" numFmtId="0">
      <sharedItems containsNonDate="0" containsString="0" containsBlank="1"/>
    </cacheField>
    <cacheField name="Column8625" numFmtId="0">
      <sharedItems containsNonDate="0" containsString="0" containsBlank="1"/>
    </cacheField>
    <cacheField name="Column8626" numFmtId="0">
      <sharedItems containsNonDate="0" containsString="0" containsBlank="1"/>
    </cacheField>
    <cacheField name="Column8627" numFmtId="0">
      <sharedItems containsNonDate="0" containsString="0" containsBlank="1"/>
    </cacheField>
    <cacheField name="Column8628" numFmtId="0">
      <sharedItems containsNonDate="0" containsString="0" containsBlank="1"/>
    </cacheField>
    <cacheField name="Column8629" numFmtId="0">
      <sharedItems containsNonDate="0" containsString="0" containsBlank="1"/>
    </cacheField>
    <cacheField name="Column8630" numFmtId="0">
      <sharedItems containsNonDate="0" containsString="0" containsBlank="1"/>
    </cacheField>
    <cacheField name="Column8631" numFmtId="0">
      <sharedItems containsNonDate="0" containsString="0" containsBlank="1"/>
    </cacheField>
    <cacheField name="Column8632" numFmtId="0">
      <sharedItems containsNonDate="0" containsString="0" containsBlank="1"/>
    </cacheField>
    <cacheField name="Column8633" numFmtId="0">
      <sharedItems containsNonDate="0" containsString="0" containsBlank="1"/>
    </cacheField>
    <cacheField name="Column8634" numFmtId="0">
      <sharedItems containsNonDate="0" containsString="0" containsBlank="1"/>
    </cacheField>
    <cacheField name="Column8635" numFmtId="0">
      <sharedItems containsNonDate="0" containsString="0" containsBlank="1"/>
    </cacheField>
    <cacheField name="Column8636" numFmtId="0">
      <sharedItems containsNonDate="0" containsString="0" containsBlank="1"/>
    </cacheField>
    <cacheField name="Column8637" numFmtId="0">
      <sharedItems containsNonDate="0" containsString="0" containsBlank="1"/>
    </cacheField>
    <cacheField name="Column8638" numFmtId="0">
      <sharedItems containsNonDate="0" containsString="0" containsBlank="1"/>
    </cacheField>
    <cacheField name="Column8639" numFmtId="0">
      <sharedItems containsNonDate="0" containsString="0" containsBlank="1"/>
    </cacheField>
    <cacheField name="Column8640" numFmtId="0">
      <sharedItems containsNonDate="0" containsString="0" containsBlank="1"/>
    </cacheField>
    <cacheField name="Column8641" numFmtId="0">
      <sharedItems containsNonDate="0" containsString="0" containsBlank="1"/>
    </cacheField>
    <cacheField name="Column8642" numFmtId="0">
      <sharedItems containsNonDate="0" containsString="0" containsBlank="1"/>
    </cacheField>
    <cacheField name="Column8643" numFmtId="0">
      <sharedItems containsNonDate="0" containsString="0" containsBlank="1"/>
    </cacheField>
    <cacheField name="Column8644" numFmtId="0">
      <sharedItems containsNonDate="0" containsString="0" containsBlank="1"/>
    </cacheField>
    <cacheField name="Column8645" numFmtId="0">
      <sharedItems containsNonDate="0" containsString="0" containsBlank="1"/>
    </cacheField>
    <cacheField name="Column8646" numFmtId="0">
      <sharedItems containsNonDate="0" containsString="0" containsBlank="1"/>
    </cacheField>
    <cacheField name="Column8647" numFmtId="0">
      <sharedItems containsNonDate="0" containsString="0" containsBlank="1"/>
    </cacheField>
    <cacheField name="Column8648" numFmtId="0">
      <sharedItems containsNonDate="0" containsString="0" containsBlank="1"/>
    </cacheField>
    <cacheField name="Column8649" numFmtId="0">
      <sharedItems containsNonDate="0" containsString="0" containsBlank="1"/>
    </cacheField>
    <cacheField name="Column8650" numFmtId="0">
      <sharedItems containsNonDate="0" containsString="0" containsBlank="1"/>
    </cacheField>
    <cacheField name="Column8651" numFmtId="0">
      <sharedItems containsNonDate="0" containsString="0" containsBlank="1"/>
    </cacheField>
    <cacheField name="Column8652" numFmtId="0">
      <sharedItems containsNonDate="0" containsString="0" containsBlank="1"/>
    </cacheField>
    <cacheField name="Column8653" numFmtId="0">
      <sharedItems containsNonDate="0" containsString="0" containsBlank="1"/>
    </cacheField>
    <cacheField name="Column8654" numFmtId="0">
      <sharedItems containsNonDate="0" containsString="0" containsBlank="1"/>
    </cacheField>
    <cacheField name="Column8655" numFmtId="0">
      <sharedItems containsNonDate="0" containsString="0" containsBlank="1"/>
    </cacheField>
    <cacheField name="Column8656" numFmtId="0">
      <sharedItems containsNonDate="0" containsString="0" containsBlank="1"/>
    </cacheField>
    <cacheField name="Column8657" numFmtId="0">
      <sharedItems containsNonDate="0" containsString="0" containsBlank="1"/>
    </cacheField>
    <cacheField name="Column8658" numFmtId="0">
      <sharedItems containsNonDate="0" containsString="0" containsBlank="1"/>
    </cacheField>
    <cacheField name="Column8659" numFmtId="0">
      <sharedItems containsNonDate="0" containsString="0" containsBlank="1"/>
    </cacheField>
    <cacheField name="Column8660" numFmtId="0">
      <sharedItems containsNonDate="0" containsString="0" containsBlank="1"/>
    </cacheField>
    <cacheField name="Column8661" numFmtId="0">
      <sharedItems containsNonDate="0" containsString="0" containsBlank="1"/>
    </cacheField>
    <cacheField name="Column8662" numFmtId="0">
      <sharedItems containsNonDate="0" containsString="0" containsBlank="1"/>
    </cacheField>
    <cacheField name="Column8663" numFmtId="0">
      <sharedItems containsNonDate="0" containsString="0" containsBlank="1"/>
    </cacheField>
    <cacheField name="Column8664" numFmtId="0">
      <sharedItems containsNonDate="0" containsString="0" containsBlank="1"/>
    </cacheField>
    <cacheField name="Column8665" numFmtId="0">
      <sharedItems containsNonDate="0" containsString="0" containsBlank="1"/>
    </cacheField>
    <cacheField name="Column8666" numFmtId="0">
      <sharedItems containsNonDate="0" containsString="0" containsBlank="1"/>
    </cacheField>
    <cacheField name="Column8667" numFmtId="0">
      <sharedItems containsNonDate="0" containsString="0" containsBlank="1"/>
    </cacheField>
    <cacheField name="Column8668" numFmtId="0">
      <sharedItems containsNonDate="0" containsString="0" containsBlank="1"/>
    </cacheField>
    <cacheField name="Column8669" numFmtId="0">
      <sharedItems containsNonDate="0" containsString="0" containsBlank="1"/>
    </cacheField>
    <cacheField name="Column8670" numFmtId="0">
      <sharedItems containsNonDate="0" containsString="0" containsBlank="1"/>
    </cacheField>
    <cacheField name="Column8671" numFmtId="0">
      <sharedItems containsNonDate="0" containsString="0" containsBlank="1"/>
    </cacheField>
    <cacheField name="Column8672" numFmtId="0">
      <sharedItems containsNonDate="0" containsString="0" containsBlank="1"/>
    </cacheField>
    <cacheField name="Column8673" numFmtId="0">
      <sharedItems containsNonDate="0" containsString="0" containsBlank="1"/>
    </cacheField>
    <cacheField name="Column8674" numFmtId="0">
      <sharedItems containsNonDate="0" containsString="0" containsBlank="1"/>
    </cacheField>
    <cacheField name="Column8675" numFmtId="0">
      <sharedItems containsNonDate="0" containsString="0" containsBlank="1"/>
    </cacheField>
    <cacheField name="Column8676" numFmtId="0">
      <sharedItems containsNonDate="0" containsString="0" containsBlank="1"/>
    </cacheField>
    <cacheField name="Column8677" numFmtId="0">
      <sharedItems containsNonDate="0" containsString="0" containsBlank="1"/>
    </cacheField>
    <cacheField name="Column8678" numFmtId="0">
      <sharedItems containsNonDate="0" containsString="0" containsBlank="1"/>
    </cacheField>
    <cacheField name="Column8679" numFmtId="0">
      <sharedItems containsNonDate="0" containsString="0" containsBlank="1"/>
    </cacheField>
    <cacheField name="Column8680" numFmtId="0">
      <sharedItems containsNonDate="0" containsString="0" containsBlank="1"/>
    </cacheField>
    <cacheField name="Column8681" numFmtId="0">
      <sharedItems containsNonDate="0" containsString="0" containsBlank="1"/>
    </cacheField>
    <cacheField name="Column8682" numFmtId="0">
      <sharedItems containsNonDate="0" containsString="0" containsBlank="1"/>
    </cacheField>
    <cacheField name="Column8683" numFmtId="0">
      <sharedItems containsNonDate="0" containsString="0" containsBlank="1"/>
    </cacheField>
    <cacheField name="Column8684" numFmtId="0">
      <sharedItems containsNonDate="0" containsString="0" containsBlank="1"/>
    </cacheField>
    <cacheField name="Column8685" numFmtId="0">
      <sharedItems containsNonDate="0" containsString="0" containsBlank="1"/>
    </cacheField>
    <cacheField name="Column8686" numFmtId="0">
      <sharedItems containsNonDate="0" containsString="0" containsBlank="1"/>
    </cacheField>
    <cacheField name="Column8687" numFmtId="0">
      <sharedItems containsNonDate="0" containsString="0" containsBlank="1"/>
    </cacheField>
    <cacheField name="Column8688" numFmtId="0">
      <sharedItems containsNonDate="0" containsString="0" containsBlank="1"/>
    </cacheField>
    <cacheField name="Column8689" numFmtId="0">
      <sharedItems containsNonDate="0" containsString="0" containsBlank="1"/>
    </cacheField>
    <cacheField name="Column8690" numFmtId="0">
      <sharedItems containsNonDate="0" containsString="0" containsBlank="1"/>
    </cacheField>
    <cacheField name="Column8691" numFmtId="0">
      <sharedItems containsNonDate="0" containsString="0" containsBlank="1"/>
    </cacheField>
    <cacheField name="Column8692" numFmtId="0">
      <sharedItems containsNonDate="0" containsString="0" containsBlank="1"/>
    </cacheField>
    <cacheField name="Column8693" numFmtId="0">
      <sharedItems containsNonDate="0" containsString="0" containsBlank="1"/>
    </cacheField>
    <cacheField name="Column8694" numFmtId="0">
      <sharedItems containsNonDate="0" containsString="0" containsBlank="1"/>
    </cacheField>
    <cacheField name="Column8695" numFmtId="0">
      <sharedItems containsNonDate="0" containsString="0" containsBlank="1"/>
    </cacheField>
    <cacheField name="Column8696" numFmtId="0">
      <sharedItems containsNonDate="0" containsString="0" containsBlank="1"/>
    </cacheField>
    <cacheField name="Column8697" numFmtId="0">
      <sharedItems containsNonDate="0" containsString="0" containsBlank="1"/>
    </cacheField>
    <cacheField name="Column8698" numFmtId="0">
      <sharedItems containsNonDate="0" containsString="0" containsBlank="1"/>
    </cacheField>
    <cacheField name="Column8699" numFmtId="0">
      <sharedItems containsNonDate="0" containsString="0" containsBlank="1"/>
    </cacheField>
    <cacheField name="Column8700" numFmtId="0">
      <sharedItems containsNonDate="0" containsString="0" containsBlank="1"/>
    </cacheField>
    <cacheField name="Column8701" numFmtId="0">
      <sharedItems containsNonDate="0" containsString="0" containsBlank="1"/>
    </cacheField>
    <cacheField name="Column8702" numFmtId="0">
      <sharedItems containsNonDate="0" containsString="0" containsBlank="1"/>
    </cacheField>
    <cacheField name="Column8703" numFmtId="0">
      <sharedItems containsNonDate="0" containsString="0" containsBlank="1"/>
    </cacheField>
    <cacheField name="Column8704" numFmtId="0">
      <sharedItems containsNonDate="0" containsString="0" containsBlank="1"/>
    </cacheField>
    <cacheField name="Column8705" numFmtId="0">
      <sharedItems containsNonDate="0" containsString="0" containsBlank="1"/>
    </cacheField>
    <cacheField name="Column8706" numFmtId="0">
      <sharedItems containsNonDate="0" containsString="0" containsBlank="1"/>
    </cacheField>
    <cacheField name="Column8707" numFmtId="0">
      <sharedItems containsNonDate="0" containsString="0" containsBlank="1"/>
    </cacheField>
    <cacheField name="Column8708" numFmtId="0">
      <sharedItems containsNonDate="0" containsString="0" containsBlank="1"/>
    </cacheField>
    <cacheField name="Column8709" numFmtId="0">
      <sharedItems containsNonDate="0" containsString="0" containsBlank="1"/>
    </cacheField>
    <cacheField name="Column8710" numFmtId="0">
      <sharedItems containsNonDate="0" containsString="0" containsBlank="1"/>
    </cacheField>
    <cacheField name="Column8711" numFmtId="0">
      <sharedItems containsNonDate="0" containsString="0" containsBlank="1"/>
    </cacheField>
    <cacheField name="Column8712" numFmtId="0">
      <sharedItems containsNonDate="0" containsString="0" containsBlank="1"/>
    </cacheField>
    <cacheField name="Column8713" numFmtId="0">
      <sharedItems containsNonDate="0" containsString="0" containsBlank="1"/>
    </cacheField>
    <cacheField name="Column8714" numFmtId="0">
      <sharedItems containsNonDate="0" containsString="0" containsBlank="1"/>
    </cacheField>
    <cacheField name="Column8715" numFmtId="0">
      <sharedItems containsNonDate="0" containsString="0" containsBlank="1"/>
    </cacheField>
    <cacheField name="Column8716" numFmtId="0">
      <sharedItems containsNonDate="0" containsString="0" containsBlank="1"/>
    </cacheField>
    <cacheField name="Column8717" numFmtId="0">
      <sharedItems containsNonDate="0" containsString="0" containsBlank="1"/>
    </cacheField>
    <cacheField name="Column8718" numFmtId="0">
      <sharedItems containsNonDate="0" containsString="0" containsBlank="1"/>
    </cacheField>
    <cacheField name="Column8719" numFmtId="0">
      <sharedItems containsNonDate="0" containsString="0" containsBlank="1"/>
    </cacheField>
    <cacheField name="Column8720" numFmtId="0">
      <sharedItems containsNonDate="0" containsString="0" containsBlank="1"/>
    </cacheField>
    <cacheField name="Column8721" numFmtId="0">
      <sharedItems containsNonDate="0" containsString="0" containsBlank="1"/>
    </cacheField>
    <cacheField name="Column8722" numFmtId="0">
      <sharedItems containsNonDate="0" containsString="0" containsBlank="1"/>
    </cacheField>
    <cacheField name="Column8723" numFmtId="0">
      <sharedItems containsNonDate="0" containsString="0" containsBlank="1"/>
    </cacheField>
    <cacheField name="Column8724" numFmtId="0">
      <sharedItems containsNonDate="0" containsString="0" containsBlank="1"/>
    </cacheField>
    <cacheField name="Column8725" numFmtId="0">
      <sharedItems containsNonDate="0" containsString="0" containsBlank="1"/>
    </cacheField>
    <cacheField name="Column8726" numFmtId="0">
      <sharedItems containsNonDate="0" containsString="0" containsBlank="1"/>
    </cacheField>
    <cacheField name="Column8727" numFmtId="0">
      <sharedItems containsNonDate="0" containsString="0" containsBlank="1"/>
    </cacheField>
    <cacheField name="Column8728" numFmtId="0">
      <sharedItems containsNonDate="0" containsString="0" containsBlank="1"/>
    </cacheField>
    <cacheField name="Column8729" numFmtId="0">
      <sharedItems containsNonDate="0" containsString="0" containsBlank="1"/>
    </cacheField>
    <cacheField name="Column8730" numFmtId="0">
      <sharedItems containsNonDate="0" containsString="0" containsBlank="1"/>
    </cacheField>
    <cacheField name="Column8731" numFmtId="0">
      <sharedItems containsNonDate="0" containsString="0" containsBlank="1"/>
    </cacheField>
    <cacheField name="Column8732" numFmtId="0">
      <sharedItems containsNonDate="0" containsString="0" containsBlank="1"/>
    </cacheField>
    <cacheField name="Column8733" numFmtId="0">
      <sharedItems containsNonDate="0" containsString="0" containsBlank="1"/>
    </cacheField>
    <cacheField name="Column8734" numFmtId="0">
      <sharedItems containsNonDate="0" containsString="0" containsBlank="1"/>
    </cacheField>
    <cacheField name="Column8735" numFmtId="0">
      <sharedItems containsNonDate="0" containsString="0" containsBlank="1"/>
    </cacheField>
    <cacheField name="Column8736" numFmtId="0">
      <sharedItems containsNonDate="0" containsString="0" containsBlank="1"/>
    </cacheField>
    <cacheField name="Column8737" numFmtId="0">
      <sharedItems containsNonDate="0" containsString="0" containsBlank="1"/>
    </cacheField>
    <cacheField name="Column8738" numFmtId="0">
      <sharedItems containsNonDate="0" containsString="0" containsBlank="1"/>
    </cacheField>
    <cacheField name="Column8739" numFmtId="0">
      <sharedItems containsNonDate="0" containsString="0" containsBlank="1"/>
    </cacheField>
    <cacheField name="Column8740" numFmtId="0">
      <sharedItems containsNonDate="0" containsString="0" containsBlank="1"/>
    </cacheField>
    <cacheField name="Column8741" numFmtId="0">
      <sharedItems containsNonDate="0" containsString="0" containsBlank="1"/>
    </cacheField>
    <cacheField name="Column8742" numFmtId="0">
      <sharedItems containsNonDate="0" containsString="0" containsBlank="1"/>
    </cacheField>
    <cacheField name="Column8743" numFmtId="0">
      <sharedItems containsNonDate="0" containsString="0" containsBlank="1"/>
    </cacheField>
    <cacheField name="Column8744" numFmtId="0">
      <sharedItems containsNonDate="0" containsString="0" containsBlank="1"/>
    </cacheField>
    <cacheField name="Column8745" numFmtId="0">
      <sharedItems containsNonDate="0" containsString="0" containsBlank="1"/>
    </cacheField>
    <cacheField name="Column8746" numFmtId="0">
      <sharedItems containsNonDate="0" containsString="0" containsBlank="1"/>
    </cacheField>
    <cacheField name="Column8747" numFmtId="0">
      <sharedItems containsNonDate="0" containsString="0" containsBlank="1"/>
    </cacheField>
    <cacheField name="Column8748" numFmtId="0">
      <sharedItems containsNonDate="0" containsString="0" containsBlank="1"/>
    </cacheField>
    <cacheField name="Column8749" numFmtId="0">
      <sharedItems containsNonDate="0" containsString="0" containsBlank="1"/>
    </cacheField>
    <cacheField name="Column8750" numFmtId="0">
      <sharedItems containsNonDate="0" containsString="0" containsBlank="1"/>
    </cacheField>
    <cacheField name="Column8751" numFmtId="0">
      <sharedItems containsNonDate="0" containsString="0" containsBlank="1"/>
    </cacheField>
    <cacheField name="Column8752" numFmtId="0">
      <sharedItems containsNonDate="0" containsString="0" containsBlank="1"/>
    </cacheField>
    <cacheField name="Column8753" numFmtId="0">
      <sharedItems containsNonDate="0" containsString="0" containsBlank="1"/>
    </cacheField>
    <cacheField name="Column8754" numFmtId="0">
      <sharedItems containsNonDate="0" containsString="0" containsBlank="1"/>
    </cacheField>
    <cacheField name="Column8755" numFmtId="0">
      <sharedItems containsNonDate="0" containsString="0" containsBlank="1"/>
    </cacheField>
    <cacheField name="Column8756" numFmtId="0">
      <sharedItems containsNonDate="0" containsString="0" containsBlank="1"/>
    </cacheField>
    <cacheField name="Column8757" numFmtId="0">
      <sharedItems containsNonDate="0" containsString="0" containsBlank="1"/>
    </cacheField>
    <cacheField name="Column8758" numFmtId="0">
      <sharedItems containsNonDate="0" containsString="0" containsBlank="1"/>
    </cacheField>
    <cacheField name="Column8759" numFmtId="0">
      <sharedItems containsNonDate="0" containsString="0" containsBlank="1"/>
    </cacheField>
    <cacheField name="Column8760" numFmtId="0">
      <sharedItems containsNonDate="0" containsString="0" containsBlank="1"/>
    </cacheField>
    <cacheField name="Column8761" numFmtId="0">
      <sharedItems containsNonDate="0" containsString="0" containsBlank="1"/>
    </cacheField>
    <cacheField name="Column8762" numFmtId="0">
      <sharedItems containsNonDate="0" containsString="0" containsBlank="1"/>
    </cacheField>
    <cacheField name="Column8763" numFmtId="0">
      <sharedItems containsNonDate="0" containsString="0" containsBlank="1"/>
    </cacheField>
    <cacheField name="Column8764" numFmtId="0">
      <sharedItems containsNonDate="0" containsString="0" containsBlank="1"/>
    </cacheField>
    <cacheField name="Column8765" numFmtId="0">
      <sharedItems containsNonDate="0" containsString="0" containsBlank="1"/>
    </cacheField>
    <cacheField name="Column8766" numFmtId="0">
      <sharedItems containsNonDate="0" containsString="0" containsBlank="1"/>
    </cacheField>
    <cacheField name="Column8767" numFmtId="0">
      <sharedItems containsNonDate="0" containsString="0" containsBlank="1"/>
    </cacheField>
    <cacheField name="Column8768" numFmtId="0">
      <sharedItems containsNonDate="0" containsString="0" containsBlank="1"/>
    </cacheField>
    <cacheField name="Column8769" numFmtId="0">
      <sharedItems containsNonDate="0" containsString="0" containsBlank="1"/>
    </cacheField>
    <cacheField name="Column8770" numFmtId="0">
      <sharedItems containsNonDate="0" containsString="0" containsBlank="1"/>
    </cacheField>
    <cacheField name="Column8771" numFmtId="0">
      <sharedItems containsNonDate="0" containsString="0" containsBlank="1"/>
    </cacheField>
    <cacheField name="Column8772" numFmtId="0">
      <sharedItems containsNonDate="0" containsString="0" containsBlank="1"/>
    </cacheField>
    <cacheField name="Column8773" numFmtId="0">
      <sharedItems containsNonDate="0" containsString="0" containsBlank="1"/>
    </cacheField>
    <cacheField name="Column8774" numFmtId="0">
      <sharedItems containsNonDate="0" containsString="0" containsBlank="1"/>
    </cacheField>
    <cacheField name="Column8775" numFmtId="0">
      <sharedItems containsNonDate="0" containsString="0" containsBlank="1"/>
    </cacheField>
    <cacheField name="Column8776" numFmtId="0">
      <sharedItems containsNonDate="0" containsString="0" containsBlank="1"/>
    </cacheField>
    <cacheField name="Column8777" numFmtId="0">
      <sharedItems containsNonDate="0" containsString="0" containsBlank="1"/>
    </cacheField>
    <cacheField name="Column8778" numFmtId="0">
      <sharedItems containsNonDate="0" containsString="0" containsBlank="1"/>
    </cacheField>
    <cacheField name="Column8779" numFmtId="0">
      <sharedItems containsNonDate="0" containsString="0" containsBlank="1"/>
    </cacheField>
    <cacheField name="Column8780" numFmtId="0">
      <sharedItems containsNonDate="0" containsString="0" containsBlank="1"/>
    </cacheField>
    <cacheField name="Column8781" numFmtId="0">
      <sharedItems containsNonDate="0" containsString="0" containsBlank="1"/>
    </cacheField>
    <cacheField name="Column8782" numFmtId="0">
      <sharedItems containsNonDate="0" containsString="0" containsBlank="1"/>
    </cacheField>
    <cacheField name="Column8783" numFmtId="0">
      <sharedItems containsNonDate="0" containsString="0" containsBlank="1"/>
    </cacheField>
    <cacheField name="Column8784" numFmtId="0">
      <sharedItems containsNonDate="0" containsString="0" containsBlank="1"/>
    </cacheField>
    <cacheField name="Column8785" numFmtId="0">
      <sharedItems containsNonDate="0" containsString="0" containsBlank="1"/>
    </cacheField>
    <cacheField name="Column8786" numFmtId="0">
      <sharedItems containsNonDate="0" containsString="0" containsBlank="1"/>
    </cacheField>
    <cacheField name="Column8787" numFmtId="0">
      <sharedItems containsNonDate="0" containsString="0" containsBlank="1"/>
    </cacheField>
    <cacheField name="Column8788" numFmtId="0">
      <sharedItems containsNonDate="0" containsString="0" containsBlank="1"/>
    </cacheField>
    <cacheField name="Column8789" numFmtId="0">
      <sharedItems containsNonDate="0" containsString="0" containsBlank="1"/>
    </cacheField>
    <cacheField name="Column8790" numFmtId="0">
      <sharedItems containsNonDate="0" containsString="0" containsBlank="1"/>
    </cacheField>
    <cacheField name="Column8791" numFmtId="0">
      <sharedItems containsNonDate="0" containsString="0" containsBlank="1"/>
    </cacheField>
    <cacheField name="Column8792" numFmtId="0">
      <sharedItems containsNonDate="0" containsString="0" containsBlank="1"/>
    </cacheField>
    <cacheField name="Column8793" numFmtId="0">
      <sharedItems containsNonDate="0" containsString="0" containsBlank="1"/>
    </cacheField>
    <cacheField name="Column8794" numFmtId="0">
      <sharedItems containsNonDate="0" containsString="0" containsBlank="1"/>
    </cacheField>
    <cacheField name="Column8795" numFmtId="0">
      <sharedItems containsNonDate="0" containsString="0" containsBlank="1"/>
    </cacheField>
    <cacheField name="Column8796" numFmtId="0">
      <sharedItems containsNonDate="0" containsString="0" containsBlank="1"/>
    </cacheField>
    <cacheField name="Column8797" numFmtId="0">
      <sharedItems containsNonDate="0" containsString="0" containsBlank="1"/>
    </cacheField>
    <cacheField name="Column8798" numFmtId="0">
      <sharedItems containsNonDate="0" containsString="0" containsBlank="1"/>
    </cacheField>
    <cacheField name="Column8799" numFmtId="0">
      <sharedItems containsNonDate="0" containsString="0" containsBlank="1"/>
    </cacheField>
    <cacheField name="Column8800" numFmtId="0">
      <sharedItems containsNonDate="0" containsString="0" containsBlank="1"/>
    </cacheField>
    <cacheField name="Column8801" numFmtId="0">
      <sharedItems containsNonDate="0" containsString="0" containsBlank="1"/>
    </cacheField>
    <cacheField name="Column8802" numFmtId="0">
      <sharedItems containsNonDate="0" containsString="0" containsBlank="1"/>
    </cacheField>
    <cacheField name="Column8803" numFmtId="0">
      <sharedItems containsNonDate="0" containsString="0" containsBlank="1"/>
    </cacheField>
    <cacheField name="Column8804" numFmtId="0">
      <sharedItems containsNonDate="0" containsString="0" containsBlank="1"/>
    </cacheField>
    <cacheField name="Column8805" numFmtId="0">
      <sharedItems containsNonDate="0" containsString="0" containsBlank="1"/>
    </cacheField>
    <cacheField name="Column8806" numFmtId="0">
      <sharedItems containsNonDate="0" containsString="0" containsBlank="1"/>
    </cacheField>
    <cacheField name="Column8807" numFmtId="0">
      <sharedItems containsNonDate="0" containsString="0" containsBlank="1"/>
    </cacheField>
    <cacheField name="Column8808" numFmtId="0">
      <sharedItems containsNonDate="0" containsString="0" containsBlank="1"/>
    </cacheField>
    <cacheField name="Column8809" numFmtId="0">
      <sharedItems containsNonDate="0" containsString="0" containsBlank="1"/>
    </cacheField>
    <cacheField name="Column8810" numFmtId="0">
      <sharedItems containsNonDate="0" containsString="0" containsBlank="1"/>
    </cacheField>
    <cacheField name="Column8811" numFmtId="0">
      <sharedItems containsNonDate="0" containsString="0" containsBlank="1"/>
    </cacheField>
    <cacheField name="Column8812" numFmtId="0">
      <sharedItems containsNonDate="0" containsString="0" containsBlank="1"/>
    </cacheField>
    <cacheField name="Column8813" numFmtId="0">
      <sharedItems containsNonDate="0" containsString="0" containsBlank="1"/>
    </cacheField>
    <cacheField name="Column8814" numFmtId="0">
      <sharedItems containsNonDate="0" containsString="0" containsBlank="1"/>
    </cacheField>
    <cacheField name="Column8815" numFmtId="0">
      <sharedItems containsNonDate="0" containsString="0" containsBlank="1"/>
    </cacheField>
    <cacheField name="Column8816" numFmtId="0">
      <sharedItems containsNonDate="0" containsString="0" containsBlank="1"/>
    </cacheField>
    <cacheField name="Column8817" numFmtId="0">
      <sharedItems containsNonDate="0" containsString="0" containsBlank="1"/>
    </cacheField>
    <cacheField name="Column8818" numFmtId="0">
      <sharedItems containsNonDate="0" containsString="0" containsBlank="1"/>
    </cacheField>
    <cacheField name="Column8819" numFmtId="0">
      <sharedItems containsNonDate="0" containsString="0" containsBlank="1"/>
    </cacheField>
    <cacheField name="Column8820" numFmtId="0">
      <sharedItems containsNonDate="0" containsString="0" containsBlank="1"/>
    </cacheField>
    <cacheField name="Column8821" numFmtId="0">
      <sharedItems containsNonDate="0" containsString="0" containsBlank="1"/>
    </cacheField>
    <cacheField name="Column8822" numFmtId="0">
      <sharedItems containsNonDate="0" containsString="0" containsBlank="1"/>
    </cacheField>
    <cacheField name="Column8823" numFmtId="0">
      <sharedItems containsNonDate="0" containsString="0" containsBlank="1"/>
    </cacheField>
    <cacheField name="Column8824" numFmtId="0">
      <sharedItems containsNonDate="0" containsString="0" containsBlank="1"/>
    </cacheField>
    <cacheField name="Column8825" numFmtId="0">
      <sharedItems containsNonDate="0" containsString="0" containsBlank="1"/>
    </cacheField>
    <cacheField name="Column8826" numFmtId="0">
      <sharedItems containsNonDate="0" containsString="0" containsBlank="1"/>
    </cacheField>
    <cacheField name="Column8827" numFmtId="0">
      <sharedItems containsNonDate="0" containsString="0" containsBlank="1"/>
    </cacheField>
    <cacheField name="Column8828" numFmtId="0">
      <sharedItems containsNonDate="0" containsString="0" containsBlank="1"/>
    </cacheField>
    <cacheField name="Column8829" numFmtId="0">
      <sharedItems containsNonDate="0" containsString="0" containsBlank="1"/>
    </cacheField>
    <cacheField name="Column8830" numFmtId="0">
      <sharedItems containsNonDate="0" containsString="0" containsBlank="1"/>
    </cacheField>
    <cacheField name="Column8831" numFmtId="0">
      <sharedItems containsNonDate="0" containsString="0" containsBlank="1"/>
    </cacheField>
    <cacheField name="Column8832" numFmtId="0">
      <sharedItems containsNonDate="0" containsString="0" containsBlank="1"/>
    </cacheField>
    <cacheField name="Column8833" numFmtId="0">
      <sharedItems containsNonDate="0" containsString="0" containsBlank="1"/>
    </cacheField>
    <cacheField name="Column8834" numFmtId="0">
      <sharedItems containsNonDate="0" containsString="0" containsBlank="1"/>
    </cacheField>
    <cacheField name="Column8835" numFmtId="0">
      <sharedItems containsNonDate="0" containsString="0" containsBlank="1"/>
    </cacheField>
    <cacheField name="Column8836" numFmtId="0">
      <sharedItems containsNonDate="0" containsString="0" containsBlank="1"/>
    </cacheField>
    <cacheField name="Column8837" numFmtId="0">
      <sharedItems containsNonDate="0" containsString="0" containsBlank="1"/>
    </cacheField>
    <cacheField name="Column8838" numFmtId="0">
      <sharedItems containsNonDate="0" containsString="0" containsBlank="1"/>
    </cacheField>
    <cacheField name="Column8839" numFmtId="0">
      <sharedItems containsNonDate="0" containsString="0" containsBlank="1"/>
    </cacheField>
    <cacheField name="Column8840" numFmtId="0">
      <sharedItems containsNonDate="0" containsString="0" containsBlank="1"/>
    </cacheField>
    <cacheField name="Column8841" numFmtId="0">
      <sharedItems containsNonDate="0" containsString="0" containsBlank="1"/>
    </cacheField>
    <cacheField name="Column8842" numFmtId="0">
      <sharedItems containsNonDate="0" containsString="0" containsBlank="1"/>
    </cacheField>
    <cacheField name="Column8843" numFmtId="0">
      <sharedItems containsNonDate="0" containsString="0" containsBlank="1"/>
    </cacheField>
    <cacheField name="Column8844" numFmtId="0">
      <sharedItems containsNonDate="0" containsString="0" containsBlank="1"/>
    </cacheField>
    <cacheField name="Column8845" numFmtId="0">
      <sharedItems containsNonDate="0" containsString="0" containsBlank="1"/>
    </cacheField>
    <cacheField name="Column8846" numFmtId="0">
      <sharedItems containsNonDate="0" containsString="0" containsBlank="1"/>
    </cacheField>
    <cacheField name="Column8847" numFmtId="0">
      <sharedItems containsNonDate="0" containsString="0" containsBlank="1"/>
    </cacheField>
    <cacheField name="Column8848" numFmtId="0">
      <sharedItems containsNonDate="0" containsString="0" containsBlank="1"/>
    </cacheField>
    <cacheField name="Column8849" numFmtId="0">
      <sharedItems containsNonDate="0" containsString="0" containsBlank="1"/>
    </cacheField>
    <cacheField name="Column8850" numFmtId="0">
      <sharedItems containsNonDate="0" containsString="0" containsBlank="1"/>
    </cacheField>
    <cacheField name="Column8851" numFmtId="0">
      <sharedItems containsNonDate="0" containsString="0" containsBlank="1"/>
    </cacheField>
    <cacheField name="Column8852" numFmtId="0">
      <sharedItems containsNonDate="0" containsString="0" containsBlank="1"/>
    </cacheField>
    <cacheField name="Column8853" numFmtId="0">
      <sharedItems containsNonDate="0" containsString="0" containsBlank="1"/>
    </cacheField>
    <cacheField name="Column8854" numFmtId="0">
      <sharedItems containsNonDate="0" containsString="0" containsBlank="1"/>
    </cacheField>
    <cacheField name="Column8855" numFmtId="0">
      <sharedItems containsNonDate="0" containsString="0" containsBlank="1"/>
    </cacheField>
    <cacheField name="Column8856" numFmtId="0">
      <sharedItems containsNonDate="0" containsString="0" containsBlank="1"/>
    </cacheField>
    <cacheField name="Column8857" numFmtId="0">
      <sharedItems containsNonDate="0" containsString="0" containsBlank="1"/>
    </cacheField>
    <cacheField name="Column8858" numFmtId="0">
      <sharedItems containsNonDate="0" containsString="0" containsBlank="1"/>
    </cacheField>
    <cacheField name="Column8859" numFmtId="0">
      <sharedItems containsNonDate="0" containsString="0" containsBlank="1"/>
    </cacheField>
    <cacheField name="Column8860" numFmtId="0">
      <sharedItems containsNonDate="0" containsString="0" containsBlank="1"/>
    </cacheField>
    <cacheField name="Column8861" numFmtId="0">
      <sharedItems containsNonDate="0" containsString="0" containsBlank="1"/>
    </cacheField>
    <cacheField name="Column8862" numFmtId="0">
      <sharedItems containsNonDate="0" containsString="0" containsBlank="1"/>
    </cacheField>
    <cacheField name="Column8863" numFmtId="0">
      <sharedItems containsNonDate="0" containsString="0" containsBlank="1"/>
    </cacheField>
    <cacheField name="Column8864" numFmtId="0">
      <sharedItems containsNonDate="0" containsString="0" containsBlank="1"/>
    </cacheField>
    <cacheField name="Column8865" numFmtId="0">
      <sharedItems containsNonDate="0" containsString="0" containsBlank="1"/>
    </cacheField>
    <cacheField name="Column8866" numFmtId="0">
      <sharedItems containsNonDate="0" containsString="0" containsBlank="1"/>
    </cacheField>
    <cacheField name="Column8867" numFmtId="0">
      <sharedItems containsNonDate="0" containsString="0" containsBlank="1"/>
    </cacheField>
    <cacheField name="Column8868" numFmtId="0">
      <sharedItems containsNonDate="0" containsString="0" containsBlank="1"/>
    </cacheField>
    <cacheField name="Column8869" numFmtId="0">
      <sharedItems containsNonDate="0" containsString="0" containsBlank="1"/>
    </cacheField>
    <cacheField name="Column8870" numFmtId="0">
      <sharedItems containsNonDate="0" containsString="0" containsBlank="1"/>
    </cacheField>
    <cacheField name="Column8871" numFmtId="0">
      <sharedItems containsNonDate="0" containsString="0" containsBlank="1"/>
    </cacheField>
    <cacheField name="Column8872" numFmtId="0">
      <sharedItems containsNonDate="0" containsString="0" containsBlank="1"/>
    </cacheField>
    <cacheField name="Column8873" numFmtId="0">
      <sharedItems containsNonDate="0" containsString="0" containsBlank="1"/>
    </cacheField>
    <cacheField name="Column8874" numFmtId="0">
      <sharedItems containsNonDate="0" containsString="0" containsBlank="1"/>
    </cacheField>
    <cacheField name="Column8875" numFmtId="0">
      <sharedItems containsNonDate="0" containsString="0" containsBlank="1"/>
    </cacheField>
    <cacheField name="Column8876" numFmtId="0">
      <sharedItems containsNonDate="0" containsString="0" containsBlank="1"/>
    </cacheField>
    <cacheField name="Column8877" numFmtId="0">
      <sharedItems containsNonDate="0" containsString="0" containsBlank="1"/>
    </cacheField>
    <cacheField name="Column8878" numFmtId="0">
      <sharedItems containsNonDate="0" containsString="0" containsBlank="1"/>
    </cacheField>
    <cacheField name="Column8879" numFmtId="0">
      <sharedItems containsNonDate="0" containsString="0" containsBlank="1"/>
    </cacheField>
    <cacheField name="Column8880" numFmtId="0">
      <sharedItems containsNonDate="0" containsString="0" containsBlank="1"/>
    </cacheField>
    <cacheField name="Column8881" numFmtId="0">
      <sharedItems containsNonDate="0" containsString="0" containsBlank="1"/>
    </cacheField>
    <cacheField name="Column8882" numFmtId="0">
      <sharedItems containsNonDate="0" containsString="0" containsBlank="1"/>
    </cacheField>
    <cacheField name="Column8883" numFmtId="0">
      <sharedItems containsNonDate="0" containsString="0" containsBlank="1"/>
    </cacheField>
    <cacheField name="Column8884" numFmtId="0">
      <sharedItems containsNonDate="0" containsString="0" containsBlank="1"/>
    </cacheField>
    <cacheField name="Column8885" numFmtId="0">
      <sharedItems containsNonDate="0" containsString="0" containsBlank="1"/>
    </cacheField>
    <cacheField name="Column8886" numFmtId="0">
      <sharedItems containsNonDate="0" containsString="0" containsBlank="1"/>
    </cacheField>
    <cacheField name="Column8887" numFmtId="0">
      <sharedItems containsNonDate="0" containsString="0" containsBlank="1"/>
    </cacheField>
    <cacheField name="Column8888" numFmtId="0">
      <sharedItems containsNonDate="0" containsString="0" containsBlank="1"/>
    </cacheField>
    <cacheField name="Column8889" numFmtId="0">
      <sharedItems containsNonDate="0" containsString="0" containsBlank="1"/>
    </cacheField>
    <cacheField name="Column8890" numFmtId="0">
      <sharedItems containsNonDate="0" containsString="0" containsBlank="1"/>
    </cacheField>
    <cacheField name="Column8891" numFmtId="0">
      <sharedItems containsNonDate="0" containsString="0" containsBlank="1"/>
    </cacheField>
    <cacheField name="Column8892" numFmtId="0">
      <sharedItems containsNonDate="0" containsString="0" containsBlank="1"/>
    </cacheField>
    <cacheField name="Column8893" numFmtId="0">
      <sharedItems containsNonDate="0" containsString="0" containsBlank="1"/>
    </cacheField>
    <cacheField name="Column8894" numFmtId="0">
      <sharedItems containsNonDate="0" containsString="0" containsBlank="1"/>
    </cacheField>
    <cacheField name="Column8895" numFmtId="0">
      <sharedItems containsNonDate="0" containsString="0" containsBlank="1"/>
    </cacheField>
    <cacheField name="Column8896" numFmtId="0">
      <sharedItems containsNonDate="0" containsString="0" containsBlank="1"/>
    </cacheField>
    <cacheField name="Column8897" numFmtId="0">
      <sharedItems containsNonDate="0" containsString="0" containsBlank="1"/>
    </cacheField>
    <cacheField name="Column8898" numFmtId="0">
      <sharedItems containsNonDate="0" containsString="0" containsBlank="1"/>
    </cacheField>
    <cacheField name="Column8899" numFmtId="0">
      <sharedItems containsNonDate="0" containsString="0" containsBlank="1"/>
    </cacheField>
    <cacheField name="Column8900" numFmtId="0">
      <sharedItems containsNonDate="0" containsString="0" containsBlank="1"/>
    </cacheField>
    <cacheField name="Column8901" numFmtId="0">
      <sharedItems containsNonDate="0" containsString="0" containsBlank="1"/>
    </cacheField>
    <cacheField name="Column8902" numFmtId="0">
      <sharedItems containsNonDate="0" containsString="0" containsBlank="1"/>
    </cacheField>
    <cacheField name="Column8903" numFmtId="0">
      <sharedItems containsNonDate="0" containsString="0" containsBlank="1"/>
    </cacheField>
    <cacheField name="Column8904" numFmtId="0">
      <sharedItems containsNonDate="0" containsString="0" containsBlank="1"/>
    </cacheField>
    <cacheField name="Column8905" numFmtId="0">
      <sharedItems containsNonDate="0" containsString="0" containsBlank="1"/>
    </cacheField>
    <cacheField name="Column8906" numFmtId="0">
      <sharedItems containsNonDate="0" containsString="0" containsBlank="1"/>
    </cacheField>
    <cacheField name="Column8907" numFmtId="0">
      <sharedItems containsNonDate="0" containsString="0" containsBlank="1"/>
    </cacheField>
    <cacheField name="Column8908" numFmtId="0">
      <sharedItems containsNonDate="0" containsString="0" containsBlank="1"/>
    </cacheField>
    <cacheField name="Column8909" numFmtId="0">
      <sharedItems containsNonDate="0" containsString="0" containsBlank="1"/>
    </cacheField>
    <cacheField name="Column8910" numFmtId="0">
      <sharedItems containsNonDate="0" containsString="0" containsBlank="1"/>
    </cacheField>
    <cacheField name="Column8911" numFmtId="0">
      <sharedItems containsNonDate="0" containsString="0" containsBlank="1"/>
    </cacheField>
    <cacheField name="Column8912" numFmtId="0">
      <sharedItems containsNonDate="0" containsString="0" containsBlank="1"/>
    </cacheField>
    <cacheField name="Column8913" numFmtId="0">
      <sharedItems containsNonDate="0" containsString="0" containsBlank="1"/>
    </cacheField>
    <cacheField name="Column8914" numFmtId="0">
      <sharedItems containsNonDate="0" containsString="0" containsBlank="1"/>
    </cacheField>
    <cacheField name="Column8915" numFmtId="0">
      <sharedItems containsNonDate="0" containsString="0" containsBlank="1"/>
    </cacheField>
    <cacheField name="Column8916" numFmtId="0">
      <sharedItems containsNonDate="0" containsString="0" containsBlank="1"/>
    </cacheField>
    <cacheField name="Column8917" numFmtId="0">
      <sharedItems containsNonDate="0" containsString="0" containsBlank="1"/>
    </cacheField>
    <cacheField name="Column8918" numFmtId="0">
      <sharedItems containsNonDate="0" containsString="0" containsBlank="1"/>
    </cacheField>
    <cacheField name="Column8919" numFmtId="0">
      <sharedItems containsNonDate="0" containsString="0" containsBlank="1"/>
    </cacheField>
    <cacheField name="Column8920" numFmtId="0">
      <sharedItems containsNonDate="0" containsString="0" containsBlank="1"/>
    </cacheField>
    <cacheField name="Column8921" numFmtId="0">
      <sharedItems containsNonDate="0" containsString="0" containsBlank="1"/>
    </cacheField>
    <cacheField name="Column8922" numFmtId="0">
      <sharedItems containsNonDate="0" containsString="0" containsBlank="1"/>
    </cacheField>
    <cacheField name="Column8923" numFmtId="0">
      <sharedItems containsNonDate="0" containsString="0" containsBlank="1"/>
    </cacheField>
    <cacheField name="Column8924" numFmtId="0">
      <sharedItems containsNonDate="0" containsString="0" containsBlank="1"/>
    </cacheField>
    <cacheField name="Column8925" numFmtId="0">
      <sharedItems containsNonDate="0" containsString="0" containsBlank="1"/>
    </cacheField>
    <cacheField name="Column8926" numFmtId="0">
      <sharedItems containsNonDate="0" containsString="0" containsBlank="1"/>
    </cacheField>
    <cacheField name="Column8927" numFmtId="0">
      <sharedItems containsNonDate="0" containsString="0" containsBlank="1"/>
    </cacheField>
    <cacheField name="Column8928" numFmtId="0">
      <sharedItems containsNonDate="0" containsString="0" containsBlank="1"/>
    </cacheField>
    <cacheField name="Column8929" numFmtId="0">
      <sharedItems containsNonDate="0" containsString="0" containsBlank="1"/>
    </cacheField>
    <cacheField name="Column8930" numFmtId="0">
      <sharedItems containsNonDate="0" containsString="0" containsBlank="1"/>
    </cacheField>
    <cacheField name="Column8931" numFmtId="0">
      <sharedItems containsNonDate="0" containsString="0" containsBlank="1"/>
    </cacheField>
    <cacheField name="Column8932" numFmtId="0">
      <sharedItems containsNonDate="0" containsString="0" containsBlank="1"/>
    </cacheField>
    <cacheField name="Column8933" numFmtId="0">
      <sharedItems containsNonDate="0" containsString="0" containsBlank="1"/>
    </cacheField>
    <cacheField name="Column8934" numFmtId="0">
      <sharedItems containsNonDate="0" containsString="0" containsBlank="1"/>
    </cacheField>
    <cacheField name="Column8935" numFmtId="0">
      <sharedItems containsNonDate="0" containsString="0" containsBlank="1"/>
    </cacheField>
    <cacheField name="Column8936" numFmtId="0">
      <sharedItems containsNonDate="0" containsString="0" containsBlank="1"/>
    </cacheField>
    <cacheField name="Column8937" numFmtId="0">
      <sharedItems containsNonDate="0" containsString="0" containsBlank="1"/>
    </cacheField>
    <cacheField name="Column8938" numFmtId="0">
      <sharedItems containsNonDate="0" containsString="0" containsBlank="1"/>
    </cacheField>
    <cacheField name="Column8939" numFmtId="0">
      <sharedItems containsNonDate="0" containsString="0" containsBlank="1"/>
    </cacheField>
    <cacheField name="Column8940" numFmtId="0">
      <sharedItems containsNonDate="0" containsString="0" containsBlank="1"/>
    </cacheField>
    <cacheField name="Column8941" numFmtId="0">
      <sharedItems containsNonDate="0" containsString="0" containsBlank="1"/>
    </cacheField>
    <cacheField name="Column8942" numFmtId="0">
      <sharedItems containsNonDate="0" containsString="0" containsBlank="1"/>
    </cacheField>
    <cacheField name="Column8943" numFmtId="0">
      <sharedItems containsNonDate="0" containsString="0" containsBlank="1"/>
    </cacheField>
    <cacheField name="Column8944" numFmtId="0">
      <sharedItems containsNonDate="0" containsString="0" containsBlank="1"/>
    </cacheField>
    <cacheField name="Column8945" numFmtId="0">
      <sharedItems containsNonDate="0" containsString="0" containsBlank="1"/>
    </cacheField>
    <cacheField name="Column8946" numFmtId="0">
      <sharedItems containsNonDate="0" containsString="0" containsBlank="1"/>
    </cacheField>
    <cacheField name="Column8947" numFmtId="0">
      <sharedItems containsNonDate="0" containsString="0" containsBlank="1"/>
    </cacheField>
    <cacheField name="Column8948" numFmtId="0">
      <sharedItems containsNonDate="0" containsString="0" containsBlank="1"/>
    </cacheField>
    <cacheField name="Column8949" numFmtId="0">
      <sharedItems containsNonDate="0" containsString="0" containsBlank="1"/>
    </cacheField>
    <cacheField name="Column8950" numFmtId="0">
      <sharedItems containsNonDate="0" containsString="0" containsBlank="1"/>
    </cacheField>
    <cacheField name="Column8951" numFmtId="0">
      <sharedItems containsNonDate="0" containsString="0" containsBlank="1"/>
    </cacheField>
    <cacheField name="Column8952" numFmtId="0">
      <sharedItems containsNonDate="0" containsString="0" containsBlank="1"/>
    </cacheField>
    <cacheField name="Column8953" numFmtId="0">
      <sharedItems containsNonDate="0" containsString="0" containsBlank="1"/>
    </cacheField>
    <cacheField name="Column8954" numFmtId="0">
      <sharedItems containsNonDate="0" containsString="0" containsBlank="1"/>
    </cacheField>
    <cacheField name="Column8955" numFmtId="0">
      <sharedItems containsNonDate="0" containsString="0" containsBlank="1"/>
    </cacheField>
    <cacheField name="Column8956" numFmtId="0">
      <sharedItems containsNonDate="0" containsString="0" containsBlank="1"/>
    </cacheField>
    <cacheField name="Column8957" numFmtId="0">
      <sharedItems containsNonDate="0" containsString="0" containsBlank="1"/>
    </cacheField>
    <cacheField name="Column8958" numFmtId="0">
      <sharedItems containsNonDate="0" containsString="0" containsBlank="1"/>
    </cacheField>
    <cacheField name="Column8959" numFmtId="0">
      <sharedItems containsNonDate="0" containsString="0" containsBlank="1"/>
    </cacheField>
    <cacheField name="Column8960" numFmtId="0">
      <sharedItems containsNonDate="0" containsString="0" containsBlank="1"/>
    </cacheField>
    <cacheField name="Column8961" numFmtId="0">
      <sharedItems containsNonDate="0" containsString="0" containsBlank="1"/>
    </cacheField>
    <cacheField name="Column8962" numFmtId="0">
      <sharedItems containsNonDate="0" containsString="0" containsBlank="1"/>
    </cacheField>
    <cacheField name="Column8963" numFmtId="0">
      <sharedItems containsNonDate="0" containsString="0" containsBlank="1"/>
    </cacheField>
    <cacheField name="Column8964" numFmtId="0">
      <sharedItems containsNonDate="0" containsString="0" containsBlank="1"/>
    </cacheField>
    <cacheField name="Column8965" numFmtId="0">
      <sharedItems containsNonDate="0" containsString="0" containsBlank="1"/>
    </cacheField>
    <cacheField name="Column8966" numFmtId="0">
      <sharedItems containsNonDate="0" containsString="0" containsBlank="1"/>
    </cacheField>
    <cacheField name="Column8967" numFmtId="0">
      <sharedItems containsNonDate="0" containsString="0" containsBlank="1"/>
    </cacheField>
    <cacheField name="Column8968" numFmtId="0">
      <sharedItems containsNonDate="0" containsString="0" containsBlank="1"/>
    </cacheField>
    <cacheField name="Column8969" numFmtId="0">
      <sharedItems containsNonDate="0" containsString="0" containsBlank="1"/>
    </cacheField>
    <cacheField name="Column8970" numFmtId="0">
      <sharedItems containsNonDate="0" containsString="0" containsBlank="1"/>
    </cacheField>
    <cacheField name="Column8971" numFmtId="0">
      <sharedItems containsNonDate="0" containsString="0" containsBlank="1"/>
    </cacheField>
    <cacheField name="Column8972" numFmtId="0">
      <sharedItems containsNonDate="0" containsString="0" containsBlank="1"/>
    </cacheField>
    <cacheField name="Column8973" numFmtId="0">
      <sharedItems containsNonDate="0" containsString="0" containsBlank="1"/>
    </cacheField>
    <cacheField name="Column8974" numFmtId="0">
      <sharedItems containsNonDate="0" containsString="0" containsBlank="1"/>
    </cacheField>
    <cacheField name="Column8975" numFmtId="0">
      <sharedItems containsNonDate="0" containsString="0" containsBlank="1"/>
    </cacheField>
    <cacheField name="Column8976" numFmtId="0">
      <sharedItems containsNonDate="0" containsString="0" containsBlank="1"/>
    </cacheField>
    <cacheField name="Column8977" numFmtId="0">
      <sharedItems containsNonDate="0" containsString="0" containsBlank="1"/>
    </cacheField>
    <cacheField name="Column8978" numFmtId="0">
      <sharedItems containsNonDate="0" containsString="0" containsBlank="1"/>
    </cacheField>
    <cacheField name="Column8979" numFmtId="0">
      <sharedItems containsNonDate="0" containsString="0" containsBlank="1"/>
    </cacheField>
    <cacheField name="Column8980" numFmtId="0">
      <sharedItems containsNonDate="0" containsString="0" containsBlank="1"/>
    </cacheField>
    <cacheField name="Column8981" numFmtId="0">
      <sharedItems containsNonDate="0" containsString="0" containsBlank="1"/>
    </cacheField>
    <cacheField name="Column8982" numFmtId="0">
      <sharedItems containsNonDate="0" containsString="0" containsBlank="1"/>
    </cacheField>
    <cacheField name="Column8983" numFmtId="0">
      <sharedItems containsNonDate="0" containsString="0" containsBlank="1"/>
    </cacheField>
    <cacheField name="Column8984" numFmtId="0">
      <sharedItems containsNonDate="0" containsString="0" containsBlank="1"/>
    </cacheField>
    <cacheField name="Column8985" numFmtId="0">
      <sharedItems containsNonDate="0" containsString="0" containsBlank="1"/>
    </cacheField>
    <cacheField name="Column8986" numFmtId="0">
      <sharedItems containsNonDate="0" containsString="0" containsBlank="1"/>
    </cacheField>
    <cacheField name="Column8987" numFmtId="0">
      <sharedItems containsNonDate="0" containsString="0" containsBlank="1"/>
    </cacheField>
    <cacheField name="Column8988" numFmtId="0">
      <sharedItems containsNonDate="0" containsString="0" containsBlank="1"/>
    </cacheField>
    <cacheField name="Column8989" numFmtId="0">
      <sharedItems containsNonDate="0" containsString="0" containsBlank="1"/>
    </cacheField>
    <cacheField name="Column8990" numFmtId="0">
      <sharedItems containsNonDate="0" containsString="0" containsBlank="1"/>
    </cacheField>
    <cacheField name="Column8991" numFmtId="0">
      <sharedItems containsNonDate="0" containsString="0" containsBlank="1"/>
    </cacheField>
    <cacheField name="Column8992" numFmtId="0">
      <sharedItems containsNonDate="0" containsString="0" containsBlank="1"/>
    </cacheField>
    <cacheField name="Column8993" numFmtId="0">
      <sharedItems containsNonDate="0" containsString="0" containsBlank="1"/>
    </cacheField>
    <cacheField name="Column8994" numFmtId="0">
      <sharedItems containsNonDate="0" containsString="0" containsBlank="1"/>
    </cacheField>
    <cacheField name="Column8995" numFmtId="0">
      <sharedItems containsNonDate="0" containsString="0" containsBlank="1"/>
    </cacheField>
    <cacheField name="Column8996" numFmtId="0">
      <sharedItems containsNonDate="0" containsString="0" containsBlank="1"/>
    </cacheField>
    <cacheField name="Column8997" numFmtId="0">
      <sharedItems containsNonDate="0" containsString="0" containsBlank="1"/>
    </cacheField>
    <cacheField name="Column8998" numFmtId="0">
      <sharedItems containsNonDate="0" containsString="0" containsBlank="1"/>
    </cacheField>
    <cacheField name="Column8999" numFmtId="0">
      <sharedItems containsNonDate="0" containsString="0" containsBlank="1"/>
    </cacheField>
    <cacheField name="Column9000" numFmtId="0">
      <sharedItems containsNonDate="0" containsString="0" containsBlank="1"/>
    </cacheField>
    <cacheField name="Column9001" numFmtId="0">
      <sharedItems containsNonDate="0" containsString="0" containsBlank="1"/>
    </cacheField>
    <cacheField name="Column9002" numFmtId="0">
      <sharedItems containsNonDate="0" containsString="0" containsBlank="1"/>
    </cacheField>
    <cacheField name="Column9003" numFmtId="0">
      <sharedItems containsNonDate="0" containsString="0" containsBlank="1"/>
    </cacheField>
    <cacheField name="Column9004" numFmtId="0">
      <sharedItems containsNonDate="0" containsString="0" containsBlank="1"/>
    </cacheField>
    <cacheField name="Column9005" numFmtId="0">
      <sharedItems containsNonDate="0" containsString="0" containsBlank="1"/>
    </cacheField>
    <cacheField name="Column9006" numFmtId="0">
      <sharedItems containsNonDate="0" containsString="0" containsBlank="1"/>
    </cacheField>
    <cacheField name="Column9007" numFmtId="0">
      <sharedItems containsNonDate="0" containsString="0" containsBlank="1"/>
    </cacheField>
    <cacheField name="Column9008" numFmtId="0">
      <sharedItems containsNonDate="0" containsString="0" containsBlank="1"/>
    </cacheField>
    <cacheField name="Column9009" numFmtId="0">
      <sharedItems containsNonDate="0" containsString="0" containsBlank="1"/>
    </cacheField>
    <cacheField name="Column9010" numFmtId="0">
      <sharedItems containsNonDate="0" containsString="0" containsBlank="1"/>
    </cacheField>
    <cacheField name="Column9011" numFmtId="0">
      <sharedItems containsNonDate="0" containsString="0" containsBlank="1"/>
    </cacheField>
    <cacheField name="Column9012" numFmtId="0">
      <sharedItems containsNonDate="0" containsString="0" containsBlank="1"/>
    </cacheField>
    <cacheField name="Column9013" numFmtId="0">
      <sharedItems containsNonDate="0" containsString="0" containsBlank="1"/>
    </cacheField>
    <cacheField name="Column9014" numFmtId="0">
      <sharedItems containsNonDate="0" containsString="0" containsBlank="1"/>
    </cacheField>
    <cacheField name="Column9015" numFmtId="0">
      <sharedItems containsNonDate="0" containsString="0" containsBlank="1"/>
    </cacheField>
    <cacheField name="Column9016" numFmtId="0">
      <sharedItems containsNonDate="0" containsString="0" containsBlank="1"/>
    </cacheField>
    <cacheField name="Column9017" numFmtId="0">
      <sharedItems containsNonDate="0" containsString="0" containsBlank="1"/>
    </cacheField>
    <cacheField name="Column9018" numFmtId="0">
      <sharedItems containsNonDate="0" containsString="0" containsBlank="1"/>
    </cacheField>
    <cacheField name="Column9019" numFmtId="0">
      <sharedItems containsNonDate="0" containsString="0" containsBlank="1"/>
    </cacheField>
    <cacheField name="Column9020" numFmtId="0">
      <sharedItems containsNonDate="0" containsString="0" containsBlank="1"/>
    </cacheField>
    <cacheField name="Column9021" numFmtId="0">
      <sharedItems containsNonDate="0" containsString="0" containsBlank="1"/>
    </cacheField>
    <cacheField name="Column9022" numFmtId="0">
      <sharedItems containsNonDate="0" containsString="0" containsBlank="1"/>
    </cacheField>
    <cacheField name="Column9023" numFmtId="0">
      <sharedItems containsNonDate="0" containsString="0" containsBlank="1"/>
    </cacheField>
    <cacheField name="Column9024" numFmtId="0">
      <sharedItems containsNonDate="0" containsString="0" containsBlank="1"/>
    </cacheField>
    <cacheField name="Column9025" numFmtId="0">
      <sharedItems containsNonDate="0" containsString="0" containsBlank="1"/>
    </cacheField>
    <cacheField name="Column9026" numFmtId="0">
      <sharedItems containsNonDate="0" containsString="0" containsBlank="1"/>
    </cacheField>
    <cacheField name="Column9027" numFmtId="0">
      <sharedItems containsNonDate="0" containsString="0" containsBlank="1"/>
    </cacheField>
    <cacheField name="Column9028" numFmtId="0">
      <sharedItems containsNonDate="0" containsString="0" containsBlank="1"/>
    </cacheField>
    <cacheField name="Column9029" numFmtId="0">
      <sharedItems containsNonDate="0" containsString="0" containsBlank="1"/>
    </cacheField>
    <cacheField name="Column9030" numFmtId="0">
      <sharedItems containsNonDate="0" containsString="0" containsBlank="1"/>
    </cacheField>
    <cacheField name="Column9031" numFmtId="0">
      <sharedItems containsNonDate="0" containsString="0" containsBlank="1"/>
    </cacheField>
    <cacheField name="Column9032" numFmtId="0">
      <sharedItems containsNonDate="0" containsString="0" containsBlank="1"/>
    </cacheField>
    <cacheField name="Column9033" numFmtId="0">
      <sharedItems containsNonDate="0" containsString="0" containsBlank="1"/>
    </cacheField>
    <cacheField name="Column9034" numFmtId="0">
      <sharedItems containsNonDate="0" containsString="0" containsBlank="1"/>
    </cacheField>
    <cacheField name="Column9035" numFmtId="0">
      <sharedItems containsNonDate="0" containsString="0" containsBlank="1"/>
    </cacheField>
    <cacheField name="Column9036" numFmtId="0">
      <sharedItems containsNonDate="0" containsString="0" containsBlank="1"/>
    </cacheField>
    <cacheField name="Column9037" numFmtId="0">
      <sharedItems containsNonDate="0" containsString="0" containsBlank="1"/>
    </cacheField>
    <cacheField name="Column9038" numFmtId="0">
      <sharedItems containsNonDate="0" containsString="0" containsBlank="1"/>
    </cacheField>
    <cacheField name="Column9039" numFmtId="0">
      <sharedItems containsNonDate="0" containsString="0" containsBlank="1"/>
    </cacheField>
    <cacheField name="Column9040" numFmtId="0">
      <sharedItems containsNonDate="0" containsString="0" containsBlank="1"/>
    </cacheField>
    <cacheField name="Column9041" numFmtId="0">
      <sharedItems containsNonDate="0" containsString="0" containsBlank="1"/>
    </cacheField>
    <cacheField name="Column9042" numFmtId="0">
      <sharedItems containsNonDate="0" containsString="0" containsBlank="1"/>
    </cacheField>
    <cacheField name="Column9043" numFmtId="0">
      <sharedItems containsNonDate="0" containsString="0" containsBlank="1"/>
    </cacheField>
    <cacheField name="Column9044" numFmtId="0">
      <sharedItems containsNonDate="0" containsString="0" containsBlank="1"/>
    </cacheField>
    <cacheField name="Column9045" numFmtId="0">
      <sharedItems containsNonDate="0" containsString="0" containsBlank="1"/>
    </cacheField>
    <cacheField name="Column9046" numFmtId="0">
      <sharedItems containsNonDate="0" containsString="0" containsBlank="1"/>
    </cacheField>
    <cacheField name="Column9047" numFmtId="0">
      <sharedItems containsNonDate="0" containsString="0" containsBlank="1"/>
    </cacheField>
    <cacheField name="Column9048" numFmtId="0">
      <sharedItems containsNonDate="0" containsString="0" containsBlank="1"/>
    </cacheField>
    <cacheField name="Column9049" numFmtId="0">
      <sharedItems containsNonDate="0" containsString="0" containsBlank="1"/>
    </cacheField>
    <cacheField name="Column9050" numFmtId="0">
      <sharedItems containsNonDate="0" containsString="0" containsBlank="1"/>
    </cacheField>
    <cacheField name="Column9051" numFmtId="0">
      <sharedItems containsNonDate="0" containsString="0" containsBlank="1"/>
    </cacheField>
    <cacheField name="Column9052" numFmtId="0">
      <sharedItems containsNonDate="0" containsString="0" containsBlank="1"/>
    </cacheField>
    <cacheField name="Column9053" numFmtId="0">
      <sharedItems containsNonDate="0" containsString="0" containsBlank="1"/>
    </cacheField>
    <cacheField name="Column9054" numFmtId="0">
      <sharedItems containsNonDate="0" containsString="0" containsBlank="1"/>
    </cacheField>
    <cacheField name="Column9055" numFmtId="0">
      <sharedItems containsNonDate="0" containsString="0" containsBlank="1"/>
    </cacheField>
    <cacheField name="Column9056" numFmtId="0">
      <sharedItems containsNonDate="0" containsString="0" containsBlank="1"/>
    </cacheField>
    <cacheField name="Column9057" numFmtId="0">
      <sharedItems containsNonDate="0" containsString="0" containsBlank="1"/>
    </cacheField>
    <cacheField name="Column9058" numFmtId="0">
      <sharedItems containsNonDate="0" containsString="0" containsBlank="1"/>
    </cacheField>
    <cacheField name="Column9059" numFmtId="0">
      <sharedItems containsNonDate="0" containsString="0" containsBlank="1"/>
    </cacheField>
    <cacheField name="Column9060" numFmtId="0">
      <sharedItems containsNonDate="0" containsString="0" containsBlank="1"/>
    </cacheField>
    <cacheField name="Column9061" numFmtId="0">
      <sharedItems containsNonDate="0" containsString="0" containsBlank="1"/>
    </cacheField>
    <cacheField name="Column9062" numFmtId="0">
      <sharedItems containsNonDate="0" containsString="0" containsBlank="1"/>
    </cacheField>
    <cacheField name="Column9063" numFmtId="0">
      <sharedItems containsNonDate="0" containsString="0" containsBlank="1"/>
    </cacheField>
    <cacheField name="Column9064" numFmtId="0">
      <sharedItems containsNonDate="0" containsString="0" containsBlank="1"/>
    </cacheField>
    <cacheField name="Column9065" numFmtId="0">
      <sharedItems containsNonDate="0" containsString="0" containsBlank="1"/>
    </cacheField>
    <cacheField name="Column9066" numFmtId="0">
      <sharedItems containsNonDate="0" containsString="0" containsBlank="1"/>
    </cacheField>
    <cacheField name="Column9067" numFmtId="0">
      <sharedItems containsNonDate="0" containsString="0" containsBlank="1"/>
    </cacheField>
    <cacheField name="Column9068" numFmtId="0">
      <sharedItems containsNonDate="0" containsString="0" containsBlank="1"/>
    </cacheField>
    <cacheField name="Column9069" numFmtId="0">
      <sharedItems containsNonDate="0" containsString="0" containsBlank="1"/>
    </cacheField>
    <cacheField name="Column9070" numFmtId="0">
      <sharedItems containsNonDate="0" containsString="0" containsBlank="1"/>
    </cacheField>
    <cacheField name="Column9071" numFmtId="0">
      <sharedItems containsNonDate="0" containsString="0" containsBlank="1"/>
    </cacheField>
    <cacheField name="Column9072" numFmtId="0">
      <sharedItems containsNonDate="0" containsString="0" containsBlank="1"/>
    </cacheField>
    <cacheField name="Column9073" numFmtId="0">
      <sharedItems containsNonDate="0" containsString="0" containsBlank="1"/>
    </cacheField>
    <cacheField name="Column9074" numFmtId="0">
      <sharedItems containsNonDate="0" containsString="0" containsBlank="1"/>
    </cacheField>
    <cacheField name="Column9075" numFmtId="0">
      <sharedItems containsNonDate="0" containsString="0" containsBlank="1"/>
    </cacheField>
    <cacheField name="Column9076" numFmtId="0">
      <sharedItems containsNonDate="0" containsString="0" containsBlank="1"/>
    </cacheField>
    <cacheField name="Column9077" numFmtId="0">
      <sharedItems containsNonDate="0" containsString="0" containsBlank="1"/>
    </cacheField>
    <cacheField name="Column9078" numFmtId="0">
      <sharedItems containsNonDate="0" containsString="0" containsBlank="1"/>
    </cacheField>
    <cacheField name="Column9079" numFmtId="0">
      <sharedItems containsNonDate="0" containsString="0" containsBlank="1"/>
    </cacheField>
    <cacheField name="Column9080" numFmtId="0">
      <sharedItems containsNonDate="0" containsString="0" containsBlank="1"/>
    </cacheField>
    <cacheField name="Column9081" numFmtId="0">
      <sharedItems containsNonDate="0" containsString="0" containsBlank="1"/>
    </cacheField>
    <cacheField name="Column9082" numFmtId="0">
      <sharedItems containsNonDate="0" containsString="0" containsBlank="1"/>
    </cacheField>
    <cacheField name="Column9083" numFmtId="0">
      <sharedItems containsNonDate="0" containsString="0" containsBlank="1"/>
    </cacheField>
    <cacheField name="Column9084" numFmtId="0">
      <sharedItems containsNonDate="0" containsString="0" containsBlank="1"/>
    </cacheField>
    <cacheField name="Column9085" numFmtId="0">
      <sharedItems containsNonDate="0" containsString="0" containsBlank="1"/>
    </cacheField>
    <cacheField name="Column9086" numFmtId="0">
      <sharedItems containsNonDate="0" containsString="0" containsBlank="1"/>
    </cacheField>
    <cacheField name="Column9087" numFmtId="0">
      <sharedItems containsNonDate="0" containsString="0" containsBlank="1"/>
    </cacheField>
    <cacheField name="Column9088" numFmtId="0">
      <sharedItems containsNonDate="0" containsString="0" containsBlank="1"/>
    </cacheField>
    <cacheField name="Column9089" numFmtId="0">
      <sharedItems containsNonDate="0" containsString="0" containsBlank="1"/>
    </cacheField>
    <cacheField name="Column9090" numFmtId="0">
      <sharedItems containsNonDate="0" containsString="0" containsBlank="1"/>
    </cacheField>
    <cacheField name="Column9091" numFmtId="0">
      <sharedItems containsNonDate="0" containsString="0" containsBlank="1"/>
    </cacheField>
    <cacheField name="Column9092" numFmtId="0">
      <sharedItems containsNonDate="0" containsString="0" containsBlank="1"/>
    </cacheField>
    <cacheField name="Column9093" numFmtId="0">
      <sharedItems containsNonDate="0" containsString="0" containsBlank="1"/>
    </cacheField>
    <cacheField name="Column9094" numFmtId="0">
      <sharedItems containsNonDate="0" containsString="0" containsBlank="1"/>
    </cacheField>
    <cacheField name="Column9095" numFmtId="0">
      <sharedItems containsNonDate="0" containsString="0" containsBlank="1"/>
    </cacheField>
    <cacheField name="Column9096" numFmtId="0">
      <sharedItems containsNonDate="0" containsString="0" containsBlank="1"/>
    </cacheField>
    <cacheField name="Column9097" numFmtId="0">
      <sharedItems containsNonDate="0" containsString="0" containsBlank="1"/>
    </cacheField>
    <cacheField name="Column9098" numFmtId="0">
      <sharedItems containsNonDate="0" containsString="0" containsBlank="1"/>
    </cacheField>
    <cacheField name="Column9099" numFmtId="0">
      <sharedItems containsNonDate="0" containsString="0" containsBlank="1"/>
    </cacheField>
    <cacheField name="Column9100" numFmtId="0">
      <sharedItems containsNonDate="0" containsString="0" containsBlank="1"/>
    </cacheField>
    <cacheField name="Column9101" numFmtId="0">
      <sharedItems containsNonDate="0" containsString="0" containsBlank="1"/>
    </cacheField>
    <cacheField name="Column9102" numFmtId="0">
      <sharedItems containsNonDate="0" containsString="0" containsBlank="1"/>
    </cacheField>
    <cacheField name="Column9103" numFmtId="0">
      <sharedItems containsNonDate="0" containsString="0" containsBlank="1"/>
    </cacheField>
    <cacheField name="Column9104" numFmtId="0">
      <sharedItems containsNonDate="0" containsString="0" containsBlank="1"/>
    </cacheField>
    <cacheField name="Column9105" numFmtId="0">
      <sharedItems containsNonDate="0" containsString="0" containsBlank="1"/>
    </cacheField>
    <cacheField name="Column9106" numFmtId="0">
      <sharedItems containsNonDate="0" containsString="0" containsBlank="1"/>
    </cacheField>
    <cacheField name="Column9107" numFmtId="0">
      <sharedItems containsNonDate="0" containsString="0" containsBlank="1"/>
    </cacheField>
    <cacheField name="Column9108" numFmtId="0">
      <sharedItems containsNonDate="0" containsString="0" containsBlank="1"/>
    </cacheField>
    <cacheField name="Column9109" numFmtId="0">
      <sharedItems containsNonDate="0" containsString="0" containsBlank="1"/>
    </cacheField>
    <cacheField name="Column9110" numFmtId="0">
      <sharedItems containsNonDate="0" containsString="0" containsBlank="1"/>
    </cacheField>
    <cacheField name="Column9111" numFmtId="0">
      <sharedItems containsNonDate="0" containsString="0" containsBlank="1"/>
    </cacheField>
    <cacheField name="Column9112" numFmtId="0">
      <sharedItems containsNonDate="0" containsString="0" containsBlank="1"/>
    </cacheField>
    <cacheField name="Column9113" numFmtId="0">
      <sharedItems containsNonDate="0" containsString="0" containsBlank="1"/>
    </cacheField>
    <cacheField name="Column9114" numFmtId="0">
      <sharedItems containsNonDate="0" containsString="0" containsBlank="1"/>
    </cacheField>
    <cacheField name="Column9115" numFmtId="0">
      <sharedItems containsNonDate="0" containsString="0" containsBlank="1"/>
    </cacheField>
    <cacheField name="Column9116" numFmtId="0">
      <sharedItems containsNonDate="0" containsString="0" containsBlank="1"/>
    </cacheField>
    <cacheField name="Column9117" numFmtId="0">
      <sharedItems containsNonDate="0" containsString="0" containsBlank="1"/>
    </cacheField>
    <cacheField name="Column9118" numFmtId="0">
      <sharedItems containsNonDate="0" containsString="0" containsBlank="1"/>
    </cacheField>
    <cacheField name="Column9119" numFmtId="0">
      <sharedItems containsNonDate="0" containsString="0" containsBlank="1"/>
    </cacheField>
    <cacheField name="Column9120" numFmtId="0">
      <sharedItems containsNonDate="0" containsString="0" containsBlank="1"/>
    </cacheField>
    <cacheField name="Column9121" numFmtId="0">
      <sharedItems containsNonDate="0" containsString="0" containsBlank="1"/>
    </cacheField>
    <cacheField name="Column9122" numFmtId="0">
      <sharedItems containsNonDate="0" containsString="0" containsBlank="1"/>
    </cacheField>
    <cacheField name="Column9123" numFmtId="0">
      <sharedItems containsNonDate="0" containsString="0" containsBlank="1"/>
    </cacheField>
    <cacheField name="Column9124" numFmtId="0">
      <sharedItems containsNonDate="0" containsString="0" containsBlank="1"/>
    </cacheField>
    <cacheField name="Column9125" numFmtId="0">
      <sharedItems containsNonDate="0" containsString="0" containsBlank="1"/>
    </cacheField>
    <cacheField name="Column9126" numFmtId="0">
      <sharedItems containsNonDate="0" containsString="0" containsBlank="1"/>
    </cacheField>
    <cacheField name="Column9127" numFmtId="0">
      <sharedItems containsNonDate="0" containsString="0" containsBlank="1"/>
    </cacheField>
    <cacheField name="Column9128" numFmtId="0">
      <sharedItems containsNonDate="0" containsString="0" containsBlank="1"/>
    </cacheField>
    <cacheField name="Column9129" numFmtId="0">
      <sharedItems containsNonDate="0" containsString="0" containsBlank="1"/>
    </cacheField>
    <cacheField name="Column9130" numFmtId="0">
      <sharedItems containsNonDate="0" containsString="0" containsBlank="1"/>
    </cacheField>
    <cacheField name="Column9131" numFmtId="0">
      <sharedItems containsNonDate="0" containsString="0" containsBlank="1"/>
    </cacheField>
    <cacheField name="Column9132" numFmtId="0">
      <sharedItems containsNonDate="0" containsString="0" containsBlank="1"/>
    </cacheField>
    <cacheField name="Column9133" numFmtId="0">
      <sharedItems containsNonDate="0" containsString="0" containsBlank="1"/>
    </cacheField>
    <cacheField name="Column9134" numFmtId="0">
      <sharedItems containsNonDate="0" containsString="0" containsBlank="1"/>
    </cacheField>
    <cacheField name="Column9135" numFmtId="0">
      <sharedItems containsNonDate="0" containsString="0" containsBlank="1"/>
    </cacheField>
    <cacheField name="Column9136" numFmtId="0">
      <sharedItems containsNonDate="0" containsString="0" containsBlank="1"/>
    </cacheField>
    <cacheField name="Column9137" numFmtId="0">
      <sharedItems containsNonDate="0" containsString="0" containsBlank="1"/>
    </cacheField>
    <cacheField name="Column9138" numFmtId="0">
      <sharedItems containsNonDate="0" containsString="0" containsBlank="1"/>
    </cacheField>
    <cacheField name="Column9139" numFmtId="0">
      <sharedItems containsNonDate="0" containsString="0" containsBlank="1"/>
    </cacheField>
    <cacheField name="Column9140" numFmtId="0">
      <sharedItems containsNonDate="0" containsString="0" containsBlank="1"/>
    </cacheField>
    <cacheField name="Column9141" numFmtId="0">
      <sharedItems containsNonDate="0" containsString="0" containsBlank="1"/>
    </cacheField>
    <cacheField name="Column9142" numFmtId="0">
      <sharedItems containsNonDate="0" containsString="0" containsBlank="1"/>
    </cacheField>
    <cacheField name="Column9143" numFmtId="0">
      <sharedItems containsNonDate="0" containsString="0" containsBlank="1"/>
    </cacheField>
    <cacheField name="Column9144" numFmtId="0">
      <sharedItems containsNonDate="0" containsString="0" containsBlank="1"/>
    </cacheField>
    <cacheField name="Column9145" numFmtId="0">
      <sharedItems containsNonDate="0" containsString="0" containsBlank="1"/>
    </cacheField>
    <cacheField name="Column9146" numFmtId="0">
      <sharedItems containsNonDate="0" containsString="0" containsBlank="1"/>
    </cacheField>
    <cacheField name="Column9147" numFmtId="0">
      <sharedItems containsNonDate="0" containsString="0" containsBlank="1"/>
    </cacheField>
    <cacheField name="Column9148" numFmtId="0">
      <sharedItems containsNonDate="0" containsString="0" containsBlank="1"/>
    </cacheField>
    <cacheField name="Column9149" numFmtId="0">
      <sharedItems containsNonDate="0" containsString="0" containsBlank="1"/>
    </cacheField>
    <cacheField name="Column9150" numFmtId="0">
      <sharedItems containsNonDate="0" containsString="0" containsBlank="1"/>
    </cacheField>
    <cacheField name="Column9151" numFmtId="0">
      <sharedItems containsNonDate="0" containsString="0" containsBlank="1"/>
    </cacheField>
    <cacheField name="Column9152" numFmtId="0">
      <sharedItems containsNonDate="0" containsString="0" containsBlank="1"/>
    </cacheField>
    <cacheField name="Column9153" numFmtId="0">
      <sharedItems containsNonDate="0" containsString="0" containsBlank="1"/>
    </cacheField>
    <cacheField name="Column9154" numFmtId="0">
      <sharedItems containsNonDate="0" containsString="0" containsBlank="1"/>
    </cacheField>
    <cacheField name="Column9155" numFmtId="0">
      <sharedItems containsNonDate="0" containsString="0" containsBlank="1"/>
    </cacheField>
    <cacheField name="Column9156" numFmtId="0">
      <sharedItems containsNonDate="0" containsString="0" containsBlank="1"/>
    </cacheField>
    <cacheField name="Column9157" numFmtId="0">
      <sharedItems containsNonDate="0" containsString="0" containsBlank="1"/>
    </cacheField>
    <cacheField name="Column9158" numFmtId="0">
      <sharedItems containsNonDate="0" containsString="0" containsBlank="1"/>
    </cacheField>
    <cacheField name="Column9159" numFmtId="0">
      <sharedItems containsNonDate="0" containsString="0" containsBlank="1"/>
    </cacheField>
    <cacheField name="Column9160" numFmtId="0">
      <sharedItems containsNonDate="0" containsString="0" containsBlank="1"/>
    </cacheField>
    <cacheField name="Column9161" numFmtId="0">
      <sharedItems containsNonDate="0" containsString="0" containsBlank="1"/>
    </cacheField>
    <cacheField name="Column9162" numFmtId="0">
      <sharedItems containsNonDate="0" containsString="0" containsBlank="1"/>
    </cacheField>
    <cacheField name="Column9163" numFmtId="0">
      <sharedItems containsNonDate="0" containsString="0" containsBlank="1"/>
    </cacheField>
    <cacheField name="Column9164" numFmtId="0">
      <sharedItems containsNonDate="0" containsString="0" containsBlank="1"/>
    </cacheField>
    <cacheField name="Column9165" numFmtId="0">
      <sharedItems containsNonDate="0" containsString="0" containsBlank="1"/>
    </cacheField>
    <cacheField name="Column9166" numFmtId="0">
      <sharedItems containsNonDate="0" containsString="0" containsBlank="1"/>
    </cacheField>
    <cacheField name="Column9167" numFmtId="0">
      <sharedItems containsNonDate="0" containsString="0" containsBlank="1"/>
    </cacheField>
    <cacheField name="Column9168" numFmtId="0">
      <sharedItems containsNonDate="0" containsString="0" containsBlank="1"/>
    </cacheField>
    <cacheField name="Column9169" numFmtId="0">
      <sharedItems containsNonDate="0" containsString="0" containsBlank="1"/>
    </cacheField>
    <cacheField name="Column9170" numFmtId="0">
      <sharedItems containsNonDate="0" containsString="0" containsBlank="1"/>
    </cacheField>
    <cacheField name="Column9171" numFmtId="0">
      <sharedItems containsNonDate="0" containsString="0" containsBlank="1"/>
    </cacheField>
    <cacheField name="Column9172" numFmtId="0">
      <sharedItems containsNonDate="0" containsString="0" containsBlank="1"/>
    </cacheField>
    <cacheField name="Column9173" numFmtId="0">
      <sharedItems containsNonDate="0" containsString="0" containsBlank="1"/>
    </cacheField>
    <cacheField name="Column9174" numFmtId="0">
      <sharedItems containsNonDate="0" containsString="0" containsBlank="1"/>
    </cacheField>
    <cacheField name="Column9175" numFmtId="0">
      <sharedItems containsNonDate="0" containsString="0" containsBlank="1"/>
    </cacheField>
    <cacheField name="Column9176" numFmtId="0">
      <sharedItems containsNonDate="0" containsString="0" containsBlank="1"/>
    </cacheField>
    <cacheField name="Column9177" numFmtId="0">
      <sharedItems containsNonDate="0" containsString="0" containsBlank="1"/>
    </cacheField>
    <cacheField name="Column9178" numFmtId="0">
      <sharedItems containsNonDate="0" containsString="0" containsBlank="1"/>
    </cacheField>
    <cacheField name="Column9179" numFmtId="0">
      <sharedItems containsNonDate="0" containsString="0" containsBlank="1"/>
    </cacheField>
    <cacheField name="Column9180" numFmtId="0">
      <sharedItems containsNonDate="0" containsString="0" containsBlank="1"/>
    </cacheField>
    <cacheField name="Column9181" numFmtId="0">
      <sharedItems containsNonDate="0" containsString="0" containsBlank="1"/>
    </cacheField>
    <cacheField name="Column9182" numFmtId="0">
      <sharedItems containsNonDate="0" containsString="0" containsBlank="1"/>
    </cacheField>
    <cacheField name="Column9183" numFmtId="0">
      <sharedItems containsNonDate="0" containsString="0" containsBlank="1"/>
    </cacheField>
    <cacheField name="Column9184" numFmtId="0">
      <sharedItems containsNonDate="0" containsString="0" containsBlank="1"/>
    </cacheField>
    <cacheField name="Column9185" numFmtId="0">
      <sharedItems containsNonDate="0" containsString="0" containsBlank="1"/>
    </cacheField>
    <cacheField name="Column9186" numFmtId="0">
      <sharedItems containsNonDate="0" containsString="0" containsBlank="1"/>
    </cacheField>
    <cacheField name="Column9187" numFmtId="0">
      <sharedItems containsNonDate="0" containsString="0" containsBlank="1"/>
    </cacheField>
    <cacheField name="Column9188" numFmtId="0">
      <sharedItems containsNonDate="0" containsString="0" containsBlank="1"/>
    </cacheField>
    <cacheField name="Column9189" numFmtId="0">
      <sharedItems containsNonDate="0" containsString="0" containsBlank="1"/>
    </cacheField>
    <cacheField name="Column9190" numFmtId="0">
      <sharedItems containsNonDate="0" containsString="0" containsBlank="1"/>
    </cacheField>
    <cacheField name="Column9191" numFmtId="0">
      <sharedItems containsNonDate="0" containsString="0" containsBlank="1"/>
    </cacheField>
    <cacheField name="Column9192" numFmtId="0">
      <sharedItems containsNonDate="0" containsString="0" containsBlank="1"/>
    </cacheField>
    <cacheField name="Column9193" numFmtId="0">
      <sharedItems containsNonDate="0" containsString="0" containsBlank="1"/>
    </cacheField>
    <cacheField name="Column9194" numFmtId="0">
      <sharedItems containsNonDate="0" containsString="0" containsBlank="1"/>
    </cacheField>
    <cacheField name="Column9195" numFmtId="0">
      <sharedItems containsNonDate="0" containsString="0" containsBlank="1"/>
    </cacheField>
    <cacheField name="Column9196" numFmtId="0">
      <sharedItems containsNonDate="0" containsString="0" containsBlank="1"/>
    </cacheField>
    <cacheField name="Column9197" numFmtId="0">
      <sharedItems containsNonDate="0" containsString="0" containsBlank="1"/>
    </cacheField>
    <cacheField name="Column9198" numFmtId="0">
      <sharedItems containsNonDate="0" containsString="0" containsBlank="1"/>
    </cacheField>
    <cacheField name="Column9199" numFmtId="0">
      <sharedItems containsNonDate="0" containsString="0" containsBlank="1"/>
    </cacheField>
    <cacheField name="Column9200" numFmtId="0">
      <sharedItems containsNonDate="0" containsString="0" containsBlank="1"/>
    </cacheField>
    <cacheField name="Column9201" numFmtId="0">
      <sharedItems containsNonDate="0" containsString="0" containsBlank="1"/>
    </cacheField>
    <cacheField name="Column9202" numFmtId="0">
      <sharedItems containsNonDate="0" containsString="0" containsBlank="1"/>
    </cacheField>
    <cacheField name="Column9203" numFmtId="0">
      <sharedItems containsNonDate="0" containsString="0" containsBlank="1"/>
    </cacheField>
    <cacheField name="Column9204" numFmtId="0">
      <sharedItems containsNonDate="0" containsString="0" containsBlank="1"/>
    </cacheField>
    <cacheField name="Column9205" numFmtId="0">
      <sharedItems containsNonDate="0" containsString="0" containsBlank="1"/>
    </cacheField>
    <cacheField name="Column9206" numFmtId="0">
      <sharedItems containsNonDate="0" containsString="0" containsBlank="1"/>
    </cacheField>
    <cacheField name="Column9207" numFmtId="0">
      <sharedItems containsNonDate="0" containsString="0" containsBlank="1"/>
    </cacheField>
    <cacheField name="Column9208" numFmtId="0">
      <sharedItems containsNonDate="0" containsString="0" containsBlank="1"/>
    </cacheField>
    <cacheField name="Column9209" numFmtId="0">
      <sharedItems containsNonDate="0" containsString="0" containsBlank="1"/>
    </cacheField>
    <cacheField name="Column9210" numFmtId="0">
      <sharedItems containsNonDate="0" containsString="0" containsBlank="1"/>
    </cacheField>
    <cacheField name="Column9211" numFmtId="0">
      <sharedItems containsNonDate="0" containsString="0" containsBlank="1"/>
    </cacheField>
    <cacheField name="Column9212" numFmtId="0">
      <sharedItems containsNonDate="0" containsString="0" containsBlank="1"/>
    </cacheField>
    <cacheField name="Column9213" numFmtId="0">
      <sharedItems containsNonDate="0" containsString="0" containsBlank="1"/>
    </cacheField>
    <cacheField name="Column9214" numFmtId="0">
      <sharedItems containsNonDate="0" containsString="0" containsBlank="1"/>
    </cacheField>
    <cacheField name="Column9215" numFmtId="0">
      <sharedItems containsNonDate="0" containsString="0" containsBlank="1"/>
    </cacheField>
    <cacheField name="Column9216" numFmtId="0">
      <sharedItems containsNonDate="0" containsString="0" containsBlank="1"/>
    </cacheField>
    <cacheField name="Column9217" numFmtId="0">
      <sharedItems containsNonDate="0" containsString="0" containsBlank="1"/>
    </cacheField>
    <cacheField name="Column9218" numFmtId="0">
      <sharedItems containsNonDate="0" containsString="0" containsBlank="1"/>
    </cacheField>
    <cacheField name="Column9219" numFmtId="0">
      <sharedItems containsNonDate="0" containsString="0" containsBlank="1"/>
    </cacheField>
    <cacheField name="Column9220" numFmtId="0">
      <sharedItems containsNonDate="0" containsString="0" containsBlank="1"/>
    </cacheField>
    <cacheField name="Column9221" numFmtId="0">
      <sharedItems containsNonDate="0" containsString="0" containsBlank="1"/>
    </cacheField>
    <cacheField name="Column9222" numFmtId="0">
      <sharedItems containsNonDate="0" containsString="0" containsBlank="1"/>
    </cacheField>
    <cacheField name="Column9223" numFmtId="0">
      <sharedItems containsNonDate="0" containsString="0" containsBlank="1"/>
    </cacheField>
    <cacheField name="Column9224" numFmtId="0">
      <sharedItems containsNonDate="0" containsString="0" containsBlank="1"/>
    </cacheField>
    <cacheField name="Column9225" numFmtId="0">
      <sharedItems containsNonDate="0" containsString="0" containsBlank="1"/>
    </cacheField>
    <cacheField name="Column9226" numFmtId="0">
      <sharedItems containsNonDate="0" containsString="0" containsBlank="1"/>
    </cacheField>
    <cacheField name="Column9227" numFmtId="0">
      <sharedItems containsNonDate="0" containsString="0" containsBlank="1"/>
    </cacheField>
    <cacheField name="Column9228" numFmtId="0">
      <sharedItems containsNonDate="0" containsString="0" containsBlank="1"/>
    </cacheField>
    <cacheField name="Column9229" numFmtId="0">
      <sharedItems containsNonDate="0" containsString="0" containsBlank="1"/>
    </cacheField>
    <cacheField name="Column9230" numFmtId="0">
      <sharedItems containsNonDate="0" containsString="0" containsBlank="1"/>
    </cacheField>
    <cacheField name="Column9231" numFmtId="0">
      <sharedItems containsNonDate="0" containsString="0" containsBlank="1"/>
    </cacheField>
    <cacheField name="Column9232" numFmtId="0">
      <sharedItems containsNonDate="0" containsString="0" containsBlank="1"/>
    </cacheField>
    <cacheField name="Column9233" numFmtId="0">
      <sharedItems containsNonDate="0" containsString="0" containsBlank="1"/>
    </cacheField>
    <cacheField name="Column9234" numFmtId="0">
      <sharedItems containsNonDate="0" containsString="0" containsBlank="1"/>
    </cacheField>
    <cacheField name="Column9235" numFmtId="0">
      <sharedItems containsNonDate="0" containsString="0" containsBlank="1"/>
    </cacheField>
    <cacheField name="Column9236" numFmtId="0">
      <sharedItems containsNonDate="0" containsString="0" containsBlank="1"/>
    </cacheField>
    <cacheField name="Column9237" numFmtId="0">
      <sharedItems containsNonDate="0" containsString="0" containsBlank="1"/>
    </cacheField>
    <cacheField name="Column9238" numFmtId="0">
      <sharedItems containsNonDate="0" containsString="0" containsBlank="1"/>
    </cacheField>
    <cacheField name="Column9239" numFmtId="0">
      <sharedItems containsNonDate="0" containsString="0" containsBlank="1"/>
    </cacheField>
    <cacheField name="Column9240" numFmtId="0">
      <sharedItems containsNonDate="0" containsString="0" containsBlank="1"/>
    </cacheField>
    <cacheField name="Column9241" numFmtId="0">
      <sharedItems containsNonDate="0" containsString="0" containsBlank="1"/>
    </cacheField>
    <cacheField name="Column9242" numFmtId="0">
      <sharedItems containsNonDate="0" containsString="0" containsBlank="1"/>
    </cacheField>
    <cacheField name="Column9243" numFmtId="0">
      <sharedItems containsNonDate="0" containsString="0" containsBlank="1"/>
    </cacheField>
    <cacheField name="Column9244" numFmtId="0">
      <sharedItems containsNonDate="0" containsString="0" containsBlank="1"/>
    </cacheField>
    <cacheField name="Column9245" numFmtId="0">
      <sharedItems containsNonDate="0" containsString="0" containsBlank="1"/>
    </cacheField>
    <cacheField name="Column9246" numFmtId="0">
      <sharedItems containsNonDate="0" containsString="0" containsBlank="1"/>
    </cacheField>
    <cacheField name="Column9247" numFmtId="0">
      <sharedItems containsNonDate="0" containsString="0" containsBlank="1"/>
    </cacheField>
    <cacheField name="Column9248" numFmtId="0">
      <sharedItems containsNonDate="0" containsString="0" containsBlank="1"/>
    </cacheField>
    <cacheField name="Column9249" numFmtId="0">
      <sharedItems containsNonDate="0" containsString="0" containsBlank="1"/>
    </cacheField>
    <cacheField name="Column9250" numFmtId="0">
      <sharedItems containsNonDate="0" containsString="0" containsBlank="1"/>
    </cacheField>
    <cacheField name="Column9251" numFmtId="0">
      <sharedItems containsNonDate="0" containsString="0" containsBlank="1"/>
    </cacheField>
    <cacheField name="Column9252" numFmtId="0">
      <sharedItems containsNonDate="0" containsString="0" containsBlank="1"/>
    </cacheField>
    <cacheField name="Column9253" numFmtId="0">
      <sharedItems containsNonDate="0" containsString="0" containsBlank="1"/>
    </cacheField>
    <cacheField name="Column9254" numFmtId="0">
      <sharedItems containsNonDate="0" containsString="0" containsBlank="1"/>
    </cacheField>
    <cacheField name="Column9255" numFmtId="0">
      <sharedItems containsNonDate="0" containsString="0" containsBlank="1"/>
    </cacheField>
    <cacheField name="Column9256" numFmtId="0">
      <sharedItems containsNonDate="0" containsString="0" containsBlank="1"/>
    </cacheField>
    <cacheField name="Column9257" numFmtId="0">
      <sharedItems containsNonDate="0" containsString="0" containsBlank="1"/>
    </cacheField>
    <cacheField name="Column9258" numFmtId="0">
      <sharedItems containsNonDate="0" containsString="0" containsBlank="1"/>
    </cacheField>
    <cacheField name="Column9259" numFmtId="0">
      <sharedItems containsNonDate="0" containsString="0" containsBlank="1"/>
    </cacheField>
    <cacheField name="Column9260" numFmtId="0">
      <sharedItems containsNonDate="0" containsString="0" containsBlank="1"/>
    </cacheField>
    <cacheField name="Column9261" numFmtId="0">
      <sharedItems containsNonDate="0" containsString="0" containsBlank="1"/>
    </cacheField>
    <cacheField name="Column9262" numFmtId="0">
      <sharedItems containsNonDate="0" containsString="0" containsBlank="1"/>
    </cacheField>
    <cacheField name="Column9263" numFmtId="0">
      <sharedItems containsNonDate="0" containsString="0" containsBlank="1"/>
    </cacheField>
    <cacheField name="Column9264" numFmtId="0">
      <sharedItems containsNonDate="0" containsString="0" containsBlank="1"/>
    </cacheField>
    <cacheField name="Column9265" numFmtId="0">
      <sharedItems containsNonDate="0" containsString="0" containsBlank="1"/>
    </cacheField>
    <cacheField name="Column9266" numFmtId="0">
      <sharedItems containsNonDate="0" containsString="0" containsBlank="1"/>
    </cacheField>
    <cacheField name="Column9267" numFmtId="0">
      <sharedItems containsNonDate="0" containsString="0" containsBlank="1"/>
    </cacheField>
    <cacheField name="Column9268" numFmtId="0">
      <sharedItems containsNonDate="0" containsString="0" containsBlank="1"/>
    </cacheField>
    <cacheField name="Column9269" numFmtId="0">
      <sharedItems containsNonDate="0" containsString="0" containsBlank="1"/>
    </cacheField>
    <cacheField name="Column9270" numFmtId="0">
      <sharedItems containsNonDate="0" containsString="0" containsBlank="1"/>
    </cacheField>
    <cacheField name="Column9271" numFmtId="0">
      <sharedItems containsNonDate="0" containsString="0" containsBlank="1"/>
    </cacheField>
    <cacheField name="Column9272" numFmtId="0">
      <sharedItems containsNonDate="0" containsString="0" containsBlank="1"/>
    </cacheField>
    <cacheField name="Column9273" numFmtId="0">
      <sharedItems containsNonDate="0" containsString="0" containsBlank="1"/>
    </cacheField>
    <cacheField name="Column9274" numFmtId="0">
      <sharedItems containsNonDate="0" containsString="0" containsBlank="1"/>
    </cacheField>
    <cacheField name="Column9275" numFmtId="0">
      <sharedItems containsNonDate="0" containsString="0" containsBlank="1"/>
    </cacheField>
    <cacheField name="Column9276" numFmtId="0">
      <sharedItems containsNonDate="0" containsString="0" containsBlank="1"/>
    </cacheField>
    <cacheField name="Column9277" numFmtId="0">
      <sharedItems containsNonDate="0" containsString="0" containsBlank="1"/>
    </cacheField>
    <cacheField name="Column9278" numFmtId="0">
      <sharedItems containsNonDate="0" containsString="0" containsBlank="1"/>
    </cacheField>
    <cacheField name="Column9279" numFmtId="0">
      <sharedItems containsNonDate="0" containsString="0" containsBlank="1"/>
    </cacheField>
    <cacheField name="Column9280" numFmtId="0">
      <sharedItems containsNonDate="0" containsString="0" containsBlank="1"/>
    </cacheField>
    <cacheField name="Column9281" numFmtId="0">
      <sharedItems containsNonDate="0" containsString="0" containsBlank="1"/>
    </cacheField>
    <cacheField name="Column9282" numFmtId="0">
      <sharedItems containsNonDate="0" containsString="0" containsBlank="1"/>
    </cacheField>
    <cacheField name="Column9283" numFmtId="0">
      <sharedItems containsNonDate="0" containsString="0" containsBlank="1"/>
    </cacheField>
    <cacheField name="Column9284" numFmtId="0">
      <sharedItems containsNonDate="0" containsString="0" containsBlank="1"/>
    </cacheField>
    <cacheField name="Column9285" numFmtId="0">
      <sharedItems containsNonDate="0" containsString="0" containsBlank="1"/>
    </cacheField>
    <cacheField name="Column9286" numFmtId="0">
      <sharedItems containsNonDate="0" containsString="0" containsBlank="1"/>
    </cacheField>
    <cacheField name="Column9287" numFmtId="0">
      <sharedItems containsNonDate="0" containsString="0" containsBlank="1"/>
    </cacheField>
    <cacheField name="Column9288" numFmtId="0">
      <sharedItems containsNonDate="0" containsString="0" containsBlank="1"/>
    </cacheField>
    <cacheField name="Column9289" numFmtId="0">
      <sharedItems containsNonDate="0" containsString="0" containsBlank="1"/>
    </cacheField>
    <cacheField name="Column9290" numFmtId="0">
      <sharedItems containsNonDate="0" containsString="0" containsBlank="1"/>
    </cacheField>
    <cacheField name="Column9291" numFmtId="0">
      <sharedItems containsNonDate="0" containsString="0" containsBlank="1"/>
    </cacheField>
    <cacheField name="Column9292" numFmtId="0">
      <sharedItems containsNonDate="0" containsString="0" containsBlank="1"/>
    </cacheField>
    <cacheField name="Column9293" numFmtId="0">
      <sharedItems containsNonDate="0" containsString="0" containsBlank="1"/>
    </cacheField>
    <cacheField name="Column9294" numFmtId="0">
      <sharedItems containsNonDate="0" containsString="0" containsBlank="1"/>
    </cacheField>
    <cacheField name="Column9295" numFmtId="0">
      <sharedItems containsNonDate="0" containsString="0" containsBlank="1"/>
    </cacheField>
    <cacheField name="Column9296" numFmtId="0">
      <sharedItems containsNonDate="0" containsString="0" containsBlank="1"/>
    </cacheField>
    <cacheField name="Column9297" numFmtId="0">
      <sharedItems containsNonDate="0" containsString="0" containsBlank="1"/>
    </cacheField>
    <cacheField name="Column9298" numFmtId="0">
      <sharedItems containsNonDate="0" containsString="0" containsBlank="1"/>
    </cacheField>
    <cacheField name="Column9299" numFmtId="0">
      <sharedItems containsNonDate="0" containsString="0" containsBlank="1"/>
    </cacheField>
    <cacheField name="Column9300" numFmtId="0">
      <sharedItems containsNonDate="0" containsString="0" containsBlank="1"/>
    </cacheField>
    <cacheField name="Column9301" numFmtId="0">
      <sharedItems containsNonDate="0" containsString="0" containsBlank="1"/>
    </cacheField>
    <cacheField name="Column9302" numFmtId="0">
      <sharedItems containsNonDate="0" containsString="0" containsBlank="1"/>
    </cacheField>
    <cacheField name="Column9303" numFmtId="0">
      <sharedItems containsNonDate="0" containsString="0" containsBlank="1"/>
    </cacheField>
    <cacheField name="Column9304" numFmtId="0">
      <sharedItems containsNonDate="0" containsString="0" containsBlank="1"/>
    </cacheField>
    <cacheField name="Column9305" numFmtId="0">
      <sharedItems containsNonDate="0" containsString="0" containsBlank="1"/>
    </cacheField>
    <cacheField name="Column9306" numFmtId="0">
      <sharedItems containsNonDate="0" containsString="0" containsBlank="1"/>
    </cacheField>
    <cacheField name="Column9307" numFmtId="0">
      <sharedItems containsNonDate="0" containsString="0" containsBlank="1"/>
    </cacheField>
    <cacheField name="Column9308" numFmtId="0">
      <sharedItems containsNonDate="0" containsString="0" containsBlank="1"/>
    </cacheField>
    <cacheField name="Column9309" numFmtId="0">
      <sharedItems containsNonDate="0" containsString="0" containsBlank="1"/>
    </cacheField>
    <cacheField name="Column9310" numFmtId="0">
      <sharedItems containsNonDate="0" containsString="0" containsBlank="1"/>
    </cacheField>
    <cacheField name="Column9311" numFmtId="0">
      <sharedItems containsNonDate="0" containsString="0" containsBlank="1"/>
    </cacheField>
    <cacheField name="Column9312" numFmtId="0">
      <sharedItems containsNonDate="0" containsString="0" containsBlank="1"/>
    </cacheField>
    <cacheField name="Column9313" numFmtId="0">
      <sharedItems containsNonDate="0" containsString="0" containsBlank="1"/>
    </cacheField>
    <cacheField name="Column9314" numFmtId="0">
      <sharedItems containsNonDate="0" containsString="0" containsBlank="1"/>
    </cacheField>
    <cacheField name="Column9315" numFmtId="0">
      <sharedItems containsNonDate="0" containsString="0" containsBlank="1"/>
    </cacheField>
    <cacheField name="Column9316" numFmtId="0">
      <sharedItems containsNonDate="0" containsString="0" containsBlank="1"/>
    </cacheField>
    <cacheField name="Column9317" numFmtId="0">
      <sharedItems containsNonDate="0" containsString="0" containsBlank="1"/>
    </cacheField>
    <cacheField name="Column9318" numFmtId="0">
      <sharedItems containsNonDate="0" containsString="0" containsBlank="1"/>
    </cacheField>
    <cacheField name="Column9319" numFmtId="0">
      <sharedItems containsNonDate="0" containsString="0" containsBlank="1"/>
    </cacheField>
    <cacheField name="Column9320" numFmtId="0">
      <sharedItems containsNonDate="0" containsString="0" containsBlank="1"/>
    </cacheField>
    <cacheField name="Column9321" numFmtId="0">
      <sharedItems containsNonDate="0" containsString="0" containsBlank="1"/>
    </cacheField>
    <cacheField name="Column9322" numFmtId="0">
      <sharedItems containsNonDate="0" containsString="0" containsBlank="1"/>
    </cacheField>
    <cacheField name="Column9323" numFmtId="0">
      <sharedItems containsNonDate="0" containsString="0" containsBlank="1"/>
    </cacheField>
    <cacheField name="Column9324" numFmtId="0">
      <sharedItems containsNonDate="0" containsString="0" containsBlank="1"/>
    </cacheField>
    <cacheField name="Column9325" numFmtId="0">
      <sharedItems containsNonDate="0" containsString="0" containsBlank="1"/>
    </cacheField>
    <cacheField name="Column9326" numFmtId="0">
      <sharedItems containsNonDate="0" containsString="0" containsBlank="1"/>
    </cacheField>
    <cacheField name="Column9327" numFmtId="0">
      <sharedItems containsNonDate="0" containsString="0" containsBlank="1"/>
    </cacheField>
    <cacheField name="Column9328" numFmtId="0">
      <sharedItems containsNonDate="0" containsString="0" containsBlank="1"/>
    </cacheField>
    <cacheField name="Column9329" numFmtId="0">
      <sharedItems containsNonDate="0" containsString="0" containsBlank="1"/>
    </cacheField>
    <cacheField name="Column9330" numFmtId="0">
      <sharedItems containsNonDate="0" containsString="0" containsBlank="1"/>
    </cacheField>
    <cacheField name="Column9331" numFmtId="0">
      <sharedItems containsNonDate="0" containsString="0" containsBlank="1"/>
    </cacheField>
    <cacheField name="Column9332" numFmtId="0">
      <sharedItems containsNonDate="0" containsString="0" containsBlank="1"/>
    </cacheField>
    <cacheField name="Column9333" numFmtId="0">
      <sharedItems containsNonDate="0" containsString="0" containsBlank="1"/>
    </cacheField>
    <cacheField name="Column9334" numFmtId="0">
      <sharedItems containsNonDate="0" containsString="0" containsBlank="1"/>
    </cacheField>
    <cacheField name="Column9335" numFmtId="0">
      <sharedItems containsNonDate="0" containsString="0" containsBlank="1"/>
    </cacheField>
    <cacheField name="Column9336" numFmtId="0">
      <sharedItems containsNonDate="0" containsString="0" containsBlank="1"/>
    </cacheField>
    <cacheField name="Column9337" numFmtId="0">
      <sharedItems containsNonDate="0" containsString="0" containsBlank="1"/>
    </cacheField>
    <cacheField name="Column9338" numFmtId="0">
      <sharedItems containsNonDate="0" containsString="0" containsBlank="1"/>
    </cacheField>
    <cacheField name="Column9339" numFmtId="0">
      <sharedItems containsNonDate="0" containsString="0" containsBlank="1"/>
    </cacheField>
    <cacheField name="Column9340" numFmtId="0">
      <sharedItems containsNonDate="0" containsString="0" containsBlank="1"/>
    </cacheField>
    <cacheField name="Column9341" numFmtId="0">
      <sharedItems containsNonDate="0" containsString="0" containsBlank="1"/>
    </cacheField>
    <cacheField name="Column9342" numFmtId="0">
      <sharedItems containsNonDate="0" containsString="0" containsBlank="1"/>
    </cacheField>
    <cacheField name="Column9343" numFmtId="0">
      <sharedItems containsNonDate="0" containsString="0" containsBlank="1"/>
    </cacheField>
    <cacheField name="Column9344" numFmtId="0">
      <sharedItems containsNonDate="0" containsString="0" containsBlank="1"/>
    </cacheField>
    <cacheField name="Column9345" numFmtId="0">
      <sharedItems containsNonDate="0" containsString="0" containsBlank="1"/>
    </cacheField>
    <cacheField name="Column9346" numFmtId="0">
      <sharedItems containsNonDate="0" containsString="0" containsBlank="1"/>
    </cacheField>
    <cacheField name="Column9347" numFmtId="0">
      <sharedItems containsNonDate="0" containsString="0" containsBlank="1"/>
    </cacheField>
    <cacheField name="Column9348" numFmtId="0">
      <sharedItems containsNonDate="0" containsString="0" containsBlank="1"/>
    </cacheField>
    <cacheField name="Column9349" numFmtId="0">
      <sharedItems containsNonDate="0" containsString="0" containsBlank="1"/>
    </cacheField>
    <cacheField name="Column9350" numFmtId="0">
      <sharedItems containsNonDate="0" containsString="0" containsBlank="1"/>
    </cacheField>
    <cacheField name="Column9351" numFmtId="0">
      <sharedItems containsNonDate="0" containsString="0" containsBlank="1"/>
    </cacheField>
    <cacheField name="Column9352" numFmtId="0">
      <sharedItems containsNonDate="0" containsString="0" containsBlank="1"/>
    </cacheField>
    <cacheField name="Column9353" numFmtId="0">
      <sharedItems containsNonDate="0" containsString="0" containsBlank="1"/>
    </cacheField>
    <cacheField name="Column9354" numFmtId="0">
      <sharedItems containsNonDate="0" containsString="0" containsBlank="1"/>
    </cacheField>
    <cacheField name="Column9355" numFmtId="0">
      <sharedItems containsNonDate="0" containsString="0" containsBlank="1"/>
    </cacheField>
    <cacheField name="Column9356" numFmtId="0">
      <sharedItems containsNonDate="0" containsString="0" containsBlank="1"/>
    </cacheField>
    <cacheField name="Column9357" numFmtId="0">
      <sharedItems containsNonDate="0" containsString="0" containsBlank="1"/>
    </cacheField>
    <cacheField name="Column9358" numFmtId="0">
      <sharedItems containsNonDate="0" containsString="0" containsBlank="1"/>
    </cacheField>
    <cacheField name="Column9359" numFmtId="0">
      <sharedItems containsNonDate="0" containsString="0" containsBlank="1"/>
    </cacheField>
    <cacheField name="Column9360" numFmtId="0">
      <sharedItems containsNonDate="0" containsString="0" containsBlank="1"/>
    </cacheField>
    <cacheField name="Column9361" numFmtId="0">
      <sharedItems containsNonDate="0" containsString="0" containsBlank="1"/>
    </cacheField>
    <cacheField name="Column9362" numFmtId="0">
      <sharedItems containsNonDate="0" containsString="0" containsBlank="1"/>
    </cacheField>
    <cacheField name="Column9363" numFmtId="0">
      <sharedItems containsNonDate="0" containsString="0" containsBlank="1"/>
    </cacheField>
    <cacheField name="Column9364" numFmtId="0">
      <sharedItems containsNonDate="0" containsString="0" containsBlank="1"/>
    </cacheField>
    <cacheField name="Column9365" numFmtId="0">
      <sharedItems containsNonDate="0" containsString="0" containsBlank="1"/>
    </cacheField>
    <cacheField name="Column9366" numFmtId="0">
      <sharedItems containsNonDate="0" containsString="0" containsBlank="1"/>
    </cacheField>
    <cacheField name="Column9367" numFmtId="0">
      <sharedItems containsNonDate="0" containsString="0" containsBlank="1"/>
    </cacheField>
    <cacheField name="Column9368" numFmtId="0">
      <sharedItems containsNonDate="0" containsString="0" containsBlank="1"/>
    </cacheField>
    <cacheField name="Column9369" numFmtId="0">
      <sharedItems containsNonDate="0" containsString="0" containsBlank="1"/>
    </cacheField>
    <cacheField name="Column9370" numFmtId="0">
      <sharedItems containsNonDate="0" containsString="0" containsBlank="1"/>
    </cacheField>
    <cacheField name="Column9371" numFmtId="0">
      <sharedItems containsNonDate="0" containsString="0" containsBlank="1"/>
    </cacheField>
    <cacheField name="Column9372" numFmtId="0">
      <sharedItems containsNonDate="0" containsString="0" containsBlank="1"/>
    </cacheField>
    <cacheField name="Column9373" numFmtId="0">
      <sharedItems containsNonDate="0" containsString="0" containsBlank="1"/>
    </cacheField>
    <cacheField name="Column9374" numFmtId="0">
      <sharedItems containsNonDate="0" containsString="0" containsBlank="1"/>
    </cacheField>
    <cacheField name="Column9375" numFmtId="0">
      <sharedItems containsNonDate="0" containsString="0" containsBlank="1"/>
    </cacheField>
    <cacheField name="Column9376" numFmtId="0">
      <sharedItems containsNonDate="0" containsString="0" containsBlank="1"/>
    </cacheField>
    <cacheField name="Column9377" numFmtId="0">
      <sharedItems containsNonDate="0" containsString="0" containsBlank="1"/>
    </cacheField>
    <cacheField name="Column9378" numFmtId="0">
      <sharedItems containsNonDate="0" containsString="0" containsBlank="1"/>
    </cacheField>
    <cacheField name="Column9379" numFmtId="0">
      <sharedItems containsNonDate="0" containsString="0" containsBlank="1"/>
    </cacheField>
    <cacheField name="Column9380" numFmtId="0">
      <sharedItems containsNonDate="0" containsString="0" containsBlank="1"/>
    </cacheField>
    <cacheField name="Column9381" numFmtId="0">
      <sharedItems containsNonDate="0" containsString="0" containsBlank="1"/>
    </cacheField>
    <cacheField name="Column9382" numFmtId="0">
      <sharedItems containsNonDate="0" containsString="0" containsBlank="1"/>
    </cacheField>
    <cacheField name="Column9383" numFmtId="0">
      <sharedItems containsNonDate="0" containsString="0" containsBlank="1"/>
    </cacheField>
    <cacheField name="Column9384" numFmtId="0">
      <sharedItems containsNonDate="0" containsString="0" containsBlank="1"/>
    </cacheField>
    <cacheField name="Column9385" numFmtId="0">
      <sharedItems containsNonDate="0" containsString="0" containsBlank="1"/>
    </cacheField>
    <cacheField name="Column9386" numFmtId="0">
      <sharedItems containsNonDate="0" containsString="0" containsBlank="1"/>
    </cacheField>
    <cacheField name="Column9387" numFmtId="0">
      <sharedItems containsNonDate="0" containsString="0" containsBlank="1"/>
    </cacheField>
    <cacheField name="Column9388" numFmtId="0">
      <sharedItems containsNonDate="0" containsString="0" containsBlank="1"/>
    </cacheField>
    <cacheField name="Column9389" numFmtId="0">
      <sharedItems containsNonDate="0" containsString="0" containsBlank="1"/>
    </cacheField>
    <cacheField name="Column9390" numFmtId="0">
      <sharedItems containsNonDate="0" containsString="0" containsBlank="1"/>
    </cacheField>
    <cacheField name="Column9391" numFmtId="0">
      <sharedItems containsNonDate="0" containsString="0" containsBlank="1"/>
    </cacheField>
    <cacheField name="Column9392" numFmtId="0">
      <sharedItems containsNonDate="0" containsString="0" containsBlank="1"/>
    </cacheField>
    <cacheField name="Column9393" numFmtId="0">
      <sharedItems containsNonDate="0" containsString="0" containsBlank="1"/>
    </cacheField>
    <cacheField name="Column9394" numFmtId="0">
      <sharedItems containsNonDate="0" containsString="0" containsBlank="1"/>
    </cacheField>
    <cacheField name="Column9395" numFmtId="0">
      <sharedItems containsNonDate="0" containsString="0" containsBlank="1"/>
    </cacheField>
    <cacheField name="Column9396" numFmtId="0">
      <sharedItems containsNonDate="0" containsString="0" containsBlank="1"/>
    </cacheField>
    <cacheField name="Column9397" numFmtId="0">
      <sharedItems containsNonDate="0" containsString="0" containsBlank="1"/>
    </cacheField>
    <cacheField name="Column9398" numFmtId="0">
      <sharedItems containsNonDate="0" containsString="0" containsBlank="1"/>
    </cacheField>
    <cacheField name="Column9399" numFmtId="0">
      <sharedItems containsNonDate="0" containsString="0" containsBlank="1"/>
    </cacheField>
    <cacheField name="Column9400" numFmtId="0">
      <sharedItems containsNonDate="0" containsString="0" containsBlank="1"/>
    </cacheField>
    <cacheField name="Column9401" numFmtId="0">
      <sharedItems containsNonDate="0" containsString="0" containsBlank="1"/>
    </cacheField>
    <cacheField name="Column9402" numFmtId="0">
      <sharedItems containsNonDate="0" containsString="0" containsBlank="1"/>
    </cacheField>
    <cacheField name="Column9403" numFmtId="0">
      <sharedItems containsNonDate="0" containsString="0" containsBlank="1"/>
    </cacheField>
    <cacheField name="Column9404" numFmtId="0">
      <sharedItems containsNonDate="0" containsString="0" containsBlank="1"/>
    </cacheField>
    <cacheField name="Column9405" numFmtId="0">
      <sharedItems containsNonDate="0" containsString="0" containsBlank="1"/>
    </cacheField>
    <cacheField name="Column9406" numFmtId="0">
      <sharedItems containsNonDate="0" containsString="0" containsBlank="1"/>
    </cacheField>
    <cacheField name="Column9407" numFmtId="0">
      <sharedItems containsNonDate="0" containsString="0" containsBlank="1"/>
    </cacheField>
    <cacheField name="Column9408" numFmtId="0">
      <sharedItems containsNonDate="0" containsString="0" containsBlank="1"/>
    </cacheField>
    <cacheField name="Column9409" numFmtId="0">
      <sharedItems containsNonDate="0" containsString="0" containsBlank="1"/>
    </cacheField>
    <cacheField name="Column9410" numFmtId="0">
      <sharedItems containsNonDate="0" containsString="0" containsBlank="1"/>
    </cacheField>
    <cacheField name="Column9411" numFmtId="0">
      <sharedItems containsNonDate="0" containsString="0" containsBlank="1"/>
    </cacheField>
    <cacheField name="Column9412" numFmtId="0">
      <sharedItems containsNonDate="0" containsString="0" containsBlank="1"/>
    </cacheField>
    <cacheField name="Column9413" numFmtId="0">
      <sharedItems containsNonDate="0" containsString="0" containsBlank="1"/>
    </cacheField>
    <cacheField name="Column9414" numFmtId="0">
      <sharedItems containsNonDate="0" containsString="0" containsBlank="1"/>
    </cacheField>
    <cacheField name="Column9415" numFmtId="0">
      <sharedItems containsNonDate="0" containsString="0" containsBlank="1"/>
    </cacheField>
    <cacheField name="Column9416" numFmtId="0">
      <sharedItems containsNonDate="0" containsString="0" containsBlank="1"/>
    </cacheField>
    <cacheField name="Column9417" numFmtId="0">
      <sharedItems containsNonDate="0" containsString="0" containsBlank="1"/>
    </cacheField>
    <cacheField name="Column9418" numFmtId="0">
      <sharedItems containsNonDate="0" containsString="0" containsBlank="1"/>
    </cacheField>
    <cacheField name="Column9419" numFmtId="0">
      <sharedItems containsNonDate="0" containsString="0" containsBlank="1"/>
    </cacheField>
    <cacheField name="Column9420" numFmtId="0">
      <sharedItems containsNonDate="0" containsString="0" containsBlank="1"/>
    </cacheField>
    <cacheField name="Column9421" numFmtId="0">
      <sharedItems containsNonDate="0" containsString="0" containsBlank="1"/>
    </cacheField>
    <cacheField name="Column9422" numFmtId="0">
      <sharedItems containsNonDate="0" containsString="0" containsBlank="1"/>
    </cacheField>
    <cacheField name="Column9423" numFmtId="0">
      <sharedItems containsNonDate="0" containsString="0" containsBlank="1"/>
    </cacheField>
    <cacheField name="Column9424" numFmtId="0">
      <sharedItems containsNonDate="0" containsString="0" containsBlank="1"/>
    </cacheField>
    <cacheField name="Column9425" numFmtId="0">
      <sharedItems containsNonDate="0" containsString="0" containsBlank="1"/>
    </cacheField>
    <cacheField name="Column9426" numFmtId="0">
      <sharedItems containsNonDate="0" containsString="0" containsBlank="1"/>
    </cacheField>
    <cacheField name="Column9427" numFmtId="0">
      <sharedItems containsNonDate="0" containsString="0" containsBlank="1"/>
    </cacheField>
    <cacheField name="Column9428" numFmtId="0">
      <sharedItems containsNonDate="0" containsString="0" containsBlank="1"/>
    </cacheField>
    <cacheField name="Column9429" numFmtId="0">
      <sharedItems containsNonDate="0" containsString="0" containsBlank="1"/>
    </cacheField>
    <cacheField name="Column9430" numFmtId="0">
      <sharedItems containsNonDate="0" containsString="0" containsBlank="1"/>
    </cacheField>
    <cacheField name="Column9431" numFmtId="0">
      <sharedItems containsNonDate="0" containsString="0" containsBlank="1"/>
    </cacheField>
    <cacheField name="Column9432" numFmtId="0">
      <sharedItems containsNonDate="0" containsString="0" containsBlank="1"/>
    </cacheField>
    <cacheField name="Column9433" numFmtId="0">
      <sharedItems containsNonDate="0" containsString="0" containsBlank="1"/>
    </cacheField>
    <cacheField name="Column9434" numFmtId="0">
      <sharedItems containsNonDate="0" containsString="0" containsBlank="1"/>
    </cacheField>
    <cacheField name="Column9435" numFmtId="0">
      <sharedItems containsNonDate="0" containsString="0" containsBlank="1"/>
    </cacheField>
    <cacheField name="Column9436" numFmtId="0">
      <sharedItems containsNonDate="0" containsString="0" containsBlank="1"/>
    </cacheField>
    <cacheField name="Column9437" numFmtId="0">
      <sharedItems containsNonDate="0" containsString="0" containsBlank="1"/>
    </cacheField>
    <cacheField name="Column9438" numFmtId="0">
      <sharedItems containsNonDate="0" containsString="0" containsBlank="1"/>
    </cacheField>
    <cacheField name="Column9439" numFmtId="0">
      <sharedItems containsNonDate="0" containsString="0" containsBlank="1"/>
    </cacheField>
    <cacheField name="Column9440" numFmtId="0">
      <sharedItems containsNonDate="0" containsString="0" containsBlank="1"/>
    </cacheField>
    <cacheField name="Column9441" numFmtId="0">
      <sharedItems containsNonDate="0" containsString="0" containsBlank="1"/>
    </cacheField>
    <cacheField name="Column9442" numFmtId="0">
      <sharedItems containsNonDate="0" containsString="0" containsBlank="1"/>
    </cacheField>
    <cacheField name="Column9443" numFmtId="0">
      <sharedItems containsNonDate="0" containsString="0" containsBlank="1"/>
    </cacheField>
    <cacheField name="Column9444" numFmtId="0">
      <sharedItems containsNonDate="0" containsString="0" containsBlank="1"/>
    </cacheField>
    <cacheField name="Column9445" numFmtId="0">
      <sharedItems containsNonDate="0" containsString="0" containsBlank="1"/>
    </cacheField>
    <cacheField name="Column9446" numFmtId="0">
      <sharedItems containsNonDate="0" containsString="0" containsBlank="1"/>
    </cacheField>
    <cacheField name="Column9447" numFmtId="0">
      <sharedItems containsNonDate="0" containsString="0" containsBlank="1"/>
    </cacheField>
    <cacheField name="Column9448" numFmtId="0">
      <sharedItems containsNonDate="0" containsString="0" containsBlank="1"/>
    </cacheField>
    <cacheField name="Column9449" numFmtId="0">
      <sharedItems containsNonDate="0" containsString="0" containsBlank="1"/>
    </cacheField>
    <cacheField name="Column9450" numFmtId="0">
      <sharedItems containsNonDate="0" containsString="0" containsBlank="1"/>
    </cacheField>
    <cacheField name="Column9451" numFmtId="0">
      <sharedItems containsNonDate="0" containsString="0" containsBlank="1"/>
    </cacheField>
    <cacheField name="Column9452" numFmtId="0">
      <sharedItems containsNonDate="0" containsString="0" containsBlank="1"/>
    </cacheField>
    <cacheField name="Column9453" numFmtId="0">
      <sharedItems containsNonDate="0" containsString="0" containsBlank="1"/>
    </cacheField>
    <cacheField name="Column9454" numFmtId="0">
      <sharedItems containsNonDate="0" containsString="0" containsBlank="1"/>
    </cacheField>
    <cacheField name="Column9455" numFmtId="0">
      <sharedItems containsNonDate="0" containsString="0" containsBlank="1"/>
    </cacheField>
    <cacheField name="Column9456" numFmtId="0">
      <sharedItems containsNonDate="0" containsString="0" containsBlank="1"/>
    </cacheField>
    <cacheField name="Column9457" numFmtId="0">
      <sharedItems containsNonDate="0" containsString="0" containsBlank="1"/>
    </cacheField>
    <cacheField name="Column9458" numFmtId="0">
      <sharedItems containsNonDate="0" containsString="0" containsBlank="1"/>
    </cacheField>
    <cacheField name="Column9459" numFmtId="0">
      <sharedItems containsNonDate="0" containsString="0" containsBlank="1"/>
    </cacheField>
    <cacheField name="Column9460" numFmtId="0">
      <sharedItems containsNonDate="0" containsString="0" containsBlank="1"/>
    </cacheField>
    <cacheField name="Column9461" numFmtId="0">
      <sharedItems containsNonDate="0" containsString="0" containsBlank="1"/>
    </cacheField>
    <cacheField name="Column9462" numFmtId="0">
      <sharedItems containsNonDate="0" containsString="0" containsBlank="1"/>
    </cacheField>
    <cacheField name="Column9463" numFmtId="0">
      <sharedItems containsNonDate="0" containsString="0" containsBlank="1"/>
    </cacheField>
    <cacheField name="Column9464" numFmtId="0">
      <sharedItems containsNonDate="0" containsString="0" containsBlank="1"/>
    </cacheField>
    <cacheField name="Column9465" numFmtId="0">
      <sharedItems containsNonDate="0" containsString="0" containsBlank="1"/>
    </cacheField>
    <cacheField name="Column9466" numFmtId="0">
      <sharedItems containsNonDate="0" containsString="0" containsBlank="1"/>
    </cacheField>
    <cacheField name="Column9467" numFmtId="0">
      <sharedItems containsNonDate="0" containsString="0" containsBlank="1"/>
    </cacheField>
    <cacheField name="Column9468" numFmtId="0">
      <sharedItems containsNonDate="0" containsString="0" containsBlank="1"/>
    </cacheField>
    <cacheField name="Column9469" numFmtId="0">
      <sharedItems containsNonDate="0" containsString="0" containsBlank="1"/>
    </cacheField>
    <cacheField name="Column9470" numFmtId="0">
      <sharedItems containsNonDate="0" containsString="0" containsBlank="1"/>
    </cacheField>
    <cacheField name="Column9471" numFmtId="0">
      <sharedItems containsNonDate="0" containsString="0" containsBlank="1"/>
    </cacheField>
    <cacheField name="Column9472" numFmtId="0">
      <sharedItems containsNonDate="0" containsString="0" containsBlank="1"/>
    </cacheField>
    <cacheField name="Column9473" numFmtId="0">
      <sharedItems containsNonDate="0" containsString="0" containsBlank="1"/>
    </cacheField>
    <cacheField name="Column9474" numFmtId="0">
      <sharedItems containsNonDate="0" containsString="0" containsBlank="1"/>
    </cacheField>
    <cacheField name="Column9475" numFmtId="0">
      <sharedItems containsNonDate="0" containsString="0" containsBlank="1"/>
    </cacheField>
    <cacheField name="Column9476" numFmtId="0">
      <sharedItems containsNonDate="0" containsString="0" containsBlank="1"/>
    </cacheField>
    <cacheField name="Column9477" numFmtId="0">
      <sharedItems containsNonDate="0" containsString="0" containsBlank="1"/>
    </cacheField>
    <cacheField name="Column9478" numFmtId="0">
      <sharedItems containsNonDate="0" containsString="0" containsBlank="1"/>
    </cacheField>
    <cacheField name="Column9479" numFmtId="0">
      <sharedItems containsNonDate="0" containsString="0" containsBlank="1"/>
    </cacheField>
    <cacheField name="Column9480" numFmtId="0">
      <sharedItems containsNonDate="0" containsString="0" containsBlank="1"/>
    </cacheField>
    <cacheField name="Column9481" numFmtId="0">
      <sharedItems containsNonDate="0" containsString="0" containsBlank="1"/>
    </cacheField>
    <cacheField name="Column9482" numFmtId="0">
      <sharedItems containsNonDate="0" containsString="0" containsBlank="1"/>
    </cacheField>
    <cacheField name="Column9483" numFmtId="0">
      <sharedItems containsNonDate="0" containsString="0" containsBlank="1"/>
    </cacheField>
    <cacheField name="Column9484" numFmtId="0">
      <sharedItems containsNonDate="0" containsString="0" containsBlank="1"/>
    </cacheField>
    <cacheField name="Column9485" numFmtId="0">
      <sharedItems containsNonDate="0" containsString="0" containsBlank="1"/>
    </cacheField>
    <cacheField name="Column9486" numFmtId="0">
      <sharedItems containsNonDate="0" containsString="0" containsBlank="1"/>
    </cacheField>
    <cacheField name="Column9487" numFmtId="0">
      <sharedItems containsNonDate="0" containsString="0" containsBlank="1"/>
    </cacheField>
    <cacheField name="Column9488" numFmtId="0">
      <sharedItems containsNonDate="0" containsString="0" containsBlank="1"/>
    </cacheField>
    <cacheField name="Column9489" numFmtId="0">
      <sharedItems containsNonDate="0" containsString="0" containsBlank="1"/>
    </cacheField>
    <cacheField name="Column9490" numFmtId="0">
      <sharedItems containsNonDate="0" containsString="0" containsBlank="1"/>
    </cacheField>
    <cacheField name="Column9491" numFmtId="0">
      <sharedItems containsNonDate="0" containsString="0" containsBlank="1"/>
    </cacheField>
    <cacheField name="Column9492" numFmtId="0">
      <sharedItems containsNonDate="0" containsString="0" containsBlank="1"/>
    </cacheField>
    <cacheField name="Column9493" numFmtId="0">
      <sharedItems containsNonDate="0" containsString="0" containsBlank="1"/>
    </cacheField>
    <cacheField name="Column9494" numFmtId="0">
      <sharedItems containsNonDate="0" containsString="0" containsBlank="1"/>
    </cacheField>
    <cacheField name="Column9495" numFmtId="0">
      <sharedItems containsNonDate="0" containsString="0" containsBlank="1"/>
    </cacheField>
    <cacheField name="Column9496" numFmtId="0">
      <sharedItems containsNonDate="0" containsString="0" containsBlank="1"/>
    </cacheField>
    <cacheField name="Column9497" numFmtId="0">
      <sharedItems containsNonDate="0" containsString="0" containsBlank="1"/>
    </cacheField>
    <cacheField name="Column9498" numFmtId="0">
      <sharedItems containsNonDate="0" containsString="0" containsBlank="1"/>
    </cacheField>
    <cacheField name="Column9499" numFmtId="0">
      <sharedItems containsNonDate="0" containsString="0" containsBlank="1"/>
    </cacheField>
    <cacheField name="Column9500" numFmtId="0">
      <sharedItems containsNonDate="0" containsString="0" containsBlank="1"/>
    </cacheField>
    <cacheField name="Column9501" numFmtId="0">
      <sharedItems containsNonDate="0" containsString="0" containsBlank="1"/>
    </cacheField>
    <cacheField name="Column9502" numFmtId="0">
      <sharedItems containsNonDate="0" containsString="0" containsBlank="1"/>
    </cacheField>
    <cacheField name="Column9503" numFmtId="0">
      <sharedItems containsNonDate="0" containsString="0" containsBlank="1"/>
    </cacheField>
    <cacheField name="Column9504" numFmtId="0">
      <sharedItems containsNonDate="0" containsString="0" containsBlank="1"/>
    </cacheField>
    <cacheField name="Column9505" numFmtId="0">
      <sharedItems containsNonDate="0" containsString="0" containsBlank="1"/>
    </cacheField>
    <cacheField name="Column9506" numFmtId="0">
      <sharedItems containsNonDate="0" containsString="0" containsBlank="1"/>
    </cacheField>
    <cacheField name="Column9507" numFmtId="0">
      <sharedItems containsNonDate="0" containsString="0" containsBlank="1"/>
    </cacheField>
    <cacheField name="Column9508" numFmtId="0">
      <sharedItems containsNonDate="0" containsString="0" containsBlank="1"/>
    </cacheField>
    <cacheField name="Column9509" numFmtId="0">
      <sharedItems containsNonDate="0" containsString="0" containsBlank="1"/>
    </cacheField>
    <cacheField name="Column9510" numFmtId="0">
      <sharedItems containsNonDate="0" containsString="0" containsBlank="1"/>
    </cacheField>
    <cacheField name="Column9511" numFmtId="0">
      <sharedItems containsNonDate="0" containsString="0" containsBlank="1"/>
    </cacheField>
    <cacheField name="Column9512" numFmtId="0">
      <sharedItems containsNonDate="0" containsString="0" containsBlank="1"/>
    </cacheField>
    <cacheField name="Column9513" numFmtId="0">
      <sharedItems containsNonDate="0" containsString="0" containsBlank="1"/>
    </cacheField>
    <cacheField name="Column9514" numFmtId="0">
      <sharedItems containsNonDate="0" containsString="0" containsBlank="1"/>
    </cacheField>
    <cacheField name="Column9515" numFmtId="0">
      <sharedItems containsNonDate="0" containsString="0" containsBlank="1"/>
    </cacheField>
    <cacheField name="Column9516" numFmtId="0">
      <sharedItems containsNonDate="0" containsString="0" containsBlank="1"/>
    </cacheField>
    <cacheField name="Column9517" numFmtId="0">
      <sharedItems containsNonDate="0" containsString="0" containsBlank="1"/>
    </cacheField>
    <cacheField name="Column9518" numFmtId="0">
      <sharedItems containsNonDate="0" containsString="0" containsBlank="1"/>
    </cacheField>
    <cacheField name="Column9519" numFmtId="0">
      <sharedItems containsNonDate="0" containsString="0" containsBlank="1"/>
    </cacheField>
    <cacheField name="Column9520" numFmtId="0">
      <sharedItems containsNonDate="0" containsString="0" containsBlank="1"/>
    </cacheField>
    <cacheField name="Column9521" numFmtId="0">
      <sharedItems containsNonDate="0" containsString="0" containsBlank="1"/>
    </cacheField>
    <cacheField name="Column9522" numFmtId="0">
      <sharedItems containsNonDate="0" containsString="0" containsBlank="1"/>
    </cacheField>
    <cacheField name="Column9523" numFmtId="0">
      <sharedItems containsNonDate="0" containsString="0" containsBlank="1"/>
    </cacheField>
    <cacheField name="Column9524" numFmtId="0">
      <sharedItems containsNonDate="0" containsString="0" containsBlank="1"/>
    </cacheField>
    <cacheField name="Column9525" numFmtId="0">
      <sharedItems containsNonDate="0" containsString="0" containsBlank="1"/>
    </cacheField>
    <cacheField name="Column9526" numFmtId="0">
      <sharedItems containsNonDate="0" containsString="0" containsBlank="1"/>
    </cacheField>
    <cacheField name="Column9527" numFmtId="0">
      <sharedItems containsNonDate="0" containsString="0" containsBlank="1"/>
    </cacheField>
    <cacheField name="Column9528" numFmtId="0">
      <sharedItems containsNonDate="0" containsString="0" containsBlank="1"/>
    </cacheField>
    <cacheField name="Column9529" numFmtId="0">
      <sharedItems containsNonDate="0" containsString="0" containsBlank="1"/>
    </cacheField>
    <cacheField name="Column9530" numFmtId="0">
      <sharedItems containsNonDate="0" containsString="0" containsBlank="1"/>
    </cacheField>
    <cacheField name="Column9531" numFmtId="0">
      <sharedItems containsNonDate="0" containsString="0" containsBlank="1"/>
    </cacheField>
    <cacheField name="Column9532" numFmtId="0">
      <sharedItems containsNonDate="0" containsString="0" containsBlank="1"/>
    </cacheField>
    <cacheField name="Column9533" numFmtId="0">
      <sharedItems containsNonDate="0" containsString="0" containsBlank="1"/>
    </cacheField>
    <cacheField name="Column9534" numFmtId="0">
      <sharedItems containsNonDate="0" containsString="0" containsBlank="1"/>
    </cacheField>
    <cacheField name="Column9535" numFmtId="0">
      <sharedItems containsNonDate="0" containsString="0" containsBlank="1"/>
    </cacheField>
    <cacheField name="Column9536" numFmtId="0">
      <sharedItems containsNonDate="0" containsString="0" containsBlank="1"/>
    </cacheField>
    <cacheField name="Column9537" numFmtId="0">
      <sharedItems containsNonDate="0" containsString="0" containsBlank="1"/>
    </cacheField>
    <cacheField name="Column9538" numFmtId="0">
      <sharedItems containsNonDate="0" containsString="0" containsBlank="1"/>
    </cacheField>
    <cacheField name="Column9539" numFmtId="0">
      <sharedItems containsNonDate="0" containsString="0" containsBlank="1"/>
    </cacheField>
    <cacheField name="Column9540" numFmtId="0">
      <sharedItems containsNonDate="0" containsString="0" containsBlank="1"/>
    </cacheField>
    <cacheField name="Column9541" numFmtId="0">
      <sharedItems containsNonDate="0" containsString="0" containsBlank="1"/>
    </cacheField>
    <cacheField name="Column9542" numFmtId="0">
      <sharedItems containsNonDate="0" containsString="0" containsBlank="1"/>
    </cacheField>
    <cacheField name="Column9543" numFmtId="0">
      <sharedItems containsNonDate="0" containsString="0" containsBlank="1"/>
    </cacheField>
    <cacheField name="Column9544" numFmtId="0">
      <sharedItems containsNonDate="0" containsString="0" containsBlank="1"/>
    </cacheField>
    <cacheField name="Column9545" numFmtId="0">
      <sharedItems containsNonDate="0" containsString="0" containsBlank="1"/>
    </cacheField>
    <cacheField name="Column9546" numFmtId="0">
      <sharedItems containsNonDate="0" containsString="0" containsBlank="1"/>
    </cacheField>
    <cacheField name="Column9547" numFmtId="0">
      <sharedItems containsNonDate="0" containsString="0" containsBlank="1"/>
    </cacheField>
    <cacheField name="Column9548" numFmtId="0">
      <sharedItems containsNonDate="0" containsString="0" containsBlank="1"/>
    </cacheField>
    <cacheField name="Column9549" numFmtId="0">
      <sharedItems containsNonDate="0" containsString="0" containsBlank="1"/>
    </cacheField>
    <cacheField name="Column9550" numFmtId="0">
      <sharedItems containsNonDate="0" containsString="0" containsBlank="1"/>
    </cacheField>
    <cacheField name="Column9551" numFmtId="0">
      <sharedItems containsNonDate="0" containsString="0" containsBlank="1"/>
    </cacheField>
    <cacheField name="Column9552" numFmtId="0">
      <sharedItems containsNonDate="0" containsString="0" containsBlank="1"/>
    </cacheField>
    <cacheField name="Column9553" numFmtId="0">
      <sharedItems containsNonDate="0" containsString="0" containsBlank="1"/>
    </cacheField>
    <cacheField name="Column9554" numFmtId="0">
      <sharedItems containsNonDate="0" containsString="0" containsBlank="1"/>
    </cacheField>
    <cacheField name="Column9555" numFmtId="0">
      <sharedItems containsNonDate="0" containsString="0" containsBlank="1"/>
    </cacheField>
    <cacheField name="Column9556" numFmtId="0">
      <sharedItems containsNonDate="0" containsString="0" containsBlank="1"/>
    </cacheField>
    <cacheField name="Column9557" numFmtId="0">
      <sharedItems containsNonDate="0" containsString="0" containsBlank="1"/>
    </cacheField>
    <cacheField name="Column9558" numFmtId="0">
      <sharedItems containsNonDate="0" containsString="0" containsBlank="1"/>
    </cacheField>
    <cacheField name="Column9559" numFmtId="0">
      <sharedItems containsNonDate="0" containsString="0" containsBlank="1"/>
    </cacheField>
    <cacheField name="Column9560" numFmtId="0">
      <sharedItems containsNonDate="0" containsString="0" containsBlank="1"/>
    </cacheField>
    <cacheField name="Column9561" numFmtId="0">
      <sharedItems containsNonDate="0" containsString="0" containsBlank="1"/>
    </cacheField>
    <cacheField name="Column9562" numFmtId="0">
      <sharedItems containsNonDate="0" containsString="0" containsBlank="1"/>
    </cacheField>
    <cacheField name="Column9563" numFmtId="0">
      <sharedItems containsNonDate="0" containsString="0" containsBlank="1"/>
    </cacheField>
    <cacheField name="Column9564" numFmtId="0">
      <sharedItems containsNonDate="0" containsString="0" containsBlank="1"/>
    </cacheField>
    <cacheField name="Column9565" numFmtId="0">
      <sharedItems containsNonDate="0" containsString="0" containsBlank="1"/>
    </cacheField>
    <cacheField name="Column9566" numFmtId="0">
      <sharedItems containsNonDate="0" containsString="0" containsBlank="1"/>
    </cacheField>
    <cacheField name="Column9567" numFmtId="0">
      <sharedItems containsNonDate="0" containsString="0" containsBlank="1"/>
    </cacheField>
    <cacheField name="Column9568" numFmtId="0">
      <sharedItems containsNonDate="0" containsString="0" containsBlank="1"/>
    </cacheField>
    <cacheField name="Column9569" numFmtId="0">
      <sharedItems containsNonDate="0" containsString="0" containsBlank="1"/>
    </cacheField>
    <cacheField name="Column9570" numFmtId="0">
      <sharedItems containsNonDate="0" containsString="0" containsBlank="1"/>
    </cacheField>
    <cacheField name="Column9571" numFmtId="0">
      <sharedItems containsNonDate="0" containsString="0" containsBlank="1"/>
    </cacheField>
    <cacheField name="Column9572" numFmtId="0">
      <sharedItems containsNonDate="0" containsString="0" containsBlank="1"/>
    </cacheField>
    <cacheField name="Column9573" numFmtId="0">
      <sharedItems containsNonDate="0" containsString="0" containsBlank="1"/>
    </cacheField>
    <cacheField name="Column9574" numFmtId="0">
      <sharedItems containsNonDate="0" containsString="0" containsBlank="1"/>
    </cacheField>
    <cacheField name="Column9575" numFmtId="0">
      <sharedItems containsNonDate="0" containsString="0" containsBlank="1"/>
    </cacheField>
    <cacheField name="Column9576" numFmtId="0">
      <sharedItems containsNonDate="0" containsString="0" containsBlank="1"/>
    </cacheField>
    <cacheField name="Column9577" numFmtId="0">
      <sharedItems containsNonDate="0" containsString="0" containsBlank="1"/>
    </cacheField>
    <cacheField name="Column9578" numFmtId="0">
      <sharedItems containsNonDate="0" containsString="0" containsBlank="1"/>
    </cacheField>
    <cacheField name="Column9579" numFmtId="0">
      <sharedItems containsNonDate="0" containsString="0" containsBlank="1"/>
    </cacheField>
    <cacheField name="Column9580" numFmtId="0">
      <sharedItems containsNonDate="0" containsString="0" containsBlank="1"/>
    </cacheField>
    <cacheField name="Column9581" numFmtId="0">
      <sharedItems containsNonDate="0" containsString="0" containsBlank="1"/>
    </cacheField>
    <cacheField name="Column9582" numFmtId="0">
      <sharedItems containsNonDate="0" containsString="0" containsBlank="1"/>
    </cacheField>
    <cacheField name="Column9583" numFmtId="0">
      <sharedItems containsNonDate="0" containsString="0" containsBlank="1"/>
    </cacheField>
    <cacheField name="Column9584" numFmtId="0">
      <sharedItems containsNonDate="0" containsString="0" containsBlank="1"/>
    </cacheField>
    <cacheField name="Column9585" numFmtId="0">
      <sharedItems containsNonDate="0" containsString="0" containsBlank="1"/>
    </cacheField>
    <cacheField name="Column9586" numFmtId="0">
      <sharedItems containsNonDate="0" containsString="0" containsBlank="1"/>
    </cacheField>
    <cacheField name="Column9587" numFmtId="0">
      <sharedItems containsNonDate="0" containsString="0" containsBlank="1"/>
    </cacheField>
    <cacheField name="Column9588" numFmtId="0">
      <sharedItems containsNonDate="0" containsString="0" containsBlank="1"/>
    </cacheField>
    <cacheField name="Column9589" numFmtId="0">
      <sharedItems containsNonDate="0" containsString="0" containsBlank="1"/>
    </cacheField>
    <cacheField name="Column9590" numFmtId="0">
      <sharedItems containsNonDate="0" containsString="0" containsBlank="1"/>
    </cacheField>
    <cacheField name="Column9591" numFmtId="0">
      <sharedItems containsNonDate="0" containsString="0" containsBlank="1"/>
    </cacheField>
    <cacheField name="Column9592" numFmtId="0">
      <sharedItems containsNonDate="0" containsString="0" containsBlank="1"/>
    </cacheField>
    <cacheField name="Column9593" numFmtId="0">
      <sharedItems containsNonDate="0" containsString="0" containsBlank="1"/>
    </cacheField>
    <cacheField name="Column9594" numFmtId="0">
      <sharedItems containsNonDate="0" containsString="0" containsBlank="1"/>
    </cacheField>
    <cacheField name="Column9595" numFmtId="0">
      <sharedItems containsNonDate="0" containsString="0" containsBlank="1"/>
    </cacheField>
    <cacheField name="Column9596" numFmtId="0">
      <sharedItems containsNonDate="0" containsString="0" containsBlank="1"/>
    </cacheField>
    <cacheField name="Column9597" numFmtId="0">
      <sharedItems containsNonDate="0" containsString="0" containsBlank="1"/>
    </cacheField>
    <cacheField name="Column9598" numFmtId="0">
      <sharedItems containsNonDate="0" containsString="0" containsBlank="1"/>
    </cacheField>
    <cacheField name="Column9599" numFmtId="0">
      <sharedItems containsNonDate="0" containsString="0" containsBlank="1"/>
    </cacheField>
    <cacheField name="Column9600" numFmtId="0">
      <sharedItems containsNonDate="0" containsString="0" containsBlank="1"/>
    </cacheField>
    <cacheField name="Column9601" numFmtId="0">
      <sharedItems containsNonDate="0" containsString="0" containsBlank="1"/>
    </cacheField>
    <cacheField name="Column9602" numFmtId="0">
      <sharedItems containsNonDate="0" containsString="0" containsBlank="1"/>
    </cacheField>
    <cacheField name="Column9603" numFmtId="0">
      <sharedItems containsNonDate="0" containsString="0" containsBlank="1"/>
    </cacheField>
    <cacheField name="Column9604" numFmtId="0">
      <sharedItems containsNonDate="0" containsString="0" containsBlank="1"/>
    </cacheField>
    <cacheField name="Column9605" numFmtId="0">
      <sharedItems containsNonDate="0" containsString="0" containsBlank="1"/>
    </cacheField>
    <cacheField name="Column9606" numFmtId="0">
      <sharedItems containsNonDate="0" containsString="0" containsBlank="1"/>
    </cacheField>
    <cacheField name="Column9607" numFmtId="0">
      <sharedItems containsNonDate="0" containsString="0" containsBlank="1"/>
    </cacheField>
    <cacheField name="Column9608" numFmtId="0">
      <sharedItems containsNonDate="0" containsString="0" containsBlank="1"/>
    </cacheField>
    <cacheField name="Column9609" numFmtId="0">
      <sharedItems containsNonDate="0" containsString="0" containsBlank="1"/>
    </cacheField>
    <cacheField name="Column9610" numFmtId="0">
      <sharedItems containsNonDate="0" containsString="0" containsBlank="1"/>
    </cacheField>
    <cacheField name="Column9611" numFmtId="0">
      <sharedItems containsNonDate="0" containsString="0" containsBlank="1"/>
    </cacheField>
    <cacheField name="Column9612" numFmtId="0">
      <sharedItems containsNonDate="0" containsString="0" containsBlank="1"/>
    </cacheField>
    <cacheField name="Column9613" numFmtId="0">
      <sharedItems containsNonDate="0" containsString="0" containsBlank="1"/>
    </cacheField>
    <cacheField name="Column9614" numFmtId="0">
      <sharedItems containsNonDate="0" containsString="0" containsBlank="1"/>
    </cacheField>
    <cacheField name="Column9615" numFmtId="0">
      <sharedItems containsNonDate="0" containsString="0" containsBlank="1"/>
    </cacheField>
    <cacheField name="Column9616" numFmtId="0">
      <sharedItems containsNonDate="0" containsString="0" containsBlank="1"/>
    </cacheField>
    <cacheField name="Column9617" numFmtId="0">
      <sharedItems containsNonDate="0" containsString="0" containsBlank="1"/>
    </cacheField>
    <cacheField name="Column9618" numFmtId="0">
      <sharedItems containsNonDate="0" containsString="0" containsBlank="1"/>
    </cacheField>
    <cacheField name="Column9619" numFmtId="0">
      <sharedItems containsNonDate="0" containsString="0" containsBlank="1"/>
    </cacheField>
    <cacheField name="Column9620" numFmtId="0">
      <sharedItems containsNonDate="0" containsString="0" containsBlank="1"/>
    </cacheField>
    <cacheField name="Column9621" numFmtId="0">
      <sharedItems containsNonDate="0" containsString="0" containsBlank="1"/>
    </cacheField>
    <cacheField name="Column9622" numFmtId="0">
      <sharedItems containsNonDate="0" containsString="0" containsBlank="1"/>
    </cacheField>
    <cacheField name="Column9623" numFmtId="0">
      <sharedItems containsNonDate="0" containsString="0" containsBlank="1"/>
    </cacheField>
    <cacheField name="Column9624" numFmtId="0">
      <sharedItems containsNonDate="0" containsString="0" containsBlank="1"/>
    </cacheField>
    <cacheField name="Column9625" numFmtId="0">
      <sharedItems containsNonDate="0" containsString="0" containsBlank="1"/>
    </cacheField>
    <cacheField name="Column9626" numFmtId="0">
      <sharedItems containsNonDate="0" containsString="0" containsBlank="1"/>
    </cacheField>
    <cacheField name="Column9627" numFmtId="0">
      <sharedItems containsNonDate="0" containsString="0" containsBlank="1"/>
    </cacheField>
    <cacheField name="Column9628" numFmtId="0">
      <sharedItems containsNonDate="0" containsString="0" containsBlank="1"/>
    </cacheField>
    <cacheField name="Column9629" numFmtId="0">
      <sharedItems containsNonDate="0" containsString="0" containsBlank="1"/>
    </cacheField>
    <cacheField name="Column9630" numFmtId="0">
      <sharedItems containsNonDate="0" containsString="0" containsBlank="1"/>
    </cacheField>
    <cacheField name="Column9631" numFmtId="0">
      <sharedItems containsNonDate="0" containsString="0" containsBlank="1"/>
    </cacheField>
    <cacheField name="Column9632" numFmtId="0">
      <sharedItems containsNonDate="0" containsString="0" containsBlank="1"/>
    </cacheField>
    <cacheField name="Column9633" numFmtId="0">
      <sharedItems containsNonDate="0" containsString="0" containsBlank="1"/>
    </cacheField>
    <cacheField name="Column9634" numFmtId="0">
      <sharedItems containsNonDate="0" containsString="0" containsBlank="1"/>
    </cacheField>
    <cacheField name="Column9635" numFmtId="0">
      <sharedItems containsNonDate="0" containsString="0" containsBlank="1"/>
    </cacheField>
    <cacheField name="Column9636" numFmtId="0">
      <sharedItems containsNonDate="0" containsString="0" containsBlank="1"/>
    </cacheField>
    <cacheField name="Column9637" numFmtId="0">
      <sharedItems containsNonDate="0" containsString="0" containsBlank="1"/>
    </cacheField>
    <cacheField name="Column9638" numFmtId="0">
      <sharedItems containsNonDate="0" containsString="0" containsBlank="1"/>
    </cacheField>
    <cacheField name="Column9639" numFmtId="0">
      <sharedItems containsNonDate="0" containsString="0" containsBlank="1"/>
    </cacheField>
    <cacheField name="Column9640" numFmtId="0">
      <sharedItems containsNonDate="0" containsString="0" containsBlank="1"/>
    </cacheField>
    <cacheField name="Column9641" numFmtId="0">
      <sharedItems containsNonDate="0" containsString="0" containsBlank="1"/>
    </cacheField>
    <cacheField name="Column9642" numFmtId="0">
      <sharedItems containsNonDate="0" containsString="0" containsBlank="1"/>
    </cacheField>
    <cacheField name="Column9643" numFmtId="0">
      <sharedItems containsNonDate="0" containsString="0" containsBlank="1"/>
    </cacheField>
    <cacheField name="Column9644" numFmtId="0">
      <sharedItems containsNonDate="0" containsString="0" containsBlank="1"/>
    </cacheField>
    <cacheField name="Column9645" numFmtId="0">
      <sharedItems containsNonDate="0" containsString="0" containsBlank="1"/>
    </cacheField>
    <cacheField name="Column9646" numFmtId="0">
      <sharedItems containsNonDate="0" containsString="0" containsBlank="1"/>
    </cacheField>
    <cacheField name="Column9647" numFmtId="0">
      <sharedItems containsNonDate="0" containsString="0" containsBlank="1"/>
    </cacheField>
    <cacheField name="Column9648" numFmtId="0">
      <sharedItems containsNonDate="0" containsString="0" containsBlank="1"/>
    </cacheField>
    <cacheField name="Column9649" numFmtId="0">
      <sharedItems containsNonDate="0" containsString="0" containsBlank="1"/>
    </cacheField>
    <cacheField name="Column9650" numFmtId="0">
      <sharedItems containsNonDate="0" containsString="0" containsBlank="1"/>
    </cacheField>
    <cacheField name="Column9651" numFmtId="0">
      <sharedItems containsNonDate="0" containsString="0" containsBlank="1"/>
    </cacheField>
    <cacheField name="Column9652" numFmtId="0">
      <sharedItems containsNonDate="0" containsString="0" containsBlank="1"/>
    </cacheField>
    <cacheField name="Column9653" numFmtId="0">
      <sharedItems containsNonDate="0" containsString="0" containsBlank="1"/>
    </cacheField>
    <cacheField name="Column9654" numFmtId="0">
      <sharedItems containsNonDate="0" containsString="0" containsBlank="1"/>
    </cacheField>
    <cacheField name="Column9655" numFmtId="0">
      <sharedItems containsNonDate="0" containsString="0" containsBlank="1"/>
    </cacheField>
    <cacheField name="Column9656" numFmtId="0">
      <sharedItems containsNonDate="0" containsString="0" containsBlank="1"/>
    </cacheField>
    <cacheField name="Column9657" numFmtId="0">
      <sharedItems containsNonDate="0" containsString="0" containsBlank="1"/>
    </cacheField>
    <cacheField name="Column9658" numFmtId="0">
      <sharedItems containsNonDate="0" containsString="0" containsBlank="1"/>
    </cacheField>
    <cacheField name="Column9659" numFmtId="0">
      <sharedItems containsNonDate="0" containsString="0" containsBlank="1"/>
    </cacheField>
    <cacheField name="Column9660" numFmtId="0">
      <sharedItems containsNonDate="0" containsString="0" containsBlank="1"/>
    </cacheField>
    <cacheField name="Column9661" numFmtId="0">
      <sharedItems containsNonDate="0" containsString="0" containsBlank="1"/>
    </cacheField>
    <cacheField name="Column9662" numFmtId="0">
      <sharedItems containsNonDate="0" containsString="0" containsBlank="1"/>
    </cacheField>
    <cacheField name="Column9663" numFmtId="0">
      <sharedItems containsNonDate="0" containsString="0" containsBlank="1"/>
    </cacheField>
    <cacheField name="Column9664" numFmtId="0">
      <sharedItems containsNonDate="0" containsString="0" containsBlank="1"/>
    </cacheField>
    <cacheField name="Column9665" numFmtId="0">
      <sharedItems containsNonDate="0" containsString="0" containsBlank="1"/>
    </cacheField>
    <cacheField name="Column9666" numFmtId="0">
      <sharedItems containsNonDate="0" containsString="0" containsBlank="1"/>
    </cacheField>
    <cacheField name="Column9667" numFmtId="0">
      <sharedItems containsNonDate="0" containsString="0" containsBlank="1"/>
    </cacheField>
    <cacheField name="Column9668" numFmtId="0">
      <sharedItems containsNonDate="0" containsString="0" containsBlank="1"/>
    </cacheField>
    <cacheField name="Column9669" numFmtId="0">
      <sharedItems containsNonDate="0" containsString="0" containsBlank="1"/>
    </cacheField>
    <cacheField name="Column9670" numFmtId="0">
      <sharedItems containsNonDate="0" containsString="0" containsBlank="1"/>
    </cacheField>
    <cacheField name="Column9671" numFmtId="0">
      <sharedItems containsNonDate="0" containsString="0" containsBlank="1"/>
    </cacheField>
    <cacheField name="Column9672" numFmtId="0">
      <sharedItems containsNonDate="0" containsString="0" containsBlank="1"/>
    </cacheField>
    <cacheField name="Column9673" numFmtId="0">
      <sharedItems containsNonDate="0" containsString="0" containsBlank="1"/>
    </cacheField>
    <cacheField name="Column9674" numFmtId="0">
      <sharedItems containsNonDate="0" containsString="0" containsBlank="1"/>
    </cacheField>
    <cacheField name="Column9675" numFmtId="0">
      <sharedItems containsNonDate="0" containsString="0" containsBlank="1"/>
    </cacheField>
    <cacheField name="Column9676" numFmtId="0">
      <sharedItems containsNonDate="0" containsString="0" containsBlank="1"/>
    </cacheField>
    <cacheField name="Column9677" numFmtId="0">
      <sharedItems containsNonDate="0" containsString="0" containsBlank="1"/>
    </cacheField>
    <cacheField name="Column9678" numFmtId="0">
      <sharedItems containsNonDate="0" containsString="0" containsBlank="1"/>
    </cacheField>
    <cacheField name="Column9679" numFmtId="0">
      <sharedItems containsNonDate="0" containsString="0" containsBlank="1"/>
    </cacheField>
    <cacheField name="Column9680" numFmtId="0">
      <sharedItems containsNonDate="0" containsString="0" containsBlank="1"/>
    </cacheField>
    <cacheField name="Column9681" numFmtId="0">
      <sharedItems containsNonDate="0" containsString="0" containsBlank="1"/>
    </cacheField>
    <cacheField name="Column9682" numFmtId="0">
      <sharedItems containsNonDate="0" containsString="0" containsBlank="1"/>
    </cacheField>
    <cacheField name="Column9683" numFmtId="0">
      <sharedItems containsNonDate="0" containsString="0" containsBlank="1"/>
    </cacheField>
    <cacheField name="Column9684" numFmtId="0">
      <sharedItems containsNonDate="0" containsString="0" containsBlank="1"/>
    </cacheField>
    <cacheField name="Column9685" numFmtId="0">
      <sharedItems containsNonDate="0" containsString="0" containsBlank="1"/>
    </cacheField>
    <cacheField name="Column9686" numFmtId="0">
      <sharedItems containsNonDate="0" containsString="0" containsBlank="1"/>
    </cacheField>
    <cacheField name="Column9687" numFmtId="0">
      <sharedItems containsNonDate="0" containsString="0" containsBlank="1"/>
    </cacheField>
    <cacheField name="Column9688" numFmtId="0">
      <sharedItems containsNonDate="0" containsString="0" containsBlank="1"/>
    </cacheField>
    <cacheField name="Column9689" numFmtId="0">
      <sharedItems containsNonDate="0" containsString="0" containsBlank="1"/>
    </cacheField>
    <cacheField name="Column9690" numFmtId="0">
      <sharedItems containsNonDate="0" containsString="0" containsBlank="1"/>
    </cacheField>
    <cacheField name="Column9691" numFmtId="0">
      <sharedItems containsNonDate="0" containsString="0" containsBlank="1"/>
    </cacheField>
    <cacheField name="Column9692" numFmtId="0">
      <sharedItems containsNonDate="0" containsString="0" containsBlank="1"/>
    </cacheField>
    <cacheField name="Column9693" numFmtId="0">
      <sharedItems containsNonDate="0" containsString="0" containsBlank="1"/>
    </cacheField>
    <cacheField name="Column9694" numFmtId="0">
      <sharedItems containsNonDate="0" containsString="0" containsBlank="1"/>
    </cacheField>
    <cacheField name="Column9695" numFmtId="0">
      <sharedItems containsNonDate="0" containsString="0" containsBlank="1"/>
    </cacheField>
    <cacheField name="Column9696" numFmtId="0">
      <sharedItems containsNonDate="0" containsString="0" containsBlank="1"/>
    </cacheField>
    <cacheField name="Column9697" numFmtId="0">
      <sharedItems containsNonDate="0" containsString="0" containsBlank="1"/>
    </cacheField>
    <cacheField name="Column9698" numFmtId="0">
      <sharedItems containsNonDate="0" containsString="0" containsBlank="1"/>
    </cacheField>
    <cacheField name="Column9699" numFmtId="0">
      <sharedItems containsNonDate="0" containsString="0" containsBlank="1"/>
    </cacheField>
    <cacheField name="Column9700" numFmtId="0">
      <sharedItems containsNonDate="0" containsString="0" containsBlank="1"/>
    </cacheField>
    <cacheField name="Column9701" numFmtId="0">
      <sharedItems containsNonDate="0" containsString="0" containsBlank="1"/>
    </cacheField>
    <cacheField name="Column9702" numFmtId="0">
      <sharedItems containsNonDate="0" containsString="0" containsBlank="1"/>
    </cacheField>
    <cacheField name="Column9703" numFmtId="0">
      <sharedItems containsNonDate="0" containsString="0" containsBlank="1"/>
    </cacheField>
    <cacheField name="Column9704" numFmtId="0">
      <sharedItems containsNonDate="0" containsString="0" containsBlank="1"/>
    </cacheField>
    <cacheField name="Column9705" numFmtId="0">
      <sharedItems containsNonDate="0" containsString="0" containsBlank="1"/>
    </cacheField>
    <cacheField name="Column9706" numFmtId="0">
      <sharedItems containsNonDate="0" containsString="0" containsBlank="1"/>
    </cacheField>
    <cacheField name="Column9707" numFmtId="0">
      <sharedItems containsNonDate="0" containsString="0" containsBlank="1"/>
    </cacheField>
    <cacheField name="Column9708" numFmtId="0">
      <sharedItems containsNonDate="0" containsString="0" containsBlank="1"/>
    </cacheField>
    <cacheField name="Column9709" numFmtId="0">
      <sharedItems containsNonDate="0" containsString="0" containsBlank="1"/>
    </cacheField>
    <cacheField name="Column9710" numFmtId="0">
      <sharedItems containsNonDate="0" containsString="0" containsBlank="1"/>
    </cacheField>
    <cacheField name="Column9711" numFmtId="0">
      <sharedItems containsNonDate="0" containsString="0" containsBlank="1"/>
    </cacheField>
    <cacheField name="Column9712" numFmtId="0">
      <sharedItems containsNonDate="0" containsString="0" containsBlank="1"/>
    </cacheField>
    <cacheField name="Column9713" numFmtId="0">
      <sharedItems containsNonDate="0" containsString="0" containsBlank="1"/>
    </cacheField>
    <cacheField name="Column9714" numFmtId="0">
      <sharedItems containsNonDate="0" containsString="0" containsBlank="1"/>
    </cacheField>
    <cacheField name="Column9715" numFmtId="0">
      <sharedItems containsNonDate="0" containsString="0" containsBlank="1"/>
    </cacheField>
    <cacheField name="Column9716" numFmtId="0">
      <sharedItems containsNonDate="0" containsString="0" containsBlank="1"/>
    </cacheField>
    <cacheField name="Column9717" numFmtId="0">
      <sharedItems containsNonDate="0" containsString="0" containsBlank="1"/>
    </cacheField>
    <cacheField name="Column9718" numFmtId="0">
      <sharedItems containsNonDate="0" containsString="0" containsBlank="1"/>
    </cacheField>
    <cacheField name="Column9719" numFmtId="0">
      <sharedItems containsNonDate="0" containsString="0" containsBlank="1"/>
    </cacheField>
    <cacheField name="Column9720" numFmtId="0">
      <sharedItems containsNonDate="0" containsString="0" containsBlank="1"/>
    </cacheField>
    <cacheField name="Column9721" numFmtId="0">
      <sharedItems containsNonDate="0" containsString="0" containsBlank="1"/>
    </cacheField>
    <cacheField name="Column9722" numFmtId="0">
      <sharedItems containsNonDate="0" containsString="0" containsBlank="1"/>
    </cacheField>
    <cacheField name="Column9723" numFmtId="0">
      <sharedItems containsNonDate="0" containsString="0" containsBlank="1"/>
    </cacheField>
    <cacheField name="Column9724" numFmtId="0">
      <sharedItems containsNonDate="0" containsString="0" containsBlank="1"/>
    </cacheField>
    <cacheField name="Column9725" numFmtId="0">
      <sharedItems containsNonDate="0" containsString="0" containsBlank="1"/>
    </cacheField>
    <cacheField name="Column9726" numFmtId="0">
      <sharedItems containsNonDate="0" containsString="0" containsBlank="1"/>
    </cacheField>
    <cacheField name="Column9727" numFmtId="0">
      <sharedItems containsNonDate="0" containsString="0" containsBlank="1"/>
    </cacheField>
    <cacheField name="Column9728" numFmtId="0">
      <sharedItems containsNonDate="0" containsString="0" containsBlank="1"/>
    </cacheField>
    <cacheField name="Column9729" numFmtId="0">
      <sharedItems containsNonDate="0" containsString="0" containsBlank="1"/>
    </cacheField>
    <cacheField name="Column9730" numFmtId="0">
      <sharedItems containsNonDate="0" containsString="0" containsBlank="1"/>
    </cacheField>
    <cacheField name="Column9731" numFmtId="0">
      <sharedItems containsNonDate="0" containsString="0" containsBlank="1"/>
    </cacheField>
    <cacheField name="Column9732" numFmtId="0">
      <sharedItems containsNonDate="0" containsString="0" containsBlank="1"/>
    </cacheField>
    <cacheField name="Column9733" numFmtId="0">
      <sharedItems containsNonDate="0" containsString="0" containsBlank="1"/>
    </cacheField>
    <cacheField name="Column9734" numFmtId="0">
      <sharedItems containsNonDate="0" containsString="0" containsBlank="1"/>
    </cacheField>
    <cacheField name="Column9735" numFmtId="0">
      <sharedItems containsNonDate="0" containsString="0" containsBlank="1"/>
    </cacheField>
    <cacheField name="Column9736" numFmtId="0">
      <sharedItems containsNonDate="0" containsString="0" containsBlank="1"/>
    </cacheField>
    <cacheField name="Column9737" numFmtId="0">
      <sharedItems containsNonDate="0" containsString="0" containsBlank="1"/>
    </cacheField>
    <cacheField name="Column9738" numFmtId="0">
      <sharedItems containsNonDate="0" containsString="0" containsBlank="1"/>
    </cacheField>
    <cacheField name="Column9739" numFmtId="0">
      <sharedItems containsNonDate="0" containsString="0" containsBlank="1"/>
    </cacheField>
    <cacheField name="Column9740" numFmtId="0">
      <sharedItems containsNonDate="0" containsString="0" containsBlank="1"/>
    </cacheField>
    <cacheField name="Column9741" numFmtId="0">
      <sharedItems containsNonDate="0" containsString="0" containsBlank="1"/>
    </cacheField>
    <cacheField name="Column9742" numFmtId="0">
      <sharedItems containsNonDate="0" containsString="0" containsBlank="1"/>
    </cacheField>
    <cacheField name="Column9743" numFmtId="0">
      <sharedItems containsNonDate="0" containsString="0" containsBlank="1"/>
    </cacheField>
    <cacheField name="Column9744" numFmtId="0">
      <sharedItems containsNonDate="0" containsString="0" containsBlank="1"/>
    </cacheField>
    <cacheField name="Column9745" numFmtId="0">
      <sharedItems containsNonDate="0" containsString="0" containsBlank="1"/>
    </cacheField>
    <cacheField name="Column9746" numFmtId="0">
      <sharedItems containsNonDate="0" containsString="0" containsBlank="1"/>
    </cacheField>
    <cacheField name="Column9747" numFmtId="0">
      <sharedItems containsNonDate="0" containsString="0" containsBlank="1"/>
    </cacheField>
    <cacheField name="Column9748" numFmtId="0">
      <sharedItems containsNonDate="0" containsString="0" containsBlank="1"/>
    </cacheField>
    <cacheField name="Column9749" numFmtId="0">
      <sharedItems containsNonDate="0" containsString="0" containsBlank="1"/>
    </cacheField>
    <cacheField name="Column9750" numFmtId="0">
      <sharedItems containsNonDate="0" containsString="0" containsBlank="1"/>
    </cacheField>
    <cacheField name="Column9751" numFmtId="0">
      <sharedItems containsNonDate="0" containsString="0" containsBlank="1"/>
    </cacheField>
    <cacheField name="Column9752" numFmtId="0">
      <sharedItems containsNonDate="0" containsString="0" containsBlank="1"/>
    </cacheField>
    <cacheField name="Column9753" numFmtId="0">
      <sharedItems containsNonDate="0" containsString="0" containsBlank="1"/>
    </cacheField>
    <cacheField name="Column9754" numFmtId="0">
      <sharedItems containsNonDate="0" containsString="0" containsBlank="1"/>
    </cacheField>
    <cacheField name="Column9755" numFmtId="0">
      <sharedItems containsNonDate="0" containsString="0" containsBlank="1"/>
    </cacheField>
    <cacheField name="Column9756" numFmtId="0">
      <sharedItems containsNonDate="0" containsString="0" containsBlank="1"/>
    </cacheField>
    <cacheField name="Column9757" numFmtId="0">
      <sharedItems containsNonDate="0" containsString="0" containsBlank="1"/>
    </cacheField>
    <cacheField name="Column9758" numFmtId="0">
      <sharedItems containsNonDate="0" containsString="0" containsBlank="1"/>
    </cacheField>
    <cacheField name="Column9759" numFmtId="0">
      <sharedItems containsNonDate="0" containsString="0" containsBlank="1"/>
    </cacheField>
    <cacheField name="Column9760" numFmtId="0">
      <sharedItems containsNonDate="0" containsString="0" containsBlank="1"/>
    </cacheField>
    <cacheField name="Column9761" numFmtId="0">
      <sharedItems containsNonDate="0" containsString="0" containsBlank="1"/>
    </cacheField>
    <cacheField name="Column9762" numFmtId="0">
      <sharedItems containsNonDate="0" containsString="0" containsBlank="1"/>
    </cacheField>
    <cacheField name="Column9763" numFmtId="0">
      <sharedItems containsNonDate="0" containsString="0" containsBlank="1"/>
    </cacheField>
    <cacheField name="Column9764" numFmtId="0">
      <sharedItems containsNonDate="0" containsString="0" containsBlank="1"/>
    </cacheField>
    <cacheField name="Column9765" numFmtId="0">
      <sharedItems containsNonDate="0" containsString="0" containsBlank="1"/>
    </cacheField>
    <cacheField name="Column9766" numFmtId="0">
      <sharedItems containsNonDate="0" containsString="0" containsBlank="1"/>
    </cacheField>
    <cacheField name="Column9767" numFmtId="0">
      <sharedItems containsNonDate="0" containsString="0" containsBlank="1"/>
    </cacheField>
    <cacheField name="Column9768" numFmtId="0">
      <sharedItems containsNonDate="0" containsString="0" containsBlank="1"/>
    </cacheField>
    <cacheField name="Column9769" numFmtId="0">
      <sharedItems containsNonDate="0" containsString="0" containsBlank="1"/>
    </cacheField>
    <cacheField name="Column9770" numFmtId="0">
      <sharedItems containsNonDate="0" containsString="0" containsBlank="1"/>
    </cacheField>
    <cacheField name="Column9771" numFmtId="0">
      <sharedItems containsNonDate="0" containsString="0" containsBlank="1"/>
    </cacheField>
    <cacheField name="Column9772" numFmtId="0">
      <sharedItems containsNonDate="0" containsString="0" containsBlank="1"/>
    </cacheField>
    <cacheField name="Column9773" numFmtId="0">
      <sharedItems containsNonDate="0" containsString="0" containsBlank="1"/>
    </cacheField>
    <cacheField name="Column9774" numFmtId="0">
      <sharedItems containsNonDate="0" containsString="0" containsBlank="1"/>
    </cacheField>
    <cacheField name="Column9775" numFmtId="0">
      <sharedItems containsNonDate="0" containsString="0" containsBlank="1"/>
    </cacheField>
    <cacheField name="Column9776" numFmtId="0">
      <sharedItems containsNonDate="0" containsString="0" containsBlank="1"/>
    </cacheField>
    <cacheField name="Column9777" numFmtId="0">
      <sharedItems containsNonDate="0" containsString="0" containsBlank="1"/>
    </cacheField>
    <cacheField name="Column9778" numFmtId="0">
      <sharedItems containsNonDate="0" containsString="0" containsBlank="1"/>
    </cacheField>
    <cacheField name="Column9779" numFmtId="0">
      <sharedItems containsNonDate="0" containsString="0" containsBlank="1"/>
    </cacheField>
    <cacheField name="Column9780" numFmtId="0">
      <sharedItems containsNonDate="0" containsString="0" containsBlank="1"/>
    </cacheField>
    <cacheField name="Column9781" numFmtId="0">
      <sharedItems containsNonDate="0" containsString="0" containsBlank="1"/>
    </cacheField>
    <cacheField name="Column9782" numFmtId="0">
      <sharedItems containsNonDate="0" containsString="0" containsBlank="1"/>
    </cacheField>
    <cacheField name="Column9783" numFmtId="0">
      <sharedItems containsNonDate="0" containsString="0" containsBlank="1"/>
    </cacheField>
    <cacheField name="Column9784" numFmtId="0">
      <sharedItems containsNonDate="0" containsString="0" containsBlank="1"/>
    </cacheField>
    <cacheField name="Column9785" numFmtId="0">
      <sharedItems containsNonDate="0" containsString="0" containsBlank="1"/>
    </cacheField>
    <cacheField name="Column9786" numFmtId="0">
      <sharedItems containsNonDate="0" containsString="0" containsBlank="1"/>
    </cacheField>
    <cacheField name="Column9787" numFmtId="0">
      <sharedItems containsNonDate="0" containsString="0" containsBlank="1"/>
    </cacheField>
    <cacheField name="Column9788" numFmtId="0">
      <sharedItems containsNonDate="0" containsString="0" containsBlank="1"/>
    </cacheField>
    <cacheField name="Column9789" numFmtId="0">
      <sharedItems containsNonDate="0" containsString="0" containsBlank="1"/>
    </cacheField>
    <cacheField name="Column9790" numFmtId="0">
      <sharedItems containsNonDate="0" containsString="0" containsBlank="1"/>
    </cacheField>
    <cacheField name="Column9791" numFmtId="0">
      <sharedItems containsNonDate="0" containsString="0" containsBlank="1"/>
    </cacheField>
    <cacheField name="Column9792" numFmtId="0">
      <sharedItems containsNonDate="0" containsString="0" containsBlank="1"/>
    </cacheField>
    <cacheField name="Column9793" numFmtId="0">
      <sharedItems containsNonDate="0" containsString="0" containsBlank="1"/>
    </cacheField>
    <cacheField name="Column9794" numFmtId="0">
      <sharedItems containsNonDate="0" containsString="0" containsBlank="1"/>
    </cacheField>
    <cacheField name="Column9795" numFmtId="0">
      <sharedItems containsNonDate="0" containsString="0" containsBlank="1"/>
    </cacheField>
    <cacheField name="Column9796" numFmtId="0">
      <sharedItems containsNonDate="0" containsString="0" containsBlank="1"/>
    </cacheField>
    <cacheField name="Column9797" numFmtId="0">
      <sharedItems containsNonDate="0" containsString="0" containsBlank="1"/>
    </cacheField>
    <cacheField name="Column9798" numFmtId="0">
      <sharedItems containsNonDate="0" containsString="0" containsBlank="1"/>
    </cacheField>
    <cacheField name="Column9799" numFmtId="0">
      <sharedItems containsNonDate="0" containsString="0" containsBlank="1"/>
    </cacheField>
    <cacheField name="Column9800" numFmtId="0">
      <sharedItems containsNonDate="0" containsString="0" containsBlank="1"/>
    </cacheField>
    <cacheField name="Column9801" numFmtId="0">
      <sharedItems containsNonDate="0" containsString="0" containsBlank="1"/>
    </cacheField>
    <cacheField name="Column9802" numFmtId="0">
      <sharedItems containsNonDate="0" containsString="0" containsBlank="1"/>
    </cacheField>
    <cacheField name="Column9803" numFmtId="0">
      <sharedItems containsNonDate="0" containsString="0" containsBlank="1"/>
    </cacheField>
    <cacheField name="Column9804" numFmtId="0">
      <sharedItems containsNonDate="0" containsString="0" containsBlank="1"/>
    </cacheField>
    <cacheField name="Column9805" numFmtId="0">
      <sharedItems containsNonDate="0" containsString="0" containsBlank="1"/>
    </cacheField>
    <cacheField name="Column9806" numFmtId="0">
      <sharedItems containsNonDate="0" containsString="0" containsBlank="1"/>
    </cacheField>
    <cacheField name="Column9807" numFmtId="0">
      <sharedItems containsNonDate="0" containsString="0" containsBlank="1"/>
    </cacheField>
    <cacheField name="Column9808" numFmtId="0">
      <sharedItems containsNonDate="0" containsString="0" containsBlank="1"/>
    </cacheField>
    <cacheField name="Column9809" numFmtId="0">
      <sharedItems containsNonDate="0" containsString="0" containsBlank="1"/>
    </cacheField>
    <cacheField name="Column9810" numFmtId="0">
      <sharedItems containsNonDate="0" containsString="0" containsBlank="1"/>
    </cacheField>
    <cacheField name="Column9811" numFmtId="0">
      <sharedItems containsNonDate="0" containsString="0" containsBlank="1"/>
    </cacheField>
    <cacheField name="Column9812" numFmtId="0">
      <sharedItems containsNonDate="0" containsString="0" containsBlank="1"/>
    </cacheField>
    <cacheField name="Column9813" numFmtId="0">
      <sharedItems containsNonDate="0" containsString="0" containsBlank="1"/>
    </cacheField>
    <cacheField name="Column9814" numFmtId="0">
      <sharedItems containsNonDate="0" containsString="0" containsBlank="1"/>
    </cacheField>
    <cacheField name="Column9815" numFmtId="0">
      <sharedItems containsNonDate="0" containsString="0" containsBlank="1"/>
    </cacheField>
    <cacheField name="Column9816" numFmtId="0">
      <sharedItems containsNonDate="0" containsString="0" containsBlank="1"/>
    </cacheField>
    <cacheField name="Column9817" numFmtId="0">
      <sharedItems containsNonDate="0" containsString="0" containsBlank="1"/>
    </cacheField>
    <cacheField name="Column9818" numFmtId="0">
      <sharedItems containsNonDate="0" containsString="0" containsBlank="1"/>
    </cacheField>
    <cacheField name="Column9819" numFmtId="0">
      <sharedItems containsNonDate="0" containsString="0" containsBlank="1"/>
    </cacheField>
    <cacheField name="Column9820" numFmtId="0">
      <sharedItems containsNonDate="0" containsString="0" containsBlank="1"/>
    </cacheField>
    <cacheField name="Column9821" numFmtId="0">
      <sharedItems containsNonDate="0" containsString="0" containsBlank="1"/>
    </cacheField>
    <cacheField name="Column9822" numFmtId="0">
      <sharedItems containsNonDate="0" containsString="0" containsBlank="1"/>
    </cacheField>
    <cacheField name="Column9823" numFmtId="0">
      <sharedItems containsNonDate="0" containsString="0" containsBlank="1"/>
    </cacheField>
    <cacheField name="Column9824" numFmtId="0">
      <sharedItems containsNonDate="0" containsString="0" containsBlank="1"/>
    </cacheField>
    <cacheField name="Column9825" numFmtId="0">
      <sharedItems containsNonDate="0" containsString="0" containsBlank="1"/>
    </cacheField>
    <cacheField name="Column9826" numFmtId="0">
      <sharedItems containsNonDate="0" containsString="0" containsBlank="1"/>
    </cacheField>
    <cacheField name="Column9827" numFmtId="0">
      <sharedItems containsNonDate="0" containsString="0" containsBlank="1"/>
    </cacheField>
    <cacheField name="Column9828" numFmtId="0">
      <sharedItems containsNonDate="0" containsString="0" containsBlank="1"/>
    </cacheField>
    <cacheField name="Column9829" numFmtId="0">
      <sharedItems containsNonDate="0" containsString="0" containsBlank="1"/>
    </cacheField>
    <cacheField name="Column9830" numFmtId="0">
      <sharedItems containsNonDate="0" containsString="0" containsBlank="1"/>
    </cacheField>
    <cacheField name="Column9831" numFmtId="0">
      <sharedItems containsNonDate="0" containsString="0" containsBlank="1"/>
    </cacheField>
    <cacheField name="Column9832" numFmtId="0">
      <sharedItems containsNonDate="0" containsString="0" containsBlank="1"/>
    </cacheField>
    <cacheField name="Column9833" numFmtId="0">
      <sharedItems containsNonDate="0" containsString="0" containsBlank="1"/>
    </cacheField>
    <cacheField name="Column9834" numFmtId="0">
      <sharedItems containsNonDate="0" containsString="0" containsBlank="1"/>
    </cacheField>
    <cacheField name="Column9835" numFmtId="0">
      <sharedItems containsNonDate="0" containsString="0" containsBlank="1"/>
    </cacheField>
    <cacheField name="Column9836" numFmtId="0">
      <sharedItems containsNonDate="0" containsString="0" containsBlank="1"/>
    </cacheField>
    <cacheField name="Column9837" numFmtId="0">
      <sharedItems containsNonDate="0" containsString="0" containsBlank="1"/>
    </cacheField>
    <cacheField name="Column9838" numFmtId="0">
      <sharedItems containsNonDate="0" containsString="0" containsBlank="1"/>
    </cacheField>
    <cacheField name="Column9839" numFmtId="0">
      <sharedItems containsNonDate="0" containsString="0" containsBlank="1"/>
    </cacheField>
    <cacheField name="Column9840" numFmtId="0">
      <sharedItems containsNonDate="0" containsString="0" containsBlank="1"/>
    </cacheField>
    <cacheField name="Column9841" numFmtId="0">
      <sharedItems containsNonDate="0" containsString="0" containsBlank="1"/>
    </cacheField>
    <cacheField name="Column9842" numFmtId="0">
      <sharedItems containsNonDate="0" containsString="0" containsBlank="1"/>
    </cacheField>
    <cacheField name="Column9843" numFmtId="0">
      <sharedItems containsNonDate="0" containsString="0" containsBlank="1"/>
    </cacheField>
    <cacheField name="Column9844" numFmtId="0">
      <sharedItems containsNonDate="0" containsString="0" containsBlank="1"/>
    </cacheField>
    <cacheField name="Column9845" numFmtId="0">
      <sharedItems containsNonDate="0" containsString="0" containsBlank="1"/>
    </cacheField>
    <cacheField name="Column9846" numFmtId="0">
      <sharedItems containsNonDate="0" containsString="0" containsBlank="1"/>
    </cacheField>
    <cacheField name="Column9847" numFmtId="0">
      <sharedItems containsNonDate="0" containsString="0" containsBlank="1"/>
    </cacheField>
    <cacheField name="Column9848" numFmtId="0">
      <sharedItems containsNonDate="0" containsString="0" containsBlank="1"/>
    </cacheField>
    <cacheField name="Column9849" numFmtId="0">
      <sharedItems containsNonDate="0" containsString="0" containsBlank="1"/>
    </cacheField>
    <cacheField name="Column9850" numFmtId="0">
      <sharedItems containsNonDate="0" containsString="0" containsBlank="1"/>
    </cacheField>
    <cacheField name="Column9851" numFmtId="0">
      <sharedItems containsNonDate="0" containsString="0" containsBlank="1"/>
    </cacheField>
    <cacheField name="Column9852" numFmtId="0">
      <sharedItems containsNonDate="0" containsString="0" containsBlank="1"/>
    </cacheField>
    <cacheField name="Column9853" numFmtId="0">
      <sharedItems containsNonDate="0" containsString="0" containsBlank="1"/>
    </cacheField>
    <cacheField name="Column9854" numFmtId="0">
      <sharedItems containsNonDate="0" containsString="0" containsBlank="1"/>
    </cacheField>
    <cacheField name="Column9855" numFmtId="0">
      <sharedItems containsNonDate="0" containsString="0" containsBlank="1"/>
    </cacheField>
    <cacheField name="Column9856" numFmtId="0">
      <sharedItems containsNonDate="0" containsString="0" containsBlank="1"/>
    </cacheField>
    <cacheField name="Column9857" numFmtId="0">
      <sharedItems containsNonDate="0" containsString="0" containsBlank="1"/>
    </cacheField>
    <cacheField name="Column9858" numFmtId="0">
      <sharedItems containsNonDate="0" containsString="0" containsBlank="1"/>
    </cacheField>
    <cacheField name="Column9859" numFmtId="0">
      <sharedItems containsNonDate="0" containsString="0" containsBlank="1"/>
    </cacheField>
    <cacheField name="Column9860" numFmtId="0">
      <sharedItems containsNonDate="0" containsString="0" containsBlank="1"/>
    </cacheField>
    <cacheField name="Column9861" numFmtId="0">
      <sharedItems containsNonDate="0" containsString="0" containsBlank="1"/>
    </cacheField>
    <cacheField name="Column9862" numFmtId="0">
      <sharedItems containsNonDate="0" containsString="0" containsBlank="1"/>
    </cacheField>
    <cacheField name="Column9863" numFmtId="0">
      <sharedItems containsNonDate="0" containsString="0" containsBlank="1"/>
    </cacheField>
    <cacheField name="Column9864" numFmtId="0">
      <sharedItems containsNonDate="0" containsString="0" containsBlank="1"/>
    </cacheField>
    <cacheField name="Column9865" numFmtId="0">
      <sharedItems containsNonDate="0" containsString="0" containsBlank="1"/>
    </cacheField>
    <cacheField name="Column9866" numFmtId="0">
      <sharedItems containsNonDate="0" containsString="0" containsBlank="1"/>
    </cacheField>
    <cacheField name="Column9867" numFmtId="0">
      <sharedItems containsNonDate="0" containsString="0" containsBlank="1"/>
    </cacheField>
    <cacheField name="Column9868" numFmtId="0">
      <sharedItems containsNonDate="0" containsString="0" containsBlank="1"/>
    </cacheField>
    <cacheField name="Column9869" numFmtId="0">
      <sharedItems containsNonDate="0" containsString="0" containsBlank="1"/>
    </cacheField>
    <cacheField name="Column9870" numFmtId="0">
      <sharedItems containsNonDate="0" containsString="0" containsBlank="1"/>
    </cacheField>
    <cacheField name="Column9871" numFmtId="0">
      <sharedItems containsNonDate="0" containsString="0" containsBlank="1"/>
    </cacheField>
    <cacheField name="Column9872" numFmtId="0">
      <sharedItems containsNonDate="0" containsString="0" containsBlank="1"/>
    </cacheField>
    <cacheField name="Column9873" numFmtId="0">
      <sharedItems containsNonDate="0" containsString="0" containsBlank="1"/>
    </cacheField>
    <cacheField name="Column9874" numFmtId="0">
      <sharedItems containsNonDate="0" containsString="0" containsBlank="1"/>
    </cacheField>
    <cacheField name="Column9875" numFmtId="0">
      <sharedItems containsNonDate="0" containsString="0" containsBlank="1"/>
    </cacheField>
    <cacheField name="Column9876" numFmtId="0">
      <sharedItems containsNonDate="0" containsString="0" containsBlank="1"/>
    </cacheField>
    <cacheField name="Column9877" numFmtId="0">
      <sharedItems containsNonDate="0" containsString="0" containsBlank="1"/>
    </cacheField>
    <cacheField name="Column9878" numFmtId="0">
      <sharedItems containsNonDate="0" containsString="0" containsBlank="1"/>
    </cacheField>
    <cacheField name="Column9879" numFmtId="0">
      <sharedItems containsNonDate="0" containsString="0" containsBlank="1"/>
    </cacheField>
    <cacheField name="Column9880" numFmtId="0">
      <sharedItems containsNonDate="0" containsString="0" containsBlank="1"/>
    </cacheField>
    <cacheField name="Column9881" numFmtId="0">
      <sharedItems containsNonDate="0" containsString="0" containsBlank="1"/>
    </cacheField>
    <cacheField name="Column9882" numFmtId="0">
      <sharedItems containsNonDate="0" containsString="0" containsBlank="1"/>
    </cacheField>
    <cacheField name="Column9883" numFmtId="0">
      <sharedItems containsNonDate="0" containsString="0" containsBlank="1"/>
    </cacheField>
    <cacheField name="Column9884" numFmtId="0">
      <sharedItems containsNonDate="0" containsString="0" containsBlank="1"/>
    </cacheField>
    <cacheField name="Column9885" numFmtId="0">
      <sharedItems containsNonDate="0" containsString="0" containsBlank="1"/>
    </cacheField>
    <cacheField name="Column9886" numFmtId="0">
      <sharedItems containsNonDate="0" containsString="0" containsBlank="1"/>
    </cacheField>
    <cacheField name="Column9887" numFmtId="0">
      <sharedItems containsNonDate="0" containsString="0" containsBlank="1"/>
    </cacheField>
    <cacheField name="Column9888" numFmtId="0">
      <sharedItems containsNonDate="0" containsString="0" containsBlank="1"/>
    </cacheField>
    <cacheField name="Column9889" numFmtId="0">
      <sharedItems containsNonDate="0" containsString="0" containsBlank="1"/>
    </cacheField>
    <cacheField name="Column9890" numFmtId="0">
      <sharedItems containsNonDate="0" containsString="0" containsBlank="1"/>
    </cacheField>
    <cacheField name="Column9891" numFmtId="0">
      <sharedItems containsNonDate="0" containsString="0" containsBlank="1"/>
    </cacheField>
    <cacheField name="Column9892" numFmtId="0">
      <sharedItems containsNonDate="0" containsString="0" containsBlank="1"/>
    </cacheField>
    <cacheField name="Column9893" numFmtId="0">
      <sharedItems containsNonDate="0" containsString="0" containsBlank="1"/>
    </cacheField>
    <cacheField name="Column9894" numFmtId="0">
      <sharedItems containsNonDate="0" containsString="0" containsBlank="1"/>
    </cacheField>
    <cacheField name="Column9895" numFmtId="0">
      <sharedItems containsNonDate="0" containsString="0" containsBlank="1"/>
    </cacheField>
    <cacheField name="Column9896" numFmtId="0">
      <sharedItems containsNonDate="0" containsString="0" containsBlank="1"/>
    </cacheField>
    <cacheField name="Column9897" numFmtId="0">
      <sharedItems containsNonDate="0" containsString="0" containsBlank="1"/>
    </cacheField>
    <cacheField name="Column9898" numFmtId="0">
      <sharedItems containsNonDate="0" containsString="0" containsBlank="1"/>
    </cacheField>
    <cacheField name="Column9899" numFmtId="0">
      <sharedItems containsNonDate="0" containsString="0" containsBlank="1"/>
    </cacheField>
    <cacheField name="Column9900" numFmtId="0">
      <sharedItems containsNonDate="0" containsString="0" containsBlank="1"/>
    </cacheField>
    <cacheField name="Column9901" numFmtId="0">
      <sharedItems containsNonDate="0" containsString="0" containsBlank="1"/>
    </cacheField>
    <cacheField name="Column9902" numFmtId="0">
      <sharedItems containsNonDate="0" containsString="0" containsBlank="1"/>
    </cacheField>
    <cacheField name="Column9903" numFmtId="0">
      <sharedItems containsNonDate="0" containsString="0" containsBlank="1"/>
    </cacheField>
    <cacheField name="Column9904" numFmtId="0">
      <sharedItems containsNonDate="0" containsString="0" containsBlank="1"/>
    </cacheField>
    <cacheField name="Column9905" numFmtId="0">
      <sharedItems containsNonDate="0" containsString="0" containsBlank="1"/>
    </cacheField>
    <cacheField name="Column9906" numFmtId="0">
      <sharedItems containsNonDate="0" containsString="0" containsBlank="1"/>
    </cacheField>
    <cacheField name="Column9907" numFmtId="0">
      <sharedItems containsNonDate="0" containsString="0" containsBlank="1"/>
    </cacheField>
    <cacheField name="Column9908" numFmtId="0">
      <sharedItems containsNonDate="0" containsString="0" containsBlank="1"/>
    </cacheField>
    <cacheField name="Column9909" numFmtId="0">
      <sharedItems containsNonDate="0" containsString="0" containsBlank="1"/>
    </cacheField>
    <cacheField name="Column9910" numFmtId="0">
      <sharedItems containsNonDate="0" containsString="0" containsBlank="1"/>
    </cacheField>
    <cacheField name="Column9911" numFmtId="0">
      <sharedItems containsNonDate="0" containsString="0" containsBlank="1"/>
    </cacheField>
    <cacheField name="Column9912" numFmtId="0">
      <sharedItems containsNonDate="0" containsString="0" containsBlank="1"/>
    </cacheField>
    <cacheField name="Column9913" numFmtId="0">
      <sharedItems containsNonDate="0" containsString="0" containsBlank="1"/>
    </cacheField>
    <cacheField name="Column9914" numFmtId="0">
      <sharedItems containsNonDate="0" containsString="0" containsBlank="1"/>
    </cacheField>
    <cacheField name="Column9915" numFmtId="0">
      <sharedItems containsNonDate="0" containsString="0" containsBlank="1"/>
    </cacheField>
    <cacheField name="Column9916" numFmtId="0">
      <sharedItems containsNonDate="0" containsString="0" containsBlank="1"/>
    </cacheField>
    <cacheField name="Column9917" numFmtId="0">
      <sharedItems containsNonDate="0" containsString="0" containsBlank="1"/>
    </cacheField>
    <cacheField name="Column9918" numFmtId="0">
      <sharedItems containsNonDate="0" containsString="0" containsBlank="1"/>
    </cacheField>
    <cacheField name="Column9919" numFmtId="0">
      <sharedItems containsNonDate="0" containsString="0" containsBlank="1"/>
    </cacheField>
    <cacheField name="Column9920" numFmtId="0">
      <sharedItems containsNonDate="0" containsString="0" containsBlank="1"/>
    </cacheField>
    <cacheField name="Column9921" numFmtId="0">
      <sharedItems containsNonDate="0" containsString="0" containsBlank="1"/>
    </cacheField>
    <cacheField name="Column9922" numFmtId="0">
      <sharedItems containsNonDate="0" containsString="0" containsBlank="1"/>
    </cacheField>
    <cacheField name="Column9923" numFmtId="0">
      <sharedItems containsNonDate="0" containsString="0" containsBlank="1"/>
    </cacheField>
    <cacheField name="Column9924" numFmtId="0">
      <sharedItems containsNonDate="0" containsString="0" containsBlank="1"/>
    </cacheField>
    <cacheField name="Column9925" numFmtId="0">
      <sharedItems containsNonDate="0" containsString="0" containsBlank="1"/>
    </cacheField>
    <cacheField name="Column9926" numFmtId="0">
      <sharedItems containsNonDate="0" containsString="0" containsBlank="1"/>
    </cacheField>
    <cacheField name="Column9927" numFmtId="0">
      <sharedItems containsNonDate="0" containsString="0" containsBlank="1"/>
    </cacheField>
    <cacheField name="Column9928" numFmtId="0">
      <sharedItems containsNonDate="0" containsString="0" containsBlank="1"/>
    </cacheField>
    <cacheField name="Column9929" numFmtId="0">
      <sharedItems containsNonDate="0" containsString="0" containsBlank="1"/>
    </cacheField>
    <cacheField name="Column9930" numFmtId="0">
      <sharedItems containsNonDate="0" containsString="0" containsBlank="1"/>
    </cacheField>
    <cacheField name="Column9931" numFmtId="0">
      <sharedItems containsNonDate="0" containsString="0" containsBlank="1"/>
    </cacheField>
    <cacheField name="Column9932" numFmtId="0">
      <sharedItems containsNonDate="0" containsString="0" containsBlank="1"/>
    </cacheField>
    <cacheField name="Column9933" numFmtId="0">
      <sharedItems containsNonDate="0" containsString="0" containsBlank="1"/>
    </cacheField>
    <cacheField name="Column9934" numFmtId="0">
      <sharedItems containsNonDate="0" containsString="0" containsBlank="1"/>
    </cacheField>
    <cacheField name="Column9935" numFmtId="0">
      <sharedItems containsNonDate="0" containsString="0" containsBlank="1"/>
    </cacheField>
    <cacheField name="Column9936" numFmtId="0">
      <sharedItems containsNonDate="0" containsString="0" containsBlank="1"/>
    </cacheField>
    <cacheField name="Column9937" numFmtId="0">
      <sharedItems containsNonDate="0" containsString="0" containsBlank="1"/>
    </cacheField>
    <cacheField name="Column9938" numFmtId="0">
      <sharedItems containsNonDate="0" containsString="0" containsBlank="1"/>
    </cacheField>
    <cacheField name="Column9939" numFmtId="0">
      <sharedItems containsNonDate="0" containsString="0" containsBlank="1"/>
    </cacheField>
    <cacheField name="Column9940" numFmtId="0">
      <sharedItems containsNonDate="0" containsString="0" containsBlank="1"/>
    </cacheField>
    <cacheField name="Column9941" numFmtId="0">
      <sharedItems containsNonDate="0" containsString="0" containsBlank="1"/>
    </cacheField>
    <cacheField name="Column9942" numFmtId="0">
      <sharedItems containsNonDate="0" containsString="0" containsBlank="1"/>
    </cacheField>
    <cacheField name="Column9943" numFmtId="0">
      <sharedItems containsNonDate="0" containsString="0" containsBlank="1"/>
    </cacheField>
    <cacheField name="Column9944" numFmtId="0">
      <sharedItems containsNonDate="0" containsString="0" containsBlank="1"/>
    </cacheField>
    <cacheField name="Column9945" numFmtId="0">
      <sharedItems containsNonDate="0" containsString="0" containsBlank="1"/>
    </cacheField>
    <cacheField name="Column9946" numFmtId="0">
      <sharedItems containsNonDate="0" containsString="0" containsBlank="1"/>
    </cacheField>
    <cacheField name="Column9947" numFmtId="0">
      <sharedItems containsNonDate="0" containsString="0" containsBlank="1"/>
    </cacheField>
    <cacheField name="Column9948" numFmtId="0">
      <sharedItems containsNonDate="0" containsString="0" containsBlank="1"/>
    </cacheField>
    <cacheField name="Column9949" numFmtId="0">
      <sharedItems containsNonDate="0" containsString="0" containsBlank="1"/>
    </cacheField>
    <cacheField name="Column9950" numFmtId="0">
      <sharedItems containsNonDate="0" containsString="0" containsBlank="1"/>
    </cacheField>
    <cacheField name="Column9951" numFmtId="0">
      <sharedItems containsNonDate="0" containsString="0" containsBlank="1"/>
    </cacheField>
    <cacheField name="Column9952" numFmtId="0">
      <sharedItems containsNonDate="0" containsString="0" containsBlank="1"/>
    </cacheField>
    <cacheField name="Column9953" numFmtId="0">
      <sharedItems containsNonDate="0" containsString="0" containsBlank="1"/>
    </cacheField>
    <cacheField name="Column9954" numFmtId="0">
      <sharedItems containsNonDate="0" containsString="0" containsBlank="1"/>
    </cacheField>
    <cacheField name="Column9955" numFmtId="0">
      <sharedItems containsNonDate="0" containsString="0" containsBlank="1"/>
    </cacheField>
    <cacheField name="Column9956" numFmtId="0">
      <sharedItems containsNonDate="0" containsString="0" containsBlank="1"/>
    </cacheField>
    <cacheField name="Column9957" numFmtId="0">
      <sharedItems containsNonDate="0" containsString="0" containsBlank="1"/>
    </cacheField>
    <cacheField name="Column9958" numFmtId="0">
      <sharedItems containsNonDate="0" containsString="0" containsBlank="1"/>
    </cacheField>
    <cacheField name="Column9959" numFmtId="0">
      <sharedItems containsNonDate="0" containsString="0" containsBlank="1"/>
    </cacheField>
    <cacheField name="Column9960" numFmtId="0">
      <sharedItems containsNonDate="0" containsString="0" containsBlank="1"/>
    </cacheField>
    <cacheField name="Column9961" numFmtId="0">
      <sharedItems containsNonDate="0" containsString="0" containsBlank="1"/>
    </cacheField>
    <cacheField name="Column9962" numFmtId="0">
      <sharedItems containsNonDate="0" containsString="0" containsBlank="1"/>
    </cacheField>
    <cacheField name="Column9963" numFmtId="0">
      <sharedItems containsNonDate="0" containsString="0" containsBlank="1"/>
    </cacheField>
    <cacheField name="Column9964" numFmtId="0">
      <sharedItems containsNonDate="0" containsString="0" containsBlank="1"/>
    </cacheField>
    <cacheField name="Column9965" numFmtId="0">
      <sharedItems containsNonDate="0" containsString="0" containsBlank="1"/>
    </cacheField>
    <cacheField name="Column9966" numFmtId="0">
      <sharedItems containsNonDate="0" containsString="0" containsBlank="1"/>
    </cacheField>
    <cacheField name="Column9967" numFmtId="0">
      <sharedItems containsNonDate="0" containsString="0" containsBlank="1"/>
    </cacheField>
    <cacheField name="Column9968" numFmtId="0">
      <sharedItems containsNonDate="0" containsString="0" containsBlank="1"/>
    </cacheField>
    <cacheField name="Column9969" numFmtId="0">
      <sharedItems containsNonDate="0" containsString="0" containsBlank="1"/>
    </cacheField>
    <cacheField name="Column9970" numFmtId="0">
      <sharedItems containsNonDate="0" containsString="0" containsBlank="1"/>
    </cacheField>
    <cacheField name="Column9971" numFmtId="0">
      <sharedItems containsNonDate="0" containsString="0" containsBlank="1"/>
    </cacheField>
    <cacheField name="Column9972" numFmtId="0">
      <sharedItems containsNonDate="0" containsString="0" containsBlank="1"/>
    </cacheField>
    <cacheField name="Column9973" numFmtId="0">
      <sharedItems containsNonDate="0" containsString="0" containsBlank="1"/>
    </cacheField>
    <cacheField name="Column9974" numFmtId="0">
      <sharedItems containsNonDate="0" containsString="0" containsBlank="1"/>
    </cacheField>
    <cacheField name="Column9975" numFmtId="0">
      <sharedItems containsNonDate="0" containsString="0" containsBlank="1"/>
    </cacheField>
    <cacheField name="Column9976" numFmtId="0">
      <sharedItems containsNonDate="0" containsString="0" containsBlank="1"/>
    </cacheField>
    <cacheField name="Column9977" numFmtId="0">
      <sharedItems containsNonDate="0" containsString="0" containsBlank="1"/>
    </cacheField>
    <cacheField name="Column9978" numFmtId="0">
      <sharedItems containsNonDate="0" containsString="0" containsBlank="1"/>
    </cacheField>
    <cacheField name="Column9979" numFmtId="0">
      <sharedItems containsNonDate="0" containsString="0" containsBlank="1"/>
    </cacheField>
    <cacheField name="Column9980" numFmtId="0">
      <sharedItems containsNonDate="0" containsString="0" containsBlank="1"/>
    </cacheField>
    <cacheField name="Column9981" numFmtId="0">
      <sharedItems containsNonDate="0" containsString="0" containsBlank="1"/>
    </cacheField>
    <cacheField name="Column9982" numFmtId="0">
      <sharedItems containsNonDate="0" containsString="0" containsBlank="1"/>
    </cacheField>
    <cacheField name="Column9983" numFmtId="0">
      <sharedItems containsNonDate="0" containsString="0" containsBlank="1"/>
    </cacheField>
    <cacheField name="Column9984" numFmtId="0">
      <sharedItems containsNonDate="0" containsString="0" containsBlank="1"/>
    </cacheField>
    <cacheField name="Column9985" numFmtId="0">
      <sharedItems containsNonDate="0" containsString="0" containsBlank="1"/>
    </cacheField>
    <cacheField name="Column9986" numFmtId="0">
      <sharedItems containsNonDate="0" containsString="0" containsBlank="1"/>
    </cacheField>
    <cacheField name="Column9987" numFmtId="0">
      <sharedItems containsNonDate="0" containsString="0" containsBlank="1"/>
    </cacheField>
    <cacheField name="Column9988" numFmtId="0">
      <sharedItems containsNonDate="0" containsString="0" containsBlank="1"/>
    </cacheField>
    <cacheField name="Column9989" numFmtId="0">
      <sharedItems containsNonDate="0" containsString="0" containsBlank="1"/>
    </cacheField>
    <cacheField name="Column9990" numFmtId="0">
      <sharedItems containsNonDate="0" containsString="0" containsBlank="1"/>
    </cacheField>
    <cacheField name="Column9991" numFmtId="0">
      <sharedItems containsNonDate="0" containsString="0" containsBlank="1"/>
    </cacheField>
    <cacheField name="Column9992" numFmtId="0">
      <sharedItems containsNonDate="0" containsString="0" containsBlank="1"/>
    </cacheField>
    <cacheField name="Column9993" numFmtId="0">
      <sharedItems containsNonDate="0" containsString="0" containsBlank="1"/>
    </cacheField>
    <cacheField name="Column9994" numFmtId="0">
      <sharedItems containsNonDate="0" containsString="0" containsBlank="1"/>
    </cacheField>
    <cacheField name="Column9995" numFmtId="0">
      <sharedItems containsNonDate="0" containsString="0" containsBlank="1"/>
    </cacheField>
    <cacheField name="Column9996" numFmtId="0">
      <sharedItems containsNonDate="0" containsString="0" containsBlank="1"/>
    </cacheField>
    <cacheField name="Column9997" numFmtId="0">
      <sharedItems containsNonDate="0" containsString="0" containsBlank="1"/>
    </cacheField>
    <cacheField name="Column9998" numFmtId="0">
      <sharedItems containsNonDate="0" containsString="0" containsBlank="1"/>
    </cacheField>
    <cacheField name="Column9999" numFmtId="0">
      <sharedItems containsNonDate="0" containsString="0" containsBlank="1"/>
    </cacheField>
    <cacheField name="Column10000" numFmtId="0">
      <sharedItems containsNonDate="0" containsString="0" containsBlank="1"/>
    </cacheField>
    <cacheField name="Column10001" numFmtId="0">
      <sharedItems containsNonDate="0" containsString="0" containsBlank="1"/>
    </cacheField>
    <cacheField name="Column10002" numFmtId="0">
      <sharedItems containsNonDate="0" containsString="0" containsBlank="1"/>
    </cacheField>
    <cacheField name="Column10003" numFmtId="0">
      <sharedItems containsNonDate="0" containsString="0" containsBlank="1"/>
    </cacheField>
    <cacheField name="Column10004" numFmtId="0">
      <sharedItems containsNonDate="0" containsString="0" containsBlank="1"/>
    </cacheField>
    <cacheField name="Column10005" numFmtId="0">
      <sharedItems containsNonDate="0" containsString="0" containsBlank="1"/>
    </cacheField>
    <cacheField name="Column10006" numFmtId="0">
      <sharedItems containsNonDate="0" containsString="0" containsBlank="1"/>
    </cacheField>
    <cacheField name="Column10007" numFmtId="0">
      <sharedItems containsNonDate="0" containsString="0" containsBlank="1"/>
    </cacheField>
    <cacheField name="Column10008" numFmtId="0">
      <sharedItems containsNonDate="0" containsString="0" containsBlank="1"/>
    </cacheField>
    <cacheField name="Column10009" numFmtId="0">
      <sharedItems containsNonDate="0" containsString="0" containsBlank="1"/>
    </cacheField>
    <cacheField name="Column10010" numFmtId="0">
      <sharedItems containsNonDate="0" containsString="0" containsBlank="1"/>
    </cacheField>
    <cacheField name="Column10011" numFmtId="0">
      <sharedItems containsNonDate="0" containsString="0" containsBlank="1"/>
    </cacheField>
    <cacheField name="Column10012" numFmtId="0">
      <sharedItems containsNonDate="0" containsString="0" containsBlank="1"/>
    </cacheField>
    <cacheField name="Column10013" numFmtId="0">
      <sharedItems containsNonDate="0" containsString="0" containsBlank="1"/>
    </cacheField>
    <cacheField name="Column10014" numFmtId="0">
      <sharedItems containsNonDate="0" containsString="0" containsBlank="1"/>
    </cacheField>
    <cacheField name="Column10015" numFmtId="0">
      <sharedItems containsNonDate="0" containsString="0" containsBlank="1"/>
    </cacheField>
    <cacheField name="Column10016" numFmtId="0">
      <sharedItems containsNonDate="0" containsString="0" containsBlank="1"/>
    </cacheField>
    <cacheField name="Column10017" numFmtId="0">
      <sharedItems containsNonDate="0" containsString="0" containsBlank="1"/>
    </cacheField>
    <cacheField name="Column10018" numFmtId="0">
      <sharedItems containsNonDate="0" containsString="0" containsBlank="1"/>
    </cacheField>
    <cacheField name="Column10019" numFmtId="0">
      <sharedItems containsNonDate="0" containsString="0" containsBlank="1"/>
    </cacheField>
    <cacheField name="Column10020" numFmtId="0">
      <sharedItems containsNonDate="0" containsString="0" containsBlank="1"/>
    </cacheField>
    <cacheField name="Column10021" numFmtId="0">
      <sharedItems containsNonDate="0" containsString="0" containsBlank="1"/>
    </cacheField>
    <cacheField name="Column10022" numFmtId="0">
      <sharedItems containsNonDate="0" containsString="0" containsBlank="1"/>
    </cacheField>
    <cacheField name="Column10023" numFmtId="0">
      <sharedItems containsNonDate="0" containsString="0" containsBlank="1"/>
    </cacheField>
    <cacheField name="Column10024" numFmtId="0">
      <sharedItems containsNonDate="0" containsString="0" containsBlank="1"/>
    </cacheField>
    <cacheField name="Column10025" numFmtId="0">
      <sharedItems containsNonDate="0" containsString="0" containsBlank="1"/>
    </cacheField>
    <cacheField name="Column10026" numFmtId="0">
      <sharedItems containsNonDate="0" containsString="0" containsBlank="1"/>
    </cacheField>
    <cacheField name="Column10027" numFmtId="0">
      <sharedItems containsNonDate="0" containsString="0" containsBlank="1"/>
    </cacheField>
    <cacheField name="Column10028" numFmtId="0">
      <sharedItems containsNonDate="0" containsString="0" containsBlank="1"/>
    </cacheField>
    <cacheField name="Column10029" numFmtId="0">
      <sharedItems containsNonDate="0" containsString="0" containsBlank="1"/>
    </cacheField>
    <cacheField name="Column10030" numFmtId="0">
      <sharedItems containsNonDate="0" containsString="0" containsBlank="1"/>
    </cacheField>
    <cacheField name="Column10031" numFmtId="0">
      <sharedItems containsNonDate="0" containsString="0" containsBlank="1"/>
    </cacheField>
    <cacheField name="Column10032" numFmtId="0">
      <sharedItems containsNonDate="0" containsString="0" containsBlank="1"/>
    </cacheField>
    <cacheField name="Column10033" numFmtId="0">
      <sharedItems containsNonDate="0" containsString="0" containsBlank="1"/>
    </cacheField>
    <cacheField name="Column10034" numFmtId="0">
      <sharedItems containsNonDate="0" containsString="0" containsBlank="1"/>
    </cacheField>
    <cacheField name="Column10035" numFmtId="0">
      <sharedItems containsNonDate="0" containsString="0" containsBlank="1"/>
    </cacheField>
    <cacheField name="Column10036" numFmtId="0">
      <sharedItems containsNonDate="0" containsString="0" containsBlank="1"/>
    </cacheField>
    <cacheField name="Column10037" numFmtId="0">
      <sharedItems containsNonDate="0" containsString="0" containsBlank="1"/>
    </cacheField>
    <cacheField name="Column10038" numFmtId="0">
      <sharedItems containsNonDate="0" containsString="0" containsBlank="1"/>
    </cacheField>
    <cacheField name="Column10039" numFmtId="0">
      <sharedItems containsNonDate="0" containsString="0" containsBlank="1"/>
    </cacheField>
    <cacheField name="Column10040" numFmtId="0">
      <sharedItems containsNonDate="0" containsString="0" containsBlank="1"/>
    </cacheField>
    <cacheField name="Column10041" numFmtId="0">
      <sharedItems containsNonDate="0" containsString="0" containsBlank="1"/>
    </cacheField>
    <cacheField name="Column10042" numFmtId="0">
      <sharedItems containsNonDate="0" containsString="0" containsBlank="1"/>
    </cacheField>
    <cacheField name="Column10043" numFmtId="0">
      <sharedItems containsNonDate="0" containsString="0" containsBlank="1"/>
    </cacheField>
    <cacheField name="Column10044" numFmtId="0">
      <sharedItems containsNonDate="0" containsString="0" containsBlank="1"/>
    </cacheField>
    <cacheField name="Column10045" numFmtId="0">
      <sharedItems containsNonDate="0" containsString="0" containsBlank="1"/>
    </cacheField>
    <cacheField name="Column10046" numFmtId="0">
      <sharedItems containsNonDate="0" containsString="0" containsBlank="1"/>
    </cacheField>
    <cacheField name="Column10047" numFmtId="0">
      <sharedItems containsNonDate="0" containsString="0" containsBlank="1"/>
    </cacheField>
    <cacheField name="Column10048" numFmtId="0">
      <sharedItems containsNonDate="0" containsString="0" containsBlank="1"/>
    </cacheField>
    <cacheField name="Column10049" numFmtId="0">
      <sharedItems containsNonDate="0" containsString="0" containsBlank="1"/>
    </cacheField>
    <cacheField name="Column10050" numFmtId="0">
      <sharedItems containsNonDate="0" containsString="0" containsBlank="1"/>
    </cacheField>
    <cacheField name="Column10051" numFmtId="0">
      <sharedItems containsNonDate="0" containsString="0" containsBlank="1"/>
    </cacheField>
    <cacheField name="Column10052" numFmtId="0">
      <sharedItems containsNonDate="0" containsString="0" containsBlank="1"/>
    </cacheField>
    <cacheField name="Column10053" numFmtId="0">
      <sharedItems containsNonDate="0" containsString="0" containsBlank="1"/>
    </cacheField>
    <cacheField name="Column10054" numFmtId="0">
      <sharedItems containsNonDate="0" containsString="0" containsBlank="1"/>
    </cacheField>
    <cacheField name="Column10055" numFmtId="0">
      <sharedItems containsNonDate="0" containsString="0" containsBlank="1"/>
    </cacheField>
    <cacheField name="Column10056" numFmtId="0">
      <sharedItems containsNonDate="0" containsString="0" containsBlank="1"/>
    </cacheField>
    <cacheField name="Column10057" numFmtId="0">
      <sharedItems containsNonDate="0" containsString="0" containsBlank="1"/>
    </cacheField>
    <cacheField name="Column10058" numFmtId="0">
      <sharedItems containsNonDate="0" containsString="0" containsBlank="1"/>
    </cacheField>
    <cacheField name="Column10059" numFmtId="0">
      <sharedItems containsNonDate="0" containsString="0" containsBlank="1"/>
    </cacheField>
    <cacheField name="Column10060" numFmtId="0">
      <sharedItems containsNonDate="0" containsString="0" containsBlank="1"/>
    </cacheField>
    <cacheField name="Column10061" numFmtId="0">
      <sharedItems containsNonDate="0" containsString="0" containsBlank="1"/>
    </cacheField>
    <cacheField name="Column10062" numFmtId="0">
      <sharedItems containsNonDate="0" containsString="0" containsBlank="1"/>
    </cacheField>
    <cacheField name="Column10063" numFmtId="0">
      <sharedItems containsNonDate="0" containsString="0" containsBlank="1"/>
    </cacheField>
    <cacheField name="Column10064" numFmtId="0">
      <sharedItems containsNonDate="0" containsString="0" containsBlank="1"/>
    </cacheField>
    <cacheField name="Column10065" numFmtId="0">
      <sharedItems containsNonDate="0" containsString="0" containsBlank="1"/>
    </cacheField>
    <cacheField name="Column10066" numFmtId="0">
      <sharedItems containsNonDate="0" containsString="0" containsBlank="1"/>
    </cacheField>
    <cacheField name="Column10067" numFmtId="0">
      <sharedItems containsNonDate="0" containsString="0" containsBlank="1"/>
    </cacheField>
    <cacheField name="Column10068" numFmtId="0">
      <sharedItems containsNonDate="0" containsString="0" containsBlank="1"/>
    </cacheField>
    <cacheField name="Column10069" numFmtId="0">
      <sharedItems containsNonDate="0" containsString="0" containsBlank="1"/>
    </cacheField>
    <cacheField name="Column10070" numFmtId="0">
      <sharedItems containsNonDate="0" containsString="0" containsBlank="1"/>
    </cacheField>
    <cacheField name="Column10071" numFmtId="0">
      <sharedItems containsNonDate="0" containsString="0" containsBlank="1"/>
    </cacheField>
    <cacheField name="Column10072" numFmtId="0">
      <sharedItems containsNonDate="0" containsString="0" containsBlank="1"/>
    </cacheField>
    <cacheField name="Column10073" numFmtId="0">
      <sharedItems containsNonDate="0" containsString="0" containsBlank="1"/>
    </cacheField>
    <cacheField name="Column10074" numFmtId="0">
      <sharedItems containsNonDate="0" containsString="0" containsBlank="1"/>
    </cacheField>
    <cacheField name="Column10075" numFmtId="0">
      <sharedItems containsNonDate="0" containsString="0" containsBlank="1"/>
    </cacheField>
    <cacheField name="Column10076" numFmtId="0">
      <sharedItems containsNonDate="0" containsString="0" containsBlank="1"/>
    </cacheField>
    <cacheField name="Column10077" numFmtId="0">
      <sharedItems containsNonDate="0" containsString="0" containsBlank="1"/>
    </cacheField>
    <cacheField name="Column10078" numFmtId="0">
      <sharedItems containsNonDate="0" containsString="0" containsBlank="1"/>
    </cacheField>
    <cacheField name="Column10079" numFmtId="0">
      <sharedItems containsNonDate="0" containsString="0" containsBlank="1"/>
    </cacheField>
    <cacheField name="Column10080" numFmtId="0">
      <sharedItems containsNonDate="0" containsString="0" containsBlank="1"/>
    </cacheField>
    <cacheField name="Column10081" numFmtId="0">
      <sharedItems containsNonDate="0" containsString="0" containsBlank="1"/>
    </cacheField>
    <cacheField name="Column10082" numFmtId="0">
      <sharedItems containsNonDate="0" containsString="0" containsBlank="1"/>
    </cacheField>
    <cacheField name="Column10083" numFmtId="0">
      <sharedItems containsNonDate="0" containsString="0" containsBlank="1"/>
    </cacheField>
    <cacheField name="Column10084" numFmtId="0">
      <sharedItems containsNonDate="0" containsString="0" containsBlank="1"/>
    </cacheField>
    <cacheField name="Column10085" numFmtId="0">
      <sharedItems containsNonDate="0" containsString="0" containsBlank="1"/>
    </cacheField>
    <cacheField name="Column10086" numFmtId="0">
      <sharedItems containsNonDate="0" containsString="0" containsBlank="1"/>
    </cacheField>
    <cacheField name="Column10087" numFmtId="0">
      <sharedItems containsNonDate="0" containsString="0" containsBlank="1"/>
    </cacheField>
    <cacheField name="Column10088" numFmtId="0">
      <sharedItems containsNonDate="0" containsString="0" containsBlank="1"/>
    </cacheField>
    <cacheField name="Column10089" numFmtId="0">
      <sharedItems containsNonDate="0" containsString="0" containsBlank="1"/>
    </cacheField>
    <cacheField name="Column10090" numFmtId="0">
      <sharedItems containsNonDate="0" containsString="0" containsBlank="1"/>
    </cacheField>
    <cacheField name="Column10091" numFmtId="0">
      <sharedItems containsNonDate="0" containsString="0" containsBlank="1"/>
    </cacheField>
    <cacheField name="Column10092" numFmtId="0">
      <sharedItems containsNonDate="0" containsString="0" containsBlank="1"/>
    </cacheField>
    <cacheField name="Column10093" numFmtId="0">
      <sharedItems containsNonDate="0" containsString="0" containsBlank="1"/>
    </cacheField>
    <cacheField name="Column10094" numFmtId="0">
      <sharedItems containsNonDate="0" containsString="0" containsBlank="1"/>
    </cacheField>
    <cacheField name="Column10095" numFmtId="0">
      <sharedItems containsNonDate="0" containsString="0" containsBlank="1"/>
    </cacheField>
    <cacheField name="Column10096" numFmtId="0">
      <sharedItems containsNonDate="0" containsString="0" containsBlank="1"/>
    </cacheField>
    <cacheField name="Column10097" numFmtId="0">
      <sharedItems containsNonDate="0" containsString="0" containsBlank="1"/>
    </cacheField>
    <cacheField name="Column10098" numFmtId="0">
      <sharedItems containsNonDate="0" containsString="0" containsBlank="1"/>
    </cacheField>
    <cacheField name="Column10099" numFmtId="0">
      <sharedItems containsNonDate="0" containsString="0" containsBlank="1"/>
    </cacheField>
    <cacheField name="Column10100" numFmtId="0">
      <sharedItems containsNonDate="0" containsString="0" containsBlank="1"/>
    </cacheField>
    <cacheField name="Column10101" numFmtId="0">
      <sharedItems containsNonDate="0" containsString="0" containsBlank="1"/>
    </cacheField>
    <cacheField name="Column10102" numFmtId="0">
      <sharedItems containsNonDate="0" containsString="0" containsBlank="1"/>
    </cacheField>
    <cacheField name="Column10103" numFmtId="0">
      <sharedItems containsNonDate="0" containsString="0" containsBlank="1"/>
    </cacheField>
    <cacheField name="Column10104" numFmtId="0">
      <sharedItems containsNonDate="0" containsString="0" containsBlank="1"/>
    </cacheField>
    <cacheField name="Column10105" numFmtId="0">
      <sharedItems containsNonDate="0" containsString="0" containsBlank="1"/>
    </cacheField>
    <cacheField name="Column10106" numFmtId="0">
      <sharedItems containsNonDate="0" containsString="0" containsBlank="1"/>
    </cacheField>
    <cacheField name="Column10107" numFmtId="0">
      <sharedItems containsNonDate="0" containsString="0" containsBlank="1"/>
    </cacheField>
    <cacheField name="Column10108" numFmtId="0">
      <sharedItems containsNonDate="0" containsString="0" containsBlank="1"/>
    </cacheField>
    <cacheField name="Column10109" numFmtId="0">
      <sharedItems containsNonDate="0" containsString="0" containsBlank="1"/>
    </cacheField>
    <cacheField name="Column10110" numFmtId="0">
      <sharedItems containsNonDate="0" containsString="0" containsBlank="1"/>
    </cacheField>
    <cacheField name="Column10111" numFmtId="0">
      <sharedItems containsNonDate="0" containsString="0" containsBlank="1"/>
    </cacheField>
    <cacheField name="Column10112" numFmtId="0">
      <sharedItems containsNonDate="0" containsString="0" containsBlank="1"/>
    </cacheField>
    <cacheField name="Column10113" numFmtId="0">
      <sharedItems containsNonDate="0" containsString="0" containsBlank="1"/>
    </cacheField>
    <cacheField name="Column10114" numFmtId="0">
      <sharedItems containsNonDate="0" containsString="0" containsBlank="1"/>
    </cacheField>
    <cacheField name="Column10115" numFmtId="0">
      <sharedItems containsNonDate="0" containsString="0" containsBlank="1"/>
    </cacheField>
    <cacheField name="Column10116" numFmtId="0">
      <sharedItems containsNonDate="0" containsString="0" containsBlank="1"/>
    </cacheField>
    <cacheField name="Column10117" numFmtId="0">
      <sharedItems containsNonDate="0" containsString="0" containsBlank="1"/>
    </cacheField>
    <cacheField name="Column10118" numFmtId="0">
      <sharedItems containsNonDate="0" containsString="0" containsBlank="1"/>
    </cacheField>
    <cacheField name="Column10119" numFmtId="0">
      <sharedItems containsNonDate="0" containsString="0" containsBlank="1"/>
    </cacheField>
    <cacheField name="Column10120" numFmtId="0">
      <sharedItems containsNonDate="0" containsString="0" containsBlank="1"/>
    </cacheField>
    <cacheField name="Column10121" numFmtId="0">
      <sharedItems containsNonDate="0" containsString="0" containsBlank="1"/>
    </cacheField>
    <cacheField name="Column10122" numFmtId="0">
      <sharedItems containsNonDate="0" containsString="0" containsBlank="1"/>
    </cacheField>
    <cacheField name="Column10123" numFmtId="0">
      <sharedItems containsNonDate="0" containsString="0" containsBlank="1"/>
    </cacheField>
    <cacheField name="Column10124" numFmtId="0">
      <sharedItems containsNonDate="0" containsString="0" containsBlank="1"/>
    </cacheField>
    <cacheField name="Column10125" numFmtId="0">
      <sharedItems containsNonDate="0" containsString="0" containsBlank="1"/>
    </cacheField>
    <cacheField name="Column10126" numFmtId="0">
      <sharedItems containsNonDate="0" containsString="0" containsBlank="1"/>
    </cacheField>
    <cacheField name="Column10127" numFmtId="0">
      <sharedItems containsNonDate="0" containsString="0" containsBlank="1"/>
    </cacheField>
    <cacheField name="Column10128" numFmtId="0">
      <sharedItems containsNonDate="0" containsString="0" containsBlank="1"/>
    </cacheField>
    <cacheField name="Column10129" numFmtId="0">
      <sharedItems containsNonDate="0" containsString="0" containsBlank="1"/>
    </cacheField>
    <cacheField name="Column10130" numFmtId="0">
      <sharedItems containsNonDate="0" containsString="0" containsBlank="1"/>
    </cacheField>
    <cacheField name="Column10131" numFmtId="0">
      <sharedItems containsNonDate="0" containsString="0" containsBlank="1"/>
    </cacheField>
    <cacheField name="Column10132" numFmtId="0">
      <sharedItems containsNonDate="0" containsString="0" containsBlank="1"/>
    </cacheField>
    <cacheField name="Column10133" numFmtId="0">
      <sharedItems containsNonDate="0" containsString="0" containsBlank="1"/>
    </cacheField>
    <cacheField name="Column10134" numFmtId="0">
      <sharedItems containsNonDate="0" containsString="0" containsBlank="1"/>
    </cacheField>
    <cacheField name="Column10135" numFmtId="0">
      <sharedItems containsNonDate="0" containsString="0" containsBlank="1"/>
    </cacheField>
    <cacheField name="Column10136" numFmtId="0">
      <sharedItems containsNonDate="0" containsString="0" containsBlank="1"/>
    </cacheField>
    <cacheField name="Column10137" numFmtId="0">
      <sharedItems containsNonDate="0" containsString="0" containsBlank="1"/>
    </cacheField>
    <cacheField name="Column10138" numFmtId="0">
      <sharedItems containsNonDate="0" containsString="0" containsBlank="1"/>
    </cacheField>
    <cacheField name="Column10139" numFmtId="0">
      <sharedItems containsNonDate="0" containsString="0" containsBlank="1"/>
    </cacheField>
    <cacheField name="Column10140" numFmtId="0">
      <sharedItems containsNonDate="0" containsString="0" containsBlank="1"/>
    </cacheField>
    <cacheField name="Column10141" numFmtId="0">
      <sharedItems containsNonDate="0" containsString="0" containsBlank="1"/>
    </cacheField>
    <cacheField name="Column10142" numFmtId="0">
      <sharedItems containsNonDate="0" containsString="0" containsBlank="1"/>
    </cacheField>
    <cacheField name="Column10143" numFmtId="0">
      <sharedItems containsNonDate="0" containsString="0" containsBlank="1"/>
    </cacheField>
    <cacheField name="Column10144" numFmtId="0">
      <sharedItems containsNonDate="0" containsString="0" containsBlank="1"/>
    </cacheField>
    <cacheField name="Column10145" numFmtId="0">
      <sharedItems containsNonDate="0" containsString="0" containsBlank="1"/>
    </cacheField>
    <cacheField name="Column10146" numFmtId="0">
      <sharedItems containsNonDate="0" containsString="0" containsBlank="1"/>
    </cacheField>
    <cacheField name="Column10147" numFmtId="0">
      <sharedItems containsNonDate="0" containsString="0" containsBlank="1"/>
    </cacheField>
    <cacheField name="Column10148" numFmtId="0">
      <sharedItems containsNonDate="0" containsString="0" containsBlank="1"/>
    </cacheField>
    <cacheField name="Column10149" numFmtId="0">
      <sharedItems containsNonDate="0" containsString="0" containsBlank="1"/>
    </cacheField>
    <cacheField name="Column10150" numFmtId="0">
      <sharedItems containsNonDate="0" containsString="0" containsBlank="1"/>
    </cacheField>
    <cacheField name="Column10151" numFmtId="0">
      <sharedItems containsNonDate="0" containsString="0" containsBlank="1"/>
    </cacheField>
    <cacheField name="Column10152" numFmtId="0">
      <sharedItems containsNonDate="0" containsString="0" containsBlank="1"/>
    </cacheField>
    <cacheField name="Column10153" numFmtId="0">
      <sharedItems containsNonDate="0" containsString="0" containsBlank="1"/>
    </cacheField>
    <cacheField name="Column10154" numFmtId="0">
      <sharedItems containsNonDate="0" containsString="0" containsBlank="1"/>
    </cacheField>
    <cacheField name="Column10155" numFmtId="0">
      <sharedItems containsNonDate="0" containsString="0" containsBlank="1"/>
    </cacheField>
    <cacheField name="Column10156" numFmtId="0">
      <sharedItems containsNonDate="0" containsString="0" containsBlank="1"/>
    </cacheField>
    <cacheField name="Column10157" numFmtId="0">
      <sharedItems containsNonDate="0" containsString="0" containsBlank="1"/>
    </cacheField>
    <cacheField name="Column10158" numFmtId="0">
      <sharedItems containsNonDate="0" containsString="0" containsBlank="1"/>
    </cacheField>
    <cacheField name="Column10159" numFmtId="0">
      <sharedItems containsNonDate="0" containsString="0" containsBlank="1"/>
    </cacheField>
    <cacheField name="Column10160" numFmtId="0">
      <sharedItems containsNonDate="0" containsString="0" containsBlank="1"/>
    </cacheField>
    <cacheField name="Column10161" numFmtId="0">
      <sharedItems containsNonDate="0" containsString="0" containsBlank="1"/>
    </cacheField>
    <cacheField name="Column10162" numFmtId="0">
      <sharedItems containsNonDate="0" containsString="0" containsBlank="1"/>
    </cacheField>
    <cacheField name="Column10163" numFmtId="0">
      <sharedItems containsNonDate="0" containsString="0" containsBlank="1"/>
    </cacheField>
    <cacheField name="Column10164" numFmtId="0">
      <sharedItems containsNonDate="0" containsString="0" containsBlank="1"/>
    </cacheField>
    <cacheField name="Column10165" numFmtId="0">
      <sharedItems containsNonDate="0" containsString="0" containsBlank="1"/>
    </cacheField>
    <cacheField name="Column10166" numFmtId="0">
      <sharedItems containsNonDate="0" containsString="0" containsBlank="1"/>
    </cacheField>
    <cacheField name="Column10167" numFmtId="0">
      <sharedItems containsNonDate="0" containsString="0" containsBlank="1"/>
    </cacheField>
    <cacheField name="Column10168" numFmtId="0">
      <sharedItems containsNonDate="0" containsString="0" containsBlank="1"/>
    </cacheField>
    <cacheField name="Column10169" numFmtId="0">
      <sharedItems containsNonDate="0" containsString="0" containsBlank="1"/>
    </cacheField>
    <cacheField name="Column10170" numFmtId="0">
      <sharedItems containsNonDate="0" containsString="0" containsBlank="1"/>
    </cacheField>
    <cacheField name="Column10171" numFmtId="0">
      <sharedItems containsNonDate="0" containsString="0" containsBlank="1"/>
    </cacheField>
    <cacheField name="Column10172" numFmtId="0">
      <sharedItems containsNonDate="0" containsString="0" containsBlank="1"/>
    </cacheField>
    <cacheField name="Column10173" numFmtId="0">
      <sharedItems containsNonDate="0" containsString="0" containsBlank="1"/>
    </cacheField>
    <cacheField name="Column10174" numFmtId="0">
      <sharedItems containsNonDate="0" containsString="0" containsBlank="1"/>
    </cacheField>
    <cacheField name="Column10175" numFmtId="0">
      <sharedItems containsNonDate="0" containsString="0" containsBlank="1"/>
    </cacheField>
    <cacheField name="Column10176" numFmtId="0">
      <sharedItems containsNonDate="0" containsString="0" containsBlank="1"/>
    </cacheField>
    <cacheField name="Column10177" numFmtId="0">
      <sharedItems containsNonDate="0" containsString="0" containsBlank="1"/>
    </cacheField>
    <cacheField name="Column10178" numFmtId="0">
      <sharedItems containsNonDate="0" containsString="0" containsBlank="1"/>
    </cacheField>
    <cacheField name="Column10179" numFmtId="0">
      <sharedItems containsNonDate="0" containsString="0" containsBlank="1"/>
    </cacheField>
    <cacheField name="Column10180" numFmtId="0">
      <sharedItems containsNonDate="0" containsString="0" containsBlank="1"/>
    </cacheField>
    <cacheField name="Column10181" numFmtId="0">
      <sharedItems containsNonDate="0" containsString="0" containsBlank="1"/>
    </cacheField>
    <cacheField name="Column10182" numFmtId="0">
      <sharedItems containsNonDate="0" containsString="0" containsBlank="1"/>
    </cacheField>
    <cacheField name="Column10183" numFmtId="0">
      <sharedItems containsNonDate="0" containsString="0" containsBlank="1"/>
    </cacheField>
    <cacheField name="Column10184" numFmtId="0">
      <sharedItems containsNonDate="0" containsString="0" containsBlank="1"/>
    </cacheField>
    <cacheField name="Column10185" numFmtId="0">
      <sharedItems containsNonDate="0" containsString="0" containsBlank="1"/>
    </cacheField>
    <cacheField name="Column10186" numFmtId="0">
      <sharedItems containsNonDate="0" containsString="0" containsBlank="1"/>
    </cacheField>
    <cacheField name="Column10187" numFmtId="0">
      <sharedItems containsNonDate="0" containsString="0" containsBlank="1"/>
    </cacheField>
    <cacheField name="Column10188" numFmtId="0">
      <sharedItems containsNonDate="0" containsString="0" containsBlank="1"/>
    </cacheField>
    <cacheField name="Column10189" numFmtId="0">
      <sharedItems containsNonDate="0" containsString="0" containsBlank="1"/>
    </cacheField>
    <cacheField name="Column10190" numFmtId="0">
      <sharedItems containsNonDate="0" containsString="0" containsBlank="1"/>
    </cacheField>
    <cacheField name="Column10191" numFmtId="0">
      <sharedItems containsNonDate="0" containsString="0" containsBlank="1"/>
    </cacheField>
    <cacheField name="Column10192" numFmtId="0">
      <sharedItems containsNonDate="0" containsString="0" containsBlank="1"/>
    </cacheField>
    <cacheField name="Column10193" numFmtId="0">
      <sharedItems containsNonDate="0" containsString="0" containsBlank="1"/>
    </cacheField>
    <cacheField name="Column10194" numFmtId="0">
      <sharedItems containsNonDate="0" containsString="0" containsBlank="1"/>
    </cacheField>
    <cacheField name="Column10195" numFmtId="0">
      <sharedItems containsNonDate="0" containsString="0" containsBlank="1"/>
    </cacheField>
    <cacheField name="Column10196" numFmtId="0">
      <sharedItems containsNonDate="0" containsString="0" containsBlank="1"/>
    </cacheField>
    <cacheField name="Column10197" numFmtId="0">
      <sharedItems containsNonDate="0" containsString="0" containsBlank="1"/>
    </cacheField>
    <cacheField name="Column10198" numFmtId="0">
      <sharedItems containsNonDate="0" containsString="0" containsBlank="1"/>
    </cacheField>
    <cacheField name="Column10199" numFmtId="0">
      <sharedItems containsNonDate="0" containsString="0" containsBlank="1"/>
    </cacheField>
    <cacheField name="Column10200" numFmtId="0">
      <sharedItems containsNonDate="0" containsString="0" containsBlank="1"/>
    </cacheField>
    <cacheField name="Column10201" numFmtId="0">
      <sharedItems containsNonDate="0" containsString="0" containsBlank="1"/>
    </cacheField>
    <cacheField name="Column10202" numFmtId="0">
      <sharedItems containsNonDate="0" containsString="0" containsBlank="1"/>
    </cacheField>
    <cacheField name="Column10203" numFmtId="0">
      <sharedItems containsNonDate="0" containsString="0" containsBlank="1"/>
    </cacheField>
    <cacheField name="Column10204" numFmtId="0">
      <sharedItems containsNonDate="0" containsString="0" containsBlank="1"/>
    </cacheField>
    <cacheField name="Column10205" numFmtId="0">
      <sharedItems containsNonDate="0" containsString="0" containsBlank="1"/>
    </cacheField>
    <cacheField name="Column10206" numFmtId="0">
      <sharedItems containsNonDate="0" containsString="0" containsBlank="1"/>
    </cacheField>
    <cacheField name="Column10207" numFmtId="0">
      <sharedItems containsNonDate="0" containsString="0" containsBlank="1"/>
    </cacheField>
    <cacheField name="Column10208" numFmtId="0">
      <sharedItems containsNonDate="0" containsString="0" containsBlank="1"/>
    </cacheField>
    <cacheField name="Column10209" numFmtId="0">
      <sharedItems containsNonDate="0" containsString="0" containsBlank="1"/>
    </cacheField>
    <cacheField name="Column10210" numFmtId="0">
      <sharedItems containsNonDate="0" containsString="0" containsBlank="1"/>
    </cacheField>
    <cacheField name="Column10211" numFmtId="0">
      <sharedItems containsNonDate="0" containsString="0" containsBlank="1"/>
    </cacheField>
    <cacheField name="Column10212" numFmtId="0">
      <sharedItems containsNonDate="0" containsString="0" containsBlank="1"/>
    </cacheField>
    <cacheField name="Column10213" numFmtId="0">
      <sharedItems containsNonDate="0" containsString="0" containsBlank="1"/>
    </cacheField>
    <cacheField name="Column10214" numFmtId="0">
      <sharedItems containsNonDate="0" containsString="0" containsBlank="1"/>
    </cacheField>
    <cacheField name="Column10215" numFmtId="0">
      <sharedItems containsNonDate="0" containsString="0" containsBlank="1"/>
    </cacheField>
    <cacheField name="Column10216" numFmtId="0">
      <sharedItems containsNonDate="0" containsString="0" containsBlank="1"/>
    </cacheField>
    <cacheField name="Column10217" numFmtId="0">
      <sharedItems containsNonDate="0" containsString="0" containsBlank="1"/>
    </cacheField>
    <cacheField name="Column10218" numFmtId="0">
      <sharedItems containsNonDate="0" containsString="0" containsBlank="1"/>
    </cacheField>
    <cacheField name="Column10219" numFmtId="0">
      <sharedItems containsNonDate="0" containsString="0" containsBlank="1"/>
    </cacheField>
    <cacheField name="Column10220" numFmtId="0">
      <sharedItems containsNonDate="0" containsString="0" containsBlank="1"/>
    </cacheField>
    <cacheField name="Column10221" numFmtId="0">
      <sharedItems containsNonDate="0" containsString="0" containsBlank="1"/>
    </cacheField>
    <cacheField name="Column10222" numFmtId="0">
      <sharedItems containsNonDate="0" containsString="0" containsBlank="1"/>
    </cacheField>
    <cacheField name="Column10223" numFmtId="0">
      <sharedItems containsNonDate="0" containsString="0" containsBlank="1"/>
    </cacheField>
    <cacheField name="Column10224" numFmtId="0">
      <sharedItems containsNonDate="0" containsString="0" containsBlank="1"/>
    </cacheField>
    <cacheField name="Column10225" numFmtId="0">
      <sharedItems containsNonDate="0" containsString="0" containsBlank="1"/>
    </cacheField>
    <cacheField name="Column10226" numFmtId="0">
      <sharedItems containsNonDate="0" containsString="0" containsBlank="1"/>
    </cacheField>
    <cacheField name="Column10227" numFmtId="0">
      <sharedItems containsNonDate="0" containsString="0" containsBlank="1"/>
    </cacheField>
    <cacheField name="Column10228" numFmtId="0">
      <sharedItems containsNonDate="0" containsString="0" containsBlank="1"/>
    </cacheField>
    <cacheField name="Column10229" numFmtId="0">
      <sharedItems containsNonDate="0" containsString="0" containsBlank="1"/>
    </cacheField>
    <cacheField name="Column10230" numFmtId="0">
      <sharedItems containsNonDate="0" containsString="0" containsBlank="1"/>
    </cacheField>
    <cacheField name="Column10231" numFmtId="0">
      <sharedItems containsNonDate="0" containsString="0" containsBlank="1"/>
    </cacheField>
    <cacheField name="Column10232" numFmtId="0">
      <sharedItems containsNonDate="0" containsString="0" containsBlank="1"/>
    </cacheField>
    <cacheField name="Column10233" numFmtId="0">
      <sharedItems containsNonDate="0" containsString="0" containsBlank="1"/>
    </cacheField>
    <cacheField name="Column10234" numFmtId="0">
      <sharedItems containsNonDate="0" containsString="0" containsBlank="1"/>
    </cacheField>
    <cacheField name="Column10235" numFmtId="0">
      <sharedItems containsNonDate="0" containsString="0" containsBlank="1"/>
    </cacheField>
    <cacheField name="Column10236" numFmtId="0">
      <sharedItems containsNonDate="0" containsString="0" containsBlank="1"/>
    </cacheField>
    <cacheField name="Column10237" numFmtId="0">
      <sharedItems containsNonDate="0" containsString="0" containsBlank="1"/>
    </cacheField>
    <cacheField name="Column10238" numFmtId="0">
      <sharedItems containsNonDate="0" containsString="0" containsBlank="1"/>
    </cacheField>
    <cacheField name="Column10239" numFmtId="0">
      <sharedItems containsNonDate="0" containsString="0" containsBlank="1"/>
    </cacheField>
    <cacheField name="Column10240" numFmtId="0">
      <sharedItems containsNonDate="0" containsString="0" containsBlank="1"/>
    </cacheField>
    <cacheField name="Column10241" numFmtId="0">
      <sharedItems containsNonDate="0" containsString="0" containsBlank="1"/>
    </cacheField>
    <cacheField name="Column10242" numFmtId="0">
      <sharedItems containsNonDate="0" containsString="0" containsBlank="1"/>
    </cacheField>
    <cacheField name="Column10243" numFmtId="0">
      <sharedItems containsNonDate="0" containsString="0" containsBlank="1"/>
    </cacheField>
    <cacheField name="Column10244" numFmtId="0">
      <sharedItems containsNonDate="0" containsString="0" containsBlank="1"/>
    </cacheField>
    <cacheField name="Column10245" numFmtId="0">
      <sharedItems containsNonDate="0" containsString="0" containsBlank="1"/>
    </cacheField>
    <cacheField name="Column10246" numFmtId="0">
      <sharedItems containsNonDate="0" containsString="0" containsBlank="1"/>
    </cacheField>
    <cacheField name="Column10247" numFmtId="0">
      <sharedItems containsNonDate="0" containsString="0" containsBlank="1"/>
    </cacheField>
    <cacheField name="Column10248" numFmtId="0">
      <sharedItems containsNonDate="0" containsString="0" containsBlank="1"/>
    </cacheField>
    <cacheField name="Column10249" numFmtId="0">
      <sharedItems containsNonDate="0" containsString="0" containsBlank="1"/>
    </cacheField>
    <cacheField name="Column10250" numFmtId="0">
      <sharedItems containsNonDate="0" containsString="0" containsBlank="1"/>
    </cacheField>
    <cacheField name="Column10251" numFmtId="0">
      <sharedItems containsNonDate="0" containsString="0" containsBlank="1"/>
    </cacheField>
    <cacheField name="Column10252" numFmtId="0">
      <sharedItems containsNonDate="0" containsString="0" containsBlank="1"/>
    </cacheField>
    <cacheField name="Column10253" numFmtId="0">
      <sharedItems containsNonDate="0" containsString="0" containsBlank="1"/>
    </cacheField>
    <cacheField name="Column10254" numFmtId="0">
      <sharedItems containsNonDate="0" containsString="0" containsBlank="1"/>
    </cacheField>
    <cacheField name="Column10255" numFmtId="0">
      <sharedItems containsNonDate="0" containsString="0" containsBlank="1"/>
    </cacheField>
    <cacheField name="Column10256" numFmtId="0">
      <sharedItems containsNonDate="0" containsString="0" containsBlank="1"/>
    </cacheField>
    <cacheField name="Column10257" numFmtId="0">
      <sharedItems containsNonDate="0" containsString="0" containsBlank="1"/>
    </cacheField>
    <cacheField name="Column10258" numFmtId="0">
      <sharedItems containsNonDate="0" containsString="0" containsBlank="1"/>
    </cacheField>
    <cacheField name="Column10259" numFmtId="0">
      <sharedItems containsNonDate="0" containsString="0" containsBlank="1"/>
    </cacheField>
    <cacheField name="Column10260" numFmtId="0">
      <sharedItems containsNonDate="0" containsString="0" containsBlank="1"/>
    </cacheField>
    <cacheField name="Column10261" numFmtId="0">
      <sharedItems containsNonDate="0" containsString="0" containsBlank="1"/>
    </cacheField>
    <cacheField name="Column10262" numFmtId="0">
      <sharedItems containsNonDate="0" containsString="0" containsBlank="1"/>
    </cacheField>
    <cacheField name="Column10263" numFmtId="0">
      <sharedItems containsNonDate="0" containsString="0" containsBlank="1"/>
    </cacheField>
    <cacheField name="Column10264" numFmtId="0">
      <sharedItems containsNonDate="0" containsString="0" containsBlank="1"/>
    </cacheField>
    <cacheField name="Column10265" numFmtId="0">
      <sharedItems containsNonDate="0" containsString="0" containsBlank="1"/>
    </cacheField>
    <cacheField name="Column10266" numFmtId="0">
      <sharedItems containsNonDate="0" containsString="0" containsBlank="1"/>
    </cacheField>
    <cacheField name="Column10267" numFmtId="0">
      <sharedItems containsNonDate="0" containsString="0" containsBlank="1"/>
    </cacheField>
    <cacheField name="Column10268" numFmtId="0">
      <sharedItems containsNonDate="0" containsString="0" containsBlank="1"/>
    </cacheField>
    <cacheField name="Column10269" numFmtId="0">
      <sharedItems containsNonDate="0" containsString="0" containsBlank="1"/>
    </cacheField>
    <cacheField name="Column10270" numFmtId="0">
      <sharedItems containsNonDate="0" containsString="0" containsBlank="1"/>
    </cacheField>
    <cacheField name="Column10271" numFmtId="0">
      <sharedItems containsNonDate="0" containsString="0" containsBlank="1"/>
    </cacheField>
    <cacheField name="Column10272" numFmtId="0">
      <sharedItems containsNonDate="0" containsString="0" containsBlank="1"/>
    </cacheField>
    <cacheField name="Column10273" numFmtId="0">
      <sharedItems containsNonDate="0" containsString="0" containsBlank="1"/>
    </cacheField>
    <cacheField name="Column10274" numFmtId="0">
      <sharedItems containsNonDate="0" containsString="0" containsBlank="1"/>
    </cacheField>
    <cacheField name="Column10275" numFmtId="0">
      <sharedItems containsNonDate="0" containsString="0" containsBlank="1"/>
    </cacheField>
    <cacheField name="Column10276" numFmtId="0">
      <sharedItems containsNonDate="0" containsString="0" containsBlank="1"/>
    </cacheField>
    <cacheField name="Column10277" numFmtId="0">
      <sharedItems containsNonDate="0" containsString="0" containsBlank="1"/>
    </cacheField>
    <cacheField name="Column10278" numFmtId="0">
      <sharedItems containsNonDate="0" containsString="0" containsBlank="1"/>
    </cacheField>
    <cacheField name="Column10279" numFmtId="0">
      <sharedItems containsNonDate="0" containsString="0" containsBlank="1"/>
    </cacheField>
    <cacheField name="Column10280" numFmtId="0">
      <sharedItems containsNonDate="0" containsString="0" containsBlank="1"/>
    </cacheField>
    <cacheField name="Column10281" numFmtId="0">
      <sharedItems containsNonDate="0" containsString="0" containsBlank="1"/>
    </cacheField>
    <cacheField name="Column10282" numFmtId="0">
      <sharedItems containsNonDate="0" containsString="0" containsBlank="1"/>
    </cacheField>
    <cacheField name="Column10283" numFmtId="0">
      <sharedItems containsNonDate="0" containsString="0" containsBlank="1"/>
    </cacheField>
    <cacheField name="Column10284" numFmtId="0">
      <sharedItems containsNonDate="0" containsString="0" containsBlank="1"/>
    </cacheField>
    <cacheField name="Column10285" numFmtId="0">
      <sharedItems containsNonDate="0" containsString="0" containsBlank="1"/>
    </cacheField>
    <cacheField name="Column10286" numFmtId="0">
      <sharedItems containsNonDate="0" containsString="0" containsBlank="1"/>
    </cacheField>
    <cacheField name="Column10287" numFmtId="0">
      <sharedItems containsNonDate="0" containsString="0" containsBlank="1"/>
    </cacheField>
    <cacheField name="Column10288" numFmtId="0">
      <sharedItems containsNonDate="0" containsString="0" containsBlank="1"/>
    </cacheField>
    <cacheField name="Column10289" numFmtId="0">
      <sharedItems containsNonDate="0" containsString="0" containsBlank="1"/>
    </cacheField>
    <cacheField name="Column10290" numFmtId="0">
      <sharedItems containsNonDate="0" containsString="0" containsBlank="1"/>
    </cacheField>
    <cacheField name="Column10291" numFmtId="0">
      <sharedItems containsNonDate="0" containsString="0" containsBlank="1"/>
    </cacheField>
    <cacheField name="Column10292" numFmtId="0">
      <sharedItems containsNonDate="0" containsString="0" containsBlank="1"/>
    </cacheField>
    <cacheField name="Column10293" numFmtId="0">
      <sharedItems containsNonDate="0" containsString="0" containsBlank="1"/>
    </cacheField>
    <cacheField name="Column10294" numFmtId="0">
      <sharedItems containsNonDate="0" containsString="0" containsBlank="1"/>
    </cacheField>
    <cacheField name="Column10295" numFmtId="0">
      <sharedItems containsNonDate="0" containsString="0" containsBlank="1"/>
    </cacheField>
    <cacheField name="Column10296" numFmtId="0">
      <sharedItems containsNonDate="0" containsString="0" containsBlank="1"/>
    </cacheField>
    <cacheField name="Column10297" numFmtId="0">
      <sharedItems containsNonDate="0" containsString="0" containsBlank="1"/>
    </cacheField>
    <cacheField name="Column10298" numFmtId="0">
      <sharedItems containsNonDate="0" containsString="0" containsBlank="1"/>
    </cacheField>
    <cacheField name="Column10299" numFmtId="0">
      <sharedItems containsNonDate="0" containsString="0" containsBlank="1"/>
    </cacheField>
    <cacheField name="Column10300" numFmtId="0">
      <sharedItems containsNonDate="0" containsString="0" containsBlank="1"/>
    </cacheField>
    <cacheField name="Column10301" numFmtId="0">
      <sharedItems containsNonDate="0" containsString="0" containsBlank="1"/>
    </cacheField>
    <cacheField name="Column10302" numFmtId="0">
      <sharedItems containsNonDate="0" containsString="0" containsBlank="1"/>
    </cacheField>
    <cacheField name="Column10303" numFmtId="0">
      <sharedItems containsNonDate="0" containsString="0" containsBlank="1"/>
    </cacheField>
    <cacheField name="Column10304" numFmtId="0">
      <sharedItems containsNonDate="0" containsString="0" containsBlank="1"/>
    </cacheField>
    <cacheField name="Column10305" numFmtId="0">
      <sharedItems containsNonDate="0" containsString="0" containsBlank="1"/>
    </cacheField>
    <cacheField name="Column10306" numFmtId="0">
      <sharedItems containsNonDate="0" containsString="0" containsBlank="1"/>
    </cacheField>
    <cacheField name="Column10307" numFmtId="0">
      <sharedItems containsNonDate="0" containsString="0" containsBlank="1"/>
    </cacheField>
    <cacheField name="Column10308" numFmtId="0">
      <sharedItems containsNonDate="0" containsString="0" containsBlank="1"/>
    </cacheField>
    <cacheField name="Column10309" numFmtId="0">
      <sharedItems containsNonDate="0" containsString="0" containsBlank="1"/>
    </cacheField>
    <cacheField name="Column10310" numFmtId="0">
      <sharedItems containsNonDate="0" containsString="0" containsBlank="1"/>
    </cacheField>
    <cacheField name="Column10311" numFmtId="0">
      <sharedItems containsNonDate="0" containsString="0" containsBlank="1"/>
    </cacheField>
    <cacheField name="Column10312" numFmtId="0">
      <sharedItems containsNonDate="0" containsString="0" containsBlank="1"/>
    </cacheField>
    <cacheField name="Column10313" numFmtId="0">
      <sharedItems containsNonDate="0" containsString="0" containsBlank="1"/>
    </cacheField>
    <cacheField name="Column10314" numFmtId="0">
      <sharedItems containsNonDate="0" containsString="0" containsBlank="1"/>
    </cacheField>
    <cacheField name="Column10315" numFmtId="0">
      <sharedItems containsNonDate="0" containsString="0" containsBlank="1"/>
    </cacheField>
    <cacheField name="Column10316" numFmtId="0">
      <sharedItems containsNonDate="0" containsString="0" containsBlank="1"/>
    </cacheField>
    <cacheField name="Column10317" numFmtId="0">
      <sharedItems containsNonDate="0" containsString="0" containsBlank="1"/>
    </cacheField>
    <cacheField name="Column10318" numFmtId="0">
      <sharedItems containsNonDate="0" containsString="0" containsBlank="1"/>
    </cacheField>
    <cacheField name="Column10319" numFmtId="0">
      <sharedItems containsNonDate="0" containsString="0" containsBlank="1"/>
    </cacheField>
    <cacheField name="Column10320" numFmtId="0">
      <sharedItems containsNonDate="0" containsString="0" containsBlank="1"/>
    </cacheField>
    <cacheField name="Column10321" numFmtId="0">
      <sharedItems containsNonDate="0" containsString="0" containsBlank="1"/>
    </cacheField>
    <cacheField name="Column10322" numFmtId="0">
      <sharedItems containsNonDate="0" containsString="0" containsBlank="1"/>
    </cacheField>
    <cacheField name="Column10323" numFmtId="0">
      <sharedItems containsNonDate="0" containsString="0" containsBlank="1"/>
    </cacheField>
    <cacheField name="Column10324" numFmtId="0">
      <sharedItems containsNonDate="0" containsString="0" containsBlank="1"/>
    </cacheField>
    <cacheField name="Column10325" numFmtId="0">
      <sharedItems containsNonDate="0" containsString="0" containsBlank="1"/>
    </cacheField>
    <cacheField name="Column10326" numFmtId="0">
      <sharedItems containsNonDate="0" containsString="0" containsBlank="1"/>
    </cacheField>
    <cacheField name="Column10327" numFmtId="0">
      <sharedItems containsNonDate="0" containsString="0" containsBlank="1"/>
    </cacheField>
    <cacheField name="Column10328" numFmtId="0">
      <sharedItems containsNonDate="0" containsString="0" containsBlank="1"/>
    </cacheField>
    <cacheField name="Column10329" numFmtId="0">
      <sharedItems containsNonDate="0" containsString="0" containsBlank="1"/>
    </cacheField>
    <cacheField name="Column10330" numFmtId="0">
      <sharedItems containsNonDate="0" containsString="0" containsBlank="1"/>
    </cacheField>
    <cacheField name="Column10331" numFmtId="0">
      <sharedItems containsNonDate="0" containsString="0" containsBlank="1"/>
    </cacheField>
    <cacheField name="Column10332" numFmtId="0">
      <sharedItems containsNonDate="0" containsString="0" containsBlank="1"/>
    </cacheField>
    <cacheField name="Column10333" numFmtId="0">
      <sharedItems containsNonDate="0" containsString="0" containsBlank="1"/>
    </cacheField>
    <cacheField name="Column10334" numFmtId="0">
      <sharedItems containsNonDate="0" containsString="0" containsBlank="1"/>
    </cacheField>
    <cacheField name="Column10335" numFmtId="0">
      <sharedItems containsNonDate="0" containsString="0" containsBlank="1"/>
    </cacheField>
    <cacheField name="Column10336" numFmtId="0">
      <sharedItems containsNonDate="0" containsString="0" containsBlank="1"/>
    </cacheField>
    <cacheField name="Column10337" numFmtId="0">
      <sharedItems containsNonDate="0" containsString="0" containsBlank="1"/>
    </cacheField>
    <cacheField name="Column10338" numFmtId="0">
      <sharedItems containsNonDate="0" containsString="0" containsBlank="1"/>
    </cacheField>
    <cacheField name="Column10339" numFmtId="0">
      <sharedItems containsNonDate="0" containsString="0" containsBlank="1"/>
    </cacheField>
    <cacheField name="Column10340" numFmtId="0">
      <sharedItems containsNonDate="0" containsString="0" containsBlank="1"/>
    </cacheField>
    <cacheField name="Column10341" numFmtId="0">
      <sharedItems containsNonDate="0" containsString="0" containsBlank="1"/>
    </cacheField>
    <cacheField name="Column10342" numFmtId="0">
      <sharedItems containsNonDate="0" containsString="0" containsBlank="1"/>
    </cacheField>
    <cacheField name="Column10343" numFmtId="0">
      <sharedItems containsNonDate="0" containsString="0" containsBlank="1"/>
    </cacheField>
    <cacheField name="Column10344" numFmtId="0">
      <sharedItems containsNonDate="0" containsString="0" containsBlank="1"/>
    </cacheField>
    <cacheField name="Column10345" numFmtId="0">
      <sharedItems containsNonDate="0" containsString="0" containsBlank="1"/>
    </cacheField>
    <cacheField name="Column10346" numFmtId="0">
      <sharedItems containsNonDate="0" containsString="0" containsBlank="1"/>
    </cacheField>
    <cacheField name="Column10347" numFmtId="0">
      <sharedItems containsNonDate="0" containsString="0" containsBlank="1"/>
    </cacheField>
    <cacheField name="Column10348" numFmtId="0">
      <sharedItems containsNonDate="0" containsString="0" containsBlank="1"/>
    </cacheField>
    <cacheField name="Column10349" numFmtId="0">
      <sharedItems containsNonDate="0" containsString="0" containsBlank="1"/>
    </cacheField>
    <cacheField name="Column10350" numFmtId="0">
      <sharedItems containsNonDate="0" containsString="0" containsBlank="1"/>
    </cacheField>
    <cacheField name="Column10351" numFmtId="0">
      <sharedItems containsNonDate="0" containsString="0" containsBlank="1"/>
    </cacheField>
    <cacheField name="Column10352" numFmtId="0">
      <sharedItems containsNonDate="0" containsString="0" containsBlank="1"/>
    </cacheField>
    <cacheField name="Column10353" numFmtId="0">
      <sharedItems containsNonDate="0" containsString="0" containsBlank="1"/>
    </cacheField>
    <cacheField name="Column10354" numFmtId="0">
      <sharedItems containsNonDate="0" containsString="0" containsBlank="1"/>
    </cacheField>
    <cacheField name="Column10355" numFmtId="0">
      <sharedItems containsNonDate="0" containsString="0" containsBlank="1"/>
    </cacheField>
    <cacheField name="Column10356" numFmtId="0">
      <sharedItems containsNonDate="0" containsString="0" containsBlank="1"/>
    </cacheField>
    <cacheField name="Column10357" numFmtId="0">
      <sharedItems containsNonDate="0" containsString="0" containsBlank="1"/>
    </cacheField>
    <cacheField name="Column10358" numFmtId="0">
      <sharedItems containsNonDate="0" containsString="0" containsBlank="1"/>
    </cacheField>
    <cacheField name="Column10359" numFmtId="0">
      <sharedItems containsNonDate="0" containsString="0" containsBlank="1"/>
    </cacheField>
    <cacheField name="Column10360" numFmtId="0">
      <sharedItems containsNonDate="0" containsString="0" containsBlank="1"/>
    </cacheField>
    <cacheField name="Column10361" numFmtId="0">
      <sharedItems containsNonDate="0" containsString="0" containsBlank="1"/>
    </cacheField>
    <cacheField name="Column10362" numFmtId="0">
      <sharedItems containsNonDate="0" containsString="0" containsBlank="1"/>
    </cacheField>
    <cacheField name="Column10363" numFmtId="0">
      <sharedItems containsNonDate="0" containsString="0" containsBlank="1"/>
    </cacheField>
    <cacheField name="Column10364" numFmtId="0">
      <sharedItems containsNonDate="0" containsString="0" containsBlank="1"/>
    </cacheField>
    <cacheField name="Column10365" numFmtId="0">
      <sharedItems containsNonDate="0" containsString="0" containsBlank="1"/>
    </cacheField>
    <cacheField name="Column10366" numFmtId="0">
      <sharedItems containsNonDate="0" containsString="0" containsBlank="1"/>
    </cacheField>
    <cacheField name="Column10367" numFmtId="0">
      <sharedItems containsNonDate="0" containsString="0" containsBlank="1"/>
    </cacheField>
    <cacheField name="Column10368" numFmtId="0">
      <sharedItems containsNonDate="0" containsString="0" containsBlank="1"/>
    </cacheField>
    <cacheField name="Column10369" numFmtId="0">
      <sharedItems containsNonDate="0" containsString="0" containsBlank="1"/>
    </cacheField>
    <cacheField name="Column10370" numFmtId="0">
      <sharedItems containsNonDate="0" containsString="0" containsBlank="1"/>
    </cacheField>
    <cacheField name="Column10371" numFmtId="0">
      <sharedItems containsNonDate="0" containsString="0" containsBlank="1"/>
    </cacheField>
    <cacheField name="Column10372" numFmtId="0">
      <sharedItems containsNonDate="0" containsString="0" containsBlank="1"/>
    </cacheField>
    <cacheField name="Column10373" numFmtId="0">
      <sharedItems containsNonDate="0" containsString="0" containsBlank="1"/>
    </cacheField>
    <cacheField name="Column10374" numFmtId="0">
      <sharedItems containsNonDate="0" containsString="0" containsBlank="1"/>
    </cacheField>
    <cacheField name="Column10375" numFmtId="0">
      <sharedItems containsNonDate="0" containsString="0" containsBlank="1"/>
    </cacheField>
    <cacheField name="Column10376" numFmtId="0">
      <sharedItems containsNonDate="0" containsString="0" containsBlank="1"/>
    </cacheField>
    <cacheField name="Column10377" numFmtId="0">
      <sharedItems containsNonDate="0" containsString="0" containsBlank="1"/>
    </cacheField>
    <cacheField name="Column10378" numFmtId="0">
      <sharedItems containsNonDate="0" containsString="0" containsBlank="1"/>
    </cacheField>
    <cacheField name="Column10379" numFmtId="0">
      <sharedItems containsNonDate="0" containsString="0" containsBlank="1"/>
    </cacheField>
    <cacheField name="Column10380" numFmtId="0">
      <sharedItems containsNonDate="0" containsString="0" containsBlank="1"/>
    </cacheField>
    <cacheField name="Column10381" numFmtId="0">
      <sharedItems containsNonDate="0" containsString="0" containsBlank="1"/>
    </cacheField>
    <cacheField name="Column10382" numFmtId="0">
      <sharedItems containsNonDate="0" containsString="0" containsBlank="1"/>
    </cacheField>
    <cacheField name="Column10383" numFmtId="0">
      <sharedItems containsNonDate="0" containsString="0" containsBlank="1"/>
    </cacheField>
    <cacheField name="Column10384" numFmtId="0">
      <sharedItems containsNonDate="0" containsString="0" containsBlank="1"/>
    </cacheField>
    <cacheField name="Column10385" numFmtId="0">
      <sharedItems containsNonDate="0" containsString="0" containsBlank="1"/>
    </cacheField>
    <cacheField name="Column10386" numFmtId="0">
      <sharedItems containsNonDate="0" containsString="0" containsBlank="1"/>
    </cacheField>
    <cacheField name="Column10387" numFmtId="0">
      <sharedItems containsNonDate="0" containsString="0" containsBlank="1"/>
    </cacheField>
    <cacheField name="Column10388" numFmtId="0">
      <sharedItems containsNonDate="0" containsString="0" containsBlank="1"/>
    </cacheField>
    <cacheField name="Column10389" numFmtId="0">
      <sharedItems containsNonDate="0" containsString="0" containsBlank="1"/>
    </cacheField>
    <cacheField name="Column10390" numFmtId="0">
      <sharedItems containsNonDate="0" containsString="0" containsBlank="1"/>
    </cacheField>
    <cacheField name="Column10391" numFmtId="0">
      <sharedItems containsNonDate="0" containsString="0" containsBlank="1"/>
    </cacheField>
    <cacheField name="Column10392" numFmtId="0">
      <sharedItems containsNonDate="0" containsString="0" containsBlank="1"/>
    </cacheField>
    <cacheField name="Column10393" numFmtId="0">
      <sharedItems containsNonDate="0" containsString="0" containsBlank="1"/>
    </cacheField>
    <cacheField name="Column10394" numFmtId="0">
      <sharedItems containsNonDate="0" containsString="0" containsBlank="1"/>
    </cacheField>
    <cacheField name="Column10395" numFmtId="0">
      <sharedItems containsNonDate="0" containsString="0" containsBlank="1"/>
    </cacheField>
    <cacheField name="Column10396" numFmtId="0">
      <sharedItems containsNonDate="0" containsString="0" containsBlank="1"/>
    </cacheField>
    <cacheField name="Column10397" numFmtId="0">
      <sharedItems containsNonDate="0" containsString="0" containsBlank="1"/>
    </cacheField>
    <cacheField name="Column10398" numFmtId="0">
      <sharedItems containsNonDate="0" containsString="0" containsBlank="1"/>
    </cacheField>
    <cacheField name="Column10399" numFmtId="0">
      <sharedItems containsNonDate="0" containsString="0" containsBlank="1"/>
    </cacheField>
    <cacheField name="Column10400" numFmtId="0">
      <sharedItems containsNonDate="0" containsString="0" containsBlank="1"/>
    </cacheField>
    <cacheField name="Column10401" numFmtId="0">
      <sharedItems containsNonDate="0" containsString="0" containsBlank="1"/>
    </cacheField>
    <cacheField name="Column10402" numFmtId="0">
      <sharedItems containsNonDate="0" containsString="0" containsBlank="1"/>
    </cacheField>
    <cacheField name="Column10403" numFmtId="0">
      <sharedItems containsNonDate="0" containsString="0" containsBlank="1"/>
    </cacheField>
    <cacheField name="Column10404" numFmtId="0">
      <sharedItems containsNonDate="0" containsString="0" containsBlank="1"/>
    </cacheField>
    <cacheField name="Column10405" numFmtId="0">
      <sharedItems containsNonDate="0" containsString="0" containsBlank="1"/>
    </cacheField>
    <cacheField name="Column10406" numFmtId="0">
      <sharedItems containsNonDate="0" containsString="0" containsBlank="1"/>
    </cacheField>
    <cacheField name="Column10407" numFmtId="0">
      <sharedItems containsNonDate="0" containsString="0" containsBlank="1"/>
    </cacheField>
    <cacheField name="Column10408" numFmtId="0">
      <sharedItems containsNonDate="0" containsString="0" containsBlank="1"/>
    </cacheField>
    <cacheField name="Column10409" numFmtId="0">
      <sharedItems containsNonDate="0" containsString="0" containsBlank="1"/>
    </cacheField>
    <cacheField name="Column10410" numFmtId="0">
      <sharedItems containsNonDate="0" containsString="0" containsBlank="1"/>
    </cacheField>
    <cacheField name="Column10411" numFmtId="0">
      <sharedItems containsNonDate="0" containsString="0" containsBlank="1"/>
    </cacheField>
    <cacheField name="Column10412" numFmtId="0">
      <sharedItems containsNonDate="0" containsString="0" containsBlank="1"/>
    </cacheField>
    <cacheField name="Column10413" numFmtId="0">
      <sharedItems containsNonDate="0" containsString="0" containsBlank="1"/>
    </cacheField>
    <cacheField name="Column10414" numFmtId="0">
      <sharedItems containsNonDate="0" containsString="0" containsBlank="1"/>
    </cacheField>
    <cacheField name="Column10415" numFmtId="0">
      <sharedItems containsNonDate="0" containsString="0" containsBlank="1"/>
    </cacheField>
    <cacheField name="Column10416" numFmtId="0">
      <sharedItems containsNonDate="0" containsString="0" containsBlank="1"/>
    </cacheField>
    <cacheField name="Column10417" numFmtId="0">
      <sharedItems containsNonDate="0" containsString="0" containsBlank="1"/>
    </cacheField>
    <cacheField name="Column10418" numFmtId="0">
      <sharedItems containsNonDate="0" containsString="0" containsBlank="1"/>
    </cacheField>
    <cacheField name="Column10419" numFmtId="0">
      <sharedItems containsNonDate="0" containsString="0" containsBlank="1"/>
    </cacheField>
    <cacheField name="Column10420" numFmtId="0">
      <sharedItems containsNonDate="0" containsString="0" containsBlank="1"/>
    </cacheField>
    <cacheField name="Column10421" numFmtId="0">
      <sharedItems containsNonDate="0" containsString="0" containsBlank="1"/>
    </cacheField>
    <cacheField name="Column10422" numFmtId="0">
      <sharedItems containsNonDate="0" containsString="0" containsBlank="1"/>
    </cacheField>
    <cacheField name="Column10423" numFmtId="0">
      <sharedItems containsNonDate="0" containsString="0" containsBlank="1"/>
    </cacheField>
    <cacheField name="Column10424" numFmtId="0">
      <sharedItems containsNonDate="0" containsString="0" containsBlank="1"/>
    </cacheField>
    <cacheField name="Column10425" numFmtId="0">
      <sharedItems containsNonDate="0" containsString="0" containsBlank="1"/>
    </cacheField>
    <cacheField name="Column10426" numFmtId="0">
      <sharedItems containsNonDate="0" containsString="0" containsBlank="1"/>
    </cacheField>
    <cacheField name="Column10427" numFmtId="0">
      <sharedItems containsNonDate="0" containsString="0" containsBlank="1"/>
    </cacheField>
    <cacheField name="Column10428" numFmtId="0">
      <sharedItems containsNonDate="0" containsString="0" containsBlank="1"/>
    </cacheField>
    <cacheField name="Column10429" numFmtId="0">
      <sharedItems containsNonDate="0" containsString="0" containsBlank="1"/>
    </cacheField>
    <cacheField name="Column10430" numFmtId="0">
      <sharedItems containsNonDate="0" containsString="0" containsBlank="1"/>
    </cacheField>
    <cacheField name="Column10431" numFmtId="0">
      <sharedItems containsNonDate="0" containsString="0" containsBlank="1"/>
    </cacheField>
    <cacheField name="Column10432" numFmtId="0">
      <sharedItems containsNonDate="0" containsString="0" containsBlank="1"/>
    </cacheField>
    <cacheField name="Column10433" numFmtId="0">
      <sharedItems containsNonDate="0" containsString="0" containsBlank="1"/>
    </cacheField>
    <cacheField name="Column10434" numFmtId="0">
      <sharedItems containsNonDate="0" containsString="0" containsBlank="1"/>
    </cacheField>
    <cacheField name="Column10435" numFmtId="0">
      <sharedItems containsNonDate="0" containsString="0" containsBlank="1"/>
    </cacheField>
    <cacheField name="Column10436" numFmtId="0">
      <sharedItems containsNonDate="0" containsString="0" containsBlank="1"/>
    </cacheField>
    <cacheField name="Column10437" numFmtId="0">
      <sharedItems containsNonDate="0" containsString="0" containsBlank="1"/>
    </cacheField>
    <cacheField name="Column10438" numFmtId="0">
      <sharedItems containsNonDate="0" containsString="0" containsBlank="1"/>
    </cacheField>
    <cacheField name="Column10439" numFmtId="0">
      <sharedItems containsNonDate="0" containsString="0" containsBlank="1"/>
    </cacheField>
    <cacheField name="Column10440" numFmtId="0">
      <sharedItems containsNonDate="0" containsString="0" containsBlank="1"/>
    </cacheField>
    <cacheField name="Column10441" numFmtId="0">
      <sharedItems containsNonDate="0" containsString="0" containsBlank="1"/>
    </cacheField>
    <cacheField name="Column10442" numFmtId="0">
      <sharedItems containsNonDate="0" containsString="0" containsBlank="1"/>
    </cacheField>
    <cacheField name="Column10443" numFmtId="0">
      <sharedItems containsNonDate="0" containsString="0" containsBlank="1"/>
    </cacheField>
    <cacheField name="Column10444" numFmtId="0">
      <sharedItems containsNonDate="0" containsString="0" containsBlank="1"/>
    </cacheField>
    <cacheField name="Column10445" numFmtId="0">
      <sharedItems containsNonDate="0" containsString="0" containsBlank="1"/>
    </cacheField>
    <cacheField name="Column10446" numFmtId="0">
      <sharedItems containsNonDate="0" containsString="0" containsBlank="1"/>
    </cacheField>
    <cacheField name="Column10447" numFmtId="0">
      <sharedItems containsNonDate="0" containsString="0" containsBlank="1"/>
    </cacheField>
    <cacheField name="Column10448" numFmtId="0">
      <sharedItems containsNonDate="0" containsString="0" containsBlank="1"/>
    </cacheField>
    <cacheField name="Column10449" numFmtId="0">
      <sharedItems containsNonDate="0" containsString="0" containsBlank="1"/>
    </cacheField>
    <cacheField name="Column10450" numFmtId="0">
      <sharedItems containsNonDate="0" containsString="0" containsBlank="1"/>
    </cacheField>
    <cacheField name="Column10451" numFmtId="0">
      <sharedItems containsNonDate="0" containsString="0" containsBlank="1"/>
    </cacheField>
    <cacheField name="Column10452" numFmtId="0">
      <sharedItems containsNonDate="0" containsString="0" containsBlank="1"/>
    </cacheField>
    <cacheField name="Column10453" numFmtId="0">
      <sharedItems containsNonDate="0" containsString="0" containsBlank="1"/>
    </cacheField>
    <cacheField name="Column10454" numFmtId="0">
      <sharedItems containsNonDate="0" containsString="0" containsBlank="1"/>
    </cacheField>
    <cacheField name="Column10455" numFmtId="0">
      <sharedItems containsNonDate="0" containsString="0" containsBlank="1"/>
    </cacheField>
    <cacheField name="Column10456" numFmtId="0">
      <sharedItems containsNonDate="0" containsString="0" containsBlank="1"/>
    </cacheField>
    <cacheField name="Column10457" numFmtId="0">
      <sharedItems containsNonDate="0" containsString="0" containsBlank="1"/>
    </cacheField>
    <cacheField name="Column10458" numFmtId="0">
      <sharedItems containsNonDate="0" containsString="0" containsBlank="1"/>
    </cacheField>
    <cacheField name="Column10459" numFmtId="0">
      <sharedItems containsNonDate="0" containsString="0" containsBlank="1"/>
    </cacheField>
    <cacheField name="Column10460" numFmtId="0">
      <sharedItems containsNonDate="0" containsString="0" containsBlank="1"/>
    </cacheField>
    <cacheField name="Column10461" numFmtId="0">
      <sharedItems containsNonDate="0" containsString="0" containsBlank="1"/>
    </cacheField>
    <cacheField name="Column10462" numFmtId="0">
      <sharedItems containsNonDate="0" containsString="0" containsBlank="1"/>
    </cacheField>
    <cacheField name="Column10463" numFmtId="0">
      <sharedItems containsNonDate="0" containsString="0" containsBlank="1"/>
    </cacheField>
    <cacheField name="Column10464" numFmtId="0">
      <sharedItems containsNonDate="0" containsString="0" containsBlank="1"/>
    </cacheField>
    <cacheField name="Column10465" numFmtId="0">
      <sharedItems containsNonDate="0" containsString="0" containsBlank="1"/>
    </cacheField>
    <cacheField name="Column10466" numFmtId="0">
      <sharedItems containsNonDate="0" containsString="0" containsBlank="1"/>
    </cacheField>
    <cacheField name="Column10467" numFmtId="0">
      <sharedItems containsNonDate="0" containsString="0" containsBlank="1"/>
    </cacheField>
    <cacheField name="Column10468" numFmtId="0">
      <sharedItems containsNonDate="0" containsString="0" containsBlank="1"/>
    </cacheField>
    <cacheField name="Column10469" numFmtId="0">
      <sharedItems containsNonDate="0" containsString="0" containsBlank="1"/>
    </cacheField>
    <cacheField name="Column10470" numFmtId="0">
      <sharedItems containsNonDate="0" containsString="0" containsBlank="1"/>
    </cacheField>
    <cacheField name="Column10471" numFmtId="0">
      <sharedItems containsNonDate="0" containsString="0" containsBlank="1"/>
    </cacheField>
    <cacheField name="Column10472" numFmtId="0">
      <sharedItems containsNonDate="0" containsString="0" containsBlank="1"/>
    </cacheField>
    <cacheField name="Column10473" numFmtId="0">
      <sharedItems containsNonDate="0" containsString="0" containsBlank="1"/>
    </cacheField>
    <cacheField name="Column10474" numFmtId="0">
      <sharedItems containsNonDate="0" containsString="0" containsBlank="1"/>
    </cacheField>
    <cacheField name="Column10475" numFmtId="0">
      <sharedItems containsNonDate="0" containsString="0" containsBlank="1"/>
    </cacheField>
    <cacheField name="Column10476" numFmtId="0">
      <sharedItems containsNonDate="0" containsString="0" containsBlank="1"/>
    </cacheField>
    <cacheField name="Column10477" numFmtId="0">
      <sharedItems containsNonDate="0" containsString="0" containsBlank="1"/>
    </cacheField>
    <cacheField name="Column10478" numFmtId="0">
      <sharedItems containsNonDate="0" containsString="0" containsBlank="1"/>
    </cacheField>
    <cacheField name="Column10479" numFmtId="0">
      <sharedItems containsNonDate="0" containsString="0" containsBlank="1"/>
    </cacheField>
    <cacheField name="Column10480" numFmtId="0">
      <sharedItems containsNonDate="0" containsString="0" containsBlank="1"/>
    </cacheField>
    <cacheField name="Column10481" numFmtId="0">
      <sharedItems containsNonDate="0" containsString="0" containsBlank="1"/>
    </cacheField>
    <cacheField name="Column10482" numFmtId="0">
      <sharedItems containsNonDate="0" containsString="0" containsBlank="1"/>
    </cacheField>
    <cacheField name="Column10483" numFmtId="0">
      <sharedItems containsNonDate="0" containsString="0" containsBlank="1"/>
    </cacheField>
    <cacheField name="Column10484" numFmtId="0">
      <sharedItems containsNonDate="0" containsString="0" containsBlank="1"/>
    </cacheField>
    <cacheField name="Column10485" numFmtId="0">
      <sharedItems containsNonDate="0" containsString="0" containsBlank="1"/>
    </cacheField>
    <cacheField name="Column10486" numFmtId="0">
      <sharedItems containsNonDate="0" containsString="0" containsBlank="1"/>
    </cacheField>
    <cacheField name="Column10487" numFmtId="0">
      <sharedItems containsNonDate="0" containsString="0" containsBlank="1"/>
    </cacheField>
    <cacheField name="Column10488" numFmtId="0">
      <sharedItems containsNonDate="0" containsString="0" containsBlank="1"/>
    </cacheField>
    <cacheField name="Column10489" numFmtId="0">
      <sharedItems containsNonDate="0" containsString="0" containsBlank="1"/>
    </cacheField>
    <cacheField name="Column10490" numFmtId="0">
      <sharedItems containsNonDate="0" containsString="0" containsBlank="1"/>
    </cacheField>
    <cacheField name="Column10491" numFmtId="0">
      <sharedItems containsNonDate="0" containsString="0" containsBlank="1"/>
    </cacheField>
    <cacheField name="Column10492" numFmtId="0">
      <sharedItems containsNonDate="0" containsString="0" containsBlank="1"/>
    </cacheField>
    <cacheField name="Column10493" numFmtId="0">
      <sharedItems containsNonDate="0" containsString="0" containsBlank="1"/>
    </cacheField>
    <cacheField name="Column10494" numFmtId="0">
      <sharedItems containsNonDate="0" containsString="0" containsBlank="1"/>
    </cacheField>
    <cacheField name="Column10495" numFmtId="0">
      <sharedItems containsNonDate="0" containsString="0" containsBlank="1"/>
    </cacheField>
    <cacheField name="Column10496" numFmtId="0">
      <sharedItems containsNonDate="0" containsString="0" containsBlank="1"/>
    </cacheField>
    <cacheField name="Column10497" numFmtId="0">
      <sharedItems containsNonDate="0" containsString="0" containsBlank="1"/>
    </cacheField>
    <cacheField name="Column10498" numFmtId="0">
      <sharedItems containsNonDate="0" containsString="0" containsBlank="1"/>
    </cacheField>
    <cacheField name="Column10499" numFmtId="0">
      <sharedItems containsNonDate="0" containsString="0" containsBlank="1"/>
    </cacheField>
    <cacheField name="Column10500" numFmtId="0">
      <sharedItems containsNonDate="0" containsString="0" containsBlank="1"/>
    </cacheField>
    <cacheField name="Column10501" numFmtId="0">
      <sharedItems containsNonDate="0" containsString="0" containsBlank="1"/>
    </cacheField>
    <cacheField name="Column10502" numFmtId="0">
      <sharedItems containsNonDate="0" containsString="0" containsBlank="1"/>
    </cacheField>
    <cacheField name="Column10503" numFmtId="0">
      <sharedItems containsNonDate="0" containsString="0" containsBlank="1"/>
    </cacheField>
    <cacheField name="Column10504" numFmtId="0">
      <sharedItems containsNonDate="0" containsString="0" containsBlank="1"/>
    </cacheField>
    <cacheField name="Column10505" numFmtId="0">
      <sharedItems containsNonDate="0" containsString="0" containsBlank="1"/>
    </cacheField>
    <cacheField name="Column10506" numFmtId="0">
      <sharedItems containsNonDate="0" containsString="0" containsBlank="1"/>
    </cacheField>
    <cacheField name="Column10507" numFmtId="0">
      <sharedItems containsNonDate="0" containsString="0" containsBlank="1"/>
    </cacheField>
    <cacheField name="Column10508" numFmtId="0">
      <sharedItems containsNonDate="0" containsString="0" containsBlank="1"/>
    </cacheField>
    <cacheField name="Column10509" numFmtId="0">
      <sharedItems containsNonDate="0" containsString="0" containsBlank="1"/>
    </cacheField>
    <cacheField name="Column10510" numFmtId="0">
      <sharedItems containsNonDate="0" containsString="0" containsBlank="1"/>
    </cacheField>
    <cacheField name="Column10511" numFmtId="0">
      <sharedItems containsNonDate="0" containsString="0" containsBlank="1"/>
    </cacheField>
    <cacheField name="Column10512" numFmtId="0">
      <sharedItems containsNonDate="0" containsString="0" containsBlank="1"/>
    </cacheField>
    <cacheField name="Column10513" numFmtId="0">
      <sharedItems containsNonDate="0" containsString="0" containsBlank="1"/>
    </cacheField>
    <cacheField name="Column10514" numFmtId="0">
      <sharedItems containsNonDate="0" containsString="0" containsBlank="1"/>
    </cacheField>
    <cacheField name="Column10515" numFmtId="0">
      <sharedItems containsNonDate="0" containsString="0" containsBlank="1"/>
    </cacheField>
    <cacheField name="Column10516" numFmtId="0">
      <sharedItems containsNonDate="0" containsString="0" containsBlank="1"/>
    </cacheField>
    <cacheField name="Column10517" numFmtId="0">
      <sharedItems containsNonDate="0" containsString="0" containsBlank="1"/>
    </cacheField>
    <cacheField name="Column10518" numFmtId="0">
      <sharedItems containsNonDate="0" containsString="0" containsBlank="1"/>
    </cacheField>
    <cacheField name="Column10519" numFmtId="0">
      <sharedItems containsNonDate="0" containsString="0" containsBlank="1"/>
    </cacheField>
    <cacheField name="Column10520" numFmtId="0">
      <sharedItems containsNonDate="0" containsString="0" containsBlank="1"/>
    </cacheField>
    <cacheField name="Column10521" numFmtId="0">
      <sharedItems containsNonDate="0" containsString="0" containsBlank="1"/>
    </cacheField>
    <cacheField name="Column10522" numFmtId="0">
      <sharedItems containsNonDate="0" containsString="0" containsBlank="1"/>
    </cacheField>
    <cacheField name="Column10523" numFmtId="0">
      <sharedItems containsNonDate="0" containsString="0" containsBlank="1"/>
    </cacheField>
    <cacheField name="Column10524" numFmtId="0">
      <sharedItems containsNonDate="0" containsString="0" containsBlank="1"/>
    </cacheField>
    <cacheField name="Column10525" numFmtId="0">
      <sharedItems containsNonDate="0" containsString="0" containsBlank="1"/>
    </cacheField>
    <cacheField name="Column10526" numFmtId="0">
      <sharedItems containsNonDate="0" containsString="0" containsBlank="1"/>
    </cacheField>
    <cacheField name="Column10527" numFmtId="0">
      <sharedItems containsNonDate="0" containsString="0" containsBlank="1"/>
    </cacheField>
    <cacheField name="Column10528" numFmtId="0">
      <sharedItems containsNonDate="0" containsString="0" containsBlank="1"/>
    </cacheField>
    <cacheField name="Column10529" numFmtId="0">
      <sharedItems containsNonDate="0" containsString="0" containsBlank="1"/>
    </cacheField>
    <cacheField name="Column10530" numFmtId="0">
      <sharedItems containsNonDate="0" containsString="0" containsBlank="1"/>
    </cacheField>
    <cacheField name="Column10531" numFmtId="0">
      <sharedItems containsNonDate="0" containsString="0" containsBlank="1"/>
    </cacheField>
    <cacheField name="Column10532" numFmtId="0">
      <sharedItems containsNonDate="0" containsString="0" containsBlank="1"/>
    </cacheField>
    <cacheField name="Column10533" numFmtId="0">
      <sharedItems containsNonDate="0" containsString="0" containsBlank="1"/>
    </cacheField>
    <cacheField name="Column10534" numFmtId="0">
      <sharedItems containsNonDate="0" containsString="0" containsBlank="1"/>
    </cacheField>
    <cacheField name="Column10535" numFmtId="0">
      <sharedItems containsNonDate="0" containsString="0" containsBlank="1"/>
    </cacheField>
    <cacheField name="Column10536" numFmtId="0">
      <sharedItems containsNonDate="0" containsString="0" containsBlank="1"/>
    </cacheField>
    <cacheField name="Column10537" numFmtId="0">
      <sharedItems containsNonDate="0" containsString="0" containsBlank="1"/>
    </cacheField>
    <cacheField name="Column10538" numFmtId="0">
      <sharedItems containsNonDate="0" containsString="0" containsBlank="1"/>
    </cacheField>
    <cacheField name="Column10539" numFmtId="0">
      <sharedItems containsNonDate="0" containsString="0" containsBlank="1"/>
    </cacheField>
    <cacheField name="Column10540" numFmtId="0">
      <sharedItems containsNonDate="0" containsString="0" containsBlank="1"/>
    </cacheField>
    <cacheField name="Column10541" numFmtId="0">
      <sharedItems containsNonDate="0" containsString="0" containsBlank="1"/>
    </cacheField>
    <cacheField name="Column10542" numFmtId="0">
      <sharedItems containsNonDate="0" containsString="0" containsBlank="1"/>
    </cacheField>
    <cacheField name="Column10543" numFmtId="0">
      <sharedItems containsNonDate="0" containsString="0" containsBlank="1"/>
    </cacheField>
    <cacheField name="Column10544" numFmtId="0">
      <sharedItems containsNonDate="0" containsString="0" containsBlank="1"/>
    </cacheField>
    <cacheField name="Column10545" numFmtId="0">
      <sharedItems containsNonDate="0" containsString="0" containsBlank="1"/>
    </cacheField>
    <cacheField name="Column10546" numFmtId="0">
      <sharedItems containsNonDate="0" containsString="0" containsBlank="1"/>
    </cacheField>
    <cacheField name="Column10547" numFmtId="0">
      <sharedItems containsNonDate="0" containsString="0" containsBlank="1"/>
    </cacheField>
    <cacheField name="Column10548" numFmtId="0">
      <sharedItems containsNonDate="0" containsString="0" containsBlank="1"/>
    </cacheField>
    <cacheField name="Column10549" numFmtId="0">
      <sharedItems containsNonDate="0" containsString="0" containsBlank="1"/>
    </cacheField>
    <cacheField name="Column10550" numFmtId="0">
      <sharedItems containsNonDate="0" containsString="0" containsBlank="1"/>
    </cacheField>
    <cacheField name="Column10551" numFmtId="0">
      <sharedItems containsNonDate="0" containsString="0" containsBlank="1"/>
    </cacheField>
    <cacheField name="Column10552" numFmtId="0">
      <sharedItems containsNonDate="0" containsString="0" containsBlank="1"/>
    </cacheField>
    <cacheField name="Column10553" numFmtId="0">
      <sharedItems containsNonDate="0" containsString="0" containsBlank="1"/>
    </cacheField>
    <cacheField name="Column10554" numFmtId="0">
      <sharedItems containsNonDate="0" containsString="0" containsBlank="1"/>
    </cacheField>
    <cacheField name="Column10555" numFmtId="0">
      <sharedItems containsNonDate="0" containsString="0" containsBlank="1"/>
    </cacheField>
    <cacheField name="Column10556" numFmtId="0">
      <sharedItems containsNonDate="0" containsString="0" containsBlank="1"/>
    </cacheField>
    <cacheField name="Column10557" numFmtId="0">
      <sharedItems containsNonDate="0" containsString="0" containsBlank="1"/>
    </cacheField>
    <cacheField name="Column10558" numFmtId="0">
      <sharedItems containsNonDate="0" containsString="0" containsBlank="1"/>
    </cacheField>
    <cacheField name="Column10559" numFmtId="0">
      <sharedItems containsNonDate="0" containsString="0" containsBlank="1"/>
    </cacheField>
    <cacheField name="Column10560" numFmtId="0">
      <sharedItems containsNonDate="0" containsString="0" containsBlank="1"/>
    </cacheField>
    <cacheField name="Column10561" numFmtId="0">
      <sharedItems containsNonDate="0" containsString="0" containsBlank="1"/>
    </cacheField>
    <cacheField name="Column10562" numFmtId="0">
      <sharedItems containsNonDate="0" containsString="0" containsBlank="1"/>
    </cacheField>
    <cacheField name="Column10563" numFmtId="0">
      <sharedItems containsNonDate="0" containsString="0" containsBlank="1"/>
    </cacheField>
    <cacheField name="Column10564" numFmtId="0">
      <sharedItems containsNonDate="0" containsString="0" containsBlank="1"/>
    </cacheField>
    <cacheField name="Column10565" numFmtId="0">
      <sharedItems containsNonDate="0" containsString="0" containsBlank="1"/>
    </cacheField>
    <cacheField name="Column10566" numFmtId="0">
      <sharedItems containsNonDate="0" containsString="0" containsBlank="1"/>
    </cacheField>
    <cacheField name="Column10567" numFmtId="0">
      <sharedItems containsNonDate="0" containsString="0" containsBlank="1"/>
    </cacheField>
    <cacheField name="Column10568" numFmtId="0">
      <sharedItems containsNonDate="0" containsString="0" containsBlank="1"/>
    </cacheField>
    <cacheField name="Column10569" numFmtId="0">
      <sharedItems containsNonDate="0" containsString="0" containsBlank="1"/>
    </cacheField>
    <cacheField name="Column10570" numFmtId="0">
      <sharedItems containsNonDate="0" containsString="0" containsBlank="1"/>
    </cacheField>
    <cacheField name="Column10571" numFmtId="0">
      <sharedItems containsNonDate="0" containsString="0" containsBlank="1"/>
    </cacheField>
    <cacheField name="Column10572" numFmtId="0">
      <sharedItems containsNonDate="0" containsString="0" containsBlank="1"/>
    </cacheField>
    <cacheField name="Column10573" numFmtId="0">
      <sharedItems containsNonDate="0" containsString="0" containsBlank="1"/>
    </cacheField>
    <cacheField name="Column10574" numFmtId="0">
      <sharedItems containsNonDate="0" containsString="0" containsBlank="1"/>
    </cacheField>
    <cacheField name="Column10575" numFmtId="0">
      <sharedItems containsNonDate="0" containsString="0" containsBlank="1"/>
    </cacheField>
    <cacheField name="Column10576" numFmtId="0">
      <sharedItems containsNonDate="0" containsString="0" containsBlank="1"/>
    </cacheField>
    <cacheField name="Column10577" numFmtId="0">
      <sharedItems containsNonDate="0" containsString="0" containsBlank="1"/>
    </cacheField>
    <cacheField name="Column10578" numFmtId="0">
      <sharedItems containsNonDate="0" containsString="0" containsBlank="1"/>
    </cacheField>
    <cacheField name="Column10579" numFmtId="0">
      <sharedItems containsNonDate="0" containsString="0" containsBlank="1"/>
    </cacheField>
    <cacheField name="Column10580" numFmtId="0">
      <sharedItems containsNonDate="0" containsString="0" containsBlank="1"/>
    </cacheField>
    <cacheField name="Column10581" numFmtId="0">
      <sharedItems containsNonDate="0" containsString="0" containsBlank="1"/>
    </cacheField>
    <cacheField name="Column10582" numFmtId="0">
      <sharedItems containsNonDate="0" containsString="0" containsBlank="1"/>
    </cacheField>
    <cacheField name="Column10583" numFmtId="0">
      <sharedItems containsNonDate="0" containsString="0" containsBlank="1"/>
    </cacheField>
    <cacheField name="Column10584" numFmtId="0">
      <sharedItems containsNonDate="0" containsString="0" containsBlank="1"/>
    </cacheField>
    <cacheField name="Column10585" numFmtId="0">
      <sharedItems containsNonDate="0" containsString="0" containsBlank="1"/>
    </cacheField>
    <cacheField name="Column10586" numFmtId="0">
      <sharedItems containsNonDate="0" containsString="0" containsBlank="1"/>
    </cacheField>
    <cacheField name="Column10587" numFmtId="0">
      <sharedItems containsNonDate="0" containsString="0" containsBlank="1"/>
    </cacheField>
    <cacheField name="Column10588" numFmtId="0">
      <sharedItems containsNonDate="0" containsString="0" containsBlank="1"/>
    </cacheField>
    <cacheField name="Column10589" numFmtId="0">
      <sharedItems containsNonDate="0" containsString="0" containsBlank="1"/>
    </cacheField>
    <cacheField name="Column10590" numFmtId="0">
      <sharedItems containsNonDate="0" containsString="0" containsBlank="1"/>
    </cacheField>
    <cacheField name="Column10591" numFmtId="0">
      <sharedItems containsNonDate="0" containsString="0" containsBlank="1"/>
    </cacheField>
    <cacheField name="Column10592" numFmtId="0">
      <sharedItems containsNonDate="0" containsString="0" containsBlank="1"/>
    </cacheField>
    <cacheField name="Column10593" numFmtId="0">
      <sharedItems containsNonDate="0" containsString="0" containsBlank="1"/>
    </cacheField>
    <cacheField name="Column10594" numFmtId="0">
      <sharedItems containsNonDate="0" containsString="0" containsBlank="1"/>
    </cacheField>
    <cacheField name="Column10595" numFmtId="0">
      <sharedItems containsNonDate="0" containsString="0" containsBlank="1"/>
    </cacheField>
    <cacheField name="Column10596" numFmtId="0">
      <sharedItems containsNonDate="0" containsString="0" containsBlank="1"/>
    </cacheField>
    <cacheField name="Column10597" numFmtId="0">
      <sharedItems containsNonDate="0" containsString="0" containsBlank="1"/>
    </cacheField>
    <cacheField name="Column10598" numFmtId="0">
      <sharedItems containsNonDate="0" containsString="0" containsBlank="1"/>
    </cacheField>
    <cacheField name="Column10599" numFmtId="0">
      <sharedItems containsNonDate="0" containsString="0" containsBlank="1"/>
    </cacheField>
    <cacheField name="Column10600" numFmtId="0">
      <sharedItems containsNonDate="0" containsString="0" containsBlank="1"/>
    </cacheField>
    <cacheField name="Column10601" numFmtId="0">
      <sharedItems containsNonDate="0" containsString="0" containsBlank="1"/>
    </cacheField>
    <cacheField name="Column10602" numFmtId="0">
      <sharedItems containsNonDate="0" containsString="0" containsBlank="1"/>
    </cacheField>
    <cacheField name="Column10603" numFmtId="0">
      <sharedItems containsNonDate="0" containsString="0" containsBlank="1"/>
    </cacheField>
    <cacheField name="Column10604" numFmtId="0">
      <sharedItems containsNonDate="0" containsString="0" containsBlank="1"/>
    </cacheField>
    <cacheField name="Column10605" numFmtId="0">
      <sharedItems containsNonDate="0" containsString="0" containsBlank="1"/>
    </cacheField>
    <cacheField name="Column10606" numFmtId="0">
      <sharedItems containsNonDate="0" containsString="0" containsBlank="1"/>
    </cacheField>
    <cacheField name="Column10607" numFmtId="0">
      <sharedItems containsNonDate="0" containsString="0" containsBlank="1"/>
    </cacheField>
    <cacheField name="Column10608" numFmtId="0">
      <sharedItems containsNonDate="0" containsString="0" containsBlank="1"/>
    </cacheField>
    <cacheField name="Column10609" numFmtId="0">
      <sharedItems containsNonDate="0" containsString="0" containsBlank="1"/>
    </cacheField>
    <cacheField name="Column10610" numFmtId="0">
      <sharedItems containsNonDate="0" containsString="0" containsBlank="1"/>
    </cacheField>
    <cacheField name="Column10611" numFmtId="0">
      <sharedItems containsNonDate="0" containsString="0" containsBlank="1"/>
    </cacheField>
    <cacheField name="Column10612" numFmtId="0">
      <sharedItems containsNonDate="0" containsString="0" containsBlank="1"/>
    </cacheField>
    <cacheField name="Column10613" numFmtId="0">
      <sharedItems containsNonDate="0" containsString="0" containsBlank="1"/>
    </cacheField>
    <cacheField name="Column10614" numFmtId="0">
      <sharedItems containsNonDate="0" containsString="0" containsBlank="1"/>
    </cacheField>
    <cacheField name="Column10615" numFmtId="0">
      <sharedItems containsNonDate="0" containsString="0" containsBlank="1"/>
    </cacheField>
    <cacheField name="Column10616" numFmtId="0">
      <sharedItems containsNonDate="0" containsString="0" containsBlank="1"/>
    </cacheField>
    <cacheField name="Column10617" numFmtId="0">
      <sharedItems containsNonDate="0" containsString="0" containsBlank="1"/>
    </cacheField>
    <cacheField name="Column10618" numFmtId="0">
      <sharedItems containsNonDate="0" containsString="0" containsBlank="1"/>
    </cacheField>
    <cacheField name="Column10619" numFmtId="0">
      <sharedItems containsNonDate="0" containsString="0" containsBlank="1"/>
    </cacheField>
    <cacheField name="Column10620" numFmtId="0">
      <sharedItems containsNonDate="0" containsString="0" containsBlank="1"/>
    </cacheField>
    <cacheField name="Column10621" numFmtId="0">
      <sharedItems containsNonDate="0" containsString="0" containsBlank="1"/>
    </cacheField>
    <cacheField name="Column10622" numFmtId="0">
      <sharedItems containsNonDate="0" containsString="0" containsBlank="1"/>
    </cacheField>
    <cacheField name="Column10623" numFmtId="0">
      <sharedItems containsNonDate="0" containsString="0" containsBlank="1"/>
    </cacheField>
    <cacheField name="Column10624" numFmtId="0">
      <sharedItems containsNonDate="0" containsString="0" containsBlank="1"/>
    </cacheField>
    <cacheField name="Column10625" numFmtId="0">
      <sharedItems containsNonDate="0" containsString="0" containsBlank="1"/>
    </cacheField>
    <cacheField name="Column10626" numFmtId="0">
      <sharedItems containsNonDate="0" containsString="0" containsBlank="1"/>
    </cacheField>
    <cacheField name="Column10627" numFmtId="0">
      <sharedItems containsNonDate="0" containsString="0" containsBlank="1"/>
    </cacheField>
    <cacheField name="Column10628" numFmtId="0">
      <sharedItems containsNonDate="0" containsString="0" containsBlank="1"/>
    </cacheField>
    <cacheField name="Column10629" numFmtId="0">
      <sharedItems containsNonDate="0" containsString="0" containsBlank="1"/>
    </cacheField>
    <cacheField name="Column10630" numFmtId="0">
      <sharedItems containsNonDate="0" containsString="0" containsBlank="1"/>
    </cacheField>
    <cacheField name="Column10631" numFmtId="0">
      <sharedItems containsNonDate="0" containsString="0" containsBlank="1"/>
    </cacheField>
    <cacheField name="Column10632" numFmtId="0">
      <sharedItems containsNonDate="0" containsString="0" containsBlank="1"/>
    </cacheField>
    <cacheField name="Column10633" numFmtId="0">
      <sharedItems containsNonDate="0" containsString="0" containsBlank="1"/>
    </cacheField>
    <cacheField name="Column10634" numFmtId="0">
      <sharedItems containsNonDate="0" containsString="0" containsBlank="1"/>
    </cacheField>
    <cacheField name="Column10635" numFmtId="0">
      <sharedItems containsNonDate="0" containsString="0" containsBlank="1"/>
    </cacheField>
    <cacheField name="Column10636" numFmtId="0">
      <sharedItems containsNonDate="0" containsString="0" containsBlank="1"/>
    </cacheField>
    <cacheField name="Column10637" numFmtId="0">
      <sharedItems containsNonDate="0" containsString="0" containsBlank="1"/>
    </cacheField>
    <cacheField name="Column10638" numFmtId="0">
      <sharedItems containsNonDate="0" containsString="0" containsBlank="1"/>
    </cacheField>
    <cacheField name="Column10639" numFmtId="0">
      <sharedItems containsNonDate="0" containsString="0" containsBlank="1"/>
    </cacheField>
    <cacheField name="Column10640" numFmtId="0">
      <sharedItems containsNonDate="0" containsString="0" containsBlank="1"/>
    </cacheField>
    <cacheField name="Column10641" numFmtId="0">
      <sharedItems containsNonDate="0" containsString="0" containsBlank="1"/>
    </cacheField>
    <cacheField name="Column10642" numFmtId="0">
      <sharedItems containsNonDate="0" containsString="0" containsBlank="1"/>
    </cacheField>
    <cacheField name="Column10643" numFmtId="0">
      <sharedItems containsNonDate="0" containsString="0" containsBlank="1"/>
    </cacheField>
    <cacheField name="Column10644" numFmtId="0">
      <sharedItems containsNonDate="0" containsString="0" containsBlank="1"/>
    </cacheField>
    <cacheField name="Column10645" numFmtId="0">
      <sharedItems containsNonDate="0" containsString="0" containsBlank="1"/>
    </cacheField>
    <cacheField name="Column10646" numFmtId="0">
      <sharedItems containsNonDate="0" containsString="0" containsBlank="1"/>
    </cacheField>
    <cacheField name="Column10647" numFmtId="0">
      <sharedItems containsNonDate="0" containsString="0" containsBlank="1"/>
    </cacheField>
    <cacheField name="Column10648" numFmtId="0">
      <sharedItems containsNonDate="0" containsString="0" containsBlank="1"/>
    </cacheField>
    <cacheField name="Column10649" numFmtId="0">
      <sharedItems containsNonDate="0" containsString="0" containsBlank="1"/>
    </cacheField>
    <cacheField name="Column10650" numFmtId="0">
      <sharedItems containsNonDate="0" containsString="0" containsBlank="1"/>
    </cacheField>
    <cacheField name="Column10651" numFmtId="0">
      <sharedItems containsNonDate="0" containsString="0" containsBlank="1"/>
    </cacheField>
    <cacheField name="Column10652" numFmtId="0">
      <sharedItems containsNonDate="0" containsString="0" containsBlank="1"/>
    </cacheField>
    <cacheField name="Column10653" numFmtId="0">
      <sharedItems containsNonDate="0" containsString="0" containsBlank="1"/>
    </cacheField>
    <cacheField name="Column10654" numFmtId="0">
      <sharedItems containsNonDate="0" containsString="0" containsBlank="1"/>
    </cacheField>
    <cacheField name="Column10655" numFmtId="0">
      <sharedItems containsNonDate="0" containsString="0" containsBlank="1"/>
    </cacheField>
    <cacheField name="Column10656" numFmtId="0">
      <sharedItems containsNonDate="0" containsString="0" containsBlank="1"/>
    </cacheField>
    <cacheField name="Column10657" numFmtId="0">
      <sharedItems containsNonDate="0" containsString="0" containsBlank="1"/>
    </cacheField>
    <cacheField name="Column10658" numFmtId="0">
      <sharedItems containsNonDate="0" containsString="0" containsBlank="1"/>
    </cacheField>
    <cacheField name="Column10659" numFmtId="0">
      <sharedItems containsNonDate="0" containsString="0" containsBlank="1"/>
    </cacheField>
    <cacheField name="Column10660" numFmtId="0">
      <sharedItems containsNonDate="0" containsString="0" containsBlank="1"/>
    </cacheField>
    <cacheField name="Column10661" numFmtId="0">
      <sharedItems containsNonDate="0" containsString="0" containsBlank="1"/>
    </cacheField>
    <cacheField name="Column10662" numFmtId="0">
      <sharedItems containsNonDate="0" containsString="0" containsBlank="1"/>
    </cacheField>
    <cacheField name="Column10663" numFmtId="0">
      <sharedItems containsNonDate="0" containsString="0" containsBlank="1"/>
    </cacheField>
    <cacheField name="Column10664" numFmtId="0">
      <sharedItems containsNonDate="0" containsString="0" containsBlank="1"/>
    </cacheField>
    <cacheField name="Column10665" numFmtId="0">
      <sharedItems containsNonDate="0" containsString="0" containsBlank="1"/>
    </cacheField>
    <cacheField name="Column10666" numFmtId="0">
      <sharedItems containsNonDate="0" containsString="0" containsBlank="1"/>
    </cacheField>
    <cacheField name="Column10667" numFmtId="0">
      <sharedItems containsNonDate="0" containsString="0" containsBlank="1"/>
    </cacheField>
    <cacheField name="Column10668" numFmtId="0">
      <sharedItems containsNonDate="0" containsString="0" containsBlank="1"/>
    </cacheField>
    <cacheField name="Column10669" numFmtId="0">
      <sharedItems containsNonDate="0" containsString="0" containsBlank="1"/>
    </cacheField>
    <cacheField name="Column10670" numFmtId="0">
      <sharedItems containsNonDate="0" containsString="0" containsBlank="1"/>
    </cacheField>
    <cacheField name="Column10671" numFmtId="0">
      <sharedItems containsNonDate="0" containsString="0" containsBlank="1"/>
    </cacheField>
    <cacheField name="Column10672" numFmtId="0">
      <sharedItems containsNonDate="0" containsString="0" containsBlank="1"/>
    </cacheField>
    <cacheField name="Column10673" numFmtId="0">
      <sharedItems containsNonDate="0" containsString="0" containsBlank="1"/>
    </cacheField>
    <cacheField name="Column10674" numFmtId="0">
      <sharedItems containsNonDate="0" containsString="0" containsBlank="1"/>
    </cacheField>
    <cacheField name="Column10675" numFmtId="0">
      <sharedItems containsNonDate="0" containsString="0" containsBlank="1"/>
    </cacheField>
    <cacheField name="Column10676" numFmtId="0">
      <sharedItems containsNonDate="0" containsString="0" containsBlank="1"/>
    </cacheField>
    <cacheField name="Column10677" numFmtId="0">
      <sharedItems containsNonDate="0" containsString="0" containsBlank="1"/>
    </cacheField>
    <cacheField name="Column10678" numFmtId="0">
      <sharedItems containsNonDate="0" containsString="0" containsBlank="1"/>
    </cacheField>
    <cacheField name="Column10679" numFmtId="0">
      <sharedItems containsNonDate="0" containsString="0" containsBlank="1"/>
    </cacheField>
    <cacheField name="Column10680" numFmtId="0">
      <sharedItems containsNonDate="0" containsString="0" containsBlank="1"/>
    </cacheField>
    <cacheField name="Column10681" numFmtId="0">
      <sharedItems containsNonDate="0" containsString="0" containsBlank="1"/>
    </cacheField>
    <cacheField name="Column10682" numFmtId="0">
      <sharedItems containsNonDate="0" containsString="0" containsBlank="1"/>
    </cacheField>
    <cacheField name="Column10683" numFmtId="0">
      <sharedItems containsNonDate="0" containsString="0" containsBlank="1"/>
    </cacheField>
    <cacheField name="Column10684" numFmtId="0">
      <sharedItems containsNonDate="0" containsString="0" containsBlank="1"/>
    </cacheField>
    <cacheField name="Column10685" numFmtId="0">
      <sharedItems containsNonDate="0" containsString="0" containsBlank="1"/>
    </cacheField>
    <cacheField name="Column10686" numFmtId="0">
      <sharedItems containsNonDate="0" containsString="0" containsBlank="1"/>
    </cacheField>
    <cacheField name="Column10687" numFmtId="0">
      <sharedItems containsNonDate="0" containsString="0" containsBlank="1"/>
    </cacheField>
    <cacheField name="Column10688" numFmtId="0">
      <sharedItems containsNonDate="0" containsString="0" containsBlank="1"/>
    </cacheField>
    <cacheField name="Column10689" numFmtId="0">
      <sharedItems containsNonDate="0" containsString="0" containsBlank="1"/>
    </cacheField>
    <cacheField name="Column10690" numFmtId="0">
      <sharedItems containsNonDate="0" containsString="0" containsBlank="1"/>
    </cacheField>
    <cacheField name="Column10691" numFmtId="0">
      <sharedItems containsNonDate="0" containsString="0" containsBlank="1"/>
    </cacheField>
    <cacheField name="Column10692" numFmtId="0">
      <sharedItems containsNonDate="0" containsString="0" containsBlank="1"/>
    </cacheField>
    <cacheField name="Column10693" numFmtId="0">
      <sharedItems containsNonDate="0" containsString="0" containsBlank="1"/>
    </cacheField>
    <cacheField name="Column10694" numFmtId="0">
      <sharedItems containsNonDate="0" containsString="0" containsBlank="1"/>
    </cacheField>
    <cacheField name="Column10695" numFmtId="0">
      <sharedItems containsNonDate="0" containsString="0" containsBlank="1"/>
    </cacheField>
    <cacheField name="Column10696" numFmtId="0">
      <sharedItems containsNonDate="0" containsString="0" containsBlank="1"/>
    </cacheField>
    <cacheField name="Column10697" numFmtId="0">
      <sharedItems containsNonDate="0" containsString="0" containsBlank="1"/>
    </cacheField>
    <cacheField name="Column10698" numFmtId="0">
      <sharedItems containsNonDate="0" containsString="0" containsBlank="1"/>
    </cacheField>
    <cacheField name="Column10699" numFmtId="0">
      <sharedItems containsNonDate="0" containsString="0" containsBlank="1"/>
    </cacheField>
    <cacheField name="Column10700" numFmtId="0">
      <sharedItems containsNonDate="0" containsString="0" containsBlank="1"/>
    </cacheField>
    <cacheField name="Column10701" numFmtId="0">
      <sharedItems containsNonDate="0" containsString="0" containsBlank="1"/>
    </cacheField>
    <cacheField name="Column10702" numFmtId="0">
      <sharedItems containsNonDate="0" containsString="0" containsBlank="1"/>
    </cacheField>
    <cacheField name="Column10703" numFmtId="0">
      <sharedItems containsNonDate="0" containsString="0" containsBlank="1"/>
    </cacheField>
    <cacheField name="Column10704" numFmtId="0">
      <sharedItems containsNonDate="0" containsString="0" containsBlank="1"/>
    </cacheField>
    <cacheField name="Column10705" numFmtId="0">
      <sharedItems containsNonDate="0" containsString="0" containsBlank="1"/>
    </cacheField>
    <cacheField name="Column10706" numFmtId="0">
      <sharedItems containsNonDate="0" containsString="0" containsBlank="1"/>
    </cacheField>
    <cacheField name="Column10707" numFmtId="0">
      <sharedItems containsNonDate="0" containsString="0" containsBlank="1"/>
    </cacheField>
    <cacheField name="Column10708" numFmtId="0">
      <sharedItems containsNonDate="0" containsString="0" containsBlank="1"/>
    </cacheField>
    <cacheField name="Column10709" numFmtId="0">
      <sharedItems containsNonDate="0" containsString="0" containsBlank="1"/>
    </cacheField>
    <cacheField name="Column10710" numFmtId="0">
      <sharedItems containsNonDate="0" containsString="0" containsBlank="1"/>
    </cacheField>
    <cacheField name="Column10711" numFmtId="0">
      <sharedItems containsNonDate="0" containsString="0" containsBlank="1"/>
    </cacheField>
    <cacheField name="Column10712" numFmtId="0">
      <sharedItems containsNonDate="0" containsString="0" containsBlank="1"/>
    </cacheField>
    <cacheField name="Column10713" numFmtId="0">
      <sharedItems containsNonDate="0" containsString="0" containsBlank="1"/>
    </cacheField>
    <cacheField name="Column10714" numFmtId="0">
      <sharedItems containsNonDate="0" containsString="0" containsBlank="1"/>
    </cacheField>
    <cacheField name="Column10715" numFmtId="0">
      <sharedItems containsNonDate="0" containsString="0" containsBlank="1"/>
    </cacheField>
    <cacheField name="Column10716" numFmtId="0">
      <sharedItems containsNonDate="0" containsString="0" containsBlank="1"/>
    </cacheField>
    <cacheField name="Column10717" numFmtId="0">
      <sharedItems containsNonDate="0" containsString="0" containsBlank="1"/>
    </cacheField>
    <cacheField name="Column10718" numFmtId="0">
      <sharedItems containsNonDate="0" containsString="0" containsBlank="1"/>
    </cacheField>
    <cacheField name="Column10719" numFmtId="0">
      <sharedItems containsNonDate="0" containsString="0" containsBlank="1"/>
    </cacheField>
    <cacheField name="Column10720" numFmtId="0">
      <sharedItems containsNonDate="0" containsString="0" containsBlank="1"/>
    </cacheField>
    <cacheField name="Column10721" numFmtId="0">
      <sharedItems containsNonDate="0" containsString="0" containsBlank="1"/>
    </cacheField>
    <cacheField name="Column10722" numFmtId="0">
      <sharedItems containsNonDate="0" containsString="0" containsBlank="1"/>
    </cacheField>
    <cacheField name="Column10723" numFmtId="0">
      <sharedItems containsNonDate="0" containsString="0" containsBlank="1"/>
    </cacheField>
    <cacheField name="Column10724" numFmtId="0">
      <sharedItems containsNonDate="0" containsString="0" containsBlank="1"/>
    </cacheField>
    <cacheField name="Column10725" numFmtId="0">
      <sharedItems containsNonDate="0" containsString="0" containsBlank="1"/>
    </cacheField>
    <cacheField name="Column10726" numFmtId="0">
      <sharedItems containsNonDate="0" containsString="0" containsBlank="1"/>
    </cacheField>
    <cacheField name="Column10727" numFmtId="0">
      <sharedItems containsNonDate="0" containsString="0" containsBlank="1"/>
    </cacheField>
    <cacheField name="Column10728" numFmtId="0">
      <sharedItems containsNonDate="0" containsString="0" containsBlank="1"/>
    </cacheField>
    <cacheField name="Column10729" numFmtId="0">
      <sharedItems containsNonDate="0" containsString="0" containsBlank="1"/>
    </cacheField>
    <cacheField name="Column10730" numFmtId="0">
      <sharedItems containsNonDate="0" containsString="0" containsBlank="1"/>
    </cacheField>
    <cacheField name="Column10731" numFmtId="0">
      <sharedItems containsNonDate="0" containsString="0" containsBlank="1"/>
    </cacheField>
    <cacheField name="Column10732" numFmtId="0">
      <sharedItems containsNonDate="0" containsString="0" containsBlank="1"/>
    </cacheField>
    <cacheField name="Column10733" numFmtId="0">
      <sharedItems containsNonDate="0" containsString="0" containsBlank="1"/>
    </cacheField>
    <cacheField name="Column10734" numFmtId="0">
      <sharedItems containsNonDate="0" containsString="0" containsBlank="1"/>
    </cacheField>
    <cacheField name="Column10735" numFmtId="0">
      <sharedItems containsNonDate="0" containsString="0" containsBlank="1"/>
    </cacheField>
    <cacheField name="Column10736" numFmtId="0">
      <sharedItems containsNonDate="0" containsString="0" containsBlank="1"/>
    </cacheField>
    <cacheField name="Column10737" numFmtId="0">
      <sharedItems containsNonDate="0" containsString="0" containsBlank="1"/>
    </cacheField>
    <cacheField name="Column10738" numFmtId="0">
      <sharedItems containsNonDate="0" containsString="0" containsBlank="1"/>
    </cacheField>
    <cacheField name="Column10739" numFmtId="0">
      <sharedItems containsNonDate="0" containsString="0" containsBlank="1"/>
    </cacheField>
    <cacheField name="Column10740" numFmtId="0">
      <sharedItems containsNonDate="0" containsString="0" containsBlank="1"/>
    </cacheField>
    <cacheField name="Column10741" numFmtId="0">
      <sharedItems containsNonDate="0" containsString="0" containsBlank="1"/>
    </cacheField>
    <cacheField name="Column10742" numFmtId="0">
      <sharedItems containsNonDate="0" containsString="0" containsBlank="1"/>
    </cacheField>
    <cacheField name="Column10743" numFmtId="0">
      <sharedItems containsNonDate="0" containsString="0" containsBlank="1"/>
    </cacheField>
    <cacheField name="Column10744" numFmtId="0">
      <sharedItems containsNonDate="0" containsString="0" containsBlank="1"/>
    </cacheField>
    <cacheField name="Column10745" numFmtId="0">
      <sharedItems containsNonDate="0" containsString="0" containsBlank="1"/>
    </cacheField>
    <cacheField name="Column10746" numFmtId="0">
      <sharedItems containsNonDate="0" containsString="0" containsBlank="1"/>
    </cacheField>
    <cacheField name="Column10747" numFmtId="0">
      <sharedItems containsNonDate="0" containsString="0" containsBlank="1"/>
    </cacheField>
    <cacheField name="Column10748" numFmtId="0">
      <sharedItems containsNonDate="0" containsString="0" containsBlank="1"/>
    </cacheField>
    <cacheField name="Column10749" numFmtId="0">
      <sharedItems containsNonDate="0" containsString="0" containsBlank="1"/>
    </cacheField>
    <cacheField name="Column10750" numFmtId="0">
      <sharedItems containsNonDate="0" containsString="0" containsBlank="1"/>
    </cacheField>
    <cacheField name="Column10751" numFmtId="0">
      <sharedItems containsNonDate="0" containsString="0" containsBlank="1"/>
    </cacheField>
    <cacheField name="Column10752" numFmtId="0">
      <sharedItems containsNonDate="0" containsString="0" containsBlank="1"/>
    </cacheField>
    <cacheField name="Column10753" numFmtId="0">
      <sharedItems containsNonDate="0" containsString="0" containsBlank="1"/>
    </cacheField>
    <cacheField name="Column10754" numFmtId="0">
      <sharedItems containsNonDate="0" containsString="0" containsBlank="1"/>
    </cacheField>
    <cacheField name="Column10755" numFmtId="0">
      <sharedItems containsNonDate="0" containsString="0" containsBlank="1"/>
    </cacheField>
    <cacheField name="Column10756" numFmtId="0">
      <sharedItems containsNonDate="0" containsString="0" containsBlank="1"/>
    </cacheField>
    <cacheField name="Column10757" numFmtId="0">
      <sharedItems containsNonDate="0" containsString="0" containsBlank="1"/>
    </cacheField>
    <cacheField name="Column10758" numFmtId="0">
      <sharedItems containsNonDate="0" containsString="0" containsBlank="1"/>
    </cacheField>
    <cacheField name="Column10759" numFmtId="0">
      <sharedItems containsNonDate="0" containsString="0" containsBlank="1"/>
    </cacheField>
    <cacheField name="Column10760" numFmtId="0">
      <sharedItems containsNonDate="0" containsString="0" containsBlank="1"/>
    </cacheField>
    <cacheField name="Column10761" numFmtId="0">
      <sharedItems containsNonDate="0" containsString="0" containsBlank="1"/>
    </cacheField>
    <cacheField name="Column10762" numFmtId="0">
      <sharedItems containsNonDate="0" containsString="0" containsBlank="1"/>
    </cacheField>
    <cacheField name="Column10763" numFmtId="0">
      <sharedItems containsNonDate="0" containsString="0" containsBlank="1"/>
    </cacheField>
    <cacheField name="Column10764" numFmtId="0">
      <sharedItems containsNonDate="0" containsString="0" containsBlank="1"/>
    </cacheField>
    <cacheField name="Column10765" numFmtId="0">
      <sharedItems containsNonDate="0" containsString="0" containsBlank="1"/>
    </cacheField>
    <cacheField name="Column10766" numFmtId="0">
      <sharedItems containsNonDate="0" containsString="0" containsBlank="1"/>
    </cacheField>
    <cacheField name="Column10767" numFmtId="0">
      <sharedItems containsNonDate="0" containsString="0" containsBlank="1"/>
    </cacheField>
    <cacheField name="Column10768" numFmtId="0">
      <sharedItems containsNonDate="0" containsString="0" containsBlank="1"/>
    </cacheField>
    <cacheField name="Column10769" numFmtId="0">
      <sharedItems containsNonDate="0" containsString="0" containsBlank="1"/>
    </cacheField>
    <cacheField name="Column10770" numFmtId="0">
      <sharedItems containsNonDate="0" containsString="0" containsBlank="1"/>
    </cacheField>
    <cacheField name="Column10771" numFmtId="0">
      <sharedItems containsNonDate="0" containsString="0" containsBlank="1"/>
    </cacheField>
    <cacheField name="Column10772" numFmtId="0">
      <sharedItems containsNonDate="0" containsString="0" containsBlank="1"/>
    </cacheField>
    <cacheField name="Column10773" numFmtId="0">
      <sharedItems containsNonDate="0" containsString="0" containsBlank="1"/>
    </cacheField>
    <cacheField name="Column10774" numFmtId="0">
      <sharedItems containsNonDate="0" containsString="0" containsBlank="1"/>
    </cacheField>
    <cacheField name="Column10775" numFmtId="0">
      <sharedItems containsNonDate="0" containsString="0" containsBlank="1"/>
    </cacheField>
    <cacheField name="Column10776" numFmtId="0">
      <sharedItems containsNonDate="0" containsString="0" containsBlank="1"/>
    </cacheField>
    <cacheField name="Column10777" numFmtId="0">
      <sharedItems containsNonDate="0" containsString="0" containsBlank="1"/>
    </cacheField>
    <cacheField name="Column10778" numFmtId="0">
      <sharedItems containsNonDate="0" containsString="0" containsBlank="1"/>
    </cacheField>
    <cacheField name="Column10779" numFmtId="0">
      <sharedItems containsNonDate="0" containsString="0" containsBlank="1"/>
    </cacheField>
    <cacheField name="Column10780" numFmtId="0">
      <sharedItems containsNonDate="0" containsString="0" containsBlank="1"/>
    </cacheField>
    <cacheField name="Column10781" numFmtId="0">
      <sharedItems containsNonDate="0" containsString="0" containsBlank="1"/>
    </cacheField>
    <cacheField name="Column10782" numFmtId="0">
      <sharedItems containsNonDate="0" containsString="0" containsBlank="1"/>
    </cacheField>
    <cacheField name="Column10783" numFmtId="0">
      <sharedItems containsNonDate="0" containsString="0" containsBlank="1"/>
    </cacheField>
    <cacheField name="Column10784" numFmtId="0">
      <sharedItems containsNonDate="0" containsString="0" containsBlank="1"/>
    </cacheField>
    <cacheField name="Column10785" numFmtId="0">
      <sharedItems containsNonDate="0" containsString="0" containsBlank="1"/>
    </cacheField>
    <cacheField name="Column10786" numFmtId="0">
      <sharedItems containsNonDate="0" containsString="0" containsBlank="1"/>
    </cacheField>
    <cacheField name="Column10787" numFmtId="0">
      <sharedItems containsNonDate="0" containsString="0" containsBlank="1"/>
    </cacheField>
    <cacheField name="Column10788" numFmtId="0">
      <sharedItems containsNonDate="0" containsString="0" containsBlank="1"/>
    </cacheField>
    <cacheField name="Column10789" numFmtId="0">
      <sharedItems containsNonDate="0" containsString="0" containsBlank="1"/>
    </cacheField>
    <cacheField name="Column10790" numFmtId="0">
      <sharedItems containsNonDate="0" containsString="0" containsBlank="1"/>
    </cacheField>
    <cacheField name="Column10791" numFmtId="0">
      <sharedItems containsNonDate="0" containsString="0" containsBlank="1"/>
    </cacheField>
    <cacheField name="Column10792" numFmtId="0">
      <sharedItems containsNonDate="0" containsString="0" containsBlank="1"/>
    </cacheField>
    <cacheField name="Column10793" numFmtId="0">
      <sharedItems containsNonDate="0" containsString="0" containsBlank="1"/>
    </cacheField>
    <cacheField name="Column10794" numFmtId="0">
      <sharedItems containsNonDate="0" containsString="0" containsBlank="1"/>
    </cacheField>
    <cacheField name="Column10795" numFmtId="0">
      <sharedItems containsNonDate="0" containsString="0" containsBlank="1"/>
    </cacheField>
    <cacheField name="Column10796" numFmtId="0">
      <sharedItems containsNonDate="0" containsString="0" containsBlank="1"/>
    </cacheField>
    <cacheField name="Column10797" numFmtId="0">
      <sharedItems containsNonDate="0" containsString="0" containsBlank="1"/>
    </cacheField>
    <cacheField name="Column10798" numFmtId="0">
      <sharedItems containsNonDate="0" containsString="0" containsBlank="1"/>
    </cacheField>
    <cacheField name="Column10799" numFmtId="0">
      <sharedItems containsNonDate="0" containsString="0" containsBlank="1"/>
    </cacheField>
    <cacheField name="Column10800" numFmtId="0">
      <sharedItems containsNonDate="0" containsString="0" containsBlank="1"/>
    </cacheField>
    <cacheField name="Column10801" numFmtId="0">
      <sharedItems containsNonDate="0" containsString="0" containsBlank="1"/>
    </cacheField>
    <cacheField name="Column10802" numFmtId="0">
      <sharedItems containsNonDate="0" containsString="0" containsBlank="1"/>
    </cacheField>
    <cacheField name="Column10803" numFmtId="0">
      <sharedItems containsNonDate="0" containsString="0" containsBlank="1"/>
    </cacheField>
    <cacheField name="Column10804" numFmtId="0">
      <sharedItems containsNonDate="0" containsString="0" containsBlank="1"/>
    </cacheField>
    <cacheField name="Column10805" numFmtId="0">
      <sharedItems containsNonDate="0" containsString="0" containsBlank="1"/>
    </cacheField>
    <cacheField name="Column10806" numFmtId="0">
      <sharedItems containsNonDate="0" containsString="0" containsBlank="1"/>
    </cacheField>
    <cacheField name="Column10807" numFmtId="0">
      <sharedItems containsNonDate="0" containsString="0" containsBlank="1"/>
    </cacheField>
    <cacheField name="Column10808" numFmtId="0">
      <sharedItems containsNonDate="0" containsString="0" containsBlank="1"/>
    </cacheField>
    <cacheField name="Column10809" numFmtId="0">
      <sharedItems containsNonDate="0" containsString="0" containsBlank="1"/>
    </cacheField>
    <cacheField name="Column10810" numFmtId="0">
      <sharedItems containsNonDate="0" containsString="0" containsBlank="1"/>
    </cacheField>
    <cacheField name="Column10811" numFmtId="0">
      <sharedItems containsNonDate="0" containsString="0" containsBlank="1"/>
    </cacheField>
    <cacheField name="Column10812" numFmtId="0">
      <sharedItems containsNonDate="0" containsString="0" containsBlank="1"/>
    </cacheField>
    <cacheField name="Column10813" numFmtId="0">
      <sharedItems containsNonDate="0" containsString="0" containsBlank="1"/>
    </cacheField>
    <cacheField name="Column10814" numFmtId="0">
      <sharedItems containsNonDate="0" containsString="0" containsBlank="1"/>
    </cacheField>
    <cacheField name="Column10815" numFmtId="0">
      <sharedItems containsNonDate="0" containsString="0" containsBlank="1"/>
    </cacheField>
    <cacheField name="Column10816" numFmtId="0">
      <sharedItems containsNonDate="0" containsString="0" containsBlank="1"/>
    </cacheField>
    <cacheField name="Column10817" numFmtId="0">
      <sharedItems containsNonDate="0" containsString="0" containsBlank="1"/>
    </cacheField>
    <cacheField name="Column10818" numFmtId="0">
      <sharedItems containsNonDate="0" containsString="0" containsBlank="1"/>
    </cacheField>
    <cacheField name="Column10819" numFmtId="0">
      <sharedItems containsNonDate="0" containsString="0" containsBlank="1"/>
    </cacheField>
    <cacheField name="Column10820" numFmtId="0">
      <sharedItems containsNonDate="0" containsString="0" containsBlank="1"/>
    </cacheField>
    <cacheField name="Column10821" numFmtId="0">
      <sharedItems containsNonDate="0" containsString="0" containsBlank="1"/>
    </cacheField>
    <cacheField name="Column10822" numFmtId="0">
      <sharedItems containsNonDate="0" containsString="0" containsBlank="1"/>
    </cacheField>
    <cacheField name="Column10823" numFmtId="0">
      <sharedItems containsNonDate="0" containsString="0" containsBlank="1"/>
    </cacheField>
    <cacheField name="Column10824" numFmtId="0">
      <sharedItems containsNonDate="0" containsString="0" containsBlank="1"/>
    </cacheField>
    <cacheField name="Column10825" numFmtId="0">
      <sharedItems containsNonDate="0" containsString="0" containsBlank="1"/>
    </cacheField>
    <cacheField name="Column10826" numFmtId="0">
      <sharedItems containsNonDate="0" containsString="0" containsBlank="1"/>
    </cacheField>
    <cacheField name="Column10827" numFmtId="0">
      <sharedItems containsNonDate="0" containsString="0" containsBlank="1"/>
    </cacheField>
    <cacheField name="Column10828" numFmtId="0">
      <sharedItems containsNonDate="0" containsString="0" containsBlank="1"/>
    </cacheField>
    <cacheField name="Column10829" numFmtId="0">
      <sharedItems containsNonDate="0" containsString="0" containsBlank="1"/>
    </cacheField>
    <cacheField name="Column10830" numFmtId="0">
      <sharedItems containsNonDate="0" containsString="0" containsBlank="1"/>
    </cacheField>
    <cacheField name="Column10831" numFmtId="0">
      <sharedItems containsNonDate="0" containsString="0" containsBlank="1"/>
    </cacheField>
    <cacheField name="Column10832" numFmtId="0">
      <sharedItems containsNonDate="0" containsString="0" containsBlank="1"/>
    </cacheField>
    <cacheField name="Column10833" numFmtId="0">
      <sharedItems containsNonDate="0" containsString="0" containsBlank="1"/>
    </cacheField>
    <cacheField name="Column10834" numFmtId="0">
      <sharedItems containsNonDate="0" containsString="0" containsBlank="1"/>
    </cacheField>
    <cacheField name="Column10835" numFmtId="0">
      <sharedItems containsNonDate="0" containsString="0" containsBlank="1"/>
    </cacheField>
    <cacheField name="Column10836" numFmtId="0">
      <sharedItems containsNonDate="0" containsString="0" containsBlank="1"/>
    </cacheField>
    <cacheField name="Column10837" numFmtId="0">
      <sharedItems containsNonDate="0" containsString="0" containsBlank="1"/>
    </cacheField>
    <cacheField name="Column10838" numFmtId="0">
      <sharedItems containsNonDate="0" containsString="0" containsBlank="1"/>
    </cacheField>
    <cacheField name="Column10839" numFmtId="0">
      <sharedItems containsNonDate="0" containsString="0" containsBlank="1"/>
    </cacheField>
    <cacheField name="Column10840" numFmtId="0">
      <sharedItems containsNonDate="0" containsString="0" containsBlank="1"/>
    </cacheField>
    <cacheField name="Column10841" numFmtId="0">
      <sharedItems containsNonDate="0" containsString="0" containsBlank="1"/>
    </cacheField>
    <cacheField name="Column10842" numFmtId="0">
      <sharedItems containsNonDate="0" containsString="0" containsBlank="1"/>
    </cacheField>
    <cacheField name="Column10843" numFmtId="0">
      <sharedItems containsNonDate="0" containsString="0" containsBlank="1"/>
    </cacheField>
    <cacheField name="Column10844" numFmtId="0">
      <sharedItems containsNonDate="0" containsString="0" containsBlank="1"/>
    </cacheField>
    <cacheField name="Column10845" numFmtId="0">
      <sharedItems containsNonDate="0" containsString="0" containsBlank="1"/>
    </cacheField>
    <cacheField name="Column10846" numFmtId="0">
      <sharedItems containsNonDate="0" containsString="0" containsBlank="1"/>
    </cacheField>
    <cacheField name="Column10847" numFmtId="0">
      <sharedItems containsNonDate="0" containsString="0" containsBlank="1"/>
    </cacheField>
    <cacheField name="Column10848" numFmtId="0">
      <sharedItems containsNonDate="0" containsString="0" containsBlank="1"/>
    </cacheField>
    <cacheField name="Column10849" numFmtId="0">
      <sharedItems containsNonDate="0" containsString="0" containsBlank="1"/>
    </cacheField>
    <cacheField name="Column10850" numFmtId="0">
      <sharedItems containsNonDate="0" containsString="0" containsBlank="1"/>
    </cacheField>
    <cacheField name="Column10851" numFmtId="0">
      <sharedItems containsNonDate="0" containsString="0" containsBlank="1"/>
    </cacheField>
    <cacheField name="Column10852" numFmtId="0">
      <sharedItems containsNonDate="0" containsString="0" containsBlank="1"/>
    </cacheField>
    <cacheField name="Column10853" numFmtId="0">
      <sharedItems containsNonDate="0" containsString="0" containsBlank="1"/>
    </cacheField>
    <cacheField name="Column10854" numFmtId="0">
      <sharedItems containsNonDate="0" containsString="0" containsBlank="1"/>
    </cacheField>
    <cacheField name="Column10855" numFmtId="0">
      <sharedItems containsNonDate="0" containsString="0" containsBlank="1"/>
    </cacheField>
    <cacheField name="Column10856" numFmtId="0">
      <sharedItems containsNonDate="0" containsString="0" containsBlank="1"/>
    </cacheField>
    <cacheField name="Column10857" numFmtId="0">
      <sharedItems containsNonDate="0" containsString="0" containsBlank="1"/>
    </cacheField>
    <cacheField name="Column10858" numFmtId="0">
      <sharedItems containsNonDate="0" containsString="0" containsBlank="1"/>
    </cacheField>
    <cacheField name="Column10859" numFmtId="0">
      <sharedItems containsNonDate="0" containsString="0" containsBlank="1"/>
    </cacheField>
    <cacheField name="Column10860" numFmtId="0">
      <sharedItems containsNonDate="0" containsString="0" containsBlank="1"/>
    </cacheField>
    <cacheField name="Column10861" numFmtId="0">
      <sharedItems containsNonDate="0" containsString="0" containsBlank="1"/>
    </cacheField>
    <cacheField name="Column10862" numFmtId="0">
      <sharedItems containsNonDate="0" containsString="0" containsBlank="1"/>
    </cacheField>
    <cacheField name="Column10863" numFmtId="0">
      <sharedItems containsNonDate="0" containsString="0" containsBlank="1"/>
    </cacheField>
    <cacheField name="Column10864" numFmtId="0">
      <sharedItems containsNonDate="0" containsString="0" containsBlank="1"/>
    </cacheField>
    <cacheField name="Column10865" numFmtId="0">
      <sharedItems containsNonDate="0" containsString="0" containsBlank="1"/>
    </cacheField>
    <cacheField name="Column10866" numFmtId="0">
      <sharedItems containsNonDate="0" containsString="0" containsBlank="1"/>
    </cacheField>
    <cacheField name="Column10867" numFmtId="0">
      <sharedItems containsNonDate="0" containsString="0" containsBlank="1"/>
    </cacheField>
    <cacheField name="Column10868" numFmtId="0">
      <sharedItems containsNonDate="0" containsString="0" containsBlank="1"/>
    </cacheField>
    <cacheField name="Column10869" numFmtId="0">
      <sharedItems containsNonDate="0" containsString="0" containsBlank="1"/>
    </cacheField>
    <cacheField name="Column10870" numFmtId="0">
      <sharedItems containsNonDate="0" containsString="0" containsBlank="1"/>
    </cacheField>
    <cacheField name="Column10871" numFmtId="0">
      <sharedItems containsNonDate="0" containsString="0" containsBlank="1"/>
    </cacheField>
    <cacheField name="Column10872" numFmtId="0">
      <sharedItems containsNonDate="0" containsString="0" containsBlank="1"/>
    </cacheField>
    <cacheField name="Column10873" numFmtId="0">
      <sharedItems containsNonDate="0" containsString="0" containsBlank="1"/>
    </cacheField>
    <cacheField name="Column10874" numFmtId="0">
      <sharedItems containsNonDate="0" containsString="0" containsBlank="1"/>
    </cacheField>
    <cacheField name="Column10875" numFmtId="0">
      <sharedItems containsNonDate="0" containsString="0" containsBlank="1"/>
    </cacheField>
    <cacheField name="Column10876" numFmtId="0">
      <sharedItems containsNonDate="0" containsString="0" containsBlank="1"/>
    </cacheField>
    <cacheField name="Column10877" numFmtId="0">
      <sharedItems containsNonDate="0" containsString="0" containsBlank="1"/>
    </cacheField>
    <cacheField name="Column10878" numFmtId="0">
      <sharedItems containsNonDate="0" containsString="0" containsBlank="1"/>
    </cacheField>
    <cacheField name="Column10879" numFmtId="0">
      <sharedItems containsNonDate="0" containsString="0" containsBlank="1"/>
    </cacheField>
    <cacheField name="Column10880" numFmtId="0">
      <sharedItems containsNonDate="0" containsString="0" containsBlank="1"/>
    </cacheField>
    <cacheField name="Column10881" numFmtId="0">
      <sharedItems containsNonDate="0" containsString="0" containsBlank="1"/>
    </cacheField>
    <cacheField name="Column10882" numFmtId="0">
      <sharedItems containsNonDate="0" containsString="0" containsBlank="1"/>
    </cacheField>
    <cacheField name="Column10883" numFmtId="0">
      <sharedItems containsNonDate="0" containsString="0" containsBlank="1"/>
    </cacheField>
    <cacheField name="Column10884" numFmtId="0">
      <sharedItems containsNonDate="0" containsString="0" containsBlank="1"/>
    </cacheField>
    <cacheField name="Column10885" numFmtId="0">
      <sharedItems containsNonDate="0" containsString="0" containsBlank="1"/>
    </cacheField>
    <cacheField name="Column10886" numFmtId="0">
      <sharedItems containsNonDate="0" containsString="0" containsBlank="1"/>
    </cacheField>
    <cacheField name="Column10887" numFmtId="0">
      <sharedItems containsNonDate="0" containsString="0" containsBlank="1"/>
    </cacheField>
    <cacheField name="Column10888" numFmtId="0">
      <sharedItems containsNonDate="0" containsString="0" containsBlank="1"/>
    </cacheField>
    <cacheField name="Column10889" numFmtId="0">
      <sharedItems containsNonDate="0" containsString="0" containsBlank="1"/>
    </cacheField>
    <cacheField name="Column10890" numFmtId="0">
      <sharedItems containsNonDate="0" containsString="0" containsBlank="1"/>
    </cacheField>
    <cacheField name="Column10891" numFmtId="0">
      <sharedItems containsNonDate="0" containsString="0" containsBlank="1"/>
    </cacheField>
    <cacheField name="Column10892" numFmtId="0">
      <sharedItems containsNonDate="0" containsString="0" containsBlank="1"/>
    </cacheField>
    <cacheField name="Column10893" numFmtId="0">
      <sharedItems containsNonDate="0" containsString="0" containsBlank="1"/>
    </cacheField>
    <cacheField name="Column10894" numFmtId="0">
      <sharedItems containsNonDate="0" containsString="0" containsBlank="1"/>
    </cacheField>
    <cacheField name="Column10895" numFmtId="0">
      <sharedItems containsNonDate="0" containsString="0" containsBlank="1"/>
    </cacheField>
    <cacheField name="Column10896" numFmtId="0">
      <sharedItems containsNonDate="0" containsString="0" containsBlank="1"/>
    </cacheField>
    <cacheField name="Column10897" numFmtId="0">
      <sharedItems containsNonDate="0" containsString="0" containsBlank="1"/>
    </cacheField>
    <cacheField name="Column10898" numFmtId="0">
      <sharedItems containsNonDate="0" containsString="0" containsBlank="1"/>
    </cacheField>
    <cacheField name="Column10899" numFmtId="0">
      <sharedItems containsNonDate="0" containsString="0" containsBlank="1"/>
    </cacheField>
    <cacheField name="Column10900" numFmtId="0">
      <sharedItems containsNonDate="0" containsString="0" containsBlank="1"/>
    </cacheField>
    <cacheField name="Column10901" numFmtId="0">
      <sharedItems containsNonDate="0" containsString="0" containsBlank="1"/>
    </cacheField>
    <cacheField name="Column10902" numFmtId="0">
      <sharedItems containsNonDate="0" containsString="0" containsBlank="1"/>
    </cacheField>
    <cacheField name="Column10903" numFmtId="0">
      <sharedItems containsNonDate="0" containsString="0" containsBlank="1"/>
    </cacheField>
    <cacheField name="Column10904" numFmtId="0">
      <sharedItems containsNonDate="0" containsString="0" containsBlank="1"/>
    </cacheField>
    <cacheField name="Column10905" numFmtId="0">
      <sharedItems containsNonDate="0" containsString="0" containsBlank="1"/>
    </cacheField>
    <cacheField name="Column10906" numFmtId="0">
      <sharedItems containsNonDate="0" containsString="0" containsBlank="1"/>
    </cacheField>
    <cacheField name="Column10907" numFmtId="0">
      <sharedItems containsNonDate="0" containsString="0" containsBlank="1"/>
    </cacheField>
    <cacheField name="Column10908" numFmtId="0">
      <sharedItems containsNonDate="0" containsString="0" containsBlank="1"/>
    </cacheField>
    <cacheField name="Column10909" numFmtId="0">
      <sharedItems containsNonDate="0" containsString="0" containsBlank="1"/>
    </cacheField>
    <cacheField name="Column10910" numFmtId="0">
      <sharedItems containsNonDate="0" containsString="0" containsBlank="1"/>
    </cacheField>
    <cacheField name="Column10911" numFmtId="0">
      <sharedItems containsNonDate="0" containsString="0" containsBlank="1"/>
    </cacheField>
    <cacheField name="Column10912" numFmtId="0">
      <sharedItems containsNonDate="0" containsString="0" containsBlank="1"/>
    </cacheField>
    <cacheField name="Column10913" numFmtId="0">
      <sharedItems containsNonDate="0" containsString="0" containsBlank="1"/>
    </cacheField>
    <cacheField name="Column10914" numFmtId="0">
      <sharedItems containsNonDate="0" containsString="0" containsBlank="1"/>
    </cacheField>
    <cacheField name="Column10915" numFmtId="0">
      <sharedItems containsNonDate="0" containsString="0" containsBlank="1"/>
    </cacheField>
    <cacheField name="Column10916" numFmtId="0">
      <sharedItems containsNonDate="0" containsString="0" containsBlank="1"/>
    </cacheField>
    <cacheField name="Column10917" numFmtId="0">
      <sharedItems containsNonDate="0" containsString="0" containsBlank="1"/>
    </cacheField>
    <cacheField name="Column10918" numFmtId="0">
      <sharedItems containsNonDate="0" containsString="0" containsBlank="1"/>
    </cacheField>
    <cacheField name="Column10919" numFmtId="0">
      <sharedItems containsNonDate="0" containsString="0" containsBlank="1"/>
    </cacheField>
    <cacheField name="Column10920" numFmtId="0">
      <sharedItems containsNonDate="0" containsString="0" containsBlank="1"/>
    </cacheField>
    <cacheField name="Column10921" numFmtId="0">
      <sharedItems containsNonDate="0" containsString="0" containsBlank="1"/>
    </cacheField>
    <cacheField name="Column10922" numFmtId="0">
      <sharedItems containsNonDate="0" containsString="0" containsBlank="1"/>
    </cacheField>
    <cacheField name="Column10923" numFmtId="0">
      <sharedItems containsNonDate="0" containsString="0" containsBlank="1"/>
    </cacheField>
    <cacheField name="Column10924" numFmtId="0">
      <sharedItems containsNonDate="0" containsString="0" containsBlank="1"/>
    </cacheField>
    <cacheField name="Column10925" numFmtId="0">
      <sharedItems containsNonDate="0" containsString="0" containsBlank="1"/>
    </cacheField>
    <cacheField name="Column10926" numFmtId="0">
      <sharedItems containsNonDate="0" containsString="0" containsBlank="1"/>
    </cacheField>
    <cacheField name="Column10927" numFmtId="0">
      <sharedItems containsNonDate="0" containsString="0" containsBlank="1"/>
    </cacheField>
    <cacheField name="Column10928" numFmtId="0">
      <sharedItems containsNonDate="0" containsString="0" containsBlank="1"/>
    </cacheField>
    <cacheField name="Column10929" numFmtId="0">
      <sharedItems containsNonDate="0" containsString="0" containsBlank="1"/>
    </cacheField>
    <cacheField name="Column10930" numFmtId="0">
      <sharedItems containsNonDate="0" containsString="0" containsBlank="1"/>
    </cacheField>
    <cacheField name="Column10931" numFmtId="0">
      <sharedItems containsNonDate="0" containsString="0" containsBlank="1"/>
    </cacheField>
    <cacheField name="Column10932" numFmtId="0">
      <sharedItems containsNonDate="0" containsString="0" containsBlank="1"/>
    </cacheField>
    <cacheField name="Column10933" numFmtId="0">
      <sharedItems containsNonDate="0" containsString="0" containsBlank="1"/>
    </cacheField>
    <cacheField name="Column10934" numFmtId="0">
      <sharedItems containsNonDate="0" containsString="0" containsBlank="1"/>
    </cacheField>
    <cacheField name="Column10935" numFmtId="0">
      <sharedItems containsNonDate="0" containsString="0" containsBlank="1"/>
    </cacheField>
    <cacheField name="Column10936" numFmtId="0">
      <sharedItems containsNonDate="0" containsString="0" containsBlank="1"/>
    </cacheField>
    <cacheField name="Column10937" numFmtId="0">
      <sharedItems containsNonDate="0" containsString="0" containsBlank="1"/>
    </cacheField>
    <cacheField name="Column10938" numFmtId="0">
      <sharedItems containsNonDate="0" containsString="0" containsBlank="1"/>
    </cacheField>
    <cacheField name="Column10939" numFmtId="0">
      <sharedItems containsNonDate="0" containsString="0" containsBlank="1"/>
    </cacheField>
    <cacheField name="Column10940" numFmtId="0">
      <sharedItems containsNonDate="0" containsString="0" containsBlank="1"/>
    </cacheField>
    <cacheField name="Column10941" numFmtId="0">
      <sharedItems containsNonDate="0" containsString="0" containsBlank="1"/>
    </cacheField>
    <cacheField name="Column10942" numFmtId="0">
      <sharedItems containsNonDate="0" containsString="0" containsBlank="1"/>
    </cacheField>
    <cacheField name="Column10943" numFmtId="0">
      <sharedItems containsNonDate="0" containsString="0" containsBlank="1"/>
    </cacheField>
    <cacheField name="Column10944" numFmtId="0">
      <sharedItems containsNonDate="0" containsString="0" containsBlank="1"/>
    </cacheField>
    <cacheField name="Column10945" numFmtId="0">
      <sharedItems containsNonDate="0" containsString="0" containsBlank="1"/>
    </cacheField>
    <cacheField name="Column10946" numFmtId="0">
      <sharedItems containsNonDate="0" containsString="0" containsBlank="1"/>
    </cacheField>
    <cacheField name="Column10947" numFmtId="0">
      <sharedItems containsNonDate="0" containsString="0" containsBlank="1"/>
    </cacheField>
    <cacheField name="Column10948" numFmtId="0">
      <sharedItems containsNonDate="0" containsString="0" containsBlank="1"/>
    </cacheField>
    <cacheField name="Column10949" numFmtId="0">
      <sharedItems containsNonDate="0" containsString="0" containsBlank="1"/>
    </cacheField>
    <cacheField name="Column10950" numFmtId="0">
      <sharedItems containsNonDate="0" containsString="0" containsBlank="1"/>
    </cacheField>
    <cacheField name="Column10951" numFmtId="0">
      <sharedItems containsNonDate="0" containsString="0" containsBlank="1"/>
    </cacheField>
    <cacheField name="Column10952" numFmtId="0">
      <sharedItems containsNonDate="0" containsString="0" containsBlank="1"/>
    </cacheField>
    <cacheField name="Column10953" numFmtId="0">
      <sharedItems containsNonDate="0" containsString="0" containsBlank="1"/>
    </cacheField>
    <cacheField name="Column10954" numFmtId="0">
      <sharedItems containsNonDate="0" containsString="0" containsBlank="1"/>
    </cacheField>
    <cacheField name="Column10955" numFmtId="0">
      <sharedItems containsNonDate="0" containsString="0" containsBlank="1"/>
    </cacheField>
    <cacheField name="Column10956" numFmtId="0">
      <sharedItems containsNonDate="0" containsString="0" containsBlank="1"/>
    </cacheField>
    <cacheField name="Column10957" numFmtId="0">
      <sharedItems containsNonDate="0" containsString="0" containsBlank="1"/>
    </cacheField>
    <cacheField name="Column10958" numFmtId="0">
      <sharedItems containsNonDate="0" containsString="0" containsBlank="1"/>
    </cacheField>
    <cacheField name="Column10959" numFmtId="0">
      <sharedItems containsNonDate="0" containsString="0" containsBlank="1"/>
    </cacheField>
    <cacheField name="Column10960" numFmtId="0">
      <sharedItems containsNonDate="0" containsString="0" containsBlank="1"/>
    </cacheField>
    <cacheField name="Column10961" numFmtId="0">
      <sharedItems containsNonDate="0" containsString="0" containsBlank="1"/>
    </cacheField>
    <cacheField name="Column10962" numFmtId="0">
      <sharedItems containsNonDate="0" containsString="0" containsBlank="1"/>
    </cacheField>
    <cacheField name="Column10963" numFmtId="0">
      <sharedItems containsNonDate="0" containsString="0" containsBlank="1"/>
    </cacheField>
    <cacheField name="Column10964" numFmtId="0">
      <sharedItems containsNonDate="0" containsString="0" containsBlank="1"/>
    </cacheField>
    <cacheField name="Column10965" numFmtId="0">
      <sharedItems containsNonDate="0" containsString="0" containsBlank="1"/>
    </cacheField>
    <cacheField name="Column10966" numFmtId="0">
      <sharedItems containsNonDate="0" containsString="0" containsBlank="1"/>
    </cacheField>
    <cacheField name="Column10967" numFmtId="0">
      <sharedItems containsNonDate="0" containsString="0" containsBlank="1"/>
    </cacheField>
    <cacheField name="Column10968" numFmtId="0">
      <sharedItems containsNonDate="0" containsString="0" containsBlank="1"/>
    </cacheField>
    <cacheField name="Column10969" numFmtId="0">
      <sharedItems containsNonDate="0" containsString="0" containsBlank="1"/>
    </cacheField>
    <cacheField name="Column10970" numFmtId="0">
      <sharedItems containsNonDate="0" containsString="0" containsBlank="1"/>
    </cacheField>
    <cacheField name="Column10971" numFmtId="0">
      <sharedItems containsNonDate="0" containsString="0" containsBlank="1"/>
    </cacheField>
    <cacheField name="Column10972" numFmtId="0">
      <sharedItems containsNonDate="0" containsString="0" containsBlank="1"/>
    </cacheField>
    <cacheField name="Column10973" numFmtId="0">
      <sharedItems containsNonDate="0" containsString="0" containsBlank="1"/>
    </cacheField>
    <cacheField name="Column10974" numFmtId="0">
      <sharedItems containsNonDate="0" containsString="0" containsBlank="1"/>
    </cacheField>
    <cacheField name="Column10975" numFmtId="0">
      <sharedItems containsNonDate="0" containsString="0" containsBlank="1"/>
    </cacheField>
    <cacheField name="Column10976" numFmtId="0">
      <sharedItems containsNonDate="0" containsString="0" containsBlank="1"/>
    </cacheField>
    <cacheField name="Column10977" numFmtId="0">
      <sharedItems containsNonDate="0" containsString="0" containsBlank="1"/>
    </cacheField>
    <cacheField name="Column10978" numFmtId="0">
      <sharedItems containsNonDate="0" containsString="0" containsBlank="1"/>
    </cacheField>
    <cacheField name="Column10979" numFmtId="0">
      <sharedItems containsNonDate="0" containsString="0" containsBlank="1"/>
    </cacheField>
    <cacheField name="Column10980" numFmtId="0">
      <sharedItems containsNonDate="0" containsString="0" containsBlank="1"/>
    </cacheField>
    <cacheField name="Column10981" numFmtId="0">
      <sharedItems containsNonDate="0" containsString="0" containsBlank="1"/>
    </cacheField>
    <cacheField name="Column10982" numFmtId="0">
      <sharedItems containsNonDate="0" containsString="0" containsBlank="1"/>
    </cacheField>
    <cacheField name="Column10983" numFmtId="0">
      <sharedItems containsNonDate="0" containsString="0" containsBlank="1"/>
    </cacheField>
    <cacheField name="Column10984" numFmtId="0">
      <sharedItems containsNonDate="0" containsString="0" containsBlank="1"/>
    </cacheField>
    <cacheField name="Column10985" numFmtId="0">
      <sharedItems containsNonDate="0" containsString="0" containsBlank="1"/>
    </cacheField>
    <cacheField name="Column10986" numFmtId="0">
      <sharedItems containsNonDate="0" containsString="0" containsBlank="1"/>
    </cacheField>
    <cacheField name="Column10987" numFmtId="0">
      <sharedItems containsNonDate="0" containsString="0" containsBlank="1"/>
    </cacheField>
    <cacheField name="Column10988" numFmtId="0">
      <sharedItems containsNonDate="0" containsString="0" containsBlank="1"/>
    </cacheField>
    <cacheField name="Column10989" numFmtId="0">
      <sharedItems containsNonDate="0" containsString="0" containsBlank="1"/>
    </cacheField>
    <cacheField name="Column10990" numFmtId="0">
      <sharedItems containsNonDate="0" containsString="0" containsBlank="1"/>
    </cacheField>
    <cacheField name="Column10991" numFmtId="0">
      <sharedItems containsNonDate="0" containsString="0" containsBlank="1"/>
    </cacheField>
    <cacheField name="Column10992" numFmtId="0">
      <sharedItems containsNonDate="0" containsString="0" containsBlank="1"/>
    </cacheField>
    <cacheField name="Column10993" numFmtId="0">
      <sharedItems containsNonDate="0" containsString="0" containsBlank="1"/>
    </cacheField>
    <cacheField name="Column10994" numFmtId="0">
      <sharedItems containsNonDate="0" containsString="0" containsBlank="1"/>
    </cacheField>
    <cacheField name="Column10995" numFmtId="0">
      <sharedItems containsNonDate="0" containsString="0" containsBlank="1"/>
    </cacheField>
    <cacheField name="Column10996" numFmtId="0">
      <sharedItems containsNonDate="0" containsString="0" containsBlank="1"/>
    </cacheField>
    <cacheField name="Column10997" numFmtId="0">
      <sharedItems containsNonDate="0" containsString="0" containsBlank="1"/>
    </cacheField>
    <cacheField name="Column10998" numFmtId="0">
      <sharedItems containsNonDate="0" containsString="0" containsBlank="1"/>
    </cacheField>
    <cacheField name="Column10999" numFmtId="0">
      <sharedItems containsNonDate="0" containsString="0" containsBlank="1"/>
    </cacheField>
    <cacheField name="Column11000" numFmtId="0">
      <sharedItems containsNonDate="0" containsString="0" containsBlank="1"/>
    </cacheField>
    <cacheField name="Column11001" numFmtId="0">
      <sharedItems containsNonDate="0" containsString="0" containsBlank="1"/>
    </cacheField>
    <cacheField name="Column11002" numFmtId="0">
      <sharedItems containsNonDate="0" containsString="0" containsBlank="1"/>
    </cacheField>
    <cacheField name="Column11003" numFmtId="0">
      <sharedItems containsNonDate="0" containsString="0" containsBlank="1"/>
    </cacheField>
    <cacheField name="Column11004" numFmtId="0">
      <sharedItems containsNonDate="0" containsString="0" containsBlank="1"/>
    </cacheField>
    <cacheField name="Column11005" numFmtId="0">
      <sharedItems containsNonDate="0" containsString="0" containsBlank="1"/>
    </cacheField>
    <cacheField name="Column11006" numFmtId="0">
      <sharedItems containsNonDate="0" containsString="0" containsBlank="1"/>
    </cacheField>
    <cacheField name="Column11007" numFmtId="0">
      <sharedItems containsNonDate="0" containsString="0" containsBlank="1"/>
    </cacheField>
    <cacheField name="Column11008" numFmtId="0">
      <sharedItems containsNonDate="0" containsString="0" containsBlank="1"/>
    </cacheField>
    <cacheField name="Column11009" numFmtId="0">
      <sharedItems containsNonDate="0" containsString="0" containsBlank="1"/>
    </cacheField>
    <cacheField name="Column11010" numFmtId="0">
      <sharedItems containsNonDate="0" containsString="0" containsBlank="1"/>
    </cacheField>
    <cacheField name="Column11011" numFmtId="0">
      <sharedItems containsNonDate="0" containsString="0" containsBlank="1"/>
    </cacheField>
    <cacheField name="Column11012" numFmtId="0">
      <sharedItems containsNonDate="0" containsString="0" containsBlank="1"/>
    </cacheField>
    <cacheField name="Column11013" numFmtId="0">
      <sharedItems containsNonDate="0" containsString="0" containsBlank="1"/>
    </cacheField>
    <cacheField name="Column11014" numFmtId="0">
      <sharedItems containsNonDate="0" containsString="0" containsBlank="1"/>
    </cacheField>
    <cacheField name="Column11015" numFmtId="0">
      <sharedItems containsNonDate="0" containsString="0" containsBlank="1"/>
    </cacheField>
    <cacheField name="Column11016" numFmtId="0">
      <sharedItems containsNonDate="0" containsString="0" containsBlank="1"/>
    </cacheField>
    <cacheField name="Column11017" numFmtId="0">
      <sharedItems containsNonDate="0" containsString="0" containsBlank="1"/>
    </cacheField>
    <cacheField name="Column11018" numFmtId="0">
      <sharedItems containsNonDate="0" containsString="0" containsBlank="1"/>
    </cacheField>
    <cacheField name="Column11019" numFmtId="0">
      <sharedItems containsNonDate="0" containsString="0" containsBlank="1"/>
    </cacheField>
    <cacheField name="Column11020" numFmtId="0">
      <sharedItems containsNonDate="0" containsString="0" containsBlank="1"/>
    </cacheField>
    <cacheField name="Column11021" numFmtId="0">
      <sharedItems containsNonDate="0" containsString="0" containsBlank="1"/>
    </cacheField>
    <cacheField name="Column11022" numFmtId="0">
      <sharedItems containsNonDate="0" containsString="0" containsBlank="1"/>
    </cacheField>
    <cacheField name="Column11023" numFmtId="0">
      <sharedItems containsNonDate="0" containsString="0" containsBlank="1"/>
    </cacheField>
    <cacheField name="Column11024" numFmtId="0">
      <sharedItems containsNonDate="0" containsString="0" containsBlank="1"/>
    </cacheField>
    <cacheField name="Column11025" numFmtId="0">
      <sharedItems containsNonDate="0" containsString="0" containsBlank="1"/>
    </cacheField>
    <cacheField name="Column11026" numFmtId="0">
      <sharedItems containsNonDate="0" containsString="0" containsBlank="1"/>
    </cacheField>
    <cacheField name="Column11027" numFmtId="0">
      <sharedItems containsNonDate="0" containsString="0" containsBlank="1"/>
    </cacheField>
    <cacheField name="Column11028" numFmtId="0">
      <sharedItems containsNonDate="0" containsString="0" containsBlank="1"/>
    </cacheField>
    <cacheField name="Column11029" numFmtId="0">
      <sharedItems containsNonDate="0" containsString="0" containsBlank="1"/>
    </cacheField>
    <cacheField name="Column11030" numFmtId="0">
      <sharedItems containsNonDate="0" containsString="0" containsBlank="1"/>
    </cacheField>
    <cacheField name="Column11031" numFmtId="0">
      <sharedItems containsNonDate="0" containsString="0" containsBlank="1"/>
    </cacheField>
    <cacheField name="Column11032" numFmtId="0">
      <sharedItems containsNonDate="0" containsString="0" containsBlank="1"/>
    </cacheField>
    <cacheField name="Column11033" numFmtId="0">
      <sharedItems containsNonDate="0" containsString="0" containsBlank="1"/>
    </cacheField>
    <cacheField name="Column11034" numFmtId="0">
      <sharedItems containsNonDate="0" containsString="0" containsBlank="1"/>
    </cacheField>
    <cacheField name="Column11035" numFmtId="0">
      <sharedItems containsNonDate="0" containsString="0" containsBlank="1"/>
    </cacheField>
    <cacheField name="Column11036" numFmtId="0">
      <sharedItems containsNonDate="0" containsString="0" containsBlank="1"/>
    </cacheField>
    <cacheField name="Column11037" numFmtId="0">
      <sharedItems containsNonDate="0" containsString="0" containsBlank="1"/>
    </cacheField>
    <cacheField name="Column11038" numFmtId="0">
      <sharedItems containsNonDate="0" containsString="0" containsBlank="1"/>
    </cacheField>
    <cacheField name="Column11039" numFmtId="0">
      <sharedItems containsNonDate="0" containsString="0" containsBlank="1"/>
    </cacheField>
    <cacheField name="Column11040" numFmtId="0">
      <sharedItems containsNonDate="0" containsString="0" containsBlank="1"/>
    </cacheField>
    <cacheField name="Column11041" numFmtId="0">
      <sharedItems containsNonDate="0" containsString="0" containsBlank="1"/>
    </cacheField>
    <cacheField name="Column11042" numFmtId="0">
      <sharedItems containsNonDate="0" containsString="0" containsBlank="1"/>
    </cacheField>
    <cacheField name="Column11043" numFmtId="0">
      <sharedItems containsNonDate="0" containsString="0" containsBlank="1"/>
    </cacheField>
    <cacheField name="Column11044" numFmtId="0">
      <sharedItems containsNonDate="0" containsString="0" containsBlank="1"/>
    </cacheField>
    <cacheField name="Column11045" numFmtId="0">
      <sharedItems containsNonDate="0" containsString="0" containsBlank="1"/>
    </cacheField>
    <cacheField name="Column11046" numFmtId="0">
      <sharedItems containsNonDate="0" containsString="0" containsBlank="1"/>
    </cacheField>
    <cacheField name="Column11047" numFmtId="0">
      <sharedItems containsNonDate="0" containsString="0" containsBlank="1"/>
    </cacheField>
    <cacheField name="Column11048" numFmtId="0">
      <sharedItems containsNonDate="0" containsString="0" containsBlank="1"/>
    </cacheField>
    <cacheField name="Column11049" numFmtId="0">
      <sharedItems containsNonDate="0" containsString="0" containsBlank="1"/>
    </cacheField>
    <cacheField name="Column11050" numFmtId="0">
      <sharedItems containsNonDate="0" containsString="0" containsBlank="1"/>
    </cacheField>
    <cacheField name="Column11051" numFmtId="0">
      <sharedItems containsNonDate="0" containsString="0" containsBlank="1"/>
    </cacheField>
    <cacheField name="Column11052" numFmtId="0">
      <sharedItems containsNonDate="0" containsString="0" containsBlank="1"/>
    </cacheField>
    <cacheField name="Column11053" numFmtId="0">
      <sharedItems containsNonDate="0" containsString="0" containsBlank="1"/>
    </cacheField>
    <cacheField name="Column11054" numFmtId="0">
      <sharedItems containsNonDate="0" containsString="0" containsBlank="1"/>
    </cacheField>
    <cacheField name="Column11055" numFmtId="0">
      <sharedItems containsNonDate="0" containsString="0" containsBlank="1"/>
    </cacheField>
    <cacheField name="Column11056" numFmtId="0">
      <sharedItems containsNonDate="0" containsString="0" containsBlank="1"/>
    </cacheField>
    <cacheField name="Column11057" numFmtId="0">
      <sharedItems containsNonDate="0" containsString="0" containsBlank="1"/>
    </cacheField>
    <cacheField name="Column11058" numFmtId="0">
      <sharedItems containsNonDate="0" containsString="0" containsBlank="1"/>
    </cacheField>
    <cacheField name="Column11059" numFmtId="0">
      <sharedItems containsNonDate="0" containsString="0" containsBlank="1"/>
    </cacheField>
    <cacheField name="Column11060" numFmtId="0">
      <sharedItems containsNonDate="0" containsString="0" containsBlank="1"/>
    </cacheField>
    <cacheField name="Column11061" numFmtId="0">
      <sharedItems containsNonDate="0" containsString="0" containsBlank="1"/>
    </cacheField>
    <cacheField name="Column11062" numFmtId="0">
      <sharedItems containsNonDate="0" containsString="0" containsBlank="1"/>
    </cacheField>
    <cacheField name="Column11063" numFmtId="0">
      <sharedItems containsNonDate="0" containsString="0" containsBlank="1"/>
    </cacheField>
    <cacheField name="Column11064" numFmtId="0">
      <sharedItems containsNonDate="0" containsString="0" containsBlank="1"/>
    </cacheField>
    <cacheField name="Column11065" numFmtId="0">
      <sharedItems containsNonDate="0" containsString="0" containsBlank="1"/>
    </cacheField>
    <cacheField name="Column11066" numFmtId="0">
      <sharedItems containsNonDate="0" containsString="0" containsBlank="1"/>
    </cacheField>
    <cacheField name="Column11067" numFmtId="0">
      <sharedItems containsNonDate="0" containsString="0" containsBlank="1"/>
    </cacheField>
    <cacheField name="Column11068" numFmtId="0">
      <sharedItems containsNonDate="0" containsString="0" containsBlank="1"/>
    </cacheField>
    <cacheField name="Column11069" numFmtId="0">
      <sharedItems containsNonDate="0" containsString="0" containsBlank="1"/>
    </cacheField>
    <cacheField name="Column11070" numFmtId="0">
      <sharedItems containsNonDate="0" containsString="0" containsBlank="1"/>
    </cacheField>
    <cacheField name="Column11071" numFmtId="0">
      <sharedItems containsNonDate="0" containsString="0" containsBlank="1"/>
    </cacheField>
    <cacheField name="Column11072" numFmtId="0">
      <sharedItems containsNonDate="0" containsString="0" containsBlank="1"/>
    </cacheField>
    <cacheField name="Column11073" numFmtId="0">
      <sharedItems containsNonDate="0" containsString="0" containsBlank="1"/>
    </cacheField>
    <cacheField name="Column11074" numFmtId="0">
      <sharedItems containsNonDate="0" containsString="0" containsBlank="1"/>
    </cacheField>
    <cacheField name="Column11075" numFmtId="0">
      <sharedItems containsNonDate="0" containsString="0" containsBlank="1"/>
    </cacheField>
    <cacheField name="Column11076" numFmtId="0">
      <sharedItems containsNonDate="0" containsString="0" containsBlank="1"/>
    </cacheField>
    <cacheField name="Column11077" numFmtId="0">
      <sharedItems containsNonDate="0" containsString="0" containsBlank="1"/>
    </cacheField>
    <cacheField name="Column11078" numFmtId="0">
      <sharedItems containsNonDate="0" containsString="0" containsBlank="1"/>
    </cacheField>
    <cacheField name="Column11079" numFmtId="0">
      <sharedItems containsNonDate="0" containsString="0" containsBlank="1"/>
    </cacheField>
    <cacheField name="Column11080" numFmtId="0">
      <sharedItems containsNonDate="0" containsString="0" containsBlank="1"/>
    </cacheField>
    <cacheField name="Column11081" numFmtId="0">
      <sharedItems containsNonDate="0" containsString="0" containsBlank="1"/>
    </cacheField>
    <cacheField name="Column11082" numFmtId="0">
      <sharedItems containsNonDate="0" containsString="0" containsBlank="1"/>
    </cacheField>
    <cacheField name="Column11083" numFmtId="0">
      <sharedItems containsNonDate="0" containsString="0" containsBlank="1"/>
    </cacheField>
    <cacheField name="Column11084" numFmtId="0">
      <sharedItems containsNonDate="0" containsString="0" containsBlank="1"/>
    </cacheField>
    <cacheField name="Column11085" numFmtId="0">
      <sharedItems containsNonDate="0" containsString="0" containsBlank="1"/>
    </cacheField>
    <cacheField name="Column11086" numFmtId="0">
      <sharedItems containsNonDate="0" containsString="0" containsBlank="1"/>
    </cacheField>
    <cacheField name="Column11087" numFmtId="0">
      <sharedItems containsNonDate="0" containsString="0" containsBlank="1"/>
    </cacheField>
    <cacheField name="Column11088" numFmtId="0">
      <sharedItems containsNonDate="0" containsString="0" containsBlank="1"/>
    </cacheField>
    <cacheField name="Column11089" numFmtId="0">
      <sharedItems containsNonDate="0" containsString="0" containsBlank="1"/>
    </cacheField>
    <cacheField name="Column11090" numFmtId="0">
      <sharedItems containsNonDate="0" containsString="0" containsBlank="1"/>
    </cacheField>
    <cacheField name="Column11091" numFmtId="0">
      <sharedItems containsNonDate="0" containsString="0" containsBlank="1"/>
    </cacheField>
    <cacheField name="Column11092" numFmtId="0">
      <sharedItems containsNonDate="0" containsString="0" containsBlank="1"/>
    </cacheField>
    <cacheField name="Column11093" numFmtId="0">
      <sharedItems containsNonDate="0" containsString="0" containsBlank="1"/>
    </cacheField>
    <cacheField name="Column11094" numFmtId="0">
      <sharedItems containsNonDate="0" containsString="0" containsBlank="1"/>
    </cacheField>
    <cacheField name="Column11095" numFmtId="0">
      <sharedItems containsNonDate="0" containsString="0" containsBlank="1"/>
    </cacheField>
    <cacheField name="Column11096" numFmtId="0">
      <sharedItems containsNonDate="0" containsString="0" containsBlank="1"/>
    </cacheField>
    <cacheField name="Column11097" numFmtId="0">
      <sharedItems containsNonDate="0" containsString="0" containsBlank="1"/>
    </cacheField>
    <cacheField name="Column11098" numFmtId="0">
      <sharedItems containsNonDate="0" containsString="0" containsBlank="1"/>
    </cacheField>
    <cacheField name="Column11099" numFmtId="0">
      <sharedItems containsNonDate="0" containsString="0" containsBlank="1"/>
    </cacheField>
    <cacheField name="Column11100" numFmtId="0">
      <sharedItems containsNonDate="0" containsString="0" containsBlank="1"/>
    </cacheField>
    <cacheField name="Column11101" numFmtId="0">
      <sharedItems containsNonDate="0" containsString="0" containsBlank="1"/>
    </cacheField>
    <cacheField name="Column11102" numFmtId="0">
      <sharedItems containsNonDate="0" containsString="0" containsBlank="1"/>
    </cacheField>
    <cacheField name="Column11103" numFmtId="0">
      <sharedItems containsNonDate="0" containsString="0" containsBlank="1"/>
    </cacheField>
    <cacheField name="Column11104" numFmtId="0">
      <sharedItems containsNonDate="0" containsString="0" containsBlank="1"/>
    </cacheField>
    <cacheField name="Column11105" numFmtId="0">
      <sharedItems containsNonDate="0" containsString="0" containsBlank="1"/>
    </cacheField>
    <cacheField name="Column11106" numFmtId="0">
      <sharedItems containsNonDate="0" containsString="0" containsBlank="1"/>
    </cacheField>
    <cacheField name="Column11107" numFmtId="0">
      <sharedItems containsNonDate="0" containsString="0" containsBlank="1"/>
    </cacheField>
    <cacheField name="Column11108" numFmtId="0">
      <sharedItems containsNonDate="0" containsString="0" containsBlank="1"/>
    </cacheField>
    <cacheField name="Column11109" numFmtId="0">
      <sharedItems containsNonDate="0" containsString="0" containsBlank="1"/>
    </cacheField>
    <cacheField name="Column11110" numFmtId="0">
      <sharedItems containsNonDate="0" containsString="0" containsBlank="1"/>
    </cacheField>
    <cacheField name="Column11111" numFmtId="0">
      <sharedItems containsNonDate="0" containsString="0" containsBlank="1"/>
    </cacheField>
    <cacheField name="Column11112" numFmtId="0">
      <sharedItems containsNonDate="0" containsString="0" containsBlank="1"/>
    </cacheField>
    <cacheField name="Column11113" numFmtId="0">
      <sharedItems containsNonDate="0" containsString="0" containsBlank="1"/>
    </cacheField>
    <cacheField name="Column11114" numFmtId="0">
      <sharedItems containsNonDate="0" containsString="0" containsBlank="1"/>
    </cacheField>
    <cacheField name="Column11115" numFmtId="0">
      <sharedItems containsNonDate="0" containsString="0" containsBlank="1"/>
    </cacheField>
    <cacheField name="Column11116" numFmtId="0">
      <sharedItems containsNonDate="0" containsString="0" containsBlank="1"/>
    </cacheField>
    <cacheField name="Column11117" numFmtId="0">
      <sharedItems containsNonDate="0" containsString="0" containsBlank="1"/>
    </cacheField>
    <cacheField name="Column11118" numFmtId="0">
      <sharedItems containsNonDate="0" containsString="0" containsBlank="1"/>
    </cacheField>
    <cacheField name="Column11119" numFmtId="0">
      <sharedItems containsNonDate="0" containsString="0" containsBlank="1"/>
    </cacheField>
    <cacheField name="Column11120" numFmtId="0">
      <sharedItems containsNonDate="0" containsString="0" containsBlank="1"/>
    </cacheField>
    <cacheField name="Column11121" numFmtId="0">
      <sharedItems containsNonDate="0" containsString="0" containsBlank="1"/>
    </cacheField>
    <cacheField name="Column11122" numFmtId="0">
      <sharedItems containsNonDate="0" containsString="0" containsBlank="1"/>
    </cacheField>
    <cacheField name="Column11123" numFmtId="0">
      <sharedItems containsNonDate="0" containsString="0" containsBlank="1"/>
    </cacheField>
    <cacheField name="Column11124" numFmtId="0">
      <sharedItems containsNonDate="0" containsString="0" containsBlank="1"/>
    </cacheField>
    <cacheField name="Column11125" numFmtId="0">
      <sharedItems containsNonDate="0" containsString="0" containsBlank="1"/>
    </cacheField>
    <cacheField name="Column11126" numFmtId="0">
      <sharedItems containsNonDate="0" containsString="0" containsBlank="1"/>
    </cacheField>
    <cacheField name="Column11127" numFmtId="0">
      <sharedItems containsNonDate="0" containsString="0" containsBlank="1"/>
    </cacheField>
    <cacheField name="Column11128" numFmtId="0">
      <sharedItems containsNonDate="0" containsString="0" containsBlank="1"/>
    </cacheField>
    <cacheField name="Column11129" numFmtId="0">
      <sharedItems containsNonDate="0" containsString="0" containsBlank="1"/>
    </cacheField>
    <cacheField name="Column11130" numFmtId="0">
      <sharedItems containsNonDate="0" containsString="0" containsBlank="1"/>
    </cacheField>
    <cacheField name="Column11131" numFmtId="0">
      <sharedItems containsNonDate="0" containsString="0" containsBlank="1"/>
    </cacheField>
    <cacheField name="Column11132" numFmtId="0">
      <sharedItems containsNonDate="0" containsString="0" containsBlank="1"/>
    </cacheField>
    <cacheField name="Column11133" numFmtId="0">
      <sharedItems containsNonDate="0" containsString="0" containsBlank="1"/>
    </cacheField>
    <cacheField name="Column11134" numFmtId="0">
      <sharedItems containsNonDate="0" containsString="0" containsBlank="1"/>
    </cacheField>
    <cacheField name="Column11135" numFmtId="0">
      <sharedItems containsNonDate="0" containsString="0" containsBlank="1"/>
    </cacheField>
    <cacheField name="Column11136" numFmtId="0">
      <sharedItems containsNonDate="0" containsString="0" containsBlank="1"/>
    </cacheField>
    <cacheField name="Column11137" numFmtId="0">
      <sharedItems containsNonDate="0" containsString="0" containsBlank="1"/>
    </cacheField>
    <cacheField name="Column11138" numFmtId="0">
      <sharedItems containsNonDate="0" containsString="0" containsBlank="1"/>
    </cacheField>
    <cacheField name="Column11139" numFmtId="0">
      <sharedItems containsNonDate="0" containsString="0" containsBlank="1"/>
    </cacheField>
    <cacheField name="Column11140" numFmtId="0">
      <sharedItems containsNonDate="0" containsString="0" containsBlank="1"/>
    </cacheField>
    <cacheField name="Column11141" numFmtId="0">
      <sharedItems containsNonDate="0" containsString="0" containsBlank="1"/>
    </cacheField>
    <cacheField name="Column11142" numFmtId="0">
      <sharedItems containsNonDate="0" containsString="0" containsBlank="1"/>
    </cacheField>
    <cacheField name="Column11143" numFmtId="0">
      <sharedItems containsNonDate="0" containsString="0" containsBlank="1"/>
    </cacheField>
    <cacheField name="Column11144" numFmtId="0">
      <sharedItems containsNonDate="0" containsString="0" containsBlank="1"/>
    </cacheField>
    <cacheField name="Column11145" numFmtId="0">
      <sharedItems containsNonDate="0" containsString="0" containsBlank="1"/>
    </cacheField>
    <cacheField name="Column11146" numFmtId="0">
      <sharedItems containsNonDate="0" containsString="0" containsBlank="1"/>
    </cacheField>
    <cacheField name="Column11147" numFmtId="0">
      <sharedItems containsNonDate="0" containsString="0" containsBlank="1"/>
    </cacheField>
    <cacheField name="Column11148" numFmtId="0">
      <sharedItems containsNonDate="0" containsString="0" containsBlank="1"/>
    </cacheField>
    <cacheField name="Column11149" numFmtId="0">
      <sharedItems containsNonDate="0" containsString="0" containsBlank="1"/>
    </cacheField>
    <cacheField name="Column11150" numFmtId="0">
      <sharedItems containsNonDate="0" containsString="0" containsBlank="1"/>
    </cacheField>
    <cacheField name="Column11151" numFmtId="0">
      <sharedItems containsNonDate="0" containsString="0" containsBlank="1"/>
    </cacheField>
    <cacheField name="Column11152" numFmtId="0">
      <sharedItems containsNonDate="0" containsString="0" containsBlank="1"/>
    </cacheField>
    <cacheField name="Column11153" numFmtId="0">
      <sharedItems containsNonDate="0" containsString="0" containsBlank="1"/>
    </cacheField>
    <cacheField name="Column11154" numFmtId="0">
      <sharedItems containsNonDate="0" containsString="0" containsBlank="1"/>
    </cacheField>
    <cacheField name="Column11155" numFmtId="0">
      <sharedItems containsNonDate="0" containsString="0" containsBlank="1"/>
    </cacheField>
    <cacheField name="Column11156" numFmtId="0">
      <sharedItems containsNonDate="0" containsString="0" containsBlank="1"/>
    </cacheField>
    <cacheField name="Column11157" numFmtId="0">
      <sharedItems containsNonDate="0" containsString="0" containsBlank="1"/>
    </cacheField>
    <cacheField name="Column11158" numFmtId="0">
      <sharedItems containsNonDate="0" containsString="0" containsBlank="1"/>
    </cacheField>
    <cacheField name="Column11159" numFmtId="0">
      <sharedItems containsNonDate="0" containsString="0" containsBlank="1"/>
    </cacheField>
    <cacheField name="Column11160" numFmtId="0">
      <sharedItems containsNonDate="0" containsString="0" containsBlank="1"/>
    </cacheField>
    <cacheField name="Column11161" numFmtId="0">
      <sharedItems containsNonDate="0" containsString="0" containsBlank="1"/>
    </cacheField>
    <cacheField name="Column11162" numFmtId="0">
      <sharedItems containsNonDate="0" containsString="0" containsBlank="1"/>
    </cacheField>
    <cacheField name="Column11163" numFmtId="0">
      <sharedItems containsNonDate="0" containsString="0" containsBlank="1"/>
    </cacheField>
    <cacheField name="Column11164" numFmtId="0">
      <sharedItems containsNonDate="0" containsString="0" containsBlank="1"/>
    </cacheField>
    <cacheField name="Column11165" numFmtId="0">
      <sharedItems containsNonDate="0" containsString="0" containsBlank="1"/>
    </cacheField>
    <cacheField name="Column11166" numFmtId="0">
      <sharedItems containsNonDate="0" containsString="0" containsBlank="1"/>
    </cacheField>
    <cacheField name="Column11167" numFmtId="0">
      <sharedItems containsNonDate="0" containsString="0" containsBlank="1"/>
    </cacheField>
    <cacheField name="Column11168" numFmtId="0">
      <sharedItems containsNonDate="0" containsString="0" containsBlank="1"/>
    </cacheField>
    <cacheField name="Column11169" numFmtId="0">
      <sharedItems containsNonDate="0" containsString="0" containsBlank="1"/>
    </cacheField>
    <cacheField name="Column11170" numFmtId="0">
      <sharedItems containsNonDate="0" containsString="0" containsBlank="1"/>
    </cacheField>
    <cacheField name="Column11171" numFmtId="0">
      <sharedItems containsNonDate="0" containsString="0" containsBlank="1"/>
    </cacheField>
    <cacheField name="Column11172" numFmtId="0">
      <sharedItems containsNonDate="0" containsString="0" containsBlank="1"/>
    </cacheField>
    <cacheField name="Column11173" numFmtId="0">
      <sharedItems containsNonDate="0" containsString="0" containsBlank="1"/>
    </cacheField>
    <cacheField name="Column11174" numFmtId="0">
      <sharedItems containsNonDate="0" containsString="0" containsBlank="1"/>
    </cacheField>
    <cacheField name="Column11175" numFmtId="0">
      <sharedItems containsNonDate="0" containsString="0" containsBlank="1"/>
    </cacheField>
    <cacheField name="Column11176" numFmtId="0">
      <sharedItems containsNonDate="0" containsString="0" containsBlank="1"/>
    </cacheField>
    <cacheField name="Column11177" numFmtId="0">
      <sharedItems containsNonDate="0" containsString="0" containsBlank="1"/>
    </cacheField>
    <cacheField name="Column11178" numFmtId="0">
      <sharedItems containsNonDate="0" containsString="0" containsBlank="1"/>
    </cacheField>
    <cacheField name="Column11179" numFmtId="0">
      <sharedItems containsNonDate="0" containsString="0" containsBlank="1"/>
    </cacheField>
    <cacheField name="Column11180" numFmtId="0">
      <sharedItems containsNonDate="0" containsString="0" containsBlank="1"/>
    </cacheField>
    <cacheField name="Column11181" numFmtId="0">
      <sharedItems containsNonDate="0" containsString="0" containsBlank="1"/>
    </cacheField>
    <cacheField name="Column11182" numFmtId="0">
      <sharedItems containsNonDate="0" containsString="0" containsBlank="1"/>
    </cacheField>
    <cacheField name="Column11183" numFmtId="0">
      <sharedItems containsNonDate="0" containsString="0" containsBlank="1"/>
    </cacheField>
    <cacheField name="Column11184" numFmtId="0">
      <sharedItems containsNonDate="0" containsString="0" containsBlank="1"/>
    </cacheField>
    <cacheField name="Column11185" numFmtId="0">
      <sharedItems containsNonDate="0" containsString="0" containsBlank="1"/>
    </cacheField>
    <cacheField name="Column11186" numFmtId="0">
      <sharedItems containsNonDate="0" containsString="0" containsBlank="1"/>
    </cacheField>
    <cacheField name="Column11187" numFmtId="0">
      <sharedItems containsNonDate="0" containsString="0" containsBlank="1"/>
    </cacheField>
    <cacheField name="Column11188" numFmtId="0">
      <sharedItems containsNonDate="0" containsString="0" containsBlank="1"/>
    </cacheField>
    <cacheField name="Column11189" numFmtId="0">
      <sharedItems containsNonDate="0" containsString="0" containsBlank="1"/>
    </cacheField>
    <cacheField name="Column11190" numFmtId="0">
      <sharedItems containsNonDate="0" containsString="0" containsBlank="1"/>
    </cacheField>
    <cacheField name="Column11191" numFmtId="0">
      <sharedItems containsNonDate="0" containsString="0" containsBlank="1"/>
    </cacheField>
    <cacheField name="Column11192" numFmtId="0">
      <sharedItems containsNonDate="0" containsString="0" containsBlank="1"/>
    </cacheField>
    <cacheField name="Column11193" numFmtId="0">
      <sharedItems containsNonDate="0" containsString="0" containsBlank="1"/>
    </cacheField>
    <cacheField name="Column11194" numFmtId="0">
      <sharedItems containsNonDate="0" containsString="0" containsBlank="1"/>
    </cacheField>
    <cacheField name="Column11195" numFmtId="0">
      <sharedItems containsNonDate="0" containsString="0" containsBlank="1"/>
    </cacheField>
    <cacheField name="Column11196" numFmtId="0">
      <sharedItems containsNonDate="0" containsString="0" containsBlank="1"/>
    </cacheField>
    <cacheField name="Column11197" numFmtId="0">
      <sharedItems containsNonDate="0" containsString="0" containsBlank="1"/>
    </cacheField>
    <cacheField name="Column11198" numFmtId="0">
      <sharedItems containsNonDate="0" containsString="0" containsBlank="1"/>
    </cacheField>
    <cacheField name="Column11199" numFmtId="0">
      <sharedItems containsNonDate="0" containsString="0" containsBlank="1"/>
    </cacheField>
    <cacheField name="Column11200" numFmtId="0">
      <sharedItems containsNonDate="0" containsString="0" containsBlank="1"/>
    </cacheField>
    <cacheField name="Column11201" numFmtId="0">
      <sharedItems containsNonDate="0" containsString="0" containsBlank="1"/>
    </cacheField>
    <cacheField name="Column11202" numFmtId="0">
      <sharedItems containsNonDate="0" containsString="0" containsBlank="1"/>
    </cacheField>
    <cacheField name="Column11203" numFmtId="0">
      <sharedItems containsNonDate="0" containsString="0" containsBlank="1"/>
    </cacheField>
    <cacheField name="Column11204" numFmtId="0">
      <sharedItems containsNonDate="0" containsString="0" containsBlank="1"/>
    </cacheField>
    <cacheField name="Column11205" numFmtId="0">
      <sharedItems containsNonDate="0" containsString="0" containsBlank="1"/>
    </cacheField>
    <cacheField name="Column11206" numFmtId="0">
      <sharedItems containsNonDate="0" containsString="0" containsBlank="1"/>
    </cacheField>
    <cacheField name="Column11207" numFmtId="0">
      <sharedItems containsNonDate="0" containsString="0" containsBlank="1"/>
    </cacheField>
    <cacheField name="Column11208" numFmtId="0">
      <sharedItems containsNonDate="0" containsString="0" containsBlank="1"/>
    </cacheField>
    <cacheField name="Column11209" numFmtId="0">
      <sharedItems containsNonDate="0" containsString="0" containsBlank="1"/>
    </cacheField>
    <cacheField name="Column11210" numFmtId="0">
      <sharedItems containsNonDate="0" containsString="0" containsBlank="1"/>
    </cacheField>
    <cacheField name="Column11211" numFmtId="0">
      <sharedItems containsNonDate="0" containsString="0" containsBlank="1"/>
    </cacheField>
    <cacheField name="Column11212" numFmtId="0">
      <sharedItems containsNonDate="0" containsString="0" containsBlank="1"/>
    </cacheField>
    <cacheField name="Column11213" numFmtId="0">
      <sharedItems containsNonDate="0" containsString="0" containsBlank="1"/>
    </cacheField>
    <cacheField name="Column11214" numFmtId="0">
      <sharedItems containsNonDate="0" containsString="0" containsBlank="1"/>
    </cacheField>
    <cacheField name="Column11215" numFmtId="0">
      <sharedItems containsNonDate="0" containsString="0" containsBlank="1"/>
    </cacheField>
    <cacheField name="Column11216" numFmtId="0">
      <sharedItems containsNonDate="0" containsString="0" containsBlank="1"/>
    </cacheField>
    <cacheField name="Column11217" numFmtId="0">
      <sharedItems containsNonDate="0" containsString="0" containsBlank="1"/>
    </cacheField>
    <cacheField name="Column11218" numFmtId="0">
      <sharedItems containsNonDate="0" containsString="0" containsBlank="1"/>
    </cacheField>
    <cacheField name="Column11219" numFmtId="0">
      <sharedItems containsNonDate="0" containsString="0" containsBlank="1"/>
    </cacheField>
    <cacheField name="Column11220" numFmtId="0">
      <sharedItems containsNonDate="0" containsString="0" containsBlank="1"/>
    </cacheField>
    <cacheField name="Column11221" numFmtId="0">
      <sharedItems containsNonDate="0" containsString="0" containsBlank="1"/>
    </cacheField>
    <cacheField name="Column11222" numFmtId="0">
      <sharedItems containsNonDate="0" containsString="0" containsBlank="1"/>
    </cacheField>
    <cacheField name="Column11223" numFmtId="0">
      <sharedItems containsNonDate="0" containsString="0" containsBlank="1"/>
    </cacheField>
    <cacheField name="Column11224" numFmtId="0">
      <sharedItems containsNonDate="0" containsString="0" containsBlank="1"/>
    </cacheField>
    <cacheField name="Column11225" numFmtId="0">
      <sharedItems containsNonDate="0" containsString="0" containsBlank="1"/>
    </cacheField>
    <cacheField name="Column11226" numFmtId="0">
      <sharedItems containsNonDate="0" containsString="0" containsBlank="1"/>
    </cacheField>
    <cacheField name="Column11227" numFmtId="0">
      <sharedItems containsNonDate="0" containsString="0" containsBlank="1"/>
    </cacheField>
    <cacheField name="Column11228" numFmtId="0">
      <sharedItems containsNonDate="0" containsString="0" containsBlank="1"/>
    </cacheField>
    <cacheField name="Column11229" numFmtId="0">
      <sharedItems containsNonDate="0" containsString="0" containsBlank="1"/>
    </cacheField>
    <cacheField name="Column11230" numFmtId="0">
      <sharedItems containsNonDate="0" containsString="0" containsBlank="1"/>
    </cacheField>
    <cacheField name="Column11231" numFmtId="0">
      <sharedItems containsNonDate="0" containsString="0" containsBlank="1"/>
    </cacheField>
    <cacheField name="Column11232" numFmtId="0">
      <sharedItems containsNonDate="0" containsString="0" containsBlank="1"/>
    </cacheField>
    <cacheField name="Column11233" numFmtId="0">
      <sharedItems containsNonDate="0" containsString="0" containsBlank="1"/>
    </cacheField>
    <cacheField name="Column11234" numFmtId="0">
      <sharedItems containsNonDate="0" containsString="0" containsBlank="1"/>
    </cacheField>
    <cacheField name="Column11235" numFmtId="0">
      <sharedItems containsNonDate="0" containsString="0" containsBlank="1"/>
    </cacheField>
    <cacheField name="Column11236" numFmtId="0">
      <sharedItems containsNonDate="0" containsString="0" containsBlank="1"/>
    </cacheField>
    <cacheField name="Column11237" numFmtId="0">
      <sharedItems containsNonDate="0" containsString="0" containsBlank="1"/>
    </cacheField>
    <cacheField name="Column11238" numFmtId="0">
      <sharedItems containsNonDate="0" containsString="0" containsBlank="1"/>
    </cacheField>
    <cacheField name="Column11239" numFmtId="0">
      <sharedItems containsNonDate="0" containsString="0" containsBlank="1"/>
    </cacheField>
    <cacheField name="Column11240" numFmtId="0">
      <sharedItems containsNonDate="0" containsString="0" containsBlank="1"/>
    </cacheField>
    <cacheField name="Column11241" numFmtId="0">
      <sharedItems containsNonDate="0" containsString="0" containsBlank="1"/>
    </cacheField>
    <cacheField name="Column11242" numFmtId="0">
      <sharedItems containsNonDate="0" containsString="0" containsBlank="1"/>
    </cacheField>
    <cacheField name="Column11243" numFmtId="0">
      <sharedItems containsNonDate="0" containsString="0" containsBlank="1"/>
    </cacheField>
    <cacheField name="Column11244" numFmtId="0">
      <sharedItems containsNonDate="0" containsString="0" containsBlank="1"/>
    </cacheField>
    <cacheField name="Column11245" numFmtId="0">
      <sharedItems containsNonDate="0" containsString="0" containsBlank="1"/>
    </cacheField>
    <cacheField name="Column11246" numFmtId="0">
      <sharedItems containsNonDate="0" containsString="0" containsBlank="1"/>
    </cacheField>
    <cacheField name="Column11247" numFmtId="0">
      <sharedItems containsNonDate="0" containsString="0" containsBlank="1"/>
    </cacheField>
    <cacheField name="Column11248" numFmtId="0">
      <sharedItems containsNonDate="0" containsString="0" containsBlank="1"/>
    </cacheField>
    <cacheField name="Column11249" numFmtId="0">
      <sharedItems containsNonDate="0" containsString="0" containsBlank="1"/>
    </cacheField>
    <cacheField name="Column11250" numFmtId="0">
      <sharedItems containsNonDate="0" containsString="0" containsBlank="1"/>
    </cacheField>
    <cacheField name="Column11251" numFmtId="0">
      <sharedItems containsNonDate="0" containsString="0" containsBlank="1"/>
    </cacheField>
    <cacheField name="Column11252" numFmtId="0">
      <sharedItems containsNonDate="0" containsString="0" containsBlank="1"/>
    </cacheField>
    <cacheField name="Column11253" numFmtId="0">
      <sharedItems containsNonDate="0" containsString="0" containsBlank="1"/>
    </cacheField>
    <cacheField name="Column11254" numFmtId="0">
      <sharedItems containsNonDate="0" containsString="0" containsBlank="1"/>
    </cacheField>
    <cacheField name="Column11255" numFmtId="0">
      <sharedItems containsNonDate="0" containsString="0" containsBlank="1"/>
    </cacheField>
    <cacheField name="Column11256" numFmtId="0">
      <sharedItems containsNonDate="0" containsString="0" containsBlank="1"/>
    </cacheField>
    <cacheField name="Column11257" numFmtId="0">
      <sharedItems containsNonDate="0" containsString="0" containsBlank="1"/>
    </cacheField>
    <cacheField name="Column11258" numFmtId="0">
      <sharedItems containsNonDate="0" containsString="0" containsBlank="1"/>
    </cacheField>
    <cacheField name="Column11259" numFmtId="0">
      <sharedItems containsNonDate="0" containsString="0" containsBlank="1"/>
    </cacheField>
    <cacheField name="Column11260" numFmtId="0">
      <sharedItems containsNonDate="0" containsString="0" containsBlank="1"/>
    </cacheField>
    <cacheField name="Column11261" numFmtId="0">
      <sharedItems containsNonDate="0" containsString="0" containsBlank="1"/>
    </cacheField>
    <cacheField name="Column11262" numFmtId="0">
      <sharedItems containsNonDate="0" containsString="0" containsBlank="1"/>
    </cacheField>
    <cacheField name="Column11263" numFmtId="0">
      <sharedItems containsNonDate="0" containsString="0" containsBlank="1"/>
    </cacheField>
    <cacheField name="Column11264" numFmtId="0">
      <sharedItems containsNonDate="0" containsString="0" containsBlank="1"/>
    </cacheField>
    <cacheField name="Column11265" numFmtId="0">
      <sharedItems containsNonDate="0" containsString="0" containsBlank="1"/>
    </cacheField>
    <cacheField name="Column11266" numFmtId="0">
      <sharedItems containsNonDate="0" containsString="0" containsBlank="1"/>
    </cacheField>
    <cacheField name="Column11267" numFmtId="0">
      <sharedItems containsNonDate="0" containsString="0" containsBlank="1"/>
    </cacheField>
    <cacheField name="Column11268" numFmtId="0">
      <sharedItems containsNonDate="0" containsString="0" containsBlank="1"/>
    </cacheField>
    <cacheField name="Column11269" numFmtId="0">
      <sharedItems containsNonDate="0" containsString="0" containsBlank="1"/>
    </cacheField>
    <cacheField name="Column11270" numFmtId="0">
      <sharedItems containsNonDate="0" containsString="0" containsBlank="1"/>
    </cacheField>
    <cacheField name="Column11271" numFmtId="0">
      <sharedItems containsNonDate="0" containsString="0" containsBlank="1"/>
    </cacheField>
    <cacheField name="Column11272" numFmtId="0">
      <sharedItems containsNonDate="0" containsString="0" containsBlank="1"/>
    </cacheField>
    <cacheField name="Column11273" numFmtId="0">
      <sharedItems containsNonDate="0" containsString="0" containsBlank="1"/>
    </cacheField>
    <cacheField name="Column11274" numFmtId="0">
      <sharedItems containsNonDate="0" containsString="0" containsBlank="1"/>
    </cacheField>
    <cacheField name="Column11275" numFmtId="0">
      <sharedItems containsNonDate="0" containsString="0" containsBlank="1"/>
    </cacheField>
    <cacheField name="Column11276" numFmtId="0">
      <sharedItems containsNonDate="0" containsString="0" containsBlank="1"/>
    </cacheField>
    <cacheField name="Column11277" numFmtId="0">
      <sharedItems containsNonDate="0" containsString="0" containsBlank="1"/>
    </cacheField>
    <cacheField name="Column11278" numFmtId="0">
      <sharedItems containsNonDate="0" containsString="0" containsBlank="1"/>
    </cacheField>
    <cacheField name="Column11279" numFmtId="0">
      <sharedItems containsNonDate="0" containsString="0" containsBlank="1"/>
    </cacheField>
    <cacheField name="Column11280" numFmtId="0">
      <sharedItems containsNonDate="0" containsString="0" containsBlank="1"/>
    </cacheField>
    <cacheField name="Column11281" numFmtId="0">
      <sharedItems containsNonDate="0" containsString="0" containsBlank="1"/>
    </cacheField>
    <cacheField name="Column11282" numFmtId="0">
      <sharedItems containsNonDate="0" containsString="0" containsBlank="1"/>
    </cacheField>
    <cacheField name="Column11283" numFmtId="0">
      <sharedItems containsNonDate="0" containsString="0" containsBlank="1"/>
    </cacheField>
    <cacheField name="Column11284" numFmtId="0">
      <sharedItems containsNonDate="0" containsString="0" containsBlank="1"/>
    </cacheField>
    <cacheField name="Column11285" numFmtId="0">
      <sharedItems containsNonDate="0" containsString="0" containsBlank="1"/>
    </cacheField>
    <cacheField name="Column11286" numFmtId="0">
      <sharedItems containsNonDate="0" containsString="0" containsBlank="1"/>
    </cacheField>
    <cacheField name="Column11287" numFmtId="0">
      <sharedItems containsNonDate="0" containsString="0" containsBlank="1"/>
    </cacheField>
    <cacheField name="Column11288" numFmtId="0">
      <sharedItems containsNonDate="0" containsString="0" containsBlank="1"/>
    </cacheField>
    <cacheField name="Column11289" numFmtId="0">
      <sharedItems containsNonDate="0" containsString="0" containsBlank="1"/>
    </cacheField>
    <cacheField name="Column11290" numFmtId="0">
      <sharedItems containsNonDate="0" containsString="0" containsBlank="1"/>
    </cacheField>
    <cacheField name="Column11291" numFmtId="0">
      <sharedItems containsNonDate="0" containsString="0" containsBlank="1"/>
    </cacheField>
    <cacheField name="Column11292" numFmtId="0">
      <sharedItems containsNonDate="0" containsString="0" containsBlank="1"/>
    </cacheField>
    <cacheField name="Column11293" numFmtId="0">
      <sharedItems containsNonDate="0" containsString="0" containsBlank="1"/>
    </cacheField>
    <cacheField name="Column11294" numFmtId="0">
      <sharedItems containsNonDate="0" containsString="0" containsBlank="1"/>
    </cacheField>
    <cacheField name="Column11295" numFmtId="0">
      <sharedItems containsNonDate="0" containsString="0" containsBlank="1"/>
    </cacheField>
    <cacheField name="Column11296" numFmtId="0">
      <sharedItems containsNonDate="0" containsString="0" containsBlank="1"/>
    </cacheField>
    <cacheField name="Column11297" numFmtId="0">
      <sharedItems containsNonDate="0" containsString="0" containsBlank="1"/>
    </cacheField>
    <cacheField name="Column11298" numFmtId="0">
      <sharedItems containsNonDate="0" containsString="0" containsBlank="1"/>
    </cacheField>
    <cacheField name="Column11299" numFmtId="0">
      <sharedItems containsNonDate="0" containsString="0" containsBlank="1"/>
    </cacheField>
    <cacheField name="Column11300" numFmtId="0">
      <sharedItems containsNonDate="0" containsString="0" containsBlank="1"/>
    </cacheField>
    <cacheField name="Column11301" numFmtId="0">
      <sharedItems containsNonDate="0" containsString="0" containsBlank="1"/>
    </cacheField>
    <cacheField name="Column11302" numFmtId="0">
      <sharedItems containsNonDate="0" containsString="0" containsBlank="1"/>
    </cacheField>
    <cacheField name="Column11303" numFmtId="0">
      <sharedItems containsNonDate="0" containsString="0" containsBlank="1"/>
    </cacheField>
    <cacheField name="Column11304" numFmtId="0">
      <sharedItems containsNonDate="0" containsString="0" containsBlank="1"/>
    </cacheField>
    <cacheField name="Column11305" numFmtId="0">
      <sharedItems containsNonDate="0" containsString="0" containsBlank="1"/>
    </cacheField>
    <cacheField name="Column11306" numFmtId="0">
      <sharedItems containsNonDate="0" containsString="0" containsBlank="1"/>
    </cacheField>
    <cacheField name="Column11307" numFmtId="0">
      <sharedItems containsNonDate="0" containsString="0" containsBlank="1"/>
    </cacheField>
    <cacheField name="Column11308" numFmtId="0">
      <sharedItems containsNonDate="0" containsString="0" containsBlank="1"/>
    </cacheField>
    <cacheField name="Column11309" numFmtId="0">
      <sharedItems containsNonDate="0" containsString="0" containsBlank="1"/>
    </cacheField>
    <cacheField name="Column11310" numFmtId="0">
      <sharedItems containsNonDate="0" containsString="0" containsBlank="1"/>
    </cacheField>
    <cacheField name="Column11311" numFmtId="0">
      <sharedItems containsNonDate="0" containsString="0" containsBlank="1"/>
    </cacheField>
    <cacheField name="Column11312" numFmtId="0">
      <sharedItems containsNonDate="0" containsString="0" containsBlank="1"/>
    </cacheField>
    <cacheField name="Column11313" numFmtId="0">
      <sharedItems containsNonDate="0" containsString="0" containsBlank="1"/>
    </cacheField>
    <cacheField name="Column11314" numFmtId="0">
      <sharedItems containsNonDate="0" containsString="0" containsBlank="1"/>
    </cacheField>
    <cacheField name="Column11315" numFmtId="0">
      <sharedItems containsNonDate="0" containsString="0" containsBlank="1"/>
    </cacheField>
    <cacheField name="Column11316" numFmtId="0">
      <sharedItems containsNonDate="0" containsString="0" containsBlank="1"/>
    </cacheField>
    <cacheField name="Column11317" numFmtId="0">
      <sharedItems containsNonDate="0" containsString="0" containsBlank="1"/>
    </cacheField>
    <cacheField name="Column11318" numFmtId="0">
      <sharedItems containsNonDate="0" containsString="0" containsBlank="1"/>
    </cacheField>
    <cacheField name="Column11319" numFmtId="0">
      <sharedItems containsNonDate="0" containsString="0" containsBlank="1"/>
    </cacheField>
    <cacheField name="Column11320" numFmtId="0">
      <sharedItems containsNonDate="0" containsString="0" containsBlank="1"/>
    </cacheField>
    <cacheField name="Column11321" numFmtId="0">
      <sharedItems containsNonDate="0" containsString="0" containsBlank="1"/>
    </cacheField>
    <cacheField name="Column11322" numFmtId="0">
      <sharedItems containsNonDate="0" containsString="0" containsBlank="1"/>
    </cacheField>
    <cacheField name="Column11323" numFmtId="0">
      <sharedItems containsNonDate="0" containsString="0" containsBlank="1"/>
    </cacheField>
    <cacheField name="Column11324" numFmtId="0">
      <sharedItems containsNonDate="0" containsString="0" containsBlank="1"/>
    </cacheField>
    <cacheField name="Column11325" numFmtId="0">
      <sharedItems containsNonDate="0" containsString="0" containsBlank="1"/>
    </cacheField>
    <cacheField name="Column11326" numFmtId="0">
      <sharedItems containsNonDate="0" containsString="0" containsBlank="1"/>
    </cacheField>
    <cacheField name="Column11327" numFmtId="0">
      <sharedItems containsNonDate="0" containsString="0" containsBlank="1"/>
    </cacheField>
    <cacheField name="Column11328" numFmtId="0">
      <sharedItems containsNonDate="0" containsString="0" containsBlank="1"/>
    </cacheField>
    <cacheField name="Column11329" numFmtId="0">
      <sharedItems containsNonDate="0" containsString="0" containsBlank="1"/>
    </cacheField>
    <cacheField name="Column11330" numFmtId="0">
      <sharedItems containsNonDate="0" containsString="0" containsBlank="1"/>
    </cacheField>
    <cacheField name="Column11331" numFmtId="0">
      <sharedItems containsNonDate="0" containsString="0" containsBlank="1"/>
    </cacheField>
    <cacheField name="Column11332" numFmtId="0">
      <sharedItems containsNonDate="0" containsString="0" containsBlank="1"/>
    </cacheField>
    <cacheField name="Column11333" numFmtId="0">
      <sharedItems containsNonDate="0" containsString="0" containsBlank="1"/>
    </cacheField>
    <cacheField name="Column11334" numFmtId="0">
      <sharedItems containsNonDate="0" containsString="0" containsBlank="1"/>
    </cacheField>
    <cacheField name="Column11335" numFmtId="0">
      <sharedItems containsNonDate="0" containsString="0" containsBlank="1"/>
    </cacheField>
    <cacheField name="Column11336" numFmtId="0">
      <sharedItems containsNonDate="0" containsString="0" containsBlank="1"/>
    </cacheField>
    <cacheField name="Column11337" numFmtId="0">
      <sharedItems containsNonDate="0" containsString="0" containsBlank="1"/>
    </cacheField>
    <cacheField name="Column11338" numFmtId="0">
      <sharedItems containsNonDate="0" containsString="0" containsBlank="1"/>
    </cacheField>
    <cacheField name="Column11339" numFmtId="0">
      <sharedItems containsNonDate="0" containsString="0" containsBlank="1"/>
    </cacheField>
    <cacheField name="Column11340" numFmtId="0">
      <sharedItems containsNonDate="0" containsString="0" containsBlank="1"/>
    </cacheField>
    <cacheField name="Column11341" numFmtId="0">
      <sharedItems containsNonDate="0" containsString="0" containsBlank="1"/>
    </cacheField>
    <cacheField name="Column11342" numFmtId="0">
      <sharedItems containsNonDate="0" containsString="0" containsBlank="1"/>
    </cacheField>
    <cacheField name="Column11343" numFmtId="0">
      <sharedItems containsNonDate="0" containsString="0" containsBlank="1"/>
    </cacheField>
    <cacheField name="Column11344" numFmtId="0">
      <sharedItems containsNonDate="0" containsString="0" containsBlank="1"/>
    </cacheField>
    <cacheField name="Column11345" numFmtId="0">
      <sharedItems containsNonDate="0" containsString="0" containsBlank="1"/>
    </cacheField>
    <cacheField name="Column11346" numFmtId="0">
      <sharedItems containsNonDate="0" containsString="0" containsBlank="1"/>
    </cacheField>
    <cacheField name="Column11347" numFmtId="0">
      <sharedItems containsNonDate="0" containsString="0" containsBlank="1"/>
    </cacheField>
    <cacheField name="Column11348" numFmtId="0">
      <sharedItems containsNonDate="0" containsString="0" containsBlank="1"/>
    </cacheField>
    <cacheField name="Column11349" numFmtId="0">
      <sharedItems containsNonDate="0" containsString="0" containsBlank="1"/>
    </cacheField>
    <cacheField name="Column11350" numFmtId="0">
      <sharedItems containsNonDate="0" containsString="0" containsBlank="1"/>
    </cacheField>
    <cacheField name="Column11351" numFmtId="0">
      <sharedItems containsNonDate="0" containsString="0" containsBlank="1"/>
    </cacheField>
    <cacheField name="Column11352" numFmtId="0">
      <sharedItems containsNonDate="0" containsString="0" containsBlank="1"/>
    </cacheField>
    <cacheField name="Column11353" numFmtId="0">
      <sharedItems containsNonDate="0" containsString="0" containsBlank="1"/>
    </cacheField>
    <cacheField name="Column11354" numFmtId="0">
      <sharedItems containsNonDate="0" containsString="0" containsBlank="1"/>
    </cacheField>
    <cacheField name="Column11355" numFmtId="0">
      <sharedItems containsNonDate="0" containsString="0" containsBlank="1"/>
    </cacheField>
    <cacheField name="Column11356" numFmtId="0">
      <sharedItems containsNonDate="0" containsString="0" containsBlank="1"/>
    </cacheField>
    <cacheField name="Column11357" numFmtId="0">
      <sharedItems containsNonDate="0" containsString="0" containsBlank="1"/>
    </cacheField>
    <cacheField name="Column11358" numFmtId="0">
      <sharedItems containsNonDate="0" containsString="0" containsBlank="1"/>
    </cacheField>
    <cacheField name="Column11359" numFmtId="0">
      <sharedItems containsNonDate="0" containsString="0" containsBlank="1"/>
    </cacheField>
    <cacheField name="Column11360" numFmtId="0">
      <sharedItems containsNonDate="0" containsString="0" containsBlank="1"/>
    </cacheField>
    <cacheField name="Column11361" numFmtId="0">
      <sharedItems containsNonDate="0" containsString="0" containsBlank="1"/>
    </cacheField>
    <cacheField name="Column11362" numFmtId="0">
      <sharedItems containsNonDate="0" containsString="0" containsBlank="1"/>
    </cacheField>
    <cacheField name="Column11363" numFmtId="0">
      <sharedItems containsNonDate="0" containsString="0" containsBlank="1"/>
    </cacheField>
    <cacheField name="Column11364" numFmtId="0">
      <sharedItems containsNonDate="0" containsString="0" containsBlank="1"/>
    </cacheField>
    <cacheField name="Column11365" numFmtId="0">
      <sharedItems containsNonDate="0" containsString="0" containsBlank="1"/>
    </cacheField>
    <cacheField name="Column11366" numFmtId="0">
      <sharedItems containsNonDate="0" containsString="0" containsBlank="1"/>
    </cacheField>
    <cacheField name="Column11367" numFmtId="0">
      <sharedItems containsNonDate="0" containsString="0" containsBlank="1"/>
    </cacheField>
    <cacheField name="Column11368" numFmtId="0">
      <sharedItems containsNonDate="0" containsString="0" containsBlank="1"/>
    </cacheField>
    <cacheField name="Column11369" numFmtId="0">
      <sharedItems containsNonDate="0" containsString="0" containsBlank="1"/>
    </cacheField>
    <cacheField name="Column11370" numFmtId="0">
      <sharedItems containsNonDate="0" containsString="0" containsBlank="1"/>
    </cacheField>
    <cacheField name="Column11371" numFmtId="0">
      <sharedItems containsNonDate="0" containsString="0" containsBlank="1"/>
    </cacheField>
    <cacheField name="Column11372" numFmtId="0">
      <sharedItems containsNonDate="0" containsString="0" containsBlank="1"/>
    </cacheField>
    <cacheField name="Column11373" numFmtId="0">
      <sharedItems containsNonDate="0" containsString="0" containsBlank="1"/>
    </cacheField>
    <cacheField name="Column11374" numFmtId="0">
      <sharedItems containsNonDate="0" containsString="0" containsBlank="1"/>
    </cacheField>
    <cacheField name="Column11375" numFmtId="0">
      <sharedItems containsNonDate="0" containsString="0" containsBlank="1"/>
    </cacheField>
    <cacheField name="Column11376" numFmtId="0">
      <sharedItems containsNonDate="0" containsString="0" containsBlank="1"/>
    </cacheField>
    <cacheField name="Column11377" numFmtId="0">
      <sharedItems containsNonDate="0" containsString="0" containsBlank="1"/>
    </cacheField>
    <cacheField name="Column11378" numFmtId="0">
      <sharedItems containsNonDate="0" containsString="0" containsBlank="1"/>
    </cacheField>
    <cacheField name="Column11379" numFmtId="0">
      <sharedItems containsNonDate="0" containsString="0" containsBlank="1"/>
    </cacheField>
    <cacheField name="Column11380" numFmtId="0">
      <sharedItems containsNonDate="0" containsString="0" containsBlank="1"/>
    </cacheField>
    <cacheField name="Column11381" numFmtId="0">
      <sharedItems containsNonDate="0" containsString="0" containsBlank="1"/>
    </cacheField>
    <cacheField name="Column11382" numFmtId="0">
      <sharedItems containsNonDate="0" containsString="0" containsBlank="1"/>
    </cacheField>
    <cacheField name="Column11383" numFmtId="0">
      <sharedItems containsNonDate="0" containsString="0" containsBlank="1"/>
    </cacheField>
    <cacheField name="Column11384" numFmtId="0">
      <sharedItems containsNonDate="0" containsString="0" containsBlank="1"/>
    </cacheField>
    <cacheField name="Column11385" numFmtId="0">
      <sharedItems containsNonDate="0" containsString="0" containsBlank="1"/>
    </cacheField>
    <cacheField name="Column11386" numFmtId="0">
      <sharedItems containsNonDate="0" containsString="0" containsBlank="1"/>
    </cacheField>
    <cacheField name="Column11387" numFmtId="0">
      <sharedItems containsNonDate="0" containsString="0" containsBlank="1"/>
    </cacheField>
    <cacheField name="Column11388" numFmtId="0">
      <sharedItems containsNonDate="0" containsString="0" containsBlank="1"/>
    </cacheField>
    <cacheField name="Column11389" numFmtId="0">
      <sharedItems containsNonDate="0" containsString="0" containsBlank="1"/>
    </cacheField>
    <cacheField name="Column11390" numFmtId="0">
      <sharedItems containsNonDate="0" containsString="0" containsBlank="1"/>
    </cacheField>
    <cacheField name="Column11391" numFmtId="0">
      <sharedItems containsNonDate="0" containsString="0" containsBlank="1"/>
    </cacheField>
    <cacheField name="Column11392" numFmtId="0">
      <sharedItems containsNonDate="0" containsString="0" containsBlank="1"/>
    </cacheField>
    <cacheField name="Column11393" numFmtId="0">
      <sharedItems containsNonDate="0" containsString="0" containsBlank="1"/>
    </cacheField>
    <cacheField name="Column11394" numFmtId="0">
      <sharedItems containsNonDate="0" containsString="0" containsBlank="1"/>
    </cacheField>
    <cacheField name="Column11395" numFmtId="0">
      <sharedItems containsNonDate="0" containsString="0" containsBlank="1"/>
    </cacheField>
    <cacheField name="Column11396" numFmtId="0">
      <sharedItems containsNonDate="0" containsString="0" containsBlank="1"/>
    </cacheField>
    <cacheField name="Column11397" numFmtId="0">
      <sharedItems containsNonDate="0" containsString="0" containsBlank="1"/>
    </cacheField>
    <cacheField name="Column11398" numFmtId="0">
      <sharedItems containsNonDate="0" containsString="0" containsBlank="1"/>
    </cacheField>
    <cacheField name="Column11399" numFmtId="0">
      <sharedItems containsNonDate="0" containsString="0" containsBlank="1"/>
    </cacheField>
    <cacheField name="Column11400" numFmtId="0">
      <sharedItems containsNonDate="0" containsString="0" containsBlank="1"/>
    </cacheField>
    <cacheField name="Column11401" numFmtId="0">
      <sharedItems containsNonDate="0" containsString="0" containsBlank="1"/>
    </cacheField>
    <cacheField name="Column11402" numFmtId="0">
      <sharedItems containsNonDate="0" containsString="0" containsBlank="1"/>
    </cacheField>
    <cacheField name="Column11403" numFmtId="0">
      <sharedItems containsNonDate="0" containsString="0" containsBlank="1"/>
    </cacheField>
    <cacheField name="Column11404" numFmtId="0">
      <sharedItems containsNonDate="0" containsString="0" containsBlank="1"/>
    </cacheField>
    <cacheField name="Column11405" numFmtId="0">
      <sharedItems containsNonDate="0" containsString="0" containsBlank="1"/>
    </cacheField>
    <cacheField name="Column11406" numFmtId="0">
      <sharedItems containsNonDate="0" containsString="0" containsBlank="1"/>
    </cacheField>
    <cacheField name="Column11407" numFmtId="0">
      <sharedItems containsNonDate="0" containsString="0" containsBlank="1"/>
    </cacheField>
    <cacheField name="Column11408" numFmtId="0">
      <sharedItems containsNonDate="0" containsString="0" containsBlank="1"/>
    </cacheField>
    <cacheField name="Column11409" numFmtId="0">
      <sharedItems containsNonDate="0" containsString="0" containsBlank="1"/>
    </cacheField>
    <cacheField name="Column11410" numFmtId="0">
      <sharedItems containsNonDate="0" containsString="0" containsBlank="1"/>
    </cacheField>
    <cacheField name="Column11411" numFmtId="0">
      <sharedItems containsNonDate="0" containsString="0" containsBlank="1"/>
    </cacheField>
    <cacheField name="Column11412" numFmtId="0">
      <sharedItems containsNonDate="0" containsString="0" containsBlank="1"/>
    </cacheField>
    <cacheField name="Column11413" numFmtId="0">
      <sharedItems containsNonDate="0" containsString="0" containsBlank="1"/>
    </cacheField>
    <cacheField name="Column11414" numFmtId="0">
      <sharedItems containsNonDate="0" containsString="0" containsBlank="1"/>
    </cacheField>
    <cacheField name="Column11415" numFmtId="0">
      <sharedItems containsNonDate="0" containsString="0" containsBlank="1"/>
    </cacheField>
    <cacheField name="Column11416" numFmtId="0">
      <sharedItems containsNonDate="0" containsString="0" containsBlank="1"/>
    </cacheField>
    <cacheField name="Column11417" numFmtId="0">
      <sharedItems containsNonDate="0" containsString="0" containsBlank="1"/>
    </cacheField>
    <cacheField name="Column11418" numFmtId="0">
      <sharedItems containsNonDate="0" containsString="0" containsBlank="1"/>
    </cacheField>
    <cacheField name="Column11419" numFmtId="0">
      <sharedItems containsNonDate="0" containsString="0" containsBlank="1"/>
    </cacheField>
    <cacheField name="Column11420" numFmtId="0">
      <sharedItems containsNonDate="0" containsString="0" containsBlank="1"/>
    </cacheField>
    <cacheField name="Column11421" numFmtId="0">
      <sharedItems containsNonDate="0" containsString="0" containsBlank="1"/>
    </cacheField>
    <cacheField name="Column11422" numFmtId="0">
      <sharedItems containsNonDate="0" containsString="0" containsBlank="1"/>
    </cacheField>
    <cacheField name="Column11423" numFmtId="0">
      <sharedItems containsNonDate="0" containsString="0" containsBlank="1"/>
    </cacheField>
    <cacheField name="Column11424" numFmtId="0">
      <sharedItems containsNonDate="0" containsString="0" containsBlank="1"/>
    </cacheField>
    <cacheField name="Column11425" numFmtId="0">
      <sharedItems containsNonDate="0" containsString="0" containsBlank="1"/>
    </cacheField>
    <cacheField name="Column11426" numFmtId="0">
      <sharedItems containsNonDate="0" containsString="0" containsBlank="1"/>
    </cacheField>
    <cacheField name="Column11427" numFmtId="0">
      <sharedItems containsNonDate="0" containsString="0" containsBlank="1"/>
    </cacheField>
    <cacheField name="Column11428" numFmtId="0">
      <sharedItems containsNonDate="0" containsString="0" containsBlank="1"/>
    </cacheField>
    <cacheField name="Column11429" numFmtId="0">
      <sharedItems containsNonDate="0" containsString="0" containsBlank="1"/>
    </cacheField>
    <cacheField name="Column11430" numFmtId="0">
      <sharedItems containsNonDate="0" containsString="0" containsBlank="1"/>
    </cacheField>
    <cacheField name="Column11431" numFmtId="0">
      <sharedItems containsNonDate="0" containsString="0" containsBlank="1"/>
    </cacheField>
    <cacheField name="Column11432" numFmtId="0">
      <sharedItems containsNonDate="0" containsString="0" containsBlank="1"/>
    </cacheField>
    <cacheField name="Column11433" numFmtId="0">
      <sharedItems containsNonDate="0" containsString="0" containsBlank="1"/>
    </cacheField>
    <cacheField name="Column11434" numFmtId="0">
      <sharedItems containsNonDate="0" containsString="0" containsBlank="1"/>
    </cacheField>
    <cacheField name="Column11435" numFmtId="0">
      <sharedItems containsNonDate="0" containsString="0" containsBlank="1"/>
    </cacheField>
    <cacheField name="Column11436" numFmtId="0">
      <sharedItems containsNonDate="0" containsString="0" containsBlank="1"/>
    </cacheField>
    <cacheField name="Column11437" numFmtId="0">
      <sharedItems containsNonDate="0" containsString="0" containsBlank="1"/>
    </cacheField>
    <cacheField name="Column11438" numFmtId="0">
      <sharedItems containsNonDate="0" containsString="0" containsBlank="1"/>
    </cacheField>
    <cacheField name="Column11439" numFmtId="0">
      <sharedItems containsNonDate="0" containsString="0" containsBlank="1"/>
    </cacheField>
    <cacheField name="Column11440" numFmtId="0">
      <sharedItems containsNonDate="0" containsString="0" containsBlank="1"/>
    </cacheField>
    <cacheField name="Column11441" numFmtId="0">
      <sharedItems containsNonDate="0" containsString="0" containsBlank="1"/>
    </cacheField>
    <cacheField name="Column11442" numFmtId="0">
      <sharedItems containsNonDate="0" containsString="0" containsBlank="1"/>
    </cacheField>
    <cacheField name="Column11443" numFmtId="0">
      <sharedItems containsNonDate="0" containsString="0" containsBlank="1"/>
    </cacheField>
    <cacheField name="Column11444" numFmtId="0">
      <sharedItems containsNonDate="0" containsString="0" containsBlank="1"/>
    </cacheField>
    <cacheField name="Column11445" numFmtId="0">
      <sharedItems containsNonDate="0" containsString="0" containsBlank="1"/>
    </cacheField>
    <cacheField name="Column11446" numFmtId="0">
      <sharedItems containsNonDate="0" containsString="0" containsBlank="1"/>
    </cacheField>
    <cacheField name="Column11447" numFmtId="0">
      <sharedItems containsNonDate="0" containsString="0" containsBlank="1"/>
    </cacheField>
    <cacheField name="Column11448" numFmtId="0">
      <sharedItems containsNonDate="0" containsString="0" containsBlank="1"/>
    </cacheField>
    <cacheField name="Column11449" numFmtId="0">
      <sharedItems containsNonDate="0" containsString="0" containsBlank="1"/>
    </cacheField>
    <cacheField name="Column11450" numFmtId="0">
      <sharedItems containsNonDate="0" containsString="0" containsBlank="1"/>
    </cacheField>
    <cacheField name="Column11451" numFmtId="0">
      <sharedItems containsNonDate="0" containsString="0" containsBlank="1"/>
    </cacheField>
    <cacheField name="Column11452" numFmtId="0">
      <sharedItems containsNonDate="0" containsString="0" containsBlank="1"/>
    </cacheField>
    <cacheField name="Column11453" numFmtId="0">
      <sharedItems containsNonDate="0" containsString="0" containsBlank="1"/>
    </cacheField>
    <cacheField name="Column11454" numFmtId="0">
      <sharedItems containsNonDate="0" containsString="0" containsBlank="1"/>
    </cacheField>
    <cacheField name="Column11455" numFmtId="0">
      <sharedItems containsNonDate="0" containsString="0" containsBlank="1"/>
    </cacheField>
    <cacheField name="Column11456" numFmtId="0">
      <sharedItems containsNonDate="0" containsString="0" containsBlank="1"/>
    </cacheField>
    <cacheField name="Column11457" numFmtId="0">
      <sharedItems containsNonDate="0" containsString="0" containsBlank="1"/>
    </cacheField>
    <cacheField name="Column11458" numFmtId="0">
      <sharedItems containsNonDate="0" containsString="0" containsBlank="1"/>
    </cacheField>
    <cacheField name="Column11459" numFmtId="0">
      <sharedItems containsNonDate="0" containsString="0" containsBlank="1"/>
    </cacheField>
    <cacheField name="Column11460" numFmtId="0">
      <sharedItems containsNonDate="0" containsString="0" containsBlank="1"/>
    </cacheField>
    <cacheField name="Column11461" numFmtId="0">
      <sharedItems containsNonDate="0" containsString="0" containsBlank="1"/>
    </cacheField>
    <cacheField name="Column11462" numFmtId="0">
      <sharedItems containsNonDate="0" containsString="0" containsBlank="1"/>
    </cacheField>
    <cacheField name="Column11463" numFmtId="0">
      <sharedItems containsNonDate="0" containsString="0" containsBlank="1"/>
    </cacheField>
    <cacheField name="Column11464" numFmtId="0">
      <sharedItems containsNonDate="0" containsString="0" containsBlank="1"/>
    </cacheField>
    <cacheField name="Column11465" numFmtId="0">
      <sharedItems containsNonDate="0" containsString="0" containsBlank="1"/>
    </cacheField>
    <cacheField name="Column11466" numFmtId="0">
      <sharedItems containsNonDate="0" containsString="0" containsBlank="1"/>
    </cacheField>
    <cacheField name="Column11467" numFmtId="0">
      <sharedItems containsNonDate="0" containsString="0" containsBlank="1"/>
    </cacheField>
    <cacheField name="Column11468" numFmtId="0">
      <sharedItems containsNonDate="0" containsString="0" containsBlank="1"/>
    </cacheField>
    <cacheField name="Column11469" numFmtId="0">
      <sharedItems containsNonDate="0" containsString="0" containsBlank="1"/>
    </cacheField>
    <cacheField name="Column11470" numFmtId="0">
      <sharedItems containsNonDate="0" containsString="0" containsBlank="1"/>
    </cacheField>
    <cacheField name="Column11471" numFmtId="0">
      <sharedItems containsNonDate="0" containsString="0" containsBlank="1"/>
    </cacheField>
    <cacheField name="Column11472" numFmtId="0">
      <sharedItems containsNonDate="0" containsString="0" containsBlank="1"/>
    </cacheField>
    <cacheField name="Column11473" numFmtId="0">
      <sharedItems containsNonDate="0" containsString="0" containsBlank="1"/>
    </cacheField>
    <cacheField name="Column11474" numFmtId="0">
      <sharedItems containsNonDate="0" containsString="0" containsBlank="1"/>
    </cacheField>
    <cacheField name="Column11475" numFmtId="0">
      <sharedItems containsNonDate="0" containsString="0" containsBlank="1"/>
    </cacheField>
    <cacheField name="Column11476" numFmtId="0">
      <sharedItems containsNonDate="0" containsString="0" containsBlank="1"/>
    </cacheField>
    <cacheField name="Column11477" numFmtId="0">
      <sharedItems containsNonDate="0" containsString="0" containsBlank="1"/>
    </cacheField>
    <cacheField name="Column11478" numFmtId="0">
      <sharedItems containsNonDate="0" containsString="0" containsBlank="1"/>
    </cacheField>
    <cacheField name="Column11479" numFmtId="0">
      <sharedItems containsNonDate="0" containsString="0" containsBlank="1"/>
    </cacheField>
    <cacheField name="Column11480" numFmtId="0">
      <sharedItems containsNonDate="0" containsString="0" containsBlank="1"/>
    </cacheField>
    <cacheField name="Column11481" numFmtId="0">
      <sharedItems containsNonDate="0" containsString="0" containsBlank="1"/>
    </cacheField>
    <cacheField name="Column11482" numFmtId="0">
      <sharedItems containsNonDate="0" containsString="0" containsBlank="1"/>
    </cacheField>
    <cacheField name="Column11483" numFmtId="0">
      <sharedItems containsNonDate="0" containsString="0" containsBlank="1"/>
    </cacheField>
    <cacheField name="Column11484" numFmtId="0">
      <sharedItems containsNonDate="0" containsString="0" containsBlank="1"/>
    </cacheField>
    <cacheField name="Column11485" numFmtId="0">
      <sharedItems containsNonDate="0" containsString="0" containsBlank="1"/>
    </cacheField>
    <cacheField name="Column11486" numFmtId="0">
      <sharedItems containsNonDate="0" containsString="0" containsBlank="1"/>
    </cacheField>
    <cacheField name="Column11487" numFmtId="0">
      <sharedItems containsNonDate="0" containsString="0" containsBlank="1"/>
    </cacheField>
    <cacheField name="Column11488" numFmtId="0">
      <sharedItems containsNonDate="0" containsString="0" containsBlank="1"/>
    </cacheField>
    <cacheField name="Column11489" numFmtId="0">
      <sharedItems containsNonDate="0" containsString="0" containsBlank="1"/>
    </cacheField>
    <cacheField name="Column11490" numFmtId="0">
      <sharedItems containsNonDate="0" containsString="0" containsBlank="1"/>
    </cacheField>
    <cacheField name="Column11491" numFmtId="0">
      <sharedItems containsNonDate="0" containsString="0" containsBlank="1"/>
    </cacheField>
    <cacheField name="Column11492" numFmtId="0">
      <sharedItems containsNonDate="0" containsString="0" containsBlank="1"/>
    </cacheField>
    <cacheField name="Column11493" numFmtId="0">
      <sharedItems containsNonDate="0" containsString="0" containsBlank="1"/>
    </cacheField>
    <cacheField name="Column11494" numFmtId="0">
      <sharedItems containsNonDate="0" containsString="0" containsBlank="1"/>
    </cacheField>
    <cacheField name="Column11495" numFmtId="0">
      <sharedItems containsNonDate="0" containsString="0" containsBlank="1"/>
    </cacheField>
    <cacheField name="Column11496" numFmtId="0">
      <sharedItems containsNonDate="0" containsString="0" containsBlank="1"/>
    </cacheField>
    <cacheField name="Column11497" numFmtId="0">
      <sharedItems containsNonDate="0" containsString="0" containsBlank="1"/>
    </cacheField>
    <cacheField name="Column11498" numFmtId="0">
      <sharedItems containsNonDate="0" containsString="0" containsBlank="1"/>
    </cacheField>
    <cacheField name="Column11499" numFmtId="0">
      <sharedItems containsNonDate="0" containsString="0" containsBlank="1"/>
    </cacheField>
    <cacheField name="Column11500" numFmtId="0">
      <sharedItems containsNonDate="0" containsString="0" containsBlank="1"/>
    </cacheField>
    <cacheField name="Column11501" numFmtId="0">
      <sharedItems containsNonDate="0" containsString="0" containsBlank="1"/>
    </cacheField>
    <cacheField name="Column11502" numFmtId="0">
      <sharedItems containsNonDate="0" containsString="0" containsBlank="1"/>
    </cacheField>
    <cacheField name="Column11503" numFmtId="0">
      <sharedItems containsNonDate="0" containsString="0" containsBlank="1"/>
    </cacheField>
    <cacheField name="Column11504" numFmtId="0">
      <sharedItems containsNonDate="0" containsString="0" containsBlank="1"/>
    </cacheField>
    <cacheField name="Column11505" numFmtId="0">
      <sharedItems containsNonDate="0" containsString="0" containsBlank="1"/>
    </cacheField>
    <cacheField name="Column11506" numFmtId="0">
      <sharedItems containsNonDate="0" containsString="0" containsBlank="1"/>
    </cacheField>
    <cacheField name="Column11507" numFmtId="0">
      <sharedItems containsNonDate="0" containsString="0" containsBlank="1"/>
    </cacheField>
    <cacheField name="Column11508" numFmtId="0">
      <sharedItems containsNonDate="0" containsString="0" containsBlank="1"/>
    </cacheField>
    <cacheField name="Column11509" numFmtId="0">
      <sharedItems containsNonDate="0" containsString="0" containsBlank="1"/>
    </cacheField>
    <cacheField name="Column11510" numFmtId="0">
      <sharedItems containsNonDate="0" containsString="0" containsBlank="1"/>
    </cacheField>
    <cacheField name="Column11511" numFmtId="0">
      <sharedItems containsNonDate="0" containsString="0" containsBlank="1"/>
    </cacheField>
    <cacheField name="Column11512" numFmtId="0">
      <sharedItems containsNonDate="0" containsString="0" containsBlank="1"/>
    </cacheField>
    <cacheField name="Column11513" numFmtId="0">
      <sharedItems containsNonDate="0" containsString="0" containsBlank="1"/>
    </cacheField>
    <cacheField name="Column11514" numFmtId="0">
      <sharedItems containsNonDate="0" containsString="0" containsBlank="1"/>
    </cacheField>
    <cacheField name="Column11515" numFmtId="0">
      <sharedItems containsNonDate="0" containsString="0" containsBlank="1"/>
    </cacheField>
    <cacheField name="Column11516" numFmtId="0">
      <sharedItems containsNonDate="0" containsString="0" containsBlank="1"/>
    </cacheField>
    <cacheField name="Column11517" numFmtId="0">
      <sharedItems containsNonDate="0" containsString="0" containsBlank="1"/>
    </cacheField>
    <cacheField name="Column11518" numFmtId="0">
      <sharedItems containsNonDate="0" containsString="0" containsBlank="1"/>
    </cacheField>
    <cacheField name="Column11519" numFmtId="0">
      <sharedItems containsNonDate="0" containsString="0" containsBlank="1"/>
    </cacheField>
    <cacheField name="Column11520" numFmtId="0">
      <sharedItems containsNonDate="0" containsString="0" containsBlank="1"/>
    </cacheField>
    <cacheField name="Column11521" numFmtId="0">
      <sharedItems containsNonDate="0" containsString="0" containsBlank="1"/>
    </cacheField>
    <cacheField name="Column11522" numFmtId="0">
      <sharedItems containsNonDate="0" containsString="0" containsBlank="1"/>
    </cacheField>
    <cacheField name="Column11523" numFmtId="0">
      <sharedItems containsNonDate="0" containsString="0" containsBlank="1"/>
    </cacheField>
    <cacheField name="Column11524" numFmtId="0">
      <sharedItems containsNonDate="0" containsString="0" containsBlank="1"/>
    </cacheField>
    <cacheField name="Column11525" numFmtId="0">
      <sharedItems containsNonDate="0" containsString="0" containsBlank="1"/>
    </cacheField>
    <cacheField name="Column11526" numFmtId="0">
      <sharedItems containsNonDate="0" containsString="0" containsBlank="1"/>
    </cacheField>
    <cacheField name="Column11527" numFmtId="0">
      <sharedItems containsNonDate="0" containsString="0" containsBlank="1"/>
    </cacheField>
    <cacheField name="Column11528" numFmtId="0">
      <sharedItems containsNonDate="0" containsString="0" containsBlank="1"/>
    </cacheField>
    <cacheField name="Column11529" numFmtId="0">
      <sharedItems containsNonDate="0" containsString="0" containsBlank="1"/>
    </cacheField>
    <cacheField name="Column11530" numFmtId="0">
      <sharedItems containsNonDate="0" containsString="0" containsBlank="1"/>
    </cacheField>
    <cacheField name="Column11531" numFmtId="0">
      <sharedItems containsNonDate="0" containsString="0" containsBlank="1"/>
    </cacheField>
    <cacheField name="Column11532" numFmtId="0">
      <sharedItems containsNonDate="0" containsString="0" containsBlank="1"/>
    </cacheField>
    <cacheField name="Column11533" numFmtId="0">
      <sharedItems containsNonDate="0" containsString="0" containsBlank="1"/>
    </cacheField>
    <cacheField name="Column11534" numFmtId="0">
      <sharedItems containsNonDate="0" containsString="0" containsBlank="1"/>
    </cacheField>
    <cacheField name="Column11535" numFmtId="0">
      <sharedItems containsNonDate="0" containsString="0" containsBlank="1"/>
    </cacheField>
    <cacheField name="Column11536" numFmtId="0">
      <sharedItems containsNonDate="0" containsString="0" containsBlank="1"/>
    </cacheField>
    <cacheField name="Column11537" numFmtId="0">
      <sharedItems containsNonDate="0" containsString="0" containsBlank="1"/>
    </cacheField>
    <cacheField name="Column11538" numFmtId="0">
      <sharedItems containsNonDate="0" containsString="0" containsBlank="1"/>
    </cacheField>
    <cacheField name="Column11539" numFmtId="0">
      <sharedItems containsNonDate="0" containsString="0" containsBlank="1"/>
    </cacheField>
    <cacheField name="Column11540" numFmtId="0">
      <sharedItems containsNonDate="0" containsString="0" containsBlank="1"/>
    </cacheField>
    <cacheField name="Column11541" numFmtId="0">
      <sharedItems containsNonDate="0" containsString="0" containsBlank="1"/>
    </cacheField>
    <cacheField name="Column11542" numFmtId="0">
      <sharedItems containsNonDate="0" containsString="0" containsBlank="1"/>
    </cacheField>
    <cacheField name="Column11543" numFmtId="0">
      <sharedItems containsNonDate="0" containsString="0" containsBlank="1"/>
    </cacheField>
    <cacheField name="Column11544" numFmtId="0">
      <sharedItems containsNonDate="0" containsString="0" containsBlank="1"/>
    </cacheField>
    <cacheField name="Column11545" numFmtId="0">
      <sharedItems containsNonDate="0" containsString="0" containsBlank="1"/>
    </cacheField>
    <cacheField name="Column11546" numFmtId="0">
      <sharedItems containsNonDate="0" containsString="0" containsBlank="1"/>
    </cacheField>
    <cacheField name="Column11547" numFmtId="0">
      <sharedItems containsNonDate="0" containsString="0" containsBlank="1"/>
    </cacheField>
    <cacheField name="Column11548" numFmtId="0">
      <sharedItems containsNonDate="0" containsString="0" containsBlank="1"/>
    </cacheField>
    <cacheField name="Column11549" numFmtId="0">
      <sharedItems containsNonDate="0" containsString="0" containsBlank="1"/>
    </cacheField>
    <cacheField name="Column11550" numFmtId="0">
      <sharedItems containsNonDate="0" containsString="0" containsBlank="1"/>
    </cacheField>
    <cacheField name="Column11551" numFmtId="0">
      <sharedItems containsNonDate="0" containsString="0" containsBlank="1"/>
    </cacheField>
    <cacheField name="Column11552" numFmtId="0">
      <sharedItems containsNonDate="0" containsString="0" containsBlank="1"/>
    </cacheField>
    <cacheField name="Column11553" numFmtId="0">
      <sharedItems containsNonDate="0" containsString="0" containsBlank="1"/>
    </cacheField>
    <cacheField name="Column11554" numFmtId="0">
      <sharedItems containsNonDate="0" containsString="0" containsBlank="1"/>
    </cacheField>
    <cacheField name="Column11555" numFmtId="0">
      <sharedItems containsNonDate="0" containsString="0" containsBlank="1"/>
    </cacheField>
    <cacheField name="Column11556" numFmtId="0">
      <sharedItems containsNonDate="0" containsString="0" containsBlank="1"/>
    </cacheField>
    <cacheField name="Column11557" numFmtId="0">
      <sharedItems containsNonDate="0" containsString="0" containsBlank="1"/>
    </cacheField>
    <cacheField name="Column11558" numFmtId="0">
      <sharedItems containsNonDate="0" containsString="0" containsBlank="1"/>
    </cacheField>
    <cacheField name="Column11559" numFmtId="0">
      <sharedItems containsNonDate="0" containsString="0" containsBlank="1"/>
    </cacheField>
    <cacheField name="Column11560" numFmtId="0">
      <sharedItems containsNonDate="0" containsString="0" containsBlank="1"/>
    </cacheField>
    <cacheField name="Column11561" numFmtId="0">
      <sharedItems containsNonDate="0" containsString="0" containsBlank="1"/>
    </cacheField>
    <cacheField name="Column11562" numFmtId="0">
      <sharedItems containsNonDate="0" containsString="0" containsBlank="1"/>
    </cacheField>
    <cacheField name="Column11563" numFmtId="0">
      <sharedItems containsNonDate="0" containsString="0" containsBlank="1"/>
    </cacheField>
    <cacheField name="Column11564" numFmtId="0">
      <sharedItems containsNonDate="0" containsString="0" containsBlank="1"/>
    </cacheField>
    <cacheField name="Column11565" numFmtId="0">
      <sharedItems containsNonDate="0" containsString="0" containsBlank="1"/>
    </cacheField>
    <cacheField name="Column11566" numFmtId="0">
      <sharedItems containsNonDate="0" containsString="0" containsBlank="1"/>
    </cacheField>
    <cacheField name="Column11567" numFmtId="0">
      <sharedItems containsNonDate="0" containsString="0" containsBlank="1"/>
    </cacheField>
    <cacheField name="Column11568" numFmtId="0">
      <sharedItems containsNonDate="0" containsString="0" containsBlank="1"/>
    </cacheField>
    <cacheField name="Column11569" numFmtId="0">
      <sharedItems containsNonDate="0" containsString="0" containsBlank="1"/>
    </cacheField>
    <cacheField name="Column11570" numFmtId="0">
      <sharedItems containsNonDate="0" containsString="0" containsBlank="1"/>
    </cacheField>
    <cacheField name="Column11571" numFmtId="0">
      <sharedItems containsNonDate="0" containsString="0" containsBlank="1"/>
    </cacheField>
    <cacheField name="Column11572" numFmtId="0">
      <sharedItems containsNonDate="0" containsString="0" containsBlank="1"/>
    </cacheField>
    <cacheField name="Column11573" numFmtId="0">
      <sharedItems containsNonDate="0" containsString="0" containsBlank="1"/>
    </cacheField>
    <cacheField name="Column11574" numFmtId="0">
      <sharedItems containsNonDate="0" containsString="0" containsBlank="1"/>
    </cacheField>
    <cacheField name="Column11575" numFmtId="0">
      <sharedItems containsNonDate="0" containsString="0" containsBlank="1"/>
    </cacheField>
    <cacheField name="Column11576" numFmtId="0">
      <sharedItems containsNonDate="0" containsString="0" containsBlank="1"/>
    </cacheField>
    <cacheField name="Column11577" numFmtId="0">
      <sharedItems containsNonDate="0" containsString="0" containsBlank="1"/>
    </cacheField>
    <cacheField name="Column11578" numFmtId="0">
      <sharedItems containsNonDate="0" containsString="0" containsBlank="1"/>
    </cacheField>
    <cacheField name="Column11579" numFmtId="0">
      <sharedItems containsNonDate="0" containsString="0" containsBlank="1"/>
    </cacheField>
    <cacheField name="Column11580" numFmtId="0">
      <sharedItems containsNonDate="0" containsString="0" containsBlank="1"/>
    </cacheField>
    <cacheField name="Column11581" numFmtId="0">
      <sharedItems containsNonDate="0" containsString="0" containsBlank="1"/>
    </cacheField>
    <cacheField name="Column11582" numFmtId="0">
      <sharedItems containsNonDate="0" containsString="0" containsBlank="1"/>
    </cacheField>
    <cacheField name="Column11583" numFmtId="0">
      <sharedItems containsNonDate="0" containsString="0" containsBlank="1"/>
    </cacheField>
    <cacheField name="Column11584" numFmtId="0">
      <sharedItems containsNonDate="0" containsString="0" containsBlank="1"/>
    </cacheField>
    <cacheField name="Column11585" numFmtId="0">
      <sharedItems containsNonDate="0" containsString="0" containsBlank="1"/>
    </cacheField>
    <cacheField name="Column11586" numFmtId="0">
      <sharedItems containsNonDate="0" containsString="0" containsBlank="1"/>
    </cacheField>
    <cacheField name="Column11587" numFmtId="0">
      <sharedItems containsNonDate="0" containsString="0" containsBlank="1"/>
    </cacheField>
    <cacheField name="Column11588" numFmtId="0">
      <sharedItems containsNonDate="0" containsString="0" containsBlank="1"/>
    </cacheField>
    <cacheField name="Column11589" numFmtId="0">
      <sharedItems containsNonDate="0" containsString="0" containsBlank="1"/>
    </cacheField>
    <cacheField name="Column11590" numFmtId="0">
      <sharedItems containsNonDate="0" containsString="0" containsBlank="1"/>
    </cacheField>
    <cacheField name="Column11591" numFmtId="0">
      <sharedItems containsNonDate="0" containsString="0" containsBlank="1"/>
    </cacheField>
    <cacheField name="Column11592" numFmtId="0">
      <sharedItems containsNonDate="0" containsString="0" containsBlank="1"/>
    </cacheField>
    <cacheField name="Column11593" numFmtId="0">
      <sharedItems containsNonDate="0" containsString="0" containsBlank="1"/>
    </cacheField>
    <cacheField name="Column11594" numFmtId="0">
      <sharedItems containsNonDate="0" containsString="0" containsBlank="1"/>
    </cacheField>
    <cacheField name="Column11595" numFmtId="0">
      <sharedItems containsNonDate="0" containsString="0" containsBlank="1"/>
    </cacheField>
    <cacheField name="Column11596" numFmtId="0">
      <sharedItems containsNonDate="0" containsString="0" containsBlank="1"/>
    </cacheField>
    <cacheField name="Column11597" numFmtId="0">
      <sharedItems containsNonDate="0" containsString="0" containsBlank="1"/>
    </cacheField>
    <cacheField name="Column11598" numFmtId="0">
      <sharedItems containsNonDate="0" containsString="0" containsBlank="1"/>
    </cacheField>
    <cacheField name="Column11599" numFmtId="0">
      <sharedItems containsNonDate="0" containsString="0" containsBlank="1"/>
    </cacheField>
    <cacheField name="Column11600" numFmtId="0">
      <sharedItems containsNonDate="0" containsString="0" containsBlank="1"/>
    </cacheField>
    <cacheField name="Column11601" numFmtId="0">
      <sharedItems containsNonDate="0" containsString="0" containsBlank="1"/>
    </cacheField>
    <cacheField name="Column11602" numFmtId="0">
      <sharedItems containsNonDate="0" containsString="0" containsBlank="1"/>
    </cacheField>
    <cacheField name="Column11603" numFmtId="0">
      <sharedItems containsNonDate="0" containsString="0" containsBlank="1"/>
    </cacheField>
    <cacheField name="Column11604" numFmtId="0">
      <sharedItems containsNonDate="0" containsString="0" containsBlank="1"/>
    </cacheField>
    <cacheField name="Column11605" numFmtId="0">
      <sharedItems containsNonDate="0" containsString="0" containsBlank="1"/>
    </cacheField>
    <cacheField name="Column11606" numFmtId="0">
      <sharedItems containsNonDate="0" containsString="0" containsBlank="1"/>
    </cacheField>
    <cacheField name="Column11607" numFmtId="0">
      <sharedItems containsNonDate="0" containsString="0" containsBlank="1"/>
    </cacheField>
    <cacheField name="Column11608" numFmtId="0">
      <sharedItems containsNonDate="0" containsString="0" containsBlank="1"/>
    </cacheField>
    <cacheField name="Column11609" numFmtId="0">
      <sharedItems containsNonDate="0" containsString="0" containsBlank="1"/>
    </cacheField>
    <cacheField name="Column11610" numFmtId="0">
      <sharedItems containsNonDate="0" containsString="0" containsBlank="1"/>
    </cacheField>
    <cacheField name="Column11611" numFmtId="0">
      <sharedItems containsNonDate="0" containsString="0" containsBlank="1"/>
    </cacheField>
    <cacheField name="Column11612" numFmtId="0">
      <sharedItems containsNonDate="0" containsString="0" containsBlank="1"/>
    </cacheField>
    <cacheField name="Column11613" numFmtId="0">
      <sharedItems containsNonDate="0" containsString="0" containsBlank="1"/>
    </cacheField>
    <cacheField name="Column11614" numFmtId="0">
      <sharedItems containsNonDate="0" containsString="0" containsBlank="1"/>
    </cacheField>
    <cacheField name="Column11615" numFmtId="0">
      <sharedItems containsNonDate="0" containsString="0" containsBlank="1"/>
    </cacheField>
    <cacheField name="Column11616" numFmtId="0">
      <sharedItems containsNonDate="0" containsString="0" containsBlank="1"/>
    </cacheField>
    <cacheField name="Column11617" numFmtId="0">
      <sharedItems containsNonDate="0" containsString="0" containsBlank="1"/>
    </cacheField>
    <cacheField name="Column11618" numFmtId="0">
      <sharedItems containsNonDate="0" containsString="0" containsBlank="1"/>
    </cacheField>
    <cacheField name="Column11619" numFmtId="0">
      <sharedItems containsNonDate="0" containsString="0" containsBlank="1"/>
    </cacheField>
    <cacheField name="Column11620" numFmtId="0">
      <sharedItems containsNonDate="0" containsString="0" containsBlank="1"/>
    </cacheField>
    <cacheField name="Column11621" numFmtId="0">
      <sharedItems containsNonDate="0" containsString="0" containsBlank="1"/>
    </cacheField>
    <cacheField name="Column11622" numFmtId="0">
      <sharedItems containsNonDate="0" containsString="0" containsBlank="1"/>
    </cacheField>
    <cacheField name="Column11623" numFmtId="0">
      <sharedItems containsNonDate="0" containsString="0" containsBlank="1"/>
    </cacheField>
    <cacheField name="Column11624" numFmtId="0">
      <sharedItems containsNonDate="0" containsString="0" containsBlank="1"/>
    </cacheField>
    <cacheField name="Column11625" numFmtId="0">
      <sharedItems containsNonDate="0" containsString="0" containsBlank="1"/>
    </cacheField>
    <cacheField name="Column11626" numFmtId="0">
      <sharedItems containsNonDate="0" containsString="0" containsBlank="1"/>
    </cacheField>
    <cacheField name="Column11627" numFmtId="0">
      <sharedItems containsNonDate="0" containsString="0" containsBlank="1"/>
    </cacheField>
    <cacheField name="Column11628" numFmtId="0">
      <sharedItems containsNonDate="0" containsString="0" containsBlank="1"/>
    </cacheField>
    <cacheField name="Column11629" numFmtId="0">
      <sharedItems containsNonDate="0" containsString="0" containsBlank="1"/>
    </cacheField>
    <cacheField name="Column11630" numFmtId="0">
      <sharedItems containsNonDate="0" containsString="0" containsBlank="1"/>
    </cacheField>
    <cacheField name="Column11631" numFmtId="0">
      <sharedItems containsNonDate="0" containsString="0" containsBlank="1"/>
    </cacheField>
    <cacheField name="Column11632" numFmtId="0">
      <sharedItems containsNonDate="0" containsString="0" containsBlank="1"/>
    </cacheField>
    <cacheField name="Column11633" numFmtId="0">
      <sharedItems containsNonDate="0" containsString="0" containsBlank="1"/>
    </cacheField>
    <cacheField name="Column11634" numFmtId="0">
      <sharedItems containsNonDate="0" containsString="0" containsBlank="1"/>
    </cacheField>
    <cacheField name="Column11635" numFmtId="0">
      <sharedItems containsNonDate="0" containsString="0" containsBlank="1"/>
    </cacheField>
    <cacheField name="Column11636" numFmtId="0">
      <sharedItems containsNonDate="0" containsString="0" containsBlank="1"/>
    </cacheField>
    <cacheField name="Column11637" numFmtId="0">
      <sharedItems containsNonDate="0" containsString="0" containsBlank="1"/>
    </cacheField>
    <cacheField name="Column11638" numFmtId="0">
      <sharedItems containsNonDate="0" containsString="0" containsBlank="1"/>
    </cacheField>
    <cacheField name="Column11639" numFmtId="0">
      <sharedItems containsNonDate="0" containsString="0" containsBlank="1"/>
    </cacheField>
    <cacheField name="Column11640" numFmtId="0">
      <sharedItems containsNonDate="0" containsString="0" containsBlank="1"/>
    </cacheField>
    <cacheField name="Column11641" numFmtId="0">
      <sharedItems containsNonDate="0" containsString="0" containsBlank="1"/>
    </cacheField>
    <cacheField name="Column11642" numFmtId="0">
      <sharedItems containsNonDate="0" containsString="0" containsBlank="1"/>
    </cacheField>
    <cacheField name="Column11643" numFmtId="0">
      <sharedItems containsNonDate="0" containsString="0" containsBlank="1"/>
    </cacheField>
    <cacheField name="Column11644" numFmtId="0">
      <sharedItems containsNonDate="0" containsString="0" containsBlank="1"/>
    </cacheField>
    <cacheField name="Column11645" numFmtId="0">
      <sharedItems containsNonDate="0" containsString="0" containsBlank="1"/>
    </cacheField>
    <cacheField name="Column11646" numFmtId="0">
      <sharedItems containsNonDate="0" containsString="0" containsBlank="1"/>
    </cacheField>
    <cacheField name="Column11647" numFmtId="0">
      <sharedItems containsNonDate="0" containsString="0" containsBlank="1"/>
    </cacheField>
    <cacheField name="Column11648" numFmtId="0">
      <sharedItems containsNonDate="0" containsString="0" containsBlank="1"/>
    </cacheField>
    <cacheField name="Column11649" numFmtId="0">
      <sharedItems containsNonDate="0" containsString="0" containsBlank="1"/>
    </cacheField>
    <cacheField name="Column11650" numFmtId="0">
      <sharedItems containsNonDate="0" containsString="0" containsBlank="1"/>
    </cacheField>
    <cacheField name="Column11651" numFmtId="0">
      <sharedItems containsNonDate="0" containsString="0" containsBlank="1"/>
    </cacheField>
    <cacheField name="Column11652" numFmtId="0">
      <sharedItems containsNonDate="0" containsString="0" containsBlank="1"/>
    </cacheField>
    <cacheField name="Column11653" numFmtId="0">
      <sharedItems containsNonDate="0" containsString="0" containsBlank="1"/>
    </cacheField>
    <cacheField name="Column11654" numFmtId="0">
      <sharedItems containsNonDate="0" containsString="0" containsBlank="1"/>
    </cacheField>
    <cacheField name="Column11655" numFmtId="0">
      <sharedItems containsNonDate="0" containsString="0" containsBlank="1"/>
    </cacheField>
    <cacheField name="Column11656" numFmtId="0">
      <sharedItems containsNonDate="0" containsString="0" containsBlank="1"/>
    </cacheField>
    <cacheField name="Column11657" numFmtId="0">
      <sharedItems containsNonDate="0" containsString="0" containsBlank="1"/>
    </cacheField>
    <cacheField name="Column11658" numFmtId="0">
      <sharedItems containsNonDate="0" containsString="0" containsBlank="1"/>
    </cacheField>
    <cacheField name="Column11659" numFmtId="0">
      <sharedItems containsNonDate="0" containsString="0" containsBlank="1"/>
    </cacheField>
    <cacheField name="Column11660" numFmtId="0">
      <sharedItems containsNonDate="0" containsString="0" containsBlank="1"/>
    </cacheField>
    <cacheField name="Column11661" numFmtId="0">
      <sharedItems containsNonDate="0" containsString="0" containsBlank="1"/>
    </cacheField>
    <cacheField name="Column11662" numFmtId="0">
      <sharedItems containsNonDate="0" containsString="0" containsBlank="1"/>
    </cacheField>
    <cacheField name="Column11663" numFmtId="0">
      <sharedItems containsNonDate="0" containsString="0" containsBlank="1"/>
    </cacheField>
    <cacheField name="Column11664" numFmtId="0">
      <sharedItems containsNonDate="0" containsString="0" containsBlank="1"/>
    </cacheField>
    <cacheField name="Column11665" numFmtId="0">
      <sharedItems containsNonDate="0" containsString="0" containsBlank="1"/>
    </cacheField>
    <cacheField name="Column11666" numFmtId="0">
      <sharedItems containsNonDate="0" containsString="0" containsBlank="1"/>
    </cacheField>
    <cacheField name="Column11667" numFmtId="0">
      <sharedItems containsNonDate="0" containsString="0" containsBlank="1"/>
    </cacheField>
    <cacheField name="Column11668" numFmtId="0">
      <sharedItems containsNonDate="0" containsString="0" containsBlank="1"/>
    </cacheField>
    <cacheField name="Column11669" numFmtId="0">
      <sharedItems containsNonDate="0" containsString="0" containsBlank="1"/>
    </cacheField>
    <cacheField name="Column11670" numFmtId="0">
      <sharedItems containsNonDate="0" containsString="0" containsBlank="1"/>
    </cacheField>
    <cacheField name="Column11671" numFmtId="0">
      <sharedItems containsNonDate="0" containsString="0" containsBlank="1"/>
    </cacheField>
    <cacheField name="Column11672" numFmtId="0">
      <sharedItems containsNonDate="0" containsString="0" containsBlank="1"/>
    </cacheField>
    <cacheField name="Column11673" numFmtId="0">
      <sharedItems containsNonDate="0" containsString="0" containsBlank="1"/>
    </cacheField>
    <cacheField name="Column11674" numFmtId="0">
      <sharedItems containsNonDate="0" containsString="0" containsBlank="1"/>
    </cacheField>
    <cacheField name="Column11675" numFmtId="0">
      <sharedItems containsNonDate="0" containsString="0" containsBlank="1"/>
    </cacheField>
    <cacheField name="Column11676" numFmtId="0">
      <sharedItems containsNonDate="0" containsString="0" containsBlank="1"/>
    </cacheField>
    <cacheField name="Column11677" numFmtId="0">
      <sharedItems containsNonDate="0" containsString="0" containsBlank="1"/>
    </cacheField>
    <cacheField name="Column11678" numFmtId="0">
      <sharedItems containsNonDate="0" containsString="0" containsBlank="1"/>
    </cacheField>
    <cacheField name="Column11679" numFmtId="0">
      <sharedItems containsNonDate="0" containsString="0" containsBlank="1"/>
    </cacheField>
    <cacheField name="Column11680" numFmtId="0">
      <sharedItems containsNonDate="0" containsString="0" containsBlank="1"/>
    </cacheField>
    <cacheField name="Column11681" numFmtId="0">
      <sharedItems containsNonDate="0" containsString="0" containsBlank="1"/>
    </cacheField>
    <cacheField name="Column11682" numFmtId="0">
      <sharedItems containsNonDate="0" containsString="0" containsBlank="1"/>
    </cacheField>
    <cacheField name="Column11683" numFmtId="0">
      <sharedItems containsNonDate="0" containsString="0" containsBlank="1"/>
    </cacheField>
    <cacheField name="Column11684" numFmtId="0">
      <sharedItems containsNonDate="0" containsString="0" containsBlank="1"/>
    </cacheField>
    <cacheField name="Column11685" numFmtId="0">
      <sharedItems containsNonDate="0" containsString="0" containsBlank="1"/>
    </cacheField>
    <cacheField name="Column11686" numFmtId="0">
      <sharedItems containsNonDate="0" containsString="0" containsBlank="1"/>
    </cacheField>
    <cacheField name="Column11687" numFmtId="0">
      <sharedItems containsNonDate="0" containsString="0" containsBlank="1"/>
    </cacheField>
    <cacheField name="Column11688" numFmtId="0">
      <sharedItems containsNonDate="0" containsString="0" containsBlank="1"/>
    </cacheField>
    <cacheField name="Column11689" numFmtId="0">
      <sharedItems containsNonDate="0" containsString="0" containsBlank="1"/>
    </cacheField>
    <cacheField name="Column11690" numFmtId="0">
      <sharedItems containsNonDate="0" containsString="0" containsBlank="1"/>
    </cacheField>
    <cacheField name="Column11691" numFmtId="0">
      <sharedItems containsNonDate="0" containsString="0" containsBlank="1"/>
    </cacheField>
    <cacheField name="Column11692" numFmtId="0">
      <sharedItems containsNonDate="0" containsString="0" containsBlank="1"/>
    </cacheField>
    <cacheField name="Column11693" numFmtId="0">
      <sharedItems containsNonDate="0" containsString="0" containsBlank="1"/>
    </cacheField>
    <cacheField name="Column11694" numFmtId="0">
      <sharedItems containsNonDate="0" containsString="0" containsBlank="1"/>
    </cacheField>
    <cacheField name="Column11695" numFmtId="0">
      <sharedItems containsNonDate="0" containsString="0" containsBlank="1"/>
    </cacheField>
    <cacheField name="Column11696" numFmtId="0">
      <sharedItems containsNonDate="0" containsString="0" containsBlank="1"/>
    </cacheField>
    <cacheField name="Column11697" numFmtId="0">
      <sharedItems containsNonDate="0" containsString="0" containsBlank="1"/>
    </cacheField>
    <cacheField name="Column11698" numFmtId="0">
      <sharedItems containsNonDate="0" containsString="0" containsBlank="1"/>
    </cacheField>
    <cacheField name="Column11699" numFmtId="0">
      <sharedItems containsNonDate="0" containsString="0" containsBlank="1"/>
    </cacheField>
    <cacheField name="Column11700" numFmtId="0">
      <sharedItems containsNonDate="0" containsString="0" containsBlank="1"/>
    </cacheField>
    <cacheField name="Column11701" numFmtId="0">
      <sharedItems containsNonDate="0" containsString="0" containsBlank="1"/>
    </cacheField>
    <cacheField name="Column11702" numFmtId="0">
      <sharedItems containsNonDate="0" containsString="0" containsBlank="1"/>
    </cacheField>
    <cacheField name="Column11703" numFmtId="0">
      <sharedItems containsNonDate="0" containsString="0" containsBlank="1"/>
    </cacheField>
    <cacheField name="Column11704" numFmtId="0">
      <sharedItems containsNonDate="0" containsString="0" containsBlank="1"/>
    </cacheField>
    <cacheField name="Column11705" numFmtId="0">
      <sharedItems containsNonDate="0" containsString="0" containsBlank="1"/>
    </cacheField>
    <cacheField name="Column11706" numFmtId="0">
      <sharedItems containsNonDate="0" containsString="0" containsBlank="1"/>
    </cacheField>
    <cacheField name="Column11707" numFmtId="0">
      <sharedItems containsNonDate="0" containsString="0" containsBlank="1"/>
    </cacheField>
    <cacheField name="Column11708" numFmtId="0">
      <sharedItems containsNonDate="0" containsString="0" containsBlank="1"/>
    </cacheField>
    <cacheField name="Column11709" numFmtId="0">
      <sharedItems containsNonDate="0" containsString="0" containsBlank="1"/>
    </cacheField>
    <cacheField name="Column11710" numFmtId="0">
      <sharedItems containsNonDate="0" containsString="0" containsBlank="1"/>
    </cacheField>
    <cacheField name="Column11711" numFmtId="0">
      <sharedItems containsNonDate="0" containsString="0" containsBlank="1"/>
    </cacheField>
    <cacheField name="Column11712" numFmtId="0">
      <sharedItems containsNonDate="0" containsString="0" containsBlank="1"/>
    </cacheField>
    <cacheField name="Column11713" numFmtId="0">
      <sharedItems containsNonDate="0" containsString="0" containsBlank="1"/>
    </cacheField>
    <cacheField name="Column11714" numFmtId="0">
      <sharedItems containsNonDate="0" containsString="0" containsBlank="1"/>
    </cacheField>
    <cacheField name="Column11715" numFmtId="0">
      <sharedItems containsNonDate="0" containsString="0" containsBlank="1"/>
    </cacheField>
    <cacheField name="Column11716" numFmtId="0">
      <sharedItems containsNonDate="0" containsString="0" containsBlank="1"/>
    </cacheField>
    <cacheField name="Column11717" numFmtId="0">
      <sharedItems containsNonDate="0" containsString="0" containsBlank="1"/>
    </cacheField>
    <cacheField name="Column11718" numFmtId="0">
      <sharedItems containsNonDate="0" containsString="0" containsBlank="1"/>
    </cacheField>
    <cacheField name="Column11719" numFmtId="0">
      <sharedItems containsNonDate="0" containsString="0" containsBlank="1"/>
    </cacheField>
    <cacheField name="Column11720" numFmtId="0">
      <sharedItems containsNonDate="0" containsString="0" containsBlank="1"/>
    </cacheField>
    <cacheField name="Column11721" numFmtId="0">
      <sharedItems containsNonDate="0" containsString="0" containsBlank="1"/>
    </cacheField>
    <cacheField name="Column11722" numFmtId="0">
      <sharedItems containsNonDate="0" containsString="0" containsBlank="1"/>
    </cacheField>
    <cacheField name="Column11723" numFmtId="0">
      <sharedItems containsNonDate="0" containsString="0" containsBlank="1"/>
    </cacheField>
    <cacheField name="Column11724" numFmtId="0">
      <sharedItems containsNonDate="0" containsString="0" containsBlank="1"/>
    </cacheField>
    <cacheField name="Column11725" numFmtId="0">
      <sharedItems containsNonDate="0" containsString="0" containsBlank="1"/>
    </cacheField>
    <cacheField name="Column11726" numFmtId="0">
      <sharedItems containsNonDate="0" containsString="0" containsBlank="1"/>
    </cacheField>
    <cacheField name="Column11727" numFmtId="0">
      <sharedItems containsNonDate="0" containsString="0" containsBlank="1"/>
    </cacheField>
    <cacheField name="Column11728" numFmtId="0">
      <sharedItems containsNonDate="0" containsString="0" containsBlank="1"/>
    </cacheField>
    <cacheField name="Column11729" numFmtId="0">
      <sharedItems containsNonDate="0" containsString="0" containsBlank="1"/>
    </cacheField>
    <cacheField name="Column11730" numFmtId="0">
      <sharedItems containsNonDate="0" containsString="0" containsBlank="1"/>
    </cacheField>
    <cacheField name="Column11731" numFmtId="0">
      <sharedItems containsNonDate="0" containsString="0" containsBlank="1"/>
    </cacheField>
    <cacheField name="Column11732" numFmtId="0">
      <sharedItems containsNonDate="0" containsString="0" containsBlank="1"/>
    </cacheField>
    <cacheField name="Column11733" numFmtId="0">
      <sharedItems containsNonDate="0" containsString="0" containsBlank="1"/>
    </cacheField>
    <cacheField name="Column11734" numFmtId="0">
      <sharedItems containsNonDate="0" containsString="0" containsBlank="1"/>
    </cacheField>
    <cacheField name="Column11735" numFmtId="0">
      <sharedItems containsNonDate="0" containsString="0" containsBlank="1"/>
    </cacheField>
    <cacheField name="Column11736" numFmtId="0">
      <sharedItems containsNonDate="0" containsString="0" containsBlank="1"/>
    </cacheField>
    <cacheField name="Column11737" numFmtId="0">
      <sharedItems containsNonDate="0" containsString="0" containsBlank="1"/>
    </cacheField>
    <cacheField name="Column11738" numFmtId="0">
      <sharedItems containsNonDate="0" containsString="0" containsBlank="1"/>
    </cacheField>
    <cacheField name="Column11739" numFmtId="0">
      <sharedItems containsNonDate="0" containsString="0" containsBlank="1"/>
    </cacheField>
    <cacheField name="Column11740" numFmtId="0">
      <sharedItems containsNonDate="0" containsString="0" containsBlank="1"/>
    </cacheField>
    <cacheField name="Column11741" numFmtId="0">
      <sharedItems containsNonDate="0" containsString="0" containsBlank="1"/>
    </cacheField>
    <cacheField name="Column11742" numFmtId="0">
      <sharedItems containsNonDate="0" containsString="0" containsBlank="1"/>
    </cacheField>
    <cacheField name="Column11743" numFmtId="0">
      <sharedItems containsNonDate="0" containsString="0" containsBlank="1"/>
    </cacheField>
    <cacheField name="Column11744" numFmtId="0">
      <sharedItems containsNonDate="0" containsString="0" containsBlank="1"/>
    </cacheField>
    <cacheField name="Column11745" numFmtId="0">
      <sharedItems containsNonDate="0" containsString="0" containsBlank="1"/>
    </cacheField>
    <cacheField name="Column11746" numFmtId="0">
      <sharedItems containsNonDate="0" containsString="0" containsBlank="1"/>
    </cacheField>
    <cacheField name="Column11747" numFmtId="0">
      <sharedItems containsNonDate="0" containsString="0" containsBlank="1"/>
    </cacheField>
    <cacheField name="Column11748" numFmtId="0">
      <sharedItems containsNonDate="0" containsString="0" containsBlank="1"/>
    </cacheField>
    <cacheField name="Column11749" numFmtId="0">
      <sharedItems containsNonDate="0" containsString="0" containsBlank="1"/>
    </cacheField>
    <cacheField name="Column11750" numFmtId="0">
      <sharedItems containsNonDate="0" containsString="0" containsBlank="1"/>
    </cacheField>
    <cacheField name="Column11751" numFmtId="0">
      <sharedItems containsNonDate="0" containsString="0" containsBlank="1"/>
    </cacheField>
    <cacheField name="Column11752" numFmtId="0">
      <sharedItems containsNonDate="0" containsString="0" containsBlank="1"/>
    </cacheField>
    <cacheField name="Column11753" numFmtId="0">
      <sharedItems containsNonDate="0" containsString="0" containsBlank="1"/>
    </cacheField>
    <cacheField name="Column11754" numFmtId="0">
      <sharedItems containsNonDate="0" containsString="0" containsBlank="1"/>
    </cacheField>
    <cacheField name="Column11755" numFmtId="0">
      <sharedItems containsNonDate="0" containsString="0" containsBlank="1"/>
    </cacheField>
    <cacheField name="Column11756" numFmtId="0">
      <sharedItems containsNonDate="0" containsString="0" containsBlank="1"/>
    </cacheField>
    <cacheField name="Column11757" numFmtId="0">
      <sharedItems containsNonDate="0" containsString="0" containsBlank="1"/>
    </cacheField>
    <cacheField name="Column11758" numFmtId="0">
      <sharedItems containsNonDate="0" containsString="0" containsBlank="1"/>
    </cacheField>
    <cacheField name="Column11759" numFmtId="0">
      <sharedItems containsNonDate="0" containsString="0" containsBlank="1"/>
    </cacheField>
    <cacheField name="Column11760" numFmtId="0">
      <sharedItems containsNonDate="0" containsString="0" containsBlank="1"/>
    </cacheField>
    <cacheField name="Column11761" numFmtId="0">
      <sharedItems containsNonDate="0" containsString="0" containsBlank="1"/>
    </cacheField>
    <cacheField name="Column11762" numFmtId="0">
      <sharedItems containsNonDate="0" containsString="0" containsBlank="1"/>
    </cacheField>
    <cacheField name="Column11763" numFmtId="0">
      <sharedItems containsNonDate="0" containsString="0" containsBlank="1"/>
    </cacheField>
    <cacheField name="Column11764" numFmtId="0">
      <sharedItems containsNonDate="0" containsString="0" containsBlank="1"/>
    </cacheField>
    <cacheField name="Column11765" numFmtId="0">
      <sharedItems containsNonDate="0" containsString="0" containsBlank="1"/>
    </cacheField>
    <cacheField name="Column11766" numFmtId="0">
      <sharedItems containsNonDate="0" containsString="0" containsBlank="1"/>
    </cacheField>
    <cacheField name="Column11767" numFmtId="0">
      <sharedItems containsNonDate="0" containsString="0" containsBlank="1"/>
    </cacheField>
    <cacheField name="Column11768" numFmtId="0">
      <sharedItems containsNonDate="0" containsString="0" containsBlank="1"/>
    </cacheField>
    <cacheField name="Column11769" numFmtId="0">
      <sharedItems containsNonDate="0" containsString="0" containsBlank="1"/>
    </cacheField>
    <cacheField name="Column11770" numFmtId="0">
      <sharedItems containsNonDate="0" containsString="0" containsBlank="1"/>
    </cacheField>
    <cacheField name="Column11771" numFmtId="0">
      <sharedItems containsNonDate="0" containsString="0" containsBlank="1"/>
    </cacheField>
    <cacheField name="Column11772" numFmtId="0">
      <sharedItems containsNonDate="0" containsString="0" containsBlank="1"/>
    </cacheField>
    <cacheField name="Column11773" numFmtId="0">
      <sharedItems containsNonDate="0" containsString="0" containsBlank="1"/>
    </cacheField>
    <cacheField name="Column11774" numFmtId="0">
      <sharedItems containsNonDate="0" containsString="0" containsBlank="1"/>
    </cacheField>
    <cacheField name="Column11775" numFmtId="0">
      <sharedItems containsNonDate="0" containsString="0" containsBlank="1"/>
    </cacheField>
    <cacheField name="Column11776" numFmtId="0">
      <sharedItems containsNonDate="0" containsString="0" containsBlank="1"/>
    </cacheField>
    <cacheField name="Column11777" numFmtId="0">
      <sharedItems containsNonDate="0" containsString="0" containsBlank="1"/>
    </cacheField>
    <cacheField name="Column11778" numFmtId="0">
      <sharedItems containsNonDate="0" containsString="0" containsBlank="1"/>
    </cacheField>
    <cacheField name="Column11779" numFmtId="0">
      <sharedItems containsNonDate="0" containsString="0" containsBlank="1"/>
    </cacheField>
    <cacheField name="Column11780" numFmtId="0">
      <sharedItems containsNonDate="0" containsString="0" containsBlank="1"/>
    </cacheField>
    <cacheField name="Column11781" numFmtId="0">
      <sharedItems containsNonDate="0" containsString="0" containsBlank="1"/>
    </cacheField>
    <cacheField name="Column11782" numFmtId="0">
      <sharedItems containsNonDate="0" containsString="0" containsBlank="1"/>
    </cacheField>
    <cacheField name="Column11783" numFmtId="0">
      <sharedItems containsNonDate="0" containsString="0" containsBlank="1"/>
    </cacheField>
    <cacheField name="Column11784" numFmtId="0">
      <sharedItems containsNonDate="0" containsString="0" containsBlank="1"/>
    </cacheField>
    <cacheField name="Column11785" numFmtId="0">
      <sharedItems containsNonDate="0" containsString="0" containsBlank="1"/>
    </cacheField>
    <cacheField name="Column11786" numFmtId="0">
      <sharedItems containsNonDate="0" containsString="0" containsBlank="1"/>
    </cacheField>
    <cacheField name="Column11787" numFmtId="0">
      <sharedItems containsNonDate="0" containsString="0" containsBlank="1"/>
    </cacheField>
    <cacheField name="Column11788" numFmtId="0">
      <sharedItems containsNonDate="0" containsString="0" containsBlank="1"/>
    </cacheField>
    <cacheField name="Column11789" numFmtId="0">
      <sharedItems containsNonDate="0" containsString="0" containsBlank="1"/>
    </cacheField>
    <cacheField name="Column11790" numFmtId="0">
      <sharedItems containsNonDate="0" containsString="0" containsBlank="1"/>
    </cacheField>
    <cacheField name="Column11791" numFmtId="0">
      <sharedItems containsNonDate="0" containsString="0" containsBlank="1"/>
    </cacheField>
    <cacheField name="Column11792" numFmtId="0">
      <sharedItems containsNonDate="0" containsString="0" containsBlank="1"/>
    </cacheField>
    <cacheField name="Column11793" numFmtId="0">
      <sharedItems containsNonDate="0" containsString="0" containsBlank="1"/>
    </cacheField>
    <cacheField name="Column11794" numFmtId="0">
      <sharedItems containsNonDate="0" containsString="0" containsBlank="1"/>
    </cacheField>
    <cacheField name="Column11795" numFmtId="0">
      <sharedItems containsNonDate="0" containsString="0" containsBlank="1"/>
    </cacheField>
    <cacheField name="Column11796" numFmtId="0">
      <sharedItems containsNonDate="0" containsString="0" containsBlank="1"/>
    </cacheField>
    <cacheField name="Column11797" numFmtId="0">
      <sharedItems containsNonDate="0" containsString="0" containsBlank="1"/>
    </cacheField>
    <cacheField name="Column11798" numFmtId="0">
      <sharedItems containsNonDate="0" containsString="0" containsBlank="1"/>
    </cacheField>
    <cacheField name="Column11799" numFmtId="0">
      <sharedItems containsNonDate="0" containsString="0" containsBlank="1"/>
    </cacheField>
    <cacheField name="Column11800" numFmtId="0">
      <sharedItems containsNonDate="0" containsString="0" containsBlank="1"/>
    </cacheField>
    <cacheField name="Column11801" numFmtId="0">
      <sharedItems containsNonDate="0" containsString="0" containsBlank="1"/>
    </cacheField>
    <cacheField name="Column11802" numFmtId="0">
      <sharedItems containsNonDate="0" containsString="0" containsBlank="1"/>
    </cacheField>
    <cacheField name="Column11803" numFmtId="0">
      <sharedItems containsNonDate="0" containsString="0" containsBlank="1"/>
    </cacheField>
    <cacheField name="Column11804" numFmtId="0">
      <sharedItems containsNonDate="0" containsString="0" containsBlank="1"/>
    </cacheField>
    <cacheField name="Column11805" numFmtId="0">
      <sharedItems containsNonDate="0" containsString="0" containsBlank="1"/>
    </cacheField>
    <cacheField name="Column11806" numFmtId="0">
      <sharedItems containsNonDate="0" containsString="0" containsBlank="1"/>
    </cacheField>
    <cacheField name="Column11807" numFmtId="0">
      <sharedItems containsNonDate="0" containsString="0" containsBlank="1"/>
    </cacheField>
    <cacheField name="Column11808" numFmtId="0">
      <sharedItems containsNonDate="0" containsString="0" containsBlank="1"/>
    </cacheField>
    <cacheField name="Column11809" numFmtId="0">
      <sharedItems containsNonDate="0" containsString="0" containsBlank="1"/>
    </cacheField>
    <cacheField name="Column11810" numFmtId="0">
      <sharedItems containsNonDate="0" containsString="0" containsBlank="1"/>
    </cacheField>
    <cacheField name="Column11811" numFmtId="0">
      <sharedItems containsNonDate="0" containsString="0" containsBlank="1"/>
    </cacheField>
    <cacheField name="Column11812" numFmtId="0">
      <sharedItems containsNonDate="0" containsString="0" containsBlank="1"/>
    </cacheField>
    <cacheField name="Column11813" numFmtId="0">
      <sharedItems containsNonDate="0" containsString="0" containsBlank="1"/>
    </cacheField>
    <cacheField name="Column11814" numFmtId="0">
      <sharedItems containsNonDate="0" containsString="0" containsBlank="1"/>
    </cacheField>
    <cacheField name="Column11815" numFmtId="0">
      <sharedItems containsNonDate="0" containsString="0" containsBlank="1"/>
    </cacheField>
    <cacheField name="Column11816" numFmtId="0">
      <sharedItems containsNonDate="0" containsString="0" containsBlank="1"/>
    </cacheField>
    <cacheField name="Column11817" numFmtId="0">
      <sharedItems containsNonDate="0" containsString="0" containsBlank="1"/>
    </cacheField>
    <cacheField name="Column11818" numFmtId="0">
      <sharedItems containsNonDate="0" containsString="0" containsBlank="1"/>
    </cacheField>
    <cacheField name="Column11819" numFmtId="0">
      <sharedItems containsNonDate="0" containsString="0" containsBlank="1"/>
    </cacheField>
    <cacheField name="Column11820" numFmtId="0">
      <sharedItems containsNonDate="0" containsString="0" containsBlank="1"/>
    </cacheField>
    <cacheField name="Column11821" numFmtId="0">
      <sharedItems containsNonDate="0" containsString="0" containsBlank="1"/>
    </cacheField>
    <cacheField name="Column11822" numFmtId="0">
      <sharedItems containsNonDate="0" containsString="0" containsBlank="1"/>
    </cacheField>
    <cacheField name="Column11823" numFmtId="0">
      <sharedItems containsNonDate="0" containsString="0" containsBlank="1"/>
    </cacheField>
    <cacheField name="Column11824" numFmtId="0">
      <sharedItems containsNonDate="0" containsString="0" containsBlank="1"/>
    </cacheField>
    <cacheField name="Column11825" numFmtId="0">
      <sharedItems containsNonDate="0" containsString="0" containsBlank="1"/>
    </cacheField>
    <cacheField name="Column11826" numFmtId="0">
      <sharedItems containsNonDate="0" containsString="0" containsBlank="1"/>
    </cacheField>
    <cacheField name="Column11827" numFmtId="0">
      <sharedItems containsNonDate="0" containsString="0" containsBlank="1"/>
    </cacheField>
    <cacheField name="Column11828" numFmtId="0">
      <sharedItems containsNonDate="0" containsString="0" containsBlank="1"/>
    </cacheField>
    <cacheField name="Column11829" numFmtId="0">
      <sharedItems containsNonDate="0" containsString="0" containsBlank="1"/>
    </cacheField>
    <cacheField name="Column11830" numFmtId="0">
      <sharedItems containsNonDate="0" containsString="0" containsBlank="1"/>
    </cacheField>
    <cacheField name="Column11831" numFmtId="0">
      <sharedItems containsNonDate="0" containsString="0" containsBlank="1"/>
    </cacheField>
    <cacheField name="Column11832" numFmtId="0">
      <sharedItems containsNonDate="0" containsString="0" containsBlank="1"/>
    </cacheField>
    <cacheField name="Column11833" numFmtId="0">
      <sharedItems containsNonDate="0" containsString="0" containsBlank="1"/>
    </cacheField>
    <cacheField name="Column11834" numFmtId="0">
      <sharedItems containsNonDate="0" containsString="0" containsBlank="1"/>
    </cacheField>
    <cacheField name="Column11835" numFmtId="0">
      <sharedItems containsNonDate="0" containsString="0" containsBlank="1"/>
    </cacheField>
    <cacheField name="Column11836" numFmtId="0">
      <sharedItems containsNonDate="0" containsString="0" containsBlank="1"/>
    </cacheField>
    <cacheField name="Column11837" numFmtId="0">
      <sharedItems containsNonDate="0" containsString="0" containsBlank="1"/>
    </cacheField>
    <cacheField name="Column11838" numFmtId="0">
      <sharedItems containsNonDate="0" containsString="0" containsBlank="1"/>
    </cacheField>
    <cacheField name="Column11839" numFmtId="0">
      <sharedItems containsNonDate="0" containsString="0" containsBlank="1"/>
    </cacheField>
    <cacheField name="Column11840" numFmtId="0">
      <sharedItems containsNonDate="0" containsString="0" containsBlank="1"/>
    </cacheField>
    <cacheField name="Column11841" numFmtId="0">
      <sharedItems containsNonDate="0" containsString="0" containsBlank="1"/>
    </cacheField>
    <cacheField name="Column11842" numFmtId="0">
      <sharedItems containsNonDate="0" containsString="0" containsBlank="1"/>
    </cacheField>
    <cacheField name="Column11843" numFmtId="0">
      <sharedItems containsNonDate="0" containsString="0" containsBlank="1"/>
    </cacheField>
    <cacheField name="Column11844" numFmtId="0">
      <sharedItems containsNonDate="0" containsString="0" containsBlank="1"/>
    </cacheField>
    <cacheField name="Column11845" numFmtId="0">
      <sharedItems containsNonDate="0" containsString="0" containsBlank="1"/>
    </cacheField>
    <cacheField name="Column11846" numFmtId="0">
      <sharedItems containsNonDate="0" containsString="0" containsBlank="1"/>
    </cacheField>
    <cacheField name="Column11847" numFmtId="0">
      <sharedItems containsNonDate="0" containsString="0" containsBlank="1"/>
    </cacheField>
    <cacheField name="Column11848" numFmtId="0">
      <sharedItems containsNonDate="0" containsString="0" containsBlank="1"/>
    </cacheField>
    <cacheField name="Column11849" numFmtId="0">
      <sharedItems containsNonDate="0" containsString="0" containsBlank="1"/>
    </cacheField>
    <cacheField name="Column11850" numFmtId="0">
      <sharedItems containsNonDate="0" containsString="0" containsBlank="1"/>
    </cacheField>
    <cacheField name="Column11851" numFmtId="0">
      <sharedItems containsNonDate="0" containsString="0" containsBlank="1"/>
    </cacheField>
    <cacheField name="Column11852" numFmtId="0">
      <sharedItems containsNonDate="0" containsString="0" containsBlank="1"/>
    </cacheField>
    <cacheField name="Column11853" numFmtId="0">
      <sharedItems containsNonDate="0" containsString="0" containsBlank="1"/>
    </cacheField>
    <cacheField name="Column11854" numFmtId="0">
      <sharedItems containsNonDate="0" containsString="0" containsBlank="1"/>
    </cacheField>
    <cacheField name="Column11855" numFmtId="0">
      <sharedItems containsNonDate="0" containsString="0" containsBlank="1"/>
    </cacheField>
    <cacheField name="Column11856" numFmtId="0">
      <sharedItems containsNonDate="0" containsString="0" containsBlank="1"/>
    </cacheField>
    <cacheField name="Column11857" numFmtId="0">
      <sharedItems containsNonDate="0" containsString="0" containsBlank="1"/>
    </cacheField>
    <cacheField name="Column11858" numFmtId="0">
      <sharedItems containsNonDate="0" containsString="0" containsBlank="1"/>
    </cacheField>
    <cacheField name="Column11859" numFmtId="0">
      <sharedItems containsNonDate="0" containsString="0" containsBlank="1"/>
    </cacheField>
    <cacheField name="Column11860" numFmtId="0">
      <sharedItems containsNonDate="0" containsString="0" containsBlank="1"/>
    </cacheField>
    <cacheField name="Column11861" numFmtId="0">
      <sharedItems containsNonDate="0" containsString="0" containsBlank="1"/>
    </cacheField>
    <cacheField name="Column11862" numFmtId="0">
      <sharedItems containsNonDate="0" containsString="0" containsBlank="1"/>
    </cacheField>
    <cacheField name="Column11863" numFmtId="0">
      <sharedItems containsNonDate="0" containsString="0" containsBlank="1"/>
    </cacheField>
    <cacheField name="Column11864" numFmtId="0">
      <sharedItems containsNonDate="0" containsString="0" containsBlank="1"/>
    </cacheField>
    <cacheField name="Column11865" numFmtId="0">
      <sharedItems containsNonDate="0" containsString="0" containsBlank="1"/>
    </cacheField>
    <cacheField name="Column11866" numFmtId="0">
      <sharedItems containsNonDate="0" containsString="0" containsBlank="1"/>
    </cacheField>
    <cacheField name="Column11867" numFmtId="0">
      <sharedItems containsNonDate="0" containsString="0" containsBlank="1"/>
    </cacheField>
    <cacheField name="Column11868" numFmtId="0">
      <sharedItems containsNonDate="0" containsString="0" containsBlank="1"/>
    </cacheField>
    <cacheField name="Column11869" numFmtId="0">
      <sharedItems containsNonDate="0" containsString="0" containsBlank="1"/>
    </cacheField>
    <cacheField name="Column11870" numFmtId="0">
      <sharedItems containsNonDate="0" containsString="0" containsBlank="1"/>
    </cacheField>
    <cacheField name="Column11871" numFmtId="0">
      <sharedItems containsNonDate="0" containsString="0" containsBlank="1"/>
    </cacheField>
    <cacheField name="Column11872" numFmtId="0">
      <sharedItems containsNonDate="0" containsString="0" containsBlank="1"/>
    </cacheField>
    <cacheField name="Column11873" numFmtId="0">
      <sharedItems containsNonDate="0" containsString="0" containsBlank="1"/>
    </cacheField>
    <cacheField name="Column11874" numFmtId="0">
      <sharedItems containsNonDate="0" containsString="0" containsBlank="1"/>
    </cacheField>
    <cacheField name="Column11875" numFmtId="0">
      <sharedItems containsNonDate="0" containsString="0" containsBlank="1"/>
    </cacheField>
    <cacheField name="Column11876" numFmtId="0">
      <sharedItems containsNonDate="0" containsString="0" containsBlank="1"/>
    </cacheField>
    <cacheField name="Column11877" numFmtId="0">
      <sharedItems containsNonDate="0" containsString="0" containsBlank="1"/>
    </cacheField>
    <cacheField name="Column11878" numFmtId="0">
      <sharedItems containsNonDate="0" containsString="0" containsBlank="1"/>
    </cacheField>
    <cacheField name="Column11879" numFmtId="0">
      <sharedItems containsNonDate="0" containsString="0" containsBlank="1"/>
    </cacheField>
    <cacheField name="Column11880" numFmtId="0">
      <sharedItems containsNonDate="0" containsString="0" containsBlank="1"/>
    </cacheField>
    <cacheField name="Column11881" numFmtId="0">
      <sharedItems containsNonDate="0" containsString="0" containsBlank="1"/>
    </cacheField>
    <cacheField name="Column11882" numFmtId="0">
      <sharedItems containsNonDate="0" containsString="0" containsBlank="1"/>
    </cacheField>
    <cacheField name="Column11883" numFmtId="0">
      <sharedItems containsNonDate="0" containsString="0" containsBlank="1"/>
    </cacheField>
    <cacheField name="Column11884" numFmtId="0">
      <sharedItems containsNonDate="0" containsString="0" containsBlank="1"/>
    </cacheField>
    <cacheField name="Column11885" numFmtId="0">
      <sharedItems containsNonDate="0" containsString="0" containsBlank="1"/>
    </cacheField>
    <cacheField name="Column11886" numFmtId="0">
      <sharedItems containsNonDate="0" containsString="0" containsBlank="1"/>
    </cacheField>
    <cacheField name="Column11887" numFmtId="0">
      <sharedItems containsNonDate="0" containsString="0" containsBlank="1"/>
    </cacheField>
    <cacheField name="Column11888" numFmtId="0">
      <sharedItems containsNonDate="0" containsString="0" containsBlank="1"/>
    </cacheField>
    <cacheField name="Column11889" numFmtId="0">
      <sharedItems containsNonDate="0" containsString="0" containsBlank="1"/>
    </cacheField>
    <cacheField name="Column11890" numFmtId="0">
      <sharedItems containsNonDate="0" containsString="0" containsBlank="1"/>
    </cacheField>
    <cacheField name="Column11891" numFmtId="0">
      <sharedItems containsNonDate="0" containsString="0" containsBlank="1"/>
    </cacheField>
    <cacheField name="Column11892" numFmtId="0">
      <sharedItems containsNonDate="0" containsString="0" containsBlank="1"/>
    </cacheField>
    <cacheField name="Column11893" numFmtId="0">
      <sharedItems containsNonDate="0" containsString="0" containsBlank="1"/>
    </cacheField>
    <cacheField name="Column11894" numFmtId="0">
      <sharedItems containsNonDate="0" containsString="0" containsBlank="1"/>
    </cacheField>
    <cacheField name="Column11895" numFmtId="0">
      <sharedItems containsNonDate="0" containsString="0" containsBlank="1"/>
    </cacheField>
    <cacheField name="Column11896" numFmtId="0">
      <sharedItems containsNonDate="0" containsString="0" containsBlank="1"/>
    </cacheField>
    <cacheField name="Column11897" numFmtId="0">
      <sharedItems containsNonDate="0" containsString="0" containsBlank="1"/>
    </cacheField>
    <cacheField name="Column11898" numFmtId="0">
      <sharedItems containsNonDate="0" containsString="0" containsBlank="1"/>
    </cacheField>
    <cacheField name="Column11899" numFmtId="0">
      <sharedItems containsNonDate="0" containsString="0" containsBlank="1"/>
    </cacheField>
    <cacheField name="Column11900" numFmtId="0">
      <sharedItems containsNonDate="0" containsString="0" containsBlank="1"/>
    </cacheField>
    <cacheField name="Column11901" numFmtId="0">
      <sharedItems containsNonDate="0" containsString="0" containsBlank="1"/>
    </cacheField>
    <cacheField name="Column11902" numFmtId="0">
      <sharedItems containsNonDate="0" containsString="0" containsBlank="1"/>
    </cacheField>
    <cacheField name="Column11903" numFmtId="0">
      <sharedItems containsNonDate="0" containsString="0" containsBlank="1"/>
    </cacheField>
    <cacheField name="Column11904" numFmtId="0">
      <sharedItems containsNonDate="0" containsString="0" containsBlank="1"/>
    </cacheField>
    <cacheField name="Column11905" numFmtId="0">
      <sharedItems containsNonDate="0" containsString="0" containsBlank="1"/>
    </cacheField>
    <cacheField name="Column11906" numFmtId="0">
      <sharedItems containsNonDate="0" containsString="0" containsBlank="1"/>
    </cacheField>
    <cacheField name="Column11907" numFmtId="0">
      <sharedItems containsNonDate="0" containsString="0" containsBlank="1"/>
    </cacheField>
    <cacheField name="Column11908" numFmtId="0">
      <sharedItems containsNonDate="0" containsString="0" containsBlank="1"/>
    </cacheField>
    <cacheField name="Column11909" numFmtId="0">
      <sharedItems containsNonDate="0" containsString="0" containsBlank="1"/>
    </cacheField>
    <cacheField name="Column11910" numFmtId="0">
      <sharedItems containsNonDate="0" containsString="0" containsBlank="1"/>
    </cacheField>
    <cacheField name="Column11911" numFmtId="0">
      <sharedItems containsNonDate="0" containsString="0" containsBlank="1"/>
    </cacheField>
    <cacheField name="Column11912" numFmtId="0">
      <sharedItems containsNonDate="0" containsString="0" containsBlank="1"/>
    </cacheField>
    <cacheField name="Column11913" numFmtId="0">
      <sharedItems containsNonDate="0" containsString="0" containsBlank="1"/>
    </cacheField>
    <cacheField name="Column11914" numFmtId="0">
      <sharedItems containsNonDate="0" containsString="0" containsBlank="1"/>
    </cacheField>
    <cacheField name="Column11915" numFmtId="0">
      <sharedItems containsNonDate="0" containsString="0" containsBlank="1"/>
    </cacheField>
    <cacheField name="Column11916" numFmtId="0">
      <sharedItems containsNonDate="0" containsString="0" containsBlank="1"/>
    </cacheField>
    <cacheField name="Column11917" numFmtId="0">
      <sharedItems containsNonDate="0" containsString="0" containsBlank="1"/>
    </cacheField>
    <cacheField name="Column11918" numFmtId="0">
      <sharedItems containsNonDate="0" containsString="0" containsBlank="1"/>
    </cacheField>
    <cacheField name="Column11919" numFmtId="0">
      <sharedItems containsNonDate="0" containsString="0" containsBlank="1"/>
    </cacheField>
    <cacheField name="Column11920" numFmtId="0">
      <sharedItems containsNonDate="0" containsString="0" containsBlank="1"/>
    </cacheField>
    <cacheField name="Column11921" numFmtId="0">
      <sharedItems containsNonDate="0" containsString="0" containsBlank="1"/>
    </cacheField>
    <cacheField name="Column11922" numFmtId="0">
      <sharedItems containsNonDate="0" containsString="0" containsBlank="1"/>
    </cacheField>
    <cacheField name="Column11923" numFmtId="0">
      <sharedItems containsNonDate="0" containsString="0" containsBlank="1"/>
    </cacheField>
    <cacheField name="Column11924" numFmtId="0">
      <sharedItems containsNonDate="0" containsString="0" containsBlank="1"/>
    </cacheField>
    <cacheField name="Column11925" numFmtId="0">
      <sharedItems containsNonDate="0" containsString="0" containsBlank="1"/>
    </cacheField>
    <cacheField name="Column11926" numFmtId="0">
      <sharedItems containsNonDate="0" containsString="0" containsBlank="1"/>
    </cacheField>
    <cacheField name="Column11927" numFmtId="0">
      <sharedItems containsNonDate="0" containsString="0" containsBlank="1"/>
    </cacheField>
    <cacheField name="Column11928" numFmtId="0">
      <sharedItems containsNonDate="0" containsString="0" containsBlank="1"/>
    </cacheField>
    <cacheField name="Column11929" numFmtId="0">
      <sharedItems containsNonDate="0" containsString="0" containsBlank="1"/>
    </cacheField>
    <cacheField name="Column11930" numFmtId="0">
      <sharedItems containsNonDate="0" containsString="0" containsBlank="1"/>
    </cacheField>
    <cacheField name="Column11931" numFmtId="0">
      <sharedItems containsNonDate="0" containsString="0" containsBlank="1"/>
    </cacheField>
    <cacheField name="Column11932" numFmtId="0">
      <sharedItems containsNonDate="0" containsString="0" containsBlank="1"/>
    </cacheField>
    <cacheField name="Column11933" numFmtId="0">
      <sharedItems containsNonDate="0" containsString="0" containsBlank="1"/>
    </cacheField>
    <cacheField name="Column11934" numFmtId="0">
      <sharedItems containsNonDate="0" containsString="0" containsBlank="1"/>
    </cacheField>
    <cacheField name="Column11935" numFmtId="0">
      <sharedItems containsNonDate="0" containsString="0" containsBlank="1"/>
    </cacheField>
    <cacheField name="Column11936" numFmtId="0">
      <sharedItems containsNonDate="0" containsString="0" containsBlank="1"/>
    </cacheField>
    <cacheField name="Column11937" numFmtId="0">
      <sharedItems containsNonDate="0" containsString="0" containsBlank="1"/>
    </cacheField>
    <cacheField name="Column11938" numFmtId="0">
      <sharedItems containsNonDate="0" containsString="0" containsBlank="1"/>
    </cacheField>
    <cacheField name="Column11939" numFmtId="0">
      <sharedItems containsNonDate="0" containsString="0" containsBlank="1"/>
    </cacheField>
    <cacheField name="Column11940" numFmtId="0">
      <sharedItems containsNonDate="0" containsString="0" containsBlank="1"/>
    </cacheField>
    <cacheField name="Column11941" numFmtId="0">
      <sharedItems containsNonDate="0" containsString="0" containsBlank="1"/>
    </cacheField>
    <cacheField name="Column11942" numFmtId="0">
      <sharedItems containsNonDate="0" containsString="0" containsBlank="1"/>
    </cacheField>
    <cacheField name="Column11943" numFmtId="0">
      <sharedItems containsNonDate="0" containsString="0" containsBlank="1"/>
    </cacheField>
    <cacheField name="Column11944" numFmtId="0">
      <sharedItems containsNonDate="0" containsString="0" containsBlank="1"/>
    </cacheField>
    <cacheField name="Column11945" numFmtId="0">
      <sharedItems containsNonDate="0" containsString="0" containsBlank="1"/>
    </cacheField>
    <cacheField name="Column11946" numFmtId="0">
      <sharedItems containsNonDate="0" containsString="0" containsBlank="1"/>
    </cacheField>
    <cacheField name="Column11947" numFmtId="0">
      <sharedItems containsNonDate="0" containsString="0" containsBlank="1"/>
    </cacheField>
    <cacheField name="Column11948" numFmtId="0">
      <sharedItems containsNonDate="0" containsString="0" containsBlank="1"/>
    </cacheField>
    <cacheField name="Column11949" numFmtId="0">
      <sharedItems containsNonDate="0" containsString="0" containsBlank="1"/>
    </cacheField>
    <cacheField name="Column11950" numFmtId="0">
      <sharedItems containsNonDate="0" containsString="0" containsBlank="1"/>
    </cacheField>
    <cacheField name="Column11951" numFmtId="0">
      <sharedItems containsNonDate="0" containsString="0" containsBlank="1"/>
    </cacheField>
    <cacheField name="Column11952" numFmtId="0">
      <sharedItems containsNonDate="0" containsString="0" containsBlank="1"/>
    </cacheField>
    <cacheField name="Column11953" numFmtId="0">
      <sharedItems containsNonDate="0" containsString="0" containsBlank="1"/>
    </cacheField>
    <cacheField name="Column11954" numFmtId="0">
      <sharedItems containsNonDate="0" containsString="0" containsBlank="1"/>
    </cacheField>
    <cacheField name="Column11955" numFmtId="0">
      <sharedItems containsNonDate="0" containsString="0" containsBlank="1"/>
    </cacheField>
    <cacheField name="Column11956" numFmtId="0">
      <sharedItems containsNonDate="0" containsString="0" containsBlank="1"/>
    </cacheField>
    <cacheField name="Column11957" numFmtId="0">
      <sharedItems containsNonDate="0" containsString="0" containsBlank="1"/>
    </cacheField>
    <cacheField name="Column11958" numFmtId="0">
      <sharedItems containsNonDate="0" containsString="0" containsBlank="1"/>
    </cacheField>
    <cacheField name="Column11959" numFmtId="0">
      <sharedItems containsNonDate="0" containsString="0" containsBlank="1"/>
    </cacheField>
    <cacheField name="Column11960" numFmtId="0">
      <sharedItems containsNonDate="0" containsString="0" containsBlank="1"/>
    </cacheField>
    <cacheField name="Column11961" numFmtId="0">
      <sharedItems containsNonDate="0" containsString="0" containsBlank="1"/>
    </cacheField>
    <cacheField name="Column11962" numFmtId="0">
      <sharedItems containsNonDate="0" containsString="0" containsBlank="1"/>
    </cacheField>
    <cacheField name="Column11963" numFmtId="0">
      <sharedItems containsNonDate="0" containsString="0" containsBlank="1"/>
    </cacheField>
    <cacheField name="Column11964" numFmtId="0">
      <sharedItems containsNonDate="0" containsString="0" containsBlank="1"/>
    </cacheField>
    <cacheField name="Column11965" numFmtId="0">
      <sharedItems containsNonDate="0" containsString="0" containsBlank="1"/>
    </cacheField>
    <cacheField name="Column11966" numFmtId="0">
      <sharedItems containsNonDate="0" containsString="0" containsBlank="1"/>
    </cacheField>
    <cacheField name="Column11967" numFmtId="0">
      <sharedItems containsNonDate="0" containsString="0" containsBlank="1"/>
    </cacheField>
    <cacheField name="Column11968" numFmtId="0">
      <sharedItems containsNonDate="0" containsString="0" containsBlank="1"/>
    </cacheField>
    <cacheField name="Column11969" numFmtId="0">
      <sharedItems containsNonDate="0" containsString="0" containsBlank="1"/>
    </cacheField>
    <cacheField name="Column11970" numFmtId="0">
      <sharedItems containsNonDate="0" containsString="0" containsBlank="1"/>
    </cacheField>
    <cacheField name="Column11971" numFmtId="0">
      <sharedItems containsNonDate="0" containsString="0" containsBlank="1"/>
    </cacheField>
    <cacheField name="Column11972" numFmtId="0">
      <sharedItems containsNonDate="0" containsString="0" containsBlank="1"/>
    </cacheField>
    <cacheField name="Column11973" numFmtId="0">
      <sharedItems containsNonDate="0" containsString="0" containsBlank="1"/>
    </cacheField>
    <cacheField name="Column11974" numFmtId="0">
      <sharedItems containsNonDate="0" containsString="0" containsBlank="1"/>
    </cacheField>
    <cacheField name="Column11975" numFmtId="0">
      <sharedItems containsNonDate="0" containsString="0" containsBlank="1"/>
    </cacheField>
    <cacheField name="Column11976" numFmtId="0">
      <sharedItems containsNonDate="0" containsString="0" containsBlank="1"/>
    </cacheField>
    <cacheField name="Column11977" numFmtId="0">
      <sharedItems containsNonDate="0" containsString="0" containsBlank="1"/>
    </cacheField>
    <cacheField name="Column11978" numFmtId="0">
      <sharedItems containsNonDate="0" containsString="0" containsBlank="1"/>
    </cacheField>
    <cacheField name="Column11979" numFmtId="0">
      <sharedItems containsNonDate="0" containsString="0" containsBlank="1"/>
    </cacheField>
    <cacheField name="Column11980" numFmtId="0">
      <sharedItems containsNonDate="0" containsString="0" containsBlank="1"/>
    </cacheField>
    <cacheField name="Column11981" numFmtId="0">
      <sharedItems containsNonDate="0" containsString="0" containsBlank="1"/>
    </cacheField>
    <cacheField name="Column11982" numFmtId="0">
      <sharedItems containsNonDate="0" containsString="0" containsBlank="1"/>
    </cacheField>
    <cacheField name="Column11983" numFmtId="0">
      <sharedItems containsNonDate="0" containsString="0" containsBlank="1"/>
    </cacheField>
    <cacheField name="Column11984" numFmtId="0">
      <sharedItems containsNonDate="0" containsString="0" containsBlank="1"/>
    </cacheField>
    <cacheField name="Column11985" numFmtId="0">
      <sharedItems containsNonDate="0" containsString="0" containsBlank="1"/>
    </cacheField>
    <cacheField name="Column11986" numFmtId="0">
      <sharedItems containsNonDate="0" containsString="0" containsBlank="1"/>
    </cacheField>
    <cacheField name="Column11987" numFmtId="0">
      <sharedItems containsNonDate="0" containsString="0" containsBlank="1"/>
    </cacheField>
    <cacheField name="Column11988" numFmtId="0">
      <sharedItems containsNonDate="0" containsString="0" containsBlank="1"/>
    </cacheField>
    <cacheField name="Column11989" numFmtId="0">
      <sharedItems containsNonDate="0" containsString="0" containsBlank="1"/>
    </cacheField>
    <cacheField name="Column11990" numFmtId="0">
      <sharedItems containsNonDate="0" containsString="0" containsBlank="1"/>
    </cacheField>
    <cacheField name="Column11991" numFmtId="0">
      <sharedItems containsNonDate="0" containsString="0" containsBlank="1"/>
    </cacheField>
    <cacheField name="Column11992" numFmtId="0">
      <sharedItems containsNonDate="0" containsString="0" containsBlank="1"/>
    </cacheField>
    <cacheField name="Column11993" numFmtId="0">
      <sharedItems containsNonDate="0" containsString="0" containsBlank="1"/>
    </cacheField>
    <cacheField name="Column11994" numFmtId="0">
      <sharedItems containsNonDate="0" containsString="0" containsBlank="1"/>
    </cacheField>
    <cacheField name="Column11995" numFmtId="0">
      <sharedItems containsNonDate="0" containsString="0" containsBlank="1"/>
    </cacheField>
    <cacheField name="Column11996" numFmtId="0">
      <sharedItems containsNonDate="0" containsString="0" containsBlank="1"/>
    </cacheField>
    <cacheField name="Column11997" numFmtId="0">
      <sharedItems containsNonDate="0" containsString="0" containsBlank="1"/>
    </cacheField>
    <cacheField name="Column11998" numFmtId="0">
      <sharedItems containsNonDate="0" containsString="0" containsBlank="1"/>
    </cacheField>
    <cacheField name="Column11999" numFmtId="0">
      <sharedItems containsNonDate="0" containsString="0" containsBlank="1"/>
    </cacheField>
    <cacheField name="Column12000" numFmtId="0">
      <sharedItems containsNonDate="0" containsString="0" containsBlank="1"/>
    </cacheField>
    <cacheField name="Column12001" numFmtId="0">
      <sharedItems containsNonDate="0" containsString="0" containsBlank="1"/>
    </cacheField>
    <cacheField name="Column12002" numFmtId="0">
      <sharedItems containsNonDate="0" containsString="0" containsBlank="1"/>
    </cacheField>
    <cacheField name="Column12003" numFmtId="0">
      <sharedItems containsNonDate="0" containsString="0" containsBlank="1"/>
    </cacheField>
    <cacheField name="Column12004" numFmtId="0">
      <sharedItems containsNonDate="0" containsString="0" containsBlank="1"/>
    </cacheField>
    <cacheField name="Column12005" numFmtId="0">
      <sharedItems containsNonDate="0" containsString="0" containsBlank="1"/>
    </cacheField>
    <cacheField name="Column12006" numFmtId="0">
      <sharedItems containsNonDate="0" containsString="0" containsBlank="1"/>
    </cacheField>
    <cacheField name="Column12007" numFmtId="0">
      <sharedItems containsNonDate="0" containsString="0" containsBlank="1"/>
    </cacheField>
    <cacheField name="Column12008" numFmtId="0">
      <sharedItems containsNonDate="0" containsString="0" containsBlank="1"/>
    </cacheField>
    <cacheField name="Column12009" numFmtId="0">
      <sharedItems containsNonDate="0" containsString="0" containsBlank="1"/>
    </cacheField>
    <cacheField name="Column12010" numFmtId="0">
      <sharedItems containsNonDate="0" containsString="0" containsBlank="1"/>
    </cacheField>
    <cacheField name="Column12011" numFmtId="0">
      <sharedItems containsNonDate="0" containsString="0" containsBlank="1"/>
    </cacheField>
    <cacheField name="Column12012" numFmtId="0">
      <sharedItems containsNonDate="0" containsString="0" containsBlank="1"/>
    </cacheField>
    <cacheField name="Column12013" numFmtId="0">
      <sharedItems containsNonDate="0" containsString="0" containsBlank="1"/>
    </cacheField>
    <cacheField name="Column12014" numFmtId="0">
      <sharedItems containsNonDate="0" containsString="0" containsBlank="1"/>
    </cacheField>
    <cacheField name="Column12015" numFmtId="0">
      <sharedItems containsNonDate="0" containsString="0" containsBlank="1"/>
    </cacheField>
    <cacheField name="Column12016" numFmtId="0">
      <sharedItems containsNonDate="0" containsString="0" containsBlank="1"/>
    </cacheField>
    <cacheField name="Column12017" numFmtId="0">
      <sharedItems containsNonDate="0" containsString="0" containsBlank="1"/>
    </cacheField>
    <cacheField name="Column12018" numFmtId="0">
      <sharedItems containsNonDate="0" containsString="0" containsBlank="1"/>
    </cacheField>
    <cacheField name="Column12019" numFmtId="0">
      <sharedItems containsNonDate="0" containsString="0" containsBlank="1"/>
    </cacheField>
    <cacheField name="Column12020" numFmtId="0">
      <sharedItems containsNonDate="0" containsString="0" containsBlank="1"/>
    </cacheField>
    <cacheField name="Column12021" numFmtId="0">
      <sharedItems containsNonDate="0" containsString="0" containsBlank="1"/>
    </cacheField>
    <cacheField name="Column12022" numFmtId="0">
      <sharedItems containsNonDate="0" containsString="0" containsBlank="1"/>
    </cacheField>
    <cacheField name="Column12023" numFmtId="0">
      <sharedItems containsNonDate="0" containsString="0" containsBlank="1"/>
    </cacheField>
    <cacheField name="Column12024" numFmtId="0">
      <sharedItems containsNonDate="0" containsString="0" containsBlank="1"/>
    </cacheField>
    <cacheField name="Column12025" numFmtId="0">
      <sharedItems containsNonDate="0" containsString="0" containsBlank="1"/>
    </cacheField>
    <cacheField name="Column12026" numFmtId="0">
      <sharedItems containsNonDate="0" containsString="0" containsBlank="1"/>
    </cacheField>
    <cacheField name="Column12027" numFmtId="0">
      <sharedItems containsNonDate="0" containsString="0" containsBlank="1"/>
    </cacheField>
    <cacheField name="Column12028" numFmtId="0">
      <sharedItems containsNonDate="0" containsString="0" containsBlank="1"/>
    </cacheField>
    <cacheField name="Column12029" numFmtId="0">
      <sharedItems containsNonDate="0" containsString="0" containsBlank="1"/>
    </cacheField>
    <cacheField name="Column12030" numFmtId="0">
      <sharedItems containsNonDate="0" containsString="0" containsBlank="1"/>
    </cacheField>
    <cacheField name="Column12031" numFmtId="0">
      <sharedItems containsNonDate="0" containsString="0" containsBlank="1"/>
    </cacheField>
    <cacheField name="Column12032" numFmtId="0">
      <sharedItems containsNonDate="0" containsString="0" containsBlank="1"/>
    </cacheField>
    <cacheField name="Column12033" numFmtId="0">
      <sharedItems containsNonDate="0" containsString="0" containsBlank="1"/>
    </cacheField>
    <cacheField name="Column12034" numFmtId="0">
      <sharedItems containsNonDate="0" containsString="0" containsBlank="1"/>
    </cacheField>
    <cacheField name="Column12035" numFmtId="0">
      <sharedItems containsNonDate="0" containsString="0" containsBlank="1"/>
    </cacheField>
    <cacheField name="Column12036" numFmtId="0">
      <sharedItems containsNonDate="0" containsString="0" containsBlank="1"/>
    </cacheField>
    <cacheField name="Column12037" numFmtId="0">
      <sharedItems containsNonDate="0" containsString="0" containsBlank="1"/>
    </cacheField>
    <cacheField name="Column12038" numFmtId="0">
      <sharedItems containsNonDate="0" containsString="0" containsBlank="1"/>
    </cacheField>
    <cacheField name="Column12039" numFmtId="0">
      <sharedItems containsNonDate="0" containsString="0" containsBlank="1"/>
    </cacheField>
    <cacheField name="Column12040" numFmtId="0">
      <sharedItems containsNonDate="0" containsString="0" containsBlank="1"/>
    </cacheField>
    <cacheField name="Column12041" numFmtId="0">
      <sharedItems containsNonDate="0" containsString="0" containsBlank="1"/>
    </cacheField>
    <cacheField name="Column12042" numFmtId="0">
      <sharedItems containsNonDate="0" containsString="0" containsBlank="1"/>
    </cacheField>
    <cacheField name="Column12043" numFmtId="0">
      <sharedItems containsNonDate="0" containsString="0" containsBlank="1"/>
    </cacheField>
    <cacheField name="Column12044" numFmtId="0">
      <sharedItems containsNonDate="0" containsString="0" containsBlank="1"/>
    </cacheField>
    <cacheField name="Column12045" numFmtId="0">
      <sharedItems containsNonDate="0" containsString="0" containsBlank="1"/>
    </cacheField>
    <cacheField name="Column12046" numFmtId="0">
      <sharedItems containsNonDate="0" containsString="0" containsBlank="1"/>
    </cacheField>
    <cacheField name="Column12047" numFmtId="0">
      <sharedItems containsNonDate="0" containsString="0" containsBlank="1"/>
    </cacheField>
    <cacheField name="Column12048" numFmtId="0">
      <sharedItems containsNonDate="0" containsString="0" containsBlank="1"/>
    </cacheField>
    <cacheField name="Column12049" numFmtId="0">
      <sharedItems containsNonDate="0" containsString="0" containsBlank="1"/>
    </cacheField>
    <cacheField name="Column12050" numFmtId="0">
      <sharedItems containsNonDate="0" containsString="0" containsBlank="1"/>
    </cacheField>
    <cacheField name="Column12051" numFmtId="0">
      <sharedItems containsNonDate="0" containsString="0" containsBlank="1"/>
    </cacheField>
    <cacheField name="Column12052" numFmtId="0">
      <sharedItems containsNonDate="0" containsString="0" containsBlank="1"/>
    </cacheField>
    <cacheField name="Column12053" numFmtId="0">
      <sharedItems containsNonDate="0" containsString="0" containsBlank="1"/>
    </cacheField>
    <cacheField name="Column12054" numFmtId="0">
      <sharedItems containsNonDate="0" containsString="0" containsBlank="1"/>
    </cacheField>
    <cacheField name="Column12055" numFmtId="0">
      <sharedItems containsNonDate="0" containsString="0" containsBlank="1"/>
    </cacheField>
    <cacheField name="Column12056" numFmtId="0">
      <sharedItems containsNonDate="0" containsString="0" containsBlank="1"/>
    </cacheField>
    <cacheField name="Column12057" numFmtId="0">
      <sharedItems containsNonDate="0" containsString="0" containsBlank="1"/>
    </cacheField>
    <cacheField name="Column12058" numFmtId="0">
      <sharedItems containsNonDate="0" containsString="0" containsBlank="1"/>
    </cacheField>
    <cacheField name="Column12059" numFmtId="0">
      <sharedItems containsNonDate="0" containsString="0" containsBlank="1"/>
    </cacheField>
    <cacheField name="Column12060" numFmtId="0">
      <sharedItems containsNonDate="0" containsString="0" containsBlank="1"/>
    </cacheField>
    <cacheField name="Column12061" numFmtId="0">
      <sharedItems containsNonDate="0" containsString="0" containsBlank="1"/>
    </cacheField>
    <cacheField name="Column12062" numFmtId="0">
      <sharedItems containsNonDate="0" containsString="0" containsBlank="1"/>
    </cacheField>
    <cacheField name="Column12063" numFmtId="0">
      <sharedItems containsNonDate="0" containsString="0" containsBlank="1"/>
    </cacheField>
    <cacheField name="Column12064" numFmtId="0">
      <sharedItems containsNonDate="0" containsString="0" containsBlank="1"/>
    </cacheField>
    <cacheField name="Column12065" numFmtId="0">
      <sharedItems containsNonDate="0" containsString="0" containsBlank="1"/>
    </cacheField>
    <cacheField name="Column12066" numFmtId="0">
      <sharedItems containsNonDate="0" containsString="0" containsBlank="1"/>
    </cacheField>
    <cacheField name="Column12067" numFmtId="0">
      <sharedItems containsNonDate="0" containsString="0" containsBlank="1"/>
    </cacheField>
    <cacheField name="Column12068" numFmtId="0">
      <sharedItems containsNonDate="0" containsString="0" containsBlank="1"/>
    </cacheField>
    <cacheField name="Column12069" numFmtId="0">
      <sharedItems containsNonDate="0" containsString="0" containsBlank="1"/>
    </cacheField>
    <cacheField name="Column12070" numFmtId="0">
      <sharedItems containsNonDate="0" containsString="0" containsBlank="1"/>
    </cacheField>
    <cacheField name="Column12071" numFmtId="0">
      <sharedItems containsNonDate="0" containsString="0" containsBlank="1"/>
    </cacheField>
    <cacheField name="Column12072" numFmtId="0">
      <sharedItems containsNonDate="0" containsString="0" containsBlank="1"/>
    </cacheField>
    <cacheField name="Column12073" numFmtId="0">
      <sharedItems containsNonDate="0" containsString="0" containsBlank="1"/>
    </cacheField>
    <cacheField name="Column12074" numFmtId="0">
      <sharedItems containsNonDate="0" containsString="0" containsBlank="1"/>
    </cacheField>
    <cacheField name="Column12075" numFmtId="0">
      <sharedItems containsNonDate="0" containsString="0" containsBlank="1"/>
    </cacheField>
    <cacheField name="Column12076" numFmtId="0">
      <sharedItems containsNonDate="0" containsString="0" containsBlank="1"/>
    </cacheField>
    <cacheField name="Column12077" numFmtId="0">
      <sharedItems containsNonDate="0" containsString="0" containsBlank="1"/>
    </cacheField>
    <cacheField name="Column12078" numFmtId="0">
      <sharedItems containsNonDate="0" containsString="0" containsBlank="1"/>
    </cacheField>
    <cacheField name="Column12079" numFmtId="0">
      <sharedItems containsNonDate="0" containsString="0" containsBlank="1"/>
    </cacheField>
    <cacheField name="Column12080" numFmtId="0">
      <sharedItems containsNonDate="0" containsString="0" containsBlank="1"/>
    </cacheField>
    <cacheField name="Column12081" numFmtId="0">
      <sharedItems containsNonDate="0" containsString="0" containsBlank="1"/>
    </cacheField>
    <cacheField name="Column12082" numFmtId="0">
      <sharedItems containsNonDate="0" containsString="0" containsBlank="1"/>
    </cacheField>
    <cacheField name="Column12083" numFmtId="0">
      <sharedItems containsNonDate="0" containsString="0" containsBlank="1"/>
    </cacheField>
    <cacheField name="Column12084" numFmtId="0">
      <sharedItems containsNonDate="0" containsString="0" containsBlank="1"/>
    </cacheField>
    <cacheField name="Column12085" numFmtId="0">
      <sharedItems containsNonDate="0" containsString="0" containsBlank="1"/>
    </cacheField>
    <cacheField name="Column12086" numFmtId="0">
      <sharedItems containsNonDate="0" containsString="0" containsBlank="1"/>
    </cacheField>
    <cacheField name="Column12087" numFmtId="0">
      <sharedItems containsNonDate="0" containsString="0" containsBlank="1"/>
    </cacheField>
    <cacheField name="Column12088" numFmtId="0">
      <sharedItems containsNonDate="0" containsString="0" containsBlank="1"/>
    </cacheField>
    <cacheField name="Column12089" numFmtId="0">
      <sharedItems containsNonDate="0" containsString="0" containsBlank="1"/>
    </cacheField>
    <cacheField name="Column12090" numFmtId="0">
      <sharedItems containsNonDate="0" containsString="0" containsBlank="1"/>
    </cacheField>
    <cacheField name="Column12091" numFmtId="0">
      <sharedItems containsNonDate="0" containsString="0" containsBlank="1"/>
    </cacheField>
    <cacheField name="Column12092" numFmtId="0">
      <sharedItems containsNonDate="0" containsString="0" containsBlank="1"/>
    </cacheField>
    <cacheField name="Column12093" numFmtId="0">
      <sharedItems containsNonDate="0" containsString="0" containsBlank="1"/>
    </cacheField>
    <cacheField name="Column12094" numFmtId="0">
      <sharedItems containsNonDate="0" containsString="0" containsBlank="1"/>
    </cacheField>
    <cacheField name="Column12095" numFmtId="0">
      <sharedItems containsNonDate="0" containsString="0" containsBlank="1"/>
    </cacheField>
    <cacheField name="Column12096" numFmtId="0">
      <sharedItems containsNonDate="0" containsString="0" containsBlank="1"/>
    </cacheField>
    <cacheField name="Column12097" numFmtId="0">
      <sharedItems containsNonDate="0" containsString="0" containsBlank="1"/>
    </cacheField>
    <cacheField name="Column12098" numFmtId="0">
      <sharedItems containsNonDate="0" containsString="0" containsBlank="1"/>
    </cacheField>
    <cacheField name="Column12099" numFmtId="0">
      <sharedItems containsNonDate="0" containsString="0" containsBlank="1"/>
    </cacheField>
    <cacheField name="Column12100" numFmtId="0">
      <sharedItems containsNonDate="0" containsString="0" containsBlank="1"/>
    </cacheField>
    <cacheField name="Column12101" numFmtId="0">
      <sharedItems containsNonDate="0" containsString="0" containsBlank="1"/>
    </cacheField>
    <cacheField name="Column12102" numFmtId="0">
      <sharedItems containsNonDate="0" containsString="0" containsBlank="1"/>
    </cacheField>
    <cacheField name="Column12103" numFmtId="0">
      <sharedItems containsNonDate="0" containsString="0" containsBlank="1"/>
    </cacheField>
    <cacheField name="Column12104" numFmtId="0">
      <sharedItems containsNonDate="0" containsString="0" containsBlank="1"/>
    </cacheField>
    <cacheField name="Column12105" numFmtId="0">
      <sharedItems containsNonDate="0" containsString="0" containsBlank="1"/>
    </cacheField>
    <cacheField name="Column12106" numFmtId="0">
      <sharedItems containsNonDate="0" containsString="0" containsBlank="1"/>
    </cacheField>
    <cacheField name="Column12107" numFmtId="0">
      <sharedItems containsNonDate="0" containsString="0" containsBlank="1"/>
    </cacheField>
    <cacheField name="Column12108" numFmtId="0">
      <sharedItems containsNonDate="0" containsString="0" containsBlank="1"/>
    </cacheField>
    <cacheField name="Column12109" numFmtId="0">
      <sharedItems containsNonDate="0" containsString="0" containsBlank="1"/>
    </cacheField>
    <cacheField name="Column12110" numFmtId="0">
      <sharedItems containsNonDate="0" containsString="0" containsBlank="1"/>
    </cacheField>
    <cacheField name="Column12111" numFmtId="0">
      <sharedItems containsNonDate="0" containsString="0" containsBlank="1"/>
    </cacheField>
    <cacheField name="Column12112" numFmtId="0">
      <sharedItems containsNonDate="0" containsString="0" containsBlank="1"/>
    </cacheField>
    <cacheField name="Column12113" numFmtId="0">
      <sharedItems containsNonDate="0" containsString="0" containsBlank="1"/>
    </cacheField>
    <cacheField name="Column12114" numFmtId="0">
      <sharedItems containsNonDate="0" containsString="0" containsBlank="1"/>
    </cacheField>
    <cacheField name="Column12115" numFmtId="0">
      <sharedItems containsNonDate="0" containsString="0" containsBlank="1"/>
    </cacheField>
    <cacheField name="Column12116" numFmtId="0">
      <sharedItems containsNonDate="0" containsString="0" containsBlank="1"/>
    </cacheField>
    <cacheField name="Column12117" numFmtId="0">
      <sharedItems containsNonDate="0" containsString="0" containsBlank="1"/>
    </cacheField>
    <cacheField name="Column12118" numFmtId="0">
      <sharedItems containsNonDate="0" containsString="0" containsBlank="1"/>
    </cacheField>
    <cacheField name="Column12119" numFmtId="0">
      <sharedItems containsNonDate="0" containsString="0" containsBlank="1"/>
    </cacheField>
    <cacheField name="Column12120" numFmtId="0">
      <sharedItems containsNonDate="0" containsString="0" containsBlank="1"/>
    </cacheField>
    <cacheField name="Column12121" numFmtId="0">
      <sharedItems containsNonDate="0" containsString="0" containsBlank="1"/>
    </cacheField>
    <cacheField name="Column12122" numFmtId="0">
      <sharedItems containsNonDate="0" containsString="0" containsBlank="1"/>
    </cacheField>
    <cacheField name="Column12123" numFmtId="0">
      <sharedItems containsNonDate="0" containsString="0" containsBlank="1"/>
    </cacheField>
    <cacheField name="Column12124" numFmtId="0">
      <sharedItems containsNonDate="0" containsString="0" containsBlank="1"/>
    </cacheField>
    <cacheField name="Column12125" numFmtId="0">
      <sharedItems containsNonDate="0" containsString="0" containsBlank="1"/>
    </cacheField>
    <cacheField name="Column12126" numFmtId="0">
      <sharedItems containsNonDate="0" containsString="0" containsBlank="1"/>
    </cacheField>
    <cacheField name="Column12127" numFmtId="0">
      <sharedItems containsNonDate="0" containsString="0" containsBlank="1"/>
    </cacheField>
    <cacheField name="Column12128" numFmtId="0">
      <sharedItems containsNonDate="0" containsString="0" containsBlank="1"/>
    </cacheField>
    <cacheField name="Column12129" numFmtId="0">
      <sharedItems containsNonDate="0" containsString="0" containsBlank="1"/>
    </cacheField>
    <cacheField name="Column12130" numFmtId="0">
      <sharedItems containsNonDate="0" containsString="0" containsBlank="1"/>
    </cacheField>
    <cacheField name="Column12131" numFmtId="0">
      <sharedItems containsNonDate="0" containsString="0" containsBlank="1"/>
    </cacheField>
    <cacheField name="Column12132" numFmtId="0">
      <sharedItems containsNonDate="0" containsString="0" containsBlank="1"/>
    </cacheField>
    <cacheField name="Column12133" numFmtId="0">
      <sharedItems containsNonDate="0" containsString="0" containsBlank="1"/>
    </cacheField>
    <cacheField name="Column12134" numFmtId="0">
      <sharedItems containsNonDate="0" containsString="0" containsBlank="1"/>
    </cacheField>
    <cacheField name="Column12135" numFmtId="0">
      <sharedItems containsNonDate="0" containsString="0" containsBlank="1"/>
    </cacheField>
    <cacheField name="Column12136" numFmtId="0">
      <sharedItems containsNonDate="0" containsString="0" containsBlank="1"/>
    </cacheField>
    <cacheField name="Column12137" numFmtId="0">
      <sharedItems containsNonDate="0" containsString="0" containsBlank="1"/>
    </cacheField>
    <cacheField name="Column12138" numFmtId="0">
      <sharedItems containsNonDate="0" containsString="0" containsBlank="1"/>
    </cacheField>
    <cacheField name="Column12139" numFmtId="0">
      <sharedItems containsNonDate="0" containsString="0" containsBlank="1"/>
    </cacheField>
    <cacheField name="Column12140" numFmtId="0">
      <sharedItems containsNonDate="0" containsString="0" containsBlank="1"/>
    </cacheField>
    <cacheField name="Column12141" numFmtId="0">
      <sharedItems containsNonDate="0" containsString="0" containsBlank="1"/>
    </cacheField>
    <cacheField name="Column12142" numFmtId="0">
      <sharedItems containsNonDate="0" containsString="0" containsBlank="1"/>
    </cacheField>
    <cacheField name="Column12143" numFmtId="0">
      <sharedItems containsNonDate="0" containsString="0" containsBlank="1"/>
    </cacheField>
    <cacheField name="Column12144" numFmtId="0">
      <sharedItems containsNonDate="0" containsString="0" containsBlank="1"/>
    </cacheField>
    <cacheField name="Column12145" numFmtId="0">
      <sharedItems containsNonDate="0" containsString="0" containsBlank="1"/>
    </cacheField>
    <cacheField name="Column12146" numFmtId="0">
      <sharedItems containsNonDate="0" containsString="0" containsBlank="1"/>
    </cacheField>
    <cacheField name="Column12147" numFmtId="0">
      <sharedItems containsNonDate="0" containsString="0" containsBlank="1"/>
    </cacheField>
    <cacheField name="Column12148" numFmtId="0">
      <sharedItems containsNonDate="0" containsString="0" containsBlank="1"/>
    </cacheField>
    <cacheField name="Column12149" numFmtId="0">
      <sharedItems containsNonDate="0" containsString="0" containsBlank="1"/>
    </cacheField>
    <cacheField name="Column12150" numFmtId="0">
      <sharedItems containsNonDate="0" containsString="0" containsBlank="1"/>
    </cacheField>
    <cacheField name="Column12151" numFmtId="0">
      <sharedItems containsNonDate="0" containsString="0" containsBlank="1"/>
    </cacheField>
    <cacheField name="Column12152" numFmtId="0">
      <sharedItems containsNonDate="0" containsString="0" containsBlank="1"/>
    </cacheField>
    <cacheField name="Column12153" numFmtId="0">
      <sharedItems containsNonDate="0" containsString="0" containsBlank="1"/>
    </cacheField>
    <cacheField name="Column12154" numFmtId="0">
      <sharedItems containsNonDate="0" containsString="0" containsBlank="1"/>
    </cacheField>
    <cacheField name="Column12155" numFmtId="0">
      <sharedItems containsNonDate="0" containsString="0" containsBlank="1"/>
    </cacheField>
    <cacheField name="Column12156" numFmtId="0">
      <sharedItems containsNonDate="0" containsString="0" containsBlank="1"/>
    </cacheField>
    <cacheField name="Column12157" numFmtId="0">
      <sharedItems containsNonDate="0" containsString="0" containsBlank="1"/>
    </cacheField>
    <cacheField name="Column12158" numFmtId="0">
      <sharedItems containsNonDate="0" containsString="0" containsBlank="1"/>
    </cacheField>
    <cacheField name="Column12159" numFmtId="0">
      <sharedItems containsNonDate="0" containsString="0" containsBlank="1"/>
    </cacheField>
    <cacheField name="Column12160" numFmtId="0">
      <sharedItems containsNonDate="0" containsString="0" containsBlank="1"/>
    </cacheField>
    <cacheField name="Column12161" numFmtId="0">
      <sharedItems containsNonDate="0" containsString="0" containsBlank="1"/>
    </cacheField>
    <cacheField name="Column12162" numFmtId="0">
      <sharedItems containsNonDate="0" containsString="0" containsBlank="1"/>
    </cacheField>
    <cacheField name="Column12163" numFmtId="0">
      <sharedItems containsNonDate="0" containsString="0" containsBlank="1"/>
    </cacheField>
    <cacheField name="Column12164" numFmtId="0">
      <sharedItems containsNonDate="0" containsString="0" containsBlank="1"/>
    </cacheField>
    <cacheField name="Column12165" numFmtId="0">
      <sharedItems containsNonDate="0" containsString="0" containsBlank="1"/>
    </cacheField>
    <cacheField name="Column12166" numFmtId="0">
      <sharedItems containsNonDate="0" containsString="0" containsBlank="1"/>
    </cacheField>
    <cacheField name="Column12167" numFmtId="0">
      <sharedItems containsNonDate="0" containsString="0" containsBlank="1"/>
    </cacheField>
    <cacheField name="Column12168" numFmtId="0">
      <sharedItems containsNonDate="0" containsString="0" containsBlank="1"/>
    </cacheField>
    <cacheField name="Column12169" numFmtId="0">
      <sharedItems containsNonDate="0" containsString="0" containsBlank="1"/>
    </cacheField>
    <cacheField name="Column12170" numFmtId="0">
      <sharedItems containsNonDate="0" containsString="0" containsBlank="1"/>
    </cacheField>
    <cacheField name="Column12171" numFmtId="0">
      <sharedItems containsNonDate="0" containsString="0" containsBlank="1"/>
    </cacheField>
    <cacheField name="Column12172" numFmtId="0">
      <sharedItems containsNonDate="0" containsString="0" containsBlank="1"/>
    </cacheField>
    <cacheField name="Column12173" numFmtId="0">
      <sharedItems containsNonDate="0" containsString="0" containsBlank="1"/>
    </cacheField>
    <cacheField name="Column12174" numFmtId="0">
      <sharedItems containsNonDate="0" containsString="0" containsBlank="1"/>
    </cacheField>
    <cacheField name="Column12175" numFmtId="0">
      <sharedItems containsNonDate="0" containsString="0" containsBlank="1"/>
    </cacheField>
    <cacheField name="Column12176" numFmtId="0">
      <sharedItems containsNonDate="0" containsString="0" containsBlank="1"/>
    </cacheField>
    <cacheField name="Column12177" numFmtId="0">
      <sharedItems containsNonDate="0" containsString="0" containsBlank="1"/>
    </cacheField>
    <cacheField name="Column12178" numFmtId="0">
      <sharedItems containsNonDate="0" containsString="0" containsBlank="1"/>
    </cacheField>
    <cacheField name="Column12179" numFmtId="0">
      <sharedItems containsNonDate="0" containsString="0" containsBlank="1"/>
    </cacheField>
    <cacheField name="Column12180" numFmtId="0">
      <sharedItems containsNonDate="0" containsString="0" containsBlank="1"/>
    </cacheField>
    <cacheField name="Column12181" numFmtId="0">
      <sharedItems containsNonDate="0" containsString="0" containsBlank="1"/>
    </cacheField>
    <cacheField name="Column12182" numFmtId="0">
      <sharedItems containsNonDate="0" containsString="0" containsBlank="1"/>
    </cacheField>
    <cacheField name="Column12183" numFmtId="0">
      <sharedItems containsNonDate="0" containsString="0" containsBlank="1"/>
    </cacheField>
    <cacheField name="Column12184" numFmtId="0">
      <sharedItems containsNonDate="0" containsString="0" containsBlank="1"/>
    </cacheField>
    <cacheField name="Column12185" numFmtId="0">
      <sharedItems containsNonDate="0" containsString="0" containsBlank="1"/>
    </cacheField>
    <cacheField name="Column12186" numFmtId="0">
      <sharedItems containsNonDate="0" containsString="0" containsBlank="1"/>
    </cacheField>
    <cacheField name="Column12187" numFmtId="0">
      <sharedItems containsNonDate="0" containsString="0" containsBlank="1"/>
    </cacheField>
    <cacheField name="Column12188" numFmtId="0">
      <sharedItems containsNonDate="0" containsString="0" containsBlank="1"/>
    </cacheField>
    <cacheField name="Column12189" numFmtId="0">
      <sharedItems containsNonDate="0" containsString="0" containsBlank="1"/>
    </cacheField>
    <cacheField name="Column12190" numFmtId="0">
      <sharedItems containsNonDate="0" containsString="0" containsBlank="1"/>
    </cacheField>
    <cacheField name="Column12191" numFmtId="0">
      <sharedItems containsNonDate="0" containsString="0" containsBlank="1"/>
    </cacheField>
    <cacheField name="Column12192" numFmtId="0">
      <sharedItems containsNonDate="0" containsString="0" containsBlank="1"/>
    </cacheField>
    <cacheField name="Column12193" numFmtId="0">
      <sharedItems containsNonDate="0" containsString="0" containsBlank="1"/>
    </cacheField>
    <cacheField name="Column12194" numFmtId="0">
      <sharedItems containsNonDate="0" containsString="0" containsBlank="1"/>
    </cacheField>
    <cacheField name="Column12195" numFmtId="0">
      <sharedItems containsNonDate="0" containsString="0" containsBlank="1"/>
    </cacheField>
    <cacheField name="Column12196" numFmtId="0">
      <sharedItems containsNonDate="0" containsString="0" containsBlank="1"/>
    </cacheField>
    <cacheField name="Column12197" numFmtId="0">
      <sharedItems containsNonDate="0" containsString="0" containsBlank="1"/>
    </cacheField>
    <cacheField name="Column12198" numFmtId="0">
      <sharedItems containsNonDate="0" containsString="0" containsBlank="1"/>
    </cacheField>
    <cacheField name="Column12199" numFmtId="0">
      <sharedItems containsNonDate="0" containsString="0" containsBlank="1"/>
    </cacheField>
    <cacheField name="Column12200" numFmtId="0">
      <sharedItems containsNonDate="0" containsString="0" containsBlank="1"/>
    </cacheField>
    <cacheField name="Column12201" numFmtId="0">
      <sharedItems containsNonDate="0" containsString="0" containsBlank="1"/>
    </cacheField>
    <cacheField name="Column12202" numFmtId="0">
      <sharedItems containsNonDate="0" containsString="0" containsBlank="1"/>
    </cacheField>
    <cacheField name="Column12203" numFmtId="0">
      <sharedItems containsNonDate="0" containsString="0" containsBlank="1"/>
    </cacheField>
    <cacheField name="Column12204" numFmtId="0">
      <sharedItems containsNonDate="0" containsString="0" containsBlank="1"/>
    </cacheField>
    <cacheField name="Column12205" numFmtId="0">
      <sharedItems containsNonDate="0" containsString="0" containsBlank="1"/>
    </cacheField>
    <cacheField name="Column12206" numFmtId="0">
      <sharedItems containsNonDate="0" containsString="0" containsBlank="1"/>
    </cacheField>
    <cacheField name="Column12207" numFmtId="0">
      <sharedItems containsNonDate="0" containsString="0" containsBlank="1"/>
    </cacheField>
    <cacheField name="Column12208" numFmtId="0">
      <sharedItems containsNonDate="0" containsString="0" containsBlank="1"/>
    </cacheField>
    <cacheField name="Column12209" numFmtId="0">
      <sharedItems containsNonDate="0" containsString="0" containsBlank="1"/>
    </cacheField>
    <cacheField name="Column12210" numFmtId="0">
      <sharedItems containsNonDate="0" containsString="0" containsBlank="1"/>
    </cacheField>
    <cacheField name="Column12211" numFmtId="0">
      <sharedItems containsNonDate="0" containsString="0" containsBlank="1"/>
    </cacheField>
    <cacheField name="Column12212" numFmtId="0">
      <sharedItems containsNonDate="0" containsString="0" containsBlank="1"/>
    </cacheField>
    <cacheField name="Column12213" numFmtId="0">
      <sharedItems containsNonDate="0" containsString="0" containsBlank="1"/>
    </cacheField>
    <cacheField name="Column12214" numFmtId="0">
      <sharedItems containsNonDate="0" containsString="0" containsBlank="1"/>
    </cacheField>
    <cacheField name="Column12215" numFmtId="0">
      <sharedItems containsNonDate="0" containsString="0" containsBlank="1"/>
    </cacheField>
    <cacheField name="Column12216" numFmtId="0">
      <sharedItems containsNonDate="0" containsString="0" containsBlank="1"/>
    </cacheField>
    <cacheField name="Column12217" numFmtId="0">
      <sharedItems containsNonDate="0" containsString="0" containsBlank="1"/>
    </cacheField>
    <cacheField name="Column12218" numFmtId="0">
      <sharedItems containsNonDate="0" containsString="0" containsBlank="1"/>
    </cacheField>
    <cacheField name="Column12219" numFmtId="0">
      <sharedItems containsNonDate="0" containsString="0" containsBlank="1"/>
    </cacheField>
    <cacheField name="Column12220" numFmtId="0">
      <sharedItems containsNonDate="0" containsString="0" containsBlank="1"/>
    </cacheField>
    <cacheField name="Column12221" numFmtId="0">
      <sharedItems containsNonDate="0" containsString="0" containsBlank="1"/>
    </cacheField>
    <cacheField name="Column12222" numFmtId="0">
      <sharedItems containsNonDate="0" containsString="0" containsBlank="1"/>
    </cacheField>
    <cacheField name="Column12223" numFmtId="0">
      <sharedItems containsNonDate="0" containsString="0" containsBlank="1"/>
    </cacheField>
    <cacheField name="Column12224" numFmtId="0">
      <sharedItems containsNonDate="0" containsString="0" containsBlank="1"/>
    </cacheField>
    <cacheField name="Column12225" numFmtId="0">
      <sharedItems containsNonDate="0" containsString="0" containsBlank="1"/>
    </cacheField>
    <cacheField name="Column12226" numFmtId="0">
      <sharedItems containsNonDate="0" containsString="0" containsBlank="1"/>
    </cacheField>
    <cacheField name="Column12227" numFmtId="0">
      <sharedItems containsNonDate="0" containsString="0" containsBlank="1"/>
    </cacheField>
    <cacheField name="Column12228" numFmtId="0">
      <sharedItems containsNonDate="0" containsString="0" containsBlank="1"/>
    </cacheField>
    <cacheField name="Column12229" numFmtId="0">
      <sharedItems containsNonDate="0" containsString="0" containsBlank="1"/>
    </cacheField>
    <cacheField name="Column12230" numFmtId="0">
      <sharedItems containsNonDate="0" containsString="0" containsBlank="1"/>
    </cacheField>
    <cacheField name="Column12231" numFmtId="0">
      <sharedItems containsNonDate="0" containsString="0" containsBlank="1"/>
    </cacheField>
    <cacheField name="Column12232" numFmtId="0">
      <sharedItems containsNonDate="0" containsString="0" containsBlank="1"/>
    </cacheField>
    <cacheField name="Column12233" numFmtId="0">
      <sharedItems containsNonDate="0" containsString="0" containsBlank="1"/>
    </cacheField>
    <cacheField name="Column12234" numFmtId="0">
      <sharedItems containsNonDate="0" containsString="0" containsBlank="1"/>
    </cacheField>
    <cacheField name="Column12235" numFmtId="0">
      <sharedItems containsNonDate="0" containsString="0" containsBlank="1"/>
    </cacheField>
    <cacheField name="Column12236" numFmtId="0">
      <sharedItems containsNonDate="0" containsString="0" containsBlank="1"/>
    </cacheField>
    <cacheField name="Column12237" numFmtId="0">
      <sharedItems containsNonDate="0" containsString="0" containsBlank="1"/>
    </cacheField>
    <cacheField name="Column12238" numFmtId="0">
      <sharedItems containsNonDate="0" containsString="0" containsBlank="1"/>
    </cacheField>
    <cacheField name="Column12239" numFmtId="0">
      <sharedItems containsNonDate="0" containsString="0" containsBlank="1"/>
    </cacheField>
    <cacheField name="Column12240" numFmtId="0">
      <sharedItems containsNonDate="0" containsString="0" containsBlank="1"/>
    </cacheField>
    <cacheField name="Column12241" numFmtId="0">
      <sharedItems containsNonDate="0" containsString="0" containsBlank="1"/>
    </cacheField>
    <cacheField name="Column12242" numFmtId="0">
      <sharedItems containsNonDate="0" containsString="0" containsBlank="1"/>
    </cacheField>
    <cacheField name="Column12243" numFmtId="0">
      <sharedItems containsNonDate="0" containsString="0" containsBlank="1"/>
    </cacheField>
    <cacheField name="Column12244" numFmtId="0">
      <sharedItems containsNonDate="0" containsString="0" containsBlank="1"/>
    </cacheField>
    <cacheField name="Column12245" numFmtId="0">
      <sharedItems containsNonDate="0" containsString="0" containsBlank="1"/>
    </cacheField>
    <cacheField name="Column12246" numFmtId="0">
      <sharedItems containsNonDate="0" containsString="0" containsBlank="1"/>
    </cacheField>
    <cacheField name="Column12247" numFmtId="0">
      <sharedItems containsNonDate="0" containsString="0" containsBlank="1"/>
    </cacheField>
    <cacheField name="Column12248" numFmtId="0">
      <sharedItems containsNonDate="0" containsString="0" containsBlank="1"/>
    </cacheField>
    <cacheField name="Column12249" numFmtId="0">
      <sharedItems containsNonDate="0" containsString="0" containsBlank="1"/>
    </cacheField>
    <cacheField name="Column12250" numFmtId="0">
      <sharedItems containsNonDate="0" containsString="0" containsBlank="1"/>
    </cacheField>
    <cacheField name="Column12251" numFmtId="0">
      <sharedItems containsNonDate="0" containsString="0" containsBlank="1"/>
    </cacheField>
    <cacheField name="Column12252" numFmtId="0">
      <sharedItems containsNonDate="0" containsString="0" containsBlank="1"/>
    </cacheField>
    <cacheField name="Column12253" numFmtId="0">
      <sharedItems containsNonDate="0" containsString="0" containsBlank="1"/>
    </cacheField>
    <cacheField name="Column12254" numFmtId="0">
      <sharedItems containsNonDate="0" containsString="0" containsBlank="1"/>
    </cacheField>
    <cacheField name="Column12255" numFmtId="0">
      <sharedItems containsNonDate="0" containsString="0" containsBlank="1"/>
    </cacheField>
    <cacheField name="Column12256" numFmtId="0">
      <sharedItems containsNonDate="0" containsString="0" containsBlank="1"/>
    </cacheField>
    <cacheField name="Column12257" numFmtId="0">
      <sharedItems containsNonDate="0" containsString="0" containsBlank="1"/>
    </cacheField>
    <cacheField name="Column12258" numFmtId="0">
      <sharedItems containsNonDate="0" containsString="0" containsBlank="1"/>
    </cacheField>
    <cacheField name="Column12259" numFmtId="0">
      <sharedItems containsNonDate="0" containsString="0" containsBlank="1"/>
    </cacheField>
    <cacheField name="Column12260" numFmtId="0">
      <sharedItems containsNonDate="0" containsString="0" containsBlank="1"/>
    </cacheField>
    <cacheField name="Column12261" numFmtId="0">
      <sharedItems containsNonDate="0" containsString="0" containsBlank="1"/>
    </cacheField>
    <cacheField name="Column12262" numFmtId="0">
      <sharedItems containsNonDate="0" containsString="0" containsBlank="1"/>
    </cacheField>
    <cacheField name="Column12263" numFmtId="0">
      <sharedItems containsNonDate="0" containsString="0" containsBlank="1"/>
    </cacheField>
    <cacheField name="Column12264" numFmtId="0">
      <sharedItems containsNonDate="0" containsString="0" containsBlank="1"/>
    </cacheField>
    <cacheField name="Column12265" numFmtId="0">
      <sharedItems containsNonDate="0" containsString="0" containsBlank="1"/>
    </cacheField>
    <cacheField name="Column12266" numFmtId="0">
      <sharedItems containsNonDate="0" containsString="0" containsBlank="1"/>
    </cacheField>
    <cacheField name="Column12267" numFmtId="0">
      <sharedItems containsNonDate="0" containsString="0" containsBlank="1"/>
    </cacheField>
    <cacheField name="Column12268" numFmtId="0">
      <sharedItems containsNonDate="0" containsString="0" containsBlank="1"/>
    </cacheField>
    <cacheField name="Column12269" numFmtId="0">
      <sharedItems containsNonDate="0" containsString="0" containsBlank="1"/>
    </cacheField>
    <cacheField name="Column12270" numFmtId="0">
      <sharedItems containsNonDate="0" containsString="0" containsBlank="1"/>
    </cacheField>
    <cacheField name="Column12271" numFmtId="0">
      <sharedItems containsNonDate="0" containsString="0" containsBlank="1"/>
    </cacheField>
    <cacheField name="Column12272" numFmtId="0">
      <sharedItems containsNonDate="0" containsString="0" containsBlank="1"/>
    </cacheField>
    <cacheField name="Column12273" numFmtId="0">
      <sharedItems containsNonDate="0" containsString="0" containsBlank="1"/>
    </cacheField>
    <cacheField name="Column12274" numFmtId="0">
      <sharedItems containsNonDate="0" containsString="0" containsBlank="1"/>
    </cacheField>
    <cacheField name="Column12275" numFmtId="0">
      <sharedItems containsNonDate="0" containsString="0" containsBlank="1"/>
    </cacheField>
    <cacheField name="Column12276" numFmtId="0">
      <sharedItems containsNonDate="0" containsString="0" containsBlank="1"/>
    </cacheField>
    <cacheField name="Column12277" numFmtId="0">
      <sharedItems containsNonDate="0" containsString="0" containsBlank="1"/>
    </cacheField>
    <cacheField name="Column12278" numFmtId="0">
      <sharedItems containsNonDate="0" containsString="0" containsBlank="1"/>
    </cacheField>
    <cacheField name="Column12279" numFmtId="0">
      <sharedItems containsNonDate="0" containsString="0" containsBlank="1"/>
    </cacheField>
    <cacheField name="Column12280" numFmtId="0">
      <sharedItems containsNonDate="0" containsString="0" containsBlank="1"/>
    </cacheField>
    <cacheField name="Column12281" numFmtId="0">
      <sharedItems containsNonDate="0" containsString="0" containsBlank="1"/>
    </cacheField>
    <cacheField name="Column12282" numFmtId="0">
      <sharedItems containsNonDate="0" containsString="0" containsBlank="1"/>
    </cacheField>
    <cacheField name="Column12283" numFmtId="0">
      <sharedItems containsNonDate="0" containsString="0" containsBlank="1"/>
    </cacheField>
    <cacheField name="Column12284" numFmtId="0">
      <sharedItems containsNonDate="0" containsString="0" containsBlank="1"/>
    </cacheField>
    <cacheField name="Column12285" numFmtId="0">
      <sharedItems containsNonDate="0" containsString="0" containsBlank="1"/>
    </cacheField>
    <cacheField name="Column12286" numFmtId="0">
      <sharedItems containsNonDate="0" containsString="0" containsBlank="1"/>
    </cacheField>
    <cacheField name="Column12287" numFmtId="0">
      <sharedItems containsNonDate="0" containsString="0" containsBlank="1"/>
    </cacheField>
    <cacheField name="Column12288" numFmtId="0">
      <sharedItems containsNonDate="0" containsString="0" containsBlank="1"/>
    </cacheField>
    <cacheField name="Column12289" numFmtId="0">
      <sharedItems containsNonDate="0" containsString="0" containsBlank="1"/>
    </cacheField>
    <cacheField name="Column12290" numFmtId="0">
      <sharedItems containsNonDate="0" containsString="0" containsBlank="1"/>
    </cacheField>
    <cacheField name="Column12291" numFmtId="0">
      <sharedItems containsNonDate="0" containsString="0" containsBlank="1"/>
    </cacheField>
    <cacheField name="Column12292" numFmtId="0">
      <sharedItems containsNonDate="0" containsString="0" containsBlank="1"/>
    </cacheField>
    <cacheField name="Column12293" numFmtId="0">
      <sharedItems containsNonDate="0" containsString="0" containsBlank="1"/>
    </cacheField>
    <cacheField name="Column12294" numFmtId="0">
      <sharedItems containsNonDate="0" containsString="0" containsBlank="1"/>
    </cacheField>
    <cacheField name="Column12295" numFmtId="0">
      <sharedItems containsNonDate="0" containsString="0" containsBlank="1"/>
    </cacheField>
    <cacheField name="Column12296" numFmtId="0">
      <sharedItems containsNonDate="0" containsString="0" containsBlank="1"/>
    </cacheField>
    <cacheField name="Column12297" numFmtId="0">
      <sharedItems containsNonDate="0" containsString="0" containsBlank="1"/>
    </cacheField>
    <cacheField name="Column12298" numFmtId="0">
      <sharedItems containsNonDate="0" containsString="0" containsBlank="1"/>
    </cacheField>
    <cacheField name="Column12299" numFmtId="0">
      <sharedItems containsNonDate="0" containsString="0" containsBlank="1"/>
    </cacheField>
    <cacheField name="Column12300" numFmtId="0">
      <sharedItems containsNonDate="0" containsString="0" containsBlank="1"/>
    </cacheField>
    <cacheField name="Column12301" numFmtId="0">
      <sharedItems containsNonDate="0" containsString="0" containsBlank="1"/>
    </cacheField>
    <cacheField name="Column12302" numFmtId="0">
      <sharedItems containsNonDate="0" containsString="0" containsBlank="1"/>
    </cacheField>
    <cacheField name="Column12303" numFmtId="0">
      <sharedItems containsNonDate="0" containsString="0" containsBlank="1"/>
    </cacheField>
    <cacheField name="Column12304" numFmtId="0">
      <sharedItems containsNonDate="0" containsString="0" containsBlank="1"/>
    </cacheField>
    <cacheField name="Column12305" numFmtId="0">
      <sharedItems containsNonDate="0" containsString="0" containsBlank="1"/>
    </cacheField>
    <cacheField name="Column12306" numFmtId="0">
      <sharedItems containsNonDate="0" containsString="0" containsBlank="1"/>
    </cacheField>
    <cacheField name="Column12307" numFmtId="0">
      <sharedItems containsNonDate="0" containsString="0" containsBlank="1"/>
    </cacheField>
    <cacheField name="Column12308" numFmtId="0">
      <sharedItems containsNonDate="0" containsString="0" containsBlank="1"/>
    </cacheField>
    <cacheField name="Column12309" numFmtId="0">
      <sharedItems containsNonDate="0" containsString="0" containsBlank="1"/>
    </cacheField>
    <cacheField name="Column12310" numFmtId="0">
      <sharedItems containsNonDate="0" containsString="0" containsBlank="1"/>
    </cacheField>
    <cacheField name="Column12311" numFmtId="0">
      <sharedItems containsNonDate="0" containsString="0" containsBlank="1"/>
    </cacheField>
    <cacheField name="Column12312" numFmtId="0">
      <sharedItems containsNonDate="0" containsString="0" containsBlank="1"/>
    </cacheField>
    <cacheField name="Column12313" numFmtId="0">
      <sharedItems containsNonDate="0" containsString="0" containsBlank="1"/>
    </cacheField>
    <cacheField name="Column12314" numFmtId="0">
      <sharedItems containsNonDate="0" containsString="0" containsBlank="1"/>
    </cacheField>
    <cacheField name="Column12315" numFmtId="0">
      <sharedItems containsNonDate="0" containsString="0" containsBlank="1"/>
    </cacheField>
    <cacheField name="Column12316" numFmtId="0">
      <sharedItems containsNonDate="0" containsString="0" containsBlank="1"/>
    </cacheField>
    <cacheField name="Column12317" numFmtId="0">
      <sharedItems containsNonDate="0" containsString="0" containsBlank="1"/>
    </cacheField>
    <cacheField name="Column12318" numFmtId="0">
      <sharedItems containsNonDate="0" containsString="0" containsBlank="1"/>
    </cacheField>
    <cacheField name="Column12319" numFmtId="0">
      <sharedItems containsNonDate="0" containsString="0" containsBlank="1"/>
    </cacheField>
    <cacheField name="Column12320" numFmtId="0">
      <sharedItems containsNonDate="0" containsString="0" containsBlank="1"/>
    </cacheField>
    <cacheField name="Column12321" numFmtId="0">
      <sharedItems containsNonDate="0" containsString="0" containsBlank="1"/>
    </cacheField>
    <cacheField name="Column12322" numFmtId="0">
      <sharedItems containsNonDate="0" containsString="0" containsBlank="1"/>
    </cacheField>
    <cacheField name="Column12323" numFmtId="0">
      <sharedItems containsNonDate="0" containsString="0" containsBlank="1"/>
    </cacheField>
    <cacheField name="Column12324" numFmtId="0">
      <sharedItems containsNonDate="0" containsString="0" containsBlank="1"/>
    </cacheField>
    <cacheField name="Column12325" numFmtId="0">
      <sharedItems containsNonDate="0" containsString="0" containsBlank="1"/>
    </cacheField>
    <cacheField name="Column12326" numFmtId="0">
      <sharedItems containsNonDate="0" containsString="0" containsBlank="1"/>
    </cacheField>
    <cacheField name="Column12327" numFmtId="0">
      <sharedItems containsNonDate="0" containsString="0" containsBlank="1"/>
    </cacheField>
    <cacheField name="Column12328" numFmtId="0">
      <sharedItems containsNonDate="0" containsString="0" containsBlank="1"/>
    </cacheField>
    <cacheField name="Column12329" numFmtId="0">
      <sharedItems containsNonDate="0" containsString="0" containsBlank="1"/>
    </cacheField>
    <cacheField name="Column12330" numFmtId="0">
      <sharedItems containsNonDate="0" containsString="0" containsBlank="1"/>
    </cacheField>
    <cacheField name="Column12331" numFmtId="0">
      <sharedItems containsNonDate="0" containsString="0" containsBlank="1"/>
    </cacheField>
    <cacheField name="Column12332" numFmtId="0">
      <sharedItems containsNonDate="0" containsString="0" containsBlank="1"/>
    </cacheField>
    <cacheField name="Column12333" numFmtId="0">
      <sharedItems containsNonDate="0" containsString="0" containsBlank="1"/>
    </cacheField>
    <cacheField name="Column12334" numFmtId="0">
      <sharedItems containsNonDate="0" containsString="0" containsBlank="1"/>
    </cacheField>
    <cacheField name="Column12335" numFmtId="0">
      <sharedItems containsNonDate="0" containsString="0" containsBlank="1"/>
    </cacheField>
    <cacheField name="Column12336" numFmtId="0">
      <sharedItems containsNonDate="0" containsString="0" containsBlank="1"/>
    </cacheField>
    <cacheField name="Column12337" numFmtId="0">
      <sharedItems containsNonDate="0" containsString="0" containsBlank="1"/>
    </cacheField>
    <cacheField name="Column12338" numFmtId="0">
      <sharedItems containsNonDate="0" containsString="0" containsBlank="1"/>
    </cacheField>
    <cacheField name="Column12339" numFmtId="0">
      <sharedItems containsNonDate="0" containsString="0" containsBlank="1"/>
    </cacheField>
    <cacheField name="Column12340" numFmtId="0">
      <sharedItems containsNonDate="0" containsString="0" containsBlank="1"/>
    </cacheField>
    <cacheField name="Column12341" numFmtId="0">
      <sharedItems containsNonDate="0" containsString="0" containsBlank="1"/>
    </cacheField>
    <cacheField name="Column12342" numFmtId="0">
      <sharedItems containsNonDate="0" containsString="0" containsBlank="1"/>
    </cacheField>
    <cacheField name="Column12343" numFmtId="0">
      <sharedItems containsNonDate="0" containsString="0" containsBlank="1"/>
    </cacheField>
    <cacheField name="Column12344" numFmtId="0">
      <sharedItems containsNonDate="0" containsString="0" containsBlank="1"/>
    </cacheField>
    <cacheField name="Column12345" numFmtId="0">
      <sharedItems containsNonDate="0" containsString="0" containsBlank="1"/>
    </cacheField>
    <cacheField name="Column12346" numFmtId="0">
      <sharedItems containsNonDate="0" containsString="0" containsBlank="1"/>
    </cacheField>
    <cacheField name="Column12347" numFmtId="0">
      <sharedItems containsNonDate="0" containsString="0" containsBlank="1"/>
    </cacheField>
    <cacheField name="Column12348" numFmtId="0">
      <sharedItems containsNonDate="0" containsString="0" containsBlank="1"/>
    </cacheField>
    <cacheField name="Column12349" numFmtId="0">
      <sharedItems containsNonDate="0" containsString="0" containsBlank="1"/>
    </cacheField>
    <cacheField name="Column12350" numFmtId="0">
      <sharedItems containsNonDate="0" containsString="0" containsBlank="1"/>
    </cacheField>
    <cacheField name="Column12351" numFmtId="0">
      <sharedItems containsNonDate="0" containsString="0" containsBlank="1"/>
    </cacheField>
    <cacheField name="Column12352" numFmtId="0">
      <sharedItems containsNonDate="0" containsString="0" containsBlank="1"/>
    </cacheField>
    <cacheField name="Column12353" numFmtId="0">
      <sharedItems containsNonDate="0" containsString="0" containsBlank="1"/>
    </cacheField>
    <cacheField name="Column12354" numFmtId="0">
      <sharedItems containsNonDate="0" containsString="0" containsBlank="1"/>
    </cacheField>
    <cacheField name="Column12355" numFmtId="0">
      <sharedItems containsNonDate="0" containsString="0" containsBlank="1"/>
    </cacheField>
    <cacheField name="Column12356" numFmtId="0">
      <sharedItems containsNonDate="0" containsString="0" containsBlank="1"/>
    </cacheField>
    <cacheField name="Column12357" numFmtId="0">
      <sharedItems containsNonDate="0" containsString="0" containsBlank="1"/>
    </cacheField>
    <cacheField name="Column12358" numFmtId="0">
      <sharedItems containsNonDate="0" containsString="0" containsBlank="1"/>
    </cacheField>
    <cacheField name="Column12359" numFmtId="0">
      <sharedItems containsNonDate="0" containsString="0" containsBlank="1"/>
    </cacheField>
    <cacheField name="Column12360" numFmtId="0">
      <sharedItems containsNonDate="0" containsString="0" containsBlank="1"/>
    </cacheField>
    <cacheField name="Column12361" numFmtId="0">
      <sharedItems containsNonDate="0" containsString="0" containsBlank="1"/>
    </cacheField>
    <cacheField name="Column12362" numFmtId="0">
      <sharedItems containsNonDate="0" containsString="0" containsBlank="1"/>
    </cacheField>
    <cacheField name="Column12363" numFmtId="0">
      <sharedItems containsNonDate="0" containsString="0" containsBlank="1"/>
    </cacheField>
    <cacheField name="Column12364" numFmtId="0">
      <sharedItems containsNonDate="0" containsString="0" containsBlank="1"/>
    </cacheField>
    <cacheField name="Column12365" numFmtId="0">
      <sharedItems containsNonDate="0" containsString="0" containsBlank="1"/>
    </cacheField>
    <cacheField name="Column12366" numFmtId="0">
      <sharedItems containsNonDate="0" containsString="0" containsBlank="1"/>
    </cacheField>
    <cacheField name="Column12367" numFmtId="0">
      <sharedItems containsNonDate="0" containsString="0" containsBlank="1"/>
    </cacheField>
    <cacheField name="Column12368" numFmtId="0">
      <sharedItems containsNonDate="0" containsString="0" containsBlank="1"/>
    </cacheField>
    <cacheField name="Column12369" numFmtId="0">
      <sharedItems containsNonDate="0" containsString="0" containsBlank="1"/>
    </cacheField>
    <cacheField name="Column12370" numFmtId="0">
      <sharedItems containsNonDate="0" containsString="0" containsBlank="1"/>
    </cacheField>
    <cacheField name="Column12371" numFmtId="0">
      <sharedItems containsNonDate="0" containsString="0" containsBlank="1"/>
    </cacheField>
    <cacheField name="Column12372" numFmtId="0">
      <sharedItems containsNonDate="0" containsString="0" containsBlank="1"/>
    </cacheField>
    <cacheField name="Column12373" numFmtId="0">
      <sharedItems containsNonDate="0" containsString="0" containsBlank="1"/>
    </cacheField>
    <cacheField name="Column12374" numFmtId="0">
      <sharedItems containsNonDate="0" containsString="0" containsBlank="1"/>
    </cacheField>
    <cacheField name="Column12375" numFmtId="0">
      <sharedItems containsNonDate="0" containsString="0" containsBlank="1"/>
    </cacheField>
    <cacheField name="Column12376" numFmtId="0">
      <sharedItems containsNonDate="0" containsString="0" containsBlank="1"/>
    </cacheField>
    <cacheField name="Column12377" numFmtId="0">
      <sharedItems containsNonDate="0" containsString="0" containsBlank="1"/>
    </cacheField>
    <cacheField name="Column12378" numFmtId="0">
      <sharedItems containsNonDate="0" containsString="0" containsBlank="1"/>
    </cacheField>
    <cacheField name="Column12379" numFmtId="0">
      <sharedItems containsNonDate="0" containsString="0" containsBlank="1"/>
    </cacheField>
    <cacheField name="Column12380" numFmtId="0">
      <sharedItems containsNonDate="0" containsString="0" containsBlank="1"/>
    </cacheField>
    <cacheField name="Column12381" numFmtId="0">
      <sharedItems containsNonDate="0" containsString="0" containsBlank="1"/>
    </cacheField>
    <cacheField name="Column12382" numFmtId="0">
      <sharedItems containsNonDate="0" containsString="0" containsBlank="1"/>
    </cacheField>
    <cacheField name="Column12383" numFmtId="0">
      <sharedItems containsNonDate="0" containsString="0" containsBlank="1"/>
    </cacheField>
    <cacheField name="Column12384" numFmtId="0">
      <sharedItems containsNonDate="0" containsString="0" containsBlank="1"/>
    </cacheField>
    <cacheField name="Column12385" numFmtId="0">
      <sharedItems containsNonDate="0" containsString="0" containsBlank="1"/>
    </cacheField>
    <cacheField name="Column12386" numFmtId="0">
      <sharedItems containsNonDate="0" containsString="0" containsBlank="1"/>
    </cacheField>
    <cacheField name="Column12387" numFmtId="0">
      <sharedItems containsNonDate="0" containsString="0" containsBlank="1"/>
    </cacheField>
    <cacheField name="Column12388" numFmtId="0">
      <sharedItems containsNonDate="0" containsString="0" containsBlank="1"/>
    </cacheField>
    <cacheField name="Column12389" numFmtId="0">
      <sharedItems containsNonDate="0" containsString="0" containsBlank="1"/>
    </cacheField>
    <cacheField name="Column12390" numFmtId="0">
      <sharedItems containsNonDate="0" containsString="0" containsBlank="1"/>
    </cacheField>
    <cacheField name="Column12391" numFmtId="0">
      <sharedItems containsNonDate="0" containsString="0" containsBlank="1"/>
    </cacheField>
    <cacheField name="Column12392" numFmtId="0">
      <sharedItems containsNonDate="0" containsString="0" containsBlank="1"/>
    </cacheField>
    <cacheField name="Column12393" numFmtId="0">
      <sharedItems containsNonDate="0" containsString="0" containsBlank="1"/>
    </cacheField>
    <cacheField name="Column12394" numFmtId="0">
      <sharedItems containsNonDate="0" containsString="0" containsBlank="1"/>
    </cacheField>
    <cacheField name="Column12395" numFmtId="0">
      <sharedItems containsNonDate="0" containsString="0" containsBlank="1"/>
    </cacheField>
    <cacheField name="Column12396" numFmtId="0">
      <sharedItems containsNonDate="0" containsString="0" containsBlank="1"/>
    </cacheField>
    <cacheField name="Column12397" numFmtId="0">
      <sharedItems containsNonDate="0" containsString="0" containsBlank="1"/>
    </cacheField>
    <cacheField name="Column12398" numFmtId="0">
      <sharedItems containsNonDate="0" containsString="0" containsBlank="1"/>
    </cacheField>
    <cacheField name="Column12399" numFmtId="0">
      <sharedItems containsNonDate="0" containsString="0" containsBlank="1"/>
    </cacheField>
    <cacheField name="Column12400" numFmtId="0">
      <sharedItems containsNonDate="0" containsString="0" containsBlank="1"/>
    </cacheField>
    <cacheField name="Column12401" numFmtId="0">
      <sharedItems containsNonDate="0" containsString="0" containsBlank="1"/>
    </cacheField>
    <cacheField name="Column12402" numFmtId="0">
      <sharedItems containsNonDate="0" containsString="0" containsBlank="1"/>
    </cacheField>
    <cacheField name="Column12403" numFmtId="0">
      <sharedItems containsNonDate="0" containsString="0" containsBlank="1"/>
    </cacheField>
    <cacheField name="Column12404" numFmtId="0">
      <sharedItems containsNonDate="0" containsString="0" containsBlank="1"/>
    </cacheField>
    <cacheField name="Column12405" numFmtId="0">
      <sharedItems containsNonDate="0" containsString="0" containsBlank="1"/>
    </cacheField>
    <cacheField name="Column12406" numFmtId="0">
      <sharedItems containsNonDate="0" containsString="0" containsBlank="1"/>
    </cacheField>
    <cacheField name="Column12407" numFmtId="0">
      <sharedItems containsNonDate="0" containsString="0" containsBlank="1"/>
    </cacheField>
    <cacheField name="Column12408" numFmtId="0">
      <sharedItems containsNonDate="0" containsString="0" containsBlank="1"/>
    </cacheField>
    <cacheField name="Column12409" numFmtId="0">
      <sharedItems containsNonDate="0" containsString="0" containsBlank="1"/>
    </cacheField>
    <cacheField name="Column12410" numFmtId="0">
      <sharedItems containsNonDate="0" containsString="0" containsBlank="1"/>
    </cacheField>
    <cacheField name="Column12411" numFmtId="0">
      <sharedItems containsNonDate="0" containsString="0" containsBlank="1"/>
    </cacheField>
    <cacheField name="Column12412" numFmtId="0">
      <sharedItems containsNonDate="0" containsString="0" containsBlank="1"/>
    </cacheField>
    <cacheField name="Column12413" numFmtId="0">
      <sharedItems containsNonDate="0" containsString="0" containsBlank="1"/>
    </cacheField>
    <cacheField name="Column12414" numFmtId="0">
      <sharedItems containsNonDate="0" containsString="0" containsBlank="1"/>
    </cacheField>
    <cacheField name="Column12415" numFmtId="0">
      <sharedItems containsNonDate="0" containsString="0" containsBlank="1"/>
    </cacheField>
    <cacheField name="Column12416" numFmtId="0">
      <sharedItems containsNonDate="0" containsString="0" containsBlank="1"/>
    </cacheField>
    <cacheField name="Column12417" numFmtId="0">
      <sharedItems containsNonDate="0" containsString="0" containsBlank="1"/>
    </cacheField>
    <cacheField name="Column12418" numFmtId="0">
      <sharedItems containsNonDate="0" containsString="0" containsBlank="1"/>
    </cacheField>
    <cacheField name="Column12419" numFmtId="0">
      <sharedItems containsNonDate="0" containsString="0" containsBlank="1"/>
    </cacheField>
    <cacheField name="Column12420" numFmtId="0">
      <sharedItems containsNonDate="0" containsString="0" containsBlank="1"/>
    </cacheField>
    <cacheField name="Column12421" numFmtId="0">
      <sharedItems containsNonDate="0" containsString="0" containsBlank="1"/>
    </cacheField>
    <cacheField name="Column12422" numFmtId="0">
      <sharedItems containsNonDate="0" containsString="0" containsBlank="1"/>
    </cacheField>
    <cacheField name="Column12423" numFmtId="0">
      <sharedItems containsNonDate="0" containsString="0" containsBlank="1"/>
    </cacheField>
    <cacheField name="Column12424" numFmtId="0">
      <sharedItems containsNonDate="0" containsString="0" containsBlank="1"/>
    </cacheField>
    <cacheField name="Column12425" numFmtId="0">
      <sharedItems containsNonDate="0" containsString="0" containsBlank="1"/>
    </cacheField>
    <cacheField name="Column12426" numFmtId="0">
      <sharedItems containsNonDate="0" containsString="0" containsBlank="1"/>
    </cacheField>
    <cacheField name="Column12427" numFmtId="0">
      <sharedItems containsNonDate="0" containsString="0" containsBlank="1"/>
    </cacheField>
    <cacheField name="Column12428" numFmtId="0">
      <sharedItems containsNonDate="0" containsString="0" containsBlank="1"/>
    </cacheField>
    <cacheField name="Column12429" numFmtId="0">
      <sharedItems containsNonDate="0" containsString="0" containsBlank="1"/>
    </cacheField>
    <cacheField name="Column12430" numFmtId="0">
      <sharedItems containsNonDate="0" containsString="0" containsBlank="1"/>
    </cacheField>
    <cacheField name="Column12431" numFmtId="0">
      <sharedItems containsNonDate="0" containsString="0" containsBlank="1"/>
    </cacheField>
    <cacheField name="Column12432" numFmtId="0">
      <sharedItems containsNonDate="0" containsString="0" containsBlank="1"/>
    </cacheField>
    <cacheField name="Column12433" numFmtId="0">
      <sharedItems containsNonDate="0" containsString="0" containsBlank="1"/>
    </cacheField>
    <cacheField name="Column12434" numFmtId="0">
      <sharedItems containsNonDate="0" containsString="0" containsBlank="1"/>
    </cacheField>
    <cacheField name="Column12435" numFmtId="0">
      <sharedItems containsNonDate="0" containsString="0" containsBlank="1"/>
    </cacheField>
    <cacheField name="Column12436" numFmtId="0">
      <sharedItems containsNonDate="0" containsString="0" containsBlank="1"/>
    </cacheField>
    <cacheField name="Column12437" numFmtId="0">
      <sharedItems containsNonDate="0" containsString="0" containsBlank="1"/>
    </cacheField>
    <cacheField name="Column12438" numFmtId="0">
      <sharedItems containsNonDate="0" containsString="0" containsBlank="1"/>
    </cacheField>
    <cacheField name="Column12439" numFmtId="0">
      <sharedItems containsNonDate="0" containsString="0" containsBlank="1"/>
    </cacheField>
    <cacheField name="Column12440" numFmtId="0">
      <sharedItems containsNonDate="0" containsString="0" containsBlank="1"/>
    </cacheField>
    <cacheField name="Column12441" numFmtId="0">
      <sharedItems containsNonDate="0" containsString="0" containsBlank="1"/>
    </cacheField>
    <cacheField name="Column12442" numFmtId="0">
      <sharedItems containsNonDate="0" containsString="0" containsBlank="1"/>
    </cacheField>
    <cacheField name="Column12443" numFmtId="0">
      <sharedItems containsNonDate="0" containsString="0" containsBlank="1"/>
    </cacheField>
    <cacheField name="Column12444" numFmtId="0">
      <sharedItems containsNonDate="0" containsString="0" containsBlank="1"/>
    </cacheField>
    <cacheField name="Column12445" numFmtId="0">
      <sharedItems containsNonDate="0" containsString="0" containsBlank="1"/>
    </cacheField>
    <cacheField name="Column12446" numFmtId="0">
      <sharedItems containsNonDate="0" containsString="0" containsBlank="1"/>
    </cacheField>
    <cacheField name="Column12447" numFmtId="0">
      <sharedItems containsNonDate="0" containsString="0" containsBlank="1"/>
    </cacheField>
    <cacheField name="Column12448" numFmtId="0">
      <sharedItems containsNonDate="0" containsString="0" containsBlank="1"/>
    </cacheField>
    <cacheField name="Column12449" numFmtId="0">
      <sharedItems containsNonDate="0" containsString="0" containsBlank="1"/>
    </cacheField>
    <cacheField name="Column12450" numFmtId="0">
      <sharedItems containsNonDate="0" containsString="0" containsBlank="1"/>
    </cacheField>
    <cacheField name="Column12451" numFmtId="0">
      <sharedItems containsNonDate="0" containsString="0" containsBlank="1"/>
    </cacheField>
    <cacheField name="Column12452" numFmtId="0">
      <sharedItems containsNonDate="0" containsString="0" containsBlank="1"/>
    </cacheField>
    <cacheField name="Column12453" numFmtId="0">
      <sharedItems containsNonDate="0" containsString="0" containsBlank="1"/>
    </cacheField>
    <cacheField name="Column12454" numFmtId="0">
      <sharedItems containsNonDate="0" containsString="0" containsBlank="1"/>
    </cacheField>
    <cacheField name="Column12455" numFmtId="0">
      <sharedItems containsNonDate="0" containsString="0" containsBlank="1"/>
    </cacheField>
    <cacheField name="Column12456" numFmtId="0">
      <sharedItems containsNonDate="0" containsString="0" containsBlank="1"/>
    </cacheField>
    <cacheField name="Column12457" numFmtId="0">
      <sharedItems containsNonDate="0" containsString="0" containsBlank="1"/>
    </cacheField>
    <cacheField name="Column12458" numFmtId="0">
      <sharedItems containsNonDate="0" containsString="0" containsBlank="1"/>
    </cacheField>
    <cacheField name="Column12459" numFmtId="0">
      <sharedItems containsNonDate="0" containsString="0" containsBlank="1"/>
    </cacheField>
    <cacheField name="Column12460" numFmtId="0">
      <sharedItems containsNonDate="0" containsString="0" containsBlank="1"/>
    </cacheField>
    <cacheField name="Column12461" numFmtId="0">
      <sharedItems containsNonDate="0" containsString="0" containsBlank="1"/>
    </cacheField>
    <cacheField name="Column12462" numFmtId="0">
      <sharedItems containsNonDate="0" containsString="0" containsBlank="1"/>
    </cacheField>
    <cacheField name="Column12463" numFmtId="0">
      <sharedItems containsNonDate="0" containsString="0" containsBlank="1"/>
    </cacheField>
    <cacheField name="Column12464" numFmtId="0">
      <sharedItems containsNonDate="0" containsString="0" containsBlank="1"/>
    </cacheField>
    <cacheField name="Column12465" numFmtId="0">
      <sharedItems containsNonDate="0" containsString="0" containsBlank="1"/>
    </cacheField>
    <cacheField name="Column12466" numFmtId="0">
      <sharedItems containsNonDate="0" containsString="0" containsBlank="1"/>
    </cacheField>
    <cacheField name="Column12467" numFmtId="0">
      <sharedItems containsNonDate="0" containsString="0" containsBlank="1"/>
    </cacheField>
    <cacheField name="Column12468" numFmtId="0">
      <sharedItems containsNonDate="0" containsString="0" containsBlank="1"/>
    </cacheField>
    <cacheField name="Column12469" numFmtId="0">
      <sharedItems containsNonDate="0" containsString="0" containsBlank="1"/>
    </cacheField>
    <cacheField name="Column12470" numFmtId="0">
      <sharedItems containsNonDate="0" containsString="0" containsBlank="1"/>
    </cacheField>
    <cacheField name="Column12471" numFmtId="0">
      <sharedItems containsNonDate="0" containsString="0" containsBlank="1"/>
    </cacheField>
    <cacheField name="Column12472" numFmtId="0">
      <sharedItems containsNonDate="0" containsString="0" containsBlank="1"/>
    </cacheField>
    <cacheField name="Column12473" numFmtId="0">
      <sharedItems containsNonDate="0" containsString="0" containsBlank="1"/>
    </cacheField>
    <cacheField name="Column12474" numFmtId="0">
      <sharedItems containsNonDate="0" containsString="0" containsBlank="1"/>
    </cacheField>
    <cacheField name="Column12475" numFmtId="0">
      <sharedItems containsNonDate="0" containsString="0" containsBlank="1"/>
    </cacheField>
    <cacheField name="Column12476" numFmtId="0">
      <sharedItems containsNonDate="0" containsString="0" containsBlank="1"/>
    </cacheField>
    <cacheField name="Column12477" numFmtId="0">
      <sharedItems containsNonDate="0" containsString="0" containsBlank="1"/>
    </cacheField>
    <cacheField name="Column12478" numFmtId="0">
      <sharedItems containsNonDate="0" containsString="0" containsBlank="1"/>
    </cacheField>
    <cacheField name="Column12479" numFmtId="0">
      <sharedItems containsNonDate="0" containsString="0" containsBlank="1"/>
    </cacheField>
    <cacheField name="Column12480" numFmtId="0">
      <sharedItems containsNonDate="0" containsString="0" containsBlank="1"/>
    </cacheField>
    <cacheField name="Column12481" numFmtId="0">
      <sharedItems containsNonDate="0" containsString="0" containsBlank="1"/>
    </cacheField>
    <cacheField name="Column12482" numFmtId="0">
      <sharedItems containsNonDate="0" containsString="0" containsBlank="1"/>
    </cacheField>
    <cacheField name="Column12483" numFmtId="0">
      <sharedItems containsNonDate="0" containsString="0" containsBlank="1"/>
    </cacheField>
    <cacheField name="Column12484" numFmtId="0">
      <sharedItems containsNonDate="0" containsString="0" containsBlank="1"/>
    </cacheField>
    <cacheField name="Column12485" numFmtId="0">
      <sharedItems containsNonDate="0" containsString="0" containsBlank="1"/>
    </cacheField>
    <cacheField name="Column12486" numFmtId="0">
      <sharedItems containsNonDate="0" containsString="0" containsBlank="1"/>
    </cacheField>
    <cacheField name="Column12487" numFmtId="0">
      <sharedItems containsNonDate="0" containsString="0" containsBlank="1"/>
    </cacheField>
    <cacheField name="Column12488" numFmtId="0">
      <sharedItems containsNonDate="0" containsString="0" containsBlank="1"/>
    </cacheField>
    <cacheField name="Column12489" numFmtId="0">
      <sharedItems containsNonDate="0" containsString="0" containsBlank="1"/>
    </cacheField>
    <cacheField name="Column12490" numFmtId="0">
      <sharedItems containsNonDate="0" containsString="0" containsBlank="1"/>
    </cacheField>
    <cacheField name="Column12491" numFmtId="0">
      <sharedItems containsNonDate="0" containsString="0" containsBlank="1"/>
    </cacheField>
    <cacheField name="Column12492" numFmtId="0">
      <sharedItems containsNonDate="0" containsString="0" containsBlank="1"/>
    </cacheField>
    <cacheField name="Column12493" numFmtId="0">
      <sharedItems containsNonDate="0" containsString="0" containsBlank="1"/>
    </cacheField>
    <cacheField name="Column12494" numFmtId="0">
      <sharedItems containsNonDate="0" containsString="0" containsBlank="1"/>
    </cacheField>
    <cacheField name="Column12495" numFmtId="0">
      <sharedItems containsNonDate="0" containsString="0" containsBlank="1"/>
    </cacheField>
    <cacheField name="Column12496" numFmtId="0">
      <sharedItems containsNonDate="0" containsString="0" containsBlank="1"/>
    </cacheField>
    <cacheField name="Column12497" numFmtId="0">
      <sharedItems containsNonDate="0" containsString="0" containsBlank="1"/>
    </cacheField>
    <cacheField name="Column12498" numFmtId="0">
      <sharedItems containsNonDate="0" containsString="0" containsBlank="1"/>
    </cacheField>
    <cacheField name="Column12499" numFmtId="0">
      <sharedItems containsNonDate="0" containsString="0" containsBlank="1"/>
    </cacheField>
    <cacheField name="Column12500" numFmtId="0">
      <sharedItems containsNonDate="0" containsString="0" containsBlank="1"/>
    </cacheField>
    <cacheField name="Column12501" numFmtId="0">
      <sharedItems containsNonDate="0" containsString="0" containsBlank="1"/>
    </cacheField>
    <cacheField name="Column12502" numFmtId="0">
      <sharedItems containsNonDate="0" containsString="0" containsBlank="1"/>
    </cacheField>
    <cacheField name="Column12503" numFmtId="0">
      <sharedItems containsNonDate="0" containsString="0" containsBlank="1"/>
    </cacheField>
    <cacheField name="Column12504" numFmtId="0">
      <sharedItems containsNonDate="0" containsString="0" containsBlank="1"/>
    </cacheField>
    <cacheField name="Column12505" numFmtId="0">
      <sharedItems containsNonDate="0" containsString="0" containsBlank="1"/>
    </cacheField>
    <cacheField name="Column12506" numFmtId="0">
      <sharedItems containsNonDate="0" containsString="0" containsBlank="1"/>
    </cacheField>
    <cacheField name="Column12507" numFmtId="0">
      <sharedItems containsNonDate="0" containsString="0" containsBlank="1"/>
    </cacheField>
    <cacheField name="Column12508" numFmtId="0">
      <sharedItems containsNonDate="0" containsString="0" containsBlank="1"/>
    </cacheField>
    <cacheField name="Column12509" numFmtId="0">
      <sharedItems containsNonDate="0" containsString="0" containsBlank="1"/>
    </cacheField>
    <cacheField name="Column12510" numFmtId="0">
      <sharedItems containsNonDate="0" containsString="0" containsBlank="1"/>
    </cacheField>
    <cacheField name="Column12511" numFmtId="0">
      <sharedItems containsNonDate="0" containsString="0" containsBlank="1"/>
    </cacheField>
    <cacheField name="Column12512" numFmtId="0">
      <sharedItems containsNonDate="0" containsString="0" containsBlank="1"/>
    </cacheField>
    <cacheField name="Column12513" numFmtId="0">
      <sharedItems containsNonDate="0" containsString="0" containsBlank="1"/>
    </cacheField>
    <cacheField name="Column12514" numFmtId="0">
      <sharedItems containsNonDate="0" containsString="0" containsBlank="1"/>
    </cacheField>
    <cacheField name="Column12515" numFmtId="0">
      <sharedItems containsNonDate="0" containsString="0" containsBlank="1"/>
    </cacheField>
    <cacheField name="Column12516" numFmtId="0">
      <sharedItems containsNonDate="0" containsString="0" containsBlank="1"/>
    </cacheField>
    <cacheField name="Column12517" numFmtId="0">
      <sharedItems containsNonDate="0" containsString="0" containsBlank="1"/>
    </cacheField>
    <cacheField name="Column12518" numFmtId="0">
      <sharedItems containsNonDate="0" containsString="0" containsBlank="1"/>
    </cacheField>
    <cacheField name="Column12519" numFmtId="0">
      <sharedItems containsNonDate="0" containsString="0" containsBlank="1"/>
    </cacheField>
    <cacheField name="Column12520" numFmtId="0">
      <sharedItems containsNonDate="0" containsString="0" containsBlank="1"/>
    </cacheField>
    <cacheField name="Column12521" numFmtId="0">
      <sharedItems containsNonDate="0" containsString="0" containsBlank="1"/>
    </cacheField>
    <cacheField name="Column12522" numFmtId="0">
      <sharedItems containsNonDate="0" containsString="0" containsBlank="1"/>
    </cacheField>
    <cacheField name="Column12523" numFmtId="0">
      <sharedItems containsNonDate="0" containsString="0" containsBlank="1"/>
    </cacheField>
    <cacheField name="Column12524" numFmtId="0">
      <sharedItems containsNonDate="0" containsString="0" containsBlank="1"/>
    </cacheField>
    <cacheField name="Column12525" numFmtId="0">
      <sharedItems containsNonDate="0" containsString="0" containsBlank="1"/>
    </cacheField>
    <cacheField name="Column12526" numFmtId="0">
      <sharedItems containsNonDate="0" containsString="0" containsBlank="1"/>
    </cacheField>
    <cacheField name="Column12527" numFmtId="0">
      <sharedItems containsNonDate="0" containsString="0" containsBlank="1"/>
    </cacheField>
    <cacheField name="Column12528" numFmtId="0">
      <sharedItems containsNonDate="0" containsString="0" containsBlank="1"/>
    </cacheField>
    <cacheField name="Column12529" numFmtId="0">
      <sharedItems containsNonDate="0" containsString="0" containsBlank="1"/>
    </cacheField>
    <cacheField name="Column12530" numFmtId="0">
      <sharedItems containsNonDate="0" containsString="0" containsBlank="1"/>
    </cacheField>
    <cacheField name="Column12531" numFmtId="0">
      <sharedItems containsNonDate="0" containsString="0" containsBlank="1"/>
    </cacheField>
    <cacheField name="Column12532" numFmtId="0">
      <sharedItems containsNonDate="0" containsString="0" containsBlank="1"/>
    </cacheField>
    <cacheField name="Column12533" numFmtId="0">
      <sharedItems containsNonDate="0" containsString="0" containsBlank="1"/>
    </cacheField>
    <cacheField name="Column12534" numFmtId="0">
      <sharedItems containsNonDate="0" containsString="0" containsBlank="1"/>
    </cacheField>
    <cacheField name="Column12535" numFmtId="0">
      <sharedItems containsNonDate="0" containsString="0" containsBlank="1"/>
    </cacheField>
    <cacheField name="Column12536" numFmtId="0">
      <sharedItems containsNonDate="0" containsString="0" containsBlank="1"/>
    </cacheField>
    <cacheField name="Column12537" numFmtId="0">
      <sharedItems containsNonDate="0" containsString="0" containsBlank="1"/>
    </cacheField>
    <cacheField name="Column12538" numFmtId="0">
      <sharedItems containsNonDate="0" containsString="0" containsBlank="1"/>
    </cacheField>
    <cacheField name="Column12539" numFmtId="0">
      <sharedItems containsNonDate="0" containsString="0" containsBlank="1"/>
    </cacheField>
    <cacheField name="Column12540" numFmtId="0">
      <sharedItems containsNonDate="0" containsString="0" containsBlank="1"/>
    </cacheField>
    <cacheField name="Column12541" numFmtId="0">
      <sharedItems containsNonDate="0" containsString="0" containsBlank="1"/>
    </cacheField>
    <cacheField name="Column12542" numFmtId="0">
      <sharedItems containsNonDate="0" containsString="0" containsBlank="1"/>
    </cacheField>
    <cacheField name="Column12543" numFmtId="0">
      <sharedItems containsNonDate="0" containsString="0" containsBlank="1"/>
    </cacheField>
    <cacheField name="Column12544" numFmtId="0">
      <sharedItems containsNonDate="0" containsString="0" containsBlank="1"/>
    </cacheField>
    <cacheField name="Column12545" numFmtId="0">
      <sharedItems containsNonDate="0" containsString="0" containsBlank="1"/>
    </cacheField>
    <cacheField name="Column12546" numFmtId="0">
      <sharedItems containsNonDate="0" containsString="0" containsBlank="1"/>
    </cacheField>
    <cacheField name="Column12547" numFmtId="0">
      <sharedItems containsNonDate="0" containsString="0" containsBlank="1"/>
    </cacheField>
    <cacheField name="Column12548" numFmtId="0">
      <sharedItems containsNonDate="0" containsString="0" containsBlank="1"/>
    </cacheField>
    <cacheField name="Column12549" numFmtId="0">
      <sharedItems containsNonDate="0" containsString="0" containsBlank="1"/>
    </cacheField>
    <cacheField name="Column12550" numFmtId="0">
      <sharedItems containsNonDate="0" containsString="0" containsBlank="1"/>
    </cacheField>
    <cacheField name="Column12551" numFmtId="0">
      <sharedItems containsNonDate="0" containsString="0" containsBlank="1"/>
    </cacheField>
    <cacheField name="Column12552" numFmtId="0">
      <sharedItems containsNonDate="0" containsString="0" containsBlank="1"/>
    </cacheField>
    <cacheField name="Column12553" numFmtId="0">
      <sharedItems containsNonDate="0" containsString="0" containsBlank="1"/>
    </cacheField>
    <cacheField name="Column12554" numFmtId="0">
      <sharedItems containsNonDate="0" containsString="0" containsBlank="1"/>
    </cacheField>
    <cacheField name="Column12555" numFmtId="0">
      <sharedItems containsNonDate="0" containsString="0" containsBlank="1"/>
    </cacheField>
    <cacheField name="Column12556" numFmtId="0">
      <sharedItems containsNonDate="0" containsString="0" containsBlank="1"/>
    </cacheField>
    <cacheField name="Column12557" numFmtId="0">
      <sharedItems containsNonDate="0" containsString="0" containsBlank="1"/>
    </cacheField>
    <cacheField name="Column12558" numFmtId="0">
      <sharedItems containsNonDate="0" containsString="0" containsBlank="1"/>
    </cacheField>
    <cacheField name="Column12559" numFmtId="0">
      <sharedItems containsNonDate="0" containsString="0" containsBlank="1"/>
    </cacheField>
    <cacheField name="Column12560" numFmtId="0">
      <sharedItems containsNonDate="0" containsString="0" containsBlank="1"/>
    </cacheField>
    <cacheField name="Column12561" numFmtId="0">
      <sharedItems containsNonDate="0" containsString="0" containsBlank="1"/>
    </cacheField>
    <cacheField name="Column12562" numFmtId="0">
      <sharedItems containsNonDate="0" containsString="0" containsBlank="1"/>
    </cacheField>
    <cacheField name="Column12563" numFmtId="0">
      <sharedItems containsNonDate="0" containsString="0" containsBlank="1"/>
    </cacheField>
    <cacheField name="Column12564" numFmtId="0">
      <sharedItems containsNonDate="0" containsString="0" containsBlank="1"/>
    </cacheField>
    <cacheField name="Column12565" numFmtId="0">
      <sharedItems containsNonDate="0" containsString="0" containsBlank="1"/>
    </cacheField>
    <cacheField name="Column12566" numFmtId="0">
      <sharedItems containsNonDate="0" containsString="0" containsBlank="1"/>
    </cacheField>
    <cacheField name="Column12567" numFmtId="0">
      <sharedItems containsNonDate="0" containsString="0" containsBlank="1"/>
    </cacheField>
    <cacheField name="Column12568" numFmtId="0">
      <sharedItems containsNonDate="0" containsString="0" containsBlank="1"/>
    </cacheField>
    <cacheField name="Column12569" numFmtId="0">
      <sharedItems containsNonDate="0" containsString="0" containsBlank="1"/>
    </cacheField>
    <cacheField name="Column12570" numFmtId="0">
      <sharedItems containsNonDate="0" containsString="0" containsBlank="1"/>
    </cacheField>
    <cacheField name="Column12571" numFmtId="0">
      <sharedItems containsNonDate="0" containsString="0" containsBlank="1"/>
    </cacheField>
    <cacheField name="Column12572" numFmtId="0">
      <sharedItems containsNonDate="0" containsString="0" containsBlank="1"/>
    </cacheField>
    <cacheField name="Column12573" numFmtId="0">
      <sharedItems containsNonDate="0" containsString="0" containsBlank="1"/>
    </cacheField>
    <cacheField name="Column12574" numFmtId="0">
      <sharedItems containsNonDate="0" containsString="0" containsBlank="1"/>
    </cacheField>
    <cacheField name="Column12575" numFmtId="0">
      <sharedItems containsNonDate="0" containsString="0" containsBlank="1"/>
    </cacheField>
    <cacheField name="Column12576" numFmtId="0">
      <sharedItems containsNonDate="0" containsString="0" containsBlank="1"/>
    </cacheField>
    <cacheField name="Column12577" numFmtId="0">
      <sharedItems containsNonDate="0" containsString="0" containsBlank="1"/>
    </cacheField>
    <cacheField name="Column12578" numFmtId="0">
      <sharedItems containsNonDate="0" containsString="0" containsBlank="1"/>
    </cacheField>
    <cacheField name="Column12579" numFmtId="0">
      <sharedItems containsNonDate="0" containsString="0" containsBlank="1"/>
    </cacheField>
    <cacheField name="Column12580" numFmtId="0">
      <sharedItems containsNonDate="0" containsString="0" containsBlank="1"/>
    </cacheField>
    <cacheField name="Column12581" numFmtId="0">
      <sharedItems containsNonDate="0" containsString="0" containsBlank="1"/>
    </cacheField>
    <cacheField name="Column12582" numFmtId="0">
      <sharedItems containsNonDate="0" containsString="0" containsBlank="1"/>
    </cacheField>
    <cacheField name="Column12583" numFmtId="0">
      <sharedItems containsNonDate="0" containsString="0" containsBlank="1"/>
    </cacheField>
    <cacheField name="Column12584" numFmtId="0">
      <sharedItems containsNonDate="0" containsString="0" containsBlank="1"/>
    </cacheField>
    <cacheField name="Column12585" numFmtId="0">
      <sharedItems containsNonDate="0" containsString="0" containsBlank="1"/>
    </cacheField>
    <cacheField name="Column12586" numFmtId="0">
      <sharedItems containsNonDate="0" containsString="0" containsBlank="1"/>
    </cacheField>
    <cacheField name="Column12587" numFmtId="0">
      <sharedItems containsNonDate="0" containsString="0" containsBlank="1"/>
    </cacheField>
    <cacheField name="Column12588" numFmtId="0">
      <sharedItems containsNonDate="0" containsString="0" containsBlank="1"/>
    </cacheField>
    <cacheField name="Column12589" numFmtId="0">
      <sharedItems containsNonDate="0" containsString="0" containsBlank="1"/>
    </cacheField>
    <cacheField name="Column12590" numFmtId="0">
      <sharedItems containsNonDate="0" containsString="0" containsBlank="1"/>
    </cacheField>
    <cacheField name="Column12591" numFmtId="0">
      <sharedItems containsNonDate="0" containsString="0" containsBlank="1"/>
    </cacheField>
    <cacheField name="Column12592" numFmtId="0">
      <sharedItems containsNonDate="0" containsString="0" containsBlank="1"/>
    </cacheField>
    <cacheField name="Column12593" numFmtId="0">
      <sharedItems containsNonDate="0" containsString="0" containsBlank="1"/>
    </cacheField>
    <cacheField name="Column12594" numFmtId="0">
      <sharedItems containsNonDate="0" containsString="0" containsBlank="1"/>
    </cacheField>
    <cacheField name="Column12595" numFmtId="0">
      <sharedItems containsNonDate="0" containsString="0" containsBlank="1"/>
    </cacheField>
    <cacheField name="Column12596" numFmtId="0">
      <sharedItems containsNonDate="0" containsString="0" containsBlank="1"/>
    </cacheField>
    <cacheField name="Column12597" numFmtId="0">
      <sharedItems containsNonDate="0" containsString="0" containsBlank="1"/>
    </cacheField>
    <cacheField name="Column12598" numFmtId="0">
      <sharedItems containsNonDate="0" containsString="0" containsBlank="1"/>
    </cacheField>
    <cacheField name="Column12599" numFmtId="0">
      <sharedItems containsNonDate="0" containsString="0" containsBlank="1"/>
    </cacheField>
    <cacheField name="Column12600" numFmtId="0">
      <sharedItems containsNonDate="0" containsString="0" containsBlank="1"/>
    </cacheField>
    <cacheField name="Column12601" numFmtId="0">
      <sharedItems containsNonDate="0" containsString="0" containsBlank="1"/>
    </cacheField>
    <cacheField name="Column12602" numFmtId="0">
      <sharedItems containsNonDate="0" containsString="0" containsBlank="1"/>
    </cacheField>
    <cacheField name="Column12603" numFmtId="0">
      <sharedItems containsNonDate="0" containsString="0" containsBlank="1"/>
    </cacheField>
    <cacheField name="Column12604" numFmtId="0">
      <sharedItems containsNonDate="0" containsString="0" containsBlank="1"/>
    </cacheField>
    <cacheField name="Column12605" numFmtId="0">
      <sharedItems containsNonDate="0" containsString="0" containsBlank="1"/>
    </cacheField>
    <cacheField name="Column12606" numFmtId="0">
      <sharedItems containsNonDate="0" containsString="0" containsBlank="1"/>
    </cacheField>
    <cacheField name="Column12607" numFmtId="0">
      <sharedItems containsNonDate="0" containsString="0" containsBlank="1"/>
    </cacheField>
    <cacheField name="Column12608" numFmtId="0">
      <sharedItems containsNonDate="0" containsString="0" containsBlank="1"/>
    </cacheField>
    <cacheField name="Column12609" numFmtId="0">
      <sharedItems containsNonDate="0" containsString="0" containsBlank="1"/>
    </cacheField>
    <cacheField name="Column12610" numFmtId="0">
      <sharedItems containsNonDate="0" containsString="0" containsBlank="1"/>
    </cacheField>
    <cacheField name="Column12611" numFmtId="0">
      <sharedItems containsNonDate="0" containsString="0" containsBlank="1"/>
    </cacheField>
    <cacheField name="Column12612" numFmtId="0">
      <sharedItems containsNonDate="0" containsString="0" containsBlank="1"/>
    </cacheField>
    <cacheField name="Column12613" numFmtId="0">
      <sharedItems containsNonDate="0" containsString="0" containsBlank="1"/>
    </cacheField>
    <cacheField name="Column12614" numFmtId="0">
      <sharedItems containsNonDate="0" containsString="0" containsBlank="1"/>
    </cacheField>
    <cacheField name="Column12615" numFmtId="0">
      <sharedItems containsNonDate="0" containsString="0" containsBlank="1"/>
    </cacheField>
    <cacheField name="Column12616" numFmtId="0">
      <sharedItems containsNonDate="0" containsString="0" containsBlank="1"/>
    </cacheField>
    <cacheField name="Column12617" numFmtId="0">
      <sharedItems containsNonDate="0" containsString="0" containsBlank="1"/>
    </cacheField>
    <cacheField name="Column12618" numFmtId="0">
      <sharedItems containsNonDate="0" containsString="0" containsBlank="1"/>
    </cacheField>
    <cacheField name="Column12619" numFmtId="0">
      <sharedItems containsNonDate="0" containsString="0" containsBlank="1"/>
    </cacheField>
    <cacheField name="Column12620" numFmtId="0">
      <sharedItems containsNonDate="0" containsString="0" containsBlank="1"/>
    </cacheField>
    <cacheField name="Column12621" numFmtId="0">
      <sharedItems containsNonDate="0" containsString="0" containsBlank="1"/>
    </cacheField>
    <cacheField name="Column12622" numFmtId="0">
      <sharedItems containsNonDate="0" containsString="0" containsBlank="1"/>
    </cacheField>
    <cacheField name="Column12623" numFmtId="0">
      <sharedItems containsNonDate="0" containsString="0" containsBlank="1"/>
    </cacheField>
    <cacheField name="Column12624" numFmtId="0">
      <sharedItems containsNonDate="0" containsString="0" containsBlank="1"/>
    </cacheField>
    <cacheField name="Column12625" numFmtId="0">
      <sharedItems containsNonDate="0" containsString="0" containsBlank="1"/>
    </cacheField>
    <cacheField name="Column12626" numFmtId="0">
      <sharedItems containsNonDate="0" containsString="0" containsBlank="1"/>
    </cacheField>
    <cacheField name="Column12627" numFmtId="0">
      <sharedItems containsNonDate="0" containsString="0" containsBlank="1"/>
    </cacheField>
    <cacheField name="Column12628" numFmtId="0">
      <sharedItems containsNonDate="0" containsString="0" containsBlank="1"/>
    </cacheField>
    <cacheField name="Column12629" numFmtId="0">
      <sharedItems containsNonDate="0" containsString="0" containsBlank="1"/>
    </cacheField>
    <cacheField name="Column12630" numFmtId="0">
      <sharedItems containsNonDate="0" containsString="0" containsBlank="1"/>
    </cacheField>
    <cacheField name="Column12631" numFmtId="0">
      <sharedItems containsNonDate="0" containsString="0" containsBlank="1"/>
    </cacheField>
    <cacheField name="Column12632" numFmtId="0">
      <sharedItems containsNonDate="0" containsString="0" containsBlank="1"/>
    </cacheField>
    <cacheField name="Column12633" numFmtId="0">
      <sharedItems containsNonDate="0" containsString="0" containsBlank="1"/>
    </cacheField>
    <cacheField name="Column12634" numFmtId="0">
      <sharedItems containsNonDate="0" containsString="0" containsBlank="1"/>
    </cacheField>
    <cacheField name="Column12635" numFmtId="0">
      <sharedItems containsNonDate="0" containsString="0" containsBlank="1"/>
    </cacheField>
    <cacheField name="Column12636" numFmtId="0">
      <sharedItems containsNonDate="0" containsString="0" containsBlank="1"/>
    </cacheField>
    <cacheField name="Column12637" numFmtId="0">
      <sharedItems containsNonDate="0" containsString="0" containsBlank="1"/>
    </cacheField>
    <cacheField name="Column12638" numFmtId="0">
      <sharedItems containsNonDate="0" containsString="0" containsBlank="1"/>
    </cacheField>
    <cacheField name="Column12639" numFmtId="0">
      <sharedItems containsNonDate="0" containsString="0" containsBlank="1"/>
    </cacheField>
    <cacheField name="Column12640" numFmtId="0">
      <sharedItems containsNonDate="0" containsString="0" containsBlank="1"/>
    </cacheField>
    <cacheField name="Column12641" numFmtId="0">
      <sharedItems containsNonDate="0" containsString="0" containsBlank="1"/>
    </cacheField>
    <cacheField name="Column12642" numFmtId="0">
      <sharedItems containsNonDate="0" containsString="0" containsBlank="1"/>
    </cacheField>
    <cacheField name="Column12643" numFmtId="0">
      <sharedItems containsNonDate="0" containsString="0" containsBlank="1"/>
    </cacheField>
    <cacheField name="Column12644" numFmtId="0">
      <sharedItems containsNonDate="0" containsString="0" containsBlank="1"/>
    </cacheField>
    <cacheField name="Column12645" numFmtId="0">
      <sharedItems containsNonDate="0" containsString="0" containsBlank="1"/>
    </cacheField>
    <cacheField name="Column12646" numFmtId="0">
      <sharedItems containsNonDate="0" containsString="0" containsBlank="1"/>
    </cacheField>
    <cacheField name="Column12647" numFmtId="0">
      <sharedItems containsNonDate="0" containsString="0" containsBlank="1"/>
    </cacheField>
    <cacheField name="Column12648" numFmtId="0">
      <sharedItems containsNonDate="0" containsString="0" containsBlank="1"/>
    </cacheField>
    <cacheField name="Column12649" numFmtId="0">
      <sharedItems containsNonDate="0" containsString="0" containsBlank="1"/>
    </cacheField>
    <cacheField name="Column12650" numFmtId="0">
      <sharedItems containsNonDate="0" containsString="0" containsBlank="1"/>
    </cacheField>
    <cacheField name="Column12651" numFmtId="0">
      <sharedItems containsNonDate="0" containsString="0" containsBlank="1"/>
    </cacheField>
    <cacheField name="Column12652" numFmtId="0">
      <sharedItems containsNonDate="0" containsString="0" containsBlank="1"/>
    </cacheField>
    <cacheField name="Column12653" numFmtId="0">
      <sharedItems containsNonDate="0" containsString="0" containsBlank="1"/>
    </cacheField>
    <cacheField name="Column12654" numFmtId="0">
      <sharedItems containsNonDate="0" containsString="0" containsBlank="1"/>
    </cacheField>
    <cacheField name="Column12655" numFmtId="0">
      <sharedItems containsNonDate="0" containsString="0" containsBlank="1"/>
    </cacheField>
    <cacheField name="Column12656" numFmtId="0">
      <sharedItems containsNonDate="0" containsString="0" containsBlank="1"/>
    </cacheField>
    <cacheField name="Column12657" numFmtId="0">
      <sharedItems containsNonDate="0" containsString="0" containsBlank="1"/>
    </cacheField>
    <cacheField name="Column12658" numFmtId="0">
      <sharedItems containsNonDate="0" containsString="0" containsBlank="1"/>
    </cacheField>
    <cacheField name="Column12659" numFmtId="0">
      <sharedItems containsNonDate="0" containsString="0" containsBlank="1"/>
    </cacheField>
    <cacheField name="Column12660" numFmtId="0">
      <sharedItems containsNonDate="0" containsString="0" containsBlank="1"/>
    </cacheField>
    <cacheField name="Column12661" numFmtId="0">
      <sharedItems containsNonDate="0" containsString="0" containsBlank="1"/>
    </cacheField>
    <cacheField name="Column12662" numFmtId="0">
      <sharedItems containsNonDate="0" containsString="0" containsBlank="1"/>
    </cacheField>
    <cacheField name="Column12663" numFmtId="0">
      <sharedItems containsNonDate="0" containsString="0" containsBlank="1"/>
    </cacheField>
    <cacheField name="Column12664" numFmtId="0">
      <sharedItems containsNonDate="0" containsString="0" containsBlank="1"/>
    </cacheField>
    <cacheField name="Column12665" numFmtId="0">
      <sharedItems containsNonDate="0" containsString="0" containsBlank="1"/>
    </cacheField>
    <cacheField name="Column12666" numFmtId="0">
      <sharedItems containsNonDate="0" containsString="0" containsBlank="1"/>
    </cacheField>
    <cacheField name="Column12667" numFmtId="0">
      <sharedItems containsNonDate="0" containsString="0" containsBlank="1"/>
    </cacheField>
    <cacheField name="Column12668" numFmtId="0">
      <sharedItems containsNonDate="0" containsString="0" containsBlank="1"/>
    </cacheField>
    <cacheField name="Column12669" numFmtId="0">
      <sharedItems containsNonDate="0" containsString="0" containsBlank="1"/>
    </cacheField>
    <cacheField name="Column12670" numFmtId="0">
      <sharedItems containsNonDate="0" containsString="0" containsBlank="1"/>
    </cacheField>
    <cacheField name="Column12671" numFmtId="0">
      <sharedItems containsNonDate="0" containsString="0" containsBlank="1"/>
    </cacheField>
    <cacheField name="Column12672" numFmtId="0">
      <sharedItems containsNonDate="0" containsString="0" containsBlank="1"/>
    </cacheField>
    <cacheField name="Column12673" numFmtId="0">
      <sharedItems containsNonDate="0" containsString="0" containsBlank="1"/>
    </cacheField>
    <cacheField name="Column12674" numFmtId="0">
      <sharedItems containsNonDate="0" containsString="0" containsBlank="1"/>
    </cacheField>
    <cacheField name="Column12675" numFmtId="0">
      <sharedItems containsNonDate="0" containsString="0" containsBlank="1"/>
    </cacheField>
    <cacheField name="Column12676" numFmtId="0">
      <sharedItems containsNonDate="0" containsString="0" containsBlank="1"/>
    </cacheField>
    <cacheField name="Column12677" numFmtId="0">
      <sharedItems containsNonDate="0" containsString="0" containsBlank="1"/>
    </cacheField>
    <cacheField name="Column12678" numFmtId="0">
      <sharedItems containsNonDate="0" containsString="0" containsBlank="1"/>
    </cacheField>
    <cacheField name="Column12679" numFmtId="0">
      <sharedItems containsNonDate="0" containsString="0" containsBlank="1"/>
    </cacheField>
    <cacheField name="Column12680" numFmtId="0">
      <sharedItems containsNonDate="0" containsString="0" containsBlank="1"/>
    </cacheField>
    <cacheField name="Column12681" numFmtId="0">
      <sharedItems containsNonDate="0" containsString="0" containsBlank="1"/>
    </cacheField>
    <cacheField name="Column12682" numFmtId="0">
      <sharedItems containsNonDate="0" containsString="0" containsBlank="1"/>
    </cacheField>
    <cacheField name="Column12683" numFmtId="0">
      <sharedItems containsNonDate="0" containsString="0" containsBlank="1"/>
    </cacheField>
    <cacheField name="Column12684" numFmtId="0">
      <sharedItems containsNonDate="0" containsString="0" containsBlank="1"/>
    </cacheField>
    <cacheField name="Column12685" numFmtId="0">
      <sharedItems containsNonDate="0" containsString="0" containsBlank="1"/>
    </cacheField>
    <cacheField name="Column12686" numFmtId="0">
      <sharedItems containsNonDate="0" containsString="0" containsBlank="1"/>
    </cacheField>
    <cacheField name="Column12687" numFmtId="0">
      <sharedItems containsNonDate="0" containsString="0" containsBlank="1"/>
    </cacheField>
    <cacheField name="Column12688" numFmtId="0">
      <sharedItems containsNonDate="0" containsString="0" containsBlank="1"/>
    </cacheField>
    <cacheField name="Column12689" numFmtId="0">
      <sharedItems containsNonDate="0" containsString="0" containsBlank="1"/>
    </cacheField>
    <cacheField name="Column12690" numFmtId="0">
      <sharedItems containsNonDate="0" containsString="0" containsBlank="1"/>
    </cacheField>
    <cacheField name="Column12691" numFmtId="0">
      <sharedItems containsNonDate="0" containsString="0" containsBlank="1"/>
    </cacheField>
    <cacheField name="Column12692" numFmtId="0">
      <sharedItems containsNonDate="0" containsString="0" containsBlank="1"/>
    </cacheField>
    <cacheField name="Column12693" numFmtId="0">
      <sharedItems containsNonDate="0" containsString="0" containsBlank="1"/>
    </cacheField>
    <cacheField name="Column12694" numFmtId="0">
      <sharedItems containsNonDate="0" containsString="0" containsBlank="1"/>
    </cacheField>
    <cacheField name="Column12695" numFmtId="0">
      <sharedItems containsNonDate="0" containsString="0" containsBlank="1"/>
    </cacheField>
    <cacheField name="Column12696" numFmtId="0">
      <sharedItems containsNonDate="0" containsString="0" containsBlank="1"/>
    </cacheField>
    <cacheField name="Column12697" numFmtId="0">
      <sharedItems containsNonDate="0" containsString="0" containsBlank="1"/>
    </cacheField>
    <cacheField name="Column12698" numFmtId="0">
      <sharedItems containsNonDate="0" containsString="0" containsBlank="1"/>
    </cacheField>
    <cacheField name="Column12699" numFmtId="0">
      <sharedItems containsNonDate="0" containsString="0" containsBlank="1"/>
    </cacheField>
    <cacheField name="Column12700" numFmtId="0">
      <sharedItems containsNonDate="0" containsString="0" containsBlank="1"/>
    </cacheField>
    <cacheField name="Column12701" numFmtId="0">
      <sharedItems containsNonDate="0" containsString="0" containsBlank="1"/>
    </cacheField>
    <cacheField name="Column12702" numFmtId="0">
      <sharedItems containsNonDate="0" containsString="0" containsBlank="1"/>
    </cacheField>
    <cacheField name="Column12703" numFmtId="0">
      <sharedItems containsNonDate="0" containsString="0" containsBlank="1"/>
    </cacheField>
    <cacheField name="Column12704" numFmtId="0">
      <sharedItems containsNonDate="0" containsString="0" containsBlank="1"/>
    </cacheField>
    <cacheField name="Column12705" numFmtId="0">
      <sharedItems containsNonDate="0" containsString="0" containsBlank="1"/>
    </cacheField>
    <cacheField name="Column12706" numFmtId="0">
      <sharedItems containsNonDate="0" containsString="0" containsBlank="1"/>
    </cacheField>
    <cacheField name="Column12707" numFmtId="0">
      <sharedItems containsNonDate="0" containsString="0" containsBlank="1"/>
    </cacheField>
    <cacheField name="Column12708" numFmtId="0">
      <sharedItems containsNonDate="0" containsString="0" containsBlank="1"/>
    </cacheField>
    <cacheField name="Column12709" numFmtId="0">
      <sharedItems containsNonDate="0" containsString="0" containsBlank="1"/>
    </cacheField>
    <cacheField name="Column12710" numFmtId="0">
      <sharedItems containsNonDate="0" containsString="0" containsBlank="1"/>
    </cacheField>
    <cacheField name="Column12711" numFmtId="0">
      <sharedItems containsNonDate="0" containsString="0" containsBlank="1"/>
    </cacheField>
    <cacheField name="Column12712" numFmtId="0">
      <sharedItems containsNonDate="0" containsString="0" containsBlank="1"/>
    </cacheField>
    <cacheField name="Column12713" numFmtId="0">
      <sharedItems containsNonDate="0" containsString="0" containsBlank="1"/>
    </cacheField>
    <cacheField name="Column12714" numFmtId="0">
      <sharedItems containsNonDate="0" containsString="0" containsBlank="1"/>
    </cacheField>
    <cacheField name="Column12715" numFmtId="0">
      <sharedItems containsNonDate="0" containsString="0" containsBlank="1"/>
    </cacheField>
    <cacheField name="Column12716" numFmtId="0">
      <sharedItems containsNonDate="0" containsString="0" containsBlank="1"/>
    </cacheField>
    <cacheField name="Column12717" numFmtId="0">
      <sharedItems containsNonDate="0" containsString="0" containsBlank="1"/>
    </cacheField>
    <cacheField name="Column12718" numFmtId="0">
      <sharedItems containsNonDate="0" containsString="0" containsBlank="1"/>
    </cacheField>
    <cacheField name="Column12719" numFmtId="0">
      <sharedItems containsNonDate="0" containsString="0" containsBlank="1"/>
    </cacheField>
    <cacheField name="Column12720" numFmtId="0">
      <sharedItems containsNonDate="0" containsString="0" containsBlank="1"/>
    </cacheField>
    <cacheField name="Column12721" numFmtId="0">
      <sharedItems containsNonDate="0" containsString="0" containsBlank="1"/>
    </cacheField>
    <cacheField name="Column12722" numFmtId="0">
      <sharedItems containsNonDate="0" containsString="0" containsBlank="1"/>
    </cacheField>
    <cacheField name="Column12723" numFmtId="0">
      <sharedItems containsNonDate="0" containsString="0" containsBlank="1"/>
    </cacheField>
    <cacheField name="Column12724" numFmtId="0">
      <sharedItems containsNonDate="0" containsString="0" containsBlank="1"/>
    </cacheField>
    <cacheField name="Column12725" numFmtId="0">
      <sharedItems containsNonDate="0" containsString="0" containsBlank="1"/>
    </cacheField>
    <cacheField name="Column12726" numFmtId="0">
      <sharedItems containsNonDate="0" containsString="0" containsBlank="1"/>
    </cacheField>
    <cacheField name="Column12727" numFmtId="0">
      <sharedItems containsNonDate="0" containsString="0" containsBlank="1"/>
    </cacheField>
    <cacheField name="Column12728" numFmtId="0">
      <sharedItems containsNonDate="0" containsString="0" containsBlank="1"/>
    </cacheField>
    <cacheField name="Column12729" numFmtId="0">
      <sharedItems containsNonDate="0" containsString="0" containsBlank="1"/>
    </cacheField>
    <cacheField name="Column12730" numFmtId="0">
      <sharedItems containsNonDate="0" containsString="0" containsBlank="1"/>
    </cacheField>
    <cacheField name="Column12731" numFmtId="0">
      <sharedItems containsNonDate="0" containsString="0" containsBlank="1"/>
    </cacheField>
    <cacheField name="Column12732" numFmtId="0">
      <sharedItems containsNonDate="0" containsString="0" containsBlank="1"/>
    </cacheField>
    <cacheField name="Column12733" numFmtId="0">
      <sharedItems containsNonDate="0" containsString="0" containsBlank="1"/>
    </cacheField>
    <cacheField name="Column12734" numFmtId="0">
      <sharedItems containsNonDate="0" containsString="0" containsBlank="1"/>
    </cacheField>
    <cacheField name="Column12735" numFmtId="0">
      <sharedItems containsNonDate="0" containsString="0" containsBlank="1"/>
    </cacheField>
    <cacheField name="Column12736" numFmtId="0">
      <sharedItems containsNonDate="0" containsString="0" containsBlank="1"/>
    </cacheField>
    <cacheField name="Column12737" numFmtId="0">
      <sharedItems containsNonDate="0" containsString="0" containsBlank="1"/>
    </cacheField>
    <cacheField name="Column12738" numFmtId="0">
      <sharedItems containsNonDate="0" containsString="0" containsBlank="1"/>
    </cacheField>
    <cacheField name="Column12739" numFmtId="0">
      <sharedItems containsNonDate="0" containsString="0" containsBlank="1"/>
    </cacheField>
    <cacheField name="Column12740" numFmtId="0">
      <sharedItems containsNonDate="0" containsString="0" containsBlank="1"/>
    </cacheField>
    <cacheField name="Column12741" numFmtId="0">
      <sharedItems containsNonDate="0" containsString="0" containsBlank="1"/>
    </cacheField>
    <cacheField name="Column12742" numFmtId="0">
      <sharedItems containsNonDate="0" containsString="0" containsBlank="1"/>
    </cacheField>
    <cacheField name="Column12743" numFmtId="0">
      <sharedItems containsNonDate="0" containsString="0" containsBlank="1"/>
    </cacheField>
    <cacheField name="Column12744" numFmtId="0">
      <sharedItems containsNonDate="0" containsString="0" containsBlank="1"/>
    </cacheField>
    <cacheField name="Column12745" numFmtId="0">
      <sharedItems containsNonDate="0" containsString="0" containsBlank="1"/>
    </cacheField>
    <cacheField name="Column12746" numFmtId="0">
      <sharedItems containsNonDate="0" containsString="0" containsBlank="1"/>
    </cacheField>
    <cacheField name="Column12747" numFmtId="0">
      <sharedItems containsNonDate="0" containsString="0" containsBlank="1"/>
    </cacheField>
    <cacheField name="Column12748" numFmtId="0">
      <sharedItems containsNonDate="0" containsString="0" containsBlank="1"/>
    </cacheField>
    <cacheField name="Column12749" numFmtId="0">
      <sharedItems containsNonDate="0" containsString="0" containsBlank="1"/>
    </cacheField>
    <cacheField name="Column12750" numFmtId="0">
      <sharedItems containsNonDate="0" containsString="0" containsBlank="1"/>
    </cacheField>
    <cacheField name="Column12751" numFmtId="0">
      <sharedItems containsNonDate="0" containsString="0" containsBlank="1"/>
    </cacheField>
    <cacheField name="Column12752" numFmtId="0">
      <sharedItems containsNonDate="0" containsString="0" containsBlank="1"/>
    </cacheField>
    <cacheField name="Column12753" numFmtId="0">
      <sharedItems containsNonDate="0" containsString="0" containsBlank="1"/>
    </cacheField>
    <cacheField name="Column12754" numFmtId="0">
      <sharedItems containsNonDate="0" containsString="0" containsBlank="1"/>
    </cacheField>
    <cacheField name="Column12755" numFmtId="0">
      <sharedItems containsNonDate="0" containsString="0" containsBlank="1"/>
    </cacheField>
    <cacheField name="Column12756" numFmtId="0">
      <sharedItems containsNonDate="0" containsString="0" containsBlank="1"/>
    </cacheField>
    <cacheField name="Column12757" numFmtId="0">
      <sharedItems containsNonDate="0" containsString="0" containsBlank="1"/>
    </cacheField>
    <cacheField name="Column12758" numFmtId="0">
      <sharedItems containsNonDate="0" containsString="0" containsBlank="1"/>
    </cacheField>
    <cacheField name="Column12759" numFmtId="0">
      <sharedItems containsNonDate="0" containsString="0" containsBlank="1"/>
    </cacheField>
    <cacheField name="Column12760" numFmtId="0">
      <sharedItems containsNonDate="0" containsString="0" containsBlank="1"/>
    </cacheField>
    <cacheField name="Column12761" numFmtId="0">
      <sharedItems containsNonDate="0" containsString="0" containsBlank="1"/>
    </cacheField>
    <cacheField name="Column12762" numFmtId="0">
      <sharedItems containsNonDate="0" containsString="0" containsBlank="1"/>
    </cacheField>
    <cacheField name="Column12763" numFmtId="0">
      <sharedItems containsNonDate="0" containsString="0" containsBlank="1"/>
    </cacheField>
    <cacheField name="Column12764" numFmtId="0">
      <sharedItems containsNonDate="0" containsString="0" containsBlank="1"/>
    </cacheField>
    <cacheField name="Column12765" numFmtId="0">
      <sharedItems containsNonDate="0" containsString="0" containsBlank="1"/>
    </cacheField>
    <cacheField name="Column12766" numFmtId="0">
      <sharedItems containsNonDate="0" containsString="0" containsBlank="1"/>
    </cacheField>
    <cacheField name="Column12767" numFmtId="0">
      <sharedItems containsNonDate="0" containsString="0" containsBlank="1"/>
    </cacheField>
    <cacheField name="Column12768" numFmtId="0">
      <sharedItems containsNonDate="0" containsString="0" containsBlank="1"/>
    </cacheField>
    <cacheField name="Column12769" numFmtId="0">
      <sharedItems containsNonDate="0" containsString="0" containsBlank="1"/>
    </cacheField>
    <cacheField name="Column12770" numFmtId="0">
      <sharedItems containsNonDate="0" containsString="0" containsBlank="1"/>
    </cacheField>
    <cacheField name="Column12771" numFmtId="0">
      <sharedItems containsNonDate="0" containsString="0" containsBlank="1"/>
    </cacheField>
    <cacheField name="Column12772" numFmtId="0">
      <sharedItems containsNonDate="0" containsString="0" containsBlank="1"/>
    </cacheField>
    <cacheField name="Column12773" numFmtId="0">
      <sharedItems containsNonDate="0" containsString="0" containsBlank="1"/>
    </cacheField>
    <cacheField name="Column12774" numFmtId="0">
      <sharedItems containsNonDate="0" containsString="0" containsBlank="1"/>
    </cacheField>
    <cacheField name="Column12775" numFmtId="0">
      <sharedItems containsNonDate="0" containsString="0" containsBlank="1"/>
    </cacheField>
    <cacheField name="Column12776" numFmtId="0">
      <sharedItems containsNonDate="0" containsString="0" containsBlank="1"/>
    </cacheField>
    <cacheField name="Column12777" numFmtId="0">
      <sharedItems containsNonDate="0" containsString="0" containsBlank="1"/>
    </cacheField>
    <cacheField name="Column12778" numFmtId="0">
      <sharedItems containsNonDate="0" containsString="0" containsBlank="1"/>
    </cacheField>
    <cacheField name="Column12779" numFmtId="0">
      <sharedItems containsNonDate="0" containsString="0" containsBlank="1"/>
    </cacheField>
    <cacheField name="Column12780" numFmtId="0">
      <sharedItems containsNonDate="0" containsString="0" containsBlank="1"/>
    </cacheField>
    <cacheField name="Column12781" numFmtId="0">
      <sharedItems containsNonDate="0" containsString="0" containsBlank="1"/>
    </cacheField>
    <cacheField name="Column12782" numFmtId="0">
      <sharedItems containsNonDate="0" containsString="0" containsBlank="1"/>
    </cacheField>
    <cacheField name="Column12783" numFmtId="0">
      <sharedItems containsNonDate="0" containsString="0" containsBlank="1"/>
    </cacheField>
    <cacheField name="Column12784" numFmtId="0">
      <sharedItems containsNonDate="0" containsString="0" containsBlank="1"/>
    </cacheField>
    <cacheField name="Column12785" numFmtId="0">
      <sharedItems containsNonDate="0" containsString="0" containsBlank="1"/>
    </cacheField>
    <cacheField name="Column12786" numFmtId="0">
      <sharedItems containsNonDate="0" containsString="0" containsBlank="1"/>
    </cacheField>
    <cacheField name="Column12787" numFmtId="0">
      <sharedItems containsNonDate="0" containsString="0" containsBlank="1"/>
    </cacheField>
    <cacheField name="Column12788" numFmtId="0">
      <sharedItems containsNonDate="0" containsString="0" containsBlank="1"/>
    </cacheField>
    <cacheField name="Column12789" numFmtId="0">
      <sharedItems containsNonDate="0" containsString="0" containsBlank="1"/>
    </cacheField>
    <cacheField name="Column12790" numFmtId="0">
      <sharedItems containsNonDate="0" containsString="0" containsBlank="1"/>
    </cacheField>
    <cacheField name="Column12791" numFmtId="0">
      <sharedItems containsNonDate="0" containsString="0" containsBlank="1"/>
    </cacheField>
    <cacheField name="Column12792" numFmtId="0">
      <sharedItems containsNonDate="0" containsString="0" containsBlank="1"/>
    </cacheField>
    <cacheField name="Column12793" numFmtId="0">
      <sharedItems containsNonDate="0" containsString="0" containsBlank="1"/>
    </cacheField>
    <cacheField name="Column12794" numFmtId="0">
      <sharedItems containsNonDate="0" containsString="0" containsBlank="1"/>
    </cacheField>
    <cacheField name="Column12795" numFmtId="0">
      <sharedItems containsNonDate="0" containsString="0" containsBlank="1"/>
    </cacheField>
    <cacheField name="Column12796" numFmtId="0">
      <sharedItems containsNonDate="0" containsString="0" containsBlank="1"/>
    </cacheField>
    <cacheField name="Column12797" numFmtId="0">
      <sharedItems containsNonDate="0" containsString="0" containsBlank="1"/>
    </cacheField>
    <cacheField name="Column12798" numFmtId="0">
      <sharedItems containsNonDate="0" containsString="0" containsBlank="1"/>
    </cacheField>
    <cacheField name="Column12799" numFmtId="0">
      <sharedItems containsNonDate="0" containsString="0" containsBlank="1"/>
    </cacheField>
    <cacheField name="Column12800" numFmtId="0">
      <sharedItems containsNonDate="0" containsString="0" containsBlank="1"/>
    </cacheField>
    <cacheField name="Column12801" numFmtId="0">
      <sharedItems containsNonDate="0" containsString="0" containsBlank="1"/>
    </cacheField>
    <cacheField name="Column12802" numFmtId="0">
      <sharedItems containsNonDate="0" containsString="0" containsBlank="1"/>
    </cacheField>
    <cacheField name="Column12803" numFmtId="0">
      <sharedItems containsNonDate="0" containsString="0" containsBlank="1"/>
    </cacheField>
    <cacheField name="Column12804" numFmtId="0">
      <sharedItems containsNonDate="0" containsString="0" containsBlank="1"/>
    </cacheField>
    <cacheField name="Column12805" numFmtId="0">
      <sharedItems containsNonDate="0" containsString="0" containsBlank="1"/>
    </cacheField>
    <cacheField name="Column12806" numFmtId="0">
      <sharedItems containsNonDate="0" containsString="0" containsBlank="1"/>
    </cacheField>
    <cacheField name="Column12807" numFmtId="0">
      <sharedItems containsNonDate="0" containsString="0" containsBlank="1"/>
    </cacheField>
    <cacheField name="Column12808" numFmtId="0">
      <sharedItems containsNonDate="0" containsString="0" containsBlank="1"/>
    </cacheField>
    <cacheField name="Column12809" numFmtId="0">
      <sharedItems containsNonDate="0" containsString="0" containsBlank="1"/>
    </cacheField>
    <cacheField name="Column12810" numFmtId="0">
      <sharedItems containsNonDate="0" containsString="0" containsBlank="1"/>
    </cacheField>
    <cacheField name="Column12811" numFmtId="0">
      <sharedItems containsNonDate="0" containsString="0" containsBlank="1"/>
    </cacheField>
    <cacheField name="Column12812" numFmtId="0">
      <sharedItems containsNonDate="0" containsString="0" containsBlank="1"/>
    </cacheField>
    <cacheField name="Column12813" numFmtId="0">
      <sharedItems containsNonDate="0" containsString="0" containsBlank="1"/>
    </cacheField>
    <cacheField name="Column12814" numFmtId="0">
      <sharedItems containsNonDate="0" containsString="0" containsBlank="1"/>
    </cacheField>
    <cacheField name="Column12815" numFmtId="0">
      <sharedItems containsNonDate="0" containsString="0" containsBlank="1"/>
    </cacheField>
    <cacheField name="Column12816" numFmtId="0">
      <sharedItems containsNonDate="0" containsString="0" containsBlank="1"/>
    </cacheField>
    <cacheField name="Column12817" numFmtId="0">
      <sharedItems containsNonDate="0" containsString="0" containsBlank="1"/>
    </cacheField>
    <cacheField name="Column12818" numFmtId="0">
      <sharedItems containsNonDate="0" containsString="0" containsBlank="1"/>
    </cacheField>
    <cacheField name="Column12819" numFmtId="0">
      <sharedItems containsNonDate="0" containsString="0" containsBlank="1"/>
    </cacheField>
    <cacheField name="Column12820" numFmtId="0">
      <sharedItems containsNonDate="0" containsString="0" containsBlank="1"/>
    </cacheField>
    <cacheField name="Column12821" numFmtId="0">
      <sharedItems containsNonDate="0" containsString="0" containsBlank="1"/>
    </cacheField>
    <cacheField name="Column12822" numFmtId="0">
      <sharedItems containsNonDate="0" containsString="0" containsBlank="1"/>
    </cacheField>
    <cacheField name="Column12823" numFmtId="0">
      <sharedItems containsNonDate="0" containsString="0" containsBlank="1"/>
    </cacheField>
    <cacheField name="Column12824" numFmtId="0">
      <sharedItems containsNonDate="0" containsString="0" containsBlank="1"/>
    </cacheField>
    <cacheField name="Column12825" numFmtId="0">
      <sharedItems containsNonDate="0" containsString="0" containsBlank="1"/>
    </cacheField>
    <cacheField name="Column12826" numFmtId="0">
      <sharedItems containsNonDate="0" containsString="0" containsBlank="1"/>
    </cacheField>
    <cacheField name="Column12827" numFmtId="0">
      <sharedItems containsNonDate="0" containsString="0" containsBlank="1"/>
    </cacheField>
    <cacheField name="Column12828" numFmtId="0">
      <sharedItems containsNonDate="0" containsString="0" containsBlank="1"/>
    </cacheField>
    <cacheField name="Column12829" numFmtId="0">
      <sharedItems containsNonDate="0" containsString="0" containsBlank="1"/>
    </cacheField>
    <cacheField name="Column12830" numFmtId="0">
      <sharedItems containsNonDate="0" containsString="0" containsBlank="1"/>
    </cacheField>
    <cacheField name="Column12831" numFmtId="0">
      <sharedItems containsNonDate="0" containsString="0" containsBlank="1"/>
    </cacheField>
    <cacheField name="Column12832" numFmtId="0">
      <sharedItems containsNonDate="0" containsString="0" containsBlank="1"/>
    </cacheField>
    <cacheField name="Column12833" numFmtId="0">
      <sharedItems containsNonDate="0" containsString="0" containsBlank="1"/>
    </cacheField>
    <cacheField name="Column12834" numFmtId="0">
      <sharedItems containsNonDate="0" containsString="0" containsBlank="1"/>
    </cacheField>
    <cacheField name="Column12835" numFmtId="0">
      <sharedItems containsNonDate="0" containsString="0" containsBlank="1"/>
    </cacheField>
    <cacheField name="Column12836" numFmtId="0">
      <sharedItems containsNonDate="0" containsString="0" containsBlank="1"/>
    </cacheField>
    <cacheField name="Column12837" numFmtId="0">
      <sharedItems containsNonDate="0" containsString="0" containsBlank="1"/>
    </cacheField>
    <cacheField name="Column12838" numFmtId="0">
      <sharedItems containsNonDate="0" containsString="0" containsBlank="1"/>
    </cacheField>
    <cacheField name="Column12839" numFmtId="0">
      <sharedItems containsNonDate="0" containsString="0" containsBlank="1"/>
    </cacheField>
    <cacheField name="Column12840" numFmtId="0">
      <sharedItems containsNonDate="0" containsString="0" containsBlank="1"/>
    </cacheField>
    <cacheField name="Column12841" numFmtId="0">
      <sharedItems containsNonDate="0" containsString="0" containsBlank="1"/>
    </cacheField>
    <cacheField name="Column12842" numFmtId="0">
      <sharedItems containsNonDate="0" containsString="0" containsBlank="1"/>
    </cacheField>
    <cacheField name="Column12843" numFmtId="0">
      <sharedItems containsNonDate="0" containsString="0" containsBlank="1"/>
    </cacheField>
    <cacheField name="Column12844" numFmtId="0">
      <sharedItems containsNonDate="0" containsString="0" containsBlank="1"/>
    </cacheField>
    <cacheField name="Column12845" numFmtId="0">
      <sharedItems containsNonDate="0" containsString="0" containsBlank="1"/>
    </cacheField>
    <cacheField name="Column12846" numFmtId="0">
      <sharedItems containsNonDate="0" containsString="0" containsBlank="1"/>
    </cacheField>
    <cacheField name="Column12847" numFmtId="0">
      <sharedItems containsNonDate="0" containsString="0" containsBlank="1"/>
    </cacheField>
    <cacheField name="Column12848" numFmtId="0">
      <sharedItems containsNonDate="0" containsString="0" containsBlank="1"/>
    </cacheField>
    <cacheField name="Column12849" numFmtId="0">
      <sharedItems containsNonDate="0" containsString="0" containsBlank="1"/>
    </cacheField>
    <cacheField name="Column12850" numFmtId="0">
      <sharedItems containsNonDate="0" containsString="0" containsBlank="1"/>
    </cacheField>
    <cacheField name="Column12851" numFmtId="0">
      <sharedItems containsNonDate="0" containsString="0" containsBlank="1"/>
    </cacheField>
    <cacheField name="Column12852" numFmtId="0">
      <sharedItems containsNonDate="0" containsString="0" containsBlank="1"/>
    </cacheField>
    <cacheField name="Column12853" numFmtId="0">
      <sharedItems containsNonDate="0" containsString="0" containsBlank="1"/>
    </cacheField>
    <cacheField name="Column12854" numFmtId="0">
      <sharedItems containsNonDate="0" containsString="0" containsBlank="1"/>
    </cacheField>
    <cacheField name="Column12855" numFmtId="0">
      <sharedItems containsNonDate="0" containsString="0" containsBlank="1"/>
    </cacheField>
    <cacheField name="Column12856" numFmtId="0">
      <sharedItems containsNonDate="0" containsString="0" containsBlank="1"/>
    </cacheField>
    <cacheField name="Column12857" numFmtId="0">
      <sharedItems containsNonDate="0" containsString="0" containsBlank="1"/>
    </cacheField>
    <cacheField name="Column12858" numFmtId="0">
      <sharedItems containsNonDate="0" containsString="0" containsBlank="1"/>
    </cacheField>
    <cacheField name="Column12859" numFmtId="0">
      <sharedItems containsNonDate="0" containsString="0" containsBlank="1"/>
    </cacheField>
    <cacheField name="Column12860" numFmtId="0">
      <sharedItems containsNonDate="0" containsString="0" containsBlank="1"/>
    </cacheField>
    <cacheField name="Column12861" numFmtId="0">
      <sharedItems containsNonDate="0" containsString="0" containsBlank="1"/>
    </cacheField>
    <cacheField name="Column12862" numFmtId="0">
      <sharedItems containsNonDate="0" containsString="0" containsBlank="1"/>
    </cacheField>
    <cacheField name="Column12863" numFmtId="0">
      <sharedItems containsNonDate="0" containsString="0" containsBlank="1"/>
    </cacheField>
    <cacheField name="Column12864" numFmtId="0">
      <sharedItems containsNonDate="0" containsString="0" containsBlank="1"/>
    </cacheField>
    <cacheField name="Column12865" numFmtId="0">
      <sharedItems containsNonDate="0" containsString="0" containsBlank="1"/>
    </cacheField>
    <cacheField name="Column12866" numFmtId="0">
      <sharedItems containsNonDate="0" containsString="0" containsBlank="1"/>
    </cacheField>
    <cacheField name="Column12867" numFmtId="0">
      <sharedItems containsNonDate="0" containsString="0" containsBlank="1"/>
    </cacheField>
    <cacheField name="Column12868" numFmtId="0">
      <sharedItems containsNonDate="0" containsString="0" containsBlank="1"/>
    </cacheField>
    <cacheField name="Column12869" numFmtId="0">
      <sharedItems containsNonDate="0" containsString="0" containsBlank="1"/>
    </cacheField>
    <cacheField name="Column12870" numFmtId="0">
      <sharedItems containsNonDate="0" containsString="0" containsBlank="1"/>
    </cacheField>
    <cacheField name="Column12871" numFmtId="0">
      <sharedItems containsNonDate="0" containsString="0" containsBlank="1"/>
    </cacheField>
    <cacheField name="Column12872" numFmtId="0">
      <sharedItems containsNonDate="0" containsString="0" containsBlank="1"/>
    </cacheField>
    <cacheField name="Column12873" numFmtId="0">
      <sharedItems containsNonDate="0" containsString="0" containsBlank="1"/>
    </cacheField>
    <cacheField name="Column12874" numFmtId="0">
      <sharedItems containsNonDate="0" containsString="0" containsBlank="1"/>
    </cacheField>
    <cacheField name="Column12875" numFmtId="0">
      <sharedItems containsNonDate="0" containsString="0" containsBlank="1"/>
    </cacheField>
    <cacheField name="Column12876" numFmtId="0">
      <sharedItems containsNonDate="0" containsString="0" containsBlank="1"/>
    </cacheField>
    <cacheField name="Column12877" numFmtId="0">
      <sharedItems containsNonDate="0" containsString="0" containsBlank="1"/>
    </cacheField>
    <cacheField name="Column12878" numFmtId="0">
      <sharedItems containsNonDate="0" containsString="0" containsBlank="1"/>
    </cacheField>
    <cacheField name="Column12879" numFmtId="0">
      <sharedItems containsNonDate="0" containsString="0" containsBlank="1"/>
    </cacheField>
    <cacheField name="Column12880" numFmtId="0">
      <sharedItems containsNonDate="0" containsString="0" containsBlank="1"/>
    </cacheField>
    <cacheField name="Column12881" numFmtId="0">
      <sharedItems containsNonDate="0" containsString="0" containsBlank="1"/>
    </cacheField>
    <cacheField name="Column12882" numFmtId="0">
      <sharedItems containsNonDate="0" containsString="0" containsBlank="1"/>
    </cacheField>
    <cacheField name="Column12883" numFmtId="0">
      <sharedItems containsNonDate="0" containsString="0" containsBlank="1"/>
    </cacheField>
    <cacheField name="Column12884" numFmtId="0">
      <sharedItems containsNonDate="0" containsString="0" containsBlank="1"/>
    </cacheField>
    <cacheField name="Column12885" numFmtId="0">
      <sharedItems containsNonDate="0" containsString="0" containsBlank="1"/>
    </cacheField>
    <cacheField name="Column12886" numFmtId="0">
      <sharedItems containsNonDate="0" containsString="0" containsBlank="1"/>
    </cacheField>
    <cacheField name="Column12887" numFmtId="0">
      <sharedItems containsNonDate="0" containsString="0" containsBlank="1"/>
    </cacheField>
    <cacheField name="Column12888" numFmtId="0">
      <sharedItems containsNonDate="0" containsString="0" containsBlank="1"/>
    </cacheField>
    <cacheField name="Column12889" numFmtId="0">
      <sharedItems containsNonDate="0" containsString="0" containsBlank="1"/>
    </cacheField>
    <cacheField name="Column12890" numFmtId="0">
      <sharedItems containsNonDate="0" containsString="0" containsBlank="1"/>
    </cacheField>
    <cacheField name="Column12891" numFmtId="0">
      <sharedItems containsNonDate="0" containsString="0" containsBlank="1"/>
    </cacheField>
    <cacheField name="Column12892" numFmtId="0">
      <sharedItems containsNonDate="0" containsString="0" containsBlank="1"/>
    </cacheField>
    <cacheField name="Column12893" numFmtId="0">
      <sharedItems containsNonDate="0" containsString="0" containsBlank="1"/>
    </cacheField>
    <cacheField name="Column12894" numFmtId="0">
      <sharedItems containsNonDate="0" containsString="0" containsBlank="1"/>
    </cacheField>
    <cacheField name="Column12895" numFmtId="0">
      <sharedItems containsNonDate="0" containsString="0" containsBlank="1"/>
    </cacheField>
    <cacheField name="Column12896" numFmtId="0">
      <sharedItems containsNonDate="0" containsString="0" containsBlank="1"/>
    </cacheField>
    <cacheField name="Column12897" numFmtId="0">
      <sharedItems containsNonDate="0" containsString="0" containsBlank="1"/>
    </cacheField>
    <cacheField name="Column12898" numFmtId="0">
      <sharedItems containsNonDate="0" containsString="0" containsBlank="1"/>
    </cacheField>
    <cacheField name="Column12899" numFmtId="0">
      <sharedItems containsNonDate="0" containsString="0" containsBlank="1"/>
    </cacheField>
    <cacheField name="Column12900" numFmtId="0">
      <sharedItems containsNonDate="0" containsString="0" containsBlank="1"/>
    </cacheField>
    <cacheField name="Column12901" numFmtId="0">
      <sharedItems containsNonDate="0" containsString="0" containsBlank="1"/>
    </cacheField>
    <cacheField name="Column12902" numFmtId="0">
      <sharedItems containsNonDate="0" containsString="0" containsBlank="1"/>
    </cacheField>
    <cacheField name="Column12903" numFmtId="0">
      <sharedItems containsNonDate="0" containsString="0" containsBlank="1"/>
    </cacheField>
    <cacheField name="Column12904" numFmtId="0">
      <sharedItems containsNonDate="0" containsString="0" containsBlank="1"/>
    </cacheField>
    <cacheField name="Column12905" numFmtId="0">
      <sharedItems containsNonDate="0" containsString="0" containsBlank="1"/>
    </cacheField>
    <cacheField name="Column12906" numFmtId="0">
      <sharedItems containsNonDate="0" containsString="0" containsBlank="1"/>
    </cacheField>
    <cacheField name="Column12907" numFmtId="0">
      <sharedItems containsNonDate="0" containsString="0" containsBlank="1"/>
    </cacheField>
    <cacheField name="Column12908" numFmtId="0">
      <sharedItems containsNonDate="0" containsString="0" containsBlank="1"/>
    </cacheField>
    <cacheField name="Column12909" numFmtId="0">
      <sharedItems containsNonDate="0" containsString="0" containsBlank="1"/>
    </cacheField>
    <cacheField name="Column12910" numFmtId="0">
      <sharedItems containsNonDate="0" containsString="0" containsBlank="1"/>
    </cacheField>
    <cacheField name="Column12911" numFmtId="0">
      <sharedItems containsNonDate="0" containsString="0" containsBlank="1"/>
    </cacheField>
    <cacheField name="Column12912" numFmtId="0">
      <sharedItems containsNonDate="0" containsString="0" containsBlank="1"/>
    </cacheField>
    <cacheField name="Column12913" numFmtId="0">
      <sharedItems containsNonDate="0" containsString="0" containsBlank="1"/>
    </cacheField>
    <cacheField name="Column12914" numFmtId="0">
      <sharedItems containsNonDate="0" containsString="0" containsBlank="1"/>
    </cacheField>
    <cacheField name="Column12915" numFmtId="0">
      <sharedItems containsNonDate="0" containsString="0" containsBlank="1"/>
    </cacheField>
    <cacheField name="Column12916" numFmtId="0">
      <sharedItems containsNonDate="0" containsString="0" containsBlank="1"/>
    </cacheField>
    <cacheField name="Column12917" numFmtId="0">
      <sharedItems containsNonDate="0" containsString="0" containsBlank="1"/>
    </cacheField>
    <cacheField name="Column12918" numFmtId="0">
      <sharedItems containsNonDate="0" containsString="0" containsBlank="1"/>
    </cacheField>
    <cacheField name="Column12919" numFmtId="0">
      <sharedItems containsNonDate="0" containsString="0" containsBlank="1"/>
    </cacheField>
    <cacheField name="Column12920" numFmtId="0">
      <sharedItems containsNonDate="0" containsString="0" containsBlank="1"/>
    </cacheField>
    <cacheField name="Column12921" numFmtId="0">
      <sharedItems containsNonDate="0" containsString="0" containsBlank="1"/>
    </cacheField>
    <cacheField name="Column12922" numFmtId="0">
      <sharedItems containsNonDate="0" containsString="0" containsBlank="1"/>
    </cacheField>
    <cacheField name="Column12923" numFmtId="0">
      <sharedItems containsNonDate="0" containsString="0" containsBlank="1"/>
    </cacheField>
    <cacheField name="Column12924" numFmtId="0">
      <sharedItems containsNonDate="0" containsString="0" containsBlank="1"/>
    </cacheField>
    <cacheField name="Column12925" numFmtId="0">
      <sharedItems containsNonDate="0" containsString="0" containsBlank="1"/>
    </cacheField>
    <cacheField name="Column12926" numFmtId="0">
      <sharedItems containsNonDate="0" containsString="0" containsBlank="1"/>
    </cacheField>
    <cacheField name="Column12927" numFmtId="0">
      <sharedItems containsNonDate="0" containsString="0" containsBlank="1"/>
    </cacheField>
    <cacheField name="Column12928" numFmtId="0">
      <sharedItems containsNonDate="0" containsString="0" containsBlank="1"/>
    </cacheField>
    <cacheField name="Column12929" numFmtId="0">
      <sharedItems containsNonDate="0" containsString="0" containsBlank="1"/>
    </cacheField>
    <cacheField name="Column12930" numFmtId="0">
      <sharedItems containsNonDate="0" containsString="0" containsBlank="1"/>
    </cacheField>
    <cacheField name="Column12931" numFmtId="0">
      <sharedItems containsNonDate="0" containsString="0" containsBlank="1"/>
    </cacheField>
    <cacheField name="Column12932" numFmtId="0">
      <sharedItems containsNonDate="0" containsString="0" containsBlank="1"/>
    </cacheField>
    <cacheField name="Column12933" numFmtId="0">
      <sharedItems containsNonDate="0" containsString="0" containsBlank="1"/>
    </cacheField>
    <cacheField name="Column12934" numFmtId="0">
      <sharedItems containsNonDate="0" containsString="0" containsBlank="1"/>
    </cacheField>
    <cacheField name="Column12935" numFmtId="0">
      <sharedItems containsNonDate="0" containsString="0" containsBlank="1"/>
    </cacheField>
    <cacheField name="Column12936" numFmtId="0">
      <sharedItems containsNonDate="0" containsString="0" containsBlank="1"/>
    </cacheField>
    <cacheField name="Column12937" numFmtId="0">
      <sharedItems containsNonDate="0" containsString="0" containsBlank="1"/>
    </cacheField>
    <cacheField name="Column12938" numFmtId="0">
      <sharedItems containsNonDate="0" containsString="0" containsBlank="1"/>
    </cacheField>
    <cacheField name="Column12939" numFmtId="0">
      <sharedItems containsNonDate="0" containsString="0" containsBlank="1"/>
    </cacheField>
    <cacheField name="Column12940" numFmtId="0">
      <sharedItems containsNonDate="0" containsString="0" containsBlank="1"/>
    </cacheField>
    <cacheField name="Column12941" numFmtId="0">
      <sharedItems containsNonDate="0" containsString="0" containsBlank="1"/>
    </cacheField>
    <cacheField name="Column12942" numFmtId="0">
      <sharedItems containsNonDate="0" containsString="0" containsBlank="1"/>
    </cacheField>
    <cacheField name="Column12943" numFmtId="0">
      <sharedItems containsNonDate="0" containsString="0" containsBlank="1"/>
    </cacheField>
    <cacheField name="Column12944" numFmtId="0">
      <sharedItems containsNonDate="0" containsString="0" containsBlank="1"/>
    </cacheField>
    <cacheField name="Column12945" numFmtId="0">
      <sharedItems containsNonDate="0" containsString="0" containsBlank="1"/>
    </cacheField>
    <cacheField name="Column12946" numFmtId="0">
      <sharedItems containsNonDate="0" containsString="0" containsBlank="1"/>
    </cacheField>
    <cacheField name="Column12947" numFmtId="0">
      <sharedItems containsNonDate="0" containsString="0" containsBlank="1"/>
    </cacheField>
    <cacheField name="Column12948" numFmtId="0">
      <sharedItems containsNonDate="0" containsString="0" containsBlank="1"/>
    </cacheField>
    <cacheField name="Column12949" numFmtId="0">
      <sharedItems containsNonDate="0" containsString="0" containsBlank="1"/>
    </cacheField>
    <cacheField name="Column12950" numFmtId="0">
      <sharedItems containsNonDate="0" containsString="0" containsBlank="1"/>
    </cacheField>
    <cacheField name="Column12951" numFmtId="0">
      <sharedItems containsNonDate="0" containsString="0" containsBlank="1"/>
    </cacheField>
    <cacheField name="Column12952" numFmtId="0">
      <sharedItems containsNonDate="0" containsString="0" containsBlank="1"/>
    </cacheField>
    <cacheField name="Column12953" numFmtId="0">
      <sharedItems containsNonDate="0" containsString="0" containsBlank="1"/>
    </cacheField>
    <cacheField name="Column12954" numFmtId="0">
      <sharedItems containsNonDate="0" containsString="0" containsBlank="1"/>
    </cacheField>
    <cacheField name="Column12955" numFmtId="0">
      <sharedItems containsNonDate="0" containsString="0" containsBlank="1"/>
    </cacheField>
    <cacheField name="Column12956" numFmtId="0">
      <sharedItems containsNonDate="0" containsString="0" containsBlank="1"/>
    </cacheField>
    <cacheField name="Column12957" numFmtId="0">
      <sharedItems containsNonDate="0" containsString="0" containsBlank="1"/>
    </cacheField>
    <cacheField name="Column12958" numFmtId="0">
      <sharedItems containsNonDate="0" containsString="0" containsBlank="1"/>
    </cacheField>
    <cacheField name="Column12959" numFmtId="0">
      <sharedItems containsNonDate="0" containsString="0" containsBlank="1"/>
    </cacheField>
    <cacheField name="Column12960" numFmtId="0">
      <sharedItems containsNonDate="0" containsString="0" containsBlank="1"/>
    </cacheField>
    <cacheField name="Column12961" numFmtId="0">
      <sharedItems containsNonDate="0" containsString="0" containsBlank="1"/>
    </cacheField>
    <cacheField name="Column12962" numFmtId="0">
      <sharedItems containsNonDate="0" containsString="0" containsBlank="1"/>
    </cacheField>
    <cacheField name="Column12963" numFmtId="0">
      <sharedItems containsNonDate="0" containsString="0" containsBlank="1"/>
    </cacheField>
    <cacheField name="Column12964" numFmtId="0">
      <sharedItems containsNonDate="0" containsString="0" containsBlank="1"/>
    </cacheField>
    <cacheField name="Column12965" numFmtId="0">
      <sharedItems containsNonDate="0" containsString="0" containsBlank="1"/>
    </cacheField>
    <cacheField name="Column12966" numFmtId="0">
      <sharedItems containsNonDate="0" containsString="0" containsBlank="1"/>
    </cacheField>
    <cacheField name="Column12967" numFmtId="0">
      <sharedItems containsNonDate="0" containsString="0" containsBlank="1"/>
    </cacheField>
    <cacheField name="Column12968" numFmtId="0">
      <sharedItems containsNonDate="0" containsString="0" containsBlank="1"/>
    </cacheField>
    <cacheField name="Column12969" numFmtId="0">
      <sharedItems containsNonDate="0" containsString="0" containsBlank="1"/>
    </cacheField>
    <cacheField name="Column12970" numFmtId="0">
      <sharedItems containsNonDate="0" containsString="0" containsBlank="1"/>
    </cacheField>
    <cacheField name="Column12971" numFmtId="0">
      <sharedItems containsNonDate="0" containsString="0" containsBlank="1"/>
    </cacheField>
    <cacheField name="Column12972" numFmtId="0">
      <sharedItems containsNonDate="0" containsString="0" containsBlank="1"/>
    </cacheField>
    <cacheField name="Column12973" numFmtId="0">
      <sharedItems containsNonDate="0" containsString="0" containsBlank="1"/>
    </cacheField>
    <cacheField name="Column12974" numFmtId="0">
      <sharedItems containsNonDate="0" containsString="0" containsBlank="1"/>
    </cacheField>
    <cacheField name="Column12975" numFmtId="0">
      <sharedItems containsNonDate="0" containsString="0" containsBlank="1"/>
    </cacheField>
    <cacheField name="Column12976" numFmtId="0">
      <sharedItems containsNonDate="0" containsString="0" containsBlank="1"/>
    </cacheField>
    <cacheField name="Column12977" numFmtId="0">
      <sharedItems containsNonDate="0" containsString="0" containsBlank="1"/>
    </cacheField>
    <cacheField name="Column12978" numFmtId="0">
      <sharedItems containsNonDate="0" containsString="0" containsBlank="1"/>
    </cacheField>
    <cacheField name="Column12979" numFmtId="0">
      <sharedItems containsNonDate="0" containsString="0" containsBlank="1"/>
    </cacheField>
    <cacheField name="Column12980" numFmtId="0">
      <sharedItems containsNonDate="0" containsString="0" containsBlank="1"/>
    </cacheField>
    <cacheField name="Column12981" numFmtId="0">
      <sharedItems containsNonDate="0" containsString="0" containsBlank="1"/>
    </cacheField>
    <cacheField name="Column12982" numFmtId="0">
      <sharedItems containsNonDate="0" containsString="0" containsBlank="1"/>
    </cacheField>
    <cacheField name="Column12983" numFmtId="0">
      <sharedItems containsNonDate="0" containsString="0" containsBlank="1"/>
    </cacheField>
    <cacheField name="Column12984" numFmtId="0">
      <sharedItems containsNonDate="0" containsString="0" containsBlank="1"/>
    </cacheField>
    <cacheField name="Column12985" numFmtId="0">
      <sharedItems containsNonDate="0" containsString="0" containsBlank="1"/>
    </cacheField>
    <cacheField name="Column12986" numFmtId="0">
      <sharedItems containsNonDate="0" containsString="0" containsBlank="1"/>
    </cacheField>
    <cacheField name="Column12987" numFmtId="0">
      <sharedItems containsNonDate="0" containsString="0" containsBlank="1"/>
    </cacheField>
    <cacheField name="Column12988" numFmtId="0">
      <sharedItems containsNonDate="0" containsString="0" containsBlank="1"/>
    </cacheField>
    <cacheField name="Column12989" numFmtId="0">
      <sharedItems containsNonDate="0" containsString="0" containsBlank="1"/>
    </cacheField>
    <cacheField name="Column12990" numFmtId="0">
      <sharedItems containsNonDate="0" containsString="0" containsBlank="1"/>
    </cacheField>
    <cacheField name="Column12991" numFmtId="0">
      <sharedItems containsNonDate="0" containsString="0" containsBlank="1"/>
    </cacheField>
    <cacheField name="Column12992" numFmtId="0">
      <sharedItems containsNonDate="0" containsString="0" containsBlank="1"/>
    </cacheField>
    <cacheField name="Column12993" numFmtId="0">
      <sharedItems containsNonDate="0" containsString="0" containsBlank="1"/>
    </cacheField>
    <cacheField name="Column12994" numFmtId="0">
      <sharedItems containsNonDate="0" containsString="0" containsBlank="1"/>
    </cacheField>
    <cacheField name="Column12995" numFmtId="0">
      <sharedItems containsNonDate="0" containsString="0" containsBlank="1"/>
    </cacheField>
    <cacheField name="Column12996" numFmtId="0">
      <sharedItems containsNonDate="0" containsString="0" containsBlank="1"/>
    </cacheField>
    <cacheField name="Column12997" numFmtId="0">
      <sharedItems containsNonDate="0" containsString="0" containsBlank="1"/>
    </cacheField>
    <cacheField name="Column12998" numFmtId="0">
      <sharedItems containsNonDate="0" containsString="0" containsBlank="1"/>
    </cacheField>
    <cacheField name="Column12999" numFmtId="0">
      <sharedItems containsNonDate="0" containsString="0" containsBlank="1"/>
    </cacheField>
    <cacheField name="Column13000" numFmtId="0">
      <sharedItems containsNonDate="0" containsString="0" containsBlank="1"/>
    </cacheField>
    <cacheField name="Column13001" numFmtId="0">
      <sharedItems containsNonDate="0" containsString="0" containsBlank="1"/>
    </cacheField>
    <cacheField name="Column13002" numFmtId="0">
      <sharedItems containsNonDate="0" containsString="0" containsBlank="1"/>
    </cacheField>
    <cacheField name="Column13003" numFmtId="0">
      <sharedItems containsNonDate="0" containsString="0" containsBlank="1"/>
    </cacheField>
    <cacheField name="Column13004" numFmtId="0">
      <sharedItems containsNonDate="0" containsString="0" containsBlank="1"/>
    </cacheField>
    <cacheField name="Column13005" numFmtId="0">
      <sharedItems containsNonDate="0" containsString="0" containsBlank="1"/>
    </cacheField>
    <cacheField name="Column13006" numFmtId="0">
      <sharedItems containsNonDate="0" containsString="0" containsBlank="1"/>
    </cacheField>
    <cacheField name="Column13007" numFmtId="0">
      <sharedItems containsNonDate="0" containsString="0" containsBlank="1"/>
    </cacheField>
    <cacheField name="Column13008" numFmtId="0">
      <sharedItems containsNonDate="0" containsString="0" containsBlank="1"/>
    </cacheField>
    <cacheField name="Column13009" numFmtId="0">
      <sharedItems containsNonDate="0" containsString="0" containsBlank="1"/>
    </cacheField>
    <cacheField name="Column13010" numFmtId="0">
      <sharedItems containsNonDate="0" containsString="0" containsBlank="1"/>
    </cacheField>
    <cacheField name="Column13011" numFmtId="0">
      <sharedItems containsNonDate="0" containsString="0" containsBlank="1"/>
    </cacheField>
    <cacheField name="Column13012" numFmtId="0">
      <sharedItems containsNonDate="0" containsString="0" containsBlank="1"/>
    </cacheField>
    <cacheField name="Column13013" numFmtId="0">
      <sharedItems containsNonDate="0" containsString="0" containsBlank="1"/>
    </cacheField>
    <cacheField name="Column13014" numFmtId="0">
      <sharedItems containsNonDate="0" containsString="0" containsBlank="1"/>
    </cacheField>
    <cacheField name="Column13015" numFmtId="0">
      <sharedItems containsNonDate="0" containsString="0" containsBlank="1"/>
    </cacheField>
    <cacheField name="Column13016" numFmtId="0">
      <sharedItems containsNonDate="0" containsString="0" containsBlank="1"/>
    </cacheField>
    <cacheField name="Column13017" numFmtId="0">
      <sharedItems containsNonDate="0" containsString="0" containsBlank="1"/>
    </cacheField>
    <cacheField name="Column13018" numFmtId="0">
      <sharedItems containsNonDate="0" containsString="0" containsBlank="1"/>
    </cacheField>
    <cacheField name="Column13019" numFmtId="0">
      <sharedItems containsNonDate="0" containsString="0" containsBlank="1"/>
    </cacheField>
    <cacheField name="Column13020" numFmtId="0">
      <sharedItems containsNonDate="0" containsString="0" containsBlank="1"/>
    </cacheField>
    <cacheField name="Column13021" numFmtId="0">
      <sharedItems containsNonDate="0" containsString="0" containsBlank="1"/>
    </cacheField>
    <cacheField name="Column13022" numFmtId="0">
      <sharedItems containsNonDate="0" containsString="0" containsBlank="1"/>
    </cacheField>
    <cacheField name="Column13023" numFmtId="0">
      <sharedItems containsNonDate="0" containsString="0" containsBlank="1"/>
    </cacheField>
    <cacheField name="Column13024" numFmtId="0">
      <sharedItems containsNonDate="0" containsString="0" containsBlank="1"/>
    </cacheField>
    <cacheField name="Column13025" numFmtId="0">
      <sharedItems containsNonDate="0" containsString="0" containsBlank="1"/>
    </cacheField>
    <cacheField name="Column13026" numFmtId="0">
      <sharedItems containsNonDate="0" containsString="0" containsBlank="1"/>
    </cacheField>
    <cacheField name="Column13027" numFmtId="0">
      <sharedItems containsNonDate="0" containsString="0" containsBlank="1"/>
    </cacheField>
    <cacheField name="Column13028" numFmtId="0">
      <sharedItems containsNonDate="0" containsString="0" containsBlank="1"/>
    </cacheField>
    <cacheField name="Column13029" numFmtId="0">
      <sharedItems containsNonDate="0" containsString="0" containsBlank="1"/>
    </cacheField>
    <cacheField name="Column13030" numFmtId="0">
      <sharedItems containsNonDate="0" containsString="0" containsBlank="1"/>
    </cacheField>
    <cacheField name="Column13031" numFmtId="0">
      <sharedItems containsNonDate="0" containsString="0" containsBlank="1"/>
    </cacheField>
    <cacheField name="Column13032" numFmtId="0">
      <sharedItems containsNonDate="0" containsString="0" containsBlank="1"/>
    </cacheField>
    <cacheField name="Column13033" numFmtId="0">
      <sharedItems containsNonDate="0" containsString="0" containsBlank="1"/>
    </cacheField>
    <cacheField name="Column13034" numFmtId="0">
      <sharedItems containsNonDate="0" containsString="0" containsBlank="1"/>
    </cacheField>
    <cacheField name="Column13035" numFmtId="0">
      <sharedItems containsNonDate="0" containsString="0" containsBlank="1"/>
    </cacheField>
    <cacheField name="Column13036" numFmtId="0">
      <sharedItems containsNonDate="0" containsString="0" containsBlank="1"/>
    </cacheField>
    <cacheField name="Column13037" numFmtId="0">
      <sharedItems containsNonDate="0" containsString="0" containsBlank="1"/>
    </cacheField>
    <cacheField name="Column13038" numFmtId="0">
      <sharedItems containsNonDate="0" containsString="0" containsBlank="1"/>
    </cacheField>
    <cacheField name="Column13039" numFmtId="0">
      <sharedItems containsNonDate="0" containsString="0" containsBlank="1"/>
    </cacheField>
    <cacheField name="Column13040" numFmtId="0">
      <sharedItems containsNonDate="0" containsString="0" containsBlank="1"/>
    </cacheField>
    <cacheField name="Column13041" numFmtId="0">
      <sharedItems containsNonDate="0" containsString="0" containsBlank="1"/>
    </cacheField>
    <cacheField name="Column13042" numFmtId="0">
      <sharedItems containsNonDate="0" containsString="0" containsBlank="1"/>
    </cacheField>
    <cacheField name="Column13043" numFmtId="0">
      <sharedItems containsNonDate="0" containsString="0" containsBlank="1"/>
    </cacheField>
    <cacheField name="Column13044" numFmtId="0">
      <sharedItems containsNonDate="0" containsString="0" containsBlank="1"/>
    </cacheField>
    <cacheField name="Column13045" numFmtId="0">
      <sharedItems containsNonDate="0" containsString="0" containsBlank="1"/>
    </cacheField>
    <cacheField name="Column13046" numFmtId="0">
      <sharedItems containsNonDate="0" containsString="0" containsBlank="1"/>
    </cacheField>
    <cacheField name="Column13047" numFmtId="0">
      <sharedItems containsNonDate="0" containsString="0" containsBlank="1"/>
    </cacheField>
    <cacheField name="Column13048" numFmtId="0">
      <sharedItems containsNonDate="0" containsString="0" containsBlank="1"/>
    </cacheField>
    <cacheField name="Column13049" numFmtId="0">
      <sharedItems containsNonDate="0" containsString="0" containsBlank="1"/>
    </cacheField>
    <cacheField name="Column13050" numFmtId="0">
      <sharedItems containsNonDate="0" containsString="0" containsBlank="1"/>
    </cacheField>
    <cacheField name="Column13051" numFmtId="0">
      <sharedItems containsNonDate="0" containsString="0" containsBlank="1"/>
    </cacheField>
    <cacheField name="Column13052" numFmtId="0">
      <sharedItems containsNonDate="0" containsString="0" containsBlank="1"/>
    </cacheField>
    <cacheField name="Column13053" numFmtId="0">
      <sharedItems containsNonDate="0" containsString="0" containsBlank="1"/>
    </cacheField>
    <cacheField name="Column13054" numFmtId="0">
      <sharedItems containsNonDate="0" containsString="0" containsBlank="1"/>
    </cacheField>
    <cacheField name="Column13055" numFmtId="0">
      <sharedItems containsNonDate="0" containsString="0" containsBlank="1"/>
    </cacheField>
    <cacheField name="Column13056" numFmtId="0">
      <sharedItems containsNonDate="0" containsString="0" containsBlank="1"/>
    </cacheField>
    <cacheField name="Column13057" numFmtId="0">
      <sharedItems containsNonDate="0" containsString="0" containsBlank="1"/>
    </cacheField>
    <cacheField name="Column13058" numFmtId="0">
      <sharedItems containsNonDate="0" containsString="0" containsBlank="1"/>
    </cacheField>
    <cacheField name="Column13059" numFmtId="0">
      <sharedItems containsNonDate="0" containsString="0" containsBlank="1"/>
    </cacheField>
    <cacheField name="Column13060" numFmtId="0">
      <sharedItems containsNonDate="0" containsString="0" containsBlank="1"/>
    </cacheField>
    <cacheField name="Column13061" numFmtId="0">
      <sharedItems containsNonDate="0" containsString="0" containsBlank="1"/>
    </cacheField>
    <cacheField name="Column13062" numFmtId="0">
      <sharedItems containsNonDate="0" containsString="0" containsBlank="1"/>
    </cacheField>
    <cacheField name="Column13063" numFmtId="0">
      <sharedItems containsNonDate="0" containsString="0" containsBlank="1"/>
    </cacheField>
    <cacheField name="Column13064" numFmtId="0">
      <sharedItems containsNonDate="0" containsString="0" containsBlank="1"/>
    </cacheField>
    <cacheField name="Column13065" numFmtId="0">
      <sharedItems containsNonDate="0" containsString="0" containsBlank="1"/>
    </cacheField>
    <cacheField name="Column13066" numFmtId="0">
      <sharedItems containsNonDate="0" containsString="0" containsBlank="1"/>
    </cacheField>
    <cacheField name="Column13067" numFmtId="0">
      <sharedItems containsNonDate="0" containsString="0" containsBlank="1"/>
    </cacheField>
    <cacheField name="Column13068" numFmtId="0">
      <sharedItems containsNonDate="0" containsString="0" containsBlank="1"/>
    </cacheField>
    <cacheField name="Column13069" numFmtId="0">
      <sharedItems containsNonDate="0" containsString="0" containsBlank="1"/>
    </cacheField>
    <cacheField name="Column13070" numFmtId="0">
      <sharedItems containsNonDate="0" containsString="0" containsBlank="1"/>
    </cacheField>
    <cacheField name="Column13071" numFmtId="0">
      <sharedItems containsNonDate="0" containsString="0" containsBlank="1"/>
    </cacheField>
    <cacheField name="Column13072" numFmtId="0">
      <sharedItems containsNonDate="0" containsString="0" containsBlank="1"/>
    </cacheField>
    <cacheField name="Column13073" numFmtId="0">
      <sharedItems containsNonDate="0" containsString="0" containsBlank="1"/>
    </cacheField>
    <cacheField name="Column13074" numFmtId="0">
      <sharedItems containsNonDate="0" containsString="0" containsBlank="1"/>
    </cacheField>
    <cacheField name="Column13075" numFmtId="0">
      <sharedItems containsNonDate="0" containsString="0" containsBlank="1"/>
    </cacheField>
    <cacheField name="Column13076" numFmtId="0">
      <sharedItems containsNonDate="0" containsString="0" containsBlank="1"/>
    </cacheField>
    <cacheField name="Column13077" numFmtId="0">
      <sharedItems containsNonDate="0" containsString="0" containsBlank="1"/>
    </cacheField>
    <cacheField name="Column13078" numFmtId="0">
      <sharedItems containsNonDate="0" containsString="0" containsBlank="1"/>
    </cacheField>
    <cacheField name="Column13079" numFmtId="0">
      <sharedItems containsNonDate="0" containsString="0" containsBlank="1"/>
    </cacheField>
    <cacheField name="Column13080" numFmtId="0">
      <sharedItems containsNonDate="0" containsString="0" containsBlank="1"/>
    </cacheField>
    <cacheField name="Column13081" numFmtId="0">
      <sharedItems containsNonDate="0" containsString="0" containsBlank="1"/>
    </cacheField>
    <cacheField name="Column13082" numFmtId="0">
      <sharedItems containsNonDate="0" containsString="0" containsBlank="1"/>
    </cacheField>
    <cacheField name="Column13083" numFmtId="0">
      <sharedItems containsNonDate="0" containsString="0" containsBlank="1"/>
    </cacheField>
    <cacheField name="Column13084" numFmtId="0">
      <sharedItems containsNonDate="0" containsString="0" containsBlank="1"/>
    </cacheField>
    <cacheField name="Column13085" numFmtId="0">
      <sharedItems containsNonDate="0" containsString="0" containsBlank="1"/>
    </cacheField>
    <cacheField name="Column13086" numFmtId="0">
      <sharedItems containsNonDate="0" containsString="0" containsBlank="1"/>
    </cacheField>
    <cacheField name="Column13087" numFmtId="0">
      <sharedItems containsNonDate="0" containsString="0" containsBlank="1"/>
    </cacheField>
    <cacheField name="Column13088" numFmtId="0">
      <sharedItems containsNonDate="0" containsString="0" containsBlank="1"/>
    </cacheField>
    <cacheField name="Column13089" numFmtId="0">
      <sharedItems containsNonDate="0" containsString="0" containsBlank="1"/>
    </cacheField>
    <cacheField name="Column13090" numFmtId="0">
      <sharedItems containsNonDate="0" containsString="0" containsBlank="1"/>
    </cacheField>
    <cacheField name="Column13091" numFmtId="0">
      <sharedItems containsNonDate="0" containsString="0" containsBlank="1"/>
    </cacheField>
    <cacheField name="Column13092" numFmtId="0">
      <sharedItems containsNonDate="0" containsString="0" containsBlank="1"/>
    </cacheField>
    <cacheField name="Column13093" numFmtId="0">
      <sharedItems containsNonDate="0" containsString="0" containsBlank="1"/>
    </cacheField>
    <cacheField name="Column13094" numFmtId="0">
      <sharedItems containsNonDate="0" containsString="0" containsBlank="1"/>
    </cacheField>
    <cacheField name="Column13095" numFmtId="0">
      <sharedItems containsNonDate="0" containsString="0" containsBlank="1"/>
    </cacheField>
    <cacheField name="Column13096" numFmtId="0">
      <sharedItems containsNonDate="0" containsString="0" containsBlank="1"/>
    </cacheField>
    <cacheField name="Column13097" numFmtId="0">
      <sharedItems containsNonDate="0" containsString="0" containsBlank="1"/>
    </cacheField>
    <cacheField name="Column13098" numFmtId="0">
      <sharedItems containsNonDate="0" containsString="0" containsBlank="1"/>
    </cacheField>
    <cacheField name="Column13099" numFmtId="0">
      <sharedItems containsNonDate="0" containsString="0" containsBlank="1"/>
    </cacheField>
    <cacheField name="Column13100" numFmtId="0">
      <sharedItems containsNonDate="0" containsString="0" containsBlank="1"/>
    </cacheField>
    <cacheField name="Column13101" numFmtId="0">
      <sharedItems containsNonDate="0" containsString="0" containsBlank="1"/>
    </cacheField>
    <cacheField name="Column13102" numFmtId="0">
      <sharedItems containsNonDate="0" containsString="0" containsBlank="1"/>
    </cacheField>
    <cacheField name="Column13103" numFmtId="0">
      <sharedItems containsNonDate="0" containsString="0" containsBlank="1"/>
    </cacheField>
    <cacheField name="Column13104" numFmtId="0">
      <sharedItems containsNonDate="0" containsString="0" containsBlank="1"/>
    </cacheField>
    <cacheField name="Column13105" numFmtId="0">
      <sharedItems containsNonDate="0" containsString="0" containsBlank="1"/>
    </cacheField>
    <cacheField name="Column13106" numFmtId="0">
      <sharedItems containsNonDate="0" containsString="0" containsBlank="1"/>
    </cacheField>
    <cacheField name="Column13107" numFmtId="0">
      <sharedItems containsNonDate="0" containsString="0" containsBlank="1"/>
    </cacheField>
    <cacheField name="Column13108" numFmtId="0">
      <sharedItems containsNonDate="0" containsString="0" containsBlank="1"/>
    </cacheField>
    <cacheField name="Column13109" numFmtId="0">
      <sharedItems containsNonDate="0" containsString="0" containsBlank="1"/>
    </cacheField>
    <cacheField name="Column13110" numFmtId="0">
      <sharedItems containsNonDate="0" containsString="0" containsBlank="1"/>
    </cacheField>
    <cacheField name="Column13111" numFmtId="0">
      <sharedItems containsNonDate="0" containsString="0" containsBlank="1"/>
    </cacheField>
    <cacheField name="Column13112" numFmtId="0">
      <sharedItems containsNonDate="0" containsString="0" containsBlank="1"/>
    </cacheField>
    <cacheField name="Column13113" numFmtId="0">
      <sharedItems containsNonDate="0" containsString="0" containsBlank="1"/>
    </cacheField>
    <cacheField name="Column13114" numFmtId="0">
      <sharedItems containsNonDate="0" containsString="0" containsBlank="1"/>
    </cacheField>
    <cacheField name="Column13115" numFmtId="0">
      <sharedItems containsNonDate="0" containsString="0" containsBlank="1"/>
    </cacheField>
    <cacheField name="Column13116" numFmtId="0">
      <sharedItems containsNonDate="0" containsString="0" containsBlank="1"/>
    </cacheField>
    <cacheField name="Column13117" numFmtId="0">
      <sharedItems containsNonDate="0" containsString="0" containsBlank="1"/>
    </cacheField>
    <cacheField name="Column13118" numFmtId="0">
      <sharedItems containsNonDate="0" containsString="0" containsBlank="1"/>
    </cacheField>
    <cacheField name="Column13119" numFmtId="0">
      <sharedItems containsNonDate="0" containsString="0" containsBlank="1"/>
    </cacheField>
    <cacheField name="Column13120" numFmtId="0">
      <sharedItems containsNonDate="0" containsString="0" containsBlank="1"/>
    </cacheField>
    <cacheField name="Column13121" numFmtId="0">
      <sharedItems containsNonDate="0" containsString="0" containsBlank="1"/>
    </cacheField>
    <cacheField name="Column13122" numFmtId="0">
      <sharedItems containsNonDate="0" containsString="0" containsBlank="1"/>
    </cacheField>
    <cacheField name="Column13123" numFmtId="0">
      <sharedItems containsNonDate="0" containsString="0" containsBlank="1"/>
    </cacheField>
    <cacheField name="Column13124" numFmtId="0">
      <sharedItems containsNonDate="0" containsString="0" containsBlank="1"/>
    </cacheField>
    <cacheField name="Column13125" numFmtId="0">
      <sharedItems containsNonDate="0" containsString="0" containsBlank="1"/>
    </cacheField>
    <cacheField name="Column13126" numFmtId="0">
      <sharedItems containsNonDate="0" containsString="0" containsBlank="1"/>
    </cacheField>
    <cacheField name="Column13127" numFmtId="0">
      <sharedItems containsNonDate="0" containsString="0" containsBlank="1"/>
    </cacheField>
    <cacheField name="Column13128" numFmtId="0">
      <sharedItems containsNonDate="0" containsString="0" containsBlank="1"/>
    </cacheField>
    <cacheField name="Column13129" numFmtId="0">
      <sharedItems containsNonDate="0" containsString="0" containsBlank="1"/>
    </cacheField>
    <cacheField name="Column13130" numFmtId="0">
      <sharedItems containsNonDate="0" containsString="0" containsBlank="1"/>
    </cacheField>
    <cacheField name="Column13131" numFmtId="0">
      <sharedItems containsNonDate="0" containsString="0" containsBlank="1"/>
    </cacheField>
    <cacheField name="Column13132" numFmtId="0">
      <sharedItems containsNonDate="0" containsString="0" containsBlank="1"/>
    </cacheField>
    <cacheField name="Column13133" numFmtId="0">
      <sharedItems containsNonDate="0" containsString="0" containsBlank="1"/>
    </cacheField>
    <cacheField name="Column13134" numFmtId="0">
      <sharedItems containsNonDate="0" containsString="0" containsBlank="1"/>
    </cacheField>
    <cacheField name="Column13135" numFmtId="0">
      <sharedItems containsNonDate="0" containsString="0" containsBlank="1"/>
    </cacheField>
    <cacheField name="Column13136" numFmtId="0">
      <sharedItems containsNonDate="0" containsString="0" containsBlank="1"/>
    </cacheField>
    <cacheField name="Column13137" numFmtId="0">
      <sharedItems containsNonDate="0" containsString="0" containsBlank="1"/>
    </cacheField>
    <cacheField name="Column13138" numFmtId="0">
      <sharedItems containsNonDate="0" containsString="0" containsBlank="1"/>
    </cacheField>
    <cacheField name="Column13139" numFmtId="0">
      <sharedItems containsNonDate="0" containsString="0" containsBlank="1"/>
    </cacheField>
    <cacheField name="Column13140" numFmtId="0">
      <sharedItems containsNonDate="0" containsString="0" containsBlank="1"/>
    </cacheField>
    <cacheField name="Column13141" numFmtId="0">
      <sharedItems containsNonDate="0" containsString="0" containsBlank="1"/>
    </cacheField>
    <cacheField name="Column13142" numFmtId="0">
      <sharedItems containsNonDate="0" containsString="0" containsBlank="1"/>
    </cacheField>
    <cacheField name="Column13143" numFmtId="0">
      <sharedItems containsNonDate="0" containsString="0" containsBlank="1"/>
    </cacheField>
    <cacheField name="Column13144" numFmtId="0">
      <sharedItems containsNonDate="0" containsString="0" containsBlank="1"/>
    </cacheField>
    <cacheField name="Column13145" numFmtId="0">
      <sharedItems containsNonDate="0" containsString="0" containsBlank="1"/>
    </cacheField>
    <cacheField name="Column13146" numFmtId="0">
      <sharedItems containsNonDate="0" containsString="0" containsBlank="1"/>
    </cacheField>
    <cacheField name="Column13147" numFmtId="0">
      <sharedItems containsNonDate="0" containsString="0" containsBlank="1"/>
    </cacheField>
    <cacheField name="Column13148" numFmtId="0">
      <sharedItems containsNonDate="0" containsString="0" containsBlank="1"/>
    </cacheField>
    <cacheField name="Column13149" numFmtId="0">
      <sharedItems containsNonDate="0" containsString="0" containsBlank="1"/>
    </cacheField>
    <cacheField name="Column13150" numFmtId="0">
      <sharedItems containsNonDate="0" containsString="0" containsBlank="1"/>
    </cacheField>
    <cacheField name="Column13151" numFmtId="0">
      <sharedItems containsNonDate="0" containsString="0" containsBlank="1"/>
    </cacheField>
    <cacheField name="Column13152" numFmtId="0">
      <sharedItems containsNonDate="0" containsString="0" containsBlank="1"/>
    </cacheField>
    <cacheField name="Column13153" numFmtId="0">
      <sharedItems containsNonDate="0" containsString="0" containsBlank="1"/>
    </cacheField>
    <cacheField name="Column13154" numFmtId="0">
      <sharedItems containsNonDate="0" containsString="0" containsBlank="1"/>
    </cacheField>
    <cacheField name="Column13155" numFmtId="0">
      <sharedItems containsNonDate="0" containsString="0" containsBlank="1"/>
    </cacheField>
    <cacheField name="Column13156" numFmtId="0">
      <sharedItems containsNonDate="0" containsString="0" containsBlank="1"/>
    </cacheField>
    <cacheField name="Column13157" numFmtId="0">
      <sharedItems containsNonDate="0" containsString="0" containsBlank="1"/>
    </cacheField>
    <cacheField name="Column13158" numFmtId="0">
      <sharedItems containsNonDate="0" containsString="0" containsBlank="1"/>
    </cacheField>
    <cacheField name="Column13159" numFmtId="0">
      <sharedItems containsNonDate="0" containsString="0" containsBlank="1"/>
    </cacheField>
    <cacheField name="Column13160" numFmtId="0">
      <sharedItems containsNonDate="0" containsString="0" containsBlank="1"/>
    </cacheField>
    <cacheField name="Column13161" numFmtId="0">
      <sharedItems containsNonDate="0" containsString="0" containsBlank="1"/>
    </cacheField>
    <cacheField name="Column13162" numFmtId="0">
      <sharedItems containsNonDate="0" containsString="0" containsBlank="1"/>
    </cacheField>
    <cacheField name="Column13163" numFmtId="0">
      <sharedItems containsNonDate="0" containsString="0" containsBlank="1"/>
    </cacheField>
    <cacheField name="Column13164" numFmtId="0">
      <sharedItems containsNonDate="0" containsString="0" containsBlank="1"/>
    </cacheField>
    <cacheField name="Column13165" numFmtId="0">
      <sharedItems containsNonDate="0" containsString="0" containsBlank="1"/>
    </cacheField>
    <cacheField name="Column13166" numFmtId="0">
      <sharedItems containsNonDate="0" containsString="0" containsBlank="1"/>
    </cacheField>
    <cacheField name="Column13167" numFmtId="0">
      <sharedItems containsNonDate="0" containsString="0" containsBlank="1"/>
    </cacheField>
    <cacheField name="Column13168" numFmtId="0">
      <sharedItems containsNonDate="0" containsString="0" containsBlank="1"/>
    </cacheField>
    <cacheField name="Column13169" numFmtId="0">
      <sharedItems containsNonDate="0" containsString="0" containsBlank="1"/>
    </cacheField>
    <cacheField name="Column13170" numFmtId="0">
      <sharedItems containsNonDate="0" containsString="0" containsBlank="1"/>
    </cacheField>
    <cacheField name="Column13171" numFmtId="0">
      <sharedItems containsNonDate="0" containsString="0" containsBlank="1"/>
    </cacheField>
    <cacheField name="Column13172" numFmtId="0">
      <sharedItems containsNonDate="0" containsString="0" containsBlank="1"/>
    </cacheField>
    <cacheField name="Column13173" numFmtId="0">
      <sharedItems containsNonDate="0" containsString="0" containsBlank="1"/>
    </cacheField>
    <cacheField name="Column13174" numFmtId="0">
      <sharedItems containsNonDate="0" containsString="0" containsBlank="1"/>
    </cacheField>
    <cacheField name="Column13175" numFmtId="0">
      <sharedItems containsNonDate="0" containsString="0" containsBlank="1"/>
    </cacheField>
    <cacheField name="Column13176" numFmtId="0">
      <sharedItems containsNonDate="0" containsString="0" containsBlank="1"/>
    </cacheField>
    <cacheField name="Column13177" numFmtId="0">
      <sharedItems containsNonDate="0" containsString="0" containsBlank="1"/>
    </cacheField>
    <cacheField name="Column13178" numFmtId="0">
      <sharedItems containsNonDate="0" containsString="0" containsBlank="1"/>
    </cacheField>
    <cacheField name="Column13179" numFmtId="0">
      <sharedItems containsNonDate="0" containsString="0" containsBlank="1"/>
    </cacheField>
    <cacheField name="Column13180" numFmtId="0">
      <sharedItems containsNonDate="0" containsString="0" containsBlank="1"/>
    </cacheField>
    <cacheField name="Column13181" numFmtId="0">
      <sharedItems containsNonDate="0" containsString="0" containsBlank="1"/>
    </cacheField>
    <cacheField name="Column13182" numFmtId="0">
      <sharedItems containsNonDate="0" containsString="0" containsBlank="1"/>
    </cacheField>
    <cacheField name="Column13183" numFmtId="0">
      <sharedItems containsNonDate="0" containsString="0" containsBlank="1"/>
    </cacheField>
    <cacheField name="Column13184" numFmtId="0">
      <sharedItems containsNonDate="0" containsString="0" containsBlank="1"/>
    </cacheField>
    <cacheField name="Column13185" numFmtId="0">
      <sharedItems containsNonDate="0" containsString="0" containsBlank="1"/>
    </cacheField>
    <cacheField name="Column13186" numFmtId="0">
      <sharedItems containsNonDate="0" containsString="0" containsBlank="1"/>
    </cacheField>
    <cacheField name="Column13187" numFmtId="0">
      <sharedItems containsNonDate="0" containsString="0" containsBlank="1"/>
    </cacheField>
    <cacheField name="Column13188" numFmtId="0">
      <sharedItems containsNonDate="0" containsString="0" containsBlank="1"/>
    </cacheField>
    <cacheField name="Column13189" numFmtId="0">
      <sharedItems containsNonDate="0" containsString="0" containsBlank="1"/>
    </cacheField>
    <cacheField name="Column13190" numFmtId="0">
      <sharedItems containsNonDate="0" containsString="0" containsBlank="1"/>
    </cacheField>
    <cacheField name="Column13191" numFmtId="0">
      <sharedItems containsNonDate="0" containsString="0" containsBlank="1"/>
    </cacheField>
    <cacheField name="Column13192" numFmtId="0">
      <sharedItems containsNonDate="0" containsString="0" containsBlank="1"/>
    </cacheField>
    <cacheField name="Column13193" numFmtId="0">
      <sharedItems containsNonDate="0" containsString="0" containsBlank="1"/>
    </cacheField>
    <cacheField name="Column13194" numFmtId="0">
      <sharedItems containsNonDate="0" containsString="0" containsBlank="1"/>
    </cacheField>
    <cacheField name="Column13195" numFmtId="0">
      <sharedItems containsNonDate="0" containsString="0" containsBlank="1"/>
    </cacheField>
    <cacheField name="Column13196" numFmtId="0">
      <sharedItems containsNonDate="0" containsString="0" containsBlank="1"/>
    </cacheField>
    <cacheField name="Column13197" numFmtId="0">
      <sharedItems containsNonDate="0" containsString="0" containsBlank="1"/>
    </cacheField>
    <cacheField name="Column13198" numFmtId="0">
      <sharedItems containsNonDate="0" containsString="0" containsBlank="1"/>
    </cacheField>
    <cacheField name="Column13199" numFmtId="0">
      <sharedItems containsNonDate="0" containsString="0" containsBlank="1"/>
    </cacheField>
    <cacheField name="Column13200" numFmtId="0">
      <sharedItems containsNonDate="0" containsString="0" containsBlank="1"/>
    </cacheField>
    <cacheField name="Column13201" numFmtId="0">
      <sharedItems containsNonDate="0" containsString="0" containsBlank="1"/>
    </cacheField>
    <cacheField name="Column13202" numFmtId="0">
      <sharedItems containsNonDate="0" containsString="0" containsBlank="1"/>
    </cacheField>
    <cacheField name="Column13203" numFmtId="0">
      <sharedItems containsNonDate="0" containsString="0" containsBlank="1"/>
    </cacheField>
    <cacheField name="Column13204" numFmtId="0">
      <sharedItems containsNonDate="0" containsString="0" containsBlank="1"/>
    </cacheField>
    <cacheField name="Column13205" numFmtId="0">
      <sharedItems containsNonDate="0" containsString="0" containsBlank="1"/>
    </cacheField>
    <cacheField name="Column13206" numFmtId="0">
      <sharedItems containsNonDate="0" containsString="0" containsBlank="1"/>
    </cacheField>
    <cacheField name="Column13207" numFmtId="0">
      <sharedItems containsNonDate="0" containsString="0" containsBlank="1"/>
    </cacheField>
    <cacheField name="Column13208" numFmtId="0">
      <sharedItems containsNonDate="0" containsString="0" containsBlank="1"/>
    </cacheField>
    <cacheField name="Column13209" numFmtId="0">
      <sharedItems containsNonDate="0" containsString="0" containsBlank="1"/>
    </cacheField>
    <cacheField name="Column13210" numFmtId="0">
      <sharedItems containsNonDate="0" containsString="0" containsBlank="1"/>
    </cacheField>
    <cacheField name="Column13211" numFmtId="0">
      <sharedItems containsNonDate="0" containsString="0" containsBlank="1"/>
    </cacheField>
    <cacheField name="Column13212" numFmtId="0">
      <sharedItems containsNonDate="0" containsString="0" containsBlank="1"/>
    </cacheField>
    <cacheField name="Column13213" numFmtId="0">
      <sharedItems containsNonDate="0" containsString="0" containsBlank="1"/>
    </cacheField>
    <cacheField name="Column13214" numFmtId="0">
      <sharedItems containsNonDate="0" containsString="0" containsBlank="1"/>
    </cacheField>
    <cacheField name="Column13215" numFmtId="0">
      <sharedItems containsNonDate="0" containsString="0" containsBlank="1"/>
    </cacheField>
    <cacheField name="Column13216" numFmtId="0">
      <sharedItems containsNonDate="0" containsString="0" containsBlank="1"/>
    </cacheField>
    <cacheField name="Column13217" numFmtId="0">
      <sharedItems containsNonDate="0" containsString="0" containsBlank="1"/>
    </cacheField>
    <cacheField name="Column13218" numFmtId="0">
      <sharedItems containsNonDate="0" containsString="0" containsBlank="1"/>
    </cacheField>
    <cacheField name="Column13219" numFmtId="0">
      <sharedItems containsNonDate="0" containsString="0" containsBlank="1"/>
    </cacheField>
    <cacheField name="Column13220" numFmtId="0">
      <sharedItems containsNonDate="0" containsString="0" containsBlank="1"/>
    </cacheField>
    <cacheField name="Column13221" numFmtId="0">
      <sharedItems containsNonDate="0" containsString="0" containsBlank="1"/>
    </cacheField>
    <cacheField name="Column13222" numFmtId="0">
      <sharedItems containsNonDate="0" containsString="0" containsBlank="1"/>
    </cacheField>
    <cacheField name="Column13223" numFmtId="0">
      <sharedItems containsNonDate="0" containsString="0" containsBlank="1"/>
    </cacheField>
    <cacheField name="Column13224" numFmtId="0">
      <sharedItems containsNonDate="0" containsString="0" containsBlank="1"/>
    </cacheField>
    <cacheField name="Column13225" numFmtId="0">
      <sharedItems containsNonDate="0" containsString="0" containsBlank="1"/>
    </cacheField>
    <cacheField name="Column13226" numFmtId="0">
      <sharedItems containsNonDate="0" containsString="0" containsBlank="1"/>
    </cacheField>
    <cacheField name="Column13227" numFmtId="0">
      <sharedItems containsNonDate="0" containsString="0" containsBlank="1"/>
    </cacheField>
    <cacheField name="Column13228" numFmtId="0">
      <sharedItems containsNonDate="0" containsString="0" containsBlank="1"/>
    </cacheField>
    <cacheField name="Column13229" numFmtId="0">
      <sharedItems containsNonDate="0" containsString="0" containsBlank="1"/>
    </cacheField>
    <cacheField name="Column13230" numFmtId="0">
      <sharedItems containsNonDate="0" containsString="0" containsBlank="1"/>
    </cacheField>
    <cacheField name="Column13231" numFmtId="0">
      <sharedItems containsNonDate="0" containsString="0" containsBlank="1"/>
    </cacheField>
    <cacheField name="Column13232" numFmtId="0">
      <sharedItems containsNonDate="0" containsString="0" containsBlank="1"/>
    </cacheField>
    <cacheField name="Column13233" numFmtId="0">
      <sharedItems containsNonDate="0" containsString="0" containsBlank="1"/>
    </cacheField>
    <cacheField name="Column13234" numFmtId="0">
      <sharedItems containsNonDate="0" containsString="0" containsBlank="1"/>
    </cacheField>
    <cacheField name="Column13235" numFmtId="0">
      <sharedItems containsNonDate="0" containsString="0" containsBlank="1"/>
    </cacheField>
    <cacheField name="Column13236" numFmtId="0">
      <sharedItems containsNonDate="0" containsString="0" containsBlank="1"/>
    </cacheField>
    <cacheField name="Column13237" numFmtId="0">
      <sharedItems containsNonDate="0" containsString="0" containsBlank="1"/>
    </cacheField>
    <cacheField name="Column13238" numFmtId="0">
      <sharedItems containsNonDate="0" containsString="0" containsBlank="1"/>
    </cacheField>
    <cacheField name="Column13239" numFmtId="0">
      <sharedItems containsNonDate="0" containsString="0" containsBlank="1"/>
    </cacheField>
    <cacheField name="Column13240" numFmtId="0">
      <sharedItems containsNonDate="0" containsString="0" containsBlank="1"/>
    </cacheField>
    <cacheField name="Column13241" numFmtId="0">
      <sharedItems containsNonDate="0" containsString="0" containsBlank="1"/>
    </cacheField>
    <cacheField name="Column13242" numFmtId="0">
      <sharedItems containsNonDate="0" containsString="0" containsBlank="1"/>
    </cacheField>
    <cacheField name="Column13243" numFmtId="0">
      <sharedItems containsNonDate="0" containsString="0" containsBlank="1"/>
    </cacheField>
    <cacheField name="Column13244" numFmtId="0">
      <sharedItems containsNonDate="0" containsString="0" containsBlank="1"/>
    </cacheField>
    <cacheField name="Column13245" numFmtId="0">
      <sharedItems containsNonDate="0" containsString="0" containsBlank="1"/>
    </cacheField>
    <cacheField name="Column13246" numFmtId="0">
      <sharedItems containsNonDate="0" containsString="0" containsBlank="1"/>
    </cacheField>
    <cacheField name="Column13247" numFmtId="0">
      <sharedItems containsNonDate="0" containsString="0" containsBlank="1"/>
    </cacheField>
    <cacheField name="Column13248" numFmtId="0">
      <sharedItems containsNonDate="0" containsString="0" containsBlank="1"/>
    </cacheField>
    <cacheField name="Column13249" numFmtId="0">
      <sharedItems containsNonDate="0" containsString="0" containsBlank="1"/>
    </cacheField>
    <cacheField name="Column13250" numFmtId="0">
      <sharedItems containsNonDate="0" containsString="0" containsBlank="1"/>
    </cacheField>
    <cacheField name="Column13251" numFmtId="0">
      <sharedItems containsNonDate="0" containsString="0" containsBlank="1"/>
    </cacheField>
    <cacheField name="Column13252" numFmtId="0">
      <sharedItems containsNonDate="0" containsString="0" containsBlank="1"/>
    </cacheField>
    <cacheField name="Column13253" numFmtId="0">
      <sharedItems containsNonDate="0" containsString="0" containsBlank="1"/>
    </cacheField>
    <cacheField name="Column13254" numFmtId="0">
      <sharedItems containsNonDate="0" containsString="0" containsBlank="1"/>
    </cacheField>
    <cacheField name="Column13255" numFmtId="0">
      <sharedItems containsNonDate="0" containsString="0" containsBlank="1"/>
    </cacheField>
    <cacheField name="Column13256" numFmtId="0">
      <sharedItems containsNonDate="0" containsString="0" containsBlank="1"/>
    </cacheField>
    <cacheField name="Column13257" numFmtId="0">
      <sharedItems containsNonDate="0" containsString="0" containsBlank="1"/>
    </cacheField>
    <cacheField name="Column13258" numFmtId="0">
      <sharedItems containsNonDate="0" containsString="0" containsBlank="1"/>
    </cacheField>
    <cacheField name="Column13259" numFmtId="0">
      <sharedItems containsNonDate="0" containsString="0" containsBlank="1"/>
    </cacheField>
    <cacheField name="Column13260" numFmtId="0">
      <sharedItems containsNonDate="0" containsString="0" containsBlank="1"/>
    </cacheField>
    <cacheField name="Column13261" numFmtId="0">
      <sharedItems containsNonDate="0" containsString="0" containsBlank="1"/>
    </cacheField>
    <cacheField name="Column13262" numFmtId="0">
      <sharedItems containsNonDate="0" containsString="0" containsBlank="1"/>
    </cacheField>
    <cacheField name="Column13263" numFmtId="0">
      <sharedItems containsNonDate="0" containsString="0" containsBlank="1"/>
    </cacheField>
    <cacheField name="Column13264" numFmtId="0">
      <sharedItems containsNonDate="0" containsString="0" containsBlank="1"/>
    </cacheField>
    <cacheField name="Column13265" numFmtId="0">
      <sharedItems containsNonDate="0" containsString="0" containsBlank="1"/>
    </cacheField>
    <cacheField name="Column13266" numFmtId="0">
      <sharedItems containsNonDate="0" containsString="0" containsBlank="1"/>
    </cacheField>
    <cacheField name="Column13267" numFmtId="0">
      <sharedItems containsNonDate="0" containsString="0" containsBlank="1"/>
    </cacheField>
    <cacheField name="Column13268" numFmtId="0">
      <sharedItems containsNonDate="0" containsString="0" containsBlank="1"/>
    </cacheField>
    <cacheField name="Column13269" numFmtId="0">
      <sharedItems containsNonDate="0" containsString="0" containsBlank="1"/>
    </cacheField>
    <cacheField name="Column13270" numFmtId="0">
      <sharedItems containsNonDate="0" containsString="0" containsBlank="1"/>
    </cacheField>
    <cacheField name="Column13271" numFmtId="0">
      <sharedItems containsNonDate="0" containsString="0" containsBlank="1"/>
    </cacheField>
    <cacheField name="Column13272" numFmtId="0">
      <sharedItems containsNonDate="0" containsString="0" containsBlank="1"/>
    </cacheField>
    <cacheField name="Column13273" numFmtId="0">
      <sharedItems containsNonDate="0" containsString="0" containsBlank="1"/>
    </cacheField>
    <cacheField name="Column13274" numFmtId="0">
      <sharedItems containsNonDate="0" containsString="0" containsBlank="1"/>
    </cacheField>
    <cacheField name="Column13275" numFmtId="0">
      <sharedItems containsNonDate="0" containsString="0" containsBlank="1"/>
    </cacheField>
    <cacheField name="Column13276" numFmtId="0">
      <sharedItems containsNonDate="0" containsString="0" containsBlank="1"/>
    </cacheField>
    <cacheField name="Column13277" numFmtId="0">
      <sharedItems containsNonDate="0" containsString="0" containsBlank="1"/>
    </cacheField>
    <cacheField name="Column13278" numFmtId="0">
      <sharedItems containsNonDate="0" containsString="0" containsBlank="1"/>
    </cacheField>
    <cacheField name="Column13279" numFmtId="0">
      <sharedItems containsNonDate="0" containsString="0" containsBlank="1"/>
    </cacheField>
    <cacheField name="Column13280" numFmtId="0">
      <sharedItems containsNonDate="0" containsString="0" containsBlank="1"/>
    </cacheField>
    <cacheField name="Column13281" numFmtId="0">
      <sharedItems containsNonDate="0" containsString="0" containsBlank="1"/>
    </cacheField>
    <cacheField name="Column13282" numFmtId="0">
      <sharedItems containsNonDate="0" containsString="0" containsBlank="1"/>
    </cacheField>
    <cacheField name="Column13283" numFmtId="0">
      <sharedItems containsNonDate="0" containsString="0" containsBlank="1"/>
    </cacheField>
    <cacheField name="Column13284" numFmtId="0">
      <sharedItems containsNonDate="0" containsString="0" containsBlank="1"/>
    </cacheField>
    <cacheField name="Column13285" numFmtId="0">
      <sharedItems containsNonDate="0" containsString="0" containsBlank="1"/>
    </cacheField>
    <cacheField name="Column13286" numFmtId="0">
      <sharedItems containsNonDate="0" containsString="0" containsBlank="1"/>
    </cacheField>
    <cacheField name="Column13287" numFmtId="0">
      <sharedItems containsNonDate="0" containsString="0" containsBlank="1"/>
    </cacheField>
    <cacheField name="Column13288" numFmtId="0">
      <sharedItems containsNonDate="0" containsString="0" containsBlank="1"/>
    </cacheField>
    <cacheField name="Column13289" numFmtId="0">
      <sharedItems containsNonDate="0" containsString="0" containsBlank="1"/>
    </cacheField>
    <cacheField name="Column13290" numFmtId="0">
      <sharedItems containsNonDate="0" containsString="0" containsBlank="1"/>
    </cacheField>
    <cacheField name="Column13291" numFmtId="0">
      <sharedItems containsNonDate="0" containsString="0" containsBlank="1"/>
    </cacheField>
    <cacheField name="Column13292" numFmtId="0">
      <sharedItems containsNonDate="0" containsString="0" containsBlank="1"/>
    </cacheField>
    <cacheField name="Column13293" numFmtId="0">
      <sharedItems containsNonDate="0" containsString="0" containsBlank="1"/>
    </cacheField>
    <cacheField name="Column13294" numFmtId="0">
      <sharedItems containsNonDate="0" containsString="0" containsBlank="1"/>
    </cacheField>
    <cacheField name="Column13295" numFmtId="0">
      <sharedItems containsNonDate="0" containsString="0" containsBlank="1"/>
    </cacheField>
    <cacheField name="Column13296" numFmtId="0">
      <sharedItems containsNonDate="0" containsString="0" containsBlank="1"/>
    </cacheField>
    <cacheField name="Column13297" numFmtId="0">
      <sharedItems containsNonDate="0" containsString="0" containsBlank="1"/>
    </cacheField>
    <cacheField name="Column13298" numFmtId="0">
      <sharedItems containsNonDate="0" containsString="0" containsBlank="1"/>
    </cacheField>
    <cacheField name="Column13299" numFmtId="0">
      <sharedItems containsNonDate="0" containsString="0" containsBlank="1"/>
    </cacheField>
    <cacheField name="Column13300" numFmtId="0">
      <sharedItems containsNonDate="0" containsString="0" containsBlank="1"/>
    </cacheField>
    <cacheField name="Column13301" numFmtId="0">
      <sharedItems containsNonDate="0" containsString="0" containsBlank="1"/>
    </cacheField>
    <cacheField name="Column13302" numFmtId="0">
      <sharedItems containsNonDate="0" containsString="0" containsBlank="1"/>
    </cacheField>
    <cacheField name="Column13303" numFmtId="0">
      <sharedItems containsNonDate="0" containsString="0" containsBlank="1"/>
    </cacheField>
    <cacheField name="Column13304" numFmtId="0">
      <sharedItems containsNonDate="0" containsString="0" containsBlank="1"/>
    </cacheField>
    <cacheField name="Column13305" numFmtId="0">
      <sharedItems containsNonDate="0" containsString="0" containsBlank="1"/>
    </cacheField>
    <cacheField name="Column13306" numFmtId="0">
      <sharedItems containsNonDate="0" containsString="0" containsBlank="1"/>
    </cacheField>
    <cacheField name="Column13307" numFmtId="0">
      <sharedItems containsNonDate="0" containsString="0" containsBlank="1"/>
    </cacheField>
    <cacheField name="Column13308" numFmtId="0">
      <sharedItems containsNonDate="0" containsString="0" containsBlank="1"/>
    </cacheField>
    <cacheField name="Column13309" numFmtId="0">
      <sharedItems containsNonDate="0" containsString="0" containsBlank="1"/>
    </cacheField>
    <cacheField name="Column13310" numFmtId="0">
      <sharedItems containsNonDate="0" containsString="0" containsBlank="1"/>
    </cacheField>
    <cacheField name="Column13311" numFmtId="0">
      <sharedItems containsNonDate="0" containsString="0" containsBlank="1"/>
    </cacheField>
    <cacheField name="Column13312" numFmtId="0">
      <sharedItems containsNonDate="0" containsString="0" containsBlank="1"/>
    </cacheField>
    <cacheField name="Column13313" numFmtId="0">
      <sharedItems containsNonDate="0" containsString="0" containsBlank="1"/>
    </cacheField>
    <cacheField name="Column13314" numFmtId="0">
      <sharedItems containsNonDate="0" containsString="0" containsBlank="1"/>
    </cacheField>
    <cacheField name="Column13315" numFmtId="0">
      <sharedItems containsNonDate="0" containsString="0" containsBlank="1"/>
    </cacheField>
    <cacheField name="Column13316" numFmtId="0">
      <sharedItems containsNonDate="0" containsString="0" containsBlank="1"/>
    </cacheField>
    <cacheField name="Column13317" numFmtId="0">
      <sharedItems containsNonDate="0" containsString="0" containsBlank="1"/>
    </cacheField>
    <cacheField name="Column13318" numFmtId="0">
      <sharedItems containsNonDate="0" containsString="0" containsBlank="1"/>
    </cacheField>
    <cacheField name="Column13319" numFmtId="0">
      <sharedItems containsNonDate="0" containsString="0" containsBlank="1"/>
    </cacheField>
    <cacheField name="Column13320" numFmtId="0">
      <sharedItems containsNonDate="0" containsString="0" containsBlank="1"/>
    </cacheField>
    <cacheField name="Column13321" numFmtId="0">
      <sharedItems containsNonDate="0" containsString="0" containsBlank="1"/>
    </cacheField>
    <cacheField name="Column13322" numFmtId="0">
      <sharedItems containsNonDate="0" containsString="0" containsBlank="1"/>
    </cacheField>
    <cacheField name="Column13323" numFmtId="0">
      <sharedItems containsNonDate="0" containsString="0" containsBlank="1"/>
    </cacheField>
    <cacheField name="Column13324" numFmtId="0">
      <sharedItems containsNonDate="0" containsString="0" containsBlank="1"/>
    </cacheField>
    <cacheField name="Column13325" numFmtId="0">
      <sharedItems containsNonDate="0" containsString="0" containsBlank="1"/>
    </cacheField>
    <cacheField name="Column13326" numFmtId="0">
      <sharedItems containsNonDate="0" containsString="0" containsBlank="1"/>
    </cacheField>
    <cacheField name="Column13327" numFmtId="0">
      <sharedItems containsNonDate="0" containsString="0" containsBlank="1"/>
    </cacheField>
    <cacheField name="Column13328" numFmtId="0">
      <sharedItems containsNonDate="0" containsString="0" containsBlank="1"/>
    </cacheField>
    <cacheField name="Column13329" numFmtId="0">
      <sharedItems containsNonDate="0" containsString="0" containsBlank="1"/>
    </cacheField>
    <cacheField name="Column13330" numFmtId="0">
      <sharedItems containsNonDate="0" containsString="0" containsBlank="1"/>
    </cacheField>
    <cacheField name="Column13331" numFmtId="0">
      <sharedItems containsNonDate="0" containsString="0" containsBlank="1"/>
    </cacheField>
    <cacheField name="Column13332" numFmtId="0">
      <sharedItems containsNonDate="0" containsString="0" containsBlank="1"/>
    </cacheField>
    <cacheField name="Column13333" numFmtId="0">
      <sharedItems containsNonDate="0" containsString="0" containsBlank="1"/>
    </cacheField>
    <cacheField name="Column13334" numFmtId="0">
      <sharedItems containsNonDate="0" containsString="0" containsBlank="1"/>
    </cacheField>
    <cacheField name="Column13335" numFmtId="0">
      <sharedItems containsNonDate="0" containsString="0" containsBlank="1"/>
    </cacheField>
    <cacheField name="Column13336" numFmtId="0">
      <sharedItems containsNonDate="0" containsString="0" containsBlank="1"/>
    </cacheField>
    <cacheField name="Column13337" numFmtId="0">
      <sharedItems containsNonDate="0" containsString="0" containsBlank="1"/>
    </cacheField>
    <cacheField name="Column13338" numFmtId="0">
      <sharedItems containsNonDate="0" containsString="0" containsBlank="1"/>
    </cacheField>
    <cacheField name="Column13339" numFmtId="0">
      <sharedItems containsNonDate="0" containsString="0" containsBlank="1"/>
    </cacheField>
    <cacheField name="Column13340" numFmtId="0">
      <sharedItems containsNonDate="0" containsString="0" containsBlank="1"/>
    </cacheField>
    <cacheField name="Column13341" numFmtId="0">
      <sharedItems containsNonDate="0" containsString="0" containsBlank="1"/>
    </cacheField>
    <cacheField name="Column13342" numFmtId="0">
      <sharedItems containsNonDate="0" containsString="0" containsBlank="1"/>
    </cacheField>
    <cacheField name="Column13343" numFmtId="0">
      <sharedItems containsNonDate="0" containsString="0" containsBlank="1"/>
    </cacheField>
    <cacheField name="Column13344" numFmtId="0">
      <sharedItems containsNonDate="0" containsString="0" containsBlank="1"/>
    </cacheField>
    <cacheField name="Column13345" numFmtId="0">
      <sharedItems containsNonDate="0" containsString="0" containsBlank="1"/>
    </cacheField>
    <cacheField name="Column13346" numFmtId="0">
      <sharedItems containsNonDate="0" containsString="0" containsBlank="1"/>
    </cacheField>
    <cacheField name="Column13347" numFmtId="0">
      <sharedItems containsNonDate="0" containsString="0" containsBlank="1"/>
    </cacheField>
    <cacheField name="Column13348" numFmtId="0">
      <sharedItems containsNonDate="0" containsString="0" containsBlank="1"/>
    </cacheField>
    <cacheField name="Column13349" numFmtId="0">
      <sharedItems containsNonDate="0" containsString="0" containsBlank="1"/>
    </cacheField>
    <cacheField name="Column13350" numFmtId="0">
      <sharedItems containsNonDate="0" containsString="0" containsBlank="1"/>
    </cacheField>
    <cacheField name="Column13351" numFmtId="0">
      <sharedItems containsNonDate="0" containsString="0" containsBlank="1"/>
    </cacheField>
    <cacheField name="Column13352" numFmtId="0">
      <sharedItems containsNonDate="0" containsString="0" containsBlank="1"/>
    </cacheField>
    <cacheField name="Column13353" numFmtId="0">
      <sharedItems containsNonDate="0" containsString="0" containsBlank="1"/>
    </cacheField>
    <cacheField name="Column13354" numFmtId="0">
      <sharedItems containsNonDate="0" containsString="0" containsBlank="1"/>
    </cacheField>
    <cacheField name="Column13355" numFmtId="0">
      <sharedItems containsNonDate="0" containsString="0" containsBlank="1"/>
    </cacheField>
    <cacheField name="Column13356" numFmtId="0">
      <sharedItems containsNonDate="0" containsString="0" containsBlank="1"/>
    </cacheField>
    <cacheField name="Column13357" numFmtId="0">
      <sharedItems containsNonDate="0" containsString="0" containsBlank="1"/>
    </cacheField>
    <cacheField name="Column13358" numFmtId="0">
      <sharedItems containsNonDate="0" containsString="0" containsBlank="1"/>
    </cacheField>
    <cacheField name="Column13359" numFmtId="0">
      <sharedItems containsNonDate="0" containsString="0" containsBlank="1"/>
    </cacheField>
    <cacheField name="Column13360" numFmtId="0">
      <sharedItems containsNonDate="0" containsString="0" containsBlank="1"/>
    </cacheField>
    <cacheField name="Column13361" numFmtId="0">
      <sharedItems containsNonDate="0" containsString="0" containsBlank="1"/>
    </cacheField>
    <cacheField name="Column13362" numFmtId="0">
      <sharedItems containsNonDate="0" containsString="0" containsBlank="1"/>
    </cacheField>
    <cacheField name="Column13363" numFmtId="0">
      <sharedItems containsNonDate="0" containsString="0" containsBlank="1"/>
    </cacheField>
    <cacheField name="Column13364" numFmtId="0">
      <sharedItems containsNonDate="0" containsString="0" containsBlank="1"/>
    </cacheField>
    <cacheField name="Column13365" numFmtId="0">
      <sharedItems containsNonDate="0" containsString="0" containsBlank="1"/>
    </cacheField>
    <cacheField name="Column13366" numFmtId="0">
      <sharedItems containsNonDate="0" containsString="0" containsBlank="1"/>
    </cacheField>
    <cacheField name="Column13367" numFmtId="0">
      <sharedItems containsNonDate="0" containsString="0" containsBlank="1"/>
    </cacheField>
    <cacheField name="Column13368" numFmtId="0">
      <sharedItems containsNonDate="0" containsString="0" containsBlank="1"/>
    </cacheField>
    <cacheField name="Column13369" numFmtId="0">
      <sharedItems containsNonDate="0" containsString="0" containsBlank="1"/>
    </cacheField>
    <cacheField name="Column13370" numFmtId="0">
      <sharedItems containsNonDate="0" containsString="0" containsBlank="1"/>
    </cacheField>
    <cacheField name="Column13371" numFmtId="0">
      <sharedItems containsNonDate="0" containsString="0" containsBlank="1"/>
    </cacheField>
    <cacheField name="Column13372" numFmtId="0">
      <sharedItems containsNonDate="0" containsString="0" containsBlank="1"/>
    </cacheField>
    <cacheField name="Column13373" numFmtId="0">
      <sharedItems containsNonDate="0" containsString="0" containsBlank="1"/>
    </cacheField>
    <cacheField name="Column13374" numFmtId="0">
      <sharedItems containsNonDate="0" containsString="0" containsBlank="1"/>
    </cacheField>
    <cacheField name="Column13375" numFmtId="0">
      <sharedItems containsNonDate="0" containsString="0" containsBlank="1"/>
    </cacheField>
    <cacheField name="Column13376" numFmtId="0">
      <sharedItems containsNonDate="0" containsString="0" containsBlank="1"/>
    </cacheField>
    <cacheField name="Column13377" numFmtId="0">
      <sharedItems containsNonDate="0" containsString="0" containsBlank="1"/>
    </cacheField>
    <cacheField name="Column13378" numFmtId="0">
      <sharedItems containsNonDate="0" containsString="0" containsBlank="1"/>
    </cacheField>
    <cacheField name="Column13379" numFmtId="0">
      <sharedItems containsNonDate="0" containsString="0" containsBlank="1"/>
    </cacheField>
    <cacheField name="Column13380" numFmtId="0">
      <sharedItems containsNonDate="0" containsString="0" containsBlank="1"/>
    </cacheField>
    <cacheField name="Column13381" numFmtId="0">
      <sharedItems containsNonDate="0" containsString="0" containsBlank="1"/>
    </cacheField>
    <cacheField name="Column13382" numFmtId="0">
      <sharedItems containsNonDate="0" containsString="0" containsBlank="1"/>
    </cacheField>
    <cacheField name="Column13383" numFmtId="0">
      <sharedItems containsNonDate="0" containsString="0" containsBlank="1"/>
    </cacheField>
    <cacheField name="Column13384" numFmtId="0">
      <sharedItems containsNonDate="0" containsString="0" containsBlank="1"/>
    </cacheField>
    <cacheField name="Column13385" numFmtId="0">
      <sharedItems containsNonDate="0" containsString="0" containsBlank="1"/>
    </cacheField>
    <cacheField name="Column13386" numFmtId="0">
      <sharedItems containsNonDate="0" containsString="0" containsBlank="1"/>
    </cacheField>
    <cacheField name="Column13387" numFmtId="0">
      <sharedItems containsNonDate="0" containsString="0" containsBlank="1"/>
    </cacheField>
    <cacheField name="Column13388" numFmtId="0">
      <sharedItems containsNonDate="0" containsString="0" containsBlank="1"/>
    </cacheField>
    <cacheField name="Column13389" numFmtId="0">
      <sharedItems containsNonDate="0" containsString="0" containsBlank="1"/>
    </cacheField>
    <cacheField name="Column13390" numFmtId="0">
      <sharedItems containsNonDate="0" containsString="0" containsBlank="1"/>
    </cacheField>
    <cacheField name="Column13391" numFmtId="0">
      <sharedItems containsNonDate="0" containsString="0" containsBlank="1"/>
    </cacheField>
    <cacheField name="Column13392" numFmtId="0">
      <sharedItems containsNonDate="0" containsString="0" containsBlank="1"/>
    </cacheField>
    <cacheField name="Column13393" numFmtId="0">
      <sharedItems containsNonDate="0" containsString="0" containsBlank="1"/>
    </cacheField>
    <cacheField name="Column13394" numFmtId="0">
      <sharedItems containsNonDate="0" containsString="0" containsBlank="1"/>
    </cacheField>
    <cacheField name="Column13395" numFmtId="0">
      <sharedItems containsNonDate="0" containsString="0" containsBlank="1"/>
    </cacheField>
    <cacheField name="Column13396" numFmtId="0">
      <sharedItems containsNonDate="0" containsString="0" containsBlank="1"/>
    </cacheField>
    <cacheField name="Column13397" numFmtId="0">
      <sharedItems containsNonDate="0" containsString="0" containsBlank="1"/>
    </cacheField>
    <cacheField name="Column13398" numFmtId="0">
      <sharedItems containsNonDate="0" containsString="0" containsBlank="1"/>
    </cacheField>
    <cacheField name="Column13399" numFmtId="0">
      <sharedItems containsNonDate="0" containsString="0" containsBlank="1"/>
    </cacheField>
    <cacheField name="Column13400" numFmtId="0">
      <sharedItems containsNonDate="0" containsString="0" containsBlank="1"/>
    </cacheField>
    <cacheField name="Column13401" numFmtId="0">
      <sharedItems containsNonDate="0" containsString="0" containsBlank="1"/>
    </cacheField>
    <cacheField name="Column13402" numFmtId="0">
      <sharedItems containsNonDate="0" containsString="0" containsBlank="1"/>
    </cacheField>
    <cacheField name="Column13403" numFmtId="0">
      <sharedItems containsNonDate="0" containsString="0" containsBlank="1"/>
    </cacheField>
    <cacheField name="Column13404" numFmtId="0">
      <sharedItems containsNonDate="0" containsString="0" containsBlank="1"/>
    </cacheField>
    <cacheField name="Column13405" numFmtId="0">
      <sharedItems containsNonDate="0" containsString="0" containsBlank="1"/>
    </cacheField>
    <cacheField name="Column13406" numFmtId="0">
      <sharedItems containsNonDate="0" containsString="0" containsBlank="1"/>
    </cacheField>
    <cacheField name="Column13407" numFmtId="0">
      <sharedItems containsNonDate="0" containsString="0" containsBlank="1"/>
    </cacheField>
    <cacheField name="Column13408" numFmtId="0">
      <sharedItems containsNonDate="0" containsString="0" containsBlank="1"/>
    </cacheField>
    <cacheField name="Column13409" numFmtId="0">
      <sharedItems containsNonDate="0" containsString="0" containsBlank="1"/>
    </cacheField>
    <cacheField name="Column13410" numFmtId="0">
      <sharedItems containsNonDate="0" containsString="0" containsBlank="1"/>
    </cacheField>
    <cacheField name="Column13411" numFmtId="0">
      <sharedItems containsNonDate="0" containsString="0" containsBlank="1"/>
    </cacheField>
    <cacheField name="Column13412" numFmtId="0">
      <sharedItems containsNonDate="0" containsString="0" containsBlank="1"/>
    </cacheField>
    <cacheField name="Column13413" numFmtId="0">
      <sharedItems containsNonDate="0" containsString="0" containsBlank="1"/>
    </cacheField>
    <cacheField name="Column13414" numFmtId="0">
      <sharedItems containsNonDate="0" containsString="0" containsBlank="1"/>
    </cacheField>
    <cacheField name="Column13415" numFmtId="0">
      <sharedItems containsNonDate="0" containsString="0" containsBlank="1"/>
    </cacheField>
    <cacheField name="Column13416" numFmtId="0">
      <sharedItems containsNonDate="0" containsString="0" containsBlank="1"/>
    </cacheField>
    <cacheField name="Column13417" numFmtId="0">
      <sharedItems containsNonDate="0" containsString="0" containsBlank="1"/>
    </cacheField>
    <cacheField name="Column13418" numFmtId="0">
      <sharedItems containsNonDate="0" containsString="0" containsBlank="1"/>
    </cacheField>
    <cacheField name="Column13419" numFmtId="0">
      <sharedItems containsNonDate="0" containsString="0" containsBlank="1"/>
    </cacheField>
    <cacheField name="Column13420" numFmtId="0">
      <sharedItems containsNonDate="0" containsString="0" containsBlank="1"/>
    </cacheField>
    <cacheField name="Column13421" numFmtId="0">
      <sharedItems containsNonDate="0" containsString="0" containsBlank="1"/>
    </cacheField>
    <cacheField name="Column13422" numFmtId="0">
      <sharedItems containsNonDate="0" containsString="0" containsBlank="1"/>
    </cacheField>
    <cacheField name="Column13423" numFmtId="0">
      <sharedItems containsNonDate="0" containsString="0" containsBlank="1"/>
    </cacheField>
    <cacheField name="Column13424" numFmtId="0">
      <sharedItems containsNonDate="0" containsString="0" containsBlank="1"/>
    </cacheField>
    <cacheField name="Column13425" numFmtId="0">
      <sharedItems containsNonDate="0" containsString="0" containsBlank="1"/>
    </cacheField>
    <cacheField name="Column13426" numFmtId="0">
      <sharedItems containsNonDate="0" containsString="0" containsBlank="1"/>
    </cacheField>
    <cacheField name="Column13427" numFmtId="0">
      <sharedItems containsNonDate="0" containsString="0" containsBlank="1"/>
    </cacheField>
    <cacheField name="Column13428" numFmtId="0">
      <sharedItems containsNonDate="0" containsString="0" containsBlank="1"/>
    </cacheField>
    <cacheField name="Column13429" numFmtId="0">
      <sharedItems containsNonDate="0" containsString="0" containsBlank="1"/>
    </cacheField>
    <cacheField name="Column13430" numFmtId="0">
      <sharedItems containsNonDate="0" containsString="0" containsBlank="1"/>
    </cacheField>
    <cacheField name="Column13431" numFmtId="0">
      <sharedItems containsNonDate="0" containsString="0" containsBlank="1"/>
    </cacheField>
    <cacheField name="Column13432" numFmtId="0">
      <sharedItems containsNonDate="0" containsString="0" containsBlank="1"/>
    </cacheField>
    <cacheField name="Column13433" numFmtId="0">
      <sharedItems containsNonDate="0" containsString="0" containsBlank="1"/>
    </cacheField>
    <cacheField name="Column13434" numFmtId="0">
      <sharedItems containsNonDate="0" containsString="0" containsBlank="1"/>
    </cacheField>
    <cacheField name="Column13435" numFmtId="0">
      <sharedItems containsNonDate="0" containsString="0" containsBlank="1"/>
    </cacheField>
    <cacheField name="Column13436" numFmtId="0">
      <sharedItems containsNonDate="0" containsString="0" containsBlank="1"/>
    </cacheField>
    <cacheField name="Column13437" numFmtId="0">
      <sharedItems containsNonDate="0" containsString="0" containsBlank="1"/>
    </cacheField>
    <cacheField name="Column13438" numFmtId="0">
      <sharedItems containsNonDate="0" containsString="0" containsBlank="1"/>
    </cacheField>
    <cacheField name="Column13439" numFmtId="0">
      <sharedItems containsNonDate="0" containsString="0" containsBlank="1"/>
    </cacheField>
    <cacheField name="Column13440" numFmtId="0">
      <sharedItems containsNonDate="0" containsString="0" containsBlank="1"/>
    </cacheField>
    <cacheField name="Column13441" numFmtId="0">
      <sharedItems containsNonDate="0" containsString="0" containsBlank="1"/>
    </cacheField>
    <cacheField name="Column13442" numFmtId="0">
      <sharedItems containsNonDate="0" containsString="0" containsBlank="1"/>
    </cacheField>
    <cacheField name="Column13443" numFmtId="0">
      <sharedItems containsNonDate="0" containsString="0" containsBlank="1"/>
    </cacheField>
    <cacheField name="Column13444" numFmtId="0">
      <sharedItems containsNonDate="0" containsString="0" containsBlank="1"/>
    </cacheField>
    <cacheField name="Column13445" numFmtId="0">
      <sharedItems containsNonDate="0" containsString="0" containsBlank="1"/>
    </cacheField>
    <cacheField name="Column13446" numFmtId="0">
      <sharedItems containsNonDate="0" containsString="0" containsBlank="1"/>
    </cacheField>
    <cacheField name="Column13447" numFmtId="0">
      <sharedItems containsNonDate="0" containsString="0" containsBlank="1"/>
    </cacheField>
    <cacheField name="Column13448" numFmtId="0">
      <sharedItems containsNonDate="0" containsString="0" containsBlank="1"/>
    </cacheField>
    <cacheField name="Column13449" numFmtId="0">
      <sharedItems containsNonDate="0" containsString="0" containsBlank="1"/>
    </cacheField>
    <cacheField name="Column13450" numFmtId="0">
      <sharedItems containsNonDate="0" containsString="0" containsBlank="1"/>
    </cacheField>
    <cacheField name="Column13451" numFmtId="0">
      <sharedItems containsNonDate="0" containsString="0" containsBlank="1"/>
    </cacheField>
    <cacheField name="Column13452" numFmtId="0">
      <sharedItems containsNonDate="0" containsString="0" containsBlank="1"/>
    </cacheField>
    <cacheField name="Column13453" numFmtId="0">
      <sharedItems containsNonDate="0" containsString="0" containsBlank="1"/>
    </cacheField>
    <cacheField name="Column13454" numFmtId="0">
      <sharedItems containsNonDate="0" containsString="0" containsBlank="1"/>
    </cacheField>
    <cacheField name="Column13455" numFmtId="0">
      <sharedItems containsNonDate="0" containsString="0" containsBlank="1"/>
    </cacheField>
    <cacheField name="Column13456" numFmtId="0">
      <sharedItems containsNonDate="0" containsString="0" containsBlank="1"/>
    </cacheField>
    <cacheField name="Column13457" numFmtId="0">
      <sharedItems containsNonDate="0" containsString="0" containsBlank="1"/>
    </cacheField>
    <cacheField name="Column13458" numFmtId="0">
      <sharedItems containsNonDate="0" containsString="0" containsBlank="1"/>
    </cacheField>
    <cacheField name="Column13459" numFmtId="0">
      <sharedItems containsNonDate="0" containsString="0" containsBlank="1"/>
    </cacheField>
    <cacheField name="Column13460" numFmtId="0">
      <sharedItems containsNonDate="0" containsString="0" containsBlank="1"/>
    </cacheField>
    <cacheField name="Column13461" numFmtId="0">
      <sharedItems containsNonDate="0" containsString="0" containsBlank="1"/>
    </cacheField>
    <cacheField name="Column13462" numFmtId="0">
      <sharedItems containsNonDate="0" containsString="0" containsBlank="1"/>
    </cacheField>
    <cacheField name="Column13463" numFmtId="0">
      <sharedItems containsNonDate="0" containsString="0" containsBlank="1"/>
    </cacheField>
    <cacheField name="Column13464" numFmtId="0">
      <sharedItems containsNonDate="0" containsString="0" containsBlank="1"/>
    </cacheField>
    <cacheField name="Column13465" numFmtId="0">
      <sharedItems containsNonDate="0" containsString="0" containsBlank="1"/>
    </cacheField>
    <cacheField name="Column13466" numFmtId="0">
      <sharedItems containsNonDate="0" containsString="0" containsBlank="1"/>
    </cacheField>
    <cacheField name="Column13467" numFmtId="0">
      <sharedItems containsNonDate="0" containsString="0" containsBlank="1"/>
    </cacheField>
    <cacheField name="Column13468" numFmtId="0">
      <sharedItems containsNonDate="0" containsString="0" containsBlank="1"/>
    </cacheField>
    <cacheField name="Column13469" numFmtId="0">
      <sharedItems containsNonDate="0" containsString="0" containsBlank="1"/>
    </cacheField>
    <cacheField name="Column13470" numFmtId="0">
      <sharedItems containsNonDate="0" containsString="0" containsBlank="1"/>
    </cacheField>
    <cacheField name="Column13471" numFmtId="0">
      <sharedItems containsNonDate="0" containsString="0" containsBlank="1"/>
    </cacheField>
    <cacheField name="Column13472" numFmtId="0">
      <sharedItems containsNonDate="0" containsString="0" containsBlank="1"/>
    </cacheField>
    <cacheField name="Column13473" numFmtId="0">
      <sharedItems containsNonDate="0" containsString="0" containsBlank="1"/>
    </cacheField>
    <cacheField name="Column13474" numFmtId="0">
      <sharedItems containsNonDate="0" containsString="0" containsBlank="1"/>
    </cacheField>
    <cacheField name="Column13475" numFmtId="0">
      <sharedItems containsNonDate="0" containsString="0" containsBlank="1"/>
    </cacheField>
    <cacheField name="Column13476" numFmtId="0">
      <sharedItems containsNonDate="0" containsString="0" containsBlank="1"/>
    </cacheField>
    <cacheField name="Column13477" numFmtId="0">
      <sharedItems containsNonDate="0" containsString="0" containsBlank="1"/>
    </cacheField>
    <cacheField name="Column13478" numFmtId="0">
      <sharedItems containsNonDate="0" containsString="0" containsBlank="1"/>
    </cacheField>
    <cacheField name="Column13479" numFmtId="0">
      <sharedItems containsNonDate="0" containsString="0" containsBlank="1"/>
    </cacheField>
    <cacheField name="Column13480" numFmtId="0">
      <sharedItems containsNonDate="0" containsString="0" containsBlank="1"/>
    </cacheField>
    <cacheField name="Column13481" numFmtId="0">
      <sharedItems containsNonDate="0" containsString="0" containsBlank="1"/>
    </cacheField>
    <cacheField name="Column13482" numFmtId="0">
      <sharedItems containsNonDate="0" containsString="0" containsBlank="1"/>
    </cacheField>
    <cacheField name="Column13483" numFmtId="0">
      <sharedItems containsNonDate="0" containsString="0" containsBlank="1"/>
    </cacheField>
    <cacheField name="Column13484" numFmtId="0">
      <sharedItems containsNonDate="0" containsString="0" containsBlank="1"/>
    </cacheField>
    <cacheField name="Column13485" numFmtId="0">
      <sharedItems containsNonDate="0" containsString="0" containsBlank="1"/>
    </cacheField>
    <cacheField name="Column13486" numFmtId="0">
      <sharedItems containsNonDate="0" containsString="0" containsBlank="1"/>
    </cacheField>
    <cacheField name="Column13487" numFmtId="0">
      <sharedItems containsNonDate="0" containsString="0" containsBlank="1"/>
    </cacheField>
    <cacheField name="Column13488" numFmtId="0">
      <sharedItems containsNonDate="0" containsString="0" containsBlank="1"/>
    </cacheField>
    <cacheField name="Column13489" numFmtId="0">
      <sharedItems containsNonDate="0" containsString="0" containsBlank="1"/>
    </cacheField>
    <cacheField name="Column13490" numFmtId="0">
      <sharedItems containsNonDate="0" containsString="0" containsBlank="1"/>
    </cacheField>
    <cacheField name="Column13491" numFmtId="0">
      <sharedItems containsNonDate="0" containsString="0" containsBlank="1"/>
    </cacheField>
    <cacheField name="Column13492" numFmtId="0">
      <sharedItems containsNonDate="0" containsString="0" containsBlank="1"/>
    </cacheField>
    <cacheField name="Column13493" numFmtId="0">
      <sharedItems containsNonDate="0" containsString="0" containsBlank="1"/>
    </cacheField>
    <cacheField name="Column13494" numFmtId="0">
      <sharedItems containsNonDate="0" containsString="0" containsBlank="1"/>
    </cacheField>
    <cacheField name="Column13495" numFmtId="0">
      <sharedItems containsNonDate="0" containsString="0" containsBlank="1"/>
    </cacheField>
    <cacheField name="Column13496" numFmtId="0">
      <sharedItems containsNonDate="0" containsString="0" containsBlank="1"/>
    </cacheField>
    <cacheField name="Column13497" numFmtId="0">
      <sharedItems containsNonDate="0" containsString="0" containsBlank="1"/>
    </cacheField>
    <cacheField name="Column13498" numFmtId="0">
      <sharedItems containsNonDate="0" containsString="0" containsBlank="1"/>
    </cacheField>
    <cacheField name="Column13499" numFmtId="0">
      <sharedItems containsNonDate="0" containsString="0" containsBlank="1"/>
    </cacheField>
    <cacheField name="Column13500" numFmtId="0">
      <sharedItems containsNonDate="0" containsString="0" containsBlank="1"/>
    </cacheField>
    <cacheField name="Column13501" numFmtId="0">
      <sharedItems containsNonDate="0" containsString="0" containsBlank="1"/>
    </cacheField>
    <cacheField name="Column13502" numFmtId="0">
      <sharedItems containsNonDate="0" containsString="0" containsBlank="1"/>
    </cacheField>
    <cacheField name="Column13503" numFmtId="0">
      <sharedItems containsNonDate="0" containsString="0" containsBlank="1"/>
    </cacheField>
    <cacheField name="Column13504" numFmtId="0">
      <sharedItems containsNonDate="0" containsString="0" containsBlank="1"/>
    </cacheField>
    <cacheField name="Column13505" numFmtId="0">
      <sharedItems containsNonDate="0" containsString="0" containsBlank="1"/>
    </cacheField>
    <cacheField name="Column13506" numFmtId="0">
      <sharedItems containsNonDate="0" containsString="0" containsBlank="1"/>
    </cacheField>
    <cacheField name="Column13507" numFmtId="0">
      <sharedItems containsNonDate="0" containsString="0" containsBlank="1"/>
    </cacheField>
    <cacheField name="Column13508" numFmtId="0">
      <sharedItems containsNonDate="0" containsString="0" containsBlank="1"/>
    </cacheField>
    <cacheField name="Column13509" numFmtId="0">
      <sharedItems containsNonDate="0" containsString="0" containsBlank="1"/>
    </cacheField>
    <cacheField name="Column13510" numFmtId="0">
      <sharedItems containsNonDate="0" containsString="0" containsBlank="1"/>
    </cacheField>
    <cacheField name="Column13511" numFmtId="0">
      <sharedItems containsNonDate="0" containsString="0" containsBlank="1"/>
    </cacheField>
    <cacheField name="Column13512" numFmtId="0">
      <sharedItems containsNonDate="0" containsString="0" containsBlank="1"/>
    </cacheField>
    <cacheField name="Column13513" numFmtId="0">
      <sharedItems containsNonDate="0" containsString="0" containsBlank="1"/>
    </cacheField>
    <cacheField name="Column13514" numFmtId="0">
      <sharedItems containsNonDate="0" containsString="0" containsBlank="1"/>
    </cacheField>
    <cacheField name="Column13515" numFmtId="0">
      <sharedItems containsNonDate="0" containsString="0" containsBlank="1"/>
    </cacheField>
    <cacheField name="Column13516" numFmtId="0">
      <sharedItems containsNonDate="0" containsString="0" containsBlank="1"/>
    </cacheField>
    <cacheField name="Column13517" numFmtId="0">
      <sharedItems containsNonDate="0" containsString="0" containsBlank="1"/>
    </cacheField>
    <cacheField name="Column13518" numFmtId="0">
      <sharedItems containsNonDate="0" containsString="0" containsBlank="1"/>
    </cacheField>
    <cacheField name="Column13519" numFmtId="0">
      <sharedItems containsNonDate="0" containsString="0" containsBlank="1"/>
    </cacheField>
    <cacheField name="Column13520" numFmtId="0">
      <sharedItems containsNonDate="0" containsString="0" containsBlank="1"/>
    </cacheField>
    <cacheField name="Column13521" numFmtId="0">
      <sharedItems containsNonDate="0" containsString="0" containsBlank="1"/>
    </cacheField>
    <cacheField name="Column13522" numFmtId="0">
      <sharedItems containsNonDate="0" containsString="0" containsBlank="1"/>
    </cacheField>
    <cacheField name="Column13523" numFmtId="0">
      <sharedItems containsNonDate="0" containsString="0" containsBlank="1"/>
    </cacheField>
    <cacheField name="Column13524" numFmtId="0">
      <sharedItems containsNonDate="0" containsString="0" containsBlank="1"/>
    </cacheField>
    <cacheField name="Column13525" numFmtId="0">
      <sharedItems containsNonDate="0" containsString="0" containsBlank="1"/>
    </cacheField>
    <cacheField name="Column13526" numFmtId="0">
      <sharedItems containsNonDate="0" containsString="0" containsBlank="1"/>
    </cacheField>
    <cacheField name="Column13527" numFmtId="0">
      <sharedItems containsNonDate="0" containsString="0" containsBlank="1"/>
    </cacheField>
    <cacheField name="Column13528" numFmtId="0">
      <sharedItems containsNonDate="0" containsString="0" containsBlank="1"/>
    </cacheField>
    <cacheField name="Column13529" numFmtId="0">
      <sharedItems containsNonDate="0" containsString="0" containsBlank="1"/>
    </cacheField>
    <cacheField name="Column13530" numFmtId="0">
      <sharedItems containsNonDate="0" containsString="0" containsBlank="1"/>
    </cacheField>
    <cacheField name="Column13531" numFmtId="0">
      <sharedItems containsNonDate="0" containsString="0" containsBlank="1"/>
    </cacheField>
    <cacheField name="Column13532" numFmtId="0">
      <sharedItems containsNonDate="0" containsString="0" containsBlank="1"/>
    </cacheField>
    <cacheField name="Column13533" numFmtId="0">
      <sharedItems containsNonDate="0" containsString="0" containsBlank="1"/>
    </cacheField>
    <cacheField name="Column13534" numFmtId="0">
      <sharedItems containsNonDate="0" containsString="0" containsBlank="1"/>
    </cacheField>
    <cacheField name="Column13535" numFmtId="0">
      <sharedItems containsNonDate="0" containsString="0" containsBlank="1"/>
    </cacheField>
    <cacheField name="Column13536" numFmtId="0">
      <sharedItems containsNonDate="0" containsString="0" containsBlank="1"/>
    </cacheField>
    <cacheField name="Column13537" numFmtId="0">
      <sharedItems containsNonDate="0" containsString="0" containsBlank="1"/>
    </cacheField>
    <cacheField name="Column13538" numFmtId="0">
      <sharedItems containsNonDate="0" containsString="0" containsBlank="1"/>
    </cacheField>
    <cacheField name="Column13539" numFmtId="0">
      <sharedItems containsNonDate="0" containsString="0" containsBlank="1"/>
    </cacheField>
    <cacheField name="Column13540" numFmtId="0">
      <sharedItems containsNonDate="0" containsString="0" containsBlank="1"/>
    </cacheField>
    <cacheField name="Column13541" numFmtId="0">
      <sharedItems containsNonDate="0" containsString="0" containsBlank="1"/>
    </cacheField>
    <cacheField name="Column13542" numFmtId="0">
      <sharedItems containsNonDate="0" containsString="0" containsBlank="1"/>
    </cacheField>
    <cacheField name="Column13543" numFmtId="0">
      <sharedItems containsNonDate="0" containsString="0" containsBlank="1"/>
    </cacheField>
    <cacheField name="Column13544" numFmtId="0">
      <sharedItems containsNonDate="0" containsString="0" containsBlank="1"/>
    </cacheField>
    <cacheField name="Column13545" numFmtId="0">
      <sharedItems containsNonDate="0" containsString="0" containsBlank="1"/>
    </cacheField>
    <cacheField name="Column13546" numFmtId="0">
      <sharedItems containsNonDate="0" containsString="0" containsBlank="1"/>
    </cacheField>
    <cacheField name="Column13547" numFmtId="0">
      <sharedItems containsNonDate="0" containsString="0" containsBlank="1"/>
    </cacheField>
    <cacheField name="Column13548" numFmtId="0">
      <sharedItems containsNonDate="0" containsString="0" containsBlank="1"/>
    </cacheField>
    <cacheField name="Column13549" numFmtId="0">
      <sharedItems containsNonDate="0" containsString="0" containsBlank="1"/>
    </cacheField>
    <cacheField name="Column13550" numFmtId="0">
      <sharedItems containsNonDate="0" containsString="0" containsBlank="1"/>
    </cacheField>
    <cacheField name="Column13551" numFmtId="0">
      <sharedItems containsNonDate="0" containsString="0" containsBlank="1"/>
    </cacheField>
    <cacheField name="Column13552" numFmtId="0">
      <sharedItems containsNonDate="0" containsString="0" containsBlank="1"/>
    </cacheField>
    <cacheField name="Column13553" numFmtId="0">
      <sharedItems containsNonDate="0" containsString="0" containsBlank="1"/>
    </cacheField>
    <cacheField name="Column13554" numFmtId="0">
      <sharedItems containsNonDate="0" containsString="0" containsBlank="1"/>
    </cacheField>
    <cacheField name="Column13555" numFmtId="0">
      <sharedItems containsNonDate="0" containsString="0" containsBlank="1"/>
    </cacheField>
    <cacheField name="Column13556" numFmtId="0">
      <sharedItems containsNonDate="0" containsString="0" containsBlank="1"/>
    </cacheField>
    <cacheField name="Column13557" numFmtId="0">
      <sharedItems containsNonDate="0" containsString="0" containsBlank="1"/>
    </cacheField>
    <cacheField name="Column13558" numFmtId="0">
      <sharedItems containsNonDate="0" containsString="0" containsBlank="1"/>
    </cacheField>
    <cacheField name="Column13559" numFmtId="0">
      <sharedItems containsNonDate="0" containsString="0" containsBlank="1"/>
    </cacheField>
    <cacheField name="Column13560" numFmtId="0">
      <sharedItems containsNonDate="0" containsString="0" containsBlank="1"/>
    </cacheField>
    <cacheField name="Column13561" numFmtId="0">
      <sharedItems containsNonDate="0" containsString="0" containsBlank="1"/>
    </cacheField>
    <cacheField name="Column13562" numFmtId="0">
      <sharedItems containsNonDate="0" containsString="0" containsBlank="1"/>
    </cacheField>
    <cacheField name="Column13563" numFmtId="0">
      <sharedItems containsNonDate="0" containsString="0" containsBlank="1"/>
    </cacheField>
    <cacheField name="Column13564" numFmtId="0">
      <sharedItems containsNonDate="0" containsString="0" containsBlank="1"/>
    </cacheField>
    <cacheField name="Column13565" numFmtId="0">
      <sharedItems containsNonDate="0" containsString="0" containsBlank="1"/>
    </cacheField>
    <cacheField name="Column13566" numFmtId="0">
      <sharedItems containsNonDate="0" containsString="0" containsBlank="1"/>
    </cacheField>
    <cacheField name="Column13567" numFmtId="0">
      <sharedItems containsNonDate="0" containsString="0" containsBlank="1"/>
    </cacheField>
    <cacheField name="Column13568" numFmtId="0">
      <sharedItems containsNonDate="0" containsString="0" containsBlank="1"/>
    </cacheField>
    <cacheField name="Column13569" numFmtId="0">
      <sharedItems containsNonDate="0" containsString="0" containsBlank="1"/>
    </cacheField>
    <cacheField name="Column13570" numFmtId="0">
      <sharedItems containsNonDate="0" containsString="0" containsBlank="1"/>
    </cacheField>
    <cacheField name="Column13571" numFmtId="0">
      <sharedItems containsNonDate="0" containsString="0" containsBlank="1"/>
    </cacheField>
    <cacheField name="Column13572" numFmtId="0">
      <sharedItems containsNonDate="0" containsString="0" containsBlank="1"/>
    </cacheField>
    <cacheField name="Column13573" numFmtId="0">
      <sharedItems containsNonDate="0" containsString="0" containsBlank="1"/>
    </cacheField>
    <cacheField name="Column13574" numFmtId="0">
      <sharedItems containsNonDate="0" containsString="0" containsBlank="1"/>
    </cacheField>
    <cacheField name="Column13575" numFmtId="0">
      <sharedItems containsNonDate="0" containsString="0" containsBlank="1"/>
    </cacheField>
    <cacheField name="Column13576" numFmtId="0">
      <sharedItems containsNonDate="0" containsString="0" containsBlank="1"/>
    </cacheField>
    <cacheField name="Column13577" numFmtId="0">
      <sharedItems containsNonDate="0" containsString="0" containsBlank="1"/>
    </cacheField>
    <cacheField name="Column13578" numFmtId="0">
      <sharedItems containsNonDate="0" containsString="0" containsBlank="1"/>
    </cacheField>
    <cacheField name="Column13579" numFmtId="0">
      <sharedItems containsNonDate="0" containsString="0" containsBlank="1"/>
    </cacheField>
    <cacheField name="Column13580" numFmtId="0">
      <sharedItems containsNonDate="0" containsString="0" containsBlank="1"/>
    </cacheField>
    <cacheField name="Column13581" numFmtId="0">
      <sharedItems containsNonDate="0" containsString="0" containsBlank="1"/>
    </cacheField>
    <cacheField name="Column13582" numFmtId="0">
      <sharedItems containsNonDate="0" containsString="0" containsBlank="1"/>
    </cacheField>
    <cacheField name="Column13583" numFmtId="0">
      <sharedItems containsNonDate="0" containsString="0" containsBlank="1"/>
    </cacheField>
    <cacheField name="Column13584" numFmtId="0">
      <sharedItems containsNonDate="0" containsString="0" containsBlank="1"/>
    </cacheField>
    <cacheField name="Column13585" numFmtId="0">
      <sharedItems containsNonDate="0" containsString="0" containsBlank="1"/>
    </cacheField>
    <cacheField name="Column13586" numFmtId="0">
      <sharedItems containsNonDate="0" containsString="0" containsBlank="1"/>
    </cacheField>
    <cacheField name="Column13587" numFmtId="0">
      <sharedItems containsNonDate="0" containsString="0" containsBlank="1"/>
    </cacheField>
    <cacheField name="Column13588" numFmtId="0">
      <sharedItems containsNonDate="0" containsString="0" containsBlank="1"/>
    </cacheField>
    <cacheField name="Column13589" numFmtId="0">
      <sharedItems containsNonDate="0" containsString="0" containsBlank="1"/>
    </cacheField>
    <cacheField name="Column13590" numFmtId="0">
      <sharedItems containsNonDate="0" containsString="0" containsBlank="1"/>
    </cacheField>
    <cacheField name="Column13591" numFmtId="0">
      <sharedItems containsNonDate="0" containsString="0" containsBlank="1"/>
    </cacheField>
    <cacheField name="Column13592" numFmtId="0">
      <sharedItems containsNonDate="0" containsString="0" containsBlank="1"/>
    </cacheField>
    <cacheField name="Column13593" numFmtId="0">
      <sharedItems containsNonDate="0" containsString="0" containsBlank="1"/>
    </cacheField>
    <cacheField name="Column13594" numFmtId="0">
      <sharedItems containsNonDate="0" containsString="0" containsBlank="1"/>
    </cacheField>
    <cacheField name="Column13595" numFmtId="0">
      <sharedItems containsNonDate="0" containsString="0" containsBlank="1"/>
    </cacheField>
    <cacheField name="Column13596" numFmtId="0">
      <sharedItems containsNonDate="0" containsString="0" containsBlank="1"/>
    </cacheField>
    <cacheField name="Column13597" numFmtId="0">
      <sharedItems containsNonDate="0" containsString="0" containsBlank="1"/>
    </cacheField>
    <cacheField name="Column13598" numFmtId="0">
      <sharedItems containsNonDate="0" containsString="0" containsBlank="1"/>
    </cacheField>
    <cacheField name="Column13599" numFmtId="0">
      <sharedItems containsNonDate="0" containsString="0" containsBlank="1"/>
    </cacheField>
    <cacheField name="Column13600" numFmtId="0">
      <sharedItems containsNonDate="0" containsString="0" containsBlank="1"/>
    </cacheField>
    <cacheField name="Column13601" numFmtId="0">
      <sharedItems containsNonDate="0" containsString="0" containsBlank="1"/>
    </cacheField>
    <cacheField name="Column13602" numFmtId="0">
      <sharedItems containsNonDate="0" containsString="0" containsBlank="1"/>
    </cacheField>
    <cacheField name="Column13603" numFmtId="0">
      <sharedItems containsNonDate="0" containsString="0" containsBlank="1"/>
    </cacheField>
    <cacheField name="Column13604" numFmtId="0">
      <sharedItems containsNonDate="0" containsString="0" containsBlank="1"/>
    </cacheField>
    <cacheField name="Column13605" numFmtId="0">
      <sharedItems containsNonDate="0" containsString="0" containsBlank="1"/>
    </cacheField>
    <cacheField name="Column13606" numFmtId="0">
      <sharedItems containsNonDate="0" containsString="0" containsBlank="1"/>
    </cacheField>
    <cacheField name="Column13607" numFmtId="0">
      <sharedItems containsNonDate="0" containsString="0" containsBlank="1"/>
    </cacheField>
    <cacheField name="Column13608" numFmtId="0">
      <sharedItems containsNonDate="0" containsString="0" containsBlank="1"/>
    </cacheField>
    <cacheField name="Column13609" numFmtId="0">
      <sharedItems containsNonDate="0" containsString="0" containsBlank="1"/>
    </cacheField>
    <cacheField name="Column13610" numFmtId="0">
      <sharedItems containsNonDate="0" containsString="0" containsBlank="1"/>
    </cacheField>
    <cacheField name="Column13611" numFmtId="0">
      <sharedItems containsNonDate="0" containsString="0" containsBlank="1"/>
    </cacheField>
    <cacheField name="Column13612" numFmtId="0">
      <sharedItems containsNonDate="0" containsString="0" containsBlank="1"/>
    </cacheField>
    <cacheField name="Column13613" numFmtId="0">
      <sharedItems containsNonDate="0" containsString="0" containsBlank="1"/>
    </cacheField>
    <cacheField name="Column13614" numFmtId="0">
      <sharedItems containsNonDate="0" containsString="0" containsBlank="1"/>
    </cacheField>
    <cacheField name="Column13615" numFmtId="0">
      <sharedItems containsNonDate="0" containsString="0" containsBlank="1"/>
    </cacheField>
    <cacheField name="Column13616" numFmtId="0">
      <sharedItems containsNonDate="0" containsString="0" containsBlank="1"/>
    </cacheField>
    <cacheField name="Column13617" numFmtId="0">
      <sharedItems containsNonDate="0" containsString="0" containsBlank="1"/>
    </cacheField>
    <cacheField name="Column13618" numFmtId="0">
      <sharedItems containsNonDate="0" containsString="0" containsBlank="1"/>
    </cacheField>
    <cacheField name="Column13619" numFmtId="0">
      <sharedItems containsNonDate="0" containsString="0" containsBlank="1"/>
    </cacheField>
    <cacheField name="Column13620" numFmtId="0">
      <sharedItems containsNonDate="0" containsString="0" containsBlank="1"/>
    </cacheField>
    <cacheField name="Column13621" numFmtId="0">
      <sharedItems containsNonDate="0" containsString="0" containsBlank="1"/>
    </cacheField>
    <cacheField name="Column13622" numFmtId="0">
      <sharedItems containsNonDate="0" containsString="0" containsBlank="1"/>
    </cacheField>
    <cacheField name="Column13623" numFmtId="0">
      <sharedItems containsNonDate="0" containsString="0" containsBlank="1"/>
    </cacheField>
    <cacheField name="Column13624" numFmtId="0">
      <sharedItems containsNonDate="0" containsString="0" containsBlank="1"/>
    </cacheField>
    <cacheField name="Column13625" numFmtId="0">
      <sharedItems containsNonDate="0" containsString="0" containsBlank="1"/>
    </cacheField>
    <cacheField name="Column13626" numFmtId="0">
      <sharedItems containsNonDate="0" containsString="0" containsBlank="1"/>
    </cacheField>
    <cacheField name="Column13627" numFmtId="0">
      <sharedItems containsNonDate="0" containsString="0" containsBlank="1"/>
    </cacheField>
    <cacheField name="Column13628" numFmtId="0">
      <sharedItems containsNonDate="0" containsString="0" containsBlank="1"/>
    </cacheField>
    <cacheField name="Column13629" numFmtId="0">
      <sharedItems containsNonDate="0" containsString="0" containsBlank="1"/>
    </cacheField>
    <cacheField name="Column13630" numFmtId="0">
      <sharedItems containsNonDate="0" containsString="0" containsBlank="1"/>
    </cacheField>
    <cacheField name="Column13631" numFmtId="0">
      <sharedItems containsNonDate="0" containsString="0" containsBlank="1"/>
    </cacheField>
    <cacheField name="Column13632" numFmtId="0">
      <sharedItems containsNonDate="0" containsString="0" containsBlank="1"/>
    </cacheField>
    <cacheField name="Column13633" numFmtId="0">
      <sharedItems containsNonDate="0" containsString="0" containsBlank="1"/>
    </cacheField>
    <cacheField name="Column13634" numFmtId="0">
      <sharedItems containsNonDate="0" containsString="0" containsBlank="1"/>
    </cacheField>
    <cacheField name="Column13635" numFmtId="0">
      <sharedItems containsNonDate="0" containsString="0" containsBlank="1"/>
    </cacheField>
    <cacheField name="Column13636" numFmtId="0">
      <sharedItems containsNonDate="0" containsString="0" containsBlank="1"/>
    </cacheField>
    <cacheField name="Column13637" numFmtId="0">
      <sharedItems containsNonDate="0" containsString="0" containsBlank="1"/>
    </cacheField>
    <cacheField name="Column13638" numFmtId="0">
      <sharedItems containsNonDate="0" containsString="0" containsBlank="1"/>
    </cacheField>
    <cacheField name="Column13639" numFmtId="0">
      <sharedItems containsNonDate="0" containsString="0" containsBlank="1"/>
    </cacheField>
    <cacheField name="Column13640" numFmtId="0">
      <sharedItems containsNonDate="0" containsString="0" containsBlank="1"/>
    </cacheField>
    <cacheField name="Column13641" numFmtId="0">
      <sharedItems containsNonDate="0" containsString="0" containsBlank="1"/>
    </cacheField>
    <cacheField name="Column13642" numFmtId="0">
      <sharedItems containsNonDate="0" containsString="0" containsBlank="1"/>
    </cacheField>
    <cacheField name="Column13643" numFmtId="0">
      <sharedItems containsNonDate="0" containsString="0" containsBlank="1"/>
    </cacheField>
    <cacheField name="Column13644" numFmtId="0">
      <sharedItems containsNonDate="0" containsString="0" containsBlank="1"/>
    </cacheField>
    <cacheField name="Column13645" numFmtId="0">
      <sharedItems containsNonDate="0" containsString="0" containsBlank="1"/>
    </cacheField>
    <cacheField name="Column13646" numFmtId="0">
      <sharedItems containsNonDate="0" containsString="0" containsBlank="1"/>
    </cacheField>
    <cacheField name="Column13647" numFmtId="0">
      <sharedItems containsNonDate="0" containsString="0" containsBlank="1"/>
    </cacheField>
    <cacheField name="Column13648" numFmtId="0">
      <sharedItems containsNonDate="0" containsString="0" containsBlank="1"/>
    </cacheField>
    <cacheField name="Column13649" numFmtId="0">
      <sharedItems containsNonDate="0" containsString="0" containsBlank="1"/>
    </cacheField>
    <cacheField name="Column13650" numFmtId="0">
      <sharedItems containsNonDate="0" containsString="0" containsBlank="1"/>
    </cacheField>
    <cacheField name="Column13651" numFmtId="0">
      <sharedItems containsNonDate="0" containsString="0" containsBlank="1"/>
    </cacheField>
    <cacheField name="Column13652" numFmtId="0">
      <sharedItems containsNonDate="0" containsString="0" containsBlank="1"/>
    </cacheField>
    <cacheField name="Column13653" numFmtId="0">
      <sharedItems containsNonDate="0" containsString="0" containsBlank="1"/>
    </cacheField>
    <cacheField name="Column13654" numFmtId="0">
      <sharedItems containsNonDate="0" containsString="0" containsBlank="1"/>
    </cacheField>
    <cacheField name="Column13655" numFmtId="0">
      <sharedItems containsNonDate="0" containsString="0" containsBlank="1"/>
    </cacheField>
    <cacheField name="Column13656" numFmtId="0">
      <sharedItems containsNonDate="0" containsString="0" containsBlank="1"/>
    </cacheField>
    <cacheField name="Column13657" numFmtId="0">
      <sharedItems containsNonDate="0" containsString="0" containsBlank="1"/>
    </cacheField>
    <cacheField name="Column13658" numFmtId="0">
      <sharedItems containsNonDate="0" containsString="0" containsBlank="1"/>
    </cacheField>
    <cacheField name="Column13659" numFmtId="0">
      <sharedItems containsNonDate="0" containsString="0" containsBlank="1"/>
    </cacheField>
    <cacheField name="Column13660" numFmtId="0">
      <sharedItems containsNonDate="0" containsString="0" containsBlank="1"/>
    </cacheField>
    <cacheField name="Column13661" numFmtId="0">
      <sharedItems containsNonDate="0" containsString="0" containsBlank="1"/>
    </cacheField>
    <cacheField name="Column13662" numFmtId="0">
      <sharedItems containsNonDate="0" containsString="0" containsBlank="1"/>
    </cacheField>
    <cacheField name="Column13663" numFmtId="0">
      <sharedItems containsNonDate="0" containsString="0" containsBlank="1"/>
    </cacheField>
    <cacheField name="Column13664" numFmtId="0">
      <sharedItems containsNonDate="0" containsString="0" containsBlank="1"/>
    </cacheField>
    <cacheField name="Column13665" numFmtId="0">
      <sharedItems containsNonDate="0" containsString="0" containsBlank="1"/>
    </cacheField>
    <cacheField name="Column13666" numFmtId="0">
      <sharedItems containsNonDate="0" containsString="0" containsBlank="1"/>
    </cacheField>
    <cacheField name="Column13667" numFmtId="0">
      <sharedItems containsNonDate="0" containsString="0" containsBlank="1"/>
    </cacheField>
    <cacheField name="Column13668" numFmtId="0">
      <sharedItems containsNonDate="0" containsString="0" containsBlank="1"/>
    </cacheField>
    <cacheField name="Column13669" numFmtId="0">
      <sharedItems containsNonDate="0" containsString="0" containsBlank="1"/>
    </cacheField>
    <cacheField name="Column13670" numFmtId="0">
      <sharedItems containsNonDate="0" containsString="0" containsBlank="1"/>
    </cacheField>
    <cacheField name="Column13671" numFmtId="0">
      <sharedItems containsNonDate="0" containsString="0" containsBlank="1"/>
    </cacheField>
    <cacheField name="Column13672" numFmtId="0">
      <sharedItems containsNonDate="0" containsString="0" containsBlank="1"/>
    </cacheField>
    <cacheField name="Column13673" numFmtId="0">
      <sharedItems containsNonDate="0" containsString="0" containsBlank="1"/>
    </cacheField>
    <cacheField name="Column13674" numFmtId="0">
      <sharedItems containsNonDate="0" containsString="0" containsBlank="1"/>
    </cacheField>
    <cacheField name="Column13675" numFmtId="0">
      <sharedItems containsNonDate="0" containsString="0" containsBlank="1"/>
    </cacheField>
    <cacheField name="Column13676" numFmtId="0">
      <sharedItems containsNonDate="0" containsString="0" containsBlank="1"/>
    </cacheField>
    <cacheField name="Column13677" numFmtId="0">
      <sharedItems containsNonDate="0" containsString="0" containsBlank="1"/>
    </cacheField>
    <cacheField name="Column13678" numFmtId="0">
      <sharedItems containsNonDate="0" containsString="0" containsBlank="1"/>
    </cacheField>
    <cacheField name="Column13679" numFmtId="0">
      <sharedItems containsNonDate="0" containsString="0" containsBlank="1"/>
    </cacheField>
    <cacheField name="Column13680" numFmtId="0">
      <sharedItems containsNonDate="0" containsString="0" containsBlank="1"/>
    </cacheField>
    <cacheField name="Column13681" numFmtId="0">
      <sharedItems containsNonDate="0" containsString="0" containsBlank="1"/>
    </cacheField>
    <cacheField name="Column13682" numFmtId="0">
      <sharedItems containsNonDate="0" containsString="0" containsBlank="1"/>
    </cacheField>
    <cacheField name="Column13683" numFmtId="0">
      <sharedItems containsNonDate="0" containsString="0" containsBlank="1"/>
    </cacheField>
    <cacheField name="Column13684" numFmtId="0">
      <sharedItems containsNonDate="0" containsString="0" containsBlank="1"/>
    </cacheField>
    <cacheField name="Column13685" numFmtId="0">
      <sharedItems containsNonDate="0" containsString="0" containsBlank="1"/>
    </cacheField>
    <cacheField name="Column13686" numFmtId="0">
      <sharedItems containsNonDate="0" containsString="0" containsBlank="1"/>
    </cacheField>
    <cacheField name="Column13687" numFmtId="0">
      <sharedItems containsNonDate="0" containsString="0" containsBlank="1"/>
    </cacheField>
    <cacheField name="Column13688" numFmtId="0">
      <sharedItems containsNonDate="0" containsString="0" containsBlank="1"/>
    </cacheField>
    <cacheField name="Column13689" numFmtId="0">
      <sharedItems containsNonDate="0" containsString="0" containsBlank="1"/>
    </cacheField>
    <cacheField name="Column13690" numFmtId="0">
      <sharedItems containsNonDate="0" containsString="0" containsBlank="1"/>
    </cacheField>
    <cacheField name="Column13691" numFmtId="0">
      <sharedItems containsNonDate="0" containsString="0" containsBlank="1"/>
    </cacheField>
    <cacheField name="Column13692" numFmtId="0">
      <sharedItems containsNonDate="0" containsString="0" containsBlank="1"/>
    </cacheField>
    <cacheField name="Column13693" numFmtId="0">
      <sharedItems containsNonDate="0" containsString="0" containsBlank="1"/>
    </cacheField>
    <cacheField name="Column13694" numFmtId="0">
      <sharedItems containsNonDate="0" containsString="0" containsBlank="1"/>
    </cacheField>
    <cacheField name="Column13695" numFmtId="0">
      <sharedItems containsNonDate="0" containsString="0" containsBlank="1"/>
    </cacheField>
    <cacheField name="Column13696" numFmtId="0">
      <sharedItems containsNonDate="0" containsString="0" containsBlank="1"/>
    </cacheField>
    <cacheField name="Column13697" numFmtId="0">
      <sharedItems containsNonDate="0" containsString="0" containsBlank="1"/>
    </cacheField>
    <cacheField name="Column13698" numFmtId="0">
      <sharedItems containsNonDate="0" containsString="0" containsBlank="1"/>
    </cacheField>
    <cacheField name="Column13699" numFmtId="0">
      <sharedItems containsNonDate="0" containsString="0" containsBlank="1"/>
    </cacheField>
    <cacheField name="Column13700" numFmtId="0">
      <sharedItems containsNonDate="0" containsString="0" containsBlank="1"/>
    </cacheField>
    <cacheField name="Column13701" numFmtId="0">
      <sharedItems containsNonDate="0" containsString="0" containsBlank="1"/>
    </cacheField>
    <cacheField name="Column13702" numFmtId="0">
      <sharedItems containsNonDate="0" containsString="0" containsBlank="1"/>
    </cacheField>
    <cacheField name="Column13703" numFmtId="0">
      <sharedItems containsNonDate="0" containsString="0" containsBlank="1"/>
    </cacheField>
    <cacheField name="Column13704" numFmtId="0">
      <sharedItems containsNonDate="0" containsString="0" containsBlank="1"/>
    </cacheField>
    <cacheField name="Column13705" numFmtId="0">
      <sharedItems containsNonDate="0" containsString="0" containsBlank="1"/>
    </cacheField>
    <cacheField name="Column13706" numFmtId="0">
      <sharedItems containsNonDate="0" containsString="0" containsBlank="1"/>
    </cacheField>
    <cacheField name="Column13707" numFmtId="0">
      <sharedItems containsNonDate="0" containsString="0" containsBlank="1"/>
    </cacheField>
    <cacheField name="Column13708" numFmtId="0">
      <sharedItems containsNonDate="0" containsString="0" containsBlank="1"/>
    </cacheField>
    <cacheField name="Column13709" numFmtId="0">
      <sharedItems containsNonDate="0" containsString="0" containsBlank="1"/>
    </cacheField>
    <cacheField name="Column13710" numFmtId="0">
      <sharedItems containsNonDate="0" containsString="0" containsBlank="1"/>
    </cacheField>
    <cacheField name="Column13711" numFmtId="0">
      <sharedItems containsNonDate="0" containsString="0" containsBlank="1"/>
    </cacheField>
    <cacheField name="Column13712" numFmtId="0">
      <sharedItems containsNonDate="0" containsString="0" containsBlank="1"/>
    </cacheField>
    <cacheField name="Column13713" numFmtId="0">
      <sharedItems containsNonDate="0" containsString="0" containsBlank="1"/>
    </cacheField>
    <cacheField name="Column13714" numFmtId="0">
      <sharedItems containsNonDate="0" containsString="0" containsBlank="1"/>
    </cacheField>
    <cacheField name="Column13715" numFmtId="0">
      <sharedItems containsNonDate="0" containsString="0" containsBlank="1"/>
    </cacheField>
    <cacheField name="Column13716" numFmtId="0">
      <sharedItems containsNonDate="0" containsString="0" containsBlank="1"/>
    </cacheField>
    <cacheField name="Column13717" numFmtId="0">
      <sharedItems containsNonDate="0" containsString="0" containsBlank="1"/>
    </cacheField>
    <cacheField name="Column13718" numFmtId="0">
      <sharedItems containsNonDate="0" containsString="0" containsBlank="1"/>
    </cacheField>
    <cacheField name="Column13719" numFmtId="0">
      <sharedItems containsNonDate="0" containsString="0" containsBlank="1"/>
    </cacheField>
    <cacheField name="Column13720" numFmtId="0">
      <sharedItems containsNonDate="0" containsString="0" containsBlank="1"/>
    </cacheField>
    <cacheField name="Column13721" numFmtId="0">
      <sharedItems containsNonDate="0" containsString="0" containsBlank="1"/>
    </cacheField>
    <cacheField name="Column13722" numFmtId="0">
      <sharedItems containsNonDate="0" containsString="0" containsBlank="1"/>
    </cacheField>
    <cacheField name="Column13723" numFmtId="0">
      <sharedItems containsNonDate="0" containsString="0" containsBlank="1"/>
    </cacheField>
    <cacheField name="Column13724" numFmtId="0">
      <sharedItems containsNonDate="0" containsString="0" containsBlank="1"/>
    </cacheField>
    <cacheField name="Column13725" numFmtId="0">
      <sharedItems containsNonDate="0" containsString="0" containsBlank="1"/>
    </cacheField>
    <cacheField name="Column13726" numFmtId="0">
      <sharedItems containsNonDate="0" containsString="0" containsBlank="1"/>
    </cacheField>
    <cacheField name="Column13727" numFmtId="0">
      <sharedItems containsNonDate="0" containsString="0" containsBlank="1"/>
    </cacheField>
    <cacheField name="Column13728" numFmtId="0">
      <sharedItems containsNonDate="0" containsString="0" containsBlank="1"/>
    </cacheField>
    <cacheField name="Column13729" numFmtId="0">
      <sharedItems containsNonDate="0" containsString="0" containsBlank="1"/>
    </cacheField>
    <cacheField name="Column13730" numFmtId="0">
      <sharedItems containsNonDate="0" containsString="0" containsBlank="1"/>
    </cacheField>
    <cacheField name="Column13731" numFmtId="0">
      <sharedItems containsNonDate="0" containsString="0" containsBlank="1"/>
    </cacheField>
    <cacheField name="Column13732" numFmtId="0">
      <sharedItems containsNonDate="0" containsString="0" containsBlank="1"/>
    </cacheField>
    <cacheField name="Column13733" numFmtId="0">
      <sharedItems containsNonDate="0" containsString="0" containsBlank="1"/>
    </cacheField>
    <cacheField name="Column13734" numFmtId="0">
      <sharedItems containsNonDate="0" containsString="0" containsBlank="1"/>
    </cacheField>
    <cacheField name="Column13735" numFmtId="0">
      <sharedItems containsNonDate="0" containsString="0" containsBlank="1"/>
    </cacheField>
    <cacheField name="Column13736" numFmtId="0">
      <sharedItems containsNonDate="0" containsString="0" containsBlank="1"/>
    </cacheField>
    <cacheField name="Column13737" numFmtId="0">
      <sharedItems containsNonDate="0" containsString="0" containsBlank="1"/>
    </cacheField>
    <cacheField name="Column13738" numFmtId="0">
      <sharedItems containsNonDate="0" containsString="0" containsBlank="1"/>
    </cacheField>
    <cacheField name="Column13739" numFmtId="0">
      <sharedItems containsNonDate="0" containsString="0" containsBlank="1"/>
    </cacheField>
    <cacheField name="Column13740" numFmtId="0">
      <sharedItems containsNonDate="0" containsString="0" containsBlank="1"/>
    </cacheField>
    <cacheField name="Column13741" numFmtId="0">
      <sharedItems containsNonDate="0" containsString="0" containsBlank="1"/>
    </cacheField>
    <cacheField name="Column13742" numFmtId="0">
      <sharedItems containsNonDate="0" containsString="0" containsBlank="1"/>
    </cacheField>
    <cacheField name="Column13743" numFmtId="0">
      <sharedItems containsNonDate="0" containsString="0" containsBlank="1"/>
    </cacheField>
    <cacheField name="Column13744" numFmtId="0">
      <sharedItems containsNonDate="0" containsString="0" containsBlank="1"/>
    </cacheField>
    <cacheField name="Column13745" numFmtId="0">
      <sharedItems containsNonDate="0" containsString="0" containsBlank="1"/>
    </cacheField>
    <cacheField name="Column13746" numFmtId="0">
      <sharedItems containsNonDate="0" containsString="0" containsBlank="1"/>
    </cacheField>
    <cacheField name="Column13747" numFmtId="0">
      <sharedItems containsNonDate="0" containsString="0" containsBlank="1"/>
    </cacheField>
    <cacheField name="Column13748" numFmtId="0">
      <sharedItems containsNonDate="0" containsString="0" containsBlank="1"/>
    </cacheField>
    <cacheField name="Column13749" numFmtId="0">
      <sharedItems containsNonDate="0" containsString="0" containsBlank="1"/>
    </cacheField>
    <cacheField name="Column13750" numFmtId="0">
      <sharedItems containsNonDate="0" containsString="0" containsBlank="1"/>
    </cacheField>
    <cacheField name="Column13751" numFmtId="0">
      <sharedItems containsNonDate="0" containsString="0" containsBlank="1"/>
    </cacheField>
    <cacheField name="Column13752" numFmtId="0">
      <sharedItems containsNonDate="0" containsString="0" containsBlank="1"/>
    </cacheField>
    <cacheField name="Column13753" numFmtId="0">
      <sharedItems containsNonDate="0" containsString="0" containsBlank="1"/>
    </cacheField>
    <cacheField name="Column13754" numFmtId="0">
      <sharedItems containsNonDate="0" containsString="0" containsBlank="1"/>
    </cacheField>
    <cacheField name="Column13755" numFmtId="0">
      <sharedItems containsNonDate="0" containsString="0" containsBlank="1"/>
    </cacheField>
    <cacheField name="Column13756" numFmtId="0">
      <sharedItems containsNonDate="0" containsString="0" containsBlank="1"/>
    </cacheField>
    <cacheField name="Column13757" numFmtId="0">
      <sharedItems containsNonDate="0" containsString="0" containsBlank="1"/>
    </cacheField>
    <cacheField name="Column13758" numFmtId="0">
      <sharedItems containsNonDate="0" containsString="0" containsBlank="1"/>
    </cacheField>
    <cacheField name="Column13759" numFmtId="0">
      <sharedItems containsNonDate="0" containsString="0" containsBlank="1"/>
    </cacheField>
    <cacheField name="Column13760" numFmtId="0">
      <sharedItems containsNonDate="0" containsString="0" containsBlank="1"/>
    </cacheField>
    <cacheField name="Column13761" numFmtId="0">
      <sharedItems containsNonDate="0" containsString="0" containsBlank="1"/>
    </cacheField>
    <cacheField name="Column13762" numFmtId="0">
      <sharedItems containsNonDate="0" containsString="0" containsBlank="1"/>
    </cacheField>
    <cacheField name="Column13763" numFmtId="0">
      <sharedItems containsNonDate="0" containsString="0" containsBlank="1"/>
    </cacheField>
    <cacheField name="Column13764" numFmtId="0">
      <sharedItems containsNonDate="0" containsString="0" containsBlank="1"/>
    </cacheField>
    <cacheField name="Column13765" numFmtId="0">
      <sharedItems containsNonDate="0" containsString="0" containsBlank="1"/>
    </cacheField>
    <cacheField name="Column13766" numFmtId="0">
      <sharedItems containsNonDate="0" containsString="0" containsBlank="1"/>
    </cacheField>
    <cacheField name="Column13767" numFmtId="0">
      <sharedItems containsNonDate="0" containsString="0" containsBlank="1"/>
    </cacheField>
    <cacheField name="Column13768" numFmtId="0">
      <sharedItems containsNonDate="0" containsString="0" containsBlank="1"/>
    </cacheField>
    <cacheField name="Column13769" numFmtId="0">
      <sharedItems containsNonDate="0" containsString="0" containsBlank="1"/>
    </cacheField>
    <cacheField name="Column13770" numFmtId="0">
      <sharedItems containsNonDate="0" containsString="0" containsBlank="1"/>
    </cacheField>
    <cacheField name="Column13771" numFmtId="0">
      <sharedItems containsNonDate="0" containsString="0" containsBlank="1"/>
    </cacheField>
    <cacheField name="Column13772" numFmtId="0">
      <sharedItems containsNonDate="0" containsString="0" containsBlank="1"/>
    </cacheField>
    <cacheField name="Column13773" numFmtId="0">
      <sharedItems containsNonDate="0" containsString="0" containsBlank="1"/>
    </cacheField>
    <cacheField name="Column13774" numFmtId="0">
      <sharedItems containsNonDate="0" containsString="0" containsBlank="1"/>
    </cacheField>
    <cacheField name="Column13775" numFmtId="0">
      <sharedItems containsNonDate="0" containsString="0" containsBlank="1"/>
    </cacheField>
    <cacheField name="Column13776" numFmtId="0">
      <sharedItems containsNonDate="0" containsString="0" containsBlank="1"/>
    </cacheField>
    <cacheField name="Column13777" numFmtId="0">
      <sharedItems containsNonDate="0" containsString="0" containsBlank="1"/>
    </cacheField>
    <cacheField name="Column13778" numFmtId="0">
      <sharedItems containsNonDate="0" containsString="0" containsBlank="1"/>
    </cacheField>
    <cacheField name="Column13779" numFmtId="0">
      <sharedItems containsNonDate="0" containsString="0" containsBlank="1"/>
    </cacheField>
    <cacheField name="Column13780" numFmtId="0">
      <sharedItems containsNonDate="0" containsString="0" containsBlank="1"/>
    </cacheField>
    <cacheField name="Column13781" numFmtId="0">
      <sharedItems containsNonDate="0" containsString="0" containsBlank="1"/>
    </cacheField>
    <cacheField name="Column13782" numFmtId="0">
      <sharedItems containsNonDate="0" containsString="0" containsBlank="1"/>
    </cacheField>
    <cacheField name="Column13783" numFmtId="0">
      <sharedItems containsNonDate="0" containsString="0" containsBlank="1"/>
    </cacheField>
    <cacheField name="Column13784" numFmtId="0">
      <sharedItems containsNonDate="0" containsString="0" containsBlank="1"/>
    </cacheField>
    <cacheField name="Column13785" numFmtId="0">
      <sharedItems containsNonDate="0" containsString="0" containsBlank="1"/>
    </cacheField>
    <cacheField name="Column13786" numFmtId="0">
      <sharedItems containsNonDate="0" containsString="0" containsBlank="1"/>
    </cacheField>
    <cacheField name="Column13787" numFmtId="0">
      <sharedItems containsNonDate="0" containsString="0" containsBlank="1"/>
    </cacheField>
    <cacheField name="Column13788" numFmtId="0">
      <sharedItems containsNonDate="0" containsString="0" containsBlank="1"/>
    </cacheField>
    <cacheField name="Column13789" numFmtId="0">
      <sharedItems containsNonDate="0" containsString="0" containsBlank="1"/>
    </cacheField>
    <cacheField name="Column13790" numFmtId="0">
      <sharedItems containsNonDate="0" containsString="0" containsBlank="1"/>
    </cacheField>
    <cacheField name="Column13791" numFmtId="0">
      <sharedItems containsNonDate="0" containsString="0" containsBlank="1"/>
    </cacheField>
    <cacheField name="Column13792" numFmtId="0">
      <sharedItems containsNonDate="0" containsString="0" containsBlank="1"/>
    </cacheField>
    <cacheField name="Column13793" numFmtId="0">
      <sharedItems containsNonDate="0" containsString="0" containsBlank="1"/>
    </cacheField>
    <cacheField name="Column13794" numFmtId="0">
      <sharedItems containsNonDate="0" containsString="0" containsBlank="1"/>
    </cacheField>
    <cacheField name="Column13795" numFmtId="0">
      <sharedItems containsNonDate="0" containsString="0" containsBlank="1"/>
    </cacheField>
    <cacheField name="Column13796" numFmtId="0">
      <sharedItems containsNonDate="0" containsString="0" containsBlank="1"/>
    </cacheField>
    <cacheField name="Column13797" numFmtId="0">
      <sharedItems containsNonDate="0" containsString="0" containsBlank="1"/>
    </cacheField>
    <cacheField name="Column13798" numFmtId="0">
      <sharedItems containsNonDate="0" containsString="0" containsBlank="1"/>
    </cacheField>
    <cacheField name="Column13799" numFmtId="0">
      <sharedItems containsNonDate="0" containsString="0" containsBlank="1"/>
    </cacheField>
    <cacheField name="Column13800" numFmtId="0">
      <sharedItems containsNonDate="0" containsString="0" containsBlank="1"/>
    </cacheField>
    <cacheField name="Column13801" numFmtId="0">
      <sharedItems containsNonDate="0" containsString="0" containsBlank="1"/>
    </cacheField>
    <cacheField name="Column13802" numFmtId="0">
      <sharedItems containsNonDate="0" containsString="0" containsBlank="1"/>
    </cacheField>
    <cacheField name="Column13803" numFmtId="0">
      <sharedItems containsNonDate="0" containsString="0" containsBlank="1"/>
    </cacheField>
    <cacheField name="Column13804" numFmtId="0">
      <sharedItems containsNonDate="0" containsString="0" containsBlank="1"/>
    </cacheField>
    <cacheField name="Column13805" numFmtId="0">
      <sharedItems containsNonDate="0" containsString="0" containsBlank="1"/>
    </cacheField>
    <cacheField name="Column13806" numFmtId="0">
      <sharedItems containsNonDate="0" containsString="0" containsBlank="1"/>
    </cacheField>
    <cacheField name="Column13807" numFmtId="0">
      <sharedItems containsNonDate="0" containsString="0" containsBlank="1"/>
    </cacheField>
    <cacheField name="Column13808" numFmtId="0">
      <sharedItems containsNonDate="0" containsString="0" containsBlank="1"/>
    </cacheField>
    <cacheField name="Column13809" numFmtId="0">
      <sharedItems containsNonDate="0" containsString="0" containsBlank="1"/>
    </cacheField>
    <cacheField name="Column13810" numFmtId="0">
      <sharedItems containsNonDate="0" containsString="0" containsBlank="1"/>
    </cacheField>
    <cacheField name="Column13811" numFmtId="0">
      <sharedItems containsNonDate="0" containsString="0" containsBlank="1"/>
    </cacheField>
    <cacheField name="Column13812" numFmtId="0">
      <sharedItems containsNonDate="0" containsString="0" containsBlank="1"/>
    </cacheField>
    <cacheField name="Column13813" numFmtId="0">
      <sharedItems containsNonDate="0" containsString="0" containsBlank="1"/>
    </cacheField>
    <cacheField name="Column13814" numFmtId="0">
      <sharedItems containsNonDate="0" containsString="0" containsBlank="1"/>
    </cacheField>
    <cacheField name="Column13815" numFmtId="0">
      <sharedItems containsNonDate="0" containsString="0" containsBlank="1"/>
    </cacheField>
    <cacheField name="Column13816" numFmtId="0">
      <sharedItems containsNonDate="0" containsString="0" containsBlank="1"/>
    </cacheField>
    <cacheField name="Column13817" numFmtId="0">
      <sharedItems containsNonDate="0" containsString="0" containsBlank="1"/>
    </cacheField>
    <cacheField name="Column13818" numFmtId="0">
      <sharedItems containsNonDate="0" containsString="0" containsBlank="1"/>
    </cacheField>
    <cacheField name="Column13819" numFmtId="0">
      <sharedItems containsNonDate="0" containsString="0" containsBlank="1"/>
    </cacheField>
    <cacheField name="Column13820" numFmtId="0">
      <sharedItems containsNonDate="0" containsString="0" containsBlank="1"/>
    </cacheField>
    <cacheField name="Column13821" numFmtId="0">
      <sharedItems containsNonDate="0" containsString="0" containsBlank="1"/>
    </cacheField>
    <cacheField name="Column13822" numFmtId="0">
      <sharedItems containsNonDate="0" containsString="0" containsBlank="1"/>
    </cacheField>
    <cacheField name="Column13823" numFmtId="0">
      <sharedItems containsNonDate="0" containsString="0" containsBlank="1"/>
    </cacheField>
    <cacheField name="Column13824" numFmtId="0">
      <sharedItems containsNonDate="0" containsString="0" containsBlank="1"/>
    </cacheField>
    <cacheField name="Column13825" numFmtId="0">
      <sharedItems containsNonDate="0" containsString="0" containsBlank="1"/>
    </cacheField>
    <cacheField name="Column13826" numFmtId="0">
      <sharedItems containsNonDate="0" containsString="0" containsBlank="1"/>
    </cacheField>
    <cacheField name="Column13827" numFmtId="0">
      <sharedItems containsNonDate="0" containsString="0" containsBlank="1"/>
    </cacheField>
    <cacheField name="Column13828" numFmtId="0">
      <sharedItems containsNonDate="0" containsString="0" containsBlank="1"/>
    </cacheField>
    <cacheField name="Column13829" numFmtId="0">
      <sharedItems containsNonDate="0" containsString="0" containsBlank="1"/>
    </cacheField>
    <cacheField name="Column13830" numFmtId="0">
      <sharedItems containsNonDate="0" containsString="0" containsBlank="1"/>
    </cacheField>
    <cacheField name="Column13831" numFmtId="0">
      <sharedItems containsNonDate="0" containsString="0" containsBlank="1"/>
    </cacheField>
    <cacheField name="Column13832" numFmtId="0">
      <sharedItems containsNonDate="0" containsString="0" containsBlank="1"/>
    </cacheField>
    <cacheField name="Column13833" numFmtId="0">
      <sharedItems containsNonDate="0" containsString="0" containsBlank="1"/>
    </cacheField>
    <cacheField name="Column13834" numFmtId="0">
      <sharedItems containsNonDate="0" containsString="0" containsBlank="1"/>
    </cacheField>
    <cacheField name="Column13835" numFmtId="0">
      <sharedItems containsNonDate="0" containsString="0" containsBlank="1"/>
    </cacheField>
    <cacheField name="Column13836" numFmtId="0">
      <sharedItems containsNonDate="0" containsString="0" containsBlank="1"/>
    </cacheField>
    <cacheField name="Column13837" numFmtId="0">
      <sharedItems containsNonDate="0" containsString="0" containsBlank="1"/>
    </cacheField>
    <cacheField name="Column13838" numFmtId="0">
      <sharedItems containsNonDate="0" containsString="0" containsBlank="1"/>
    </cacheField>
    <cacheField name="Column13839" numFmtId="0">
      <sharedItems containsNonDate="0" containsString="0" containsBlank="1"/>
    </cacheField>
    <cacheField name="Column13840" numFmtId="0">
      <sharedItems containsNonDate="0" containsString="0" containsBlank="1"/>
    </cacheField>
    <cacheField name="Column13841" numFmtId="0">
      <sharedItems containsNonDate="0" containsString="0" containsBlank="1"/>
    </cacheField>
    <cacheField name="Column13842" numFmtId="0">
      <sharedItems containsNonDate="0" containsString="0" containsBlank="1"/>
    </cacheField>
    <cacheField name="Column13843" numFmtId="0">
      <sharedItems containsNonDate="0" containsString="0" containsBlank="1"/>
    </cacheField>
    <cacheField name="Column13844" numFmtId="0">
      <sharedItems containsNonDate="0" containsString="0" containsBlank="1"/>
    </cacheField>
    <cacheField name="Column13845" numFmtId="0">
      <sharedItems containsNonDate="0" containsString="0" containsBlank="1"/>
    </cacheField>
    <cacheField name="Column13846" numFmtId="0">
      <sharedItems containsNonDate="0" containsString="0" containsBlank="1"/>
    </cacheField>
    <cacheField name="Column13847" numFmtId="0">
      <sharedItems containsNonDate="0" containsString="0" containsBlank="1"/>
    </cacheField>
    <cacheField name="Column13848" numFmtId="0">
      <sharedItems containsNonDate="0" containsString="0" containsBlank="1"/>
    </cacheField>
    <cacheField name="Column13849" numFmtId="0">
      <sharedItems containsNonDate="0" containsString="0" containsBlank="1"/>
    </cacheField>
    <cacheField name="Column13850" numFmtId="0">
      <sharedItems containsNonDate="0" containsString="0" containsBlank="1"/>
    </cacheField>
    <cacheField name="Column13851" numFmtId="0">
      <sharedItems containsNonDate="0" containsString="0" containsBlank="1"/>
    </cacheField>
    <cacheField name="Column13852" numFmtId="0">
      <sharedItems containsNonDate="0" containsString="0" containsBlank="1"/>
    </cacheField>
    <cacheField name="Column13853" numFmtId="0">
      <sharedItems containsNonDate="0" containsString="0" containsBlank="1"/>
    </cacheField>
    <cacheField name="Column13854" numFmtId="0">
      <sharedItems containsNonDate="0" containsString="0" containsBlank="1"/>
    </cacheField>
    <cacheField name="Column13855" numFmtId="0">
      <sharedItems containsNonDate="0" containsString="0" containsBlank="1"/>
    </cacheField>
    <cacheField name="Column13856" numFmtId="0">
      <sharedItems containsNonDate="0" containsString="0" containsBlank="1"/>
    </cacheField>
    <cacheField name="Column13857" numFmtId="0">
      <sharedItems containsNonDate="0" containsString="0" containsBlank="1"/>
    </cacheField>
    <cacheField name="Column13858" numFmtId="0">
      <sharedItems containsNonDate="0" containsString="0" containsBlank="1"/>
    </cacheField>
    <cacheField name="Column13859" numFmtId="0">
      <sharedItems containsNonDate="0" containsString="0" containsBlank="1"/>
    </cacheField>
    <cacheField name="Column13860" numFmtId="0">
      <sharedItems containsNonDate="0" containsString="0" containsBlank="1"/>
    </cacheField>
    <cacheField name="Column13861" numFmtId="0">
      <sharedItems containsNonDate="0" containsString="0" containsBlank="1"/>
    </cacheField>
    <cacheField name="Column13862" numFmtId="0">
      <sharedItems containsNonDate="0" containsString="0" containsBlank="1"/>
    </cacheField>
    <cacheField name="Column13863" numFmtId="0">
      <sharedItems containsNonDate="0" containsString="0" containsBlank="1"/>
    </cacheField>
    <cacheField name="Column13864" numFmtId="0">
      <sharedItems containsNonDate="0" containsString="0" containsBlank="1"/>
    </cacheField>
    <cacheField name="Column13865" numFmtId="0">
      <sharedItems containsNonDate="0" containsString="0" containsBlank="1"/>
    </cacheField>
    <cacheField name="Column13866" numFmtId="0">
      <sharedItems containsNonDate="0" containsString="0" containsBlank="1"/>
    </cacheField>
    <cacheField name="Column13867" numFmtId="0">
      <sharedItems containsNonDate="0" containsString="0" containsBlank="1"/>
    </cacheField>
    <cacheField name="Column13868" numFmtId="0">
      <sharedItems containsNonDate="0" containsString="0" containsBlank="1"/>
    </cacheField>
    <cacheField name="Column13869" numFmtId="0">
      <sharedItems containsNonDate="0" containsString="0" containsBlank="1"/>
    </cacheField>
    <cacheField name="Column13870" numFmtId="0">
      <sharedItems containsNonDate="0" containsString="0" containsBlank="1"/>
    </cacheField>
    <cacheField name="Column13871" numFmtId="0">
      <sharedItems containsNonDate="0" containsString="0" containsBlank="1"/>
    </cacheField>
    <cacheField name="Column13872" numFmtId="0">
      <sharedItems containsNonDate="0" containsString="0" containsBlank="1"/>
    </cacheField>
    <cacheField name="Column13873" numFmtId="0">
      <sharedItems containsNonDate="0" containsString="0" containsBlank="1"/>
    </cacheField>
    <cacheField name="Column13874" numFmtId="0">
      <sharedItems containsNonDate="0" containsString="0" containsBlank="1"/>
    </cacheField>
    <cacheField name="Column13875" numFmtId="0">
      <sharedItems containsNonDate="0" containsString="0" containsBlank="1"/>
    </cacheField>
    <cacheField name="Column13876" numFmtId="0">
      <sharedItems containsNonDate="0" containsString="0" containsBlank="1"/>
    </cacheField>
    <cacheField name="Column13877" numFmtId="0">
      <sharedItems containsNonDate="0" containsString="0" containsBlank="1"/>
    </cacheField>
    <cacheField name="Column13878" numFmtId="0">
      <sharedItems containsNonDate="0" containsString="0" containsBlank="1"/>
    </cacheField>
    <cacheField name="Column13879" numFmtId="0">
      <sharedItems containsNonDate="0" containsString="0" containsBlank="1"/>
    </cacheField>
    <cacheField name="Column13880" numFmtId="0">
      <sharedItems containsNonDate="0" containsString="0" containsBlank="1"/>
    </cacheField>
    <cacheField name="Column13881" numFmtId="0">
      <sharedItems containsNonDate="0" containsString="0" containsBlank="1"/>
    </cacheField>
    <cacheField name="Column13882" numFmtId="0">
      <sharedItems containsNonDate="0" containsString="0" containsBlank="1"/>
    </cacheField>
    <cacheField name="Column13883" numFmtId="0">
      <sharedItems containsNonDate="0" containsString="0" containsBlank="1"/>
    </cacheField>
    <cacheField name="Column13884" numFmtId="0">
      <sharedItems containsNonDate="0" containsString="0" containsBlank="1"/>
    </cacheField>
    <cacheField name="Column13885" numFmtId="0">
      <sharedItems containsNonDate="0" containsString="0" containsBlank="1"/>
    </cacheField>
    <cacheField name="Column13886" numFmtId="0">
      <sharedItems containsNonDate="0" containsString="0" containsBlank="1"/>
    </cacheField>
    <cacheField name="Column13887" numFmtId="0">
      <sharedItems containsNonDate="0" containsString="0" containsBlank="1"/>
    </cacheField>
    <cacheField name="Column13888" numFmtId="0">
      <sharedItems containsNonDate="0" containsString="0" containsBlank="1"/>
    </cacheField>
    <cacheField name="Column13889" numFmtId="0">
      <sharedItems containsNonDate="0" containsString="0" containsBlank="1"/>
    </cacheField>
    <cacheField name="Column13890" numFmtId="0">
      <sharedItems containsNonDate="0" containsString="0" containsBlank="1"/>
    </cacheField>
    <cacheField name="Column13891" numFmtId="0">
      <sharedItems containsNonDate="0" containsString="0" containsBlank="1"/>
    </cacheField>
    <cacheField name="Column13892" numFmtId="0">
      <sharedItems containsNonDate="0" containsString="0" containsBlank="1"/>
    </cacheField>
    <cacheField name="Column13893" numFmtId="0">
      <sharedItems containsNonDate="0" containsString="0" containsBlank="1"/>
    </cacheField>
    <cacheField name="Column13894" numFmtId="0">
      <sharedItems containsNonDate="0" containsString="0" containsBlank="1"/>
    </cacheField>
    <cacheField name="Column13895" numFmtId="0">
      <sharedItems containsNonDate="0" containsString="0" containsBlank="1"/>
    </cacheField>
    <cacheField name="Column13896" numFmtId="0">
      <sharedItems containsNonDate="0" containsString="0" containsBlank="1"/>
    </cacheField>
    <cacheField name="Column13897" numFmtId="0">
      <sharedItems containsNonDate="0" containsString="0" containsBlank="1"/>
    </cacheField>
    <cacheField name="Column13898" numFmtId="0">
      <sharedItems containsNonDate="0" containsString="0" containsBlank="1"/>
    </cacheField>
    <cacheField name="Column13899" numFmtId="0">
      <sharedItems containsNonDate="0" containsString="0" containsBlank="1"/>
    </cacheField>
    <cacheField name="Column13900" numFmtId="0">
      <sharedItems containsNonDate="0" containsString="0" containsBlank="1"/>
    </cacheField>
    <cacheField name="Column13901" numFmtId="0">
      <sharedItems containsNonDate="0" containsString="0" containsBlank="1"/>
    </cacheField>
    <cacheField name="Column13902" numFmtId="0">
      <sharedItems containsNonDate="0" containsString="0" containsBlank="1"/>
    </cacheField>
    <cacheField name="Column13903" numFmtId="0">
      <sharedItems containsNonDate="0" containsString="0" containsBlank="1"/>
    </cacheField>
    <cacheField name="Column13904" numFmtId="0">
      <sharedItems containsNonDate="0" containsString="0" containsBlank="1"/>
    </cacheField>
    <cacheField name="Column13905" numFmtId="0">
      <sharedItems containsNonDate="0" containsString="0" containsBlank="1"/>
    </cacheField>
    <cacheField name="Column13906" numFmtId="0">
      <sharedItems containsNonDate="0" containsString="0" containsBlank="1"/>
    </cacheField>
    <cacheField name="Column13907" numFmtId="0">
      <sharedItems containsNonDate="0" containsString="0" containsBlank="1"/>
    </cacheField>
    <cacheField name="Column13908" numFmtId="0">
      <sharedItems containsNonDate="0" containsString="0" containsBlank="1"/>
    </cacheField>
    <cacheField name="Column13909" numFmtId="0">
      <sharedItems containsNonDate="0" containsString="0" containsBlank="1"/>
    </cacheField>
    <cacheField name="Column13910" numFmtId="0">
      <sharedItems containsNonDate="0" containsString="0" containsBlank="1"/>
    </cacheField>
    <cacheField name="Column13911" numFmtId="0">
      <sharedItems containsNonDate="0" containsString="0" containsBlank="1"/>
    </cacheField>
    <cacheField name="Column13912" numFmtId="0">
      <sharedItems containsNonDate="0" containsString="0" containsBlank="1"/>
    </cacheField>
    <cacheField name="Column13913" numFmtId="0">
      <sharedItems containsNonDate="0" containsString="0" containsBlank="1"/>
    </cacheField>
    <cacheField name="Column13914" numFmtId="0">
      <sharedItems containsNonDate="0" containsString="0" containsBlank="1"/>
    </cacheField>
    <cacheField name="Column13915" numFmtId="0">
      <sharedItems containsNonDate="0" containsString="0" containsBlank="1"/>
    </cacheField>
    <cacheField name="Column13916" numFmtId="0">
      <sharedItems containsNonDate="0" containsString="0" containsBlank="1"/>
    </cacheField>
    <cacheField name="Column13917" numFmtId="0">
      <sharedItems containsNonDate="0" containsString="0" containsBlank="1"/>
    </cacheField>
    <cacheField name="Column13918" numFmtId="0">
      <sharedItems containsNonDate="0" containsString="0" containsBlank="1"/>
    </cacheField>
    <cacheField name="Column13919" numFmtId="0">
      <sharedItems containsNonDate="0" containsString="0" containsBlank="1"/>
    </cacheField>
    <cacheField name="Column13920" numFmtId="0">
      <sharedItems containsNonDate="0" containsString="0" containsBlank="1"/>
    </cacheField>
    <cacheField name="Column13921" numFmtId="0">
      <sharedItems containsNonDate="0" containsString="0" containsBlank="1"/>
    </cacheField>
    <cacheField name="Column13922" numFmtId="0">
      <sharedItems containsNonDate="0" containsString="0" containsBlank="1"/>
    </cacheField>
    <cacheField name="Column13923" numFmtId="0">
      <sharedItems containsNonDate="0" containsString="0" containsBlank="1"/>
    </cacheField>
    <cacheField name="Column13924" numFmtId="0">
      <sharedItems containsNonDate="0" containsString="0" containsBlank="1"/>
    </cacheField>
    <cacheField name="Column13925" numFmtId="0">
      <sharedItems containsNonDate="0" containsString="0" containsBlank="1"/>
    </cacheField>
    <cacheField name="Column13926" numFmtId="0">
      <sharedItems containsNonDate="0" containsString="0" containsBlank="1"/>
    </cacheField>
    <cacheField name="Column13927" numFmtId="0">
      <sharedItems containsNonDate="0" containsString="0" containsBlank="1"/>
    </cacheField>
    <cacheField name="Column13928" numFmtId="0">
      <sharedItems containsNonDate="0" containsString="0" containsBlank="1"/>
    </cacheField>
    <cacheField name="Column13929" numFmtId="0">
      <sharedItems containsNonDate="0" containsString="0" containsBlank="1"/>
    </cacheField>
    <cacheField name="Column13930" numFmtId="0">
      <sharedItems containsNonDate="0" containsString="0" containsBlank="1"/>
    </cacheField>
    <cacheField name="Column13931" numFmtId="0">
      <sharedItems containsNonDate="0" containsString="0" containsBlank="1"/>
    </cacheField>
    <cacheField name="Column13932" numFmtId="0">
      <sharedItems containsNonDate="0" containsString="0" containsBlank="1"/>
    </cacheField>
    <cacheField name="Column13933" numFmtId="0">
      <sharedItems containsNonDate="0" containsString="0" containsBlank="1"/>
    </cacheField>
    <cacheField name="Column13934" numFmtId="0">
      <sharedItems containsNonDate="0" containsString="0" containsBlank="1"/>
    </cacheField>
    <cacheField name="Column13935" numFmtId="0">
      <sharedItems containsNonDate="0" containsString="0" containsBlank="1"/>
    </cacheField>
    <cacheField name="Column13936" numFmtId="0">
      <sharedItems containsNonDate="0" containsString="0" containsBlank="1"/>
    </cacheField>
    <cacheField name="Column13937" numFmtId="0">
      <sharedItems containsNonDate="0" containsString="0" containsBlank="1"/>
    </cacheField>
    <cacheField name="Column13938" numFmtId="0">
      <sharedItems containsNonDate="0" containsString="0" containsBlank="1"/>
    </cacheField>
    <cacheField name="Column13939" numFmtId="0">
      <sharedItems containsNonDate="0" containsString="0" containsBlank="1"/>
    </cacheField>
    <cacheField name="Column13940" numFmtId="0">
      <sharedItems containsNonDate="0" containsString="0" containsBlank="1"/>
    </cacheField>
    <cacheField name="Column13941" numFmtId="0">
      <sharedItems containsNonDate="0" containsString="0" containsBlank="1"/>
    </cacheField>
    <cacheField name="Column13942" numFmtId="0">
      <sharedItems containsNonDate="0" containsString="0" containsBlank="1"/>
    </cacheField>
    <cacheField name="Column13943" numFmtId="0">
      <sharedItems containsNonDate="0" containsString="0" containsBlank="1"/>
    </cacheField>
    <cacheField name="Column13944" numFmtId="0">
      <sharedItems containsNonDate="0" containsString="0" containsBlank="1"/>
    </cacheField>
    <cacheField name="Column13945" numFmtId="0">
      <sharedItems containsNonDate="0" containsString="0" containsBlank="1"/>
    </cacheField>
    <cacheField name="Column13946" numFmtId="0">
      <sharedItems containsNonDate="0" containsString="0" containsBlank="1"/>
    </cacheField>
    <cacheField name="Column13947" numFmtId="0">
      <sharedItems containsNonDate="0" containsString="0" containsBlank="1"/>
    </cacheField>
    <cacheField name="Column13948" numFmtId="0">
      <sharedItems containsNonDate="0" containsString="0" containsBlank="1"/>
    </cacheField>
    <cacheField name="Column13949" numFmtId="0">
      <sharedItems containsNonDate="0" containsString="0" containsBlank="1"/>
    </cacheField>
    <cacheField name="Column13950" numFmtId="0">
      <sharedItems containsNonDate="0" containsString="0" containsBlank="1"/>
    </cacheField>
    <cacheField name="Column13951" numFmtId="0">
      <sharedItems containsNonDate="0" containsString="0" containsBlank="1"/>
    </cacheField>
    <cacheField name="Column13952" numFmtId="0">
      <sharedItems containsNonDate="0" containsString="0" containsBlank="1"/>
    </cacheField>
    <cacheField name="Column13953" numFmtId="0">
      <sharedItems containsNonDate="0" containsString="0" containsBlank="1"/>
    </cacheField>
    <cacheField name="Column13954" numFmtId="0">
      <sharedItems containsNonDate="0" containsString="0" containsBlank="1"/>
    </cacheField>
    <cacheField name="Column13955" numFmtId="0">
      <sharedItems containsNonDate="0" containsString="0" containsBlank="1"/>
    </cacheField>
    <cacheField name="Column13956" numFmtId="0">
      <sharedItems containsNonDate="0" containsString="0" containsBlank="1"/>
    </cacheField>
    <cacheField name="Column13957" numFmtId="0">
      <sharedItems containsNonDate="0" containsString="0" containsBlank="1"/>
    </cacheField>
    <cacheField name="Column13958" numFmtId="0">
      <sharedItems containsNonDate="0" containsString="0" containsBlank="1"/>
    </cacheField>
    <cacheField name="Column13959" numFmtId="0">
      <sharedItems containsNonDate="0" containsString="0" containsBlank="1"/>
    </cacheField>
    <cacheField name="Column13960" numFmtId="0">
      <sharedItems containsNonDate="0" containsString="0" containsBlank="1"/>
    </cacheField>
    <cacheField name="Column13961" numFmtId="0">
      <sharedItems containsNonDate="0" containsString="0" containsBlank="1"/>
    </cacheField>
    <cacheField name="Column13962" numFmtId="0">
      <sharedItems containsNonDate="0" containsString="0" containsBlank="1"/>
    </cacheField>
    <cacheField name="Column13963" numFmtId="0">
      <sharedItems containsNonDate="0" containsString="0" containsBlank="1"/>
    </cacheField>
    <cacheField name="Column13964" numFmtId="0">
      <sharedItems containsNonDate="0" containsString="0" containsBlank="1"/>
    </cacheField>
    <cacheField name="Column13965" numFmtId="0">
      <sharedItems containsNonDate="0" containsString="0" containsBlank="1"/>
    </cacheField>
    <cacheField name="Column13966" numFmtId="0">
      <sharedItems containsNonDate="0" containsString="0" containsBlank="1"/>
    </cacheField>
    <cacheField name="Column13967" numFmtId="0">
      <sharedItems containsNonDate="0" containsString="0" containsBlank="1"/>
    </cacheField>
    <cacheField name="Column13968" numFmtId="0">
      <sharedItems containsNonDate="0" containsString="0" containsBlank="1"/>
    </cacheField>
    <cacheField name="Column13969" numFmtId="0">
      <sharedItems containsNonDate="0" containsString="0" containsBlank="1"/>
    </cacheField>
    <cacheField name="Column13970" numFmtId="0">
      <sharedItems containsNonDate="0" containsString="0" containsBlank="1"/>
    </cacheField>
    <cacheField name="Column13971" numFmtId="0">
      <sharedItems containsNonDate="0" containsString="0" containsBlank="1"/>
    </cacheField>
    <cacheField name="Column13972" numFmtId="0">
      <sharedItems containsNonDate="0" containsString="0" containsBlank="1"/>
    </cacheField>
    <cacheField name="Column13973" numFmtId="0">
      <sharedItems containsNonDate="0" containsString="0" containsBlank="1"/>
    </cacheField>
    <cacheField name="Column13974" numFmtId="0">
      <sharedItems containsNonDate="0" containsString="0" containsBlank="1"/>
    </cacheField>
    <cacheField name="Column13975" numFmtId="0">
      <sharedItems containsNonDate="0" containsString="0" containsBlank="1"/>
    </cacheField>
    <cacheField name="Column13976" numFmtId="0">
      <sharedItems containsNonDate="0" containsString="0" containsBlank="1"/>
    </cacheField>
    <cacheField name="Column13977" numFmtId="0">
      <sharedItems containsNonDate="0" containsString="0" containsBlank="1"/>
    </cacheField>
    <cacheField name="Column13978" numFmtId="0">
      <sharedItems containsNonDate="0" containsString="0" containsBlank="1"/>
    </cacheField>
    <cacheField name="Column13979" numFmtId="0">
      <sharedItems containsNonDate="0" containsString="0" containsBlank="1"/>
    </cacheField>
    <cacheField name="Column13980" numFmtId="0">
      <sharedItems containsNonDate="0" containsString="0" containsBlank="1"/>
    </cacheField>
    <cacheField name="Column13981" numFmtId="0">
      <sharedItems containsNonDate="0" containsString="0" containsBlank="1"/>
    </cacheField>
    <cacheField name="Column13982" numFmtId="0">
      <sharedItems containsNonDate="0" containsString="0" containsBlank="1"/>
    </cacheField>
    <cacheField name="Column13983" numFmtId="0">
      <sharedItems containsNonDate="0" containsString="0" containsBlank="1"/>
    </cacheField>
    <cacheField name="Column13984" numFmtId="0">
      <sharedItems containsNonDate="0" containsString="0" containsBlank="1"/>
    </cacheField>
    <cacheField name="Column13985" numFmtId="0">
      <sharedItems containsNonDate="0" containsString="0" containsBlank="1"/>
    </cacheField>
    <cacheField name="Column13986" numFmtId="0">
      <sharedItems containsNonDate="0" containsString="0" containsBlank="1"/>
    </cacheField>
    <cacheField name="Column13987" numFmtId="0">
      <sharedItems containsNonDate="0" containsString="0" containsBlank="1"/>
    </cacheField>
    <cacheField name="Column13988" numFmtId="0">
      <sharedItems containsNonDate="0" containsString="0" containsBlank="1"/>
    </cacheField>
    <cacheField name="Column13989" numFmtId="0">
      <sharedItems containsNonDate="0" containsString="0" containsBlank="1"/>
    </cacheField>
    <cacheField name="Column13990" numFmtId="0">
      <sharedItems containsNonDate="0" containsString="0" containsBlank="1"/>
    </cacheField>
    <cacheField name="Column13991" numFmtId="0">
      <sharedItems containsNonDate="0" containsString="0" containsBlank="1"/>
    </cacheField>
    <cacheField name="Column13992" numFmtId="0">
      <sharedItems containsNonDate="0" containsString="0" containsBlank="1"/>
    </cacheField>
    <cacheField name="Column13993" numFmtId="0">
      <sharedItems containsNonDate="0" containsString="0" containsBlank="1"/>
    </cacheField>
    <cacheField name="Column13994" numFmtId="0">
      <sharedItems containsNonDate="0" containsString="0" containsBlank="1"/>
    </cacheField>
    <cacheField name="Column13995" numFmtId="0">
      <sharedItems containsNonDate="0" containsString="0" containsBlank="1"/>
    </cacheField>
    <cacheField name="Column13996" numFmtId="0">
      <sharedItems containsNonDate="0" containsString="0" containsBlank="1"/>
    </cacheField>
    <cacheField name="Column13997" numFmtId="0">
      <sharedItems containsNonDate="0" containsString="0" containsBlank="1"/>
    </cacheField>
    <cacheField name="Column13998" numFmtId="0">
      <sharedItems containsNonDate="0" containsString="0" containsBlank="1"/>
    </cacheField>
    <cacheField name="Column13999" numFmtId="0">
      <sharedItems containsNonDate="0" containsString="0" containsBlank="1"/>
    </cacheField>
    <cacheField name="Column14000" numFmtId="0">
      <sharedItems containsNonDate="0" containsString="0" containsBlank="1"/>
    </cacheField>
    <cacheField name="Column14001" numFmtId="0">
      <sharedItems containsNonDate="0" containsString="0" containsBlank="1"/>
    </cacheField>
    <cacheField name="Column14002" numFmtId="0">
      <sharedItems containsNonDate="0" containsString="0" containsBlank="1"/>
    </cacheField>
    <cacheField name="Column14003" numFmtId="0">
      <sharedItems containsNonDate="0" containsString="0" containsBlank="1"/>
    </cacheField>
    <cacheField name="Column14004" numFmtId="0">
      <sharedItems containsNonDate="0" containsString="0" containsBlank="1"/>
    </cacheField>
    <cacheField name="Column14005" numFmtId="0">
      <sharedItems containsNonDate="0" containsString="0" containsBlank="1"/>
    </cacheField>
    <cacheField name="Column14006" numFmtId="0">
      <sharedItems containsNonDate="0" containsString="0" containsBlank="1"/>
    </cacheField>
    <cacheField name="Column14007" numFmtId="0">
      <sharedItems containsNonDate="0" containsString="0" containsBlank="1"/>
    </cacheField>
    <cacheField name="Column14008" numFmtId="0">
      <sharedItems containsNonDate="0" containsString="0" containsBlank="1"/>
    </cacheField>
    <cacheField name="Column14009" numFmtId="0">
      <sharedItems containsNonDate="0" containsString="0" containsBlank="1"/>
    </cacheField>
    <cacheField name="Column14010" numFmtId="0">
      <sharedItems containsNonDate="0" containsString="0" containsBlank="1"/>
    </cacheField>
    <cacheField name="Column14011" numFmtId="0">
      <sharedItems containsNonDate="0" containsString="0" containsBlank="1"/>
    </cacheField>
    <cacheField name="Column14012" numFmtId="0">
      <sharedItems containsNonDate="0" containsString="0" containsBlank="1"/>
    </cacheField>
    <cacheField name="Column14013" numFmtId="0">
      <sharedItems containsNonDate="0" containsString="0" containsBlank="1"/>
    </cacheField>
    <cacheField name="Column14014" numFmtId="0">
      <sharedItems containsNonDate="0" containsString="0" containsBlank="1"/>
    </cacheField>
    <cacheField name="Column14015" numFmtId="0">
      <sharedItems containsNonDate="0" containsString="0" containsBlank="1"/>
    </cacheField>
    <cacheField name="Column14016" numFmtId="0">
      <sharedItems containsNonDate="0" containsString="0" containsBlank="1"/>
    </cacheField>
    <cacheField name="Column14017" numFmtId="0">
      <sharedItems containsNonDate="0" containsString="0" containsBlank="1"/>
    </cacheField>
    <cacheField name="Column14018" numFmtId="0">
      <sharedItems containsNonDate="0" containsString="0" containsBlank="1"/>
    </cacheField>
    <cacheField name="Column14019" numFmtId="0">
      <sharedItems containsNonDate="0" containsString="0" containsBlank="1"/>
    </cacheField>
    <cacheField name="Column14020" numFmtId="0">
      <sharedItems containsNonDate="0" containsString="0" containsBlank="1"/>
    </cacheField>
    <cacheField name="Column14021" numFmtId="0">
      <sharedItems containsNonDate="0" containsString="0" containsBlank="1"/>
    </cacheField>
    <cacheField name="Column14022" numFmtId="0">
      <sharedItems containsNonDate="0" containsString="0" containsBlank="1"/>
    </cacheField>
    <cacheField name="Column14023" numFmtId="0">
      <sharedItems containsNonDate="0" containsString="0" containsBlank="1"/>
    </cacheField>
    <cacheField name="Column14024" numFmtId="0">
      <sharedItems containsNonDate="0" containsString="0" containsBlank="1"/>
    </cacheField>
    <cacheField name="Column14025" numFmtId="0">
      <sharedItems containsNonDate="0" containsString="0" containsBlank="1"/>
    </cacheField>
    <cacheField name="Column14026" numFmtId="0">
      <sharedItems containsNonDate="0" containsString="0" containsBlank="1"/>
    </cacheField>
    <cacheField name="Column14027" numFmtId="0">
      <sharedItems containsNonDate="0" containsString="0" containsBlank="1"/>
    </cacheField>
    <cacheField name="Column14028" numFmtId="0">
      <sharedItems containsNonDate="0" containsString="0" containsBlank="1"/>
    </cacheField>
    <cacheField name="Column14029" numFmtId="0">
      <sharedItems containsNonDate="0" containsString="0" containsBlank="1"/>
    </cacheField>
    <cacheField name="Column14030" numFmtId="0">
      <sharedItems containsNonDate="0" containsString="0" containsBlank="1"/>
    </cacheField>
    <cacheField name="Column14031" numFmtId="0">
      <sharedItems containsNonDate="0" containsString="0" containsBlank="1"/>
    </cacheField>
    <cacheField name="Column14032" numFmtId="0">
      <sharedItems containsNonDate="0" containsString="0" containsBlank="1"/>
    </cacheField>
    <cacheField name="Column14033" numFmtId="0">
      <sharedItems containsNonDate="0" containsString="0" containsBlank="1"/>
    </cacheField>
    <cacheField name="Column14034" numFmtId="0">
      <sharedItems containsNonDate="0" containsString="0" containsBlank="1"/>
    </cacheField>
    <cacheField name="Column14035" numFmtId="0">
      <sharedItems containsNonDate="0" containsString="0" containsBlank="1"/>
    </cacheField>
    <cacheField name="Column14036" numFmtId="0">
      <sharedItems containsNonDate="0" containsString="0" containsBlank="1"/>
    </cacheField>
    <cacheField name="Column14037" numFmtId="0">
      <sharedItems containsNonDate="0" containsString="0" containsBlank="1"/>
    </cacheField>
    <cacheField name="Column14038" numFmtId="0">
      <sharedItems containsNonDate="0" containsString="0" containsBlank="1"/>
    </cacheField>
    <cacheField name="Column14039" numFmtId="0">
      <sharedItems containsNonDate="0" containsString="0" containsBlank="1"/>
    </cacheField>
    <cacheField name="Column14040" numFmtId="0">
      <sharedItems containsNonDate="0" containsString="0" containsBlank="1"/>
    </cacheField>
    <cacheField name="Column14041" numFmtId="0">
      <sharedItems containsNonDate="0" containsString="0" containsBlank="1"/>
    </cacheField>
    <cacheField name="Column14042" numFmtId="0">
      <sharedItems containsNonDate="0" containsString="0" containsBlank="1"/>
    </cacheField>
    <cacheField name="Column14043" numFmtId="0">
      <sharedItems containsNonDate="0" containsString="0" containsBlank="1"/>
    </cacheField>
    <cacheField name="Column14044" numFmtId="0">
      <sharedItems containsNonDate="0" containsString="0" containsBlank="1"/>
    </cacheField>
    <cacheField name="Column14045" numFmtId="0">
      <sharedItems containsNonDate="0" containsString="0" containsBlank="1"/>
    </cacheField>
    <cacheField name="Column14046" numFmtId="0">
      <sharedItems containsNonDate="0" containsString="0" containsBlank="1"/>
    </cacheField>
    <cacheField name="Column14047" numFmtId="0">
      <sharedItems containsNonDate="0" containsString="0" containsBlank="1"/>
    </cacheField>
    <cacheField name="Column14048" numFmtId="0">
      <sharedItems containsNonDate="0" containsString="0" containsBlank="1"/>
    </cacheField>
    <cacheField name="Column14049" numFmtId="0">
      <sharedItems containsNonDate="0" containsString="0" containsBlank="1"/>
    </cacheField>
    <cacheField name="Column14050" numFmtId="0">
      <sharedItems containsNonDate="0" containsString="0" containsBlank="1"/>
    </cacheField>
    <cacheField name="Column14051" numFmtId="0">
      <sharedItems containsNonDate="0" containsString="0" containsBlank="1"/>
    </cacheField>
    <cacheField name="Column14052" numFmtId="0">
      <sharedItems containsNonDate="0" containsString="0" containsBlank="1"/>
    </cacheField>
    <cacheField name="Column14053" numFmtId="0">
      <sharedItems containsNonDate="0" containsString="0" containsBlank="1"/>
    </cacheField>
    <cacheField name="Column14054" numFmtId="0">
      <sharedItems containsNonDate="0" containsString="0" containsBlank="1"/>
    </cacheField>
    <cacheField name="Column14055" numFmtId="0">
      <sharedItems containsNonDate="0" containsString="0" containsBlank="1"/>
    </cacheField>
    <cacheField name="Column14056" numFmtId="0">
      <sharedItems containsNonDate="0" containsString="0" containsBlank="1"/>
    </cacheField>
    <cacheField name="Column14057" numFmtId="0">
      <sharedItems containsNonDate="0" containsString="0" containsBlank="1"/>
    </cacheField>
    <cacheField name="Column14058" numFmtId="0">
      <sharedItems containsNonDate="0" containsString="0" containsBlank="1"/>
    </cacheField>
    <cacheField name="Column14059" numFmtId="0">
      <sharedItems containsNonDate="0" containsString="0" containsBlank="1"/>
    </cacheField>
    <cacheField name="Column14060" numFmtId="0">
      <sharedItems containsNonDate="0" containsString="0" containsBlank="1"/>
    </cacheField>
    <cacheField name="Column14061" numFmtId="0">
      <sharedItems containsNonDate="0" containsString="0" containsBlank="1"/>
    </cacheField>
    <cacheField name="Column14062" numFmtId="0">
      <sharedItems containsNonDate="0" containsString="0" containsBlank="1"/>
    </cacheField>
    <cacheField name="Column14063" numFmtId="0">
      <sharedItems containsNonDate="0" containsString="0" containsBlank="1"/>
    </cacheField>
    <cacheField name="Column14064" numFmtId="0">
      <sharedItems containsNonDate="0" containsString="0" containsBlank="1"/>
    </cacheField>
    <cacheField name="Column14065" numFmtId="0">
      <sharedItems containsNonDate="0" containsString="0" containsBlank="1"/>
    </cacheField>
    <cacheField name="Column14066" numFmtId="0">
      <sharedItems containsNonDate="0" containsString="0" containsBlank="1"/>
    </cacheField>
    <cacheField name="Column14067" numFmtId="0">
      <sharedItems containsNonDate="0" containsString="0" containsBlank="1"/>
    </cacheField>
    <cacheField name="Column14068" numFmtId="0">
      <sharedItems containsNonDate="0" containsString="0" containsBlank="1"/>
    </cacheField>
    <cacheField name="Column14069" numFmtId="0">
      <sharedItems containsNonDate="0" containsString="0" containsBlank="1"/>
    </cacheField>
    <cacheField name="Column14070" numFmtId="0">
      <sharedItems containsNonDate="0" containsString="0" containsBlank="1"/>
    </cacheField>
    <cacheField name="Column14071" numFmtId="0">
      <sharedItems containsNonDate="0" containsString="0" containsBlank="1"/>
    </cacheField>
    <cacheField name="Column14072" numFmtId="0">
      <sharedItems containsNonDate="0" containsString="0" containsBlank="1"/>
    </cacheField>
    <cacheField name="Column14073" numFmtId="0">
      <sharedItems containsNonDate="0" containsString="0" containsBlank="1"/>
    </cacheField>
    <cacheField name="Column14074" numFmtId="0">
      <sharedItems containsNonDate="0" containsString="0" containsBlank="1"/>
    </cacheField>
    <cacheField name="Column14075" numFmtId="0">
      <sharedItems containsNonDate="0" containsString="0" containsBlank="1"/>
    </cacheField>
    <cacheField name="Column14076" numFmtId="0">
      <sharedItems containsNonDate="0" containsString="0" containsBlank="1"/>
    </cacheField>
    <cacheField name="Column14077" numFmtId="0">
      <sharedItems containsNonDate="0" containsString="0" containsBlank="1"/>
    </cacheField>
    <cacheField name="Column14078" numFmtId="0">
      <sharedItems containsNonDate="0" containsString="0" containsBlank="1"/>
    </cacheField>
    <cacheField name="Column14079" numFmtId="0">
      <sharedItems containsNonDate="0" containsString="0" containsBlank="1"/>
    </cacheField>
    <cacheField name="Column14080" numFmtId="0">
      <sharedItems containsNonDate="0" containsString="0" containsBlank="1"/>
    </cacheField>
    <cacheField name="Column14081" numFmtId="0">
      <sharedItems containsNonDate="0" containsString="0" containsBlank="1"/>
    </cacheField>
    <cacheField name="Column14082" numFmtId="0">
      <sharedItems containsNonDate="0" containsString="0" containsBlank="1"/>
    </cacheField>
    <cacheField name="Column14083" numFmtId="0">
      <sharedItems containsNonDate="0" containsString="0" containsBlank="1"/>
    </cacheField>
    <cacheField name="Column14084" numFmtId="0">
      <sharedItems containsNonDate="0" containsString="0" containsBlank="1"/>
    </cacheField>
    <cacheField name="Column14085" numFmtId="0">
      <sharedItems containsNonDate="0" containsString="0" containsBlank="1"/>
    </cacheField>
    <cacheField name="Column14086" numFmtId="0">
      <sharedItems containsNonDate="0" containsString="0" containsBlank="1"/>
    </cacheField>
    <cacheField name="Column14087" numFmtId="0">
      <sharedItems containsNonDate="0" containsString="0" containsBlank="1"/>
    </cacheField>
    <cacheField name="Column14088" numFmtId="0">
      <sharedItems containsNonDate="0" containsString="0" containsBlank="1"/>
    </cacheField>
    <cacheField name="Column14089" numFmtId="0">
      <sharedItems containsNonDate="0" containsString="0" containsBlank="1"/>
    </cacheField>
    <cacheField name="Column14090" numFmtId="0">
      <sharedItems containsNonDate="0" containsString="0" containsBlank="1"/>
    </cacheField>
    <cacheField name="Column14091" numFmtId="0">
      <sharedItems containsNonDate="0" containsString="0" containsBlank="1"/>
    </cacheField>
    <cacheField name="Column14092" numFmtId="0">
      <sharedItems containsNonDate="0" containsString="0" containsBlank="1"/>
    </cacheField>
    <cacheField name="Column14093" numFmtId="0">
      <sharedItems containsNonDate="0" containsString="0" containsBlank="1"/>
    </cacheField>
    <cacheField name="Column14094" numFmtId="0">
      <sharedItems containsNonDate="0" containsString="0" containsBlank="1"/>
    </cacheField>
    <cacheField name="Column14095" numFmtId="0">
      <sharedItems containsNonDate="0" containsString="0" containsBlank="1"/>
    </cacheField>
    <cacheField name="Column14096" numFmtId="0">
      <sharedItems containsNonDate="0" containsString="0" containsBlank="1"/>
    </cacheField>
    <cacheField name="Column14097" numFmtId="0">
      <sharedItems containsNonDate="0" containsString="0" containsBlank="1"/>
    </cacheField>
    <cacheField name="Column14098" numFmtId="0">
      <sharedItems containsNonDate="0" containsString="0" containsBlank="1"/>
    </cacheField>
    <cacheField name="Column14099" numFmtId="0">
      <sharedItems containsNonDate="0" containsString="0" containsBlank="1"/>
    </cacheField>
    <cacheField name="Column14100" numFmtId="0">
      <sharedItems containsNonDate="0" containsString="0" containsBlank="1"/>
    </cacheField>
    <cacheField name="Column14101" numFmtId="0">
      <sharedItems containsNonDate="0" containsString="0" containsBlank="1"/>
    </cacheField>
    <cacheField name="Column14102" numFmtId="0">
      <sharedItems containsNonDate="0" containsString="0" containsBlank="1"/>
    </cacheField>
    <cacheField name="Column14103" numFmtId="0">
      <sharedItems containsNonDate="0" containsString="0" containsBlank="1"/>
    </cacheField>
    <cacheField name="Column14104" numFmtId="0">
      <sharedItems containsNonDate="0" containsString="0" containsBlank="1"/>
    </cacheField>
    <cacheField name="Column14105" numFmtId="0">
      <sharedItems containsNonDate="0" containsString="0" containsBlank="1"/>
    </cacheField>
    <cacheField name="Column14106" numFmtId="0">
      <sharedItems containsNonDate="0" containsString="0" containsBlank="1"/>
    </cacheField>
    <cacheField name="Column14107" numFmtId="0">
      <sharedItems containsNonDate="0" containsString="0" containsBlank="1"/>
    </cacheField>
    <cacheField name="Column14108" numFmtId="0">
      <sharedItems containsNonDate="0" containsString="0" containsBlank="1"/>
    </cacheField>
    <cacheField name="Column14109" numFmtId="0">
      <sharedItems containsNonDate="0" containsString="0" containsBlank="1"/>
    </cacheField>
    <cacheField name="Column14110" numFmtId="0">
      <sharedItems containsNonDate="0" containsString="0" containsBlank="1"/>
    </cacheField>
    <cacheField name="Column14111" numFmtId="0">
      <sharedItems containsNonDate="0" containsString="0" containsBlank="1"/>
    </cacheField>
    <cacheField name="Column14112" numFmtId="0">
      <sharedItems containsNonDate="0" containsString="0" containsBlank="1"/>
    </cacheField>
    <cacheField name="Column14113" numFmtId="0">
      <sharedItems containsNonDate="0" containsString="0" containsBlank="1"/>
    </cacheField>
    <cacheField name="Column14114" numFmtId="0">
      <sharedItems containsNonDate="0" containsString="0" containsBlank="1"/>
    </cacheField>
    <cacheField name="Column14115" numFmtId="0">
      <sharedItems containsNonDate="0" containsString="0" containsBlank="1"/>
    </cacheField>
    <cacheField name="Column14116" numFmtId="0">
      <sharedItems containsNonDate="0" containsString="0" containsBlank="1"/>
    </cacheField>
    <cacheField name="Column14117" numFmtId="0">
      <sharedItems containsNonDate="0" containsString="0" containsBlank="1"/>
    </cacheField>
    <cacheField name="Column14118" numFmtId="0">
      <sharedItems containsNonDate="0" containsString="0" containsBlank="1"/>
    </cacheField>
    <cacheField name="Column14119" numFmtId="0">
      <sharedItems containsNonDate="0" containsString="0" containsBlank="1"/>
    </cacheField>
    <cacheField name="Column14120" numFmtId="0">
      <sharedItems containsNonDate="0" containsString="0" containsBlank="1"/>
    </cacheField>
    <cacheField name="Column14121" numFmtId="0">
      <sharedItems containsNonDate="0" containsString="0" containsBlank="1"/>
    </cacheField>
    <cacheField name="Column14122" numFmtId="0">
      <sharedItems containsNonDate="0" containsString="0" containsBlank="1"/>
    </cacheField>
    <cacheField name="Column14123" numFmtId="0">
      <sharedItems containsNonDate="0" containsString="0" containsBlank="1"/>
    </cacheField>
    <cacheField name="Column14124" numFmtId="0">
      <sharedItems containsNonDate="0" containsString="0" containsBlank="1"/>
    </cacheField>
    <cacheField name="Column14125" numFmtId="0">
      <sharedItems containsNonDate="0" containsString="0" containsBlank="1"/>
    </cacheField>
    <cacheField name="Column14126" numFmtId="0">
      <sharedItems containsNonDate="0" containsString="0" containsBlank="1"/>
    </cacheField>
    <cacheField name="Column14127" numFmtId="0">
      <sharedItems containsNonDate="0" containsString="0" containsBlank="1"/>
    </cacheField>
    <cacheField name="Column14128" numFmtId="0">
      <sharedItems containsNonDate="0" containsString="0" containsBlank="1"/>
    </cacheField>
    <cacheField name="Column14129" numFmtId="0">
      <sharedItems containsNonDate="0" containsString="0" containsBlank="1"/>
    </cacheField>
    <cacheField name="Column14130" numFmtId="0">
      <sharedItems containsNonDate="0" containsString="0" containsBlank="1"/>
    </cacheField>
    <cacheField name="Column14131" numFmtId="0">
      <sharedItems containsNonDate="0" containsString="0" containsBlank="1"/>
    </cacheField>
    <cacheField name="Column14132" numFmtId="0">
      <sharedItems containsNonDate="0" containsString="0" containsBlank="1"/>
    </cacheField>
    <cacheField name="Column14133" numFmtId="0">
      <sharedItems containsNonDate="0" containsString="0" containsBlank="1"/>
    </cacheField>
    <cacheField name="Column14134" numFmtId="0">
      <sharedItems containsNonDate="0" containsString="0" containsBlank="1"/>
    </cacheField>
    <cacheField name="Column14135" numFmtId="0">
      <sharedItems containsNonDate="0" containsString="0" containsBlank="1"/>
    </cacheField>
    <cacheField name="Column14136" numFmtId="0">
      <sharedItems containsNonDate="0" containsString="0" containsBlank="1"/>
    </cacheField>
    <cacheField name="Column14137" numFmtId="0">
      <sharedItems containsNonDate="0" containsString="0" containsBlank="1"/>
    </cacheField>
    <cacheField name="Column14138" numFmtId="0">
      <sharedItems containsNonDate="0" containsString="0" containsBlank="1"/>
    </cacheField>
    <cacheField name="Column14139" numFmtId="0">
      <sharedItems containsNonDate="0" containsString="0" containsBlank="1"/>
    </cacheField>
    <cacheField name="Column14140" numFmtId="0">
      <sharedItems containsNonDate="0" containsString="0" containsBlank="1"/>
    </cacheField>
    <cacheField name="Column14141" numFmtId="0">
      <sharedItems containsNonDate="0" containsString="0" containsBlank="1"/>
    </cacheField>
    <cacheField name="Column14142" numFmtId="0">
      <sharedItems containsNonDate="0" containsString="0" containsBlank="1"/>
    </cacheField>
    <cacheField name="Column14143" numFmtId="0">
      <sharedItems containsNonDate="0" containsString="0" containsBlank="1"/>
    </cacheField>
    <cacheField name="Column14144" numFmtId="0">
      <sharedItems containsNonDate="0" containsString="0" containsBlank="1"/>
    </cacheField>
    <cacheField name="Column14145" numFmtId="0">
      <sharedItems containsNonDate="0" containsString="0" containsBlank="1"/>
    </cacheField>
    <cacheField name="Column14146" numFmtId="0">
      <sharedItems containsNonDate="0" containsString="0" containsBlank="1"/>
    </cacheField>
    <cacheField name="Column14147" numFmtId="0">
      <sharedItems containsNonDate="0" containsString="0" containsBlank="1"/>
    </cacheField>
    <cacheField name="Column14148" numFmtId="0">
      <sharedItems containsNonDate="0" containsString="0" containsBlank="1"/>
    </cacheField>
    <cacheField name="Column14149" numFmtId="0">
      <sharedItems containsNonDate="0" containsString="0" containsBlank="1"/>
    </cacheField>
    <cacheField name="Column14150" numFmtId="0">
      <sharedItems containsNonDate="0" containsString="0" containsBlank="1"/>
    </cacheField>
    <cacheField name="Column14151" numFmtId="0">
      <sharedItems containsNonDate="0" containsString="0" containsBlank="1"/>
    </cacheField>
    <cacheField name="Column14152" numFmtId="0">
      <sharedItems containsNonDate="0" containsString="0" containsBlank="1"/>
    </cacheField>
    <cacheField name="Column14153" numFmtId="0">
      <sharedItems containsNonDate="0" containsString="0" containsBlank="1"/>
    </cacheField>
    <cacheField name="Column14154" numFmtId="0">
      <sharedItems containsNonDate="0" containsString="0" containsBlank="1"/>
    </cacheField>
    <cacheField name="Column14155" numFmtId="0">
      <sharedItems containsNonDate="0" containsString="0" containsBlank="1"/>
    </cacheField>
    <cacheField name="Column14156" numFmtId="0">
      <sharedItems containsNonDate="0" containsString="0" containsBlank="1"/>
    </cacheField>
    <cacheField name="Column14157" numFmtId="0">
      <sharedItems containsNonDate="0" containsString="0" containsBlank="1"/>
    </cacheField>
    <cacheField name="Column14158" numFmtId="0">
      <sharedItems containsNonDate="0" containsString="0" containsBlank="1"/>
    </cacheField>
    <cacheField name="Column14159" numFmtId="0">
      <sharedItems containsNonDate="0" containsString="0" containsBlank="1"/>
    </cacheField>
    <cacheField name="Column14160" numFmtId="0">
      <sharedItems containsNonDate="0" containsString="0" containsBlank="1"/>
    </cacheField>
    <cacheField name="Column14161" numFmtId="0">
      <sharedItems containsNonDate="0" containsString="0" containsBlank="1"/>
    </cacheField>
    <cacheField name="Column14162" numFmtId="0">
      <sharedItems containsNonDate="0" containsString="0" containsBlank="1"/>
    </cacheField>
    <cacheField name="Column14163" numFmtId="0">
      <sharedItems containsNonDate="0" containsString="0" containsBlank="1"/>
    </cacheField>
    <cacheField name="Column14164" numFmtId="0">
      <sharedItems containsNonDate="0" containsString="0" containsBlank="1"/>
    </cacheField>
    <cacheField name="Column14165" numFmtId="0">
      <sharedItems containsNonDate="0" containsString="0" containsBlank="1"/>
    </cacheField>
    <cacheField name="Column14166" numFmtId="0">
      <sharedItems containsNonDate="0" containsString="0" containsBlank="1"/>
    </cacheField>
    <cacheField name="Column14167" numFmtId="0">
      <sharedItems containsNonDate="0" containsString="0" containsBlank="1"/>
    </cacheField>
    <cacheField name="Column14168" numFmtId="0">
      <sharedItems containsNonDate="0" containsString="0" containsBlank="1"/>
    </cacheField>
    <cacheField name="Column14169" numFmtId="0">
      <sharedItems containsNonDate="0" containsString="0" containsBlank="1"/>
    </cacheField>
    <cacheField name="Column14170" numFmtId="0">
      <sharedItems containsNonDate="0" containsString="0" containsBlank="1"/>
    </cacheField>
    <cacheField name="Column14171" numFmtId="0">
      <sharedItems containsNonDate="0" containsString="0" containsBlank="1"/>
    </cacheField>
    <cacheField name="Column14172" numFmtId="0">
      <sharedItems containsNonDate="0" containsString="0" containsBlank="1"/>
    </cacheField>
    <cacheField name="Column14173" numFmtId="0">
      <sharedItems containsNonDate="0" containsString="0" containsBlank="1"/>
    </cacheField>
    <cacheField name="Column14174" numFmtId="0">
      <sharedItems containsNonDate="0" containsString="0" containsBlank="1"/>
    </cacheField>
    <cacheField name="Column14175" numFmtId="0">
      <sharedItems containsNonDate="0" containsString="0" containsBlank="1"/>
    </cacheField>
    <cacheField name="Column14176" numFmtId="0">
      <sharedItems containsNonDate="0" containsString="0" containsBlank="1"/>
    </cacheField>
    <cacheField name="Column14177" numFmtId="0">
      <sharedItems containsNonDate="0" containsString="0" containsBlank="1"/>
    </cacheField>
    <cacheField name="Column14178" numFmtId="0">
      <sharedItems containsNonDate="0" containsString="0" containsBlank="1"/>
    </cacheField>
    <cacheField name="Column14179" numFmtId="0">
      <sharedItems containsNonDate="0" containsString="0" containsBlank="1"/>
    </cacheField>
    <cacheField name="Column14180" numFmtId="0">
      <sharedItems containsNonDate="0" containsString="0" containsBlank="1"/>
    </cacheField>
    <cacheField name="Column14181" numFmtId="0">
      <sharedItems containsNonDate="0" containsString="0" containsBlank="1"/>
    </cacheField>
    <cacheField name="Column14182" numFmtId="0">
      <sharedItems containsNonDate="0" containsString="0" containsBlank="1"/>
    </cacheField>
    <cacheField name="Column14183" numFmtId="0">
      <sharedItems containsNonDate="0" containsString="0" containsBlank="1"/>
    </cacheField>
    <cacheField name="Column14184" numFmtId="0">
      <sharedItems containsNonDate="0" containsString="0" containsBlank="1"/>
    </cacheField>
    <cacheField name="Column14185" numFmtId="0">
      <sharedItems containsNonDate="0" containsString="0" containsBlank="1"/>
    </cacheField>
    <cacheField name="Column14186" numFmtId="0">
      <sharedItems containsNonDate="0" containsString="0" containsBlank="1"/>
    </cacheField>
    <cacheField name="Column14187" numFmtId="0">
      <sharedItems containsNonDate="0" containsString="0" containsBlank="1"/>
    </cacheField>
    <cacheField name="Column14188" numFmtId="0">
      <sharedItems containsNonDate="0" containsString="0" containsBlank="1"/>
    </cacheField>
    <cacheField name="Column14189" numFmtId="0">
      <sharedItems containsNonDate="0" containsString="0" containsBlank="1"/>
    </cacheField>
    <cacheField name="Column14190" numFmtId="0">
      <sharedItems containsNonDate="0" containsString="0" containsBlank="1"/>
    </cacheField>
    <cacheField name="Column14191" numFmtId="0">
      <sharedItems containsNonDate="0" containsString="0" containsBlank="1"/>
    </cacheField>
    <cacheField name="Column14192" numFmtId="0">
      <sharedItems containsNonDate="0" containsString="0" containsBlank="1"/>
    </cacheField>
    <cacheField name="Column14193" numFmtId="0">
      <sharedItems containsNonDate="0" containsString="0" containsBlank="1"/>
    </cacheField>
    <cacheField name="Column14194" numFmtId="0">
      <sharedItems containsNonDate="0" containsString="0" containsBlank="1"/>
    </cacheField>
    <cacheField name="Column14195" numFmtId="0">
      <sharedItems containsNonDate="0" containsString="0" containsBlank="1"/>
    </cacheField>
    <cacheField name="Column14196" numFmtId="0">
      <sharedItems containsNonDate="0" containsString="0" containsBlank="1"/>
    </cacheField>
    <cacheField name="Column14197" numFmtId="0">
      <sharedItems containsNonDate="0" containsString="0" containsBlank="1"/>
    </cacheField>
    <cacheField name="Column14198" numFmtId="0">
      <sharedItems containsNonDate="0" containsString="0" containsBlank="1"/>
    </cacheField>
    <cacheField name="Column14199" numFmtId="0">
      <sharedItems containsNonDate="0" containsString="0" containsBlank="1"/>
    </cacheField>
    <cacheField name="Column14200" numFmtId="0">
      <sharedItems containsNonDate="0" containsString="0" containsBlank="1"/>
    </cacheField>
    <cacheField name="Column14201" numFmtId="0">
      <sharedItems containsNonDate="0" containsString="0" containsBlank="1"/>
    </cacheField>
    <cacheField name="Column14202" numFmtId="0">
      <sharedItems containsNonDate="0" containsString="0" containsBlank="1"/>
    </cacheField>
    <cacheField name="Column14203" numFmtId="0">
      <sharedItems containsNonDate="0" containsString="0" containsBlank="1"/>
    </cacheField>
    <cacheField name="Column14204" numFmtId="0">
      <sharedItems containsNonDate="0" containsString="0" containsBlank="1"/>
    </cacheField>
    <cacheField name="Column14205" numFmtId="0">
      <sharedItems containsNonDate="0" containsString="0" containsBlank="1"/>
    </cacheField>
    <cacheField name="Column14206" numFmtId="0">
      <sharedItems containsNonDate="0" containsString="0" containsBlank="1"/>
    </cacheField>
    <cacheField name="Column14207" numFmtId="0">
      <sharedItems containsNonDate="0" containsString="0" containsBlank="1"/>
    </cacheField>
    <cacheField name="Column14208" numFmtId="0">
      <sharedItems containsNonDate="0" containsString="0" containsBlank="1"/>
    </cacheField>
    <cacheField name="Column14209" numFmtId="0">
      <sharedItems containsNonDate="0" containsString="0" containsBlank="1"/>
    </cacheField>
    <cacheField name="Column14210" numFmtId="0">
      <sharedItems containsNonDate="0" containsString="0" containsBlank="1"/>
    </cacheField>
    <cacheField name="Column14211" numFmtId="0">
      <sharedItems containsNonDate="0" containsString="0" containsBlank="1"/>
    </cacheField>
    <cacheField name="Column14212" numFmtId="0">
      <sharedItems containsNonDate="0" containsString="0" containsBlank="1"/>
    </cacheField>
    <cacheField name="Column14213" numFmtId="0">
      <sharedItems containsNonDate="0" containsString="0" containsBlank="1"/>
    </cacheField>
    <cacheField name="Column14214" numFmtId="0">
      <sharedItems containsNonDate="0" containsString="0" containsBlank="1"/>
    </cacheField>
    <cacheField name="Column14215" numFmtId="0">
      <sharedItems containsNonDate="0" containsString="0" containsBlank="1"/>
    </cacheField>
    <cacheField name="Column14216" numFmtId="0">
      <sharedItems containsNonDate="0" containsString="0" containsBlank="1"/>
    </cacheField>
    <cacheField name="Column14217" numFmtId="0">
      <sharedItems containsNonDate="0" containsString="0" containsBlank="1"/>
    </cacheField>
    <cacheField name="Column14218" numFmtId="0">
      <sharedItems containsNonDate="0" containsString="0" containsBlank="1"/>
    </cacheField>
    <cacheField name="Column14219" numFmtId="0">
      <sharedItems containsNonDate="0" containsString="0" containsBlank="1"/>
    </cacheField>
    <cacheField name="Column14220" numFmtId="0">
      <sharedItems containsNonDate="0" containsString="0" containsBlank="1"/>
    </cacheField>
    <cacheField name="Column14221" numFmtId="0">
      <sharedItems containsNonDate="0" containsString="0" containsBlank="1"/>
    </cacheField>
    <cacheField name="Column14222" numFmtId="0">
      <sharedItems containsNonDate="0" containsString="0" containsBlank="1"/>
    </cacheField>
    <cacheField name="Column14223" numFmtId="0">
      <sharedItems containsNonDate="0" containsString="0" containsBlank="1"/>
    </cacheField>
    <cacheField name="Column14224" numFmtId="0">
      <sharedItems containsNonDate="0" containsString="0" containsBlank="1"/>
    </cacheField>
    <cacheField name="Column14225" numFmtId="0">
      <sharedItems containsNonDate="0" containsString="0" containsBlank="1"/>
    </cacheField>
    <cacheField name="Column14226" numFmtId="0">
      <sharedItems containsNonDate="0" containsString="0" containsBlank="1"/>
    </cacheField>
    <cacheField name="Column14227" numFmtId="0">
      <sharedItems containsNonDate="0" containsString="0" containsBlank="1"/>
    </cacheField>
    <cacheField name="Column14228" numFmtId="0">
      <sharedItems containsNonDate="0" containsString="0" containsBlank="1"/>
    </cacheField>
    <cacheField name="Column14229" numFmtId="0">
      <sharedItems containsNonDate="0" containsString="0" containsBlank="1"/>
    </cacheField>
    <cacheField name="Column14230" numFmtId="0">
      <sharedItems containsNonDate="0" containsString="0" containsBlank="1"/>
    </cacheField>
    <cacheField name="Column14231" numFmtId="0">
      <sharedItems containsNonDate="0" containsString="0" containsBlank="1"/>
    </cacheField>
    <cacheField name="Column14232" numFmtId="0">
      <sharedItems containsNonDate="0" containsString="0" containsBlank="1"/>
    </cacheField>
    <cacheField name="Column14233" numFmtId="0">
      <sharedItems containsNonDate="0" containsString="0" containsBlank="1"/>
    </cacheField>
    <cacheField name="Column14234" numFmtId="0">
      <sharedItems containsNonDate="0" containsString="0" containsBlank="1"/>
    </cacheField>
    <cacheField name="Column14235" numFmtId="0">
      <sharedItems containsNonDate="0" containsString="0" containsBlank="1"/>
    </cacheField>
    <cacheField name="Column14236" numFmtId="0">
      <sharedItems containsNonDate="0" containsString="0" containsBlank="1"/>
    </cacheField>
    <cacheField name="Column14237" numFmtId="0">
      <sharedItems containsNonDate="0" containsString="0" containsBlank="1"/>
    </cacheField>
    <cacheField name="Column14238" numFmtId="0">
      <sharedItems containsNonDate="0" containsString="0" containsBlank="1"/>
    </cacheField>
    <cacheField name="Column14239" numFmtId="0">
      <sharedItems containsNonDate="0" containsString="0" containsBlank="1"/>
    </cacheField>
    <cacheField name="Column14240" numFmtId="0">
      <sharedItems containsNonDate="0" containsString="0" containsBlank="1"/>
    </cacheField>
    <cacheField name="Column14241" numFmtId="0">
      <sharedItems containsNonDate="0" containsString="0" containsBlank="1"/>
    </cacheField>
    <cacheField name="Column14242" numFmtId="0">
      <sharedItems containsNonDate="0" containsString="0" containsBlank="1"/>
    </cacheField>
    <cacheField name="Column14243" numFmtId="0">
      <sharedItems containsNonDate="0" containsString="0" containsBlank="1"/>
    </cacheField>
    <cacheField name="Column14244" numFmtId="0">
      <sharedItems containsNonDate="0" containsString="0" containsBlank="1"/>
    </cacheField>
    <cacheField name="Column14245" numFmtId="0">
      <sharedItems containsNonDate="0" containsString="0" containsBlank="1"/>
    </cacheField>
    <cacheField name="Column14246" numFmtId="0">
      <sharedItems containsNonDate="0" containsString="0" containsBlank="1"/>
    </cacheField>
    <cacheField name="Column14247" numFmtId="0">
      <sharedItems containsNonDate="0" containsString="0" containsBlank="1"/>
    </cacheField>
    <cacheField name="Column14248" numFmtId="0">
      <sharedItems containsNonDate="0" containsString="0" containsBlank="1"/>
    </cacheField>
    <cacheField name="Column14249" numFmtId="0">
      <sharedItems containsNonDate="0" containsString="0" containsBlank="1"/>
    </cacheField>
    <cacheField name="Column14250" numFmtId="0">
      <sharedItems containsNonDate="0" containsString="0" containsBlank="1"/>
    </cacheField>
    <cacheField name="Column14251" numFmtId="0">
      <sharedItems containsNonDate="0" containsString="0" containsBlank="1"/>
    </cacheField>
    <cacheField name="Column14252" numFmtId="0">
      <sharedItems containsNonDate="0" containsString="0" containsBlank="1"/>
    </cacheField>
    <cacheField name="Column14253" numFmtId="0">
      <sharedItems containsNonDate="0" containsString="0" containsBlank="1"/>
    </cacheField>
    <cacheField name="Column14254" numFmtId="0">
      <sharedItems containsNonDate="0" containsString="0" containsBlank="1"/>
    </cacheField>
    <cacheField name="Column14255" numFmtId="0">
      <sharedItems containsNonDate="0" containsString="0" containsBlank="1"/>
    </cacheField>
    <cacheField name="Column14256" numFmtId="0">
      <sharedItems containsNonDate="0" containsString="0" containsBlank="1"/>
    </cacheField>
    <cacheField name="Column14257" numFmtId="0">
      <sharedItems containsNonDate="0" containsString="0" containsBlank="1"/>
    </cacheField>
    <cacheField name="Column14258" numFmtId="0">
      <sharedItems containsNonDate="0" containsString="0" containsBlank="1"/>
    </cacheField>
    <cacheField name="Column14259" numFmtId="0">
      <sharedItems containsNonDate="0" containsString="0" containsBlank="1"/>
    </cacheField>
    <cacheField name="Column14260" numFmtId="0">
      <sharedItems containsNonDate="0" containsString="0" containsBlank="1"/>
    </cacheField>
    <cacheField name="Column14261" numFmtId="0">
      <sharedItems containsNonDate="0" containsString="0" containsBlank="1"/>
    </cacheField>
    <cacheField name="Column14262" numFmtId="0">
      <sharedItems containsNonDate="0" containsString="0" containsBlank="1"/>
    </cacheField>
    <cacheField name="Column14263" numFmtId="0">
      <sharedItems containsNonDate="0" containsString="0" containsBlank="1"/>
    </cacheField>
    <cacheField name="Column14264" numFmtId="0">
      <sharedItems containsNonDate="0" containsString="0" containsBlank="1"/>
    </cacheField>
    <cacheField name="Column14265" numFmtId="0">
      <sharedItems containsNonDate="0" containsString="0" containsBlank="1"/>
    </cacheField>
    <cacheField name="Column14266" numFmtId="0">
      <sharedItems containsNonDate="0" containsString="0" containsBlank="1"/>
    </cacheField>
    <cacheField name="Column14267" numFmtId="0">
      <sharedItems containsNonDate="0" containsString="0" containsBlank="1"/>
    </cacheField>
    <cacheField name="Column14268" numFmtId="0">
      <sharedItems containsNonDate="0" containsString="0" containsBlank="1"/>
    </cacheField>
    <cacheField name="Column14269" numFmtId="0">
      <sharedItems containsNonDate="0" containsString="0" containsBlank="1"/>
    </cacheField>
    <cacheField name="Column14270" numFmtId="0">
      <sharedItems containsNonDate="0" containsString="0" containsBlank="1"/>
    </cacheField>
    <cacheField name="Column14271" numFmtId="0">
      <sharedItems containsNonDate="0" containsString="0" containsBlank="1"/>
    </cacheField>
    <cacheField name="Column14272" numFmtId="0">
      <sharedItems containsNonDate="0" containsString="0" containsBlank="1"/>
    </cacheField>
    <cacheField name="Column14273" numFmtId="0">
      <sharedItems containsNonDate="0" containsString="0" containsBlank="1"/>
    </cacheField>
    <cacheField name="Column14274" numFmtId="0">
      <sharedItems containsNonDate="0" containsString="0" containsBlank="1"/>
    </cacheField>
    <cacheField name="Column14275" numFmtId="0">
      <sharedItems containsNonDate="0" containsString="0" containsBlank="1"/>
    </cacheField>
    <cacheField name="Column14276" numFmtId="0">
      <sharedItems containsNonDate="0" containsString="0" containsBlank="1"/>
    </cacheField>
    <cacheField name="Column14277" numFmtId="0">
      <sharedItems containsNonDate="0" containsString="0" containsBlank="1"/>
    </cacheField>
    <cacheField name="Column14278" numFmtId="0">
      <sharedItems containsNonDate="0" containsString="0" containsBlank="1"/>
    </cacheField>
    <cacheField name="Column14279" numFmtId="0">
      <sharedItems containsNonDate="0" containsString="0" containsBlank="1"/>
    </cacheField>
    <cacheField name="Column14280" numFmtId="0">
      <sharedItems containsNonDate="0" containsString="0" containsBlank="1"/>
    </cacheField>
    <cacheField name="Column14281" numFmtId="0">
      <sharedItems containsNonDate="0" containsString="0" containsBlank="1"/>
    </cacheField>
    <cacheField name="Column14282" numFmtId="0">
      <sharedItems containsNonDate="0" containsString="0" containsBlank="1"/>
    </cacheField>
    <cacheField name="Column14283" numFmtId="0">
      <sharedItems containsNonDate="0" containsString="0" containsBlank="1"/>
    </cacheField>
    <cacheField name="Column14284" numFmtId="0">
      <sharedItems containsNonDate="0" containsString="0" containsBlank="1"/>
    </cacheField>
    <cacheField name="Column14285" numFmtId="0">
      <sharedItems containsNonDate="0" containsString="0" containsBlank="1"/>
    </cacheField>
    <cacheField name="Column14286" numFmtId="0">
      <sharedItems containsNonDate="0" containsString="0" containsBlank="1"/>
    </cacheField>
    <cacheField name="Column14287" numFmtId="0">
      <sharedItems containsNonDate="0" containsString="0" containsBlank="1"/>
    </cacheField>
    <cacheField name="Column14288" numFmtId="0">
      <sharedItems containsNonDate="0" containsString="0" containsBlank="1"/>
    </cacheField>
    <cacheField name="Column14289" numFmtId="0">
      <sharedItems containsNonDate="0" containsString="0" containsBlank="1"/>
    </cacheField>
    <cacheField name="Column14290" numFmtId="0">
      <sharedItems containsNonDate="0" containsString="0" containsBlank="1"/>
    </cacheField>
    <cacheField name="Column14291" numFmtId="0">
      <sharedItems containsNonDate="0" containsString="0" containsBlank="1"/>
    </cacheField>
    <cacheField name="Column14292" numFmtId="0">
      <sharedItems containsNonDate="0" containsString="0" containsBlank="1"/>
    </cacheField>
    <cacheField name="Column14293" numFmtId="0">
      <sharedItems containsNonDate="0" containsString="0" containsBlank="1"/>
    </cacheField>
    <cacheField name="Column14294" numFmtId="0">
      <sharedItems containsNonDate="0" containsString="0" containsBlank="1"/>
    </cacheField>
    <cacheField name="Column14295" numFmtId="0">
      <sharedItems containsNonDate="0" containsString="0" containsBlank="1"/>
    </cacheField>
    <cacheField name="Column14296" numFmtId="0">
      <sharedItems containsNonDate="0" containsString="0" containsBlank="1"/>
    </cacheField>
    <cacheField name="Column14297" numFmtId="0">
      <sharedItems containsNonDate="0" containsString="0" containsBlank="1"/>
    </cacheField>
    <cacheField name="Column14298" numFmtId="0">
      <sharedItems containsNonDate="0" containsString="0" containsBlank="1"/>
    </cacheField>
    <cacheField name="Column14299" numFmtId="0">
      <sharedItems containsNonDate="0" containsString="0" containsBlank="1"/>
    </cacheField>
    <cacheField name="Column14300" numFmtId="0">
      <sharedItems containsNonDate="0" containsString="0" containsBlank="1"/>
    </cacheField>
    <cacheField name="Column14301" numFmtId="0">
      <sharedItems containsNonDate="0" containsString="0" containsBlank="1"/>
    </cacheField>
    <cacheField name="Column14302" numFmtId="0">
      <sharedItems containsNonDate="0" containsString="0" containsBlank="1"/>
    </cacheField>
    <cacheField name="Column14303" numFmtId="0">
      <sharedItems containsNonDate="0" containsString="0" containsBlank="1"/>
    </cacheField>
    <cacheField name="Column14304" numFmtId="0">
      <sharedItems containsNonDate="0" containsString="0" containsBlank="1"/>
    </cacheField>
    <cacheField name="Column14305" numFmtId="0">
      <sharedItems containsNonDate="0" containsString="0" containsBlank="1"/>
    </cacheField>
    <cacheField name="Column14306" numFmtId="0">
      <sharedItems containsNonDate="0" containsString="0" containsBlank="1"/>
    </cacheField>
    <cacheField name="Column14307" numFmtId="0">
      <sharedItems containsNonDate="0" containsString="0" containsBlank="1"/>
    </cacheField>
    <cacheField name="Column14308" numFmtId="0">
      <sharedItems containsNonDate="0" containsString="0" containsBlank="1"/>
    </cacheField>
    <cacheField name="Column14309" numFmtId="0">
      <sharedItems containsNonDate="0" containsString="0" containsBlank="1"/>
    </cacheField>
    <cacheField name="Column14310" numFmtId="0">
      <sharedItems containsNonDate="0" containsString="0" containsBlank="1"/>
    </cacheField>
    <cacheField name="Column14311" numFmtId="0">
      <sharedItems containsNonDate="0" containsString="0" containsBlank="1"/>
    </cacheField>
    <cacheField name="Column14312" numFmtId="0">
      <sharedItems containsNonDate="0" containsString="0" containsBlank="1"/>
    </cacheField>
    <cacheField name="Column14313" numFmtId="0">
      <sharedItems containsNonDate="0" containsString="0" containsBlank="1"/>
    </cacheField>
    <cacheField name="Column14314" numFmtId="0">
      <sharedItems containsNonDate="0" containsString="0" containsBlank="1"/>
    </cacheField>
    <cacheField name="Column14315" numFmtId="0">
      <sharedItems containsNonDate="0" containsString="0" containsBlank="1"/>
    </cacheField>
    <cacheField name="Column14316" numFmtId="0">
      <sharedItems containsNonDate="0" containsString="0" containsBlank="1"/>
    </cacheField>
    <cacheField name="Column14317" numFmtId="0">
      <sharedItems containsNonDate="0" containsString="0" containsBlank="1"/>
    </cacheField>
    <cacheField name="Column14318" numFmtId="0">
      <sharedItems containsNonDate="0" containsString="0" containsBlank="1"/>
    </cacheField>
    <cacheField name="Column14319" numFmtId="0">
      <sharedItems containsNonDate="0" containsString="0" containsBlank="1"/>
    </cacheField>
    <cacheField name="Column14320" numFmtId="0">
      <sharedItems containsNonDate="0" containsString="0" containsBlank="1"/>
    </cacheField>
    <cacheField name="Column14321" numFmtId="0">
      <sharedItems containsNonDate="0" containsString="0" containsBlank="1"/>
    </cacheField>
    <cacheField name="Column14322" numFmtId="0">
      <sharedItems containsNonDate="0" containsString="0" containsBlank="1"/>
    </cacheField>
    <cacheField name="Column14323" numFmtId="0">
      <sharedItems containsNonDate="0" containsString="0" containsBlank="1"/>
    </cacheField>
    <cacheField name="Column14324" numFmtId="0">
      <sharedItems containsNonDate="0" containsString="0" containsBlank="1"/>
    </cacheField>
    <cacheField name="Column14325" numFmtId="0">
      <sharedItems containsNonDate="0" containsString="0" containsBlank="1"/>
    </cacheField>
    <cacheField name="Column14326" numFmtId="0">
      <sharedItems containsNonDate="0" containsString="0" containsBlank="1"/>
    </cacheField>
    <cacheField name="Column14327" numFmtId="0">
      <sharedItems containsNonDate="0" containsString="0" containsBlank="1"/>
    </cacheField>
    <cacheField name="Column14328" numFmtId="0">
      <sharedItems containsNonDate="0" containsString="0" containsBlank="1"/>
    </cacheField>
    <cacheField name="Column14329" numFmtId="0">
      <sharedItems containsNonDate="0" containsString="0" containsBlank="1"/>
    </cacheField>
    <cacheField name="Column14330" numFmtId="0">
      <sharedItems containsNonDate="0" containsString="0" containsBlank="1"/>
    </cacheField>
    <cacheField name="Column14331" numFmtId="0">
      <sharedItems containsNonDate="0" containsString="0" containsBlank="1"/>
    </cacheField>
    <cacheField name="Column14332" numFmtId="0">
      <sharedItems containsNonDate="0" containsString="0" containsBlank="1"/>
    </cacheField>
    <cacheField name="Column14333" numFmtId="0">
      <sharedItems containsNonDate="0" containsString="0" containsBlank="1"/>
    </cacheField>
    <cacheField name="Column14334" numFmtId="0">
      <sharedItems containsNonDate="0" containsString="0" containsBlank="1"/>
    </cacheField>
    <cacheField name="Column14335" numFmtId="0">
      <sharedItems containsNonDate="0" containsString="0" containsBlank="1"/>
    </cacheField>
    <cacheField name="Column14336" numFmtId="0">
      <sharedItems containsNonDate="0" containsString="0" containsBlank="1"/>
    </cacheField>
    <cacheField name="Column14337" numFmtId="0">
      <sharedItems containsNonDate="0" containsString="0" containsBlank="1"/>
    </cacheField>
    <cacheField name="Column14338" numFmtId="0">
      <sharedItems containsNonDate="0" containsString="0" containsBlank="1"/>
    </cacheField>
    <cacheField name="Column14339" numFmtId="0">
      <sharedItems containsNonDate="0" containsString="0" containsBlank="1"/>
    </cacheField>
    <cacheField name="Column14340" numFmtId="0">
      <sharedItems containsNonDate="0" containsString="0" containsBlank="1"/>
    </cacheField>
    <cacheField name="Column14341" numFmtId="0">
      <sharedItems containsNonDate="0" containsString="0" containsBlank="1"/>
    </cacheField>
    <cacheField name="Column14342" numFmtId="0">
      <sharedItems containsNonDate="0" containsString="0" containsBlank="1"/>
    </cacheField>
    <cacheField name="Column14343" numFmtId="0">
      <sharedItems containsNonDate="0" containsString="0" containsBlank="1"/>
    </cacheField>
    <cacheField name="Column14344" numFmtId="0">
      <sharedItems containsNonDate="0" containsString="0" containsBlank="1"/>
    </cacheField>
    <cacheField name="Column14345" numFmtId="0">
      <sharedItems containsNonDate="0" containsString="0" containsBlank="1"/>
    </cacheField>
    <cacheField name="Column14346" numFmtId="0">
      <sharedItems containsNonDate="0" containsString="0" containsBlank="1"/>
    </cacheField>
    <cacheField name="Column14347" numFmtId="0">
      <sharedItems containsNonDate="0" containsString="0" containsBlank="1"/>
    </cacheField>
    <cacheField name="Column14348" numFmtId="0">
      <sharedItems containsNonDate="0" containsString="0" containsBlank="1"/>
    </cacheField>
    <cacheField name="Column14349" numFmtId="0">
      <sharedItems containsNonDate="0" containsString="0" containsBlank="1"/>
    </cacheField>
    <cacheField name="Column14350" numFmtId="0">
      <sharedItems containsNonDate="0" containsString="0" containsBlank="1"/>
    </cacheField>
    <cacheField name="Column14351" numFmtId="0">
      <sharedItems containsNonDate="0" containsString="0" containsBlank="1"/>
    </cacheField>
    <cacheField name="Column14352" numFmtId="0">
      <sharedItems containsNonDate="0" containsString="0" containsBlank="1"/>
    </cacheField>
    <cacheField name="Column14353" numFmtId="0">
      <sharedItems containsNonDate="0" containsString="0" containsBlank="1"/>
    </cacheField>
    <cacheField name="Column14354" numFmtId="0">
      <sharedItems containsNonDate="0" containsString="0" containsBlank="1"/>
    </cacheField>
    <cacheField name="Column14355" numFmtId="0">
      <sharedItems containsNonDate="0" containsString="0" containsBlank="1"/>
    </cacheField>
    <cacheField name="Column14356" numFmtId="0">
      <sharedItems containsNonDate="0" containsString="0" containsBlank="1"/>
    </cacheField>
    <cacheField name="Column14357" numFmtId="0">
      <sharedItems containsNonDate="0" containsString="0" containsBlank="1"/>
    </cacheField>
    <cacheField name="Column14358" numFmtId="0">
      <sharedItems containsNonDate="0" containsString="0" containsBlank="1"/>
    </cacheField>
    <cacheField name="Column14359" numFmtId="0">
      <sharedItems containsNonDate="0" containsString="0" containsBlank="1"/>
    </cacheField>
    <cacheField name="Column14360" numFmtId="0">
      <sharedItems containsNonDate="0" containsString="0" containsBlank="1"/>
    </cacheField>
    <cacheField name="Column14361" numFmtId="0">
      <sharedItems containsNonDate="0" containsString="0" containsBlank="1"/>
    </cacheField>
    <cacheField name="Column14362" numFmtId="0">
      <sharedItems containsNonDate="0" containsString="0" containsBlank="1"/>
    </cacheField>
    <cacheField name="Column14363" numFmtId="0">
      <sharedItems containsNonDate="0" containsString="0" containsBlank="1"/>
    </cacheField>
    <cacheField name="Column14364" numFmtId="0">
      <sharedItems containsNonDate="0" containsString="0" containsBlank="1"/>
    </cacheField>
    <cacheField name="Column14365" numFmtId="0">
      <sharedItems containsNonDate="0" containsString="0" containsBlank="1"/>
    </cacheField>
    <cacheField name="Column14366" numFmtId="0">
      <sharedItems containsNonDate="0" containsString="0" containsBlank="1"/>
    </cacheField>
    <cacheField name="Column14367" numFmtId="0">
      <sharedItems containsNonDate="0" containsString="0" containsBlank="1"/>
    </cacheField>
    <cacheField name="Column14368" numFmtId="0">
      <sharedItems containsNonDate="0" containsString="0" containsBlank="1"/>
    </cacheField>
    <cacheField name="Column14369" numFmtId="0">
      <sharedItems containsNonDate="0" containsString="0" containsBlank="1"/>
    </cacheField>
    <cacheField name="Column14370" numFmtId="0">
      <sharedItems containsNonDate="0" containsString="0" containsBlank="1"/>
    </cacheField>
    <cacheField name="Column14371" numFmtId="0">
      <sharedItems containsNonDate="0" containsString="0" containsBlank="1"/>
    </cacheField>
    <cacheField name="Column14372" numFmtId="0">
      <sharedItems containsNonDate="0" containsString="0" containsBlank="1"/>
    </cacheField>
    <cacheField name="Column14373" numFmtId="0">
      <sharedItems containsNonDate="0" containsString="0" containsBlank="1"/>
    </cacheField>
    <cacheField name="Column14374" numFmtId="0">
      <sharedItems containsNonDate="0" containsString="0" containsBlank="1"/>
    </cacheField>
    <cacheField name="Column14375" numFmtId="0">
      <sharedItems containsNonDate="0" containsString="0" containsBlank="1"/>
    </cacheField>
    <cacheField name="Column14376" numFmtId="0">
      <sharedItems containsNonDate="0" containsString="0" containsBlank="1"/>
    </cacheField>
    <cacheField name="Column14377" numFmtId="0">
      <sharedItems containsNonDate="0" containsString="0" containsBlank="1"/>
    </cacheField>
    <cacheField name="Column14378" numFmtId="0">
      <sharedItems containsNonDate="0" containsString="0" containsBlank="1"/>
    </cacheField>
    <cacheField name="Column14379" numFmtId="0">
      <sharedItems containsNonDate="0" containsString="0" containsBlank="1"/>
    </cacheField>
    <cacheField name="Column14380" numFmtId="0">
      <sharedItems containsNonDate="0" containsString="0" containsBlank="1"/>
    </cacheField>
    <cacheField name="Column14381" numFmtId="0">
      <sharedItems containsNonDate="0" containsString="0" containsBlank="1"/>
    </cacheField>
    <cacheField name="Column14382" numFmtId="0">
      <sharedItems containsNonDate="0" containsString="0" containsBlank="1"/>
    </cacheField>
    <cacheField name="Column14383" numFmtId="0">
      <sharedItems containsNonDate="0" containsString="0" containsBlank="1"/>
    </cacheField>
    <cacheField name="Column14384" numFmtId="0">
      <sharedItems containsNonDate="0" containsString="0" containsBlank="1"/>
    </cacheField>
    <cacheField name="Column14385" numFmtId="0">
      <sharedItems containsNonDate="0" containsString="0" containsBlank="1"/>
    </cacheField>
    <cacheField name="Column14386" numFmtId="0">
      <sharedItems containsNonDate="0" containsString="0" containsBlank="1"/>
    </cacheField>
    <cacheField name="Column14387" numFmtId="0">
      <sharedItems containsNonDate="0" containsString="0" containsBlank="1"/>
    </cacheField>
    <cacheField name="Column14388" numFmtId="0">
      <sharedItems containsNonDate="0" containsString="0" containsBlank="1"/>
    </cacheField>
    <cacheField name="Column14389" numFmtId="0">
      <sharedItems containsNonDate="0" containsString="0" containsBlank="1"/>
    </cacheField>
    <cacheField name="Column14390" numFmtId="0">
      <sharedItems containsNonDate="0" containsString="0" containsBlank="1"/>
    </cacheField>
    <cacheField name="Column14391" numFmtId="0">
      <sharedItems containsNonDate="0" containsString="0" containsBlank="1"/>
    </cacheField>
    <cacheField name="Column14392" numFmtId="0">
      <sharedItems containsNonDate="0" containsString="0" containsBlank="1"/>
    </cacheField>
    <cacheField name="Column14393" numFmtId="0">
      <sharedItems containsNonDate="0" containsString="0" containsBlank="1"/>
    </cacheField>
    <cacheField name="Column14394" numFmtId="0">
      <sharedItems containsNonDate="0" containsString="0" containsBlank="1"/>
    </cacheField>
    <cacheField name="Column14395" numFmtId="0">
      <sharedItems containsNonDate="0" containsString="0" containsBlank="1"/>
    </cacheField>
    <cacheField name="Column14396" numFmtId="0">
      <sharedItems containsNonDate="0" containsString="0" containsBlank="1"/>
    </cacheField>
    <cacheField name="Column14397" numFmtId="0">
      <sharedItems containsNonDate="0" containsString="0" containsBlank="1"/>
    </cacheField>
    <cacheField name="Column14398" numFmtId="0">
      <sharedItems containsNonDate="0" containsString="0" containsBlank="1"/>
    </cacheField>
    <cacheField name="Column14399" numFmtId="0">
      <sharedItems containsNonDate="0" containsString="0" containsBlank="1"/>
    </cacheField>
    <cacheField name="Column14400" numFmtId="0">
      <sharedItems containsNonDate="0" containsString="0" containsBlank="1"/>
    </cacheField>
    <cacheField name="Column14401" numFmtId="0">
      <sharedItems containsNonDate="0" containsString="0" containsBlank="1"/>
    </cacheField>
    <cacheField name="Column14402" numFmtId="0">
      <sharedItems containsNonDate="0" containsString="0" containsBlank="1"/>
    </cacheField>
    <cacheField name="Column14403" numFmtId="0">
      <sharedItems containsNonDate="0" containsString="0" containsBlank="1"/>
    </cacheField>
    <cacheField name="Column14404" numFmtId="0">
      <sharedItems containsNonDate="0" containsString="0" containsBlank="1"/>
    </cacheField>
    <cacheField name="Column14405" numFmtId="0">
      <sharedItems containsNonDate="0" containsString="0" containsBlank="1"/>
    </cacheField>
    <cacheField name="Column14406" numFmtId="0">
      <sharedItems containsNonDate="0" containsString="0" containsBlank="1"/>
    </cacheField>
    <cacheField name="Column14407" numFmtId="0">
      <sharedItems containsNonDate="0" containsString="0" containsBlank="1"/>
    </cacheField>
    <cacheField name="Column14408" numFmtId="0">
      <sharedItems containsNonDate="0" containsString="0" containsBlank="1"/>
    </cacheField>
    <cacheField name="Column14409" numFmtId="0">
      <sharedItems containsNonDate="0" containsString="0" containsBlank="1"/>
    </cacheField>
    <cacheField name="Column14410" numFmtId="0">
      <sharedItems containsNonDate="0" containsString="0" containsBlank="1"/>
    </cacheField>
    <cacheField name="Column14411" numFmtId="0">
      <sharedItems containsNonDate="0" containsString="0" containsBlank="1"/>
    </cacheField>
    <cacheField name="Column14412" numFmtId="0">
      <sharedItems containsNonDate="0" containsString="0" containsBlank="1"/>
    </cacheField>
    <cacheField name="Column14413" numFmtId="0">
      <sharedItems containsNonDate="0" containsString="0" containsBlank="1"/>
    </cacheField>
    <cacheField name="Column14414" numFmtId="0">
      <sharedItems containsNonDate="0" containsString="0" containsBlank="1"/>
    </cacheField>
    <cacheField name="Column14415" numFmtId="0">
      <sharedItems containsNonDate="0" containsString="0" containsBlank="1"/>
    </cacheField>
    <cacheField name="Column14416" numFmtId="0">
      <sharedItems containsNonDate="0" containsString="0" containsBlank="1"/>
    </cacheField>
    <cacheField name="Column14417" numFmtId="0">
      <sharedItems containsNonDate="0" containsString="0" containsBlank="1"/>
    </cacheField>
    <cacheField name="Column14418" numFmtId="0">
      <sharedItems containsNonDate="0" containsString="0" containsBlank="1"/>
    </cacheField>
    <cacheField name="Column14419" numFmtId="0">
      <sharedItems containsNonDate="0" containsString="0" containsBlank="1"/>
    </cacheField>
    <cacheField name="Column14420" numFmtId="0">
      <sharedItems containsNonDate="0" containsString="0" containsBlank="1"/>
    </cacheField>
    <cacheField name="Column14421" numFmtId="0">
      <sharedItems containsNonDate="0" containsString="0" containsBlank="1"/>
    </cacheField>
    <cacheField name="Column14422" numFmtId="0">
      <sharedItems containsNonDate="0" containsString="0" containsBlank="1"/>
    </cacheField>
    <cacheField name="Column14423" numFmtId="0">
      <sharedItems containsNonDate="0" containsString="0" containsBlank="1"/>
    </cacheField>
    <cacheField name="Column14424" numFmtId="0">
      <sharedItems containsNonDate="0" containsString="0" containsBlank="1"/>
    </cacheField>
    <cacheField name="Column14425" numFmtId="0">
      <sharedItems containsNonDate="0" containsString="0" containsBlank="1"/>
    </cacheField>
    <cacheField name="Column14426" numFmtId="0">
      <sharedItems containsNonDate="0" containsString="0" containsBlank="1"/>
    </cacheField>
    <cacheField name="Column14427" numFmtId="0">
      <sharedItems containsNonDate="0" containsString="0" containsBlank="1"/>
    </cacheField>
    <cacheField name="Column14428" numFmtId="0">
      <sharedItems containsNonDate="0" containsString="0" containsBlank="1"/>
    </cacheField>
    <cacheField name="Column14429" numFmtId="0">
      <sharedItems containsNonDate="0" containsString="0" containsBlank="1"/>
    </cacheField>
    <cacheField name="Column14430" numFmtId="0">
      <sharedItems containsNonDate="0" containsString="0" containsBlank="1"/>
    </cacheField>
    <cacheField name="Column14431" numFmtId="0">
      <sharedItems containsNonDate="0" containsString="0" containsBlank="1"/>
    </cacheField>
    <cacheField name="Column14432" numFmtId="0">
      <sharedItems containsNonDate="0" containsString="0" containsBlank="1"/>
    </cacheField>
    <cacheField name="Column14433" numFmtId="0">
      <sharedItems containsNonDate="0" containsString="0" containsBlank="1"/>
    </cacheField>
    <cacheField name="Column14434" numFmtId="0">
      <sharedItems containsNonDate="0" containsString="0" containsBlank="1"/>
    </cacheField>
    <cacheField name="Column14435" numFmtId="0">
      <sharedItems containsNonDate="0" containsString="0" containsBlank="1"/>
    </cacheField>
    <cacheField name="Column14436" numFmtId="0">
      <sharedItems containsNonDate="0" containsString="0" containsBlank="1"/>
    </cacheField>
    <cacheField name="Column14437" numFmtId="0">
      <sharedItems containsNonDate="0" containsString="0" containsBlank="1"/>
    </cacheField>
    <cacheField name="Column14438" numFmtId="0">
      <sharedItems containsNonDate="0" containsString="0" containsBlank="1"/>
    </cacheField>
    <cacheField name="Column14439" numFmtId="0">
      <sharedItems containsNonDate="0" containsString="0" containsBlank="1"/>
    </cacheField>
    <cacheField name="Column14440" numFmtId="0">
      <sharedItems containsNonDate="0" containsString="0" containsBlank="1"/>
    </cacheField>
    <cacheField name="Column14441" numFmtId="0">
      <sharedItems containsNonDate="0" containsString="0" containsBlank="1"/>
    </cacheField>
    <cacheField name="Column14442" numFmtId="0">
      <sharedItems containsNonDate="0" containsString="0" containsBlank="1"/>
    </cacheField>
    <cacheField name="Column14443" numFmtId="0">
      <sharedItems containsNonDate="0" containsString="0" containsBlank="1"/>
    </cacheField>
    <cacheField name="Column14444" numFmtId="0">
      <sharedItems containsNonDate="0" containsString="0" containsBlank="1"/>
    </cacheField>
    <cacheField name="Column14445" numFmtId="0">
      <sharedItems containsNonDate="0" containsString="0" containsBlank="1"/>
    </cacheField>
    <cacheField name="Column14446" numFmtId="0">
      <sharedItems containsNonDate="0" containsString="0" containsBlank="1"/>
    </cacheField>
    <cacheField name="Column14447" numFmtId="0">
      <sharedItems containsNonDate="0" containsString="0" containsBlank="1"/>
    </cacheField>
    <cacheField name="Column14448" numFmtId="0">
      <sharedItems containsNonDate="0" containsString="0" containsBlank="1"/>
    </cacheField>
    <cacheField name="Column14449" numFmtId="0">
      <sharedItems containsNonDate="0" containsString="0" containsBlank="1"/>
    </cacheField>
    <cacheField name="Column14450" numFmtId="0">
      <sharedItems containsNonDate="0" containsString="0" containsBlank="1"/>
    </cacheField>
    <cacheField name="Column14451" numFmtId="0">
      <sharedItems containsNonDate="0" containsString="0" containsBlank="1"/>
    </cacheField>
    <cacheField name="Column14452" numFmtId="0">
      <sharedItems containsNonDate="0" containsString="0" containsBlank="1"/>
    </cacheField>
    <cacheField name="Column14453" numFmtId="0">
      <sharedItems containsNonDate="0" containsString="0" containsBlank="1"/>
    </cacheField>
    <cacheField name="Column14454" numFmtId="0">
      <sharedItems containsNonDate="0" containsString="0" containsBlank="1"/>
    </cacheField>
    <cacheField name="Column14455" numFmtId="0">
      <sharedItems containsNonDate="0" containsString="0" containsBlank="1"/>
    </cacheField>
    <cacheField name="Column14456" numFmtId="0">
      <sharedItems containsNonDate="0" containsString="0" containsBlank="1"/>
    </cacheField>
    <cacheField name="Column14457" numFmtId="0">
      <sharedItems containsNonDate="0" containsString="0" containsBlank="1"/>
    </cacheField>
    <cacheField name="Column14458" numFmtId="0">
      <sharedItems containsNonDate="0" containsString="0" containsBlank="1"/>
    </cacheField>
    <cacheField name="Column14459" numFmtId="0">
      <sharedItems containsNonDate="0" containsString="0" containsBlank="1"/>
    </cacheField>
    <cacheField name="Column14460" numFmtId="0">
      <sharedItems containsNonDate="0" containsString="0" containsBlank="1"/>
    </cacheField>
    <cacheField name="Column14461" numFmtId="0">
      <sharedItems containsNonDate="0" containsString="0" containsBlank="1"/>
    </cacheField>
    <cacheField name="Column14462" numFmtId="0">
      <sharedItems containsNonDate="0" containsString="0" containsBlank="1"/>
    </cacheField>
    <cacheField name="Column14463" numFmtId="0">
      <sharedItems containsNonDate="0" containsString="0" containsBlank="1"/>
    </cacheField>
    <cacheField name="Column14464" numFmtId="0">
      <sharedItems containsNonDate="0" containsString="0" containsBlank="1"/>
    </cacheField>
    <cacheField name="Column14465" numFmtId="0">
      <sharedItems containsNonDate="0" containsString="0" containsBlank="1"/>
    </cacheField>
    <cacheField name="Column14466" numFmtId="0">
      <sharedItems containsNonDate="0" containsString="0" containsBlank="1"/>
    </cacheField>
    <cacheField name="Column14467" numFmtId="0">
      <sharedItems containsNonDate="0" containsString="0" containsBlank="1"/>
    </cacheField>
    <cacheField name="Column14468" numFmtId="0">
      <sharedItems containsNonDate="0" containsString="0" containsBlank="1"/>
    </cacheField>
    <cacheField name="Column14469" numFmtId="0">
      <sharedItems containsNonDate="0" containsString="0" containsBlank="1"/>
    </cacheField>
    <cacheField name="Column14470" numFmtId="0">
      <sharedItems containsNonDate="0" containsString="0" containsBlank="1"/>
    </cacheField>
    <cacheField name="Column14471" numFmtId="0">
      <sharedItems containsNonDate="0" containsString="0" containsBlank="1"/>
    </cacheField>
    <cacheField name="Column14472" numFmtId="0">
      <sharedItems containsNonDate="0" containsString="0" containsBlank="1"/>
    </cacheField>
    <cacheField name="Column14473" numFmtId="0">
      <sharedItems containsNonDate="0" containsString="0" containsBlank="1"/>
    </cacheField>
    <cacheField name="Column14474" numFmtId="0">
      <sharedItems containsNonDate="0" containsString="0" containsBlank="1"/>
    </cacheField>
    <cacheField name="Column14475" numFmtId="0">
      <sharedItems containsNonDate="0" containsString="0" containsBlank="1"/>
    </cacheField>
    <cacheField name="Column14476" numFmtId="0">
      <sharedItems containsNonDate="0" containsString="0" containsBlank="1"/>
    </cacheField>
    <cacheField name="Column14477" numFmtId="0">
      <sharedItems containsNonDate="0" containsString="0" containsBlank="1"/>
    </cacheField>
    <cacheField name="Column14478" numFmtId="0">
      <sharedItems containsNonDate="0" containsString="0" containsBlank="1"/>
    </cacheField>
    <cacheField name="Column14479" numFmtId="0">
      <sharedItems containsNonDate="0" containsString="0" containsBlank="1"/>
    </cacheField>
    <cacheField name="Column14480" numFmtId="0">
      <sharedItems containsNonDate="0" containsString="0" containsBlank="1"/>
    </cacheField>
    <cacheField name="Column14481" numFmtId="0">
      <sharedItems containsNonDate="0" containsString="0" containsBlank="1"/>
    </cacheField>
    <cacheField name="Column14482" numFmtId="0">
      <sharedItems containsNonDate="0" containsString="0" containsBlank="1"/>
    </cacheField>
    <cacheField name="Column14483" numFmtId="0">
      <sharedItems containsNonDate="0" containsString="0" containsBlank="1"/>
    </cacheField>
    <cacheField name="Column14484" numFmtId="0">
      <sharedItems containsNonDate="0" containsString="0" containsBlank="1"/>
    </cacheField>
    <cacheField name="Column14485" numFmtId="0">
      <sharedItems containsNonDate="0" containsString="0" containsBlank="1"/>
    </cacheField>
    <cacheField name="Column14486" numFmtId="0">
      <sharedItems containsNonDate="0" containsString="0" containsBlank="1"/>
    </cacheField>
    <cacheField name="Column14487" numFmtId="0">
      <sharedItems containsNonDate="0" containsString="0" containsBlank="1"/>
    </cacheField>
    <cacheField name="Column14488" numFmtId="0">
      <sharedItems containsNonDate="0" containsString="0" containsBlank="1"/>
    </cacheField>
    <cacheField name="Column14489" numFmtId="0">
      <sharedItems containsNonDate="0" containsString="0" containsBlank="1"/>
    </cacheField>
    <cacheField name="Column14490" numFmtId="0">
      <sharedItems containsNonDate="0" containsString="0" containsBlank="1"/>
    </cacheField>
    <cacheField name="Column14491" numFmtId="0">
      <sharedItems containsNonDate="0" containsString="0" containsBlank="1"/>
    </cacheField>
    <cacheField name="Column14492" numFmtId="0">
      <sharedItems containsNonDate="0" containsString="0" containsBlank="1"/>
    </cacheField>
    <cacheField name="Column14493" numFmtId="0">
      <sharedItems containsNonDate="0" containsString="0" containsBlank="1"/>
    </cacheField>
    <cacheField name="Column14494" numFmtId="0">
      <sharedItems containsNonDate="0" containsString="0" containsBlank="1"/>
    </cacheField>
    <cacheField name="Column14495" numFmtId="0">
      <sharedItems containsNonDate="0" containsString="0" containsBlank="1"/>
    </cacheField>
    <cacheField name="Column14496" numFmtId="0">
      <sharedItems containsNonDate="0" containsString="0" containsBlank="1"/>
    </cacheField>
    <cacheField name="Column14497" numFmtId="0">
      <sharedItems containsNonDate="0" containsString="0" containsBlank="1"/>
    </cacheField>
    <cacheField name="Column14498" numFmtId="0">
      <sharedItems containsNonDate="0" containsString="0" containsBlank="1"/>
    </cacheField>
    <cacheField name="Column14499" numFmtId="0">
      <sharedItems containsNonDate="0" containsString="0" containsBlank="1"/>
    </cacheField>
    <cacheField name="Column14500" numFmtId="0">
      <sharedItems containsNonDate="0" containsString="0" containsBlank="1"/>
    </cacheField>
    <cacheField name="Column14501" numFmtId="0">
      <sharedItems containsNonDate="0" containsString="0" containsBlank="1"/>
    </cacheField>
    <cacheField name="Column14502" numFmtId="0">
      <sharedItems containsNonDate="0" containsString="0" containsBlank="1"/>
    </cacheField>
    <cacheField name="Column14503" numFmtId="0">
      <sharedItems containsNonDate="0" containsString="0" containsBlank="1"/>
    </cacheField>
    <cacheField name="Column14504" numFmtId="0">
      <sharedItems containsNonDate="0" containsString="0" containsBlank="1"/>
    </cacheField>
    <cacheField name="Column14505" numFmtId="0">
      <sharedItems containsNonDate="0" containsString="0" containsBlank="1"/>
    </cacheField>
    <cacheField name="Column14506" numFmtId="0">
      <sharedItems containsNonDate="0" containsString="0" containsBlank="1"/>
    </cacheField>
    <cacheField name="Column14507" numFmtId="0">
      <sharedItems containsNonDate="0" containsString="0" containsBlank="1"/>
    </cacheField>
    <cacheField name="Column14508" numFmtId="0">
      <sharedItems containsNonDate="0" containsString="0" containsBlank="1"/>
    </cacheField>
    <cacheField name="Column14509" numFmtId="0">
      <sharedItems containsNonDate="0" containsString="0" containsBlank="1"/>
    </cacheField>
    <cacheField name="Column14510" numFmtId="0">
      <sharedItems containsNonDate="0" containsString="0" containsBlank="1"/>
    </cacheField>
    <cacheField name="Column14511" numFmtId="0">
      <sharedItems containsNonDate="0" containsString="0" containsBlank="1"/>
    </cacheField>
    <cacheField name="Column14512" numFmtId="0">
      <sharedItems containsNonDate="0" containsString="0" containsBlank="1"/>
    </cacheField>
    <cacheField name="Column14513" numFmtId="0">
      <sharedItems containsNonDate="0" containsString="0" containsBlank="1"/>
    </cacheField>
    <cacheField name="Column14514" numFmtId="0">
      <sharedItems containsNonDate="0" containsString="0" containsBlank="1"/>
    </cacheField>
    <cacheField name="Column14515" numFmtId="0">
      <sharedItems containsNonDate="0" containsString="0" containsBlank="1"/>
    </cacheField>
    <cacheField name="Column14516" numFmtId="0">
      <sharedItems containsNonDate="0" containsString="0" containsBlank="1"/>
    </cacheField>
    <cacheField name="Column14517" numFmtId="0">
      <sharedItems containsNonDate="0" containsString="0" containsBlank="1"/>
    </cacheField>
    <cacheField name="Column14518" numFmtId="0">
      <sharedItems containsNonDate="0" containsString="0" containsBlank="1"/>
    </cacheField>
    <cacheField name="Column14519" numFmtId="0">
      <sharedItems containsNonDate="0" containsString="0" containsBlank="1"/>
    </cacheField>
    <cacheField name="Column14520" numFmtId="0">
      <sharedItems containsNonDate="0" containsString="0" containsBlank="1"/>
    </cacheField>
    <cacheField name="Column14521" numFmtId="0">
      <sharedItems containsNonDate="0" containsString="0" containsBlank="1"/>
    </cacheField>
    <cacheField name="Column14522" numFmtId="0">
      <sharedItems containsNonDate="0" containsString="0" containsBlank="1"/>
    </cacheField>
    <cacheField name="Column14523" numFmtId="0">
      <sharedItems containsNonDate="0" containsString="0" containsBlank="1"/>
    </cacheField>
    <cacheField name="Column14524" numFmtId="0">
      <sharedItems containsNonDate="0" containsString="0" containsBlank="1"/>
    </cacheField>
    <cacheField name="Column14525" numFmtId="0">
      <sharedItems containsNonDate="0" containsString="0" containsBlank="1"/>
    </cacheField>
    <cacheField name="Column14526" numFmtId="0">
      <sharedItems containsNonDate="0" containsString="0" containsBlank="1"/>
    </cacheField>
    <cacheField name="Column14527" numFmtId="0">
      <sharedItems containsNonDate="0" containsString="0" containsBlank="1"/>
    </cacheField>
    <cacheField name="Column14528" numFmtId="0">
      <sharedItems containsNonDate="0" containsString="0" containsBlank="1"/>
    </cacheField>
    <cacheField name="Column14529" numFmtId="0">
      <sharedItems containsNonDate="0" containsString="0" containsBlank="1"/>
    </cacheField>
    <cacheField name="Column14530" numFmtId="0">
      <sharedItems containsNonDate="0" containsString="0" containsBlank="1"/>
    </cacheField>
    <cacheField name="Column14531" numFmtId="0">
      <sharedItems containsNonDate="0" containsString="0" containsBlank="1"/>
    </cacheField>
    <cacheField name="Column14532" numFmtId="0">
      <sharedItems containsNonDate="0" containsString="0" containsBlank="1"/>
    </cacheField>
    <cacheField name="Column14533" numFmtId="0">
      <sharedItems containsNonDate="0" containsString="0" containsBlank="1"/>
    </cacheField>
    <cacheField name="Column14534" numFmtId="0">
      <sharedItems containsNonDate="0" containsString="0" containsBlank="1"/>
    </cacheField>
    <cacheField name="Column14535" numFmtId="0">
      <sharedItems containsNonDate="0" containsString="0" containsBlank="1"/>
    </cacheField>
    <cacheField name="Column14536" numFmtId="0">
      <sharedItems containsNonDate="0" containsString="0" containsBlank="1"/>
    </cacheField>
    <cacheField name="Column14537" numFmtId="0">
      <sharedItems containsNonDate="0" containsString="0" containsBlank="1"/>
    </cacheField>
    <cacheField name="Column14538" numFmtId="0">
      <sharedItems containsNonDate="0" containsString="0" containsBlank="1"/>
    </cacheField>
    <cacheField name="Column14539" numFmtId="0">
      <sharedItems containsNonDate="0" containsString="0" containsBlank="1"/>
    </cacheField>
    <cacheField name="Column14540" numFmtId="0">
      <sharedItems containsNonDate="0" containsString="0" containsBlank="1"/>
    </cacheField>
    <cacheField name="Column14541" numFmtId="0">
      <sharedItems containsNonDate="0" containsString="0" containsBlank="1"/>
    </cacheField>
    <cacheField name="Column14542" numFmtId="0">
      <sharedItems containsNonDate="0" containsString="0" containsBlank="1"/>
    </cacheField>
    <cacheField name="Column14543" numFmtId="0">
      <sharedItems containsNonDate="0" containsString="0" containsBlank="1"/>
    </cacheField>
    <cacheField name="Column14544" numFmtId="0">
      <sharedItems containsNonDate="0" containsString="0" containsBlank="1"/>
    </cacheField>
    <cacheField name="Column14545" numFmtId="0">
      <sharedItems containsNonDate="0" containsString="0" containsBlank="1"/>
    </cacheField>
    <cacheField name="Column14546" numFmtId="0">
      <sharedItems containsNonDate="0" containsString="0" containsBlank="1"/>
    </cacheField>
    <cacheField name="Column14547" numFmtId="0">
      <sharedItems containsNonDate="0" containsString="0" containsBlank="1"/>
    </cacheField>
    <cacheField name="Column14548" numFmtId="0">
      <sharedItems containsNonDate="0" containsString="0" containsBlank="1"/>
    </cacheField>
    <cacheField name="Column14549" numFmtId="0">
      <sharedItems containsNonDate="0" containsString="0" containsBlank="1"/>
    </cacheField>
    <cacheField name="Column14550" numFmtId="0">
      <sharedItems containsNonDate="0" containsString="0" containsBlank="1"/>
    </cacheField>
    <cacheField name="Column14551" numFmtId="0">
      <sharedItems containsNonDate="0" containsString="0" containsBlank="1"/>
    </cacheField>
    <cacheField name="Column14552" numFmtId="0">
      <sharedItems containsNonDate="0" containsString="0" containsBlank="1"/>
    </cacheField>
    <cacheField name="Column14553" numFmtId="0">
      <sharedItems containsNonDate="0" containsString="0" containsBlank="1"/>
    </cacheField>
    <cacheField name="Column14554" numFmtId="0">
      <sharedItems containsNonDate="0" containsString="0" containsBlank="1"/>
    </cacheField>
    <cacheField name="Column14555" numFmtId="0">
      <sharedItems containsNonDate="0" containsString="0" containsBlank="1"/>
    </cacheField>
    <cacheField name="Column14556" numFmtId="0">
      <sharedItems containsNonDate="0" containsString="0" containsBlank="1"/>
    </cacheField>
    <cacheField name="Column14557" numFmtId="0">
      <sharedItems containsNonDate="0" containsString="0" containsBlank="1"/>
    </cacheField>
    <cacheField name="Column14558" numFmtId="0">
      <sharedItems containsNonDate="0" containsString="0" containsBlank="1"/>
    </cacheField>
    <cacheField name="Column14559" numFmtId="0">
      <sharedItems containsNonDate="0" containsString="0" containsBlank="1"/>
    </cacheField>
    <cacheField name="Column14560" numFmtId="0">
      <sharedItems containsNonDate="0" containsString="0" containsBlank="1"/>
    </cacheField>
    <cacheField name="Column14561" numFmtId="0">
      <sharedItems containsNonDate="0" containsString="0" containsBlank="1"/>
    </cacheField>
    <cacheField name="Column14562" numFmtId="0">
      <sharedItems containsNonDate="0" containsString="0" containsBlank="1"/>
    </cacheField>
    <cacheField name="Column14563" numFmtId="0">
      <sharedItems containsNonDate="0" containsString="0" containsBlank="1"/>
    </cacheField>
    <cacheField name="Column14564" numFmtId="0">
      <sharedItems containsNonDate="0" containsString="0" containsBlank="1"/>
    </cacheField>
    <cacheField name="Column14565" numFmtId="0">
      <sharedItems containsNonDate="0" containsString="0" containsBlank="1"/>
    </cacheField>
    <cacheField name="Column14566" numFmtId="0">
      <sharedItems containsNonDate="0" containsString="0" containsBlank="1"/>
    </cacheField>
    <cacheField name="Column14567" numFmtId="0">
      <sharedItems containsNonDate="0" containsString="0" containsBlank="1"/>
    </cacheField>
    <cacheField name="Column14568" numFmtId="0">
      <sharedItems containsNonDate="0" containsString="0" containsBlank="1"/>
    </cacheField>
    <cacheField name="Column14569" numFmtId="0">
      <sharedItems containsNonDate="0" containsString="0" containsBlank="1"/>
    </cacheField>
    <cacheField name="Column14570" numFmtId="0">
      <sharedItems containsNonDate="0" containsString="0" containsBlank="1"/>
    </cacheField>
    <cacheField name="Column14571" numFmtId="0">
      <sharedItems containsNonDate="0" containsString="0" containsBlank="1"/>
    </cacheField>
    <cacheField name="Column14572" numFmtId="0">
      <sharedItems containsNonDate="0" containsString="0" containsBlank="1"/>
    </cacheField>
    <cacheField name="Column14573" numFmtId="0">
      <sharedItems containsNonDate="0" containsString="0" containsBlank="1"/>
    </cacheField>
    <cacheField name="Column14574" numFmtId="0">
      <sharedItems containsNonDate="0" containsString="0" containsBlank="1"/>
    </cacheField>
    <cacheField name="Column14575" numFmtId="0">
      <sharedItems containsNonDate="0" containsString="0" containsBlank="1"/>
    </cacheField>
    <cacheField name="Column14576" numFmtId="0">
      <sharedItems containsNonDate="0" containsString="0" containsBlank="1"/>
    </cacheField>
    <cacheField name="Column14577" numFmtId="0">
      <sharedItems containsNonDate="0" containsString="0" containsBlank="1"/>
    </cacheField>
    <cacheField name="Column14578" numFmtId="0">
      <sharedItems containsNonDate="0" containsString="0" containsBlank="1"/>
    </cacheField>
    <cacheField name="Column14579" numFmtId="0">
      <sharedItems containsNonDate="0" containsString="0" containsBlank="1"/>
    </cacheField>
    <cacheField name="Column14580" numFmtId="0">
      <sharedItems containsNonDate="0" containsString="0" containsBlank="1"/>
    </cacheField>
    <cacheField name="Column14581" numFmtId="0">
      <sharedItems containsNonDate="0" containsString="0" containsBlank="1"/>
    </cacheField>
    <cacheField name="Column14582" numFmtId="0">
      <sharedItems containsNonDate="0" containsString="0" containsBlank="1"/>
    </cacheField>
    <cacheField name="Column14583" numFmtId="0">
      <sharedItems containsNonDate="0" containsString="0" containsBlank="1"/>
    </cacheField>
    <cacheField name="Column14584" numFmtId="0">
      <sharedItems containsNonDate="0" containsString="0" containsBlank="1"/>
    </cacheField>
    <cacheField name="Column14585" numFmtId="0">
      <sharedItems containsNonDate="0" containsString="0" containsBlank="1"/>
    </cacheField>
    <cacheField name="Column14586" numFmtId="0">
      <sharedItems containsNonDate="0" containsString="0" containsBlank="1"/>
    </cacheField>
    <cacheField name="Column14587" numFmtId="0">
      <sharedItems containsNonDate="0" containsString="0" containsBlank="1"/>
    </cacheField>
    <cacheField name="Column14588" numFmtId="0">
      <sharedItems containsNonDate="0" containsString="0" containsBlank="1"/>
    </cacheField>
    <cacheField name="Column14589" numFmtId="0">
      <sharedItems containsNonDate="0" containsString="0" containsBlank="1"/>
    </cacheField>
    <cacheField name="Column14590" numFmtId="0">
      <sharedItems containsNonDate="0" containsString="0" containsBlank="1"/>
    </cacheField>
    <cacheField name="Column14591" numFmtId="0">
      <sharedItems containsNonDate="0" containsString="0" containsBlank="1"/>
    </cacheField>
    <cacheField name="Column14592" numFmtId="0">
      <sharedItems containsNonDate="0" containsString="0" containsBlank="1"/>
    </cacheField>
    <cacheField name="Column14593" numFmtId="0">
      <sharedItems containsNonDate="0" containsString="0" containsBlank="1"/>
    </cacheField>
    <cacheField name="Column14594" numFmtId="0">
      <sharedItems containsNonDate="0" containsString="0" containsBlank="1"/>
    </cacheField>
    <cacheField name="Column14595" numFmtId="0">
      <sharedItems containsNonDate="0" containsString="0" containsBlank="1"/>
    </cacheField>
    <cacheField name="Column14596" numFmtId="0">
      <sharedItems containsNonDate="0" containsString="0" containsBlank="1"/>
    </cacheField>
    <cacheField name="Column14597" numFmtId="0">
      <sharedItems containsNonDate="0" containsString="0" containsBlank="1"/>
    </cacheField>
    <cacheField name="Column14598" numFmtId="0">
      <sharedItems containsNonDate="0" containsString="0" containsBlank="1"/>
    </cacheField>
    <cacheField name="Column14599" numFmtId="0">
      <sharedItems containsNonDate="0" containsString="0" containsBlank="1"/>
    </cacheField>
    <cacheField name="Column14600" numFmtId="0">
      <sharedItems containsNonDate="0" containsString="0" containsBlank="1"/>
    </cacheField>
    <cacheField name="Column14601" numFmtId="0">
      <sharedItems containsNonDate="0" containsString="0" containsBlank="1"/>
    </cacheField>
    <cacheField name="Column14602" numFmtId="0">
      <sharedItems containsNonDate="0" containsString="0" containsBlank="1"/>
    </cacheField>
    <cacheField name="Column14603" numFmtId="0">
      <sharedItems containsNonDate="0" containsString="0" containsBlank="1"/>
    </cacheField>
    <cacheField name="Column14604" numFmtId="0">
      <sharedItems containsNonDate="0" containsString="0" containsBlank="1"/>
    </cacheField>
    <cacheField name="Column14605" numFmtId="0">
      <sharedItems containsNonDate="0" containsString="0" containsBlank="1"/>
    </cacheField>
    <cacheField name="Column14606" numFmtId="0">
      <sharedItems containsNonDate="0" containsString="0" containsBlank="1"/>
    </cacheField>
    <cacheField name="Column14607" numFmtId="0">
      <sharedItems containsNonDate="0" containsString="0" containsBlank="1"/>
    </cacheField>
    <cacheField name="Column14608" numFmtId="0">
      <sharedItems containsNonDate="0" containsString="0" containsBlank="1"/>
    </cacheField>
    <cacheField name="Column14609" numFmtId="0">
      <sharedItems containsNonDate="0" containsString="0" containsBlank="1"/>
    </cacheField>
    <cacheField name="Column14610" numFmtId="0">
      <sharedItems containsNonDate="0" containsString="0" containsBlank="1"/>
    </cacheField>
    <cacheField name="Column14611" numFmtId="0">
      <sharedItems containsNonDate="0" containsString="0" containsBlank="1"/>
    </cacheField>
    <cacheField name="Column14612" numFmtId="0">
      <sharedItems containsNonDate="0" containsString="0" containsBlank="1"/>
    </cacheField>
    <cacheField name="Column14613" numFmtId="0">
      <sharedItems containsNonDate="0" containsString="0" containsBlank="1"/>
    </cacheField>
    <cacheField name="Column14614" numFmtId="0">
      <sharedItems containsNonDate="0" containsString="0" containsBlank="1"/>
    </cacheField>
    <cacheField name="Column14615" numFmtId="0">
      <sharedItems containsNonDate="0" containsString="0" containsBlank="1"/>
    </cacheField>
    <cacheField name="Column14616" numFmtId="0">
      <sharedItems containsNonDate="0" containsString="0" containsBlank="1"/>
    </cacheField>
    <cacheField name="Column14617" numFmtId="0">
      <sharedItems containsNonDate="0" containsString="0" containsBlank="1"/>
    </cacheField>
    <cacheField name="Column14618" numFmtId="0">
      <sharedItems containsNonDate="0" containsString="0" containsBlank="1"/>
    </cacheField>
    <cacheField name="Column14619" numFmtId="0">
      <sharedItems containsNonDate="0" containsString="0" containsBlank="1"/>
    </cacheField>
    <cacheField name="Column14620" numFmtId="0">
      <sharedItems containsNonDate="0" containsString="0" containsBlank="1"/>
    </cacheField>
    <cacheField name="Column14621" numFmtId="0">
      <sharedItems containsNonDate="0" containsString="0" containsBlank="1"/>
    </cacheField>
    <cacheField name="Column14622" numFmtId="0">
      <sharedItems containsNonDate="0" containsString="0" containsBlank="1"/>
    </cacheField>
    <cacheField name="Column14623" numFmtId="0">
      <sharedItems containsNonDate="0" containsString="0" containsBlank="1"/>
    </cacheField>
    <cacheField name="Column14624" numFmtId="0">
      <sharedItems containsNonDate="0" containsString="0" containsBlank="1"/>
    </cacheField>
    <cacheField name="Column14625" numFmtId="0">
      <sharedItems containsNonDate="0" containsString="0" containsBlank="1"/>
    </cacheField>
    <cacheField name="Column14626" numFmtId="0">
      <sharedItems containsNonDate="0" containsString="0" containsBlank="1"/>
    </cacheField>
    <cacheField name="Column14627" numFmtId="0">
      <sharedItems containsNonDate="0" containsString="0" containsBlank="1"/>
    </cacheField>
    <cacheField name="Column14628" numFmtId="0">
      <sharedItems containsNonDate="0" containsString="0" containsBlank="1"/>
    </cacheField>
    <cacheField name="Column14629" numFmtId="0">
      <sharedItems containsNonDate="0" containsString="0" containsBlank="1"/>
    </cacheField>
    <cacheField name="Column14630" numFmtId="0">
      <sharedItems containsNonDate="0" containsString="0" containsBlank="1"/>
    </cacheField>
    <cacheField name="Column14631" numFmtId="0">
      <sharedItems containsNonDate="0" containsString="0" containsBlank="1"/>
    </cacheField>
    <cacheField name="Column14632" numFmtId="0">
      <sharedItems containsNonDate="0" containsString="0" containsBlank="1"/>
    </cacheField>
    <cacheField name="Column14633" numFmtId="0">
      <sharedItems containsNonDate="0" containsString="0" containsBlank="1"/>
    </cacheField>
    <cacheField name="Column14634" numFmtId="0">
      <sharedItems containsNonDate="0" containsString="0" containsBlank="1"/>
    </cacheField>
    <cacheField name="Column14635" numFmtId="0">
      <sharedItems containsNonDate="0" containsString="0" containsBlank="1"/>
    </cacheField>
    <cacheField name="Column14636" numFmtId="0">
      <sharedItems containsNonDate="0" containsString="0" containsBlank="1"/>
    </cacheField>
    <cacheField name="Column14637" numFmtId="0">
      <sharedItems containsNonDate="0" containsString="0" containsBlank="1"/>
    </cacheField>
    <cacheField name="Column14638" numFmtId="0">
      <sharedItems containsNonDate="0" containsString="0" containsBlank="1"/>
    </cacheField>
    <cacheField name="Column14639" numFmtId="0">
      <sharedItems containsNonDate="0" containsString="0" containsBlank="1"/>
    </cacheField>
    <cacheField name="Column14640" numFmtId="0">
      <sharedItems containsNonDate="0" containsString="0" containsBlank="1"/>
    </cacheField>
    <cacheField name="Column14641" numFmtId="0">
      <sharedItems containsNonDate="0" containsString="0" containsBlank="1"/>
    </cacheField>
    <cacheField name="Column14642" numFmtId="0">
      <sharedItems containsNonDate="0" containsString="0" containsBlank="1"/>
    </cacheField>
    <cacheField name="Column14643" numFmtId="0">
      <sharedItems containsNonDate="0" containsString="0" containsBlank="1"/>
    </cacheField>
    <cacheField name="Column14644" numFmtId="0">
      <sharedItems containsNonDate="0" containsString="0" containsBlank="1"/>
    </cacheField>
    <cacheField name="Column14645" numFmtId="0">
      <sharedItems containsNonDate="0" containsString="0" containsBlank="1"/>
    </cacheField>
    <cacheField name="Column14646" numFmtId="0">
      <sharedItems containsNonDate="0" containsString="0" containsBlank="1"/>
    </cacheField>
    <cacheField name="Column14647" numFmtId="0">
      <sharedItems containsNonDate="0" containsString="0" containsBlank="1"/>
    </cacheField>
    <cacheField name="Column14648" numFmtId="0">
      <sharedItems containsNonDate="0" containsString="0" containsBlank="1"/>
    </cacheField>
    <cacheField name="Column14649" numFmtId="0">
      <sharedItems containsNonDate="0" containsString="0" containsBlank="1"/>
    </cacheField>
    <cacheField name="Column14650" numFmtId="0">
      <sharedItems containsNonDate="0" containsString="0" containsBlank="1"/>
    </cacheField>
    <cacheField name="Column14651" numFmtId="0">
      <sharedItems containsNonDate="0" containsString="0" containsBlank="1"/>
    </cacheField>
    <cacheField name="Column14652" numFmtId="0">
      <sharedItems containsNonDate="0" containsString="0" containsBlank="1"/>
    </cacheField>
    <cacheField name="Column14653" numFmtId="0">
      <sharedItems containsNonDate="0" containsString="0" containsBlank="1"/>
    </cacheField>
    <cacheField name="Column14654" numFmtId="0">
      <sharedItems containsNonDate="0" containsString="0" containsBlank="1"/>
    </cacheField>
    <cacheField name="Column14655" numFmtId="0">
      <sharedItems containsNonDate="0" containsString="0" containsBlank="1"/>
    </cacheField>
    <cacheField name="Column14656" numFmtId="0">
      <sharedItems containsNonDate="0" containsString="0" containsBlank="1"/>
    </cacheField>
    <cacheField name="Column14657" numFmtId="0">
      <sharedItems containsNonDate="0" containsString="0" containsBlank="1"/>
    </cacheField>
    <cacheField name="Column14658" numFmtId="0">
      <sharedItems containsNonDate="0" containsString="0" containsBlank="1"/>
    </cacheField>
    <cacheField name="Column14659" numFmtId="0">
      <sharedItems containsNonDate="0" containsString="0" containsBlank="1"/>
    </cacheField>
    <cacheField name="Column14660" numFmtId="0">
      <sharedItems containsNonDate="0" containsString="0" containsBlank="1"/>
    </cacheField>
    <cacheField name="Column14661" numFmtId="0">
      <sharedItems containsNonDate="0" containsString="0" containsBlank="1"/>
    </cacheField>
    <cacheField name="Column14662" numFmtId="0">
      <sharedItems containsNonDate="0" containsString="0" containsBlank="1"/>
    </cacheField>
    <cacheField name="Column14663" numFmtId="0">
      <sharedItems containsNonDate="0" containsString="0" containsBlank="1"/>
    </cacheField>
    <cacheField name="Column14664" numFmtId="0">
      <sharedItems containsNonDate="0" containsString="0" containsBlank="1"/>
    </cacheField>
    <cacheField name="Column14665" numFmtId="0">
      <sharedItems containsNonDate="0" containsString="0" containsBlank="1"/>
    </cacheField>
    <cacheField name="Column14666" numFmtId="0">
      <sharedItems containsNonDate="0" containsString="0" containsBlank="1"/>
    </cacheField>
    <cacheField name="Column14667" numFmtId="0">
      <sharedItems containsNonDate="0" containsString="0" containsBlank="1"/>
    </cacheField>
    <cacheField name="Column14668" numFmtId="0">
      <sharedItems containsNonDate="0" containsString="0" containsBlank="1"/>
    </cacheField>
    <cacheField name="Column14669" numFmtId="0">
      <sharedItems containsNonDate="0" containsString="0" containsBlank="1"/>
    </cacheField>
    <cacheField name="Column14670" numFmtId="0">
      <sharedItems containsNonDate="0" containsString="0" containsBlank="1"/>
    </cacheField>
    <cacheField name="Column14671" numFmtId="0">
      <sharedItems containsNonDate="0" containsString="0" containsBlank="1"/>
    </cacheField>
    <cacheField name="Column14672" numFmtId="0">
      <sharedItems containsNonDate="0" containsString="0" containsBlank="1"/>
    </cacheField>
    <cacheField name="Column14673" numFmtId="0">
      <sharedItems containsNonDate="0" containsString="0" containsBlank="1"/>
    </cacheField>
    <cacheField name="Column14674" numFmtId="0">
      <sharedItems containsNonDate="0" containsString="0" containsBlank="1"/>
    </cacheField>
    <cacheField name="Column14675" numFmtId="0">
      <sharedItems containsNonDate="0" containsString="0" containsBlank="1"/>
    </cacheField>
    <cacheField name="Column14676" numFmtId="0">
      <sharedItems containsNonDate="0" containsString="0" containsBlank="1"/>
    </cacheField>
    <cacheField name="Column14677" numFmtId="0">
      <sharedItems containsNonDate="0" containsString="0" containsBlank="1"/>
    </cacheField>
    <cacheField name="Column14678" numFmtId="0">
      <sharedItems containsNonDate="0" containsString="0" containsBlank="1"/>
    </cacheField>
    <cacheField name="Column14679" numFmtId="0">
      <sharedItems containsNonDate="0" containsString="0" containsBlank="1"/>
    </cacheField>
    <cacheField name="Column14680" numFmtId="0">
      <sharedItems containsNonDate="0" containsString="0" containsBlank="1"/>
    </cacheField>
    <cacheField name="Column14681" numFmtId="0">
      <sharedItems containsNonDate="0" containsString="0" containsBlank="1"/>
    </cacheField>
    <cacheField name="Column14682" numFmtId="0">
      <sharedItems containsNonDate="0" containsString="0" containsBlank="1"/>
    </cacheField>
    <cacheField name="Column14683" numFmtId="0">
      <sharedItems containsNonDate="0" containsString="0" containsBlank="1"/>
    </cacheField>
    <cacheField name="Column14684" numFmtId="0">
      <sharedItems containsNonDate="0" containsString="0" containsBlank="1"/>
    </cacheField>
    <cacheField name="Column14685" numFmtId="0">
      <sharedItems containsNonDate="0" containsString="0" containsBlank="1"/>
    </cacheField>
    <cacheField name="Column14686" numFmtId="0">
      <sharedItems containsNonDate="0" containsString="0" containsBlank="1"/>
    </cacheField>
    <cacheField name="Column14687" numFmtId="0">
      <sharedItems containsNonDate="0" containsString="0" containsBlank="1"/>
    </cacheField>
    <cacheField name="Column14688" numFmtId="0">
      <sharedItems containsNonDate="0" containsString="0" containsBlank="1"/>
    </cacheField>
    <cacheField name="Column14689" numFmtId="0">
      <sharedItems containsNonDate="0" containsString="0" containsBlank="1"/>
    </cacheField>
    <cacheField name="Column14690" numFmtId="0">
      <sharedItems containsNonDate="0" containsString="0" containsBlank="1"/>
    </cacheField>
    <cacheField name="Column14691" numFmtId="0">
      <sharedItems containsNonDate="0" containsString="0" containsBlank="1"/>
    </cacheField>
    <cacheField name="Column14692" numFmtId="0">
      <sharedItems containsNonDate="0" containsString="0" containsBlank="1"/>
    </cacheField>
    <cacheField name="Column14693" numFmtId="0">
      <sharedItems containsNonDate="0" containsString="0" containsBlank="1"/>
    </cacheField>
    <cacheField name="Column14694" numFmtId="0">
      <sharedItems containsNonDate="0" containsString="0" containsBlank="1"/>
    </cacheField>
    <cacheField name="Column14695" numFmtId="0">
      <sharedItems containsNonDate="0" containsString="0" containsBlank="1"/>
    </cacheField>
    <cacheField name="Column14696" numFmtId="0">
      <sharedItems containsNonDate="0" containsString="0" containsBlank="1"/>
    </cacheField>
    <cacheField name="Column14697" numFmtId="0">
      <sharedItems containsNonDate="0" containsString="0" containsBlank="1"/>
    </cacheField>
    <cacheField name="Column14698" numFmtId="0">
      <sharedItems containsNonDate="0" containsString="0" containsBlank="1"/>
    </cacheField>
    <cacheField name="Column14699" numFmtId="0">
      <sharedItems containsNonDate="0" containsString="0" containsBlank="1"/>
    </cacheField>
    <cacheField name="Column14700" numFmtId="0">
      <sharedItems containsNonDate="0" containsString="0" containsBlank="1"/>
    </cacheField>
    <cacheField name="Column14701" numFmtId="0">
      <sharedItems containsNonDate="0" containsString="0" containsBlank="1"/>
    </cacheField>
    <cacheField name="Column14702" numFmtId="0">
      <sharedItems containsNonDate="0" containsString="0" containsBlank="1"/>
    </cacheField>
    <cacheField name="Column14703" numFmtId="0">
      <sharedItems containsNonDate="0" containsString="0" containsBlank="1"/>
    </cacheField>
    <cacheField name="Column14704" numFmtId="0">
      <sharedItems containsNonDate="0" containsString="0" containsBlank="1"/>
    </cacheField>
    <cacheField name="Column14705" numFmtId="0">
      <sharedItems containsNonDate="0" containsString="0" containsBlank="1"/>
    </cacheField>
    <cacheField name="Column14706" numFmtId="0">
      <sharedItems containsNonDate="0" containsString="0" containsBlank="1"/>
    </cacheField>
    <cacheField name="Column14707" numFmtId="0">
      <sharedItems containsNonDate="0" containsString="0" containsBlank="1"/>
    </cacheField>
    <cacheField name="Column14708" numFmtId="0">
      <sharedItems containsNonDate="0" containsString="0" containsBlank="1"/>
    </cacheField>
    <cacheField name="Column14709" numFmtId="0">
      <sharedItems containsNonDate="0" containsString="0" containsBlank="1"/>
    </cacheField>
    <cacheField name="Column14710" numFmtId="0">
      <sharedItems containsNonDate="0" containsString="0" containsBlank="1"/>
    </cacheField>
    <cacheField name="Column14711" numFmtId="0">
      <sharedItems containsNonDate="0" containsString="0" containsBlank="1"/>
    </cacheField>
    <cacheField name="Column14712" numFmtId="0">
      <sharedItems containsNonDate="0" containsString="0" containsBlank="1"/>
    </cacheField>
    <cacheField name="Column14713" numFmtId="0">
      <sharedItems containsNonDate="0" containsString="0" containsBlank="1"/>
    </cacheField>
    <cacheField name="Column14714" numFmtId="0">
      <sharedItems containsNonDate="0" containsString="0" containsBlank="1"/>
    </cacheField>
    <cacheField name="Column14715" numFmtId="0">
      <sharedItems containsNonDate="0" containsString="0" containsBlank="1"/>
    </cacheField>
    <cacheField name="Column14716" numFmtId="0">
      <sharedItems containsNonDate="0" containsString="0" containsBlank="1"/>
    </cacheField>
    <cacheField name="Column14717" numFmtId="0">
      <sharedItems containsNonDate="0" containsString="0" containsBlank="1"/>
    </cacheField>
    <cacheField name="Column14718" numFmtId="0">
      <sharedItems containsNonDate="0" containsString="0" containsBlank="1"/>
    </cacheField>
    <cacheField name="Column14719" numFmtId="0">
      <sharedItems containsNonDate="0" containsString="0" containsBlank="1"/>
    </cacheField>
    <cacheField name="Column14720" numFmtId="0">
      <sharedItems containsNonDate="0" containsString="0" containsBlank="1"/>
    </cacheField>
    <cacheField name="Column14721" numFmtId="0">
      <sharedItems containsNonDate="0" containsString="0" containsBlank="1"/>
    </cacheField>
    <cacheField name="Column14722" numFmtId="0">
      <sharedItems containsNonDate="0" containsString="0" containsBlank="1"/>
    </cacheField>
    <cacheField name="Column14723" numFmtId="0">
      <sharedItems containsNonDate="0" containsString="0" containsBlank="1"/>
    </cacheField>
    <cacheField name="Column14724" numFmtId="0">
      <sharedItems containsNonDate="0" containsString="0" containsBlank="1"/>
    </cacheField>
    <cacheField name="Column14725" numFmtId="0">
      <sharedItems containsNonDate="0" containsString="0" containsBlank="1"/>
    </cacheField>
    <cacheField name="Column14726" numFmtId="0">
      <sharedItems containsNonDate="0" containsString="0" containsBlank="1"/>
    </cacheField>
    <cacheField name="Column14727" numFmtId="0">
      <sharedItems containsNonDate="0" containsString="0" containsBlank="1"/>
    </cacheField>
    <cacheField name="Column14728" numFmtId="0">
      <sharedItems containsNonDate="0" containsString="0" containsBlank="1"/>
    </cacheField>
    <cacheField name="Column14729" numFmtId="0">
      <sharedItems containsNonDate="0" containsString="0" containsBlank="1"/>
    </cacheField>
    <cacheField name="Column14730" numFmtId="0">
      <sharedItems containsNonDate="0" containsString="0" containsBlank="1"/>
    </cacheField>
    <cacheField name="Column14731" numFmtId="0">
      <sharedItems containsNonDate="0" containsString="0" containsBlank="1"/>
    </cacheField>
    <cacheField name="Column14732" numFmtId="0">
      <sharedItems containsNonDate="0" containsString="0" containsBlank="1"/>
    </cacheField>
    <cacheField name="Column14733" numFmtId="0">
      <sharedItems containsNonDate="0" containsString="0" containsBlank="1"/>
    </cacheField>
    <cacheField name="Column14734" numFmtId="0">
      <sharedItems containsNonDate="0" containsString="0" containsBlank="1"/>
    </cacheField>
    <cacheField name="Column14735" numFmtId="0">
      <sharedItems containsNonDate="0" containsString="0" containsBlank="1"/>
    </cacheField>
    <cacheField name="Column14736" numFmtId="0">
      <sharedItems containsNonDate="0" containsString="0" containsBlank="1"/>
    </cacheField>
    <cacheField name="Column14737" numFmtId="0">
      <sharedItems containsNonDate="0" containsString="0" containsBlank="1"/>
    </cacheField>
    <cacheField name="Column14738" numFmtId="0">
      <sharedItems containsNonDate="0" containsString="0" containsBlank="1"/>
    </cacheField>
    <cacheField name="Column14739" numFmtId="0">
      <sharedItems containsNonDate="0" containsString="0" containsBlank="1"/>
    </cacheField>
    <cacheField name="Column14740" numFmtId="0">
      <sharedItems containsNonDate="0" containsString="0" containsBlank="1"/>
    </cacheField>
    <cacheField name="Column14741" numFmtId="0">
      <sharedItems containsNonDate="0" containsString="0" containsBlank="1"/>
    </cacheField>
    <cacheField name="Column14742" numFmtId="0">
      <sharedItems containsNonDate="0" containsString="0" containsBlank="1"/>
    </cacheField>
    <cacheField name="Column14743" numFmtId="0">
      <sharedItems containsNonDate="0" containsString="0" containsBlank="1"/>
    </cacheField>
    <cacheField name="Column14744" numFmtId="0">
      <sharedItems containsNonDate="0" containsString="0" containsBlank="1"/>
    </cacheField>
    <cacheField name="Column14745" numFmtId="0">
      <sharedItems containsNonDate="0" containsString="0" containsBlank="1"/>
    </cacheField>
    <cacheField name="Column14746" numFmtId="0">
      <sharedItems containsNonDate="0" containsString="0" containsBlank="1"/>
    </cacheField>
    <cacheField name="Column14747" numFmtId="0">
      <sharedItems containsNonDate="0" containsString="0" containsBlank="1"/>
    </cacheField>
    <cacheField name="Column14748" numFmtId="0">
      <sharedItems containsNonDate="0" containsString="0" containsBlank="1"/>
    </cacheField>
    <cacheField name="Column14749" numFmtId="0">
      <sharedItems containsNonDate="0" containsString="0" containsBlank="1"/>
    </cacheField>
    <cacheField name="Column14750" numFmtId="0">
      <sharedItems containsNonDate="0" containsString="0" containsBlank="1"/>
    </cacheField>
    <cacheField name="Column14751" numFmtId="0">
      <sharedItems containsNonDate="0" containsString="0" containsBlank="1"/>
    </cacheField>
    <cacheField name="Column14752" numFmtId="0">
      <sharedItems containsNonDate="0" containsString="0" containsBlank="1"/>
    </cacheField>
    <cacheField name="Column14753" numFmtId="0">
      <sharedItems containsNonDate="0" containsString="0" containsBlank="1"/>
    </cacheField>
    <cacheField name="Column14754" numFmtId="0">
      <sharedItems containsNonDate="0" containsString="0" containsBlank="1"/>
    </cacheField>
    <cacheField name="Column14755" numFmtId="0">
      <sharedItems containsNonDate="0" containsString="0" containsBlank="1"/>
    </cacheField>
    <cacheField name="Column14756" numFmtId="0">
      <sharedItems containsNonDate="0" containsString="0" containsBlank="1"/>
    </cacheField>
    <cacheField name="Column14757" numFmtId="0">
      <sharedItems containsNonDate="0" containsString="0" containsBlank="1"/>
    </cacheField>
    <cacheField name="Column14758" numFmtId="0">
      <sharedItems containsNonDate="0" containsString="0" containsBlank="1"/>
    </cacheField>
    <cacheField name="Column14759" numFmtId="0">
      <sharedItems containsNonDate="0" containsString="0" containsBlank="1"/>
    </cacheField>
    <cacheField name="Column14760" numFmtId="0">
      <sharedItems containsNonDate="0" containsString="0" containsBlank="1"/>
    </cacheField>
    <cacheField name="Column14761" numFmtId="0">
      <sharedItems containsNonDate="0" containsString="0" containsBlank="1"/>
    </cacheField>
    <cacheField name="Column14762" numFmtId="0">
      <sharedItems containsNonDate="0" containsString="0" containsBlank="1"/>
    </cacheField>
    <cacheField name="Column14763" numFmtId="0">
      <sharedItems containsNonDate="0" containsString="0" containsBlank="1"/>
    </cacheField>
    <cacheField name="Column14764" numFmtId="0">
      <sharedItems containsNonDate="0" containsString="0" containsBlank="1"/>
    </cacheField>
    <cacheField name="Column14765" numFmtId="0">
      <sharedItems containsNonDate="0" containsString="0" containsBlank="1"/>
    </cacheField>
    <cacheField name="Column14766" numFmtId="0">
      <sharedItems containsNonDate="0" containsString="0" containsBlank="1"/>
    </cacheField>
    <cacheField name="Column14767" numFmtId="0">
      <sharedItems containsNonDate="0" containsString="0" containsBlank="1"/>
    </cacheField>
    <cacheField name="Column14768" numFmtId="0">
      <sharedItems containsNonDate="0" containsString="0" containsBlank="1"/>
    </cacheField>
    <cacheField name="Column14769" numFmtId="0">
      <sharedItems containsNonDate="0" containsString="0" containsBlank="1"/>
    </cacheField>
    <cacheField name="Column14770" numFmtId="0">
      <sharedItems containsNonDate="0" containsString="0" containsBlank="1"/>
    </cacheField>
    <cacheField name="Column14771" numFmtId="0">
      <sharedItems containsNonDate="0" containsString="0" containsBlank="1"/>
    </cacheField>
    <cacheField name="Column14772" numFmtId="0">
      <sharedItems containsNonDate="0" containsString="0" containsBlank="1"/>
    </cacheField>
    <cacheField name="Column14773" numFmtId="0">
      <sharedItems containsNonDate="0" containsString="0" containsBlank="1"/>
    </cacheField>
    <cacheField name="Column14774" numFmtId="0">
      <sharedItems containsNonDate="0" containsString="0" containsBlank="1"/>
    </cacheField>
    <cacheField name="Column14775" numFmtId="0">
      <sharedItems containsNonDate="0" containsString="0" containsBlank="1"/>
    </cacheField>
    <cacheField name="Column14776" numFmtId="0">
      <sharedItems containsNonDate="0" containsString="0" containsBlank="1"/>
    </cacheField>
    <cacheField name="Column14777" numFmtId="0">
      <sharedItems containsNonDate="0" containsString="0" containsBlank="1"/>
    </cacheField>
    <cacheField name="Column14778" numFmtId="0">
      <sharedItems containsNonDate="0" containsString="0" containsBlank="1"/>
    </cacheField>
    <cacheField name="Column14779" numFmtId="0">
      <sharedItems containsNonDate="0" containsString="0" containsBlank="1"/>
    </cacheField>
    <cacheField name="Column14780" numFmtId="0">
      <sharedItems containsNonDate="0" containsString="0" containsBlank="1"/>
    </cacheField>
    <cacheField name="Column14781" numFmtId="0">
      <sharedItems containsNonDate="0" containsString="0" containsBlank="1"/>
    </cacheField>
    <cacheField name="Column14782" numFmtId="0">
      <sharedItems containsNonDate="0" containsString="0" containsBlank="1"/>
    </cacheField>
    <cacheField name="Column14783" numFmtId="0">
      <sharedItems containsNonDate="0" containsString="0" containsBlank="1"/>
    </cacheField>
    <cacheField name="Column14784" numFmtId="0">
      <sharedItems containsNonDate="0" containsString="0" containsBlank="1"/>
    </cacheField>
    <cacheField name="Column14785" numFmtId="0">
      <sharedItems containsNonDate="0" containsString="0" containsBlank="1"/>
    </cacheField>
    <cacheField name="Column14786" numFmtId="0">
      <sharedItems containsNonDate="0" containsString="0" containsBlank="1"/>
    </cacheField>
    <cacheField name="Column14787" numFmtId="0">
      <sharedItems containsNonDate="0" containsString="0" containsBlank="1"/>
    </cacheField>
    <cacheField name="Column14788" numFmtId="0">
      <sharedItems containsNonDate="0" containsString="0" containsBlank="1"/>
    </cacheField>
    <cacheField name="Column14789" numFmtId="0">
      <sharedItems containsNonDate="0" containsString="0" containsBlank="1"/>
    </cacheField>
    <cacheField name="Column14790" numFmtId="0">
      <sharedItems containsNonDate="0" containsString="0" containsBlank="1"/>
    </cacheField>
    <cacheField name="Column14791" numFmtId="0">
      <sharedItems containsNonDate="0" containsString="0" containsBlank="1"/>
    </cacheField>
    <cacheField name="Column14792" numFmtId="0">
      <sharedItems containsNonDate="0" containsString="0" containsBlank="1"/>
    </cacheField>
    <cacheField name="Column14793" numFmtId="0">
      <sharedItems containsNonDate="0" containsString="0" containsBlank="1"/>
    </cacheField>
    <cacheField name="Column14794" numFmtId="0">
      <sharedItems containsNonDate="0" containsString="0" containsBlank="1"/>
    </cacheField>
    <cacheField name="Column14795" numFmtId="0">
      <sharedItems containsNonDate="0" containsString="0" containsBlank="1"/>
    </cacheField>
    <cacheField name="Column14796" numFmtId="0">
      <sharedItems containsNonDate="0" containsString="0" containsBlank="1"/>
    </cacheField>
    <cacheField name="Column14797" numFmtId="0">
      <sharedItems containsNonDate="0" containsString="0" containsBlank="1"/>
    </cacheField>
    <cacheField name="Column14798" numFmtId="0">
      <sharedItems containsNonDate="0" containsString="0" containsBlank="1"/>
    </cacheField>
    <cacheField name="Column14799" numFmtId="0">
      <sharedItems containsNonDate="0" containsString="0" containsBlank="1"/>
    </cacheField>
    <cacheField name="Column14800" numFmtId="0">
      <sharedItems containsNonDate="0" containsString="0" containsBlank="1"/>
    </cacheField>
    <cacheField name="Column14801" numFmtId="0">
      <sharedItems containsNonDate="0" containsString="0" containsBlank="1"/>
    </cacheField>
    <cacheField name="Column14802" numFmtId="0">
      <sharedItems containsNonDate="0" containsString="0" containsBlank="1"/>
    </cacheField>
    <cacheField name="Column14803" numFmtId="0">
      <sharedItems containsNonDate="0" containsString="0" containsBlank="1"/>
    </cacheField>
    <cacheField name="Column14804" numFmtId="0">
      <sharedItems containsNonDate="0" containsString="0" containsBlank="1"/>
    </cacheField>
    <cacheField name="Column14805" numFmtId="0">
      <sharedItems containsNonDate="0" containsString="0" containsBlank="1"/>
    </cacheField>
    <cacheField name="Column14806" numFmtId="0">
      <sharedItems containsNonDate="0" containsString="0" containsBlank="1"/>
    </cacheField>
    <cacheField name="Column14807" numFmtId="0">
      <sharedItems containsNonDate="0" containsString="0" containsBlank="1"/>
    </cacheField>
    <cacheField name="Column14808" numFmtId="0">
      <sharedItems containsNonDate="0" containsString="0" containsBlank="1"/>
    </cacheField>
    <cacheField name="Column14809" numFmtId="0">
      <sharedItems containsNonDate="0" containsString="0" containsBlank="1"/>
    </cacheField>
    <cacheField name="Column14810" numFmtId="0">
      <sharedItems containsNonDate="0" containsString="0" containsBlank="1"/>
    </cacheField>
    <cacheField name="Column14811" numFmtId="0">
      <sharedItems containsNonDate="0" containsString="0" containsBlank="1"/>
    </cacheField>
    <cacheField name="Column14812" numFmtId="0">
      <sharedItems containsNonDate="0" containsString="0" containsBlank="1"/>
    </cacheField>
    <cacheField name="Column14813" numFmtId="0">
      <sharedItems containsNonDate="0" containsString="0" containsBlank="1"/>
    </cacheField>
    <cacheField name="Column14814" numFmtId="0">
      <sharedItems containsNonDate="0" containsString="0" containsBlank="1"/>
    </cacheField>
    <cacheField name="Column14815" numFmtId="0">
      <sharedItems containsNonDate="0" containsString="0" containsBlank="1"/>
    </cacheField>
    <cacheField name="Column14816" numFmtId="0">
      <sharedItems containsNonDate="0" containsString="0" containsBlank="1"/>
    </cacheField>
    <cacheField name="Column14817" numFmtId="0">
      <sharedItems containsNonDate="0" containsString="0" containsBlank="1"/>
    </cacheField>
    <cacheField name="Column14818" numFmtId="0">
      <sharedItems containsNonDate="0" containsString="0" containsBlank="1"/>
    </cacheField>
    <cacheField name="Column14819" numFmtId="0">
      <sharedItems containsNonDate="0" containsString="0" containsBlank="1"/>
    </cacheField>
    <cacheField name="Column14820" numFmtId="0">
      <sharedItems containsNonDate="0" containsString="0" containsBlank="1"/>
    </cacheField>
    <cacheField name="Column14821" numFmtId="0">
      <sharedItems containsNonDate="0" containsString="0" containsBlank="1"/>
    </cacheField>
    <cacheField name="Column14822" numFmtId="0">
      <sharedItems containsNonDate="0" containsString="0" containsBlank="1"/>
    </cacheField>
    <cacheField name="Column14823" numFmtId="0">
      <sharedItems containsNonDate="0" containsString="0" containsBlank="1"/>
    </cacheField>
    <cacheField name="Column14824" numFmtId="0">
      <sharedItems containsNonDate="0" containsString="0" containsBlank="1"/>
    </cacheField>
    <cacheField name="Column14825" numFmtId="0">
      <sharedItems containsNonDate="0" containsString="0" containsBlank="1"/>
    </cacheField>
    <cacheField name="Column14826" numFmtId="0">
      <sharedItems containsNonDate="0" containsString="0" containsBlank="1"/>
    </cacheField>
    <cacheField name="Column14827" numFmtId="0">
      <sharedItems containsNonDate="0" containsString="0" containsBlank="1"/>
    </cacheField>
    <cacheField name="Column14828" numFmtId="0">
      <sharedItems containsNonDate="0" containsString="0" containsBlank="1"/>
    </cacheField>
    <cacheField name="Column14829" numFmtId="0">
      <sharedItems containsNonDate="0" containsString="0" containsBlank="1"/>
    </cacheField>
    <cacheField name="Column14830" numFmtId="0">
      <sharedItems containsNonDate="0" containsString="0" containsBlank="1"/>
    </cacheField>
    <cacheField name="Column14831" numFmtId="0">
      <sharedItems containsNonDate="0" containsString="0" containsBlank="1"/>
    </cacheField>
    <cacheField name="Column14832" numFmtId="0">
      <sharedItems containsNonDate="0" containsString="0" containsBlank="1"/>
    </cacheField>
    <cacheField name="Column14833" numFmtId="0">
      <sharedItems containsNonDate="0" containsString="0" containsBlank="1"/>
    </cacheField>
    <cacheField name="Column14834" numFmtId="0">
      <sharedItems containsNonDate="0" containsString="0" containsBlank="1"/>
    </cacheField>
    <cacheField name="Column14835" numFmtId="0">
      <sharedItems containsNonDate="0" containsString="0" containsBlank="1"/>
    </cacheField>
    <cacheField name="Column14836" numFmtId="0">
      <sharedItems containsNonDate="0" containsString="0" containsBlank="1"/>
    </cacheField>
    <cacheField name="Column14837" numFmtId="0">
      <sharedItems containsNonDate="0" containsString="0" containsBlank="1"/>
    </cacheField>
    <cacheField name="Column14838" numFmtId="0">
      <sharedItems containsNonDate="0" containsString="0" containsBlank="1"/>
    </cacheField>
    <cacheField name="Column14839" numFmtId="0">
      <sharedItems containsNonDate="0" containsString="0" containsBlank="1"/>
    </cacheField>
    <cacheField name="Column14840" numFmtId="0">
      <sharedItems containsNonDate="0" containsString="0" containsBlank="1"/>
    </cacheField>
    <cacheField name="Column14841" numFmtId="0">
      <sharedItems containsNonDate="0" containsString="0" containsBlank="1"/>
    </cacheField>
    <cacheField name="Column14842" numFmtId="0">
      <sharedItems containsNonDate="0" containsString="0" containsBlank="1"/>
    </cacheField>
    <cacheField name="Column14843" numFmtId="0">
      <sharedItems containsNonDate="0" containsString="0" containsBlank="1"/>
    </cacheField>
    <cacheField name="Column14844" numFmtId="0">
      <sharedItems containsNonDate="0" containsString="0" containsBlank="1"/>
    </cacheField>
    <cacheField name="Column14845" numFmtId="0">
      <sharedItems containsNonDate="0" containsString="0" containsBlank="1"/>
    </cacheField>
    <cacheField name="Column14846" numFmtId="0">
      <sharedItems containsNonDate="0" containsString="0" containsBlank="1"/>
    </cacheField>
    <cacheField name="Column14847" numFmtId="0">
      <sharedItems containsNonDate="0" containsString="0" containsBlank="1"/>
    </cacheField>
    <cacheField name="Column14848" numFmtId="0">
      <sharedItems containsNonDate="0" containsString="0" containsBlank="1"/>
    </cacheField>
    <cacheField name="Column14849" numFmtId="0">
      <sharedItems containsNonDate="0" containsString="0" containsBlank="1"/>
    </cacheField>
    <cacheField name="Column14850" numFmtId="0">
      <sharedItems containsNonDate="0" containsString="0" containsBlank="1"/>
    </cacheField>
    <cacheField name="Column14851" numFmtId="0">
      <sharedItems containsNonDate="0" containsString="0" containsBlank="1"/>
    </cacheField>
    <cacheField name="Column14852" numFmtId="0">
      <sharedItems containsNonDate="0" containsString="0" containsBlank="1"/>
    </cacheField>
    <cacheField name="Column14853" numFmtId="0">
      <sharedItems containsNonDate="0" containsString="0" containsBlank="1"/>
    </cacheField>
    <cacheField name="Column14854" numFmtId="0">
      <sharedItems containsNonDate="0" containsString="0" containsBlank="1"/>
    </cacheField>
    <cacheField name="Column14855" numFmtId="0">
      <sharedItems containsNonDate="0" containsString="0" containsBlank="1"/>
    </cacheField>
    <cacheField name="Column14856" numFmtId="0">
      <sharedItems containsNonDate="0" containsString="0" containsBlank="1"/>
    </cacheField>
    <cacheField name="Column14857" numFmtId="0">
      <sharedItems containsNonDate="0" containsString="0" containsBlank="1"/>
    </cacheField>
    <cacheField name="Column14858" numFmtId="0">
      <sharedItems containsNonDate="0" containsString="0" containsBlank="1"/>
    </cacheField>
    <cacheField name="Column14859" numFmtId="0">
      <sharedItems containsNonDate="0" containsString="0" containsBlank="1"/>
    </cacheField>
    <cacheField name="Column14860" numFmtId="0">
      <sharedItems containsNonDate="0" containsString="0" containsBlank="1"/>
    </cacheField>
    <cacheField name="Column14861" numFmtId="0">
      <sharedItems containsNonDate="0" containsString="0" containsBlank="1"/>
    </cacheField>
    <cacheField name="Column14862" numFmtId="0">
      <sharedItems containsNonDate="0" containsString="0" containsBlank="1"/>
    </cacheField>
    <cacheField name="Column14863" numFmtId="0">
      <sharedItems containsNonDate="0" containsString="0" containsBlank="1"/>
    </cacheField>
    <cacheField name="Column14864" numFmtId="0">
      <sharedItems containsNonDate="0" containsString="0" containsBlank="1"/>
    </cacheField>
    <cacheField name="Column14865" numFmtId="0">
      <sharedItems containsNonDate="0" containsString="0" containsBlank="1"/>
    </cacheField>
    <cacheField name="Column14866" numFmtId="0">
      <sharedItems containsNonDate="0" containsString="0" containsBlank="1"/>
    </cacheField>
    <cacheField name="Column14867" numFmtId="0">
      <sharedItems containsNonDate="0" containsString="0" containsBlank="1"/>
    </cacheField>
    <cacheField name="Column14868" numFmtId="0">
      <sharedItems containsNonDate="0" containsString="0" containsBlank="1"/>
    </cacheField>
    <cacheField name="Column14869" numFmtId="0">
      <sharedItems containsNonDate="0" containsString="0" containsBlank="1"/>
    </cacheField>
    <cacheField name="Column14870" numFmtId="0">
      <sharedItems containsNonDate="0" containsString="0" containsBlank="1"/>
    </cacheField>
    <cacheField name="Column14871" numFmtId="0">
      <sharedItems containsNonDate="0" containsString="0" containsBlank="1"/>
    </cacheField>
    <cacheField name="Column14872" numFmtId="0">
      <sharedItems containsNonDate="0" containsString="0" containsBlank="1"/>
    </cacheField>
    <cacheField name="Column14873" numFmtId="0">
      <sharedItems containsNonDate="0" containsString="0" containsBlank="1"/>
    </cacheField>
    <cacheField name="Column14874" numFmtId="0">
      <sharedItems containsNonDate="0" containsString="0" containsBlank="1"/>
    </cacheField>
    <cacheField name="Column14875" numFmtId="0">
      <sharedItems containsNonDate="0" containsString="0" containsBlank="1"/>
    </cacheField>
    <cacheField name="Column14876" numFmtId="0">
      <sharedItems containsNonDate="0" containsString="0" containsBlank="1"/>
    </cacheField>
    <cacheField name="Column14877" numFmtId="0">
      <sharedItems containsNonDate="0" containsString="0" containsBlank="1"/>
    </cacheField>
    <cacheField name="Column14878" numFmtId="0">
      <sharedItems containsNonDate="0" containsString="0" containsBlank="1"/>
    </cacheField>
    <cacheField name="Column14879" numFmtId="0">
      <sharedItems containsNonDate="0" containsString="0" containsBlank="1"/>
    </cacheField>
    <cacheField name="Column14880" numFmtId="0">
      <sharedItems containsNonDate="0" containsString="0" containsBlank="1"/>
    </cacheField>
    <cacheField name="Column14881" numFmtId="0">
      <sharedItems containsNonDate="0" containsString="0" containsBlank="1"/>
    </cacheField>
    <cacheField name="Column14882" numFmtId="0">
      <sharedItems containsNonDate="0" containsString="0" containsBlank="1"/>
    </cacheField>
    <cacheField name="Column14883" numFmtId="0">
      <sharedItems containsNonDate="0" containsString="0" containsBlank="1"/>
    </cacheField>
    <cacheField name="Column14884" numFmtId="0">
      <sharedItems containsNonDate="0" containsString="0" containsBlank="1"/>
    </cacheField>
    <cacheField name="Column14885" numFmtId="0">
      <sharedItems containsNonDate="0" containsString="0" containsBlank="1"/>
    </cacheField>
    <cacheField name="Column14886" numFmtId="0">
      <sharedItems containsNonDate="0" containsString="0" containsBlank="1"/>
    </cacheField>
    <cacheField name="Column14887" numFmtId="0">
      <sharedItems containsNonDate="0" containsString="0" containsBlank="1"/>
    </cacheField>
    <cacheField name="Column14888" numFmtId="0">
      <sharedItems containsNonDate="0" containsString="0" containsBlank="1"/>
    </cacheField>
    <cacheField name="Column14889" numFmtId="0">
      <sharedItems containsNonDate="0" containsString="0" containsBlank="1"/>
    </cacheField>
    <cacheField name="Column14890" numFmtId="0">
      <sharedItems containsNonDate="0" containsString="0" containsBlank="1"/>
    </cacheField>
    <cacheField name="Column14891" numFmtId="0">
      <sharedItems containsNonDate="0" containsString="0" containsBlank="1"/>
    </cacheField>
    <cacheField name="Column14892" numFmtId="0">
      <sharedItems containsNonDate="0" containsString="0" containsBlank="1"/>
    </cacheField>
    <cacheField name="Column14893" numFmtId="0">
      <sharedItems containsNonDate="0" containsString="0" containsBlank="1"/>
    </cacheField>
    <cacheField name="Column14894" numFmtId="0">
      <sharedItems containsNonDate="0" containsString="0" containsBlank="1"/>
    </cacheField>
    <cacheField name="Column14895" numFmtId="0">
      <sharedItems containsNonDate="0" containsString="0" containsBlank="1"/>
    </cacheField>
    <cacheField name="Column14896" numFmtId="0">
      <sharedItems containsNonDate="0" containsString="0" containsBlank="1"/>
    </cacheField>
    <cacheField name="Column14897" numFmtId="0">
      <sharedItems containsNonDate="0" containsString="0" containsBlank="1"/>
    </cacheField>
    <cacheField name="Column14898" numFmtId="0">
      <sharedItems containsNonDate="0" containsString="0" containsBlank="1"/>
    </cacheField>
    <cacheField name="Column14899" numFmtId="0">
      <sharedItems containsNonDate="0" containsString="0" containsBlank="1"/>
    </cacheField>
    <cacheField name="Column14900" numFmtId="0">
      <sharedItems containsNonDate="0" containsString="0" containsBlank="1"/>
    </cacheField>
    <cacheField name="Column14901" numFmtId="0">
      <sharedItems containsNonDate="0" containsString="0" containsBlank="1"/>
    </cacheField>
    <cacheField name="Column14902" numFmtId="0">
      <sharedItems containsNonDate="0" containsString="0" containsBlank="1"/>
    </cacheField>
    <cacheField name="Column14903" numFmtId="0">
      <sharedItems containsNonDate="0" containsString="0" containsBlank="1"/>
    </cacheField>
    <cacheField name="Column14904" numFmtId="0">
      <sharedItems containsNonDate="0" containsString="0" containsBlank="1"/>
    </cacheField>
    <cacheField name="Column14905" numFmtId="0">
      <sharedItems containsNonDate="0" containsString="0" containsBlank="1"/>
    </cacheField>
    <cacheField name="Column14906" numFmtId="0">
      <sharedItems containsNonDate="0" containsString="0" containsBlank="1"/>
    </cacheField>
    <cacheField name="Column14907" numFmtId="0">
      <sharedItems containsNonDate="0" containsString="0" containsBlank="1"/>
    </cacheField>
    <cacheField name="Column14908" numFmtId="0">
      <sharedItems containsNonDate="0" containsString="0" containsBlank="1"/>
    </cacheField>
    <cacheField name="Column14909" numFmtId="0">
      <sharedItems containsNonDate="0" containsString="0" containsBlank="1"/>
    </cacheField>
    <cacheField name="Column14910" numFmtId="0">
      <sharedItems containsNonDate="0" containsString="0" containsBlank="1"/>
    </cacheField>
    <cacheField name="Column14911" numFmtId="0">
      <sharedItems containsNonDate="0" containsString="0" containsBlank="1"/>
    </cacheField>
    <cacheField name="Column14912" numFmtId="0">
      <sharedItems containsNonDate="0" containsString="0" containsBlank="1"/>
    </cacheField>
    <cacheField name="Column14913" numFmtId="0">
      <sharedItems containsNonDate="0" containsString="0" containsBlank="1"/>
    </cacheField>
    <cacheField name="Column14914" numFmtId="0">
      <sharedItems containsNonDate="0" containsString="0" containsBlank="1"/>
    </cacheField>
    <cacheField name="Column14915" numFmtId="0">
      <sharedItems containsNonDate="0" containsString="0" containsBlank="1"/>
    </cacheField>
    <cacheField name="Column14916" numFmtId="0">
      <sharedItems containsNonDate="0" containsString="0" containsBlank="1"/>
    </cacheField>
    <cacheField name="Column14917" numFmtId="0">
      <sharedItems containsNonDate="0" containsString="0" containsBlank="1"/>
    </cacheField>
    <cacheField name="Column14918" numFmtId="0">
      <sharedItems containsNonDate="0" containsString="0" containsBlank="1"/>
    </cacheField>
    <cacheField name="Column14919" numFmtId="0">
      <sharedItems containsNonDate="0" containsString="0" containsBlank="1"/>
    </cacheField>
    <cacheField name="Column14920" numFmtId="0">
      <sharedItems containsNonDate="0" containsString="0" containsBlank="1"/>
    </cacheField>
    <cacheField name="Column14921" numFmtId="0">
      <sharedItems containsNonDate="0" containsString="0" containsBlank="1"/>
    </cacheField>
    <cacheField name="Column14922" numFmtId="0">
      <sharedItems containsNonDate="0" containsString="0" containsBlank="1"/>
    </cacheField>
    <cacheField name="Column14923" numFmtId="0">
      <sharedItems containsNonDate="0" containsString="0" containsBlank="1"/>
    </cacheField>
    <cacheField name="Column14924" numFmtId="0">
      <sharedItems containsNonDate="0" containsString="0" containsBlank="1"/>
    </cacheField>
    <cacheField name="Column14925" numFmtId="0">
      <sharedItems containsNonDate="0" containsString="0" containsBlank="1"/>
    </cacheField>
    <cacheField name="Column14926" numFmtId="0">
      <sharedItems containsNonDate="0" containsString="0" containsBlank="1"/>
    </cacheField>
    <cacheField name="Column14927" numFmtId="0">
      <sharedItems containsNonDate="0" containsString="0" containsBlank="1"/>
    </cacheField>
    <cacheField name="Column14928" numFmtId="0">
      <sharedItems containsNonDate="0" containsString="0" containsBlank="1"/>
    </cacheField>
    <cacheField name="Column14929" numFmtId="0">
      <sharedItems containsNonDate="0" containsString="0" containsBlank="1"/>
    </cacheField>
    <cacheField name="Column14930" numFmtId="0">
      <sharedItems containsNonDate="0" containsString="0" containsBlank="1"/>
    </cacheField>
    <cacheField name="Column14931" numFmtId="0">
      <sharedItems containsNonDate="0" containsString="0" containsBlank="1"/>
    </cacheField>
    <cacheField name="Column14932" numFmtId="0">
      <sharedItems containsNonDate="0" containsString="0" containsBlank="1"/>
    </cacheField>
    <cacheField name="Column14933" numFmtId="0">
      <sharedItems containsNonDate="0" containsString="0" containsBlank="1"/>
    </cacheField>
    <cacheField name="Column14934" numFmtId="0">
      <sharedItems containsNonDate="0" containsString="0" containsBlank="1"/>
    </cacheField>
    <cacheField name="Column14935" numFmtId="0">
      <sharedItems containsNonDate="0" containsString="0" containsBlank="1"/>
    </cacheField>
    <cacheField name="Column14936" numFmtId="0">
      <sharedItems containsNonDate="0" containsString="0" containsBlank="1"/>
    </cacheField>
    <cacheField name="Column14937" numFmtId="0">
      <sharedItems containsNonDate="0" containsString="0" containsBlank="1"/>
    </cacheField>
    <cacheField name="Column14938" numFmtId="0">
      <sharedItems containsNonDate="0" containsString="0" containsBlank="1"/>
    </cacheField>
    <cacheField name="Column14939" numFmtId="0">
      <sharedItems containsNonDate="0" containsString="0" containsBlank="1"/>
    </cacheField>
    <cacheField name="Column14940" numFmtId="0">
      <sharedItems containsNonDate="0" containsString="0" containsBlank="1"/>
    </cacheField>
    <cacheField name="Column14941" numFmtId="0">
      <sharedItems containsNonDate="0" containsString="0" containsBlank="1"/>
    </cacheField>
    <cacheField name="Column14942" numFmtId="0">
      <sharedItems containsNonDate="0" containsString="0" containsBlank="1"/>
    </cacheField>
    <cacheField name="Column14943" numFmtId="0">
      <sharedItems containsNonDate="0" containsString="0" containsBlank="1"/>
    </cacheField>
    <cacheField name="Column14944" numFmtId="0">
      <sharedItems containsNonDate="0" containsString="0" containsBlank="1"/>
    </cacheField>
    <cacheField name="Column14945" numFmtId="0">
      <sharedItems containsNonDate="0" containsString="0" containsBlank="1"/>
    </cacheField>
    <cacheField name="Column14946" numFmtId="0">
      <sharedItems containsNonDate="0" containsString="0" containsBlank="1"/>
    </cacheField>
    <cacheField name="Column14947" numFmtId="0">
      <sharedItems containsNonDate="0" containsString="0" containsBlank="1"/>
    </cacheField>
    <cacheField name="Column14948" numFmtId="0">
      <sharedItems containsNonDate="0" containsString="0" containsBlank="1"/>
    </cacheField>
    <cacheField name="Column14949" numFmtId="0">
      <sharedItems containsNonDate="0" containsString="0" containsBlank="1"/>
    </cacheField>
    <cacheField name="Column14950" numFmtId="0">
      <sharedItems containsNonDate="0" containsString="0" containsBlank="1"/>
    </cacheField>
    <cacheField name="Column14951" numFmtId="0">
      <sharedItems containsNonDate="0" containsString="0" containsBlank="1"/>
    </cacheField>
    <cacheField name="Column14952" numFmtId="0">
      <sharedItems containsNonDate="0" containsString="0" containsBlank="1"/>
    </cacheField>
    <cacheField name="Column14953" numFmtId="0">
      <sharedItems containsNonDate="0" containsString="0" containsBlank="1"/>
    </cacheField>
    <cacheField name="Column14954" numFmtId="0">
      <sharedItems containsNonDate="0" containsString="0" containsBlank="1"/>
    </cacheField>
    <cacheField name="Column14955" numFmtId="0">
      <sharedItems containsNonDate="0" containsString="0" containsBlank="1"/>
    </cacheField>
    <cacheField name="Column14956" numFmtId="0">
      <sharedItems containsNonDate="0" containsString="0" containsBlank="1"/>
    </cacheField>
    <cacheField name="Column14957" numFmtId="0">
      <sharedItems containsNonDate="0" containsString="0" containsBlank="1"/>
    </cacheField>
    <cacheField name="Column14958" numFmtId="0">
      <sharedItems containsNonDate="0" containsString="0" containsBlank="1"/>
    </cacheField>
    <cacheField name="Column14959" numFmtId="0">
      <sharedItems containsNonDate="0" containsString="0" containsBlank="1"/>
    </cacheField>
    <cacheField name="Column14960" numFmtId="0">
      <sharedItems containsNonDate="0" containsString="0" containsBlank="1"/>
    </cacheField>
    <cacheField name="Column14961" numFmtId="0">
      <sharedItems containsNonDate="0" containsString="0" containsBlank="1"/>
    </cacheField>
    <cacheField name="Column14962" numFmtId="0">
      <sharedItems containsNonDate="0" containsString="0" containsBlank="1"/>
    </cacheField>
    <cacheField name="Column14963" numFmtId="0">
      <sharedItems containsNonDate="0" containsString="0" containsBlank="1"/>
    </cacheField>
    <cacheField name="Column14964" numFmtId="0">
      <sharedItems containsNonDate="0" containsString="0" containsBlank="1"/>
    </cacheField>
    <cacheField name="Column14965" numFmtId="0">
      <sharedItems containsNonDate="0" containsString="0" containsBlank="1"/>
    </cacheField>
    <cacheField name="Column14966" numFmtId="0">
      <sharedItems containsNonDate="0" containsString="0" containsBlank="1"/>
    </cacheField>
    <cacheField name="Column14967" numFmtId="0">
      <sharedItems containsNonDate="0" containsString="0" containsBlank="1"/>
    </cacheField>
    <cacheField name="Column14968" numFmtId="0">
      <sharedItems containsNonDate="0" containsString="0" containsBlank="1"/>
    </cacheField>
    <cacheField name="Column14969" numFmtId="0">
      <sharedItems containsNonDate="0" containsString="0" containsBlank="1"/>
    </cacheField>
    <cacheField name="Column14970" numFmtId="0">
      <sharedItems containsNonDate="0" containsString="0" containsBlank="1"/>
    </cacheField>
    <cacheField name="Column14971" numFmtId="0">
      <sharedItems containsNonDate="0" containsString="0" containsBlank="1"/>
    </cacheField>
    <cacheField name="Column14972" numFmtId="0">
      <sharedItems containsNonDate="0" containsString="0" containsBlank="1"/>
    </cacheField>
    <cacheField name="Column14973" numFmtId="0">
      <sharedItems containsNonDate="0" containsString="0" containsBlank="1"/>
    </cacheField>
    <cacheField name="Column14974" numFmtId="0">
      <sharedItems containsNonDate="0" containsString="0" containsBlank="1"/>
    </cacheField>
    <cacheField name="Column14975" numFmtId="0">
      <sharedItems containsNonDate="0" containsString="0" containsBlank="1"/>
    </cacheField>
    <cacheField name="Column14976" numFmtId="0">
      <sharedItems containsNonDate="0" containsString="0" containsBlank="1"/>
    </cacheField>
    <cacheField name="Column14977" numFmtId="0">
      <sharedItems containsNonDate="0" containsString="0" containsBlank="1"/>
    </cacheField>
    <cacheField name="Column14978" numFmtId="0">
      <sharedItems containsNonDate="0" containsString="0" containsBlank="1"/>
    </cacheField>
    <cacheField name="Column14979" numFmtId="0">
      <sharedItems containsNonDate="0" containsString="0" containsBlank="1"/>
    </cacheField>
    <cacheField name="Column14980" numFmtId="0">
      <sharedItems containsNonDate="0" containsString="0" containsBlank="1"/>
    </cacheField>
    <cacheField name="Column14981" numFmtId="0">
      <sharedItems containsNonDate="0" containsString="0" containsBlank="1"/>
    </cacheField>
    <cacheField name="Column14982" numFmtId="0">
      <sharedItems containsNonDate="0" containsString="0" containsBlank="1"/>
    </cacheField>
    <cacheField name="Column14983" numFmtId="0">
      <sharedItems containsNonDate="0" containsString="0" containsBlank="1"/>
    </cacheField>
    <cacheField name="Column14984" numFmtId="0">
      <sharedItems containsNonDate="0" containsString="0" containsBlank="1"/>
    </cacheField>
    <cacheField name="Column14985" numFmtId="0">
      <sharedItems containsNonDate="0" containsString="0" containsBlank="1"/>
    </cacheField>
    <cacheField name="Column14986" numFmtId="0">
      <sharedItems containsNonDate="0" containsString="0" containsBlank="1"/>
    </cacheField>
    <cacheField name="Column14987" numFmtId="0">
      <sharedItems containsNonDate="0" containsString="0" containsBlank="1"/>
    </cacheField>
    <cacheField name="Column14988" numFmtId="0">
      <sharedItems containsNonDate="0" containsString="0" containsBlank="1"/>
    </cacheField>
    <cacheField name="Column14989" numFmtId="0">
      <sharedItems containsNonDate="0" containsString="0" containsBlank="1"/>
    </cacheField>
    <cacheField name="Column14990" numFmtId="0">
      <sharedItems containsNonDate="0" containsString="0" containsBlank="1"/>
    </cacheField>
    <cacheField name="Column14991" numFmtId="0">
      <sharedItems containsNonDate="0" containsString="0" containsBlank="1"/>
    </cacheField>
    <cacheField name="Column14992" numFmtId="0">
      <sharedItems containsNonDate="0" containsString="0" containsBlank="1"/>
    </cacheField>
    <cacheField name="Column14993" numFmtId="0">
      <sharedItems containsNonDate="0" containsString="0" containsBlank="1"/>
    </cacheField>
    <cacheField name="Column14994" numFmtId="0">
      <sharedItems containsNonDate="0" containsString="0" containsBlank="1"/>
    </cacheField>
    <cacheField name="Column14995" numFmtId="0">
      <sharedItems containsNonDate="0" containsString="0" containsBlank="1"/>
    </cacheField>
    <cacheField name="Column14996" numFmtId="0">
      <sharedItems containsNonDate="0" containsString="0" containsBlank="1"/>
    </cacheField>
    <cacheField name="Column14997" numFmtId="0">
      <sharedItems containsNonDate="0" containsString="0" containsBlank="1"/>
    </cacheField>
    <cacheField name="Column14998" numFmtId="0">
      <sharedItems containsNonDate="0" containsString="0" containsBlank="1"/>
    </cacheField>
    <cacheField name="Column14999" numFmtId="0">
      <sharedItems containsNonDate="0" containsString="0" containsBlank="1"/>
    </cacheField>
    <cacheField name="Column15000" numFmtId="0">
      <sharedItems containsNonDate="0" containsString="0" containsBlank="1"/>
    </cacheField>
    <cacheField name="Column15001" numFmtId="0">
      <sharedItems containsNonDate="0" containsString="0" containsBlank="1"/>
    </cacheField>
    <cacheField name="Column15002" numFmtId="0">
      <sharedItems containsNonDate="0" containsString="0" containsBlank="1"/>
    </cacheField>
    <cacheField name="Column15003" numFmtId="0">
      <sharedItems containsNonDate="0" containsString="0" containsBlank="1"/>
    </cacheField>
    <cacheField name="Column15004" numFmtId="0">
      <sharedItems containsNonDate="0" containsString="0" containsBlank="1"/>
    </cacheField>
    <cacheField name="Column15005" numFmtId="0">
      <sharedItems containsNonDate="0" containsString="0" containsBlank="1"/>
    </cacheField>
    <cacheField name="Column15006" numFmtId="0">
      <sharedItems containsNonDate="0" containsString="0" containsBlank="1"/>
    </cacheField>
    <cacheField name="Column15007" numFmtId="0">
      <sharedItems containsNonDate="0" containsString="0" containsBlank="1"/>
    </cacheField>
    <cacheField name="Column15008" numFmtId="0">
      <sharedItems containsNonDate="0" containsString="0" containsBlank="1"/>
    </cacheField>
    <cacheField name="Column15009" numFmtId="0">
      <sharedItems containsNonDate="0" containsString="0" containsBlank="1"/>
    </cacheField>
    <cacheField name="Column15010" numFmtId="0">
      <sharedItems containsNonDate="0" containsString="0" containsBlank="1"/>
    </cacheField>
    <cacheField name="Column15011" numFmtId="0">
      <sharedItems containsNonDate="0" containsString="0" containsBlank="1"/>
    </cacheField>
    <cacheField name="Column15012" numFmtId="0">
      <sharedItems containsNonDate="0" containsString="0" containsBlank="1"/>
    </cacheField>
    <cacheField name="Column15013" numFmtId="0">
      <sharedItems containsNonDate="0" containsString="0" containsBlank="1"/>
    </cacheField>
    <cacheField name="Column15014" numFmtId="0">
      <sharedItems containsNonDate="0" containsString="0" containsBlank="1"/>
    </cacheField>
    <cacheField name="Column15015" numFmtId="0">
      <sharedItems containsNonDate="0" containsString="0" containsBlank="1"/>
    </cacheField>
    <cacheField name="Column15016" numFmtId="0">
      <sharedItems containsNonDate="0" containsString="0" containsBlank="1"/>
    </cacheField>
    <cacheField name="Column15017" numFmtId="0">
      <sharedItems containsNonDate="0" containsString="0" containsBlank="1"/>
    </cacheField>
    <cacheField name="Column15018" numFmtId="0">
      <sharedItems containsNonDate="0" containsString="0" containsBlank="1"/>
    </cacheField>
    <cacheField name="Column15019" numFmtId="0">
      <sharedItems containsNonDate="0" containsString="0" containsBlank="1"/>
    </cacheField>
    <cacheField name="Column15020" numFmtId="0">
      <sharedItems containsNonDate="0" containsString="0" containsBlank="1"/>
    </cacheField>
    <cacheField name="Column15021" numFmtId="0">
      <sharedItems containsNonDate="0" containsString="0" containsBlank="1"/>
    </cacheField>
    <cacheField name="Column15022" numFmtId="0">
      <sharedItems containsNonDate="0" containsString="0" containsBlank="1"/>
    </cacheField>
    <cacheField name="Column15023" numFmtId="0">
      <sharedItems containsNonDate="0" containsString="0" containsBlank="1"/>
    </cacheField>
    <cacheField name="Column15024" numFmtId="0">
      <sharedItems containsNonDate="0" containsString="0" containsBlank="1"/>
    </cacheField>
    <cacheField name="Column15025" numFmtId="0">
      <sharedItems containsNonDate="0" containsString="0" containsBlank="1"/>
    </cacheField>
    <cacheField name="Column15026" numFmtId="0">
      <sharedItems containsNonDate="0" containsString="0" containsBlank="1"/>
    </cacheField>
    <cacheField name="Column15027" numFmtId="0">
      <sharedItems containsNonDate="0" containsString="0" containsBlank="1"/>
    </cacheField>
    <cacheField name="Column15028" numFmtId="0">
      <sharedItems containsNonDate="0" containsString="0" containsBlank="1"/>
    </cacheField>
    <cacheField name="Column15029" numFmtId="0">
      <sharedItems containsNonDate="0" containsString="0" containsBlank="1"/>
    </cacheField>
    <cacheField name="Column15030" numFmtId="0">
      <sharedItems containsNonDate="0" containsString="0" containsBlank="1"/>
    </cacheField>
    <cacheField name="Column15031" numFmtId="0">
      <sharedItems containsNonDate="0" containsString="0" containsBlank="1"/>
    </cacheField>
    <cacheField name="Column15032" numFmtId="0">
      <sharedItems containsNonDate="0" containsString="0" containsBlank="1"/>
    </cacheField>
    <cacheField name="Column15033" numFmtId="0">
      <sharedItems containsNonDate="0" containsString="0" containsBlank="1"/>
    </cacheField>
    <cacheField name="Column15034" numFmtId="0">
      <sharedItems containsNonDate="0" containsString="0" containsBlank="1"/>
    </cacheField>
    <cacheField name="Column15035" numFmtId="0">
      <sharedItems containsNonDate="0" containsString="0" containsBlank="1"/>
    </cacheField>
    <cacheField name="Column15036" numFmtId="0">
      <sharedItems containsNonDate="0" containsString="0" containsBlank="1"/>
    </cacheField>
    <cacheField name="Column15037" numFmtId="0">
      <sharedItems containsNonDate="0" containsString="0" containsBlank="1"/>
    </cacheField>
    <cacheField name="Column15038" numFmtId="0">
      <sharedItems containsNonDate="0" containsString="0" containsBlank="1"/>
    </cacheField>
    <cacheField name="Column15039" numFmtId="0">
      <sharedItems containsNonDate="0" containsString="0" containsBlank="1"/>
    </cacheField>
    <cacheField name="Column15040" numFmtId="0">
      <sharedItems containsNonDate="0" containsString="0" containsBlank="1"/>
    </cacheField>
    <cacheField name="Column15041" numFmtId="0">
      <sharedItems containsNonDate="0" containsString="0" containsBlank="1"/>
    </cacheField>
    <cacheField name="Column15042" numFmtId="0">
      <sharedItems containsNonDate="0" containsString="0" containsBlank="1"/>
    </cacheField>
    <cacheField name="Column15043" numFmtId="0">
      <sharedItems containsNonDate="0" containsString="0" containsBlank="1"/>
    </cacheField>
    <cacheField name="Column15044" numFmtId="0">
      <sharedItems containsNonDate="0" containsString="0" containsBlank="1"/>
    </cacheField>
    <cacheField name="Column15045" numFmtId="0">
      <sharedItems containsNonDate="0" containsString="0" containsBlank="1"/>
    </cacheField>
    <cacheField name="Column15046" numFmtId="0">
      <sharedItems containsNonDate="0" containsString="0" containsBlank="1"/>
    </cacheField>
    <cacheField name="Column15047" numFmtId="0">
      <sharedItems containsNonDate="0" containsString="0" containsBlank="1"/>
    </cacheField>
    <cacheField name="Column15048" numFmtId="0">
      <sharedItems containsNonDate="0" containsString="0" containsBlank="1"/>
    </cacheField>
    <cacheField name="Column15049" numFmtId="0">
      <sharedItems containsNonDate="0" containsString="0" containsBlank="1"/>
    </cacheField>
    <cacheField name="Column15050" numFmtId="0">
      <sharedItems containsNonDate="0" containsString="0" containsBlank="1"/>
    </cacheField>
    <cacheField name="Column15051" numFmtId="0">
      <sharedItems containsNonDate="0" containsString="0" containsBlank="1"/>
    </cacheField>
    <cacheField name="Column15052" numFmtId="0">
      <sharedItems containsNonDate="0" containsString="0" containsBlank="1"/>
    </cacheField>
    <cacheField name="Column15053" numFmtId="0">
      <sharedItems containsNonDate="0" containsString="0" containsBlank="1"/>
    </cacheField>
    <cacheField name="Column15054" numFmtId="0">
      <sharedItems containsNonDate="0" containsString="0" containsBlank="1"/>
    </cacheField>
    <cacheField name="Column15055" numFmtId="0">
      <sharedItems containsNonDate="0" containsString="0" containsBlank="1"/>
    </cacheField>
    <cacheField name="Column15056" numFmtId="0">
      <sharedItems containsNonDate="0" containsString="0" containsBlank="1"/>
    </cacheField>
    <cacheField name="Column15057" numFmtId="0">
      <sharedItems containsNonDate="0" containsString="0" containsBlank="1"/>
    </cacheField>
    <cacheField name="Column15058" numFmtId="0">
      <sharedItems containsNonDate="0" containsString="0" containsBlank="1"/>
    </cacheField>
    <cacheField name="Column15059" numFmtId="0">
      <sharedItems containsNonDate="0" containsString="0" containsBlank="1"/>
    </cacheField>
    <cacheField name="Column15060" numFmtId="0">
      <sharedItems containsNonDate="0" containsString="0" containsBlank="1"/>
    </cacheField>
    <cacheField name="Column15061" numFmtId="0">
      <sharedItems containsNonDate="0" containsString="0" containsBlank="1"/>
    </cacheField>
    <cacheField name="Column15062" numFmtId="0">
      <sharedItems containsNonDate="0" containsString="0" containsBlank="1"/>
    </cacheField>
    <cacheField name="Column15063" numFmtId="0">
      <sharedItems containsNonDate="0" containsString="0" containsBlank="1"/>
    </cacheField>
    <cacheField name="Column15064" numFmtId="0">
      <sharedItems containsNonDate="0" containsString="0" containsBlank="1"/>
    </cacheField>
    <cacheField name="Column15065" numFmtId="0">
      <sharedItems containsNonDate="0" containsString="0" containsBlank="1"/>
    </cacheField>
    <cacheField name="Column15066" numFmtId="0">
      <sharedItems containsNonDate="0" containsString="0" containsBlank="1"/>
    </cacheField>
    <cacheField name="Column15067" numFmtId="0">
      <sharedItems containsNonDate="0" containsString="0" containsBlank="1"/>
    </cacheField>
    <cacheField name="Column15068" numFmtId="0">
      <sharedItems containsNonDate="0" containsString="0" containsBlank="1"/>
    </cacheField>
    <cacheField name="Column15069" numFmtId="0">
      <sharedItems containsNonDate="0" containsString="0" containsBlank="1"/>
    </cacheField>
    <cacheField name="Column15070" numFmtId="0">
      <sharedItems containsNonDate="0" containsString="0" containsBlank="1"/>
    </cacheField>
    <cacheField name="Column15071" numFmtId="0">
      <sharedItems containsNonDate="0" containsString="0" containsBlank="1"/>
    </cacheField>
    <cacheField name="Column15072" numFmtId="0">
      <sharedItems containsNonDate="0" containsString="0" containsBlank="1"/>
    </cacheField>
    <cacheField name="Column15073" numFmtId="0">
      <sharedItems containsNonDate="0" containsString="0" containsBlank="1"/>
    </cacheField>
    <cacheField name="Column15074" numFmtId="0">
      <sharedItems containsNonDate="0" containsString="0" containsBlank="1"/>
    </cacheField>
    <cacheField name="Column15075" numFmtId="0">
      <sharedItems containsNonDate="0" containsString="0" containsBlank="1"/>
    </cacheField>
    <cacheField name="Column15076" numFmtId="0">
      <sharedItems containsNonDate="0" containsString="0" containsBlank="1"/>
    </cacheField>
    <cacheField name="Column15077" numFmtId="0">
      <sharedItems containsNonDate="0" containsString="0" containsBlank="1"/>
    </cacheField>
    <cacheField name="Column15078" numFmtId="0">
      <sharedItems containsNonDate="0" containsString="0" containsBlank="1"/>
    </cacheField>
    <cacheField name="Column15079" numFmtId="0">
      <sharedItems containsNonDate="0" containsString="0" containsBlank="1"/>
    </cacheField>
    <cacheField name="Column15080" numFmtId="0">
      <sharedItems containsNonDate="0" containsString="0" containsBlank="1"/>
    </cacheField>
    <cacheField name="Column15081" numFmtId="0">
      <sharedItems containsNonDate="0" containsString="0" containsBlank="1"/>
    </cacheField>
    <cacheField name="Column15082" numFmtId="0">
      <sharedItems containsNonDate="0" containsString="0" containsBlank="1"/>
    </cacheField>
    <cacheField name="Column15083" numFmtId="0">
      <sharedItems containsNonDate="0" containsString="0" containsBlank="1"/>
    </cacheField>
    <cacheField name="Column15084" numFmtId="0">
      <sharedItems containsNonDate="0" containsString="0" containsBlank="1"/>
    </cacheField>
    <cacheField name="Column15085" numFmtId="0">
      <sharedItems containsNonDate="0" containsString="0" containsBlank="1"/>
    </cacheField>
    <cacheField name="Column15086" numFmtId="0">
      <sharedItems containsNonDate="0" containsString="0" containsBlank="1"/>
    </cacheField>
    <cacheField name="Column15087" numFmtId="0">
      <sharedItems containsNonDate="0" containsString="0" containsBlank="1"/>
    </cacheField>
    <cacheField name="Column15088" numFmtId="0">
      <sharedItems containsNonDate="0" containsString="0" containsBlank="1"/>
    </cacheField>
    <cacheField name="Column15089" numFmtId="0">
      <sharedItems containsNonDate="0" containsString="0" containsBlank="1"/>
    </cacheField>
    <cacheField name="Column15090" numFmtId="0">
      <sharedItems containsNonDate="0" containsString="0" containsBlank="1"/>
    </cacheField>
    <cacheField name="Column15091" numFmtId="0">
      <sharedItems containsNonDate="0" containsString="0" containsBlank="1"/>
    </cacheField>
    <cacheField name="Column15092" numFmtId="0">
      <sharedItems containsNonDate="0" containsString="0" containsBlank="1"/>
    </cacheField>
    <cacheField name="Column15093" numFmtId="0">
      <sharedItems containsNonDate="0" containsString="0" containsBlank="1"/>
    </cacheField>
    <cacheField name="Column15094" numFmtId="0">
      <sharedItems containsNonDate="0" containsString="0" containsBlank="1"/>
    </cacheField>
    <cacheField name="Column15095" numFmtId="0">
      <sharedItems containsNonDate="0" containsString="0" containsBlank="1"/>
    </cacheField>
    <cacheField name="Column15096" numFmtId="0">
      <sharedItems containsNonDate="0" containsString="0" containsBlank="1"/>
    </cacheField>
    <cacheField name="Column15097" numFmtId="0">
      <sharedItems containsNonDate="0" containsString="0" containsBlank="1"/>
    </cacheField>
    <cacheField name="Column15098" numFmtId="0">
      <sharedItems containsNonDate="0" containsString="0" containsBlank="1"/>
    </cacheField>
    <cacheField name="Column15099" numFmtId="0">
      <sharedItems containsNonDate="0" containsString="0" containsBlank="1"/>
    </cacheField>
    <cacheField name="Column15100" numFmtId="0">
      <sharedItems containsNonDate="0" containsString="0" containsBlank="1"/>
    </cacheField>
    <cacheField name="Column15101" numFmtId="0">
      <sharedItems containsNonDate="0" containsString="0" containsBlank="1"/>
    </cacheField>
    <cacheField name="Column15102" numFmtId="0">
      <sharedItems containsNonDate="0" containsString="0" containsBlank="1"/>
    </cacheField>
    <cacheField name="Column15103" numFmtId="0">
      <sharedItems containsNonDate="0" containsString="0" containsBlank="1"/>
    </cacheField>
    <cacheField name="Column15104" numFmtId="0">
      <sharedItems containsNonDate="0" containsString="0" containsBlank="1"/>
    </cacheField>
    <cacheField name="Column15105" numFmtId="0">
      <sharedItems containsNonDate="0" containsString="0" containsBlank="1"/>
    </cacheField>
    <cacheField name="Column15106" numFmtId="0">
      <sharedItems containsNonDate="0" containsString="0" containsBlank="1"/>
    </cacheField>
    <cacheField name="Column15107" numFmtId="0">
      <sharedItems containsNonDate="0" containsString="0" containsBlank="1"/>
    </cacheField>
    <cacheField name="Column15108" numFmtId="0">
      <sharedItems containsNonDate="0" containsString="0" containsBlank="1"/>
    </cacheField>
    <cacheField name="Column15109" numFmtId="0">
      <sharedItems containsNonDate="0" containsString="0" containsBlank="1"/>
    </cacheField>
    <cacheField name="Column15110" numFmtId="0">
      <sharedItems containsNonDate="0" containsString="0" containsBlank="1"/>
    </cacheField>
    <cacheField name="Column15111" numFmtId="0">
      <sharedItems containsNonDate="0" containsString="0" containsBlank="1"/>
    </cacheField>
    <cacheField name="Column15112" numFmtId="0">
      <sharedItems containsNonDate="0" containsString="0" containsBlank="1"/>
    </cacheField>
    <cacheField name="Column15113" numFmtId="0">
      <sharedItems containsNonDate="0" containsString="0" containsBlank="1"/>
    </cacheField>
    <cacheField name="Column15114" numFmtId="0">
      <sharedItems containsNonDate="0" containsString="0" containsBlank="1"/>
    </cacheField>
    <cacheField name="Column15115" numFmtId="0">
      <sharedItems containsNonDate="0" containsString="0" containsBlank="1"/>
    </cacheField>
    <cacheField name="Column15116" numFmtId="0">
      <sharedItems containsNonDate="0" containsString="0" containsBlank="1"/>
    </cacheField>
    <cacheField name="Column15117" numFmtId="0">
      <sharedItems containsNonDate="0" containsString="0" containsBlank="1"/>
    </cacheField>
    <cacheField name="Column15118" numFmtId="0">
      <sharedItems containsNonDate="0" containsString="0" containsBlank="1"/>
    </cacheField>
    <cacheField name="Column15119" numFmtId="0">
      <sharedItems containsNonDate="0" containsString="0" containsBlank="1"/>
    </cacheField>
    <cacheField name="Column15120" numFmtId="0">
      <sharedItems containsNonDate="0" containsString="0" containsBlank="1"/>
    </cacheField>
    <cacheField name="Column15121" numFmtId="0">
      <sharedItems containsNonDate="0" containsString="0" containsBlank="1"/>
    </cacheField>
    <cacheField name="Column15122" numFmtId="0">
      <sharedItems containsNonDate="0" containsString="0" containsBlank="1"/>
    </cacheField>
    <cacheField name="Column15123" numFmtId="0">
      <sharedItems containsNonDate="0" containsString="0" containsBlank="1"/>
    </cacheField>
    <cacheField name="Column15124" numFmtId="0">
      <sharedItems containsNonDate="0" containsString="0" containsBlank="1"/>
    </cacheField>
    <cacheField name="Column15125" numFmtId="0">
      <sharedItems containsNonDate="0" containsString="0" containsBlank="1"/>
    </cacheField>
    <cacheField name="Column15126" numFmtId="0">
      <sharedItems containsNonDate="0" containsString="0" containsBlank="1"/>
    </cacheField>
    <cacheField name="Column15127" numFmtId="0">
      <sharedItems containsNonDate="0" containsString="0" containsBlank="1"/>
    </cacheField>
    <cacheField name="Column15128" numFmtId="0">
      <sharedItems containsNonDate="0" containsString="0" containsBlank="1"/>
    </cacheField>
    <cacheField name="Column15129" numFmtId="0">
      <sharedItems containsNonDate="0" containsString="0" containsBlank="1"/>
    </cacheField>
    <cacheField name="Column15130" numFmtId="0">
      <sharedItems containsNonDate="0" containsString="0" containsBlank="1"/>
    </cacheField>
    <cacheField name="Column15131" numFmtId="0">
      <sharedItems containsNonDate="0" containsString="0" containsBlank="1"/>
    </cacheField>
    <cacheField name="Column15132" numFmtId="0">
      <sharedItems containsNonDate="0" containsString="0" containsBlank="1"/>
    </cacheField>
    <cacheField name="Column15133" numFmtId="0">
      <sharedItems containsNonDate="0" containsString="0" containsBlank="1"/>
    </cacheField>
    <cacheField name="Column15134" numFmtId="0">
      <sharedItems containsNonDate="0" containsString="0" containsBlank="1"/>
    </cacheField>
    <cacheField name="Column15135" numFmtId="0">
      <sharedItems containsNonDate="0" containsString="0" containsBlank="1"/>
    </cacheField>
    <cacheField name="Column15136" numFmtId="0">
      <sharedItems containsNonDate="0" containsString="0" containsBlank="1"/>
    </cacheField>
    <cacheField name="Column15137" numFmtId="0">
      <sharedItems containsNonDate="0" containsString="0" containsBlank="1"/>
    </cacheField>
    <cacheField name="Column15138" numFmtId="0">
      <sharedItems containsNonDate="0" containsString="0" containsBlank="1"/>
    </cacheField>
    <cacheField name="Column15139" numFmtId="0">
      <sharedItems containsNonDate="0" containsString="0" containsBlank="1"/>
    </cacheField>
    <cacheField name="Column15140" numFmtId="0">
      <sharedItems containsNonDate="0" containsString="0" containsBlank="1"/>
    </cacheField>
    <cacheField name="Column15141" numFmtId="0">
      <sharedItems containsNonDate="0" containsString="0" containsBlank="1"/>
    </cacheField>
    <cacheField name="Column15142" numFmtId="0">
      <sharedItems containsNonDate="0" containsString="0" containsBlank="1"/>
    </cacheField>
    <cacheField name="Column15143" numFmtId="0">
      <sharedItems containsNonDate="0" containsString="0" containsBlank="1"/>
    </cacheField>
    <cacheField name="Column15144" numFmtId="0">
      <sharedItems containsNonDate="0" containsString="0" containsBlank="1"/>
    </cacheField>
    <cacheField name="Column15145" numFmtId="0">
      <sharedItems containsNonDate="0" containsString="0" containsBlank="1"/>
    </cacheField>
    <cacheField name="Column15146" numFmtId="0">
      <sharedItems containsNonDate="0" containsString="0" containsBlank="1"/>
    </cacheField>
    <cacheField name="Column15147" numFmtId="0">
      <sharedItems containsNonDate="0" containsString="0" containsBlank="1"/>
    </cacheField>
    <cacheField name="Column15148" numFmtId="0">
      <sharedItems containsNonDate="0" containsString="0" containsBlank="1"/>
    </cacheField>
    <cacheField name="Column15149" numFmtId="0">
      <sharedItems containsNonDate="0" containsString="0" containsBlank="1"/>
    </cacheField>
    <cacheField name="Column15150" numFmtId="0">
      <sharedItems containsNonDate="0" containsString="0" containsBlank="1"/>
    </cacheField>
    <cacheField name="Column15151" numFmtId="0">
      <sharedItems containsNonDate="0" containsString="0" containsBlank="1"/>
    </cacheField>
    <cacheField name="Column15152" numFmtId="0">
      <sharedItems containsNonDate="0" containsString="0" containsBlank="1"/>
    </cacheField>
    <cacheField name="Column15153" numFmtId="0">
      <sharedItems containsNonDate="0" containsString="0" containsBlank="1"/>
    </cacheField>
    <cacheField name="Column15154" numFmtId="0">
      <sharedItems containsNonDate="0" containsString="0" containsBlank="1"/>
    </cacheField>
    <cacheField name="Column15155" numFmtId="0">
      <sharedItems containsNonDate="0" containsString="0" containsBlank="1"/>
    </cacheField>
    <cacheField name="Column15156" numFmtId="0">
      <sharedItems containsNonDate="0" containsString="0" containsBlank="1"/>
    </cacheField>
    <cacheField name="Column15157" numFmtId="0">
      <sharedItems containsNonDate="0" containsString="0" containsBlank="1"/>
    </cacheField>
    <cacheField name="Column15158" numFmtId="0">
      <sharedItems containsNonDate="0" containsString="0" containsBlank="1"/>
    </cacheField>
    <cacheField name="Column15159" numFmtId="0">
      <sharedItems containsNonDate="0" containsString="0" containsBlank="1"/>
    </cacheField>
    <cacheField name="Column15160" numFmtId="0">
      <sharedItems containsNonDate="0" containsString="0" containsBlank="1"/>
    </cacheField>
    <cacheField name="Column15161" numFmtId="0">
      <sharedItems containsNonDate="0" containsString="0" containsBlank="1"/>
    </cacheField>
    <cacheField name="Column15162" numFmtId="0">
      <sharedItems containsNonDate="0" containsString="0" containsBlank="1"/>
    </cacheField>
    <cacheField name="Column15163" numFmtId="0">
      <sharedItems containsNonDate="0" containsString="0" containsBlank="1"/>
    </cacheField>
    <cacheField name="Column15164" numFmtId="0">
      <sharedItems containsNonDate="0" containsString="0" containsBlank="1"/>
    </cacheField>
    <cacheField name="Column15165" numFmtId="0">
      <sharedItems containsNonDate="0" containsString="0" containsBlank="1"/>
    </cacheField>
    <cacheField name="Column15166" numFmtId="0">
      <sharedItems containsNonDate="0" containsString="0" containsBlank="1"/>
    </cacheField>
    <cacheField name="Column15167" numFmtId="0">
      <sharedItems containsNonDate="0" containsString="0" containsBlank="1"/>
    </cacheField>
    <cacheField name="Column15168" numFmtId="0">
      <sharedItems containsNonDate="0" containsString="0" containsBlank="1"/>
    </cacheField>
    <cacheField name="Column15169" numFmtId="0">
      <sharedItems containsNonDate="0" containsString="0" containsBlank="1"/>
    </cacheField>
    <cacheField name="Column15170" numFmtId="0">
      <sharedItems containsNonDate="0" containsString="0" containsBlank="1"/>
    </cacheField>
    <cacheField name="Column15171" numFmtId="0">
      <sharedItems containsNonDate="0" containsString="0" containsBlank="1"/>
    </cacheField>
    <cacheField name="Column15172" numFmtId="0">
      <sharedItems containsNonDate="0" containsString="0" containsBlank="1"/>
    </cacheField>
    <cacheField name="Column15173" numFmtId="0">
      <sharedItems containsNonDate="0" containsString="0" containsBlank="1"/>
    </cacheField>
    <cacheField name="Column15174" numFmtId="0">
      <sharedItems containsNonDate="0" containsString="0" containsBlank="1"/>
    </cacheField>
    <cacheField name="Column15175" numFmtId="0">
      <sharedItems containsNonDate="0" containsString="0" containsBlank="1"/>
    </cacheField>
    <cacheField name="Column15176" numFmtId="0">
      <sharedItems containsNonDate="0" containsString="0" containsBlank="1"/>
    </cacheField>
    <cacheField name="Column15177" numFmtId="0">
      <sharedItems containsNonDate="0" containsString="0" containsBlank="1"/>
    </cacheField>
    <cacheField name="Column15178" numFmtId="0">
      <sharedItems containsNonDate="0" containsString="0" containsBlank="1"/>
    </cacheField>
    <cacheField name="Column15179" numFmtId="0">
      <sharedItems containsNonDate="0" containsString="0" containsBlank="1"/>
    </cacheField>
    <cacheField name="Column15180" numFmtId="0">
      <sharedItems containsNonDate="0" containsString="0" containsBlank="1"/>
    </cacheField>
    <cacheField name="Column15181" numFmtId="0">
      <sharedItems containsNonDate="0" containsString="0" containsBlank="1"/>
    </cacheField>
    <cacheField name="Column15182" numFmtId="0">
      <sharedItems containsNonDate="0" containsString="0" containsBlank="1"/>
    </cacheField>
    <cacheField name="Column15183" numFmtId="0">
      <sharedItems containsNonDate="0" containsString="0" containsBlank="1"/>
    </cacheField>
    <cacheField name="Column15184" numFmtId="0">
      <sharedItems containsNonDate="0" containsString="0" containsBlank="1"/>
    </cacheField>
    <cacheField name="Column15185" numFmtId="0">
      <sharedItems containsNonDate="0" containsString="0" containsBlank="1"/>
    </cacheField>
    <cacheField name="Column15186" numFmtId="0">
      <sharedItems containsNonDate="0" containsString="0" containsBlank="1"/>
    </cacheField>
    <cacheField name="Column15187" numFmtId="0">
      <sharedItems containsNonDate="0" containsString="0" containsBlank="1"/>
    </cacheField>
    <cacheField name="Column15188" numFmtId="0">
      <sharedItems containsNonDate="0" containsString="0" containsBlank="1"/>
    </cacheField>
    <cacheField name="Column15189" numFmtId="0">
      <sharedItems containsNonDate="0" containsString="0" containsBlank="1"/>
    </cacheField>
    <cacheField name="Column15190" numFmtId="0">
      <sharedItems containsNonDate="0" containsString="0" containsBlank="1"/>
    </cacheField>
    <cacheField name="Column15191" numFmtId="0">
      <sharedItems containsNonDate="0" containsString="0" containsBlank="1"/>
    </cacheField>
    <cacheField name="Column15192" numFmtId="0">
      <sharedItems containsNonDate="0" containsString="0" containsBlank="1"/>
    </cacheField>
    <cacheField name="Column15193" numFmtId="0">
      <sharedItems containsNonDate="0" containsString="0" containsBlank="1"/>
    </cacheField>
    <cacheField name="Column15194" numFmtId="0">
      <sharedItems containsNonDate="0" containsString="0" containsBlank="1"/>
    </cacheField>
    <cacheField name="Column15195" numFmtId="0">
      <sharedItems containsNonDate="0" containsString="0" containsBlank="1"/>
    </cacheField>
    <cacheField name="Column15196" numFmtId="0">
      <sharedItems containsNonDate="0" containsString="0" containsBlank="1"/>
    </cacheField>
    <cacheField name="Column15197" numFmtId="0">
      <sharedItems containsNonDate="0" containsString="0" containsBlank="1"/>
    </cacheField>
    <cacheField name="Column15198" numFmtId="0">
      <sharedItems containsNonDate="0" containsString="0" containsBlank="1"/>
    </cacheField>
    <cacheField name="Column15199" numFmtId="0">
      <sharedItems containsNonDate="0" containsString="0" containsBlank="1"/>
    </cacheField>
    <cacheField name="Column15200" numFmtId="0">
      <sharedItems containsNonDate="0" containsString="0" containsBlank="1"/>
    </cacheField>
    <cacheField name="Column15201" numFmtId="0">
      <sharedItems containsNonDate="0" containsString="0" containsBlank="1"/>
    </cacheField>
    <cacheField name="Column15202" numFmtId="0">
      <sharedItems containsNonDate="0" containsString="0" containsBlank="1"/>
    </cacheField>
    <cacheField name="Column15203" numFmtId="0">
      <sharedItems containsNonDate="0" containsString="0" containsBlank="1"/>
    </cacheField>
    <cacheField name="Column15204" numFmtId="0">
      <sharedItems containsNonDate="0" containsString="0" containsBlank="1"/>
    </cacheField>
    <cacheField name="Column15205" numFmtId="0">
      <sharedItems containsNonDate="0" containsString="0" containsBlank="1"/>
    </cacheField>
    <cacheField name="Column15206" numFmtId="0">
      <sharedItems containsNonDate="0" containsString="0" containsBlank="1"/>
    </cacheField>
    <cacheField name="Column15207" numFmtId="0">
      <sharedItems containsNonDate="0" containsString="0" containsBlank="1"/>
    </cacheField>
    <cacheField name="Column15208" numFmtId="0">
      <sharedItems containsNonDate="0" containsString="0" containsBlank="1"/>
    </cacheField>
    <cacheField name="Column15209" numFmtId="0">
      <sharedItems containsNonDate="0" containsString="0" containsBlank="1"/>
    </cacheField>
    <cacheField name="Column15210" numFmtId="0">
      <sharedItems containsNonDate="0" containsString="0" containsBlank="1"/>
    </cacheField>
    <cacheField name="Column15211" numFmtId="0">
      <sharedItems containsNonDate="0" containsString="0" containsBlank="1"/>
    </cacheField>
    <cacheField name="Column15212" numFmtId="0">
      <sharedItems containsNonDate="0" containsString="0" containsBlank="1"/>
    </cacheField>
    <cacheField name="Column15213" numFmtId="0">
      <sharedItems containsNonDate="0" containsString="0" containsBlank="1"/>
    </cacheField>
    <cacheField name="Column15214" numFmtId="0">
      <sharedItems containsNonDate="0" containsString="0" containsBlank="1"/>
    </cacheField>
    <cacheField name="Column15215" numFmtId="0">
      <sharedItems containsNonDate="0" containsString="0" containsBlank="1"/>
    </cacheField>
    <cacheField name="Column15216" numFmtId="0">
      <sharedItems containsNonDate="0" containsString="0" containsBlank="1"/>
    </cacheField>
    <cacheField name="Column15217" numFmtId="0">
      <sharedItems containsNonDate="0" containsString="0" containsBlank="1"/>
    </cacheField>
    <cacheField name="Column15218" numFmtId="0">
      <sharedItems containsNonDate="0" containsString="0" containsBlank="1"/>
    </cacheField>
    <cacheField name="Column15219" numFmtId="0">
      <sharedItems containsNonDate="0" containsString="0" containsBlank="1"/>
    </cacheField>
    <cacheField name="Column15220" numFmtId="0">
      <sharedItems containsNonDate="0" containsString="0" containsBlank="1"/>
    </cacheField>
    <cacheField name="Column15221" numFmtId="0">
      <sharedItems containsNonDate="0" containsString="0" containsBlank="1"/>
    </cacheField>
    <cacheField name="Column15222" numFmtId="0">
      <sharedItems containsNonDate="0" containsString="0" containsBlank="1"/>
    </cacheField>
    <cacheField name="Column15223" numFmtId="0">
      <sharedItems containsNonDate="0" containsString="0" containsBlank="1"/>
    </cacheField>
    <cacheField name="Column15224" numFmtId="0">
      <sharedItems containsNonDate="0" containsString="0" containsBlank="1"/>
    </cacheField>
    <cacheField name="Column15225" numFmtId="0">
      <sharedItems containsNonDate="0" containsString="0" containsBlank="1"/>
    </cacheField>
    <cacheField name="Column15226" numFmtId="0">
      <sharedItems containsNonDate="0" containsString="0" containsBlank="1"/>
    </cacheField>
    <cacheField name="Column15227" numFmtId="0">
      <sharedItems containsNonDate="0" containsString="0" containsBlank="1"/>
    </cacheField>
    <cacheField name="Column15228" numFmtId="0">
      <sharedItems containsNonDate="0" containsString="0" containsBlank="1"/>
    </cacheField>
    <cacheField name="Column15229" numFmtId="0">
      <sharedItems containsNonDate="0" containsString="0" containsBlank="1"/>
    </cacheField>
    <cacheField name="Column15230" numFmtId="0">
      <sharedItems containsNonDate="0" containsString="0" containsBlank="1"/>
    </cacheField>
    <cacheField name="Column15231" numFmtId="0">
      <sharedItems containsNonDate="0" containsString="0" containsBlank="1"/>
    </cacheField>
    <cacheField name="Column15232" numFmtId="0">
      <sharedItems containsNonDate="0" containsString="0" containsBlank="1"/>
    </cacheField>
    <cacheField name="Column15233" numFmtId="0">
      <sharedItems containsNonDate="0" containsString="0" containsBlank="1"/>
    </cacheField>
    <cacheField name="Column15234" numFmtId="0">
      <sharedItems containsNonDate="0" containsString="0" containsBlank="1"/>
    </cacheField>
    <cacheField name="Column15235" numFmtId="0">
      <sharedItems containsNonDate="0" containsString="0" containsBlank="1"/>
    </cacheField>
    <cacheField name="Column15236" numFmtId="0">
      <sharedItems containsNonDate="0" containsString="0" containsBlank="1"/>
    </cacheField>
    <cacheField name="Column15237" numFmtId="0">
      <sharedItems containsNonDate="0" containsString="0" containsBlank="1"/>
    </cacheField>
    <cacheField name="Column15238" numFmtId="0">
      <sharedItems containsNonDate="0" containsString="0" containsBlank="1"/>
    </cacheField>
    <cacheField name="Column15239" numFmtId="0">
      <sharedItems containsNonDate="0" containsString="0" containsBlank="1"/>
    </cacheField>
    <cacheField name="Column15240" numFmtId="0">
      <sharedItems containsNonDate="0" containsString="0" containsBlank="1"/>
    </cacheField>
    <cacheField name="Column15241" numFmtId="0">
      <sharedItems containsNonDate="0" containsString="0" containsBlank="1"/>
    </cacheField>
    <cacheField name="Column15242" numFmtId="0">
      <sharedItems containsNonDate="0" containsString="0" containsBlank="1"/>
    </cacheField>
    <cacheField name="Column15243" numFmtId="0">
      <sharedItems containsNonDate="0" containsString="0" containsBlank="1"/>
    </cacheField>
    <cacheField name="Column15244" numFmtId="0">
      <sharedItems containsNonDate="0" containsString="0" containsBlank="1"/>
    </cacheField>
    <cacheField name="Column15245" numFmtId="0">
      <sharedItems containsNonDate="0" containsString="0" containsBlank="1"/>
    </cacheField>
    <cacheField name="Column15246" numFmtId="0">
      <sharedItems containsNonDate="0" containsString="0" containsBlank="1"/>
    </cacheField>
    <cacheField name="Column15247" numFmtId="0">
      <sharedItems containsNonDate="0" containsString="0" containsBlank="1"/>
    </cacheField>
    <cacheField name="Column15248" numFmtId="0">
      <sharedItems containsNonDate="0" containsString="0" containsBlank="1"/>
    </cacheField>
    <cacheField name="Column15249" numFmtId="0">
      <sharedItems containsNonDate="0" containsString="0" containsBlank="1"/>
    </cacheField>
    <cacheField name="Column15250" numFmtId="0">
      <sharedItems containsNonDate="0" containsString="0" containsBlank="1"/>
    </cacheField>
    <cacheField name="Column15251" numFmtId="0">
      <sharedItems containsNonDate="0" containsString="0" containsBlank="1"/>
    </cacheField>
    <cacheField name="Column15252" numFmtId="0">
      <sharedItems containsNonDate="0" containsString="0" containsBlank="1"/>
    </cacheField>
    <cacheField name="Column15253" numFmtId="0">
      <sharedItems containsNonDate="0" containsString="0" containsBlank="1"/>
    </cacheField>
    <cacheField name="Column15254" numFmtId="0">
      <sharedItems containsNonDate="0" containsString="0" containsBlank="1"/>
    </cacheField>
    <cacheField name="Column15255" numFmtId="0">
      <sharedItems containsNonDate="0" containsString="0" containsBlank="1"/>
    </cacheField>
    <cacheField name="Column15256" numFmtId="0">
      <sharedItems containsNonDate="0" containsString="0" containsBlank="1"/>
    </cacheField>
    <cacheField name="Column15257" numFmtId="0">
      <sharedItems containsNonDate="0" containsString="0" containsBlank="1"/>
    </cacheField>
    <cacheField name="Column15258" numFmtId="0">
      <sharedItems containsNonDate="0" containsString="0" containsBlank="1"/>
    </cacheField>
    <cacheField name="Column15259" numFmtId="0">
      <sharedItems containsNonDate="0" containsString="0" containsBlank="1"/>
    </cacheField>
    <cacheField name="Column15260" numFmtId="0">
      <sharedItems containsNonDate="0" containsString="0" containsBlank="1"/>
    </cacheField>
    <cacheField name="Column15261" numFmtId="0">
      <sharedItems containsNonDate="0" containsString="0" containsBlank="1"/>
    </cacheField>
    <cacheField name="Column15262" numFmtId="0">
      <sharedItems containsNonDate="0" containsString="0" containsBlank="1"/>
    </cacheField>
    <cacheField name="Column15263" numFmtId="0">
      <sharedItems containsNonDate="0" containsString="0" containsBlank="1"/>
    </cacheField>
    <cacheField name="Column15264" numFmtId="0">
      <sharedItems containsNonDate="0" containsString="0" containsBlank="1"/>
    </cacheField>
    <cacheField name="Column15265" numFmtId="0">
      <sharedItems containsNonDate="0" containsString="0" containsBlank="1"/>
    </cacheField>
    <cacheField name="Column15266" numFmtId="0">
      <sharedItems containsNonDate="0" containsString="0" containsBlank="1"/>
    </cacheField>
    <cacheField name="Column15267" numFmtId="0">
      <sharedItems containsNonDate="0" containsString="0" containsBlank="1"/>
    </cacheField>
    <cacheField name="Column15268" numFmtId="0">
      <sharedItems containsNonDate="0" containsString="0" containsBlank="1"/>
    </cacheField>
    <cacheField name="Column15269" numFmtId="0">
      <sharedItems containsNonDate="0" containsString="0" containsBlank="1"/>
    </cacheField>
    <cacheField name="Column15270" numFmtId="0">
      <sharedItems containsNonDate="0" containsString="0" containsBlank="1"/>
    </cacheField>
    <cacheField name="Column15271" numFmtId="0">
      <sharedItems containsNonDate="0" containsString="0" containsBlank="1"/>
    </cacheField>
    <cacheField name="Column15272" numFmtId="0">
      <sharedItems containsNonDate="0" containsString="0" containsBlank="1"/>
    </cacheField>
    <cacheField name="Column15273" numFmtId="0">
      <sharedItems containsNonDate="0" containsString="0" containsBlank="1"/>
    </cacheField>
    <cacheField name="Column15274" numFmtId="0">
      <sharedItems containsNonDate="0" containsString="0" containsBlank="1"/>
    </cacheField>
    <cacheField name="Column15275" numFmtId="0">
      <sharedItems containsNonDate="0" containsString="0" containsBlank="1"/>
    </cacheField>
    <cacheField name="Column15276" numFmtId="0">
      <sharedItems containsNonDate="0" containsString="0" containsBlank="1"/>
    </cacheField>
    <cacheField name="Column15277" numFmtId="0">
      <sharedItems containsNonDate="0" containsString="0" containsBlank="1"/>
    </cacheField>
    <cacheField name="Column15278" numFmtId="0">
      <sharedItems containsNonDate="0" containsString="0" containsBlank="1"/>
    </cacheField>
    <cacheField name="Column15279" numFmtId="0">
      <sharedItems containsNonDate="0" containsString="0" containsBlank="1"/>
    </cacheField>
    <cacheField name="Column15280" numFmtId="0">
      <sharedItems containsNonDate="0" containsString="0" containsBlank="1"/>
    </cacheField>
    <cacheField name="Column15281" numFmtId="0">
      <sharedItems containsNonDate="0" containsString="0" containsBlank="1"/>
    </cacheField>
    <cacheField name="Column15282" numFmtId="0">
      <sharedItems containsNonDate="0" containsString="0" containsBlank="1"/>
    </cacheField>
    <cacheField name="Column15283" numFmtId="0">
      <sharedItems containsNonDate="0" containsString="0" containsBlank="1"/>
    </cacheField>
    <cacheField name="Column15284" numFmtId="0">
      <sharedItems containsNonDate="0" containsString="0" containsBlank="1"/>
    </cacheField>
    <cacheField name="Column15285" numFmtId="0">
      <sharedItems containsNonDate="0" containsString="0" containsBlank="1"/>
    </cacheField>
    <cacheField name="Column15286" numFmtId="0">
      <sharedItems containsNonDate="0" containsString="0" containsBlank="1"/>
    </cacheField>
    <cacheField name="Column15287" numFmtId="0">
      <sharedItems containsNonDate="0" containsString="0" containsBlank="1"/>
    </cacheField>
    <cacheField name="Column15288" numFmtId="0">
      <sharedItems containsNonDate="0" containsString="0" containsBlank="1"/>
    </cacheField>
    <cacheField name="Column15289" numFmtId="0">
      <sharedItems containsNonDate="0" containsString="0" containsBlank="1"/>
    </cacheField>
    <cacheField name="Column15290" numFmtId="0">
      <sharedItems containsNonDate="0" containsString="0" containsBlank="1"/>
    </cacheField>
    <cacheField name="Column15291" numFmtId="0">
      <sharedItems containsNonDate="0" containsString="0" containsBlank="1"/>
    </cacheField>
    <cacheField name="Column15292" numFmtId="0">
      <sharedItems containsNonDate="0" containsString="0" containsBlank="1"/>
    </cacheField>
    <cacheField name="Column15293" numFmtId="0">
      <sharedItems containsNonDate="0" containsString="0" containsBlank="1"/>
    </cacheField>
    <cacheField name="Column15294" numFmtId="0">
      <sharedItems containsNonDate="0" containsString="0" containsBlank="1"/>
    </cacheField>
    <cacheField name="Column15295" numFmtId="0">
      <sharedItems containsNonDate="0" containsString="0" containsBlank="1"/>
    </cacheField>
    <cacheField name="Column15296" numFmtId="0">
      <sharedItems containsNonDate="0" containsString="0" containsBlank="1"/>
    </cacheField>
    <cacheField name="Column15297" numFmtId="0">
      <sharedItems containsNonDate="0" containsString="0" containsBlank="1"/>
    </cacheField>
    <cacheField name="Column15298" numFmtId="0">
      <sharedItems containsNonDate="0" containsString="0" containsBlank="1"/>
    </cacheField>
    <cacheField name="Column15299" numFmtId="0">
      <sharedItems containsNonDate="0" containsString="0" containsBlank="1"/>
    </cacheField>
    <cacheField name="Column15300" numFmtId="0">
      <sharedItems containsNonDate="0" containsString="0" containsBlank="1"/>
    </cacheField>
    <cacheField name="Column15301" numFmtId="0">
      <sharedItems containsNonDate="0" containsString="0" containsBlank="1"/>
    </cacheField>
    <cacheField name="Column15302" numFmtId="0">
      <sharedItems containsNonDate="0" containsString="0" containsBlank="1"/>
    </cacheField>
    <cacheField name="Column15303" numFmtId="0">
      <sharedItems containsNonDate="0" containsString="0" containsBlank="1"/>
    </cacheField>
    <cacheField name="Column15304" numFmtId="0">
      <sharedItems containsNonDate="0" containsString="0" containsBlank="1"/>
    </cacheField>
    <cacheField name="Column15305" numFmtId="0">
      <sharedItems containsNonDate="0" containsString="0" containsBlank="1"/>
    </cacheField>
    <cacheField name="Column15306" numFmtId="0">
      <sharedItems containsNonDate="0" containsString="0" containsBlank="1"/>
    </cacheField>
    <cacheField name="Column15307" numFmtId="0">
      <sharedItems containsNonDate="0" containsString="0" containsBlank="1"/>
    </cacheField>
    <cacheField name="Column15308" numFmtId="0">
      <sharedItems containsNonDate="0" containsString="0" containsBlank="1"/>
    </cacheField>
    <cacheField name="Column15309" numFmtId="0">
      <sharedItems containsNonDate="0" containsString="0" containsBlank="1"/>
    </cacheField>
    <cacheField name="Column15310" numFmtId="0">
      <sharedItems containsNonDate="0" containsString="0" containsBlank="1"/>
    </cacheField>
    <cacheField name="Column15311" numFmtId="0">
      <sharedItems containsNonDate="0" containsString="0" containsBlank="1"/>
    </cacheField>
    <cacheField name="Column15312" numFmtId="0">
      <sharedItems containsNonDate="0" containsString="0" containsBlank="1"/>
    </cacheField>
    <cacheField name="Column15313" numFmtId="0">
      <sharedItems containsNonDate="0" containsString="0" containsBlank="1"/>
    </cacheField>
    <cacheField name="Column15314" numFmtId="0">
      <sharedItems containsNonDate="0" containsString="0" containsBlank="1"/>
    </cacheField>
    <cacheField name="Column15315" numFmtId="0">
      <sharedItems containsNonDate="0" containsString="0" containsBlank="1"/>
    </cacheField>
    <cacheField name="Column15316" numFmtId="0">
      <sharedItems containsNonDate="0" containsString="0" containsBlank="1"/>
    </cacheField>
    <cacheField name="Column15317" numFmtId="0">
      <sharedItems containsNonDate="0" containsString="0" containsBlank="1"/>
    </cacheField>
    <cacheField name="Column15318" numFmtId="0">
      <sharedItems containsNonDate="0" containsString="0" containsBlank="1"/>
    </cacheField>
    <cacheField name="Column15319" numFmtId="0">
      <sharedItems containsNonDate="0" containsString="0" containsBlank="1"/>
    </cacheField>
    <cacheField name="Column15320" numFmtId="0">
      <sharedItems containsNonDate="0" containsString="0" containsBlank="1"/>
    </cacheField>
    <cacheField name="Column15321" numFmtId="0">
      <sharedItems containsNonDate="0" containsString="0" containsBlank="1"/>
    </cacheField>
    <cacheField name="Column15322" numFmtId="0">
      <sharedItems containsNonDate="0" containsString="0" containsBlank="1"/>
    </cacheField>
    <cacheField name="Column15323" numFmtId="0">
      <sharedItems containsNonDate="0" containsString="0" containsBlank="1"/>
    </cacheField>
    <cacheField name="Column15324" numFmtId="0">
      <sharedItems containsNonDate="0" containsString="0" containsBlank="1"/>
    </cacheField>
    <cacheField name="Column15325" numFmtId="0">
      <sharedItems containsNonDate="0" containsString="0" containsBlank="1"/>
    </cacheField>
    <cacheField name="Column15326" numFmtId="0">
      <sharedItems containsNonDate="0" containsString="0" containsBlank="1"/>
    </cacheField>
    <cacheField name="Column15327" numFmtId="0">
      <sharedItems containsNonDate="0" containsString="0" containsBlank="1"/>
    </cacheField>
    <cacheField name="Column15328" numFmtId="0">
      <sharedItems containsNonDate="0" containsString="0" containsBlank="1"/>
    </cacheField>
    <cacheField name="Column15329" numFmtId="0">
      <sharedItems containsNonDate="0" containsString="0" containsBlank="1"/>
    </cacheField>
    <cacheField name="Column15330" numFmtId="0">
      <sharedItems containsNonDate="0" containsString="0" containsBlank="1"/>
    </cacheField>
    <cacheField name="Column15331" numFmtId="0">
      <sharedItems containsNonDate="0" containsString="0" containsBlank="1"/>
    </cacheField>
    <cacheField name="Column15332" numFmtId="0">
      <sharedItems containsNonDate="0" containsString="0" containsBlank="1"/>
    </cacheField>
    <cacheField name="Column15333" numFmtId="0">
      <sharedItems containsNonDate="0" containsString="0" containsBlank="1"/>
    </cacheField>
    <cacheField name="Column15334" numFmtId="0">
      <sharedItems containsNonDate="0" containsString="0" containsBlank="1"/>
    </cacheField>
    <cacheField name="Column15335" numFmtId="0">
      <sharedItems containsNonDate="0" containsString="0" containsBlank="1"/>
    </cacheField>
    <cacheField name="Column15336" numFmtId="0">
      <sharedItems containsNonDate="0" containsString="0" containsBlank="1"/>
    </cacheField>
    <cacheField name="Column15337" numFmtId="0">
      <sharedItems containsNonDate="0" containsString="0" containsBlank="1"/>
    </cacheField>
    <cacheField name="Column15338" numFmtId="0">
      <sharedItems containsNonDate="0" containsString="0" containsBlank="1"/>
    </cacheField>
    <cacheField name="Column15339" numFmtId="0">
      <sharedItems containsNonDate="0" containsString="0" containsBlank="1"/>
    </cacheField>
    <cacheField name="Column15340" numFmtId="0">
      <sharedItems containsNonDate="0" containsString="0" containsBlank="1"/>
    </cacheField>
    <cacheField name="Column15341" numFmtId="0">
      <sharedItems containsNonDate="0" containsString="0" containsBlank="1"/>
    </cacheField>
    <cacheField name="Column15342" numFmtId="0">
      <sharedItems containsNonDate="0" containsString="0" containsBlank="1"/>
    </cacheField>
    <cacheField name="Column15343" numFmtId="0">
      <sharedItems containsNonDate="0" containsString="0" containsBlank="1"/>
    </cacheField>
    <cacheField name="Column15344" numFmtId="0">
      <sharedItems containsNonDate="0" containsString="0" containsBlank="1"/>
    </cacheField>
    <cacheField name="Column15345" numFmtId="0">
      <sharedItems containsNonDate="0" containsString="0" containsBlank="1"/>
    </cacheField>
    <cacheField name="Column15346" numFmtId="0">
      <sharedItems containsNonDate="0" containsString="0" containsBlank="1"/>
    </cacheField>
    <cacheField name="Column15347" numFmtId="0">
      <sharedItems containsNonDate="0" containsString="0" containsBlank="1"/>
    </cacheField>
    <cacheField name="Column15348" numFmtId="0">
      <sharedItems containsNonDate="0" containsString="0" containsBlank="1"/>
    </cacheField>
    <cacheField name="Column15349" numFmtId="0">
      <sharedItems containsNonDate="0" containsString="0" containsBlank="1"/>
    </cacheField>
    <cacheField name="Column15350" numFmtId="0">
      <sharedItems containsNonDate="0" containsString="0" containsBlank="1"/>
    </cacheField>
    <cacheField name="Column15351" numFmtId="0">
      <sharedItems containsNonDate="0" containsString="0" containsBlank="1"/>
    </cacheField>
    <cacheField name="Column15352" numFmtId="0">
      <sharedItems containsNonDate="0" containsString="0" containsBlank="1"/>
    </cacheField>
    <cacheField name="Column15353" numFmtId="0">
      <sharedItems containsNonDate="0" containsString="0" containsBlank="1"/>
    </cacheField>
    <cacheField name="Column15354" numFmtId="0">
      <sharedItems containsNonDate="0" containsString="0" containsBlank="1"/>
    </cacheField>
    <cacheField name="Column15355" numFmtId="0">
      <sharedItems containsNonDate="0" containsString="0" containsBlank="1"/>
    </cacheField>
    <cacheField name="Column15356" numFmtId="0">
      <sharedItems containsNonDate="0" containsString="0" containsBlank="1"/>
    </cacheField>
    <cacheField name="Column15357" numFmtId="0">
      <sharedItems containsNonDate="0" containsString="0" containsBlank="1"/>
    </cacheField>
    <cacheField name="Column15358" numFmtId="0">
      <sharedItems containsNonDate="0" containsString="0" containsBlank="1"/>
    </cacheField>
    <cacheField name="Column15359" numFmtId="0">
      <sharedItems containsNonDate="0" containsString="0" containsBlank="1"/>
    </cacheField>
    <cacheField name="Column15360" numFmtId="0">
      <sharedItems containsNonDate="0" containsString="0" containsBlank="1"/>
    </cacheField>
    <cacheField name="Column15361" numFmtId="0">
      <sharedItems containsNonDate="0" containsString="0" containsBlank="1"/>
    </cacheField>
    <cacheField name="Column15362" numFmtId="0">
      <sharedItems containsNonDate="0" containsString="0" containsBlank="1"/>
    </cacheField>
    <cacheField name="Column15363" numFmtId="0">
      <sharedItems containsNonDate="0" containsString="0" containsBlank="1"/>
    </cacheField>
    <cacheField name="Column15364" numFmtId="0">
      <sharedItems containsNonDate="0" containsString="0" containsBlank="1"/>
    </cacheField>
    <cacheField name="Column15365" numFmtId="0">
      <sharedItems containsNonDate="0" containsString="0" containsBlank="1"/>
    </cacheField>
    <cacheField name="Column15366" numFmtId="0">
      <sharedItems containsNonDate="0" containsString="0" containsBlank="1"/>
    </cacheField>
    <cacheField name="Column15367" numFmtId="0">
      <sharedItems containsNonDate="0" containsString="0" containsBlank="1"/>
    </cacheField>
    <cacheField name="Column15368" numFmtId="0">
      <sharedItems containsNonDate="0" containsString="0" containsBlank="1"/>
    </cacheField>
    <cacheField name="Column15369" numFmtId="0">
      <sharedItems containsNonDate="0" containsString="0" containsBlank="1"/>
    </cacheField>
    <cacheField name="Column15370" numFmtId="0">
      <sharedItems containsNonDate="0" containsString="0" containsBlank="1"/>
    </cacheField>
    <cacheField name="Column15371" numFmtId="0">
      <sharedItems containsNonDate="0" containsString="0" containsBlank="1"/>
    </cacheField>
    <cacheField name="Column15372" numFmtId="0">
      <sharedItems containsNonDate="0" containsString="0" containsBlank="1"/>
    </cacheField>
    <cacheField name="Column15373" numFmtId="0">
      <sharedItems containsNonDate="0" containsString="0" containsBlank="1"/>
    </cacheField>
    <cacheField name="Column15374" numFmtId="0">
      <sharedItems containsNonDate="0" containsString="0" containsBlank="1"/>
    </cacheField>
    <cacheField name="Column15375" numFmtId="0">
      <sharedItems containsNonDate="0" containsString="0" containsBlank="1"/>
    </cacheField>
    <cacheField name="Column15376" numFmtId="0">
      <sharedItems containsNonDate="0" containsString="0" containsBlank="1"/>
    </cacheField>
    <cacheField name="Column15377" numFmtId="0">
      <sharedItems containsNonDate="0" containsString="0" containsBlank="1"/>
    </cacheField>
    <cacheField name="Column15378" numFmtId="0">
      <sharedItems containsNonDate="0" containsString="0" containsBlank="1"/>
    </cacheField>
    <cacheField name="Column15379" numFmtId="0">
      <sharedItems containsNonDate="0" containsString="0" containsBlank="1"/>
    </cacheField>
    <cacheField name="Column15380" numFmtId="0">
      <sharedItems containsNonDate="0" containsString="0" containsBlank="1"/>
    </cacheField>
    <cacheField name="Column15381" numFmtId="0">
      <sharedItems containsNonDate="0" containsString="0" containsBlank="1"/>
    </cacheField>
    <cacheField name="Column15382" numFmtId="0">
      <sharedItems containsNonDate="0" containsString="0" containsBlank="1"/>
    </cacheField>
    <cacheField name="Column15383" numFmtId="0">
      <sharedItems containsNonDate="0" containsString="0" containsBlank="1"/>
    </cacheField>
    <cacheField name="Column15384" numFmtId="0">
      <sharedItems containsNonDate="0" containsString="0" containsBlank="1"/>
    </cacheField>
    <cacheField name="Column15385" numFmtId="0">
      <sharedItems containsNonDate="0" containsString="0" containsBlank="1"/>
    </cacheField>
    <cacheField name="Column15386" numFmtId="0">
      <sharedItems containsNonDate="0" containsString="0" containsBlank="1"/>
    </cacheField>
    <cacheField name="Column15387" numFmtId="0">
      <sharedItems containsNonDate="0" containsString="0" containsBlank="1"/>
    </cacheField>
    <cacheField name="Column15388" numFmtId="0">
      <sharedItems containsNonDate="0" containsString="0" containsBlank="1"/>
    </cacheField>
    <cacheField name="Column15389" numFmtId="0">
      <sharedItems containsNonDate="0" containsString="0" containsBlank="1"/>
    </cacheField>
    <cacheField name="Column15390" numFmtId="0">
      <sharedItems containsNonDate="0" containsString="0" containsBlank="1"/>
    </cacheField>
    <cacheField name="Column15391" numFmtId="0">
      <sharedItems containsNonDate="0" containsString="0" containsBlank="1"/>
    </cacheField>
    <cacheField name="Column15392" numFmtId="0">
      <sharedItems containsNonDate="0" containsString="0" containsBlank="1"/>
    </cacheField>
    <cacheField name="Column15393" numFmtId="0">
      <sharedItems containsNonDate="0" containsString="0" containsBlank="1"/>
    </cacheField>
    <cacheField name="Column15394" numFmtId="0">
      <sharedItems containsNonDate="0" containsString="0" containsBlank="1"/>
    </cacheField>
    <cacheField name="Column15395" numFmtId="0">
      <sharedItems containsNonDate="0" containsString="0" containsBlank="1"/>
    </cacheField>
    <cacheField name="Column15396" numFmtId="0">
      <sharedItems containsNonDate="0" containsString="0" containsBlank="1"/>
    </cacheField>
    <cacheField name="Column15397" numFmtId="0">
      <sharedItems containsNonDate="0" containsString="0" containsBlank="1"/>
    </cacheField>
    <cacheField name="Column15398" numFmtId="0">
      <sharedItems containsNonDate="0" containsString="0" containsBlank="1"/>
    </cacheField>
    <cacheField name="Column15399" numFmtId="0">
      <sharedItems containsNonDate="0" containsString="0" containsBlank="1"/>
    </cacheField>
    <cacheField name="Column15400" numFmtId="0">
      <sharedItems containsNonDate="0" containsString="0" containsBlank="1"/>
    </cacheField>
    <cacheField name="Column15401" numFmtId="0">
      <sharedItems containsNonDate="0" containsString="0" containsBlank="1"/>
    </cacheField>
    <cacheField name="Column15402" numFmtId="0">
      <sharedItems containsNonDate="0" containsString="0" containsBlank="1"/>
    </cacheField>
    <cacheField name="Column15403" numFmtId="0">
      <sharedItems containsNonDate="0" containsString="0" containsBlank="1"/>
    </cacheField>
    <cacheField name="Column15404" numFmtId="0">
      <sharedItems containsNonDate="0" containsString="0" containsBlank="1"/>
    </cacheField>
    <cacheField name="Column15405" numFmtId="0">
      <sharedItems containsNonDate="0" containsString="0" containsBlank="1"/>
    </cacheField>
    <cacheField name="Column15406" numFmtId="0">
      <sharedItems containsNonDate="0" containsString="0" containsBlank="1"/>
    </cacheField>
    <cacheField name="Column15407" numFmtId="0">
      <sharedItems containsNonDate="0" containsString="0" containsBlank="1"/>
    </cacheField>
    <cacheField name="Column15408" numFmtId="0">
      <sharedItems containsNonDate="0" containsString="0" containsBlank="1"/>
    </cacheField>
    <cacheField name="Column15409" numFmtId="0">
      <sharedItems containsNonDate="0" containsString="0" containsBlank="1"/>
    </cacheField>
    <cacheField name="Column15410" numFmtId="0">
      <sharedItems containsNonDate="0" containsString="0" containsBlank="1"/>
    </cacheField>
    <cacheField name="Column15411" numFmtId="0">
      <sharedItems containsNonDate="0" containsString="0" containsBlank="1"/>
    </cacheField>
    <cacheField name="Column15412" numFmtId="0">
      <sharedItems containsNonDate="0" containsString="0" containsBlank="1"/>
    </cacheField>
    <cacheField name="Column15413" numFmtId="0">
      <sharedItems containsNonDate="0" containsString="0" containsBlank="1"/>
    </cacheField>
    <cacheField name="Column15414" numFmtId="0">
      <sharedItems containsNonDate="0" containsString="0" containsBlank="1"/>
    </cacheField>
    <cacheField name="Column15415" numFmtId="0">
      <sharedItems containsNonDate="0" containsString="0" containsBlank="1"/>
    </cacheField>
    <cacheField name="Column15416" numFmtId="0">
      <sharedItems containsNonDate="0" containsString="0" containsBlank="1"/>
    </cacheField>
    <cacheField name="Column15417" numFmtId="0">
      <sharedItems containsNonDate="0" containsString="0" containsBlank="1"/>
    </cacheField>
    <cacheField name="Column15418" numFmtId="0">
      <sharedItems containsNonDate="0" containsString="0" containsBlank="1"/>
    </cacheField>
    <cacheField name="Column15419" numFmtId="0">
      <sharedItems containsNonDate="0" containsString="0" containsBlank="1"/>
    </cacheField>
    <cacheField name="Column15420" numFmtId="0">
      <sharedItems containsNonDate="0" containsString="0" containsBlank="1"/>
    </cacheField>
    <cacheField name="Column15421" numFmtId="0">
      <sharedItems containsNonDate="0" containsString="0" containsBlank="1"/>
    </cacheField>
    <cacheField name="Column15422" numFmtId="0">
      <sharedItems containsNonDate="0" containsString="0" containsBlank="1"/>
    </cacheField>
    <cacheField name="Column15423" numFmtId="0">
      <sharedItems containsNonDate="0" containsString="0" containsBlank="1"/>
    </cacheField>
    <cacheField name="Column15424" numFmtId="0">
      <sharedItems containsNonDate="0" containsString="0" containsBlank="1"/>
    </cacheField>
    <cacheField name="Column15425" numFmtId="0">
      <sharedItems containsNonDate="0" containsString="0" containsBlank="1"/>
    </cacheField>
    <cacheField name="Column15426" numFmtId="0">
      <sharedItems containsNonDate="0" containsString="0" containsBlank="1"/>
    </cacheField>
    <cacheField name="Column15427" numFmtId="0">
      <sharedItems containsNonDate="0" containsString="0" containsBlank="1"/>
    </cacheField>
    <cacheField name="Column15428" numFmtId="0">
      <sharedItems containsNonDate="0" containsString="0" containsBlank="1"/>
    </cacheField>
    <cacheField name="Column15429" numFmtId="0">
      <sharedItems containsNonDate="0" containsString="0" containsBlank="1"/>
    </cacheField>
    <cacheField name="Column15430" numFmtId="0">
      <sharedItems containsNonDate="0" containsString="0" containsBlank="1"/>
    </cacheField>
    <cacheField name="Column15431" numFmtId="0">
      <sharedItems containsNonDate="0" containsString="0" containsBlank="1"/>
    </cacheField>
    <cacheField name="Column15432" numFmtId="0">
      <sharedItems containsNonDate="0" containsString="0" containsBlank="1"/>
    </cacheField>
    <cacheField name="Column15433" numFmtId="0">
      <sharedItems containsNonDate="0" containsString="0" containsBlank="1"/>
    </cacheField>
    <cacheField name="Column15434" numFmtId="0">
      <sharedItems containsNonDate="0" containsString="0" containsBlank="1"/>
    </cacheField>
    <cacheField name="Column15435" numFmtId="0">
      <sharedItems containsNonDate="0" containsString="0" containsBlank="1"/>
    </cacheField>
    <cacheField name="Column15436" numFmtId="0">
      <sharedItems containsNonDate="0" containsString="0" containsBlank="1"/>
    </cacheField>
    <cacheField name="Column15437" numFmtId="0">
      <sharedItems containsNonDate="0" containsString="0" containsBlank="1"/>
    </cacheField>
    <cacheField name="Column15438" numFmtId="0">
      <sharedItems containsNonDate="0" containsString="0" containsBlank="1"/>
    </cacheField>
    <cacheField name="Column15439" numFmtId="0">
      <sharedItems containsNonDate="0" containsString="0" containsBlank="1"/>
    </cacheField>
    <cacheField name="Column15440" numFmtId="0">
      <sharedItems containsNonDate="0" containsString="0" containsBlank="1"/>
    </cacheField>
    <cacheField name="Column15441" numFmtId="0">
      <sharedItems containsNonDate="0" containsString="0" containsBlank="1"/>
    </cacheField>
    <cacheField name="Column15442" numFmtId="0">
      <sharedItems containsNonDate="0" containsString="0" containsBlank="1"/>
    </cacheField>
    <cacheField name="Column15443" numFmtId="0">
      <sharedItems containsNonDate="0" containsString="0" containsBlank="1"/>
    </cacheField>
    <cacheField name="Column15444" numFmtId="0">
      <sharedItems containsNonDate="0" containsString="0" containsBlank="1"/>
    </cacheField>
    <cacheField name="Column15445" numFmtId="0">
      <sharedItems containsNonDate="0" containsString="0" containsBlank="1"/>
    </cacheField>
    <cacheField name="Column15446" numFmtId="0">
      <sharedItems containsNonDate="0" containsString="0" containsBlank="1"/>
    </cacheField>
    <cacheField name="Column15447" numFmtId="0">
      <sharedItems containsNonDate="0" containsString="0" containsBlank="1"/>
    </cacheField>
    <cacheField name="Column15448" numFmtId="0">
      <sharedItems containsNonDate="0" containsString="0" containsBlank="1"/>
    </cacheField>
    <cacheField name="Column15449" numFmtId="0">
      <sharedItems containsNonDate="0" containsString="0" containsBlank="1"/>
    </cacheField>
    <cacheField name="Column15450" numFmtId="0">
      <sharedItems containsNonDate="0" containsString="0" containsBlank="1"/>
    </cacheField>
    <cacheField name="Column15451" numFmtId="0">
      <sharedItems containsNonDate="0" containsString="0" containsBlank="1"/>
    </cacheField>
    <cacheField name="Column15452" numFmtId="0">
      <sharedItems containsNonDate="0" containsString="0" containsBlank="1"/>
    </cacheField>
    <cacheField name="Column15453" numFmtId="0">
      <sharedItems containsNonDate="0" containsString="0" containsBlank="1"/>
    </cacheField>
    <cacheField name="Column15454" numFmtId="0">
      <sharedItems containsNonDate="0" containsString="0" containsBlank="1"/>
    </cacheField>
    <cacheField name="Column15455" numFmtId="0">
      <sharedItems containsNonDate="0" containsString="0" containsBlank="1"/>
    </cacheField>
    <cacheField name="Column15456" numFmtId="0">
      <sharedItems containsNonDate="0" containsString="0" containsBlank="1"/>
    </cacheField>
    <cacheField name="Column15457" numFmtId="0">
      <sharedItems containsNonDate="0" containsString="0" containsBlank="1"/>
    </cacheField>
    <cacheField name="Column15458" numFmtId="0">
      <sharedItems containsNonDate="0" containsString="0" containsBlank="1"/>
    </cacheField>
    <cacheField name="Column15459" numFmtId="0">
      <sharedItems containsNonDate="0" containsString="0" containsBlank="1"/>
    </cacheField>
    <cacheField name="Column15460" numFmtId="0">
      <sharedItems containsNonDate="0" containsString="0" containsBlank="1"/>
    </cacheField>
    <cacheField name="Column15461" numFmtId="0">
      <sharedItems containsNonDate="0" containsString="0" containsBlank="1"/>
    </cacheField>
    <cacheField name="Column15462" numFmtId="0">
      <sharedItems containsNonDate="0" containsString="0" containsBlank="1"/>
    </cacheField>
    <cacheField name="Column15463" numFmtId="0">
      <sharedItems containsNonDate="0" containsString="0" containsBlank="1"/>
    </cacheField>
    <cacheField name="Column15464" numFmtId="0">
      <sharedItems containsNonDate="0" containsString="0" containsBlank="1"/>
    </cacheField>
    <cacheField name="Column15465" numFmtId="0">
      <sharedItems containsNonDate="0" containsString="0" containsBlank="1"/>
    </cacheField>
    <cacheField name="Column15466" numFmtId="0">
      <sharedItems containsNonDate="0" containsString="0" containsBlank="1"/>
    </cacheField>
    <cacheField name="Column15467" numFmtId="0">
      <sharedItems containsNonDate="0" containsString="0" containsBlank="1"/>
    </cacheField>
    <cacheField name="Column15468" numFmtId="0">
      <sharedItems containsNonDate="0" containsString="0" containsBlank="1"/>
    </cacheField>
    <cacheField name="Column15469" numFmtId="0">
      <sharedItems containsNonDate="0" containsString="0" containsBlank="1"/>
    </cacheField>
    <cacheField name="Column15470" numFmtId="0">
      <sharedItems containsNonDate="0" containsString="0" containsBlank="1"/>
    </cacheField>
    <cacheField name="Column15471" numFmtId="0">
      <sharedItems containsNonDate="0" containsString="0" containsBlank="1"/>
    </cacheField>
    <cacheField name="Column15472" numFmtId="0">
      <sharedItems containsNonDate="0" containsString="0" containsBlank="1"/>
    </cacheField>
    <cacheField name="Column15473" numFmtId="0">
      <sharedItems containsNonDate="0" containsString="0" containsBlank="1"/>
    </cacheField>
    <cacheField name="Column15474" numFmtId="0">
      <sharedItems containsNonDate="0" containsString="0" containsBlank="1"/>
    </cacheField>
    <cacheField name="Column15475" numFmtId="0">
      <sharedItems containsNonDate="0" containsString="0" containsBlank="1"/>
    </cacheField>
    <cacheField name="Column15476" numFmtId="0">
      <sharedItems containsNonDate="0" containsString="0" containsBlank="1"/>
    </cacheField>
    <cacheField name="Column15477" numFmtId="0">
      <sharedItems containsNonDate="0" containsString="0" containsBlank="1"/>
    </cacheField>
    <cacheField name="Column15478" numFmtId="0">
      <sharedItems containsNonDate="0" containsString="0" containsBlank="1"/>
    </cacheField>
    <cacheField name="Column15479" numFmtId="0">
      <sharedItems containsNonDate="0" containsString="0" containsBlank="1"/>
    </cacheField>
    <cacheField name="Column15480" numFmtId="0">
      <sharedItems containsNonDate="0" containsString="0" containsBlank="1"/>
    </cacheField>
    <cacheField name="Column15481" numFmtId="0">
      <sharedItems containsNonDate="0" containsString="0" containsBlank="1"/>
    </cacheField>
    <cacheField name="Column15482" numFmtId="0">
      <sharedItems containsNonDate="0" containsString="0" containsBlank="1"/>
    </cacheField>
    <cacheField name="Column15483" numFmtId="0">
      <sharedItems containsNonDate="0" containsString="0" containsBlank="1"/>
    </cacheField>
    <cacheField name="Column15484" numFmtId="0">
      <sharedItems containsNonDate="0" containsString="0" containsBlank="1"/>
    </cacheField>
    <cacheField name="Column15485" numFmtId="0">
      <sharedItems containsNonDate="0" containsString="0" containsBlank="1"/>
    </cacheField>
    <cacheField name="Column15486" numFmtId="0">
      <sharedItems containsNonDate="0" containsString="0" containsBlank="1"/>
    </cacheField>
    <cacheField name="Column15487" numFmtId="0">
      <sharedItems containsNonDate="0" containsString="0" containsBlank="1"/>
    </cacheField>
    <cacheField name="Column15488" numFmtId="0">
      <sharedItems containsNonDate="0" containsString="0" containsBlank="1"/>
    </cacheField>
    <cacheField name="Column15489" numFmtId="0">
      <sharedItems containsNonDate="0" containsString="0" containsBlank="1"/>
    </cacheField>
    <cacheField name="Column15490" numFmtId="0">
      <sharedItems containsNonDate="0" containsString="0" containsBlank="1"/>
    </cacheField>
    <cacheField name="Column15491" numFmtId="0">
      <sharedItems containsNonDate="0" containsString="0" containsBlank="1"/>
    </cacheField>
    <cacheField name="Column15492" numFmtId="0">
      <sharedItems containsNonDate="0" containsString="0" containsBlank="1"/>
    </cacheField>
    <cacheField name="Column15493" numFmtId="0">
      <sharedItems containsNonDate="0" containsString="0" containsBlank="1"/>
    </cacheField>
    <cacheField name="Column15494" numFmtId="0">
      <sharedItems containsNonDate="0" containsString="0" containsBlank="1"/>
    </cacheField>
    <cacheField name="Column15495" numFmtId="0">
      <sharedItems containsNonDate="0" containsString="0" containsBlank="1"/>
    </cacheField>
    <cacheField name="Column15496" numFmtId="0">
      <sharedItems containsNonDate="0" containsString="0" containsBlank="1"/>
    </cacheField>
    <cacheField name="Column15497" numFmtId="0">
      <sharedItems containsNonDate="0" containsString="0" containsBlank="1"/>
    </cacheField>
    <cacheField name="Column15498" numFmtId="0">
      <sharedItems containsNonDate="0" containsString="0" containsBlank="1"/>
    </cacheField>
    <cacheField name="Column15499" numFmtId="0">
      <sharedItems containsNonDate="0" containsString="0" containsBlank="1"/>
    </cacheField>
    <cacheField name="Column15500" numFmtId="0">
      <sharedItems containsNonDate="0" containsString="0" containsBlank="1"/>
    </cacheField>
    <cacheField name="Column15501" numFmtId="0">
      <sharedItems containsNonDate="0" containsString="0" containsBlank="1"/>
    </cacheField>
    <cacheField name="Column15502" numFmtId="0">
      <sharedItems containsNonDate="0" containsString="0" containsBlank="1"/>
    </cacheField>
    <cacheField name="Column15503" numFmtId="0">
      <sharedItems containsNonDate="0" containsString="0" containsBlank="1"/>
    </cacheField>
    <cacheField name="Column15504" numFmtId="0">
      <sharedItems containsNonDate="0" containsString="0" containsBlank="1"/>
    </cacheField>
    <cacheField name="Column15505" numFmtId="0">
      <sharedItems containsNonDate="0" containsString="0" containsBlank="1"/>
    </cacheField>
    <cacheField name="Column15506" numFmtId="0">
      <sharedItems containsNonDate="0" containsString="0" containsBlank="1"/>
    </cacheField>
    <cacheField name="Column15507" numFmtId="0">
      <sharedItems containsNonDate="0" containsString="0" containsBlank="1"/>
    </cacheField>
    <cacheField name="Column15508" numFmtId="0">
      <sharedItems containsNonDate="0" containsString="0" containsBlank="1"/>
    </cacheField>
    <cacheField name="Column15509" numFmtId="0">
      <sharedItems containsNonDate="0" containsString="0" containsBlank="1"/>
    </cacheField>
    <cacheField name="Column15510" numFmtId="0">
      <sharedItems containsNonDate="0" containsString="0" containsBlank="1"/>
    </cacheField>
    <cacheField name="Column15511" numFmtId="0">
      <sharedItems containsNonDate="0" containsString="0" containsBlank="1"/>
    </cacheField>
    <cacheField name="Column15512" numFmtId="0">
      <sharedItems containsNonDate="0" containsString="0" containsBlank="1"/>
    </cacheField>
    <cacheField name="Column15513" numFmtId="0">
      <sharedItems containsNonDate="0" containsString="0" containsBlank="1"/>
    </cacheField>
    <cacheField name="Column15514" numFmtId="0">
      <sharedItems containsNonDate="0" containsString="0" containsBlank="1"/>
    </cacheField>
    <cacheField name="Column15515" numFmtId="0">
      <sharedItems containsNonDate="0" containsString="0" containsBlank="1"/>
    </cacheField>
    <cacheField name="Column15516" numFmtId="0">
      <sharedItems containsNonDate="0" containsString="0" containsBlank="1"/>
    </cacheField>
    <cacheField name="Column15517" numFmtId="0">
      <sharedItems containsNonDate="0" containsString="0" containsBlank="1"/>
    </cacheField>
    <cacheField name="Column15518" numFmtId="0">
      <sharedItems containsNonDate="0" containsString="0" containsBlank="1"/>
    </cacheField>
    <cacheField name="Column15519" numFmtId="0">
      <sharedItems containsNonDate="0" containsString="0" containsBlank="1"/>
    </cacheField>
    <cacheField name="Column15520" numFmtId="0">
      <sharedItems containsNonDate="0" containsString="0" containsBlank="1"/>
    </cacheField>
    <cacheField name="Column15521" numFmtId="0">
      <sharedItems containsNonDate="0" containsString="0" containsBlank="1"/>
    </cacheField>
    <cacheField name="Column15522" numFmtId="0">
      <sharedItems containsNonDate="0" containsString="0" containsBlank="1"/>
    </cacheField>
    <cacheField name="Column15523" numFmtId="0">
      <sharedItems containsNonDate="0" containsString="0" containsBlank="1"/>
    </cacheField>
    <cacheField name="Column15524" numFmtId="0">
      <sharedItems containsNonDate="0" containsString="0" containsBlank="1"/>
    </cacheField>
    <cacheField name="Column15525" numFmtId="0">
      <sharedItems containsNonDate="0" containsString="0" containsBlank="1"/>
    </cacheField>
    <cacheField name="Column15526" numFmtId="0">
      <sharedItems containsNonDate="0" containsString="0" containsBlank="1"/>
    </cacheField>
    <cacheField name="Column15527" numFmtId="0">
      <sharedItems containsNonDate="0" containsString="0" containsBlank="1"/>
    </cacheField>
    <cacheField name="Column15528" numFmtId="0">
      <sharedItems containsNonDate="0" containsString="0" containsBlank="1"/>
    </cacheField>
    <cacheField name="Column15529" numFmtId="0">
      <sharedItems containsNonDate="0" containsString="0" containsBlank="1"/>
    </cacheField>
    <cacheField name="Column15530" numFmtId="0">
      <sharedItems containsNonDate="0" containsString="0" containsBlank="1"/>
    </cacheField>
    <cacheField name="Column15531" numFmtId="0">
      <sharedItems containsNonDate="0" containsString="0" containsBlank="1"/>
    </cacheField>
    <cacheField name="Column15532" numFmtId="0">
      <sharedItems containsNonDate="0" containsString="0" containsBlank="1"/>
    </cacheField>
    <cacheField name="Column15533" numFmtId="0">
      <sharedItems containsNonDate="0" containsString="0" containsBlank="1"/>
    </cacheField>
    <cacheField name="Column15534" numFmtId="0">
      <sharedItems containsNonDate="0" containsString="0" containsBlank="1"/>
    </cacheField>
    <cacheField name="Column15535" numFmtId="0">
      <sharedItems containsNonDate="0" containsString="0" containsBlank="1"/>
    </cacheField>
    <cacheField name="Column15536" numFmtId="0">
      <sharedItems containsNonDate="0" containsString="0" containsBlank="1"/>
    </cacheField>
    <cacheField name="Column15537" numFmtId="0">
      <sharedItems containsNonDate="0" containsString="0" containsBlank="1"/>
    </cacheField>
    <cacheField name="Column15538" numFmtId="0">
      <sharedItems containsNonDate="0" containsString="0" containsBlank="1"/>
    </cacheField>
    <cacheField name="Column15539" numFmtId="0">
      <sharedItems containsNonDate="0" containsString="0" containsBlank="1"/>
    </cacheField>
    <cacheField name="Column15540" numFmtId="0">
      <sharedItems containsNonDate="0" containsString="0" containsBlank="1"/>
    </cacheField>
    <cacheField name="Column15541" numFmtId="0">
      <sharedItems containsNonDate="0" containsString="0" containsBlank="1"/>
    </cacheField>
    <cacheField name="Column15542" numFmtId="0">
      <sharedItems containsNonDate="0" containsString="0" containsBlank="1"/>
    </cacheField>
    <cacheField name="Column15543" numFmtId="0">
      <sharedItems containsNonDate="0" containsString="0" containsBlank="1"/>
    </cacheField>
    <cacheField name="Column15544" numFmtId="0">
      <sharedItems containsNonDate="0" containsString="0" containsBlank="1"/>
    </cacheField>
    <cacheField name="Column15545" numFmtId="0">
      <sharedItems containsNonDate="0" containsString="0" containsBlank="1"/>
    </cacheField>
    <cacheField name="Column15546" numFmtId="0">
      <sharedItems containsNonDate="0" containsString="0" containsBlank="1"/>
    </cacheField>
    <cacheField name="Column15547" numFmtId="0">
      <sharedItems containsNonDate="0" containsString="0" containsBlank="1"/>
    </cacheField>
    <cacheField name="Column15548" numFmtId="0">
      <sharedItems containsNonDate="0" containsString="0" containsBlank="1"/>
    </cacheField>
    <cacheField name="Column15549" numFmtId="0">
      <sharedItems containsNonDate="0" containsString="0" containsBlank="1"/>
    </cacheField>
    <cacheField name="Column15550" numFmtId="0">
      <sharedItems containsNonDate="0" containsString="0" containsBlank="1"/>
    </cacheField>
    <cacheField name="Column15551" numFmtId="0">
      <sharedItems containsNonDate="0" containsString="0" containsBlank="1"/>
    </cacheField>
    <cacheField name="Column15552" numFmtId="0">
      <sharedItems containsNonDate="0" containsString="0" containsBlank="1"/>
    </cacheField>
    <cacheField name="Column15553" numFmtId="0">
      <sharedItems containsNonDate="0" containsString="0" containsBlank="1"/>
    </cacheField>
    <cacheField name="Column15554" numFmtId="0">
      <sharedItems containsNonDate="0" containsString="0" containsBlank="1"/>
    </cacheField>
    <cacheField name="Column15555" numFmtId="0">
      <sharedItems containsNonDate="0" containsString="0" containsBlank="1"/>
    </cacheField>
    <cacheField name="Column15556" numFmtId="0">
      <sharedItems containsNonDate="0" containsString="0" containsBlank="1"/>
    </cacheField>
    <cacheField name="Column15557" numFmtId="0">
      <sharedItems containsNonDate="0" containsString="0" containsBlank="1"/>
    </cacheField>
    <cacheField name="Column15558" numFmtId="0">
      <sharedItems containsNonDate="0" containsString="0" containsBlank="1"/>
    </cacheField>
    <cacheField name="Column15559" numFmtId="0">
      <sharedItems containsNonDate="0" containsString="0" containsBlank="1"/>
    </cacheField>
    <cacheField name="Column15560" numFmtId="0">
      <sharedItems containsNonDate="0" containsString="0" containsBlank="1"/>
    </cacheField>
    <cacheField name="Column15561" numFmtId="0">
      <sharedItems containsNonDate="0" containsString="0" containsBlank="1"/>
    </cacheField>
    <cacheField name="Column15562" numFmtId="0">
      <sharedItems containsNonDate="0" containsString="0" containsBlank="1"/>
    </cacheField>
    <cacheField name="Column15563" numFmtId="0">
      <sharedItems containsNonDate="0" containsString="0" containsBlank="1"/>
    </cacheField>
    <cacheField name="Column15564" numFmtId="0">
      <sharedItems containsNonDate="0" containsString="0" containsBlank="1"/>
    </cacheField>
    <cacheField name="Column15565" numFmtId="0">
      <sharedItems containsNonDate="0" containsString="0" containsBlank="1"/>
    </cacheField>
    <cacheField name="Column15566" numFmtId="0">
      <sharedItems containsNonDate="0" containsString="0" containsBlank="1"/>
    </cacheField>
    <cacheField name="Column15567" numFmtId="0">
      <sharedItems containsNonDate="0" containsString="0" containsBlank="1"/>
    </cacheField>
    <cacheField name="Column15568" numFmtId="0">
      <sharedItems containsNonDate="0" containsString="0" containsBlank="1"/>
    </cacheField>
    <cacheField name="Column15569" numFmtId="0">
      <sharedItems containsNonDate="0" containsString="0" containsBlank="1"/>
    </cacheField>
    <cacheField name="Column15570" numFmtId="0">
      <sharedItems containsNonDate="0" containsString="0" containsBlank="1"/>
    </cacheField>
    <cacheField name="Column15571" numFmtId="0">
      <sharedItems containsNonDate="0" containsString="0" containsBlank="1"/>
    </cacheField>
    <cacheField name="Column15572" numFmtId="0">
      <sharedItems containsNonDate="0" containsString="0" containsBlank="1"/>
    </cacheField>
    <cacheField name="Column15573" numFmtId="0">
      <sharedItems containsNonDate="0" containsString="0" containsBlank="1"/>
    </cacheField>
    <cacheField name="Column15574" numFmtId="0">
      <sharedItems containsNonDate="0" containsString="0" containsBlank="1"/>
    </cacheField>
    <cacheField name="Column15575" numFmtId="0">
      <sharedItems containsNonDate="0" containsString="0" containsBlank="1"/>
    </cacheField>
    <cacheField name="Column15576" numFmtId="0">
      <sharedItems containsNonDate="0" containsString="0" containsBlank="1"/>
    </cacheField>
    <cacheField name="Column15577" numFmtId="0">
      <sharedItems containsNonDate="0" containsString="0" containsBlank="1"/>
    </cacheField>
    <cacheField name="Column15578" numFmtId="0">
      <sharedItems containsNonDate="0" containsString="0" containsBlank="1"/>
    </cacheField>
    <cacheField name="Column15579" numFmtId="0">
      <sharedItems containsNonDate="0" containsString="0" containsBlank="1"/>
    </cacheField>
    <cacheField name="Column15580" numFmtId="0">
      <sharedItems containsNonDate="0" containsString="0" containsBlank="1"/>
    </cacheField>
    <cacheField name="Column15581" numFmtId="0">
      <sharedItems containsNonDate="0" containsString="0" containsBlank="1"/>
    </cacheField>
    <cacheField name="Column15582" numFmtId="0">
      <sharedItems containsNonDate="0" containsString="0" containsBlank="1"/>
    </cacheField>
    <cacheField name="Column15583" numFmtId="0">
      <sharedItems containsNonDate="0" containsString="0" containsBlank="1"/>
    </cacheField>
    <cacheField name="Column15584" numFmtId="0">
      <sharedItems containsNonDate="0" containsString="0" containsBlank="1"/>
    </cacheField>
    <cacheField name="Column15585" numFmtId="0">
      <sharedItems containsNonDate="0" containsString="0" containsBlank="1"/>
    </cacheField>
    <cacheField name="Column15586" numFmtId="0">
      <sharedItems containsNonDate="0" containsString="0" containsBlank="1"/>
    </cacheField>
    <cacheField name="Column15587" numFmtId="0">
      <sharedItems containsNonDate="0" containsString="0" containsBlank="1"/>
    </cacheField>
    <cacheField name="Column15588" numFmtId="0">
      <sharedItems containsNonDate="0" containsString="0" containsBlank="1"/>
    </cacheField>
    <cacheField name="Column15589" numFmtId="0">
      <sharedItems containsNonDate="0" containsString="0" containsBlank="1"/>
    </cacheField>
    <cacheField name="Column15590" numFmtId="0">
      <sharedItems containsNonDate="0" containsString="0" containsBlank="1"/>
    </cacheField>
    <cacheField name="Column15591" numFmtId="0">
      <sharedItems containsNonDate="0" containsString="0" containsBlank="1"/>
    </cacheField>
    <cacheField name="Column15592" numFmtId="0">
      <sharedItems containsNonDate="0" containsString="0" containsBlank="1"/>
    </cacheField>
    <cacheField name="Column15593" numFmtId="0">
      <sharedItems containsNonDate="0" containsString="0" containsBlank="1"/>
    </cacheField>
    <cacheField name="Column15594" numFmtId="0">
      <sharedItems containsNonDate="0" containsString="0" containsBlank="1"/>
    </cacheField>
    <cacheField name="Column15595" numFmtId="0">
      <sharedItems containsNonDate="0" containsString="0" containsBlank="1"/>
    </cacheField>
    <cacheField name="Column15596" numFmtId="0">
      <sharedItems containsNonDate="0" containsString="0" containsBlank="1"/>
    </cacheField>
    <cacheField name="Column15597" numFmtId="0">
      <sharedItems containsNonDate="0" containsString="0" containsBlank="1"/>
    </cacheField>
    <cacheField name="Column15598" numFmtId="0">
      <sharedItems containsNonDate="0" containsString="0" containsBlank="1"/>
    </cacheField>
    <cacheField name="Column15599" numFmtId="0">
      <sharedItems containsNonDate="0" containsString="0" containsBlank="1"/>
    </cacheField>
    <cacheField name="Column15600" numFmtId="0">
      <sharedItems containsNonDate="0" containsString="0" containsBlank="1"/>
    </cacheField>
    <cacheField name="Column15601" numFmtId="0">
      <sharedItems containsNonDate="0" containsString="0" containsBlank="1"/>
    </cacheField>
    <cacheField name="Column15602" numFmtId="0">
      <sharedItems containsNonDate="0" containsString="0" containsBlank="1"/>
    </cacheField>
    <cacheField name="Column15603" numFmtId="0">
      <sharedItems containsNonDate="0" containsString="0" containsBlank="1"/>
    </cacheField>
    <cacheField name="Column15604" numFmtId="0">
      <sharedItems containsNonDate="0" containsString="0" containsBlank="1"/>
    </cacheField>
    <cacheField name="Column15605" numFmtId="0">
      <sharedItems containsNonDate="0" containsString="0" containsBlank="1"/>
    </cacheField>
    <cacheField name="Column15606" numFmtId="0">
      <sharedItems containsNonDate="0" containsString="0" containsBlank="1"/>
    </cacheField>
    <cacheField name="Column15607" numFmtId="0">
      <sharedItems containsNonDate="0" containsString="0" containsBlank="1"/>
    </cacheField>
    <cacheField name="Column15608" numFmtId="0">
      <sharedItems containsNonDate="0" containsString="0" containsBlank="1"/>
    </cacheField>
    <cacheField name="Column15609" numFmtId="0">
      <sharedItems containsNonDate="0" containsString="0" containsBlank="1"/>
    </cacheField>
    <cacheField name="Column15610" numFmtId="0">
      <sharedItems containsNonDate="0" containsString="0" containsBlank="1"/>
    </cacheField>
    <cacheField name="Column15611" numFmtId="0">
      <sharedItems containsNonDate="0" containsString="0" containsBlank="1"/>
    </cacheField>
    <cacheField name="Column15612" numFmtId="0">
      <sharedItems containsNonDate="0" containsString="0" containsBlank="1"/>
    </cacheField>
    <cacheField name="Column15613" numFmtId="0">
      <sharedItems containsNonDate="0" containsString="0" containsBlank="1"/>
    </cacheField>
    <cacheField name="Column15614" numFmtId="0">
      <sharedItems containsNonDate="0" containsString="0" containsBlank="1"/>
    </cacheField>
    <cacheField name="Column15615" numFmtId="0">
      <sharedItems containsNonDate="0" containsString="0" containsBlank="1"/>
    </cacheField>
    <cacheField name="Column15616" numFmtId="0">
      <sharedItems containsNonDate="0" containsString="0" containsBlank="1"/>
    </cacheField>
    <cacheField name="Column15617" numFmtId="0">
      <sharedItems containsNonDate="0" containsString="0" containsBlank="1"/>
    </cacheField>
    <cacheField name="Column15618" numFmtId="0">
      <sharedItems containsNonDate="0" containsString="0" containsBlank="1"/>
    </cacheField>
    <cacheField name="Column15619" numFmtId="0">
      <sharedItems containsNonDate="0" containsString="0" containsBlank="1"/>
    </cacheField>
    <cacheField name="Column15620" numFmtId="0">
      <sharedItems containsNonDate="0" containsString="0" containsBlank="1"/>
    </cacheField>
    <cacheField name="Column15621" numFmtId="0">
      <sharedItems containsNonDate="0" containsString="0" containsBlank="1"/>
    </cacheField>
    <cacheField name="Column15622" numFmtId="0">
      <sharedItems containsNonDate="0" containsString="0" containsBlank="1"/>
    </cacheField>
    <cacheField name="Column15623" numFmtId="0">
      <sharedItems containsNonDate="0" containsString="0" containsBlank="1"/>
    </cacheField>
    <cacheField name="Column15624" numFmtId="0">
      <sharedItems containsNonDate="0" containsString="0" containsBlank="1"/>
    </cacheField>
    <cacheField name="Column15625" numFmtId="0">
      <sharedItems containsNonDate="0" containsString="0" containsBlank="1"/>
    </cacheField>
    <cacheField name="Column15626" numFmtId="0">
      <sharedItems containsNonDate="0" containsString="0" containsBlank="1"/>
    </cacheField>
    <cacheField name="Column15627" numFmtId="0">
      <sharedItems containsNonDate="0" containsString="0" containsBlank="1"/>
    </cacheField>
    <cacheField name="Column15628" numFmtId="0">
      <sharedItems containsNonDate="0" containsString="0" containsBlank="1"/>
    </cacheField>
    <cacheField name="Column15629" numFmtId="0">
      <sharedItems containsNonDate="0" containsString="0" containsBlank="1"/>
    </cacheField>
    <cacheField name="Column15630" numFmtId="0">
      <sharedItems containsNonDate="0" containsString="0" containsBlank="1"/>
    </cacheField>
    <cacheField name="Column15631" numFmtId="0">
      <sharedItems containsNonDate="0" containsString="0" containsBlank="1"/>
    </cacheField>
    <cacheField name="Column15632" numFmtId="0">
      <sharedItems containsNonDate="0" containsString="0" containsBlank="1"/>
    </cacheField>
    <cacheField name="Column15633" numFmtId="0">
      <sharedItems containsNonDate="0" containsString="0" containsBlank="1"/>
    </cacheField>
    <cacheField name="Column15634" numFmtId="0">
      <sharedItems containsNonDate="0" containsString="0" containsBlank="1"/>
    </cacheField>
    <cacheField name="Column15635" numFmtId="0">
      <sharedItems containsNonDate="0" containsString="0" containsBlank="1"/>
    </cacheField>
    <cacheField name="Column15636" numFmtId="0">
      <sharedItems containsNonDate="0" containsString="0" containsBlank="1"/>
    </cacheField>
    <cacheField name="Column15637" numFmtId="0">
      <sharedItems containsNonDate="0" containsString="0" containsBlank="1"/>
    </cacheField>
    <cacheField name="Column15638" numFmtId="0">
      <sharedItems containsNonDate="0" containsString="0" containsBlank="1"/>
    </cacheField>
    <cacheField name="Column15639" numFmtId="0">
      <sharedItems containsNonDate="0" containsString="0" containsBlank="1"/>
    </cacheField>
    <cacheField name="Column15640" numFmtId="0">
      <sharedItems containsNonDate="0" containsString="0" containsBlank="1"/>
    </cacheField>
    <cacheField name="Column15641" numFmtId="0">
      <sharedItems containsNonDate="0" containsString="0" containsBlank="1"/>
    </cacheField>
    <cacheField name="Column15642" numFmtId="0">
      <sharedItems containsNonDate="0" containsString="0" containsBlank="1"/>
    </cacheField>
    <cacheField name="Column15643" numFmtId="0">
      <sharedItems containsNonDate="0" containsString="0" containsBlank="1"/>
    </cacheField>
    <cacheField name="Column15644" numFmtId="0">
      <sharedItems containsNonDate="0" containsString="0" containsBlank="1"/>
    </cacheField>
    <cacheField name="Column15645" numFmtId="0">
      <sharedItems containsNonDate="0" containsString="0" containsBlank="1"/>
    </cacheField>
    <cacheField name="Column15646" numFmtId="0">
      <sharedItems containsNonDate="0" containsString="0" containsBlank="1"/>
    </cacheField>
    <cacheField name="Column15647" numFmtId="0">
      <sharedItems containsNonDate="0" containsString="0" containsBlank="1"/>
    </cacheField>
    <cacheField name="Column15648" numFmtId="0">
      <sharedItems containsNonDate="0" containsString="0" containsBlank="1"/>
    </cacheField>
    <cacheField name="Column15649" numFmtId="0">
      <sharedItems containsNonDate="0" containsString="0" containsBlank="1"/>
    </cacheField>
    <cacheField name="Column15650" numFmtId="0">
      <sharedItems containsNonDate="0" containsString="0" containsBlank="1"/>
    </cacheField>
    <cacheField name="Column15651" numFmtId="0">
      <sharedItems containsNonDate="0" containsString="0" containsBlank="1"/>
    </cacheField>
    <cacheField name="Column15652" numFmtId="0">
      <sharedItems containsNonDate="0" containsString="0" containsBlank="1"/>
    </cacheField>
    <cacheField name="Column15653" numFmtId="0">
      <sharedItems containsNonDate="0" containsString="0" containsBlank="1"/>
    </cacheField>
    <cacheField name="Column15654" numFmtId="0">
      <sharedItems containsNonDate="0" containsString="0" containsBlank="1"/>
    </cacheField>
    <cacheField name="Column15655" numFmtId="0">
      <sharedItems containsNonDate="0" containsString="0" containsBlank="1"/>
    </cacheField>
    <cacheField name="Column15656" numFmtId="0">
      <sharedItems containsNonDate="0" containsString="0" containsBlank="1"/>
    </cacheField>
    <cacheField name="Column15657" numFmtId="0">
      <sharedItems containsNonDate="0" containsString="0" containsBlank="1"/>
    </cacheField>
    <cacheField name="Column15658" numFmtId="0">
      <sharedItems containsNonDate="0" containsString="0" containsBlank="1"/>
    </cacheField>
    <cacheField name="Column15659" numFmtId="0">
      <sharedItems containsNonDate="0" containsString="0" containsBlank="1"/>
    </cacheField>
    <cacheField name="Column15660" numFmtId="0">
      <sharedItems containsNonDate="0" containsString="0" containsBlank="1"/>
    </cacheField>
    <cacheField name="Column15661" numFmtId="0">
      <sharedItems containsNonDate="0" containsString="0" containsBlank="1"/>
    </cacheField>
    <cacheField name="Column15662" numFmtId="0">
      <sharedItems containsNonDate="0" containsString="0" containsBlank="1"/>
    </cacheField>
    <cacheField name="Column15663" numFmtId="0">
      <sharedItems containsNonDate="0" containsString="0" containsBlank="1"/>
    </cacheField>
    <cacheField name="Column15664" numFmtId="0">
      <sharedItems containsNonDate="0" containsString="0" containsBlank="1"/>
    </cacheField>
    <cacheField name="Column15665" numFmtId="0">
      <sharedItems containsNonDate="0" containsString="0" containsBlank="1"/>
    </cacheField>
    <cacheField name="Column15666" numFmtId="0">
      <sharedItems containsNonDate="0" containsString="0" containsBlank="1"/>
    </cacheField>
    <cacheField name="Column15667" numFmtId="0">
      <sharedItems containsNonDate="0" containsString="0" containsBlank="1"/>
    </cacheField>
    <cacheField name="Column15668" numFmtId="0">
      <sharedItems containsNonDate="0" containsString="0" containsBlank="1"/>
    </cacheField>
    <cacheField name="Column15669" numFmtId="0">
      <sharedItems containsNonDate="0" containsString="0" containsBlank="1"/>
    </cacheField>
    <cacheField name="Column15670" numFmtId="0">
      <sharedItems containsNonDate="0" containsString="0" containsBlank="1"/>
    </cacheField>
    <cacheField name="Column15671" numFmtId="0">
      <sharedItems containsNonDate="0" containsString="0" containsBlank="1"/>
    </cacheField>
    <cacheField name="Column15672" numFmtId="0">
      <sharedItems containsNonDate="0" containsString="0" containsBlank="1"/>
    </cacheField>
    <cacheField name="Column15673" numFmtId="0">
      <sharedItems containsNonDate="0" containsString="0" containsBlank="1"/>
    </cacheField>
    <cacheField name="Column15674" numFmtId="0">
      <sharedItems containsNonDate="0" containsString="0" containsBlank="1"/>
    </cacheField>
    <cacheField name="Column15675" numFmtId="0">
      <sharedItems containsNonDate="0" containsString="0" containsBlank="1"/>
    </cacheField>
    <cacheField name="Column15676" numFmtId="0">
      <sharedItems containsNonDate="0" containsString="0" containsBlank="1"/>
    </cacheField>
    <cacheField name="Column15677" numFmtId="0">
      <sharedItems containsNonDate="0" containsString="0" containsBlank="1"/>
    </cacheField>
    <cacheField name="Column15678" numFmtId="0">
      <sharedItems containsNonDate="0" containsString="0" containsBlank="1"/>
    </cacheField>
    <cacheField name="Column15679" numFmtId="0">
      <sharedItems containsNonDate="0" containsString="0" containsBlank="1"/>
    </cacheField>
    <cacheField name="Column15680" numFmtId="0">
      <sharedItems containsNonDate="0" containsString="0" containsBlank="1"/>
    </cacheField>
    <cacheField name="Column15681" numFmtId="0">
      <sharedItems containsNonDate="0" containsString="0" containsBlank="1"/>
    </cacheField>
    <cacheField name="Column15682" numFmtId="0">
      <sharedItems containsNonDate="0" containsString="0" containsBlank="1"/>
    </cacheField>
    <cacheField name="Column15683" numFmtId="0">
      <sharedItems containsNonDate="0" containsString="0" containsBlank="1"/>
    </cacheField>
    <cacheField name="Column15684" numFmtId="0">
      <sharedItems containsNonDate="0" containsString="0" containsBlank="1"/>
    </cacheField>
    <cacheField name="Column15685" numFmtId="0">
      <sharedItems containsNonDate="0" containsString="0" containsBlank="1"/>
    </cacheField>
    <cacheField name="Column15686" numFmtId="0">
      <sharedItems containsNonDate="0" containsString="0" containsBlank="1"/>
    </cacheField>
    <cacheField name="Column15687" numFmtId="0">
      <sharedItems containsNonDate="0" containsString="0" containsBlank="1"/>
    </cacheField>
    <cacheField name="Column15688" numFmtId="0">
      <sharedItems containsNonDate="0" containsString="0" containsBlank="1"/>
    </cacheField>
    <cacheField name="Column15689" numFmtId="0">
      <sharedItems containsNonDate="0" containsString="0" containsBlank="1"/>
    </cacheField>
    <cacheField name="Column15690" numFmtId="0">
      <sharedItems containsNonDate="0" containsString="0" containsBlank="1"/>
    </cacheField>
    <cacheField name="Column15691" numFmtId="0">
      <sharedItems containsNonDate="0" containsString="0" containsBlank="1"/>
    </cacheField>
    <cacheField name="Column15692" numFmtId="0">
      <sharedItems containsNonDate="0" containsString="0" containsBlank="1"/>
    </cacheField>
    <cacheField name="Column15693" numFmtId="0">
      <sharedItems containsNonDate="0" containsString="0" containsBlank="1"/>
    </cacheField>
    <cacheField name="Column15694" numFmtId="0">
      <sharedItems containsNonDate="0" containsString="0" containsBlank="1"/>
    </cacheField>
    <cacheField name="Column15695" numFmtId="0">
      <sharedItems containsNonDate="0" containsString="0" containsBlank="1"/>
    </cacheField>
    <cacheField name="Column15696" numFmtId="0">
      <sharedItems containsNonDate="0" containsString="0" containsBlank="1"/>
    </cacheField>
    <cacheField name="Column15697" numFmtId="0">
      <sharedItems containsNonDate="0" containsString="0" containsBlank="1"/>
    </cacheField>
    <cacheField name="Column15698" numFmtId="0">
      <sharedItems containsNonDate="0" containsString="0" containsBlank="1"/>
    </cacheField>
    <cacheField name="Column15699" numFmtId="0">
      <sharedItems containsNonDate="0" containsString="0" containsBlank="1"/>
    </cacheField>
    <cacheField name="Column15700" numFmtId="0">
      <sharedItems containsNonDate="0" containsString="0" containsBlank="1"/>
    </cacheField>
    <cacheField name="Column15701" numFmtId="0">
      <sharedItems containsNonDate="0" containsString="0" containsBlank="1"/>
    </cacheField>
    <cacheField name="Column15702" numFmtId="0">
      <sharedItems containsNonDate="0" containsString="0" containsBlank="1"/>
    </cacheField>
    <cacheField name="Column15703" numFmtId="0">
      <sharedItems containsNonDate="0" containsString="0" containsBlank="1"/>
    </cacheField>
    <cacheField name="Column15704" numFmtId="0">
      <sharedItems containsNonDate="0" containsString="0" containsBlank="1"/>
    </cacheField>
    <cacheField name="Column15705" numFmtId="0">
      <sharedItems containsNonDate="0" containsString="0" containsBlank="1"/>
    </cacheField>
    <cacheField name="Column15706" numFmtId="0">
      <sharedItems containsNonDate="0" containsString="0" containsBlank="1"/>
    </cacheField>
    <cacheField name="Column15707" numFmtId="0">
      <sharedItems containsNonDate="0" containsString="0" containsBlank="1"/>
    </cacheField>
    <cacheField name="Column15708" numFmtId="0">
      <sharedItems containsNonDate="0" containsString="0" containsBlank="1"/>
    </cacheField>
    <cacheField name="Column15709" numFmtId="0">
      <sharedItems containsNonDate="0" containsString="0" containsBlank="1"/>
    </cacheField>
    <cacheField name="Column15710" numFmtId="0">
      <sharedItems containsNonDate="0" containsString="0" containsBlank="1"/>
    </cacheField>
    <cacheField name="Column15711" numFmtId="0">
      <sharedItems containsNonDate="0" containsString="0" containsBlank="1"/>
    </cacheField>
    <cacheField name="Column15712" numFmtId="0">
      <sharedItems containsNonDate="0" containsString="0" containsBlank="1"/>
    </cacheField>
    <cacheField name="Column15713" numFmtId="0">
      <sharedItems containsNonDate="0" containsString="0" containsBlank="1"/>
    </cacheField>
    <cacheField name="Column15714" numFmtId="0">
      <sharedItems containsNonDate="0" containsString="0" containsBlank="1"/>
    </cacheField>
    <cacheField name="Column15715" numFmtId="0">
      <sharedItems containsNonDate="0" containsString="0" containsBlank="1"/>
    </cacheField>
    <cacheField name="Column15716" numFmtId="0">
      <sharedItems containsNonDate="0" containsString="0" containsBlank="1"/>
    </cacheField>
    <cacheField name="Column15717" numFmtId="0">
      <sharedItems containsNonDate="0" containsString="0" containsBlank="1"/>
    </cacheField>
    <cacheField name="Column15718" numFmtId="0">
      <sharedItems containsNonDate="0" containsString="0" containsBlank="1"/>
    </cacheField>
    <cacheField name="Column15719" numFmtId="0">
      <sharedItems containsNonDate="0" containsString="0" containsBlank="1"/>
    </cacheField>
    <cacheField name="Column15720" numFmtId="0">
      <sharedItems containsNonDate="0" containsString="0" containsBlank="1"/>
    </cacheField>
    <cacheField name="Column15721" numFmtId="0">
      <sharedItems containsNonDate="0" containsString="0" containsBlank="1"/>
    </cacheField>
    <cacheField name="Column15722" numFmtId="0">
      <sharedItems containsNonDate="0" containsString="0" containsBlank="1"/>
    </cacheField>
    <cacheField name="Column15723" numFmtId="0">
      <sharedItems containsNonDate="0" containsString="0" containsBlank="1"/>
    </cacheField>
    <cacheField name="Column15724" numFmtId="0">
      <sharedItems containsNonDate="0" containsString="0" containsBlank="1"/>
    </cacheField>
    <cacheField name="Column15725" numFmtId="0">
      <sharedItems containsNonDate="0" containsString="0" containsBlank="1"/>
    </cacheField>
    <cacheField name="Column15726" numFmtId="0">
      <sharedItems containsNonDate="0" containsString="0" containsBlank="1"/>
    </cacheField>
    <cacheField name="Column15727" numFmtId="0">
      <sharedItems containsNonDate="0" containsString="0" containsBlank="1"/>
    </cacheField>
    <cacheField name="Column15728" numFmtId="0">
      <sharedItems containsNonDate="0" containsString="0" containsBlank="1"/>
    </cacheField>
    <cacheField name="Column15729" numFmtId="0">
      <sharedItems containsNonDate="0" containsString="0" containsBlank="1"/>
    </cacheField>
    <cacheField name="Column15730" numFmtId="0">
      <sharedItems containsNonDate="0" containsString="0" containsBlank="1"/>
    </cacheField>
    <cacheField name="Column15731" numFmtId="0">
      <sharedItems containsNonDate="0" containsString="0" containsBlank="1"/>
    </cacheField>
    <cacheField name="Column15732" numFmtId="0">
      <sharedItems containsNonDate="0" containsString="0" containsBlank="1"/>
    </cacheField>
    <cacheField name="Column15733" numFmtId="0">
      <sharedItems containsNonDate="0" containsString="0" containsBlank="1"/>
    </cacheField>
    <cacheField name="Column15734" numFmtId="0">
      <sharedItems containsNonDate="0" containsString="0" containsBlank="1"/>
    </cacheField>
    <cacheField name="Column15735" numFmtId="0">
      <sharedItems containsNonDate="0" containsString="0" containsBlank="1"/>
    </cacheField>
    <cacheField name="Column15736" numFmtId="0">
      <sharedItems containsNonDate="0" containsString="0" containsBlank="1"/>
    </cacheField>
    <cacheField name="Column15737" numFmtId="0">
      <sharedItems containsNonDate="0" containsString="0" containsBlank="1"/>
    </cacheField>
    <cacheField name="Column15738" numFmtId="0">
      <sharedItems containsNonDate="0" containsString="0" containsBlank="1"/>
    </cacheField>
    <cacheField name="Column15739" numFmtId="0">
      <sharedItems containsNonDate="0" containsString="0" containsBlank="1"/>
    </cacheField>
    <cacheField name="Column15740" numFmtId="0">
      <sharedItems containsNonDate="0" containsString="0" containsBlank="1"/>
    </cacheField>
    <cacheField name="Column15741" numFmtId="0">
      <sharedItems containsNonDate="0" containsString="0" containsBlank="1"/>
    </cacheField>
    <cacheField name="Column15742" numFmtId="0">
      <sharedItems containsNonDate="0" containsString="0" containsBlank="1"/>
    </cacheField>
    <cacheField name="Column15743" numFmtId="0">
      <sharedItems containsNonDate="0" containsString="0" containsBlank="1"/>
    </cacheField>
    <cacheField name="Column15744" numFmtId="0">
      <sharedItems containsNonDate="0" containsString="0" containsBlank="1"/>
    </cacheField>
    <cacheField name="Column15745" numFmtId="0">
      <sharedItems containsNonDate="0" containsString="0" containsBlank="1"/>
    </cacheField>
    <cacheField name="Column15746" numFmtId="0">
      <sharedItems containsNonDate="0" containsString="0" containsBlank="1"/>
    </cacheField>
    <cacheField name="Column15747" numFmtId="0">
      <sharedItems containsNonDate="0" containsString="0" containsBlank="1"/>
    </cacheField>
    <cacheField name="Column15748" numFmtId="0">
      <sharedItems containsNonDate="0" containsString="0" containsBlank="1"/>
    </cacheField>
    <cacheField name="Column15749" numFmtId="0">
      <sharedItems containsNonDate="0" containsString="0" containsBlank="1"/>
    </cacheField>
    <cacheField name="Column15750" numFmtId="0">
      <sharedItems containsNonDate="0" containsString="0" containsBlank="1"/>
    </cacheField>
    <cacheField name="Column15751" numFmtId="0">
      <sharedItems containsNonDate="0" containsString="0" containsBlank="1"/>
    </cacheField>
    <cacheField name="Column15752" numFmtId="0">
      <sharedItems containsNonDate="0" containsString="0" containsBlank="1"/>
    </cacheField>
    <cacheField name="Column15753" numFmtId="0">
      <sharedItems containsNonDate="0" containsString="0" containsBlank="1"/>
    </cacheField>
    <cacheField name="Column15754" numFmtId="0">
      <sharedItems containsNonDate="0" containsString="0" containsBlank="1"/>
    </cacheField>
    <cacheField name="Column15755" numFmtId="0">
      <sharedItems containsNonDate="0" containsString="0" containsBlank="1"/>
    </cacheField>
    <cacheField name="Column15756" numFmtId="0">
      <sharedItems containsNonDate="0" containsString="0" containsBlank="1"/>
    </cacheField>
    <cacheField name="Column15757" numFmtId="0">
      <sharedItems containsNonDate="0" containsString="0" containsBlank="1"/>
    </cacheField>
    <cacheField name="Column15758" numFmtId="0">
      <sharedItems containsNonDate="0" containsString="0" containsBlank="1"/>
    </cacheField>
    <cacheField name="Column15759" numFmtId="0">
      <sharedItems containsNonDate="0" containsString="0" containsBlank="1"/>
    </cacheField>
    <cacheField name="Column15760" numFmtId="0">
      <sharedItems containsNonDate="0" containsString="0" containsBlank="1"/>
    </cacheField>
    <cacheField name="Column15761" numFmtId="0">
      <sharedItems containsNonDate="0" containsString="0" containsBlank="1"/>
    </cacheField>
    <cacheField name="Column15762" numFmtId="0">
      <sharedItems containsNonDate="0" containsString="0" containsBlank="1"/>
    </cacheField>
    <cacheField name="Column15763" numFmtId="0">
      <sharedItems containsNonDate="0" containsString="0" containsBlank="1"/>
    </cacheField>
    <cacheField name="Column15764" numFmtId="0">
      <sharedItems containsNonDate="0" containsString="0" containsBlank="1"/>
    </cacheField>
    <cacheField name="Column15765" numFmtId="0">
      <sharedItems containsNonDate="0" containsString="0" containsBlank="1"/>
    </cacheField>
    <cacheField name="Column15766" numFmtId="0">
      <sharedItems containsNonDate="0" containsString="0" containsBlank="1"/>
    </cacheField>
    <cacheField name="Column15767" numFmtId="0">
      <sharedItems containsNonDate="0" containsString="0" containsBlank="1"/>
    </cacheField>
    <cacheField name="Column15768" numFmtId="0">
      <sharedItems containsNonDate="0" containsString="0" containsBlank="1"/>
    </cacheField>
    <cacheField name="Column15769" numFmtId="0">
      <sharedItems containsNonDate="0" containsString="0" containsBlank="1"/>
    </cacheField>
    <cacheField name="Column15770" numFmtId="0">
      <sharedItems containsNonDate="0" containsString="0" containsBlank="1"/>
    </cacheField>
    <cacheField name="Column15771" numFmtId="0">
      <sharedItems containsNonDate="0" containsString="0" containsBlank="1"/>
    </cacheField>
    <cacheField name="Column15772" numFmtId="0">
      <sharedItems containsNonDate="0" containsString="0" containsBlank="1"/>
    </cacheField>
    <cacheField name="Column15773" numFmtId="0">
      <sharedItems containsNonDate="0" containsString="0" containsBlank="1"/>
    </cacheField>
    <cacheField name="Column15774" numFmtId="0">
      <sharedItems containsNonDate="0" containsString="0" containsBlank="1"/>
    </cacheField>
    <cacheField name="Column15775" numFmtId="0">
      <sharedItems containsNonDate="0" containsString="0" containsBlank="1"/>
    </cacheField>
    <cacheField name="Column15776" numFmtId="0">
      <sharedItems containsNonDate="0" containsString="0" containsBlank="1"/>
    </cacheField>
    <cacheField name="Column15777" numFmtId="0">
      <sharedItems containsNonDate="0" containsString="0" containsBlank="1"/>
    </cacheField>
    <cacheField name="Column15778" numFmtId="0">
      <sharedItems containsNonDate="0" containsString="0" containsBlank="1"/>
    </cacheField>
    <cacheField name="Column15779" numFmtId="0">
      <sharedItems containsNonDate="0" containsString="0" containsBlank="1"/>
    </cacheField>
    <cacheField name="Column15780" numFmtId="0">
      <sharedItems containsNonDate="0" containsString="0" containsBlank="1"/>
    </cacheField>
    <cacheField name="Column15781" numFmtId="0">
      <sharedItems containsNonDate="0" containsString="0" containsBlank="1"/>
    </cacheField>
    <cacheField name="Column15782" numFmtId="0">
      <sharedItems containsNonDate="0" containsString="0" containsBlank="1"/>
    </cacheField>
    <cacheField name="Column15783" numFmtId="0">
      <sharedItems containsNonDate="0" containsString="0" containsBlank="1"/>
    </cacheField>
    <cacheField name="Column15784" numFmtId="0">
      <sharedItems containsNonDate="0" containsString="0" containsBlank="1"/>
    </cacheField>
    <cacheField name="Column15785" numFmtId="0">
      <sharedItems containsNonDate="0" containsString="0" containsBlank="1"/>
    </cacheField>
    <cacheField name="Column15786" numFmtId="0">
      <sharedItems containsNonDate="0" containsString="0" containsBlank="1"/>
    </cacheField>
    <cacheField name="Column15787" numFmtId="0">
      <sharedItems containsNonDate="0" containsString="0" containsBlank="1"/>
    </cacheField>
    <cacheField name="Column15788" numFmtId="0">
      <sharedItems containsNonDate="0" containsString="0" containsBlank="1"/>
    </cacheField>
    <cacheField name="Column15789" numFmtId="0">
      <sharedItems containsNonDate="0" containsString="0" containsBlank="1"/>
    </cacheField>
    <cacheField name="Column15790" numFmtId="0">
      <sharedItems containsNonDate="0" containsString="0" containsBlank="1"/>
    </cacheField>
    <cacheField name="Column15791" numFmtId="0">
      <sharedItems containsNonDate="0" containsString="0" containsBlank="1"/>
    </cacheField>
    <cacheField name="Column15792" numFmtId="0">
      <sharedItems containsNonDate="0" containsString="0" containsBlank="1"/>
    </cacheField>
    <cacheField name="Column15793" numFmtId="0">
      <sharedItems containsNonDate="0" containsString="0" containsBlank="1"/>
    </cacheField>
    <cacheField name="Column15794" numFmtId="0">
      <sharedItems containsNonDate="0" containsString="0" containsBlank="1"/>
    </cacheField>
    <cacheField name="Column15795" numFmtId="0">
      <sharedItems containsNonDate="0" containsString="0" containsBlank="1"/>
    </cacheField>
    <cacheField name="Column15796" numFmtId="0">
      <sharedItems containsNonDate="0" containsString="0" containsBlank="1"/>
    </cacheField>
    <cacheField name="Column15797" numFmtId="0">
      <sharedItems containsNonDate="0" containsString="0" containsBlank="1"/>
    </cacheField>
    <cacheField name="Column15798" numFmtId="0">
      <sharedItems containsNonDate="0" containsString="0" containsBlank="1"/>
    </cacheField>
    <cacheField name="Column15799" numFmtId="0">
      <sharedItems containsNonDate="0" containsString="0" containsBlank="1"/>
    </cacheField>
    <cacheField name="Column15800" numFmtId="0">
      <sharedItems containsNonDate="0" containsString="0" containsBlank="1"/>
    </cacheField>
    <cacheField name="Column15801" numFmtId="0">
      <sharedItems containsNonDate="0" containsString="0" containsBlank="1"/>
    </cacheField>
    <cacheField name="Column15802" numFmtId="0">
      <sharedItems containsNonDate="0" containsString="0" containsBlank="1"/>
    </cacheField>
    <cacheField name="Column15803" numFmtId="0">
      <sharedItems containsNonDate="0" containsString="0" containsBlank="1"/>
    </cacheField>
    <cacheField name="Column15804" numFmtId="0">
      <sharedItems containsNonDate="0" containsString="0" containsBlank="1"/>
    </cacheField>
    <cacheField name="Column15805" numFmtId="0">
      <sharedItems containsNonDate="0" containsString="0" containsBlank="1"/>
    </cacheField>
    <cacheField name="Column15806" numFmtId="0">
      <sharedItems containsNonDate="0" containsString="0" containsBlank="1"/>
    </cacheField>
    <cacheField name="Column15807" numFmtId="0">
      <sharedItems containsNonDate="0" containsString="0" containsBlank="1"/>
    </cacheField>
    <cacheField name="Column15808" numFmtId="0">
      <sharedItems containsNonDate="0" containsString="0" containsBlank="1"/>
    </cacheField>
    <cacheField name="Column15809" numFmtId="0">
      <sharedItems containsNonDate="0" containsString="0" containsBlank="1"/>
    </cacheField>
    <cacheField name="Column15810" numFmtId="0">
      <sharedItems containsNonDate="0" containsString="0" containsBlank="1"/>
    </cacheField>
    <cacheField name="Column15811" numFmtId="0">
      <sharedItems containsNonDate="0" containsString="0" containsBlank="1"/>
    </cacheField>
    <cacheField name="Column15812" numFmtId="0">
      <sharedItems containsNonDate="0" containsString="0" containsBlank="1"/>
    </cacheField>
    <cacheField name="Column15813" numFmtId="0">
      <sharedItems containsNonDate="0" containsString="0" containsBlank="1"/>
    </cacheField>
    <cacheField name="Column15814" numFmtId="0">
      <sharedItems containsNonDate="0" containsString="0" containsBlank="1"/>
    </cacheField>
    <cacheField name="Column15815" numFmtId="0">
      <sharedItems containsNonDate="0" containsString="0" containsBlank="1"/>
    </cacheField>
    <cacheField name="Column15816" numFmtId="0">
      <sharedItems containsNonDate="0" containsString="0" containsBlank="1"/>
    </cacheField>
    <cacheField name="Column15817" numFmtId="0">
      <sharedItems containsNonDate="0" containsString="0" containsBlank="1"/>
    </cacheField>
    <cacheField name="Column15818" numFmtId="0">
      <sharedItems containsNonDate="0" containsString="0" containsBlank="1"/>
    </cacheField>
    <cacheField name="Column15819" numFmtId="0">
      <sharedItems containsNonDate="0" containsString="0" containsBlank="1"/>
    </cacheField>
    <cacheField name="Column15820" numFmtId="0">
      <sharedItems containsNonDate="0" containsString="0" containsBlank="1"/>
    </cacheField>
    <cacheField name="Column15821" numFmtId="0">
      <sharedItems containsNonDate="0" containsString="0" containsBlank="1"/>
    </cacheField>
    <cacheField name="Column15822" numFmtId="0">
      <sharedItems containsNonDate="0" containsString="0" containsBlank="1"/>
    </cacheField>
    <cacheField name="Column15823" numFmtId="0">
      <sharedItems containsNonDate="0" containsString="0" containsBlank="1"/>
    </cacheField>
    <cacheField name="Column15824" numFmtId="0">
      <sharedItems containsNonDate="0" containsString="0" containsBlank="1"/>
    </cacheField>
    <cacheField name="Column15825" numFmtId="0">
      <sharedItems containsNonDate="0" containsString="0" containsBlank="1"/>
    </cacheField>
    <cacheField name="Column15826" numFmtId="0">
      <sharedItems containsNonDate="0" containsString="0" containsBlank="1"/>
    </cacheField>
    <cacheField name="Column15827" numFmtId="0">
      <sharedItems containsNonDate="0" containsString="0" containsBlank="1"/>
    </cacheField>
    <cacheField name="Column15828" numFmtId="0">
      <sharedItems containsNonDate="0" containsString="0" containsBlank="1"/>
    </cacheField>
    <cacheField name="Column15829" numFmtId="0">
      <sharedItems containsNonDate="0" containsString="0" containsBlank="1"/>
    </cacheField>
    <cacheField name="Column15830" numFmtId="0">
      <sharedItems containsNonDate="0" containsString="0" containsBlank="1"/>
    </cacheField>
    <cacheField name="Column15831" numFmtId="0">
      <sharedItems containsNonDate="0" containsString="0" containsBlank="1"/>
    </cacheField>
    <cacheField name="Column15832" numFmtId="0">
      <sharedItems containsNonDate="0" containsString="0" containsBlank="1"/>
    </cacheField>
    <cacheField name="Column15833" numFmtId="0">
      <sharedItems containsNonDate="0" containsString="0" containsBlank="1"/>
    </cacheField>
    <cacheField name="Column15834" numFmtId="0">
      <sharedItems containsNonDate="0" containsString="0" containsBlank="1"/>
    </cacheField>
    <cacheField name="Column15835" numFmtId="0">
      <sharedItems containsNonDate="0" containsString="0" containsBlank="1"/>
    </cacheField>
    <cacheField name="Column15836" numFmtId="0">
      <sharedItems containsNonDate="0" containsString="0" containsBlank="1"/>
    </cacheField>
    <cacheField name="Column15837" numFmtId="0">
      <sharedItems containsNonDate="0" containsString="0" containsBlank="1"/>
    </cacheField>
    <cacheField name="Column15838" numFmtId="0">
      <sharedItems containsNonDate="0" containsString="0" containsBlank="1"/>
    </cacheField>
    <cacheField name="Column15839" numFmtId="0">
      <sharedItems containsNonDate="0" containsString="0" containsBlank="1"/>
    </cacheField>
    <cacheField name="Column15840" numFmtId="0">
      <sharedItems containsNonDate="0" containsString="0" containsBlank="1"/>
    </cacheField>
    <cacheField name="Column15841" numFmtId="0">
      <sharedItems containsNonDate="0" containsString="0" containsBlank="1"/>
    </cacheField>
    <cacheField name="Column15842" numFmtId="0">
      <sharedItems containsNonDate="0" containsString="0" containsBlank="1"/>
    </cacheField>
    <cacheField name="Column15843" numFmtId="0">
      <sharedItems containsNonDate="0" containsString="0" containsBlank="1"/>
    </cacheField>
    <cacheField name="Column15844" numFmtId="0">
      <sharedItems containsNonDate="0" containsString="0" containsBlank="1"/>
    </cacheField>
    <cacheField name="Column15845" numFmtId="0">
      <sharedItems containsNonDate="0" containsString="0" containsBlank="1"/>
    </cacheField>
    <cacheField name="Column15846" numFmtId="0">
      <sharedItems containsNonDate="0" containsString="0" containsBlank="1"/>
    </cacheField>
    <cacheField name="Column15847" numFmtId="0">
      <sharedItems containsNonDate="0" containsString="0" containsBlank="1"/>
    </cacheField>
    <cacheField name="Column15848" numFmtId="0">
      <sharedItems containsNonDate="0" containsString="0" containsBlank="1"/>
    </cacheField>
    <cacheField name="Column15849" numFmtId="0">
      <sharedItems containsNonDate="0" containsString="0" containsBlank="1"/>
    </cacheField>
    <cacheField name="Column15850" numFmtId="0">
      <sharedItems containsNonDate="0" containsString="0" containsBlank="1"/>
    </cacheField>
    <cacheField name="Column15851" numFmtId="0">
      <sharedItems containsNonDate="0" containsString="0" containsBlank="1"/>
    </cacheField>
    <cacheField name="Column15852" numFmtId="0">
      <sharedItems containsNonDate="0" containsString="0" containsBlank="1"/>
    </cacheField>
    <cacheField name="Column15853" numFmtId="0">
      <sharedItems containsNonDate="0" containsString="0" containsBlank="1"/>
    </cacheField>
    <cacheField name="Column15854" numFmtId="0">
      <sharedItems containsNonDate="0" containsString="0" containsBlank="1"/>
    </cacheField>
    <cacheField name="Column15855" numFmtId="0">
      <sharedItems containsNonDate="0" containsString="0" containsBlank="1"/>
    </cacheField>
    <cacheField name="Column15856" numFmtId="0">
      <sharedItems containsNonDate="0" containsString="0" containsBlank="1"/>
    </cacheField>
    <cacheField name="Column15857" numFmtId="0">
      <sharedItems containsNonDate="0" containsString="0" containsBlank="1"/>
    </cacheField>
    <cacheField name="Column15858" numFmtId="0">
      <sharedItems containsNonDate="0" containsString="0" containsBlank="1"/>
    </cacheField>
    <cacheField name="Column15859" numFmtId="0">
      <sharedItems containsNonDate="0" containsString="0" containsBlank="1"/>
    </cacheField>
    <cacheField name="Column15860" numFmtId="0">
      <sharedItems containsNonDate="0" containsString="0" containsBlank="1"/>
    </cacheField>
    <cacheField name="Column15861" numFmtId="0">
      <sharedItems containsNonDate="0" containsString="0" containsBlank="1"/>
    </cacheField>
    <cacheField name="Column15862" numFmtId="0">
      <sharedItems containsNonDate="0" containsString="0" containsBlank="1"/>
    </cacheField>
    <cacheField name="Column15863" numFmtId="0">
      <sharedItems containsNonDate="0" containsString="0" containsBlank="1"/>
    </cacheField>
    <cacheField name="Column15864" numFmtId="0">
      <sharedItems containsNonDate="0" containsString="0" containsBlank="1"/>
    </cacheField>
    <cacheField name="Column15865" numFmtId="0">
      <sharedItems containsNonDate="0" containsString="0" containsBlank="1"/>
    </cacheField>
    <cacheField name="Column15866" numFmtId="0">
      <sharedItems containsNonDate="0" containsString="0" containsBlank="1"/>
    </cacheField>
    <cacheField name="Column15867" numFmtId="0">
      <sharedItems containsNonDate="0" containsString="0" containsBlank="1"/>
    </cacheField>
    <cacheField name="Column15868" numFmtId="0">
      <sharedItems containsNonDate="0" containsString="0" containsBlank="1"/>
    </cacheField>
    <cacheField name="Column15869" numFmtId="0">
      <sharedItems containsNonDate="0" containsString="0" containsBlank="1"/>
    </cacheField>
    <cacheField name="Column15870" numFmtId="0">
      <sharedItems containsNonDate="0" containsString="0" containsBlank="1"/>
    </cacheField>
    <cacheField name="Column15871" numFmtId="0">
      <sharedItems containsNonDate="0" containsString="0" containsBlank="1"/>
    </cacheField>
    <cacheField name="Column15872" numFmtId="0">
      <sharedItems containsNonDate="0" containsString="0" containsBlank="1"/>
    </cacheField>
    <cacheField name="Column15873" numFmtId="0">
      <sharedItems containsNonDate="0" containsString="0" containsBlank="1"/>
    </cacheField>
    <cacheField name="Column15874" numFmtId="0">
      <sharedItems containsNonDate="0" containsString="0" containsBlank="1"/>
    </cacheField>
    <cacheField name="Column15875" numFmtId="0">
      <sharedItems containsNonDate="0" containsString="0" containsBlank="1"/>
    </cacheField>
    <cacheField name="Column15876" numFmtId="0">
      <sharedItems containsNonDate="0" containsString="0" containsBlank="1"/>
    </cacheField>
    <cacheField name="Column15877" numFmtId="0">
      <sharedItems containsNonDate="0" containsString="0" containsBlank="1"/>
    </cacheField>
    <cacheField name="Column15878" numFmtId="0">
      <sharedItems containsNonDate="0" containsString="0" containsBlank="1"/>
    </cacheField>
    <cacheField name="Column15879" numFmtId="0">
      <sharedItems containsNonDate="0" containsString="0" containsBlank="1"/>
    </cacheField>
    <cacheField name="Column15880" numFmtId="0">
      <sharedItems containsNonDate="0" containsString="0" containsBlank="1"/>
    </cacheField>
    <cacheField name="Column15881" numFmtId="0">
      <sharedItems containsNonDate="0" containsString="0" containsBlank="1"/>
    </cacheField>
    <cacheField name="Column15882" numFmtId="0">
      <sharedItems containsNonDate="0" containsString="0" containsBlank="1"/>
    </cacheField>
    <cacheField name="Column15883" numFmtId="0">
      <sharedItems containsNonDate="0" containsString="0" containsBlank="1"/>
    </cacheField>
    <cacheField name="Column15884" numFmtId="0">
      <sharedItems containsNonDate="0" containsString="0" containsBlank="1"/>
    </cacheField>
    <cacheField name="Column15885" numFmtId="0">
      <sharedItems containsNonDate="0" containsString="0" containsBlank="1"/>
    </cacheField>
    <cacheField name="Column15886" numFmtId="0">
      <sharedItems containsNonDate="0" containsString="0" containsBlank="1"/>
    </cacheField>
    <cacheField name="Column15887" numFmtId="0">
      <sharedItems containsNonDate="0" containsString="0" containsBlank="1"/>
    </cacheField>
    <cacheField name="Column15888" numFmtId="0">
      <sharedItems containsNonDate="0" containsString="0" containsBlank="1"/>
    </cacheField>
    <cacheField name="Column15889" numFmtId="0">
      <sharedItems containsNonDate="0" containsString="0" containsBlank="1"/>
    </cacheField>
    <cacheField name="Column15890" numFmtId="0">
      <sharedItems containsNonDate="0" containsString="0" containsBlank="1"/>
    </cacheField>
    <cacheField name="Column15891" numFmtId="0">
      <sharedItems containsNonDate="0" containsString="0" containsBlank="1"/>
    </cacheField>
    <cacheField name="Column15892" numFmtId="0">
      <sharedItems containsNonDate="0" containsString="0" containsBlank="1"/>
    </cacheField>
    <cacheField name="Column15893" numFmtId="0">
      <sharedItems containsNonDate="0" containsString="0" containsBlank="1"/>
    </cacheField>
    <cacheField name="Column15894" numFmtId="0">
      <sharedItems containsNonDate="0" containsString="0" containsBlank="1"/>
    </cacheField>
    <cacheField name="Column15895" numFmtId="0">
      <sharedItems containsNonDate="0" containsString="0" containsBlank="1"/>
    </cacheField>
    <cacheField name="Column15896" numFmtId="0">
      <sharedItems containsNonDate="0" containsString="0" containsBlank="1"/>
    </cacheField>
    <cacheField name="Column15897" numFmtId="0">
      <sharedItems containsNonDate="0" containsString="0" containsBlank="1"/>
    </cacheField>
    <cacheField name="Column15898" numFmtId="0">
      <sharedItems containsNonDate="0" containsString="0" containsBlank="1"/>
    </cacheField>
    <cacheField name="Column15899" numFmtId="0">
      <sharedItems containsNonDate="0" containsString="0" containsBlank="1"/>
    </cacheField>
    <cacheField name="Column15900" numFmtId="0">
      <sharedItems containsNonDate="0" containsString="0" containsBlank="1"/>
    </cacheField>
    <cacheField name="Column15901" numFmtId="0">
      <sharedItems containsNonDate="0" containsString="0" containsBlank="1"/>
    </cacheField>
    <cacheField name="Column15902" numFmtId="0">
      <sharedItems containsNonDate="0" containsString="0" containsBlank="1"/>
    </cacheField>
    <cacheField name="Column15903" numFmtId="0">
      <sharedItems containsNonDate="0" containsString="0" containsBlank="1"/>
    </cacheField>
    <cacheField name="Column15904" numFmtId="0">
      <sharedItems containsNonDate="0" containsString="0" containsBlank="1"/>
    </cacheField>
    <cacheField name="Column15905" numFmtId="0">
      <sharedItems containsNonDate="0" containsString="0" containsBlank="1"/>
    </cacheField>
    <cacheField name="Column15906" numFmtId="0">
      <sharedItems containsNonDate="0" containsString="0" containsBlank="1"/>
    </cacheField>
    <cacheField name="Column15907" numFmtId="0">
      <sharedItems containsNonDate="0" containsString="0" containsBlank="1"/>
    </cacheField>
    <cacheField name="Column15908" numFmtId="0">
      <sharedItems containsNonDate="0" containsString="0" containsBlank="1"/>
    </cacheField>
    <cacheField name="Column15909" numFmtId="0">
      <sharedItems containsNonDate="0" containsString="0" containsBlank="1"/>
    </cacheField>
    <cacheField name="Column15910" numFmtId="0">
      <sharedItems containsNonDate="0" containsString="0" containsBlank="1"/>
    </cacheField>
    <cacheField name="Column15911" numFmtId="0">
      <sharedItems containsNonDate="0" containsString="0" containsBlank="1"/>
    </cacheField>
    <cacheField name="Column15912" numFmtId="0">
      <sharedItems containsNonDate="0" containsString="0" containsBlank="1"/>
    </cacheField>
    <cacheField name="Column15913" numFmtId="0">
      <sharedItems containsNonDate="0" containsString="0" containsBlank="1"/>
    </cacheField>
    <cacheField name="Column15914" numFmtId="0">
      <sharedItems containsNonDate="0" containsString="0" containsBlank="1"/>
    </cacheField>
    <cacheField name="Column15915" numFmtId="0">
      <sharedItems containsNonDate="0" containsString="0" containsBlank="1"/>
    </cacheField>
    <cacheField name="Column15916" numFmtId="0">
      <sharedItems containsNonDate="0" containsString="0" containsBlank="1"/>
    </cacheField>
    <cacheField name="Column15917" numFmtId="0">
      <sharedItems containsNonDate="0" containsString="0" containsBlank="1"/>
    </cacheField>
    <cacheField name="Column15918" numFmtId="0">
      <sharedItems containsNonDate="0" containsString="0" containsBlank="1"/>
    </cacheField>
    <cacheField name="Column15919" numFmtId="0">
      <sharedItems containsNonDate="0" containsString="0" containsBlank="1"/>
    </cacheField>
    <cacheField name="Column15920" numFmtId="0">
      <sharedItems containsNonDate="0" containsString="0" containsBlank="1"/>
    </cacheField>
    <cacheField name="Column15921" numFmtId="0">
      <sharedItems containsNonDate="0" containsString="0" containsBlank="1"/>
    </cacheField>
    <cacheField name="Column15922" numFmtId="0">
      <sharedItems containsNonDate="0" containsString="0" containsBlank="1"/>
    </cacheField>
    <cacheField name="Column15923" numFmtId="0">
      <sharedItems containsNonDate="0" containsString="0" containsBlank="1"/>
    </cacheField>
    <cacheField name="Column15924" numFmtId="0">
      <sharedItems containsNonDate="0" containsString="0" containsBlank="1"/>
    </cacheField>
    <cacheField name="Column15925" numFmtId="0">
      <sharedItems containsNonDate="0" containsString="0" containsBlank="1"/>
    </cacheField>
    <cacheField name="Column15926" numFmtId="0">
      <sharedItems containsNonDate="0" containsString="0" containsBlank="1"/>
    </cacheField>
    <cacheField name="Column15927" numFmtId="0">
      <sharedItems containsNonDate="0" containsString="0" containsBlank="1"/>
    </cacheField>
    <cacheField name="Column15928" numFmtId="0">
      <sharedItems containsNonDate="0" containsString="0" containsBlank="1"/>
    </cacheField>
    <cacheField name="Column15929" numFmtId="0">
      <sharedItems containsNonDate="0" containsString="0" containsBlank="1"/>
    </cacheField>
    <cacheField name="Column15930" numFmtId="0">
      <sharedItems containsNonDate="0" containsString="0" containsBlank="1"/>
    </cacheField>
    <cacheField name="Column15931" numFmtId="0">
      <sharedItems containsNonDate="0" containsString="0" containsBlank="1"/>
    </cacheField>
    <cacheField name="Column15932" numFmtId="0">
      <sharedItems containsNonDate="0" containsString="0" containsBlank="1"/>
    </cacheField>
    <cacheField name="Column15933" numFmtId="0">
      <sharedItems containsNonDate="0" containsString="0" containsBlank="1"/>
    </cacheField>
    <cacheField name="Column15934" numFmtId="0">
      <sharedItems containsNonDate="0" containsString="0" containsBlank="1"/>
    </cacheField>
    <cacheField name="Column15935" numFmtId="0">
      <sharedItems containsNonDate="0" containsString="0" containsBlank="1"/>
    </cacheField>
    <cacheField name="Column15936" numFmtId="0">
      <sharedItems containsNonDate="0" containsString="0" containsBlank="1"/>
    </cacheField>
    <cacheField name="Column15937" numFmtId="0">
      <sharedItems containsNonDate="0" containsString="0" containsBlank="1"/>
    </cacheField>
    <cacheField name="Column15938" numFmtId="0">
      <sharedItems containsNonDate="0" containsString="0" containsBlank="1"/>
    </cacheField>
    <cacheField name="Column15939" numFmtId="0">
      <sharedItems containsNonDate="0" containsString="0" containsBlank="1"/>
    </cacheField>
    <cacheField name="Column15940" numFmtId="0">
      <sharedItems containsNonDate="0" containsString="0" containsBlank="1"/>
    </cacheField>
    <cacheField name="Column15941" numFmtId="0">
      <sharedItems containsNonDate="0" containsString="0" containsBlank="1"/>
    </cacheField>
    <cacheField name="Column15942" numFmtId="0">
      <sharedItems containsNonDate="0" containsString="0" containsBlank="1"/>
    </cacheField>
    <cacheField name="Column15943" numFmtId="0">
      <sharedItems containsNonDate="0" containsString="0" containsBlank="1"/>
    </cacheField>
    <cacheField name="Column15944" numFmtId="0">
      <sharedItems containsNonDate="0" containsString="0" containsBlank="1"/>
    </cacheField>
    <cacheField name="Column15945" numFmtId="0">
      <sharedItems containsNonDate="0" containsString="0" containsBlank="1"/>
    </cacheField>
    <cacheField name="Column15946" numFmtId="0">
      <sharedItems containsNonDate="0" containsString="0" containsBlank="1"/>
    </cacheField>
    <cacheField name="Column15947" numFmtId="0">
      <sharedItems containsNonDate="0" containsString="0" containsBlank="1"/>
    </cacheField>
    <cacheField name="Column15948" numFmtId="0">
      <sharedItems containsNonDate="0" containsString="0" containsBlank="1"/>
    </cacheField>
    <cacheField name="Column15949" numFmtId="0">
      <sharedItems containsNonDate="0" containsString="0" containsBlank="1"/>
    </cacheField>
    <cacheField name="Column15950" numFmtId="0">
      <sharedItems containsNonDate="0" containsString="0" containsBlank="1"/>
    </cacheField>
    <cacheField name="Column15951" numFmtId="0">
      <sharedItems containsNonDate="0" containsString="0" containsBlank="1"/>
    </cacheField>
    <cacheField name="Column15952" numFmtId="0">
      <sharedItems containsNonDate="0" containsString="0" containsBlank="1"/>
    </cacheField>
    <cacheField name="Column15953" numFmtId="0">
      <sharedItems containsNonDate="0" containsString="0" containsBlank="1"/>
    </cacheField>
    <cacheField name="Column15954" numFmtId="0">
      <sharedItems containsNonDate="0" containsString="0" containsBlank="1"/>
    </cacheField>
    <cacheField name="Column15955" numFmtId="0">
      <sharedItems containsNonDate="0" containsString="0" containsBlank="1"/>
    </cacheField>
    <cacheField name="Column15956" numFmtId="0">
      <sharedItems containsNonDate="0" containsString="0" containsBlank="1"/>
    </cacheField>
    <cacheField name="Column15957" numFmtId="0">
      <sharedItems containsNonDate="0" containsString="0" containsBlank="1"/>
    </cacheField>
    <cacheField name="Column15958" numFmtId="0">
      <sharedItems containsNonDate="0" containsString="0" containsBlank="1"/>
    </cacheField>
    <cacheField name="Column15959" numFmtId="0">
      <sharedItems containsNonDate="0" containsString="0" containsBlank="1"/>
    </cacheField>
    <cacheField name="Column15960" numFmtId="0">
      <sharedItems containsNonDate="0" containsString="0" containsBlank="1"/>
    </cacheField>
    <cacheField name="Column15961" numFmtId="0">
      <sharedItems containsNonDate="0" containsString="0" containsBlank="1"/>
    </cacheField>
    <cacheField name="Column15962" numFmtId="0">
      <sharedItems containsNonDate="0" containsString="0" containsBlank="1"/>
    </cacheField>
    <cacheField name="Column15963" numFmtId="0">
      <sharedItems containsNonDate="0" containsString="0" containsBlank="1"/>
    </cacheField>
    <cacheField name="Column15964" numFmtId="0">
      <sharedItems containsNonDate="0" containsString="0" containsBlank="1"/>
    </cacheField>
    <cacheField name="Column15965" numFmtId="0">
      <sharedItems containsNonDate="0" containsString="0" containsBlank="1"/>
    </cacheField>
    <cacheField name="Column15966" numFmtId="0">
      <sharedItems containsNonDate="0" containsString="0" containsBlank="1"/>
    </cacheField>
    <cacheField name="Column15967" numFmtId="0">
      <sharedItems containsNonDate="0" containsString="0" containsBlank="1"/>
    </cacheField>
    <cacheField name="Column15968" numFmtId="0">
      <sharedItems containsNonDate="0" containsString="0" containsBlank="1"/>
    </cacheField>
    <cacheField name="Column15969" numFmtId="0">
      <sharedItems containsNonDate="0" containsString="0" containsBlank="1"/>
    </cacheField>
    <cacheField name="Column15970" numFmtId="0">
      <sharedItems containsNonDate="0" containsString="0" containsBlank="1"/>
    </cacheField>
    <cacheField name="Column15971" numFmtId="0">
      <sharedItems containsNonDate="0" containsString="0" containsBlank="1"/>
    </cacheField>
    <cacheField name="Column15972" numFmtId="0">
      <sharedItems containsNonDate="0" containsString="0" containsBlank="1"/>
    </cacheField>
    <cacheField name="Column15973" numFmtId="0">
      <sharedItems containsNonDate="0" containsString="0" containsBlank="1"/>
    </cacheField>
    <cacheField name="Column15974" numFmtId="0">
      <sharedItems containsNonDate="0" containsString="0" containsBlank="1"/>
    </cacheField>
    <cacheField name="Column15975" numFmtId="0">
      <sharedItems containsNonDate="0" containsString="0" containsBlank="1"/>
    </cacheField>
    <cacheField name="Column15976" numFmtId="0">
      <sharedItems containsNonDate="0" containsString="0" containsBlank="1"/>
    </cacheField>
    <cacheField name="Column15977" numFmtId="0">
      <sharedItems containsNonDate="0" containsString="0" containsBlank="1"/>
    </cacheField>
    <cacheField name="Column15978" numFmtId="0">
      <sharedItems containsNonDate="0" containsString="0" containsBlank="1"/>
    </cacheField>
    <cacheField name="Column15979" numFmtId="0">
      <sharedItems containsNonDate="0" containsString="0" containsBlank="1"/>
    </cacheField>
    <cacheField name="Column15980" numFmtId="0">
      <sharedItems containsNonDate="0" containsString="0" containsBlank="1"/>
    </cacheField>
    <cacheField name="Column15981" numFmtId="0">
      <sharedItems containsNonDate="0" containsString="0" containsBlank="1"/>
    </cacheField>
    <cacheField name="Column15982" numFmtId="0">
      <sharedItems containsNonDate="0" containsString="0" containsBlank="1"/>
    </cacheField>
    <cacheField name="Column15983" numFmtId="0">
      <sharedItems containsNonDate="0" containsString="0" containsBlank="1"/>
    </cacheField>
    <cacheField name="Column15984" numFmtId="0">
      <sharedItems containsNonDate="0" containsString="0" containsBlank="1"/>
    </cacheField>
    <cacheField name="Column15985" numFmtId="0">
      <sharedItems containsNonDate="0" containsString="0" containsBlank="1"/>
    </cacheField>
    <cacheField name="Column15986" numFmtId="0">
      <sharedItems containsNonDate="0" containsString="0" containsBlank="1"/>
    </cacheField>
    <cacheField name="Column15987" numFmtId="0">
      <sharedItems containsNonDate="0" containsString="0" containsBlank="1"/>
    </cacheField>
    <cacheField name="Column15988" numFmtId="0">
      <sharedItems containsNonDate="0" containsString="0" containsBlank="1"/>
    </cacheField>
    <cacheField name="Column15989" numFmtId="0">
      <sharedItems containsNonDate="0" containsString="0" containsBlank="1"/>
    </cacheField>
    <cacheField name="Column15990" numFmtId="0">
      <sharedItems containsNonDate="0" containsString="0" containsBlank="1"/>
    </cacheField>
    <cacheField name="Column15991" numFmtId="0">
      <sharedItems containsNonDate="0" containsString="0" containsBlank="1"/>
    </cacheField>
    <cacheField name="Column15992" numFmtId="0">
      <sharedItems containsNonDate="0" containsString="0" containsBlank="1"/>
    </cacheField>
    <cacheField name="Column15993" numFmtId="0">
      <sharedItems containsNonDate="0" containsString="0" containsBlank="1"/>
    </cacheField>
    <cacheField name="Column15994" numFmtId="0">
      <sharedItems containsNonDate="0" containsString="0" containsBlank="1"/>
    </cacheField>
    <cacheField name="Column15995" numFmtId="0">
      <sharedItems containsNonDate="0" containsString="0" containsBlank="1"/>
    </cacheField>
    <cacheField name="Column15996" numFmtId="0">
      <sharedItems containsNonDate="0" containsString="0" containsBlank="1"/>
    </cacheField>
    <cacheField name="Column15997" numFmtId="0">
      <sharedItems containsNonDate="0" containsString="0" containsBlank="1"/>
    </cacheField>
    <cacheField name="Column15998" numFmtId="0">
      <sharedItems containsNonDate="0" containsString="0" containsBlank="1"/>
    </cacheField>
    <cacheField name="Column15999" numFmtId="0">
      <sharedItems containsNonDate="0" containsString="0" containsBlank="1"/>
    </cacheField>
    <cacheField name="Column16000" numFmtId="0">
      <sharedItems containsNonDate="0" containsString="0" containsBlank="1"/>
    </cacheField>
    <cacheField name="Column16001" numFmtId="0">
      <sharedItems containsNonDate="0" containsString="0" containsBlank="1"/>
    </cacheField>
    <cacheField name="Column16002" numFmtId="0">
      <sharedItems containsNonDate="0" containsString="0" containsBlank="1"/>
    </cacheField>
    <cacheField name="Column16003" numFmtId="0">
      <sharedItems containsNonDate="0" containsString="0" containsBlank="1"/>
    </cacheField>
    <cacheField name="Column16004" numFmtId="0">
      <sharedItems containsNonDate="0" containsString="0" containsBlank="1"/>
    </cacheField>
    <cacheField name="Column16005" numFmtId="0">
      <sharedItems containsNonDate="0" containsString="0" containsBlank="1"/>
    </cacheField>
    <cacheField name="Column16006" numFmtId="0">
      <sharedItems containsNonDate="0" containsString="0" containsBlank="1"/>
    </cacheField>
    <cacheField name="Column16007" numFmtId="0">
      <sharedItems containsNonDate="0" containsString="0" containsBlank="1"/>
    </cacheField>
    <cacheField name="Column16008" numFmtId="0">
      <sharedItems containsNonDate="0" containsString="0" containsBlank="1"/>
    </cacheField>
    <cacheField name="Column16009" numFmtId="0">
      <sharedItems containsNonDate="0" containsString="0" containsBlank="1"/>
    </cacheField>
    <cacheField name="Column16010" numFmtId="0">
      <sharedItems containsNonDate="0" containsString="0" containsBlank="1"/>
    </cacheField>
    <cacheField name="Column16011" numFmtId="0">
      <sharedItems containsNonDate="0" containsString="0" containsBlank="1"/>
    </cacheField>
    <cacheField name="Column16012" numFmtId="0">
      <sharedItems containsNonDate="0" containsString="0" containsBlank="1"/>
    </cacheField>
    <cacheField name="Column16013" numFmtId="0">
      <sharedItems containsNonDate="0" containsString="0" containsBlank="1"/>
    </cacheField>
    <cacheField name="Column16014" numFmtId="0">
      <sharedItems containsNonDate="0" containsString="0" containsBlank="1"/>
    </cacheField>
    <cacheField name="Column16015" numFmtId="0">
      <sharedItems containsNonDate="0" containsString="0" containsBlank="1"/>
    </cacheField>
    <cacheField name="Column16016" numFmtId="0">
      <sharedItems containsNonDate="0" containsString="0" containsBlank="1"/>
    </cacheField>
    <cacheField name="Column16017" numFmtId="0">
      <sharedItems containsNonDate="0" containsString="0" containsBlank="1"/>
    </cacheField>
    <cacheField name="Column16018" numFmtId="0">
      <sharedItems containsNonDate="0" containsString="0" containsBlank="1"/>
    </cacheField>
    <cacheField name="Column16019" numFmtId="0">
      <sharedItems containsNonDate="0" containsString="0" containsBlank="1"/>
    </cacheField>
    <cacheField name="Column16020" numFmtId="0">
      <sharedItems containsNonDate="0" containsString="0" containsBlank="1"/>
    </cacheField>
    <cacheField name="Column16021" numFmtId="0">
      <sharedItems containsNonDate="0" containsString="0" containsBlank="1"/>
    </cacheField>
    <cacheField name="Column16022" numFmtId="0">
      <sharedItems containsNonDate="0" containsString="0" containsBlank="1"/>
    </cacheField>
    <cacheField name="Column16023" numFmtId="0">
      <sharedItems containsNonDate="0" containsString="0" containsBlank="1"/>
    </cacheField>
    <cacheField name="Column16024" numFmtId="0">
      <sharedItems containsNonDate="0" containsString="0" containsBlank="1"/>
    </cacheField>
    <cacheField name="Column16025" numFmtId="0">
      <sharedItems containsNonDate="0" containsString="0" containsBlank="1"/>
    </cacheField>
    <cacheField name="Column16026" numFmtId="0">
      <sharedItems containsNonDate="0" containsString="0" containsBlank="1"/>
    </cacheField>
    <cacheField name="Column16027" numFmtId="0">
      <sharedItems containsNonDate="0" containsString="0" containsBlank="1"/>
    </cacheField>
    <cacheField name="Column16028" numFmtId="0">
      <sharedItems containsNonDate="0" containsString="0" containsBlank="1"/>
    </cacheField>
    <cacheField name="Column16029" numFmtId="0">
      <sharedItems containsNonDate="0" containsString="0" containsBlank="1"/>
    </cacheField>
    <cacheField name="Column16030" numFmtId="0">
      <sharedItems containsNonDate="0" containsString="0" containsBlank="1"/>
    </cacheField>
    <cacheField name="Column16031" numFmtId="0">
      <sharedItems containsNonDate="0" containsString="0" containsBlank="1"/>
    </cacheField>
    <cacheField name="Column16032" numFmtId="0">
      <sharedItems containsNonDate="0" containsString="0" containsBlank="1"/>
    </cacheField>
    <cacheField name="Column16033" numFmtId="0">
      <sharedItems containsNonDate="0" containsString="0" containsBlank="1"/>
    </cacheField>
    <cacheField name="Column16034" numFmtId="0">
      <sharedItems containsNonDate="0" containsString="0" containsBlank="1"/>
    </cacheField>
    <cacheField name="Column16035" numFmtId="0">
      <sharedItems containsNonDate="0" containsString="0" containsBlank="1"/>
    </cacheField>
    <cacheField name="Column16036" numFmtId="0">
      <sharedItems containsNonDate="0" containsString="0" containsBlank="1"/>
    </cacheField>
    <cacheField name="Column16037" numFmtId="0">
      <sharedItems containsNonDate="0" containsString="0" containsBlank="1"/>
    </cacheField>
    <cacheField name="Column16038" numFmtId="0">
      <sharedItems containsNonDate="0" containsString="0" containsBlank="1"/>
    </cacheField>
    <cacheField name="Column16039" numFmtId="0">
      <sharedItems containsNonDate="0" containsString="0" containsBlank="1"/>
    </cacheField>
    <cacheField name="Column16040" numFmtId="0">
      <sharedItems containsNonDate="0" containsString="0" containsBlank="1"/>
    </cacheField>
    <cacheField name="Column16041" numFmtId="0">
      <sharedItems containsNonDate="0" containsString="0" containsBlank="1"/>
    </cacheField>
    <cacheField name="Column16042" numFmtId="0">
      <sharedItems containsNonDate="0" containsString="0" containsBlank="1"/>
    </cacheField>
    <cacheField name="Column16043" numFmtId="0">
      <sharedItems containsNonDate="0" containsString="0" containsBlank="1"/>
    </cacheField>
    <cacheField name="Column16044" numFmtId="0">
      <sharedItems containsNonDate="0" containsString="0" containsBlank="1"/>
    </cacheField>
    <cacheField name="Column16045" numFmtId="0">
      <sharedItems containsNonDate="0" containsString="0" containsBlank="1"/>
    </cacheField>
    <cacheField name="Column16046" numFmtId="0">
      <sharedItems containsNonDate="0" containsString="0" containsBlank="1"/>
    </cacheField>
    <cacheField name="Column16047" numFmtId="0">
      <sharedItems containsNonDate="0" containsString="0" containsBlank="1"/>
    </cacheField>
    <cacheField name="Column16048" numFmtId="0">
      <sharedItems containsNonDate="0" containsString="0" containsBlank="1"/>
    </cacheField>
    <cacheField name="Column16049" numFmtId="0">
      <sharedItems containsNonDate="0" containsString="0" containsBlank="1"/>
    </cacheField>
    <cacheField name="Column16050" numFmtId="0">
      <sharedItems containsNonDate="0" containsString="0" containsBlank="1"/>
    </cacheField>
    <cacheField name="Column16051" numFmtId="0">
      <sharedItems containsNonDate="0" containsString="0" containsBlank="1"/>
    </cacheField>
    <cacheField name="Column16052" numFmtId="0">
      <sharedItems containsNonDate="0" containsString="0" containsBlank="1"/>
    </cacheField>
    <cacheField name="Column16053" numFmtId="0">
      <sharedItems containsNonDate="0" containsString="0" containsBlank="1"/>
    </cacheField>
    <cacheField name="Column16054" numFmtId="0">
      <sharedItems containsNonDate="0" containsString="0" containsBlank="1"/>
    </cacheField>
    <cacheField name="Column16055" numFmtId="0">
      <sharedItems containsNonDate="0" containsString="0" containsBlank="1"/>
    </cacheField>
    <cacheField name="Column16056" numFmtId="0">
      <sharedItems containsNonDate="0" containsString="0" containsBlank="1"/>
    </cacheField>
    <cacheField name="Column16057" numFmtId="0">
      <sharedItems containsNonDate="0" containsString="0" containsBlank="1"/>
    </cacheField>
    <cacheField name="Column16058" numFmtId="0">
      <sharedItems containsNonDate="0" containsString="0" containsBlank="1"/>
    </cacheField>
    <cacheField name="Column16059" numFmtId="0">
      <sharedItems containsNonDate="0" containsString="0" containsBlank="1"/>
    </cacheField>
    <cacheField name="Column16060" numFmtId="0">
      <sharedItems containsNonDate="0" containsString="0" containsBlank="1"/>
    </cacheField>
    <cacheField name="Column16061" numFmtId="0">
      <sharedItems containsNonDate="0" containsString="0" containsBlank="1"/>
    </cacheField>
    <cacheField name="Column16062" numFmtId="0">
      <sharedItems containsNonDate="0" containsString="0" containsBlank="1"/>
    </cacheField>
    <cacheField name="Column16063" numFmtId="0">
      <sharedItems containsNonDate="0" containsString="0" containsBlank="1"/>
    </cacheField>
    <cacheField name="Column16064" numFmtId="0">
      <sharedItems containsNonDate="0" containsString="0" containsBlank="1"/>
    </cacheField>
    <cacheField name="Column16065" numFmtId="0">
      <sharedItems containsNonDate="0" containsString="0" containsBlank="1"/>
    </cacheField>
    <cacheField name="Column16066" numFmtId="0">
      <sharedItems containsNonDate="0" containsString="0" containsBlank="1"/>
    </cacheField>
    <cacheField name="Column16067" numFmtId="0">
      <sharedItems containsNonDate="0" containsString="0" containsBlank="1"/>
    </cacheField>
    <cacheField name="Column16068" numFmtId="0">
      <sharedItems containsNonDate="0" containsString="0" containsBlank="1"/>
    </cacheField>
    <cacheField name="Column16069" numFmtId="0">
      <sharedItems containsNonDate="0" containsString="0" containsBlank="1"/>
    </cacheField>
    <cacheField name="Column16070" numFmtId="0">
      <sharedItems containsNonDate="0" containsString="0" containsBlank="1"/>
    </cacheField>
    <cacheField name="Column16071" numFmtId="0">
      <sharedItems containsNonDate="0" containsString="0" containsBlank="1"/>
    </cacheField>
    <cacheField name="Column16072" numFmtId="0">
      <sharedItems containsNonDate="0" containsString="0" containsBlank="1"/>
    </cacheField>
    <cacheField name="Column16073" numFmtId="0">
      <sharedItems containsNonDate="0" containsString="0" containsBlank="1"/>
    </cacheField>
    <cacheField name="Column16074" numFmtId="0">
      <sharedItems containsNonDate="0" containsString="0" containsBlank="1"/>
    </cacheField>
    <cacheField name="Column16075" numFmtId="0">
      <sharedItems containsNonDate="0" containsString="0" containsBlank="1"/>
    </cacheField>
    <cacheField name="Column16076" numFmtId="0">
      <sharedItems containsNonDate="0" containsString="0" containsBlank="1"/>
    </cacheField>
    <cacheField name="Column16077" numFmtId="0">
      <sharedItems containsNonDate="0" containsString="0" containsBlank="1"/>
    </cacheField>
    <cacheField name="Column16078" numFmtId="0">
      <sharedItems containsNonDate="0" containsString="0" containsBlank="1"/>
    </cacheField>
    <cacheField name="Column16079" numFmtId="0">
      <sharedItems containsNonDate="0" containsString="0" containsBlank="1"/>
    </cacheField>
    <cacheField name="Column16080" numFmtId="0">
      <sharedItems containsNonDate="0" containsString="0" containsBlank="1"/>
    </cacheField>
    <cacheField name="Column16081" numFmtId="0">
      <sharedItems containsNonDate="0" containsString="0" containsBlank="1"/>
    </cacheField>
    <cacheField name="Column16082" numFmtId="0">
      <sharedItems containsNonDate="0" containsString="0" containsBlank="1"/>
    </cacheField>
    <cacheField name="Column16083" numFmtId="0">
      <sharedItems containsNonDate="0" containsString="0" containsBlank="1"/>
    </cacheField>
    <cacheField name="Column16084" numFmtId="0">
      <sharedItems containsNonDate="0" containsString="0" containsBlank="1"/>
    </cacheField>
    <cacheField name="Column16085" numFmtId="0">
      <sharedItems containsNonDate="0" containsString="0" containsBlank="1"/>
    </cacheField>
    <cacheField name="Column16086" numFmtId="0">
      <sharedItems containsNonDate="0" containsString="0" containsBlank="1"/>
    </cacheField>
    <cacheField name="Column16087" numFmtId="0">
      <sharedItems containsNonDate="0" containsString="0" containsBlank="1"/>
    </cacheField>
    <cacheField name="Column16088" numFmtId="0">
      <sharedItems containsNonDate="0" containsString="0" containsBlank="1"/>
    </cacheField>
    <cacheField name="Column16089" numFmtId="0">
      <sharedItems containsNonDate="0" containsString="0" containsBlank="1"/>
    </cacheField>
    <cacheField name="Column16090" numFmtId="0">
      <sharedItems containsNonDate="0" containsString="0" containsBlank="1"/>
    </cacheField>
    <cacheField name="Column16091" numFmtId="0">
      <sharedItems containsNonDate="0" containsString="0" containsBlank="1"/>
    </cacheField>
    <cacheField name="Column16092" numFmtId="0">
      <sharedItems containsNonDate="0" containsString="0" containsBlank="1"/>
    </cacheField>
    <cacheField name="Column16093" numFmtId="0">
      <sharedItems containsNonDate="0" containsString="0" containsBlank="1"/>
    </cacheField>
    <cacheField name="Column16094" numFmtId="0">
      <sharedItems containsNonDate="0" containsString="0" containsBlank="1"/>
    </cacheField>
    <cacheField name="Column16095" numFmtId="0">
      <sharedItems containsNonDate="0" containsString="0" containsBlank="1"/>
    </cacheField>
    <cacheField name="Column16096" numFmtId="0">
      <sharedItems containsNonDate="0" containsString="0" containsBlank="1"/>
    </cacheField>
    <cacheField name="Column16097" numFmtId="0">
      <sharedItems containsNonDate="0" containsString="0" containsBlank="1"/>
    </cacheField>
    <cacheField name="Column16098" numFmtId="0">
      <sharedItems containsNonDate="0" containsString="0" containsBlank="1"/>
    </cacheField>
    <cacheField name="Column16099" numFmtId="0">
      <sharedItems containsNonDate="0" containsString="0" containsBlank="1"/>
    </cacheField>
    <cacheField name="Column16100" numFmtId="0">
      <sharedItems containsNonDate="0" containsString="0" containsBlank="1"/>
    </cacheField>
    <cacheField name="Column16101" numFmtId="0">
      <sharedItems containsNonDate="0" containsString="0" containsBlank="1"/>
    </cacheField>
    <cacheField name="Column16102" numFmtId="0">
      <sharedItems containsNonDate="0" containsString="0" containsBlank="1"/>
    </cacheField>
    <cacheField name="Column16103" numFmtId="0">
      <sharedItems containsNonDate="0" containsString="0" containsBlank="1"/>
    </cacheField>
    <cacheField name="Column16104" numFmtId="0">
      <sharedItems containsNonDate="0" containsString="0" containsBlank="1"/>
    </cacheField>
    <cacheField name="Column16105" numFmtId="0">
      <sharedItems containsNonDate="0" containsString="0" containsBlank="1"/>
    </cacheField>
    <cacheField name="Column16106" numFmtId="0">
      <sharedItems containsNonDate="0" containsString="0" containsBlank="1"/>
    </cacheField>
    <cacheField name="Column16107" numFmtId="0">
      <sharedItems containsNonDate="0" containsString="0" containsBlank="1"/>
    </cacheField>
    <cacheField name="Column16108" numFmtId="0">
      <sharedItems containsNonDate="0" containsString="0" containsBlank="1"/>
    </cacheField>
    <cacheField name="Column16109" numFmtId="0">
      <sharedItems containsNonDate="0" containsString="0" containsBlank="1"/>
    </cacheField>
    <cacheField name="Column16110" numFmtId="0">
      <sharedItems containsNonDate="0" containsString="0" containsBlank="1"/>
    </cacheField>
    <cacheField name="Column16111" numFmtId="0">
      <sharedItems containsNonDate="0" containsString="0" containsBlank="1"/>
    </cacheField>
    <cacheField name="Column16112" numFmtId="0">
      <sharedItems containsNonDate="0" containsString="0" containsBlank="1"/>
    </cacheField>
    <cacheField name="Column16113" numFmtId="0">
      <sharedItems containsNonDate="0" containsString="0" containsBlank="1"/>
    </cacheField>
    <cacheField name="Column16114" numFmtId="0">
      <sharedItems containsNonDate="0" containsString="0" containsBlank="1"/>
    </cacheField>
    <cacheField name="Column16115" numFmtId="0">
      <sharedItems containsNonDate="0" containsString="0" containsBlank="1"/>
    </cacheField>
    <cacheField name="Column16116" numFmtId="0">
      <sharedItems containsNonDate="0" containsString="0" containsBlank="1"/>
    </cacheField>
    <cacheField name="Column16117" numFmtId="0">
      <sharedItems containsNonDate="0" containsString="0" containsBlank="1"/>
    </cacheField>
    <cacheField name="Column16118" numFmtId="0">
      <sharedItems containsNonDate="0" containsString="0" containsBlank="1"/>
    </cacheField>
    <cacheField name="Column16119" numFmtId="0">
      <sharedItems containsNonDate="0" containsString="0" containsBlank="1"/>
    </cacheField>
    <cacheField name="Column16120" numFmtId="0">
      <sharedItems containsNonDate="0" containsString="0" containsBlank="1"/>
    </cacheField>
    <cacheField name="Column16121" numFmtId="0">
      <sharedItems containsNonDate="0" containsString="0" containsBlank="1"/>
    </cacheField>
    <cacheField name="Column16122" numFmtId="0">
      <sharedItems containsNonDate="0" containsString="0" containsBlank="1"/>
    </cacheField>
    <cacheField name="Column16123" numFmtId="0">
      <sharedItems containsNonDate="0" containsString="0" containsBlank="1"/>
    </cacheField>
    <cacheField name="Column16124" numFmtId="0">
      <sharedItems containsNonDate="0" containsString="0" containsBlank="1"/>
    </cacheField>
    <cacheField name="Column16125" numFmtId="0">
      <sharedItems containsNonDate="0" containsString="0" containsBlank="1"/>
    </cacheField>
    <cacheField name="Column16126" numFmtId="0">
      <sharedItems containsNonDate="0" containsString="0" containsBlank="1"/>
    </cacheField>
    <cacheField name="Column16127" numFmtId="0">
      <sharedItems containsNonDate="0" containsString="0" containsBlank="1"/>
    </cacheField>
    <cacheField name="Column16128" numFmtId="0">
      <sharedItems containsNonDate="0" containsString="0" containsBlank="1"/>
    </cacheField>
    <cacheField name="Column16129" numFmtId="0">
      <sharedItems containsNonDate="0" containsString="0" containsBlank="1"/>
    </cacheField>
    <cacheField name="Column16130" numFmtId="0">
      <sharedItems containsNonDate="0" containsString="0" containsBlank="1"/>
    </cacheField>
    <cacheField name="Column16131" numFmtId="0">
      <sharedItems containsNonDate="0" containsString="0" containsBlank="1"/>
    </cacheField>
    <cacheField name="Column16132" numFmtId="0">
      <sharedItems containsNonDate="0" containsString="0" containsBlank="1"/>
    </cacheField>
    <cacheField name="Column16133" numFmtId="0">
      <sharedItems containsNonDate="0" containsString="0" containsBlank="1"/>
    </cacheField>
    <cacheField name="Column16134" numFmtId="0">
      <sharedItems containsNonDate="0" containsString="0" containsBlank="1"/>
    </cacheField>
    <cacheField name="Column16135" numFmtId="0">
      <sharedItems containsNonDate="0" containsString="0" containsBlank="1"/>
    </cacheField>
    <cacheField name="Column16136" numFmtId="0">
      <sharedItems containsNonDate="0" containsString="0" containsBlank="1"/>
    </cacheField>
    <cacheField name="Column16137" numFmtId="0">
      <sharedItems containsNonDate="0" containsString="0" containsBlank="1"/>
    </cacheField>
    <cacheField name="Column16138" numFmtId="0">
      <sharedItems containsNonDate="0" containsString="0" containsBlank="1"/>
    </cacheField>
    <cacheField name="Column16139" numFmtId="0">
      <sharedItems containsNonDate="0" containsString="0" containsBlank="1"/>
    </cacheField>
    <cacheField name="Column16140" numFmtId="0">
      <sharedItems containsNonDate="0" containsString="0" containsBlank="1"/>
    </cacheField>
    <cacheField name="Column16141" numFmtId="0">
      <sharedItems containsNonDate="0" containsString="0" containsBlank="1"/>
    </cacheField>
    <cacheField name="Column16142" numFmtId="0">
      <sharedItems containsNonDate="0" containsString="0" containsBlank="1"/>
    </cacheField>
    <cacheField name="Column16143" numFmtId="0">
      <sharedItems containsNonDate="0" containsString="0" containsBlank="1"/>
    </cacheField>
    <cacheField name="Column16144" numFmtId="0">
      <sharedItems containsNonDate="0" containsString="0" containsBlank="1"/>
    </cacheField>
    <cacheField name="Column16145" numFmtId="0">
      <sharedItems containsNonDate="0" containsString="0" containsBlank="1"/>
    </cacheField>
    <cacheField name="Column16146" numFmtId="0">
      <sharedItems containsNonDate="0" containsString="0" containsBlank="1"/>
    </cacheField>
    <cacheField name="Column16147" numFmtId="0">
      <sharedItems containsNonDate="0" containsString="0" containsBlank="1"/>
    </cacheField>
    <cacheField name="Column16148" numFmtId="0">
      <sharedItems containsNonDate="0" containsString="0" containsBlank="1"/>
    </cacheField>
    <cacheField name="Column16149" numFmtId="0">
      <sharedItems containsNonDate="0" containsString="0" containsBlank="1"/>
    </cacheField>
    <cacheField name="Column16150" numFmtId="0">
      <sharedItems containsNonDate="0" containsString="0" containsBlank="1"/>
    </cacheField>
    <cacheField name="Column16151" numFmtId="0">
      <sharedItems containsNonDate="0" containsString="0" containsBlank="1"/>
    </cacheField>
    <cacheField name="Column16152" numFmtId="0">
      <sharedItems containsNonDate="0" containsString="0" containsBlank="1"/>
    </cacheField>
    <cacheField name="Column16153" numFmtId="0">
      <sharedItems containsNonDate="0" containsString="0" containsBlank="1"/>
    </cacheField>
    <cacheField name="Column16154" numFmtId="0">
      <sharedItems containsNonDate="0" containsString="0" containsBlank="1"/>
    </cacheField>
    <cacheField name="Column16155" numFmtId="0">
      <sharedItems containsNonDate="0" containsString="0" containsBlank="1"/>
    </cacheField>
    <cacheField name="Column16156" numFmtId="0">
      <sharedItems containsNonDate="0" containsString="0" containsBlank="1"/>
    </cacheField>
    <cacheField name="Column16157" numFmtId="0">
      <sharedItems containsNonDate="0" containsString="0" containsBlank="1"/>
    </cacheField>
    <cacheField name="Column16158" numFmtId="0">
      <sharedItems containsNonDate="0" containsString="0" containsBlank="1"/>
    </cacheField>
    <cacheField name="Column16159" numFmtId="0">
      <sharedItems containsNonDate="0" containsString="0" containsBlank="1"/>
    </cacheField>
    <cacheField name="Column16160" numFmtId="0">
      <sharedItems containsNonDate="0" containsString="0" containsBlank="1"/>
    </cacheField>
    <cacheField name="Column16161" numFmtId="0">
      <sharedItems containsNonDate="0" containsString="0" containsBlank="1"/>
    </cacheField>
    <cacheField name="Column16162" numFmtId="0">
      <sharedItems containsNonDate="0" containsString="0" containsBlank="1"/>
    </cacheField>
    <cacheField name="Column16163" numFmtId="0">
      <sharedItems containsNonDate="0" containsString="0" containsBlank="1"/>
    </cacheField>
    <cacheField name="Column16164" numFmtId="0">
      <sharedItems containsNonDate="0" containsString="0" containsBlank="1"/>
    </cacheField>
    <cacheField name="Column16165" numFmtId="0">
      <sharedItems containsNonDate="0" containsString="0" containsBlank="1"/>
    </cacheField>
    <cacheField name="Column16166" numFmtId="0">
      <sharedItems containsNonDate="0" containsString="0" containsBlank="1"/>
    </cacheField>
    <cacheField name="Column16167" numFmtId="0">
      <sharedItems containsNonDate="0" containsString="0" containsBlank="1"/>
    </cacheField>
    <cacheField name="Column16168" numFmtId="0">
      <sharedItems containsNonDate="0" containsString="0" containsBlank="1"/>
    </cacheField>
    <cacheField name="Column16169" numFmtId="0">
      <sharedItems containsNonDate="0" containsString="0" containsBlank="1"/>
    </cacheField>
    <cacheField name="Column16170" numFmtId="0">
      <sharedItems containsNonDate="0" containsString="0" containsBlank="1"/>
    </cacheField>
    <cacheField name="Column16171" numFmtId="0">
      <sharedItems containsNonDate="0" containsString="0" containsBlank="1"/>
    </cacheField>
    <cacheField name="Column16172" numFmtId="0">
      <sharedItems containsNonDate="0" containsString="0" containsBlank="1"/>
    </cacheField>
    <cacheField name="Column16173" numFmtId="0">
      <sharedItems containsNonDate="0" containsString="0" containsBlank="1"/>
    </cacheField>
    <cacheField name="Column16174" numFmtId="0">
      <sharedItems containsNonDate="0" containsString="0" containsBlank="1"/>
    </cacheField>
    <cacheField name="Column16175" numFmtId="0">
      <sharedItems containsNonDate="0" containsString="0" containsBlank="1"/>
    </cacheField>
    <cacheField name="Column16176" numFmtId="0">
      <sharedItems containsNonDate="0" containsString="0" containsBlank="1"/>
    </cacheField>
    <cacheField name="Column16177" numFmtId="0">
      <sharedItems containsNonDate="0" containsString="0" containsBlank="1"/>
    </cacheField>
    <cacheField name="Column16178" numFmtId="0">
      <sharedItems containsNonDate="0" containsString="0" containsBlank="1"/>
    </cacheField>
    <cacheField name="Column16179" numFmtId="0">
      <sharedItems containsNonDate="0" containsString="0" containsBlank="1"/>
    </cacheField>
    <cacheField name="Column16180" numFmtId="0">
      <sharedItems containsNonDate="0" containsString="0" containsBlank="1"/>
    </cacheField>
    <cacheField name="Column16181" numFmtId="0">
      <sharedItems containsNonDate="0" containsString="0" containsBlank="1"/>
    </cacheField>
    <cacheField name="Column16182" numFmtId="0">
      <sharedItems containsNonDate="0" containsString="0" containsBlank="1"/>
    </cacheField>
    <cacheField name="Column16183" numFmtId="0">
      <sharedItems containsNonDate="0" containsString="0" containsBlank="1"/>
    </cacheField>
    <cacheField name="Column16184" numFmtId="0">
      <sharedItems containsNonDate="0" containsString="0" containsBlank="1"/>
    </cacheField>
    <cacheField name="Column16185" numFmtId="0">
      <sharedItems containsNonDate="0" containsString="0" containsBlank="1"/>
    </cacheField>
    <cacheField name="Column16186" numFmtId="0">
      <sharedItems containsNonDate="0" containsString="0" containsBlank="1"/>
    </cacheField>
    <cacheField name="Column16187" numFmtId="0">
      <sharedItems containsNonDate="0" containsString="0" containsBlank="1"/>
    </cacheField>
    <cacheField name="Column16188" numFmtId="0">
      <sharedItems containsNonDate="0" containsString="0" containsBlank="1"/>
    </cacheField>
    <cacheField name="Column16189" numFmtId="0">
      <sharedItems containsNonDate="0" containsString="0" containsBlank="1"/>
    </cacheField>
    <cacheField name="Column16190" numFmtId="0">
      <sharedItems containsNonDate="0" containsString="0" containsBlank="1"/>
    </cacheField>
    <cacheField name="Column16191" numFmtId="0">
      <sharedItems containsNonDate="0" containsString="0" containsBlank="1"/>
    </cacheField>
    <cacheField name="Column16192" numFmtId="0">
      <sharedItems containsNonDate="0" containsString="0" containsBlank="1"/>
    </cacheField>
    <cacheField name="Column16193" numFmtId="0">
      <sharedItems containsNonDate="0" containsString="0" containsBlank="1"/>
    </cacheField>
    <cacheField name="Column16194" numFmtId="0">
      <sharedItems containsNonDate="0" containsString="0" containsBlank="1"/>
    </cacheField>
    <cacheField name="Column16195" numFmtId="0">
      <sharedItems containsNonDate="0" containsString="0" containsBlank="1"/>
    </cacheField>
    <cacheField name="Column16196" numFmtId="0">
      <sharedItems containsNonDate="0" containsString="0" containsBlank="1"/>
    </cacheField>
    <cacheField name="Column16197" numFmtId="0">
      <sharedItems containsNonDate="0" containsString="0" containsBlank="1"/>
    </cacheField>
    <cacheField name="Column16198" numFmtId="0">
      <sharedItems containsNonDate="0" containsString="0" containsBlank="1"/>
    </cacheField>
    <cacheField name="Column16199" numFmtId="0">
      <sharedItems containsNonDate="0" containsString="0" containsBlank="1"/>
    </cacheField>
    <cacheField name="Column16200" numFmtId="0">
      <sharedItems containsNonDate="0" containsString="0" containsBlank="1"/>
    </cacheField>
    <cacheField name="Column16201" numFmtId="0">
      <sharedItems containsNonDate="0" containsString="0" containsBlank="1"/>
    </cacheField>
    <cacheField name="Column16202" numFmtId="0">
      <sharedItems containsNonDate="0" containsString="0" containsBlank="1"/>
    </cacheField>
    <cacheField name="Column16203" numFmtId="0">
      <sharedItems containsNonDate="0" containsString="0" containsBlank="1"/>
    </cacheField>
    <cacheField name="Column16204" numFmtId="0">
      <sharedItems containsNonDate="0" containsString="0" containsBlank="1"/>
    </cacheField>
    <cacheField name="Column16205" numFmtId="0">
      <sharedItems containsNonDate="0" containsString="0" containsBlank="1"/>
    </cacheField>
    <cacheField name="Column16206" numFmtId="0">
      <sharedItems containsNonDate="0" containsString="0" containsBlank="1"/>
    </cacheField>
    <cacheField name="Column16207" numFmtId="0">
      <sharedItems containsNonDate="0" containsString="0" containsBlank="1"/>
    </cacheField>
    <cacheField name="Column16208" numFmtId="0">
      <sharedItems containsNonDate="0" containsString="0" containsBlank="1"/>
    </cacheField>
    <cacheField name="Column16209" numFmtId="0">
      <sharedItems containsNonDate="0" containsString="0" containsBlank="1"/>
    </cacheField>
    <cacheField name="Column16210" numFmtId="0">
      <sharedItems containsNonDate="0" containsString="0" containsBlank="1"/>
    </cacheField>
    <cacheField name="Column16211" numFmtId="0">
      <sharedItems containsNonDate="0" containsString="0" containsBlank="1"/>
    </cacheField>
    <cacheField name="Column16212" numFmtId="0">
      <sharedItems containsNonDate="0" containsString="0" containsBlank="1"/>
    </cacheField>
    <cacheField name="Column16213" numFmtId="0">
      <sharedItems containsNonDate="0" containsString="0" containsBlank="1"/>
    </cacheField>
    <cacheField name="Column16214" numFmtId="0">
      <sharedItems containsNonDate="0" containsString="0" containsBlank="1"/>
    </cacheField>
    <cacheField name="Column16215" numFmtId="0">
      <sharedItems containsNonDate="0" containsString="0" containsBlank="1"/>
    </cacheField>
    <cacheField name="Column16216" numFmtId="0">
      <sharedItems containsNonDate="0" containsString="0" containsBlank="1"/>
    </cacheField>
    <cacheField name="Column16217" numFmtId="0">
      <sharedItems containsNonDate="0" containsString="0" containsBlank="1"/>
    </cacheField>
    <cacheField name="Column16218" numFmtId="0">
      <sharedItems containsNonDate="0" containsString="0" containsBlank="1"/>
    </cacheField>
    <cacheField name="Column16219" numFmtId="0">
      <sharedItems containsNonDate="0" containsString="0" containsBlank="1"/>
    </cacheField>
    <cacheField name="Column16220" numFmtId="0">
      <sharedItems containsNonDate="0" containsString="0" containsBlank="1"/>
    </cacheField>
    <cacheField name="Column16221" numFmtId="0">
      <sharedItems containsNonDate="0" containsString="0" containsBlank="1"/>
    </cacheField>
    <cacheField name="Column16222" numFmtId="0">
      <sharedItems containsNonDate="0" containsString="0" containsBlank="1"/>
    </cacheField>
    <cacheField name="Column16223" numFmtId="0">
      <sharedItems containsNonDate="0" containsString="0" containsBlank="1"/>
    </cacheField>
    <cacheField name="Column16224" numFmtId="0">
      <sharedItems containsNonDate="0" containsString="0" containsBlank="1"/>
    </cacheField>
    <cacheField name="Column16225" numFmtId="0">
      <sharedItems containsNonDate="0" containsString="0" containsBlank="1"/>
    </cacheField>
    <cacheField name="Column16226" numFmtId="0">
      <sharedItems containsNonDate="0" containsString="0" containsBlank="1"/>
    </cacheField>
    <cacheField name="Column16227" numFmtId="0">
      <sharedItems containsNonDate="0" containsString="0" containsBlank="1"/>
    </cacheField>
    <cacheField name="Column16228" numFmtId="0">
      <sharedItems containsNonDate="0" containsString="0" containsBlank="1"/>
    </cacheField>
    <cacheField name="Column16229" numFmtId="0">
      <sharedItems containsNonDate="0" containsString="0" containsBlank="1"/>
    </cacheField>
    <cacheField name="Column16230" numFmtId="0">
      <sharedItems containsNonDate="0" containsString="0" containsBlank="1"/>
    </cacheField>
    <cacheField name="Column16231" numFmtId="0">
      <sharedItems containsNonDate="0" containsString="0" containsBlank="1"/>
    </cacheField>
    <cacheField name="Column16232" numFmtId="0">
      <sharedItems containsNonDate="0" containsString="0" containsBlank="1"/>
    </cacheField>
    <cacheField name="Column16233" numFmtId="0">
      <sharedItems containsNonDate="0" containsString="0" containsBlank="1"/>
    </cacheField>
    <cacheField name="Column16234" numFmtId="0">
      <sharedItems containsNonDate="0" containsString="0" containsBlank="1"/>
    </cacheField>
    <cacheField name="Column16235" numFmtId="0">
      <sharedItems containsNonDate="0" containsString="0" containsBlank="1"/>
    </cacheField>
    <cacheField name="Column16236" numFmtId="0">
      <sharedItems containsNonDate="0" containsString="0" containsBlank="1"/>
    </cacheField>
    <cacheField name="Column16237" numFmtId="0">
      <sharedItems containsNonDate="0" containsString="0" containsBlank="1"/>
    </cacheField>
    <cacheField name="Column16238" numFmtId="0">
      <sharedItems containsNonDate="0" containsString="0" containsBlank="1"/>
    </cacheField>
    <cacheField name="Column16239" numFmtId="0">
      <sharedItems containsNonDate="0" containsString="0" containsBlank="1"/>
    </cacheField>
    <cacheField name="Column16240" numFmtId="0">
      <sharedItems containsNonDate="0" containsString="0" containsBlank="1"/>
    </cacheField>
    <cacheField name="Column16241" numFmtId="0">
      <sharedItems containsNonDate="0" containsString="0" containsBlank="1"/>
    </cacheField>
    <cacheField name="Column16242" numFmtId="0">
      <sharedItems containsNonDate="0" containsString="0" containsBlank="1"/>
    </cacheField>
    <cacheField name="Column16243" numFmtId="0">
      <sharedItems containsNonDate="0" containsString="0" containsBlank="1"/>
    </cacheField>
    <cacheField name="Column16244" numFmtId="0">
      <sharedItems containsNonDate="0" containsString="0" containsBlank="1"/>
    </cacheField>
    <cacheField name="Column16245" numFmtId="0">
      <sharedItems containsNonDate="0" containsString="0" containsBlank="1"/>
    </cacheField>
    <cacheField name="Column16246" numFmtId="0">
      <sharedItems containsNonDate="0" containsString="0" containsBlank="1"/>
    </cacheField>
    <cacheField name="Column16247" numFmtId="0">
      <sharedItems containsNonDate="0" containsString="0" containsBlank="1"/>
    </cacheField>
    <cacheField name="Column16248" numFmtId="0">
      <sharedItems containsNonDate="0" containsString="0" containsBlank="1"/>
    </cacheField>
    <cacheField name="Column16249" numFmtId="0">
      <sharedItems containsNonDate="0" containsString="0" containsBlank="1"/>
    </cacheField>
    <cacheField name="Column16250" numFmtId="0">
      <sharedItems containsNonDate="0" containsString="0" containsBlank="1"/>
    </cacheField>
    <cacheField name="Column16251" numFmtId="0">
      <sharedItems containsNonDate="0" containsString="0" containsBlank="1"/>
    </cacheField>
    <cacheField name="Column16252" numFmtId="0">
      <sharedItems containsNonDate="0" containsString="0" containsBlank="1"/>
    </cacheField>
    <cacheField name="Column16253" numFmtId="0">
      <sharedItems containsNonDate="0" containsString="0" containsBlank="1"/>
    </cacheField>
    <cacheField name="Column16254" numFmtId="0">
      <sharedItems containsNonDate="0" containsString="0" containsBlank="1"/>
    </cacheField>
    <cacheField name="Column16255" numFmtId="0">
      <sharedItems containsNonDate="0" containsString="0" containsBlank="1"/>
    </cacheField>
    <cacheField name="Column16256" numFmtId="0">
      <sharedItems containsNonDate="0" containsString="0" containsBlank="1"/>
    </cacheField>
    <cacheField name="Column16257" numFmtId="0">
      <sharedItems containsNonDate="0" containsString="0" containsBlank="1"/>
    </cacheField>
    <cacheField name="Column16258" numFmtId="0">
      <sharedItems containsNonDate="0" containsString="0" containsBlank="1"/>
    </cacheField>
    <cacheField name="Column16259" numFmtId="0">
      <sharedItems containsNonDate="0" containsString="0" containsBlank="1"/>
    </cacheField>
    <cacheField name="Column16260" numFmtId="0">
      <sharedItems containsNonDate="0" containsString="0" containsBlank="1"/>
    </cacheField>
    <cacheField name="Column16261" numFmtId="0">
      <sharedItems containsNonDate="0" containsString="0" containsBlank="1"/>
    </cacheField>
    <cacheField name="Column16262" numFmtId="0">
      <sharedItems containsNonDate="0" containsString="0" containsBlank="1"/>
    </cacheField>
    <cacheField name="Column16263" numFmtId="0">
      <sharedItems containsNonDate="0" containsString="0" containsBlank="1"/>
    </cacheField>
    <cacheField name="Column16264" numFmtId="0">
      <sharedItems containsNonDate="0" containsString="0" containsBlank="1"/>
    </cacheField>
    <cacheField name="Column16265" numFmtId="0">
      <sharedItems containsNonDate="0" containsString="0" containsBlank="1"/>
    </cacheField>
    <cacheField name="Column16266" numFmtId="0">
      <sharedItems containsNonDate="0" containsString="0" containsBlank="1"/>
    </cacheField>
    <cacheField name="Column16267" numFmtId="0">
      <sharedItems containsNonDate="0" containsString="0" containsBlank="1"/>
    </cacheField>
    <cacheField name="Column16268" numFmtId="0">
      <sharedItems containsNonDate="0" containsString="0" containsBlank="1"/>
    </cacheField>
    <cacheField name="Column16269" numFmtId="0">
      <sharedItems containsNonDate="0" containsString="0" containsBlank="1"/>
    </cacheField>
    <cacheField name="Column16270" numFmtId="0">
      <sharedItems containsNonDate="0" containsString="0" containsBlank="1"/>
    </cacheField>
    <cacheField name="Column16271" numFmtId="0">
      <sharedItems containsNonDate="0" containsString="0" containsBlank="1"/>
    </cacheField>
    <cacheField name="Column16272" numFmtId="0">
      <sharedItems containsNonDate="0" containsString="0" containsBlank="1"/>
    </cacheField>
    <cacheField name="Column16273" numFmtId="0">
      <sharedItems containsNonDate="0" containsString="0" containsBlank="1"/>
    </cacheField>
    <cacheField name="Column16274" numFmtId="0">
      <sharedItems containsNonDate="0" containsString="0" containsBlank="1"/>
    </cacheField>
    <cacheField name="Column16275" numFmtId="0">
      <sharedItems containsNonDate="0" containsString="0" containsBlank="1"/>
    </cacheField>
    <cacheField name="Column16276" numFmtId="0">
      <sharedItems containsNonDate="0" containsString="0" containsBlank="1"/>
    </cacheField>
    <cacheField name="Column16277" numFmtId="0">
      <sharedItems containsNonDate="0" containsString="0" containsBlank="1"/>
    </cacheField>
    <cacheField name="Column16278" numFmtId="0">
      <sharedItems containsNonDate="0" containsString="0" containsBlank="1"/>
    </cacheField>
    <cacheField name="Column16279" numFmtId="0">
      <sharedItems containsNonDate="0" containsString="0" containsBlank="1"/>
    </cacheField>
    <cacheField name="Column16280" numFmtId="0">
      <sharedItems containsNonDate="0" containsString="0" containsBlank="1"/>
    </cacheField>
    <cacheField name="Column16281" numFmtId="0">
      <sharedItems containsNonDate="0" containsString="0" containsBlank="1"/>
    </cacheField>
    <cacheField name="Column16282" numFmtId="0">
      <sharedItems containsNonDate="0" containsString="0" containsBlank="1"/>
    </cacheField>
    <cacheField name="Column16283" numFmtId="0">
      <sharedItems containsNonDate="0" containsString="0" containsBlank="1"/>
    </cacheField>
    <cacheField name="Column16284" numFmtId="0">
      <sharedItems containsNonDate="0" containsString="0" containsBlank="1"/>
    </cacheField>
    <cacheField name="Column16285" numFmtId="0">
      <sharedItems containsNonDate="0" containsString="0" containsBlank="1"/>
    </cacheField>
    <cacheField name="Column16286" numFmtId="0">
      <sharedItems containsNonDate="0" containsString="0" containsBlank="1"/>
    </cacheField>
    <cacheField name="Column16287" numFmtId="0">
      <sharedItems containsNonDate="0" containsString="0" containsBlank="1"/>
    </cacheField>
    <cacheField name="Column16288" numFmtId="0">
      <sharedItems containsNonDate="0" containsString="0" containsBlank="1"/>
    </cacheField>
    <cacheField name="Column16289" numFmtId="0">
      <sharedItems containsNonDate="0" containsString="0" containsBlank="1"/>
    </cacheField>
    <cacheField name="Column16290" numFmtId="0">
      <sharedItems containsNonDate="0" containsString="0" containsBlank="1"/>
    </cacheField>
    <cacheField name="Column16291" numFmtId="0">
      <sharedItems containsNonDate="0" containsString="0" containsBlank="1"/>
    </cacheField>
    <cacheField name="Column16292" numFmtId="0">
      <sharedItems containsNonDate="0" containsString="0" containsBlank="1"/>
    </cacheField>
    <cacheField name="Column16293" numFmtId="0">
      <sharedItems containsNonDate="0" containsString="0" containsBlank="1"/>
    </cacheField>
    <cacheField name="Column16294" numFmtId="0">
      <sharedItems containsNonDate="0" containsString="0" containsBlank="1"/>
    </cacheField>
    <cacheField name="Column16295" numFmtId="0">
      <sharedItems containsNonDate="0" containsString="0" containsBlank="1"/>
    </cacheField>
    <cacheField name="Column16296" numFmtId="0">
      <sharedItems containsNonDate="0" containsString="0" containsBlank="1"/>
    </cacheField>
    <cacheField name="Column16297" numFmtId="0">
      <sharedItems containsNonDate="0" containsString="0" containsBlank="1"/>
    </cacheField>
    <cacheField name="Column16298" numFmtId="0">
      <sharedItems containsNonDate="0" containsString="0" containsBlank="1"/>
    </cacheField>
    <cacheField name="Column16299" numFmtId="0">
      <sharedItems containsNonDate="0" containsString="0" containsBlank="1"/>
    </cacheField>
    <cacheField name="Column16300" numFmtId="0">
      <sharedItems containsNonDate="0" containsString="0" containsBlank="1"/>
    </cacheField>
    <cacheField name="Column16301" numFmtId="0">
      <sharedItems containsNonDate="0" containsString="0" containsBlank="1"/>
    </cacheField>
    <cacheField name="Column16302" numFmtId="0">
      <sharedItems containsNonDate="0" containsString="0" containsBlank="1"/>
    </cacheField>
    <cacheField name="Column16303" numFmtId="0">
      <sharedItems containsNonDate="0" containsString="0" containsBlank="1"/>
    </cacheField>
    <cacheField name="Column16304" numFmtId="0">
      <sharedItems containsNonDate="0" containsString="0" containsBlank="1"/>
    </cacheField>
    <cacheField name="Column16305" numFmtId="0">
      <sharedItems containsNonDate="0" containsString="0" containsBlank="1"/>
    </cacheField>
    <cacheField name="Column16306" numFmtId="0">
      <sharedItems containsNonDate="0" containsString="0" containsBlank="1"/>
    </cacheField>
    <cacheField name="Column16307" numFmtId="0">
      <sharedItems containsNonDate="0" containsString="0" containsBlank="1"/>
    </cacheField>
    <cacheField name="Column16308" numFmtId="0">
      <sharedItems containsNonDate="0" containsString="0" containsBlank="1"/>
    </cacheField>
    <cacheField name="Column16309" numFmtId="0">
      <sharedItems containsNonDate="0" containsString="0" containsBlank="1"/>
    </cacheField>
    <cacheField name="Column16310" numFmtId="0">
      <sharedItems containsNonDate="0" containsString="0" containsBlank="1"/>
    </cacheField>
    <cacheField name="Column16311" numFmtId="0">
      <sharedItems containsNonDate="0" containsString="0" containsBlank="1"/>
    </cacheField>
    <cacheField name="Column16312" numFmtId="0">
      <sharedItems containsNonDate="0" containsString="0" containsBlank="1"/>
    </cacheField>
    <cacheField name="Column16313" numFmtId="0">
      <sharedItems containsNonDate="0" containsString="0" containsBlank="1"/>
    </cacheField>
    <cacheField name="Column16314" numFmtId="0">
      <sharedItems containsNonDate="0" containsString="0" containsBlank="1"/>
    </cacheField>
    <cacheField name="Column16315" numFmtId="0">
      <sharedItems containsNonDate="0" containsString="0" containsBlank="1"/>
    </cacheField>
    <cacheField name="Column16316" numFmtId="0">
      <sharedItems containsNonDate="0" containsString="0" containsBlank="1"/>
    </cacheField>
    <cacheField name="Column16317" numFmtId="0">
      <sharedItems containsNonDate="0" containsString="0" containsBlank="1"/>
    </cacheField>
    <cacheField name="Column16318" numFmtId="0">
      <sharedItems containsNonDate="0" containsString="0" containsBlank="1"/>
    </cacheField>
    <cacheField name="Column16319" numFmtId="0">
      <sharedItems containsNonDate="0" containsString="0" containsBlank="1"/>
    </cacheField>
    <cacheField name="Column16320" numFmtId="0">
      <sharedItems containsNonDate="0" containsString="0" containsBlank="1"/>
    </cacheField>
    <cacheField name="Column16321" numFmtId="0">
      <sharedItems containsNonDate="0" containsString="0" containsBlank="1"/>
    </cacheField>
    <cacheField name="Column16322" numFmtId="0">
      <sharedItems containsNonDate="0" containsString="0" containsBlank="1"/>
    </cacheField>
    <cacheField name="Column16323" numFmtId="0">
      <sharedItems containsNonDate="0" containsString="0" containsBlank="1"/>
    </cacheField>
    <cacheField name="Column16324" numFmtId="0">
      <sharedItems containsNonDate="0" containsString="0" containsBlank="1"/>
    </cacheField>
    <cacheField name="Column16325" numFmtId="0">
      <sharedItems containsNonDate="0" containsString="0" containsBlank="1"/>
    </cacheField>
    <cacheField name="Column16326" numFmtId="0">
      <sharedItems containsNonDate="0" containsString="0" containsBlank="1"/>
    </cacheField>
    <cacheField name="Column16327" numFmtId="0">
      <sharedItems containsNonDate="0" containsString="0" containsBlank="1"/>
    </cacheField>
    <cacheField name="Column16328" numFmtId="0">
      <sharedItems containsNonDate="0" containsString="0" containsBlank="1"/>
    </cacheField>
    <cacheField name="Column16329" numFmtId="0">
      <sharedItems containsNonDate="0" containsString="0" containsBlank="1"/>
    </cacheField>
    <cacheField name="Column16330" numFmtId="0">
      <sharedItems containsNonDate="0" containsString="0" containsBlank="1"/>
    </cacheField>
    <cacheField name="Column16331" numFmtId="0">
      <sharedItems containsNonDate="0" containsString="0" containsBlank="1"/>
    </cacheField>
    <cacheField name="Column16332" numFmtId="0">
      <sharedItems containsNonDate="0" containsString="0" containsBlank="1"/>
    </cacheField>
    <cacheField name="Column16333" numFmtId="0">
      <sharedItems containsNonDate="0" containsString="0" containsBlank="1"/>
    </cacheField>
    <cacheField name="Column16334" numFmtId="0">
      <sharedItems containsNonDate="0" containsString="0" containsBlank="1"/>
    </cacheField>
    <cacheField name="Column16335" numFmtId="0">
      <sharedItems containsNonDate="0" containsString="0" containsBlank="1"/>
    </cacheField>
    <cacheField name="Column16336" numFmtId="0">
      <sharedItems containsNonDate="0" containsString="0" containsBlank="1"/>
    </cacheField>
    <cacheField name="Column16337" numFmtId="0">
      <sharedItems containsNonDate="0" containsString="0" containsBlank="1"/>
    </cacheField>
    <cacheField name="Column16338" numFmtId="0">
      <sharedItems containsNonDate="0" containsString="0" containsBlank="1"/>
    </cacheField>
    <cacheField name="Column16339" numFmtId="0">
      <sharedItems containsNonDate="0" containsString="0" containsBlank="1"/>
    </cacheField>
    <cacheField name="Column16340" numFmtId="0">
      <sharedItems containsNonDate="0" containsString="0" containsBlank="1"/>
    </cacheField>
    <cacheField name="Column16341" numFmtId="0">
      <sharedItems containsNonDate="0" containsString="0" containsBlank="1"/>
    </cacheField>
    <cacheField name="Column16342" numFmtId="0">
      <sharedItems containsNonDate="0" containsString="0" containsBlank="1"/>
    </cacheField>
    <cacheField name="Column16343" numFmtId="0">
      <sharedItems containsNonDate="0" containsString="0" containsBlank="1"/>
    </cacheField>
    <cacheField name="Column16344" numFmtId="0">
      <sharedItems containsNonDate="0" containsString="0" containsBlank="1"/>
    </cacheField>
    <cacheField name="Column16345" numFmtId="0">
      <sharedItems containsNonDate="0" containsString="0" containsBlank="1"/>
    </cacheField>
    <cacheField name="Column16346" numFmtId="0">
      <sharedItems containsNonDate="0" containsString="0" containsBlank="1"/>
    </cacheField>
    <cacheField name="Column16347" numFmtId="0">
      <sharedItems containsNonDate="0" containsString="0" containsBlank="1"/>
    </cacheField>
    <cacheField name="Column16348" numFmtId="0">
      <sharedItems containsNonDate="0" containsString="0" containsBlank="1"/>
    </cacheField>
    <cacheField name="Column16349" numFmtId="0">
      <sharedItems containsNonDate="0" containsString="0" containsBlank="1"/>
    </cacheField>
    <cacheField name="Column16350" numFmtId="0">
      <sharedItems containsNonDate="0" containsString="0" containsBlank="1"/>
    </cacheField>
    <cacheField name="Column16351" numFmtId="0">
      <sharedItems containsNonDate="0" containsString="0" containsBlank="1"/>
    </cacheField>
    <cacheField name="Column16352" numFmtId="0">
      <sharedItems containsNonDate="0" containsString="0" containsBlank="1"/>
    </cacheField>
    <cacheField name="Column16353" numFmtId="0">
      <sharedItems containsNonDate="0" containsString="0" containsBlank="1"/>
    </cacheField>
    <cacheField name="Column16354" numFmtId="0">
      <sharedItems containsNonDate="0" containsString="0" containsBlank="1"/>
    </cacheField>
    <cacheField name="Column16355" numFmtId="0">
      <sharedItems containsNonDate="0" containsString="0" containsBlank="1"/>
    </cacheField>
    <cacheField name="Column16356" numFmtId="0">
      <sharedItems containsNonDate="0" containsString="0" containsBlank="1"/>
    </cacheField>
    <cacheField name="Column16357" numFmtId="0">
      <sharedItems containsNonDate="0" containsString="0" containsBlank="1"/>
    </cacheField>
    <cacheField name="Column16358" numFmtId="0">
      <sharedItems containsNonDate="0" containsString="0" containsBlank="1"/>
    </cacheField>
    <cacheField name="Column16359" numFmtId="0">
      <sharedItems containsNonDate="0" containsString="0" containsBlank="1"/>
    </cacheField>
    <cacheField name="Column16360" numFmtId="0">
      <sharedItems containsNonDate="0" containsString="0" containsBlank="1"/>
    </cacheField>
    <cacheField name="Column16361" numFmtId="0">
      <sharedItems containsNonDate="0" containsString="0" containsBlank="1"/>
    </cacheField>
    <cacheField name="Column16362" numFmtId="0">
      <sharedItems containsNonDate="0" containsString="0" containsBlank="1"/>
    </cacheField>
    <cacheField name="Column16363" numFmtId="0">
      <sharedItems containsNonDate="0" containsString="0" containsBlank="1"/>
    </cacheField>
    <cacheField name="Column16364" numFmtId="0">
      <sharedItems containsNonDate="0" containsString="0" containsBlank="1"/>
    </cacheField>
    <cacheField name="Column16365" numFmtId="0">
      <sharedItems containsNonDate="0" containsString="0" containsBlank="1"/>
    </cacheField>
    <cacheField name="Column16366" numFmtId="0">
      <sharedItems containsNonDate="0" containsString="0" containsBlank="1"/>
    </cacheField>
    <cacheField name="Column16367" numFmtId="0">
      <sharedItems containsNonDate="0" containsString="0" containsBlank="1"/>
    </cacheField>
    <cacheField name="Column16368" numFmtId="0">
      <sharedItems containsNonDate="0" containsString="0" containsBlank="1"/>
    </cacheField>
    <cacheField name="Column16369" numFmtId="0">
      <sharedItems containsNonDate="0" containsString="0" containsBlank="1"/>
    </cacheField>
    <cacheField name="Column16370" numFmtId="0">
      <sharedItems containsNonDate="0" containsString="0" containsBlank="1"/>
    </cacheField>
    <cacheField name="Column16371" numFmtId="0">
      <sharedItems containsNonDate="0" containsString="0" containsBlank="1"/>
    </cacheField>
    <cacheField name="Column16372" numFmtId="0">
      <sharedItems containsNonDate="0" containsString="0" containsBlank="1"/>
    </cacheField>
    <cacheField name="Column16373" numFmtId="0">
      <sharedItems containsNonDate="0" containsString="0" containsBlank="1"/>
    </cacheField>
    <cacheField name="Column16374" numFmtId="0">
      <sharedItems containsNonDate="0" containsString="0" containsBlank="1"/>
    </cacheField>
    <cacheField name="Column16375" numFmtId="0">
      <sharedItems containsNonDate="0" containsString="0" containsBlank="1"/>
    </cacheField>
    <cacheField name="Column16376" numFmtId="0">
      <sharedItems containsNonDate="0" containsString="0" containsBlank="1"/>
    </cacheField>
  </cacheFields>
  <extLst>
    <ext xmlns:x14="http://schemas.microsoft.com/office/spreadsheetml/2009/9/main" uri="{725AE2AE-9491-48be-B2B4-4EB974FC3084}">
      <x14:pivotCacheDefinition pivotCacheId="131"/>
    </ext>
  </extLst>
</pivotCacheDefinition>
</file>

<file path=xl/pivotCache/pivotCacheDefinition8.xml><?xml version="1.0" encoding="utf-8"?>
<pivotCacheDefinition xmlns="http://schemas.openxmlformats.org/spreadsheetml/2006/main" xmlns:r="http://schemas.openxmlformats.org/officeDocument/2006/relationships" r:id="rId1" refreshedBy="Cameron, Rebecca" refreshedDate="44417.574976736112" createdVersion="6" refreshedVersion="6" minRefreshableVersion="3" recordCount="32">
  <cacheSource type="worksheet">
    <worksheetSource name="hrod_HR_GeographicStructure"/>
  </cacheSource>
  <cacheFields count="7">
    <cacheField name="Year" numFmtId="0">
      <sharedItems count="8">
        <s v="2013-14"/>
        <s v="2014-15"/>
        <s v="2015-16"/>
        <s v="2016-17"/>
        <s v="2017-18"/>
        <s v="2018-19"/>
        <s v="2019-20"/>
        <s v="2020-21"/>
      </sharedItems>
    </cacheField>
    <cacheField name="ReportingLevel" numFmtId="0">
      <sharedItems count="6">
        <s v="2:LSO"/>
        <s v="3:SDA"/>
        <s v="4:National"/>
        <s v="1:LA"/>
        <s v="Scotland" u="1"/>
        <s v="04:National" u="1"/>
      </sharedItems>
    </cacheField>
    <cacheField name="Wholetime Operational" numFmtId="0">
      <sharedItems containsSemiMixedTypes="0" containsString="0" containsNumber="1" containsInteger="1" minValue="50" maxValue="3392"/>
    </cacheField>
    <cacheField name="RDS" numFmtId="0">
      <sharedItems containsString="0" containsBlank="1" containsNumber="1" containsInteger="1" minValue="0" maxValue="2950"/>
    </cacheField>
    <cacheField name="Control" numFmtId="0">
      <sharedItems containsString="0" containsBlank="1" containsNumber="1" containsInteger="1" minValue="0" maxValue="230"/>
    </cacheField>
    <cacheField name="Support" numFmtId="0">
      <sharedItems containsString="0" containsBlank="1" containsNumber="1" containsInteger="1" minValue="0" maxValue="836"/>
    </cacheField>
    <cacheField name="Volunteer" numFmtId="0">
      <sharedItems containsString="0" containsBlank="1" containsNumber="1" containsInteger="1" minValue="0" maxValue="378"/>
    </cacheField>
  </cacheFields>
  <extLst>
    <ext xmlns:x14="http://schemas.microsoft.com/office/spreadsheetml/2009/9/main" uri="{725AE2AE-9491-48be-B2B4-4EB974FC3084}">
      <x14:pivotCacheDefinition pivotCacheId="133"/>
    </ext>
  </extLst>
</pivotCacheDefinition>
</file>

<file path=xl/pivotCache/pivotCacheDefinition9.xml><?xml version="1.0" encoding="utf-8"?>
<pivotCacheDefinition xmlns="http://schemas.openxmlformats.org/spreadsheetml/2006/main" xmlns:r="http://schemas.openxmlformats.org/officeDocument/2006/relationships" r:id="rId1" refreshedBy="Cameron, Rebecca" refreshedDate="44417.58118252315" createdVersion="6" refreshedVersion="6" minRefreshableVersion="3" recordCount="508">
  <cacheSource type="worksheet">
    <worksheetSource name="hrod_HR_StaffSmallArea"/>
  </cacheSource>
  <cacheFields count="9">
    <cacheField name="Year" numFmtId="0">
      <sharedItems count="8">
        <s v="2013-14"/>
        <s v="2014-15"/>
        <s v="2015-16"/>
        <s v="2016-17"/>
        <s v="2017-18"/>
        <s v="2018-19"/>
        <s v="2019-20"/>
        <s v="2020-21"/>
      </sharedItems>
    </cacheField>
    <cacheField name="ReportingLevel" numFmtId="0">
      <sharedItems count="5">
        <s v="1:LA"/>
        <s v="2:LSO"/>
        <s v="3:SDA"/>
        <s v="4:National"/>
        <s v="04:National"/>
      </sharedItems>
    </cacheField>
    <cacheField name="lvl" numFmtId="0">
      <sharedItems containsBlank="1" count="52">
        <s v="Fife"/>
        <s v="Midlothian"/>
        <s v="City of Edinburgh"/>
        <s v="Dumfries and Galloway"/>
        <s v="East Dunbartonshire"/>
        <s v="North Lanarkshire"/>
        <s v="Orkney Islands"/>
        <s v="Argyll and Bute"/>
        <s v="East Ayrshire"/>
        <s v="Highland"/>
        <s v="Perth and Kinross"/>
        <s v="Renfrewshire"/>
        <s v="Scottish Borders"/>
        <s v="South Ayrshire"/>
        <s v="Dundee City"/>
        <s v="East Renfrewshire"/>
        <s v="West Lothian"/>
        <s v="Aberdeenshire"/>
        <s v="Na h-Eileanan Siar"/>
        <s v="North Ayrshire"/>
        <s v="Shetland Islands"/>
        <s v="Angus"/>
        <s v="Clackmannanshire"/>
        <s v="Glasgow City"/>
        <s v="South Lanarkshire"/>
        <s v="Stirling"/>
        <s v="West Dunbartonshire"/>
        <s v="Aberdeen City"/>
        <s v="East Lothian"/>
        <s v="Falkirk"/>
        <s v="Inverclyde"/>
        <s v="Moray"/>
        <s v="Dundee, Angus, Perth and Kinross"/>
        <s v="East Ayrshire, North Ayrshire and South Ayrshire"/>
        <s v="East Lothian, Midlothian and the Scottish Borders"/>
        <s v="Aberdeenshire and Moray"/>
        <s v="Western Isles, Orkney and Shetland Islands"/>
        <s v="East Renfrewshire, Renfrewshire and Inverclyde"/>
        <s v="Falkirk and West Lothian"/>
        <s v="Highlands"/>
        <s v="Stirling and Clackmannanshire"/>
        <s v="Argyll and Bute, East Dunbartonshire and West Dunbartonshire"/>
        <s v="Edinburgh City"/>
        <s v="East"/>
        <s v="North"/>
        <s v="West"/>
        <s v="Scotland"/>
        <s v="Dumfries and Gallowa"/>
        <m/>
        <s v="Perth &amp; Kinross"/>
        <s v="Stirling, Clackmannanshire and Fife"/>
        <s v="Argyll &amp; Bute"/>
      </sharedItems>
    </cacheField>
    <cacheField name="Wholetime Operational" numFmtId="0">
      <sharedItems containsSemiMixedTypes="0" containsString="0" containsNumber="1" containsInteger="1" minValue="0" maxValue="560"/>
    </cacheField>
    <cacheField name="Retained Duty System" numFmtId="0">
      <sharedItems containsString="0" containsBlank="1" containsNumber="1" containsInteger="1" minValue="0" maxValue="564" count="131">
        <n v="111"/>
        <n v="10"/>
        <n v="12"/>
        <n v="198"/>
        <n v="0"/>
        <n v="28"/>
        <n v="113"/>
        <n v="187"/>
        <n v="77"/>
        <n v="564"/>
        <n v="140"/>
        <n v="14"/>
        <n v="134"/>
        <n v="54"/>
        <n v="58"/>
        <n v="297"/>
        <n v="132"/>
        <n v="94"/>
        <n v="99"/>
        <n v="21"/>
        <n v="2"/>
        <n v="84"/>
        <n v="74"/>
        <n v="18"/>
        <n v="8"/>
        <n v="52"/>
        <n v="65"/>
        <n v="42"/>
        <n v="104"/>
        <m/>
        <n v="175"/>
        <n v="206"/>
        <n v="68"/>
        <n v="548"/>
        <n v="30"/>
        <n v="127"/>
        <n v="280"/>
        <n v="40"/>
        <n v="121"/>
        <n v="75"/>
        <n v="13"/>
        <n v="23"/>
        <n v="80"/>
        <n v="151"/>
        <n v="95"/>
        <n v="60"/>
        <n v="128"/>
        <n v="147"/>
        <n v="90"/>
        <n v="82"/>
        <n v="112"/>
        <n v="109"/>
        <n v="271"/>
        <n v="190"/>
        <n v="55"/>
        <n v="11"/>
        <n v="71"/>
        <n v="53"/>
        <n v="6"/>
        <n v="126"/>
        <n v="83"/>
        <n v="110"/>
        <n v="182"/>
        <n v="1"/>
        <n v="41"/>
        <n v="34"/>
        <n v="98"/>
        <n v="19"/>
        <n v="525"/>
        <n v="108"/>
        <n v="73"/>
        <n v="282"/>
        <n v="56"/>
        <n v="64"/>
        <n v="39"/>
        <n v="125"/>
        <n v="122"/>
        <n v="17"/>
        <n v="24"/>
        <n v="202"/>
        <n v="143"/>
        <n v="185"/>
        <n v="81"/>
        <n v="137"/>
        <n v="106"/>
        <n v="35"/>
        <n v="48"/>
        <n v="22"/>
        <n v="131"/>
        <n v="37"/>
        <n v="189"/>
        <n v="16"/>
        <n v="177"/>
        <n v="100"/>
        <n v="118"/>
        <n v="49"/>
        <n v="120"/>
        <n v="275"/>
        <n v="93"/>
        <n v="115"/>
        <n v="538"/>
        <n v="44"/>
        <n v="107"/>
        <n v="59"/>
        <n v="9"/>
        <n v="20"/>
        <n v="176"/>
        <n v="116"/>
        <n v="552"/>
        <n v="284"/>
        <n v="62"/>
        <n v="285"/>
        <n v="174"/>
        <n v="192"/>
        <n v="57"/>
        <n v="148"/>
        <n v="135"/>
        <n v="15"/>
        <n v="25"/>
        <n v="103"/>
        <n v="86"/>
        <n v="186"/>
        <n v="149"/>
        <n v="27"/>
        <n v="500"/>
        <n v="114"/>
        <n v="38"/>
        <n v="78"/>
        <n v="286"/>
        <n v="168"/>
        <n v="130"/>
      </sharedItems>
    </cacheField>
    <cacheField name="Control" numFmtId="0">
      <sharedItems containsString="0" containsBlank="1" containsNumber="1" containsInteger="1" minValue="0" maxValue="230" count="10">
        <m/>
        <n v="223"/>
        <n v="230"/>
        <n v="203"/>
        <n v="165"/>
        <n v="0"/>
        <n v="189"/>
        <n v="207"/>
        <n v="188"/>
        <n v="182"/>
      </sharedItems>
    </cacheField>
    <cacheField name="Support" numFmtId="0">
      <sharedItems containsString="0" containsBlank="1" containsNumber="1" containsInteger="1" minValue="0" maxValue="781" count="33">
        <m/>
        <n v="175"/>
        <n v="133"/>
        <n v="416"/>
        <n v="237"/>
        <n v="340"/>
        <n v="126"/>
        <n v="163"/>
        <n v="238"/>
        <n v="121"/>
        <n v="124"/>
        <n v="286"/>
        <n v="297"/>
        <n v="272"/>
        <n v="164"/>
        <n v="135"/>
        <n v="267"/>
        <n v="0"/>
        <n v="128"/>
        <n v="300"/>
        <n v="141"/>
        <n v="277"/>
        <n v="7"/>
        <n v="2"/>
        <n v="1"/>
        <n v="6"/>
        <n v="725"/>
        <n v="3"/>
        <n v="4"/>
        <n v="754"/>
        <n v="5"/>
        <n v="8"/>
        <n v="781"/>
      </sharedItems>
    </cacheField>
    <cacheField name="Volunteer" numFmtId="0">
      <sharedItems containsString="0" containsBlank="1" containsNumber="1" containsInteger="1" minValue="0" maxValue="225" count="32">
        <n v="0"/>
        <n v="4"/>
        <n v="203"/>
        <n v="72"/>
        <n v="25"/>
        <n v="21"/>
        <n v="2"/>
        <n v="32"/>
        <m/>
        <n v="225"/>
        <n v="3"/>
        <n v="69"/>
        <n v="1"/>
        <n v="24"/>
        <n v="26"/>
        <n v="5"/>
        <n v="23"/>
        <n v="20"/>
        <n v="201"/>
        <n v="68"/>
        <n v="22"/>
        <n v="67"/>
        <n v="200"/>
        <n v="18"/>
        <n v="211"/>
        <n v="28"/>
        <n v="64"/>
        <n v="6"/>
        <n v="62"/>
        <n v="212"/>
        <n v="49"/>
        <n v="48"/>
      </sharedItems>
    </cacheField>
    <cacheField name="Total" numFmtId="0">
      <sharedItems containsSemiMixedTypes="0" containsString="0" containsNumber="1" containsInteger="1" minValue="1" maxValue="78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4">
  <r>
    <x v="0"/>
    <x v="0"/>
    <x v="0"/>
    <x v="0"/>
    <n v="5"/>
  </r>
  <r>
    <x v="0"/>
    <x v="0"/>
    <x v="1"/>
    <x v="0"/>
    <n v="2"/>
  </r>
  <r>
    <x v="1"/>
    <x v="0"/>
    <x v="2"/>
    <x v="1"/>
    <n v="186"/>
  </r>
  <r>
    <x v="1"/>
    <x v="0"/>
    <x v="3"/>
    <x v="2"/>
    <n v="36"/>
  </r>
  <r>
    <x v="0"/>
    <x v="0"/>
    <x v="0"/>
    <x v="3"/>
    <n v="182"/>
  </r>
  <r>
    <x v="0"/>
    <x v="0"/>
    <x v="4"/>
    <x v="0"/>
    <n v="4"/>
  </r>
  <r>
    <x v="0"/>
    <x v="0"/>
    <x v="3"/>
    <x v="4"/>
    <n v="321"/>
  </r>
  <r>
    <x v="0"/>
    <x v="0"/>
    <x v="5"/>
    <x v="0"/>
    <n v="2"/>
  </r>
  <r>
    <x v="1"/>
    <x v="0"/>
    <x v="6"/>
    <x v="3"/>
    <n v="2"/>
  </r>
  <r>
    <x v="1"/>
    <x v="0"/>
    <x v="7"/>
    <x v="0"/>
    <n v="98"/>
  </r>
  <r>
    <x v="0"/>
    <x v="0"/>
    <x v="8"/>
    <x v="0"/>
    <n v="2"/>
  </r>
  <r>
    <x v="0"/>
    <x v="0"/>
    <x v="9"/>
    <x v="3"/>
    <n v="77"/>
  </r>
  <r>
    <x v="0"/>
    <x v="0"/>
    <x v="10"/>
    <x v="3"/>
    <n v="82"/>
  </r>
  <r>
    <x v="0"/>
    <x v="0"/>
    <x v="3"/>
    <x v="5"/>
    <n v="2935"/>
  </r>
  <r>
    <x v="1"/>
    <x v="0"/>
    <x v="1"/>
    <x v="0"/>
    <n v="2"/>
  </r>
  <r>
    <x v="1"/>
    <x v="0"/>
    <x v="2"/>
    <x v="0"/>
    <n v="52"/>
  </r>
  <r>
    <x v="1"/>
    <x v="0"/>
    <x v="4"/>
    <x v="3"/>
    <n v="3"/>
  </r>
  <r>
    <x v="1"/>
    <x v="0"/>
    <x v="11"/>
    <x v="3"/>
    <n v="1"/>
  </r>
  <r>
    <x v="1"/>
    <x v="0"/>
    <x v="5"/>
    <x v="0"/>
    <n v="2"/>
  </r>
  <r>
    <x v="0"/>
    <x v="0"/>
    <x v="1"/>
    <x v="3"/>
    <n v="66"/>
  </r>
  <r>
    <x v="0"/>
    <x v="0"/>
    <x v="3"/>
    <x v="0"/>
    <n v="3101"/>
  </r>
  <r>
    <x v="0"/>
    <x v="0"/>
    <x v="7"/>
    <x v="3"/>
    <n v="58"/>
  </r>
  <r>
    <x v="1"/>
    <x v="0"/>
    <x v="0"/>
    <x v="0"/>
    <n v="5"/>
  </r>
  <r>
    <x v="1"/>
    <x v="0"/>
    <x v="12"/>
    <x v="3"/>
    <n v="68"/>
  </r>
  <r>
    <x v="1"/>
    <x v="0"/>
    <x v="2"/>
    <x v="3"/>
    <n v="77"/>
  </r>
  <r>
    <x v="1"/>
    <x v="0"/>
    <x v="3"/>
    <x v="3"/>
    <n v="96"/>
  </r>
  <r>
    <x v="1"/>
    <x v="0"/>
    <x v="11"/>
    <x v="0"/>
    <n v="5"/>
  </r>
  <r>
    <x v="1"/>
    <x v="0"/>
    <x v="6"/>
    <x v="0"/>
    <n v="53"/>
  </r>
  <r>
    <x v="0"/>
    <x v="0"/>
    <x v="12"/>
    <x v="3"/>
    <n v="67"/>
  </r>
  <r>
    <x v="0"/>
    <x v="0"/>
    <x v="8"/>
    <x v="3"/>
    <n v="56"/>
  </r>
  <r>
    <x v="0"/>
    <x v="0"/>
    <x v="2"/>
    <x v="1"/>
    <n v="197"/>
  </r>
  <r>
    <x v="1"/>
    <x v="0"/>
    <x v="1"/>
    <x v="3"/>
    <n v="71"/>
  </r>
  <r>
    <x v="1"/>
    <x v="0"/>
    <x v="10"/>
    <x v="0"/>
    <n v="51"/>
  </r>
  <r>
    <x v="1"/>
    <x v="0"/>
    <x v="3"/>
    <x v="5"/>
    <n v="2937"/>
  </r>
  <r>
    <x v="1"/>
    <x v="0"/>
    <x v="3"/>
    <x v="4"/>
    <n v="315"/>
  </r>
  <r>
    <x v="1"/>
    <x v="0"/>
    <x v="5"/>
    <x v="3"/>
    <n v="61"/>
  </r>
  <r>
    <x v="0"/>
    <x v="0"/>
    <x v="10"/>
    <x v="0"/>
    <n v="200"/>
  </r>
  <r>
    <x v="0"/>
    <x v="0"/>
    <x v="4"/>
    <x v="3"/>
    <n v="3"/>
  </r>
  <r>
    <x v="0"/>
    <x v="0"/>
    <x v="3"/>
    <x v="2"/>
    <n v="18"/>
  </r>
  <r>
    <x v="0"/>
    <x v="0"/>
    <x v="3"/>
    <x v="3"/>
    <n v="26"/>
  </r>
  <r>
    <x v="0"/>
    <x v="0"/>
    <x v="7"/>
    <x v="0"/>
    <n v="203"/>
  </r>
  <r>
    <x v="1"/>
    <x v="0"/>
    <x v="0"/>
    <x v="3"/>
    <n v="185"/>
  </r>
  <r>
    <x v="1"/>
    <x v="0"/>
    <x v="3"/>
    <x v="0"/>
    <n v="3358"/>
  </r>
  <r>
    <x v="0"/>
    <x v="0"/>
    <x v="13"/>
    <x v="0"/>
    <n v="3"/>
  </r>
  <r>
    <x v="0"/>
    <x v="0"/>
    <x v="2"/>
    <x v="0"/>
    <n v="45"/>
  </r>
  <r>
    <x v="0"/>
    <x v="0"/>
    <x v="11"/>
    <x v="0"/>
    <n v="5"/>
  </r>
  <r>
    <x v="0"/>
    <x v="0"/>
    <x v="6"/>
    <x v="3"/>
    <n v="1"/>
  </r>
  <r>
    <x v="0"/>
    <x v="0"/>
    <x v="6"/>
    <x v="0"/>
    <n v="65"/>
  </r>
  <r>
    <x v="1"/>
    <x v="0"/>
    <x v="14"/>
    <x v="3"/>
    <n v="17"/>
  </r>
  <r>
    <x v="1"/>
    <x v="0"/>
    <x v="15"/>
    <x v="3"/>
    <n v="95"/>
  </r>
  <r>
    <x v="1"/>
    <x v="0"/>
    <x v="6"/>
    <x v="1"/>
    <n v="2"/>
  </r>
  <r>
    <x v="0"/>
    <x v="0"/>
    <x v="13"/>
    <x v="3"/>
    <n v="46"/>
  </r>
  <r>
    <x v="0"/>
    <x v="0"/>
    <x v="2"/>
    <x v="3"/>
    <n v="73"/>
  </r>
  <r>
    <x v="0"/>
    <x v="0"/>
    <x v="5"/>
    <x v="3"/>
    <n v="55"/>
  </r>
  <r>
    <x v="0"/>
    <x v="0"/>
    <x v="6"/>
    <x v="1"/>
    <n v="10"/>
  </r>
  <r>
    <x v="1"/>
    <x v="0"/>
    <x v="14"/>
    <x v="0"/>
    <n v="2"/>
  </r>
  <r>
    <x v="1"/>
    <x v="0"/>
    <x v="9"/>
    <x v="3"/>
    <n v="73"/>
  </r>
  <r>
    <x v="1"/>
    <x v="0"/>
    <x v="15"/>
    <x v="0"/>
    <n v="2"/>
  </r>
  <r>
    <x v="1"/>
    <x v="0"/>
    <x v="10"/>
    <x v="3"/>
    <n v="17"/>
  </r>
  <r>
    <x v="1"/>
    <x v="0"/>
    <x v="4"/>
    <x v="0"/>
    <n v="6"/>
  </r>
  <r>
    <x v="1"/>
    <x v="0"/>
    <x v="7"/>
    <x v="3"/>
    <n v="52"/>
  </r>
  <r>
    <x v="0"/>
    <x v="1"/>
    <x v="0"/>
    <x v="3"/>
    <n v="178.47000000000003"/>
  </r>
  <r>
    <x v="0"/>
    <x v="1"/>
    <x v="4"/>
    <x v="0"/>
    <n v="4"/>
  </r>
  <r>
    <x v="0"/>
    <x v="1"/>
    <x v="3"/>
    <x v="4"/>
    <n v="0"/>
  </r>
  <r>
    <x v="0"/>
    <x v="1"/>
    <x v="5"/>
    <x v="0"/>
    <n v="2"/>
  </r>
  <r>
    <x v="1"/>
    <x v="1"/>
    <x v="6"/>
    <x v="3"/>
    <n v="2"/>
  </r>
  <r>
    <x v="1"/>
    <x v="1"/>
    <x v="7"/>
    <x v="0"/>
    <n v="98"/>
  </r>
  <r>
    <x v="0"/>
    <x v="1"/>
    <x v="0"/>
    <x v="0"/>
    <n v="5"/>
  </r>
  <r>
    <x v="0"/>
    <x v="1"/>
    <x v="1"/>
    <x v="0"/>
    <n v="2"/>
  </r>
  <r>
    <x v="1"/>
    <x v="1"/>
    <x v="2"/>
    <x v="1"/>
    <n v="181.83"/>
  </r>
  <r>
    <x v="1"/>
    <x v="1"/>
    <x v="3"/>
    <x v="2"/>
    <n v="36"/>
  </r>
  <r>
    <x v="0"/>
    <x v="1"/>
    <x v="13"/>
    <x v="0"/>
    <n v="3"/>
  </r>
  <r>
    <x v="0"/>
    <x v="1"/>
    <x v="2"/>
    <x v="0"/>
    <n v="45"/>
  </r>
  <r>
    <x v="0"/>
    <x v="1"/>
    <x v="11"/>
    <x v="0"/>
    <n v="5"/>
  </r>
  <r>
    <x v="0"/>
    <x v="1"/>
    <x v="6"/>
    <x v="3"/>
    <n v="1"/>
  </r>
  <r>
    <x v="0"/>
    <x v="1"/>
    <x v="6"/>
    <x v="0"/>
    <n v="65"/>
  </r>
  <r>
    <x v="1"/>
    <x v="1"/>
    <x v="14"/>
    <x v="3"/>
    <n v="16.86"/>
  </r>
  <r>
    <x v="1"/>
    <x v="1"/>
    <x v="15"/>
    <x v="3"/>
    <n v="90.619999999999976"/>
  </r>
  <r>
    <x v="1"/>
    <x v="1"/>
    <x v="6"/>
    <x v="1"/>
    <n v="2"/>
  </r>
  <r>
    <x v="0"/>
    <x v="1"/>
    <x v="10"/>
    <x v="0"/>
    <n v="198.93"/>
  </r>
  <r>
    <x v="0"/>
    <x v="1"/>
    <x v="4"/>
    <x v="3"/>
    <n v="3"/>
  </r>
  <r>
    <x v="0"/>
    <x v="1"/>
    <x v="3"/>
    <x v="2"/>
    <n v="18"/>
  </r>
  <r>
    <x v="0"/>
    <x v="1"/>
    <x v="3"/>
    <x v="3"/>
    <n v="15.34"/>
  </r>
  <r>
    <x v="0"/>
    <x v="1"/>
    <x v="7"/>
    <x v="0"/>
    <n v="203"/>
  </r>
  <r>
    <x v="1"/>
    <x v="1"/>
    <x v="0"/>
    <x v="3"/>
    <n v="182.2"/>
  </r>
  <r>
    <x v="1"/>
    <x v="1"/>
    <x v="3"/>
    <x v="0"/>
    <n v="3355.93"/>
  </r>
  <r>
    <x v="0"/>
    <x v="1"/>
    <x v="13"/>
    <x v="3"/>
    <n v="42.75"/>
  </r>
  <r>
    <x v="0"/>
    <x v="1"/>
    <x v="2"/>
    <x v="3"/>
    <n v="68.5"/>
  </r>
  <r>
    <x v="0"/>
    <x v="1"/>
    <x v="5"/>
    <x v="3"/>
    <n v="53.45"/>
  </r>
  <r>
    <x v="0"/>
    <x v="1"/>
    <x v="6"/>
    <x v="1"/>
    <n v="10"/>
  </r>
  <r>
    <x v="1"/>
    <x v="1"/>
    <x v="14"/>
    <x v="0"/>
    <n v="2"/>
  </r>
  <r>
    <x v="1"/>
    <x v="1"/>
    <x v="9"/>
    <x v="3"/>
    <n v="71.489999999999995"/>
  </r>
  <r>
    <x v="1"/>
    <x v="1"/>
    <x v="15"/>
    <x v="0"/>
    <n v="2"/>
  </r>
  <r>
    <x v="1"/>
    <x v="1"/>
    <x v="10"/>
    <x v="3"/>
    <n v="16.689999999999998"/>
  </r>
  <r>
    <x v="1"/>
    <x v="1"/>
    <x v="4"/>
    <x v="0"/>
    <n v="6"/>
  </r>
  <r>
    <x v="1"/>
    <x v="1"/>
    <x v="7"/>
    <x v="3"/>
    <n v="46.81"/>
  </r>
  <r>
    <x v="0"/>
    <x v="1"/>
    <x v="1"/>
    <x v="3"/>
    <n v="58.509999999999991"/>
  </r>
  <r>
    <x v="0"/>
    <x v="1"/>
    <x v="3"/>
    <x v="0"/>
    <n v="3101"/>
  </r>
  <r>
    <x v="0"/>
    <x v="1"/>
    <x v="7"/>
    <x v="3"/>
    <n v="53.36"/>
  </r>
  <r>
    <x v="1"/>
    <x v="1"/>
    <x v="0"/>
    <x v="0"/>
    <n v="5"/>
  </r>
  <r>
    <x v="1"/>
    <x v="1"/>
    <x v="12"/>
    <x v="3"/>
    <n v="62.3"/>
  </r>
  <r>
    <x v="1"/>
    <x v="1"/>
    <x v="2"/>
    <x v="3"/>
    <n v="72.069999999999993"/>
  </r>
  <r>
    <x v="1"/>
    <x v="1"/>
    <x v="3"/>
    <x v="3"/>
    <n v="78.53"/>
  </r>
  <r>
    <x v="1"/>
    <x v="1"/>
    <x v="11"/>
    <x v="0"/>
    <n v="5"/>
  </r>
  <r>
    <x v="1"/>
    <x v="1"/>
    <x v="6"/>
    <x v="0"/>
    <n v="53"/>
  </r>
  <r>
    <x v="0"/>
    <x v="1"/>
    <x v="12"/>
    <x v="3"/>
    <n v="63.550000000000004"/>
  </r>
  <r>
    <x v="0"/>
    <x v="1"/>
    <x v="8"/>
    <x v="3"/>
    <n v="52.920000000000009"/>
  </r>
  <r>
    <x v="0"/>
    <x v="1"/>
    <x v="2"/>
    <x v="1"/>
    <n v="192.33"/>
  </r>
  <r>
    <x v="1"/>
    <x v="1"/>
    <x v="1"/>
    <x v="3"/>
    <n v="63.31"/>
  </r>
  <r>
    <x v="1"/>
    <x v="1"/>
    <x v="10"/>
    <x v="0"/>
    <n v="51"/>
  </r>
  <r>
    <x v="1"/>
    <x v="1"/>
    <x v="3"/>
    <x v="5"/>
    <n v="2551.73"/>
  </r>
  <r>
    <x v="1"/>
    <x v="1"/>
    <x v="3"/>
    <x v="4"/>
    <n v="0"/>
  </r>
  <r>
    <x v="1"/>
    <x v="1"/>
    <x v="5"/>
    <x v="3"/>
    <n v="58.52"/>
  </r>
  <r>
    <x v="0"/>
    <x v="1"/>
    <x v="8"/>
    <x v="0"/>
    <n v="2"/>
  </r>
  <r>
    <x v="0"/>
    <x v="1"/>
    <x v="9"/>
    <x v="3"/>
    <n v="76"/>
  </r>
  <r>
    <x v="0"/>
    <x v="1"/>
    <x v="10"/>
    <x v="3"/>
    <n v="78.709999999999994"/>
  </r>
  <r>
    <x v="0"/>
    <x v="1"/>
    <x v="3"/>
    <x v="5"/>
    <n v="2583.98"/>
  </r>
  <r>
    <x v="1"/>
    <x v="1"/>
    <x v="1"/>
    <x v="0"/>
    <n v="2"/>
  </r>
  <r>
    <x v="1"/>
    <x v="1"/>
    <x v="2"/>
    <x v="0"/>
    <n v="52"/>
  </r>
  <r>
    <x v="1"/>
    <x v="1"/>
    <x v="4"/>
    <x v="3"/>
    <n v="3"/>
  </r>
  <r>
    <x v="1"/>
    <x v="1"/>
    <x v="11"/>
    <x v="3"/>
    <n v="1"/>
  </r>
  <r>
    <x v="1"/>
    <x v="1"/>
    <x v="5"/>
    <x v="0"/>
    <n v="2"/>
  </r>
  <r>
    <x v="2"/>
    <x v="2"/>
    <x v="16"/>
    <x v="6"/>
    <m/>
  </r>
  <r>
    <x v="2"/>
    <x v="2"/>
    <x v="16"/>
    <x v="6"/>
    <m/>
  </r>
</pivotCacheRecords>
</file>

<file path=xl/pivotCache/pivotCacheRecords10.xml><?xml version="1.0" encoding="utf-8"?>
<pivotCacheRecords xmlns="http://schemas.openxmlformats.org/spreadsheetml/2006/main" xmlns:r="http://schemas.openxmlformats.org/officeDocument/2006/relationships" count="35">
  <r>
    <x v="0"/>
    <x v="0"/>
    <x v="0"/>
    <x v="0"/>
    <x v="0"/>
    <x v="0"/>
    <x v="0"/>
    <x v="0"/>
    <x v="0"/>
    <n v="223"/>
  </r>
  <r>
    <x v="0"/>
    <x v="1"/>
    <x v="0"/>
    <x v="0"/>
    <x v="1"/>
    <x v="1"/>
    <x v="1"/>
    <x v="1"/>
    <x v="1"/>
    <n v="359"/>
  </r>
  <r>
    <x v="0"/>
    <x v="2"/>
    <x v="1"/>
    <x v="1"/>
    <x v="2"/>
    <x v="2"/>
    <x v="2"/>
    <x v="2"/>
    <x v="2"/>
    <n v="4001"/>
  </r>
  <r>
    <x v="0"/>
    <x v="3"/>
    <x v="0"/>
    <x v="0"/>
    <x v="1"/>
    <x v="1"/>
    <x v="3"/>
    <x v="3"/>
    <x v="3"/>
    <n v="2940"/>
  </r>
  <r>
    <x v="1"/>
    <x v="0"/>
    <x v="0"/>
    <x v="0"/>
    <x v="0"/>
    <x v="3"/>
    <x v="4"/>
    <x v="0"/>
    <x v="4"/>
    <n v="230"/>
  </r>
  <r>
    <x v="1"/>
    <x v="1"/>
    <x v="0"/>
    <x v="0"/>
    <x v="1"/>
    <x v="1"/>
    <x v="5"/>
    <x v="4"/>
    <x v="5"/>
    <n v="378"/>
  </r>
  <r>
    <x v="1"/>
    <x v="2"/>
    <x v="2"/>
    <x v="2"/>
    <x v="3"/>
    <x v="4"/>
    <x v="6"/>
    <x v="5"/>
    <x v="6"/>
    <n v="3856"/>
  </r>
  <r>
    <x v="1"/>
    <x v="3"/>
    <x v="0"/>
    <x v="0"/>
    <x v="1"/>
    <x v="1"/>
    <x v="7"/>
    <x v="6"/>
    <x v="7"/>
    <n v="2950"/>
  </r>
  <r>
    <x v="2"/>
    <x v="0"/>
    <x v="0"/>
    <x v="0"/>
    <x v="4"/>
    <x v="5"/>
    <x v="8"/>
    <x v="4"/>
    <x v="8"/>
    <n v="203"/>
  </r>
  <r>
    <x v="2"/>
    <x v="1"/>
    <x v="0"/>
    <x v="0"/>
    <x v="1"/>
    <x v="1"/>
    <x v="9"/>
    <x v="7"/>
    <x v="9"/>
    <n v="342"/>
  </r>
  <r>
    <x v="2"/>
    <x v="2"/>
    <x v="3"/>
    <x v="3"/>
    <x v="5"/>
    <x v="6"/>
    <x v="10"/>
    <x v="8"/>
    <x v="10"/>
    <n v="3690"/>
  </r>
  <r>
    <x v="2"/>
    <x v="3"/>
    <x v="0"/>
    <x v="0"/>
    <x v="1"/>
    <x v="1"/>
    <x v="11"/>
    <x v="9"/>
    <x v="11"/>
    <n v="2870"/>
  </r>
  <r>
    <x v="3"/>
    <x v="0"/>
    <x v="0"/>
    <x v="0"/>
    <x v="0"/>
    <x v="7"/>
    <x v="12"/>
    <x v="10"/>
    <x v="12"/>
    <n v="165"/>
  </r>
  <r>
    <x v="3"/>
    <x v="1"/>
    <x v="0"/>
    <x v="0"/>
    <x v="1"/>
    <x v="1"/>
    <x v="9"/>
    <x v="11"/>
    <x v="13"/>
    <n v="320"/>
  </r>
  <r>
    <x v="3"/>
    <x v="2"/>
    <x v="3"/>
    <x v="4"/>
    <x v="6"/>
    <x v="8"/>
    <x v="13"/>
    <x v="12"/>
    <x v="14"/>
    <n v="3645"/>
  </r>
  <r>
    <x v="3"/>
    <x v="3"/>
    <x v="0"/>
    <x v="0"/>
    <x v="1"/>
    <x v="1"/>
    <x v="14"/>
    <x v="13"/>
    <x v="15"/>
    <n v="2870"/>
  </r>
  <r>
    <x v="4"/>
    <x v="0"/>
    <x v="0"/>
    <x v="0"/>
    <x v="0"/>
    <x v="7"/>
    <x v="15"/>
    <x v="14"/>
    <x v="16"/>
    <n v="189"/>
  </r>
  <r>
    <x v="4"/>
    <x v="2"/>
    <x v="3"/>
    <x v="4"/>
    <x v="7"/>
    <x v="9"/>
    <x v="16"/>
    <x v="15"/>
    <x v="17"/>
    <n v="3545"/>
  </r>
  <r>
    <x v="4"/>
    <x v="3"/>
    <x v="0"/>
    <x v="0"/>
    <x v="1"/>
    <x v="1"/>
    <x v="17"/>
    <x v="16"/>
    <x v="18"/>
    <n v="2863"/>
  </r>
  <r>
    <x v="4"/>
    <x v="1"/>
    <x v="0"/>
    <x v="0"/>
    <x v="1"/>
    <x v="1"/>
    <x v="18"/>
    <x v="17"/>
    <x v="19"/>
    <n v="332"/>
  </r>
  <r>
    <x v="5"/>
    <x v="0"/>
    <x v="0"/>
    <x v="5"/>
    <x v="8"/>
    <x v="10"/>
    <x v="19"/>
    <x v="14"/>
    <x v="20"/>
    <n v="207"/>
  </r>
  <r>
    <x v="5"/>
    <x v="3"/>
    <x v="0"/>
    <x v="0"/>
    <x v="1"/>
    <x v="1"/>
    <x v="17"/>
    <x v="18"/>
    <x v="21"/>
    <n v="2935"/>
  </r>
  <r>
    <x v="5"/>
    <x v="4"/>
    <x v="0"/>
    <x v="0"/>
    <x v="1"/>
    <x v="1"/>
    <x v="20"/>
    <x v="19"/>
    <x v="22"/>
    <n v="18"/>
  </r>
  <r>
    <x v="5"/>
    <x v="2"/>
    <x v="3"/>
    <x v="2"/>
    <x v="9"/>
    <x v="11"/>
    <x v="21"/>
    <x v="20"/>
    <x v="23"/>
    <n v="3637"/>
  </r>
  <r>
    <x v="5"/>
    <x v="1"/>
    <x v="0"/>
    <x v="0"/>
    <x v="1"/>
    <x v="1"/>
    <x v="5"/>
    <x v="21"/>
    <x v="13"/>
    <n v="321"/>
  </r>
  <r>
    <x v="6"/>
    <x v="3"/>
    <x v="0"/>
    <x v="0"/>
    <x v="1"/>
    <x v="1"/>
    <x v="11"/>
    <x v="22"/>
    <x v="24"/>
    <n v="2937"/>
  </r>
  <r>
    <x v="6"/>
    <x v="0"/>
    <x v="0"/>
    <x v="5"/>
    <x v="8"/>
    <x v="7"/>
    <x v="22"/>
    <x v="23"/>
    <x v="25"/>
    <n v="188"/>
  </r>
  <r>
    <x v="6"/>
    <x v="1"/>
    <x v="0"/>
    <x v="0"/>
    <x v="1"/>
    <x v="1"/>
    <x v="18"/>
    <x v="24"/>
    <x v="26"/>
    <n v="315"/>
  </r>
  <r>
    <x v="6"/>
    <x v="2"/>
    <x v="4"/>
    <x v="6"/>
    <x v="9"/>
    <x v="9"/>
    <x v="23"/>
    <x v="25"/>
    <x v="27"/>
    <n v="3636"/>
  </r>
  <r>
    <x v="6"/>
    <x v="4"/>
    <x v="0"/>
    <x v="0"/>
    <x v="1"/>
    <x v="1"/>
    <x v="9"/>
    <x v="19"/>
    <x v="22"/>
    <n v="36"/>
  </r>
  <r>
    <x v="7"/>
    <x v="1"/>
    <x v="0"/>
    <x v="0"/>
    <x v="1"/>
    <x v="1"/>
    <x v="18"/>
    <x v="11"/>
    <x v="28"/>
    <n v="303"/>
  </r>
  <r>
    <x v="7"/>
    <x v="0"/>
    <x v="0"/>
    <x v="5"/>
    <x v="8"/>
    <x v="12"/>
    <x v="12"/>
    <x v="10"/>
    <x v="8"/>
    <n v="182"/>
  </r>
  <r>
    <x v="7"/>
    <x v="4"/>
    <x v="0"/>
    <x v="0"/>
    <x v="1"/>
    <x v="1"/>
    <x v="24"/>
    <x v="19"/>
    <x v="22"/>
    <n v="54"/>
  </r>
  <r>
    <x v="7"/>
    <x v="3"/>
    <x v="0"/>
    <x v="0"/>
    <x v="1"/>
    <x v="1"/>
    <x v="25"/>
    <x v="26"/>
    <x v="29"/>
    <n v="2872"/>
  </r>
  <r>
    <x v="7"/>
    <x v="2"/>
    <x v="5"/>
    <x v="3"/>
    <x v="10"/>
    <x v="13"/>
    <x v="26"/>
    <x v="20"/>
    <x v="30"/>
    <n v="3584"/>
  </r>
</pivotCacheRecords>
</file>

<file path=xl/pivotCache/pivotCacheRecords11.xml><?xml version="1.0" encoding="utf-8"?>
<pivotCacheRecords xmlns="http://schemas.openxmlformats.org/spreadsheetml/2006/main" xmlns:r="http://schemas.openxmlformats.org/officeDocument/2006/relationships" count="12">
  <r>
    <x v="0"/>
    <x v="0"/>
    <n v="4"/>
    <n v="33"/>
    <n v="80"/>
    <n v="147"/>
    <n v="0"/>
    <n v="0"/>
    <n v="0"/>
  </r>
  <r>
    <x v="0"/>
    <x v="1"/>
    <n v="0"/>
    <n v="0"/>
    <n v="0"/>
    <n v="0"/>
    <n v="234"/>
    <n v="95"/>
    <n v="29"/>
  </r>
  <r>
    <x v="0"/>
    <x v="2"/>
    <n v="0"/>
    <n v="0"/>
    <n v="0"/>
    <n v="0"/>
    <n v="377"/>
    <n v="592"/>
    <n v="1986"/>
  </r>
  <r>
    <x v="0"/>
    <x v="3"/>
    <n v="0"/>
    <n v="0"/>
    <n v="0"/>
    <n v="0"/>
    <n v="0"/>
    <n v="0"/>
    <n v="60"/>
  </r>
  <r>
    <x v="1"/>
    <x v="0"/>
    <n v="6"/>
    <n v="31"/>
    <n v="80"/>
    <n v="153"/>
    <n v="0"/>
    <n v="0"/>
    <n v="0"/>
  </r>
  <r>
    <x v="1"/>
    <x v="1"/>
    <n v="0"/>
    <n v="0"/>
    <n v="0"/>
    <n v="0"/>
    <n v="232"/>
    <n v="91"/>
    <n v="28"/>
  </r>
  <r>
    <x v="1"/>
    <x v="2"/>
    <n v="0"/>
    <n v="0"/>
    <n v="0"/>
    <n v="0"/>
    <n v="376"/>
    <n v="597"/>
    <n v="1993"/>
  </r>
  <r>
    <x v="1"/>
    <x v="3"/>
    <n v="0"/>
    <n v="0"/>
    <n v="0"/>
    <n v="0"/>
    <n v="0"/>
    <n v="0"/>
    <n v="49"/>
  </r>
  <r>
    <x v="2"/>
    <x v="0"/>
    <n v="5"/>
    <n v="35"/>
    <n v="81"/>
    <n v="152"/>
    <n v="0"/>
    <n v="0"/>
    <n v="0"/>
  </r>
  <r>
    <x v="2"/>
    <x v="1"/>
    <n v="0"/>
    <n v="0"/>
    <n v="0"/>
    <n v="0"/>
    <n v="232"/>
    <n v="91"/>
    <n v="26"/>
  </r>
  <r>
    <x v="2"/>
    <x v="2"/>
    <n v="0"/>
    <n v="0"/>
    <n v="0"/>
    <n v="0"/>
    <n v="372"/>
    <n v="596"/>
    <n v="1935"/>
  </r>
  <r>
    <x v="2"/>
    <x v="3"/>
    <n v="0"/>
    <n v="0"/>
    <n v="0"/>
    <n v="0"/>
    <n v="0"/>
    <n v="0"/>
    <n v="59"/>
  </r>
</pivotCacheRecords>
</file>

<file path=xl/pivotCache/pivotCacheRecords12.xml><?xml version="1.0" encoding="utf-8"?>
<pivotCacheRecords xmlns="http://schemas.openxmlformats.org/spreadsheetml/2006/main" xmlns:r="http://schemas.openxmlformats.org/officeDocument/2006/relationships" count="32">
  <r>
    <x v="0"/>
    <x v="0"/>
    <x v="0"/>
    <x v="0"/>
    <x v="0"/>
    <x v="0"/>
    <n v="416"/>
    <x v="0"/>
    <x v="0"/>
    <m/>
  </r>
  <r>
    <x v="0"/>
    <x v="1"/>
    <x v="0"/>
    <x v="1"/>
    <x v="1"/>
    <x v="1"/>
    <n v="94"/>
    <x v="1"/>
    <x v="1"/>
    <m/>
  </r>
  <r>
    <x v="0"/>
    <x v="2"/>
    <x v="1"/>
    <x v="2"/>
    <x v="2"/>
    <x v="2"/>
    <n v="158"/>
    <x v="2"/>
    <x v="2"/>
    <n v="268"/>
  </r>
  <r>
    <x v="0"/>
    <x v="3"/>
    <x v="2"/>
    <x v="3"/>
    <x v="3"/>
    <x v="3"/>
    <n v="11"/>
    <x v="3"/>
    <x v="3"/>
    <m/>
  </r>
  <r>
    <x v="1"/>
    <x v="0"/>
    <x v="0"/>
    <x v="0"/>
    <x v="0"/>
    <x v="4"/>
    <n v="416"/>
    <x v="4"/>
    <x v="4"/>
    <m/>
  </r>
  <r>
    <x v="1"/>
    <x v="1"/>
    <x v="0"/>
    <x v="4"/>
    <x v="4"/>
    <x v="5"/>
    <n v="90"/>
    <x v="5"/>
    <x v="5"/>
    <m/>
  </r>
  <r>
    <x v="1"/>
    <x v="2"/>
    <x v="0"/>
    <x v="5"/>
    <x v="5"/>
    <x v="6"/>
    <n v="147"/>
    <x v="6"/>
    <x v="6"/>
    <m/>
  </r>
  <r>
    <x v="1"/>
    <x v="3"/>
    <x v="3"/>
    <x v="6"/>
    <x v="6"/>
    <x v="7"/>
    <n v="11"/>
    <x v="5"/>
    <x v="7"/>
    <n v="52"/>
  </r>
  <r>
    <x v="2"/>
    <x v="0"/>
    <x v="0"/>
    <x v="0"/>
    <x v="0"/>
    <x v="8"/>
    <n v="305"/>
    <x v="7"/>
    <x v="8"/>
    <m/>
  </r>
  <r>
    <x v="2"/>
    <x v="1"/>
    <x v="0"/>
    <x v="7"/>
    <x v="7"/>
    <x v="9"/>
    <n v="133"/>
    <x v="8"/>
    <x v="9"/>
    <m/>
  </r>
  <r>
    <x v="2"/>
    <x v="2"/>
    <x v="0"/>
    <x v="8"/>
    <x v="8"/>
    <x v="4"/>
    <n v="46"/>
    <x v="9"/>
    <x v="3"/>
    <m/>
  </r>
  <r>
    <x v="2"/>
    <x v="3"/>
    <x v="4"/>
    <x v="4"/>
    <x v="9"/>
    <x v="10"/>
    <n v="93"/>
    <x v="10"/>
    <x v="10"/>
    <n v="195"/>
  </r>
  <r>
    <x v="3"/>
    <x v="0"/>
    <x v="0"/>
    <x v="0"/>
    <x v="0"/>
    <x v="11"/>
    <n v="343"/>
    <x v="11"/>
    <x v="11"/>
    <m/>
  </r>
  <r>
    <x v="3"/>
    <x v="1"/>
    <x v="0"/>
    <x v="9"/>
    <x v="10"/>
    <x v="12"/>
    <n v="119"/>
    <x v="12"/>
    <x v="12"/>
    <m/>
  </r>
  <r>
    <x v="3"/>
    <x v="2"/>
    <x v="0"/>
    <x v="8"/>
    <x v="6"/>
    <x v="13"/>
    <n v="86"/>
    <x v="13"/>
    <x v="13"/>
    <m/>
  </r>
  <r>
    <x v="3"/>
    <x v="3"/>
    <x v="4"/>
    <x v="10"/>
    <x v="11"/>
    <x v="14"/>
    <n v="42"/>
    <x v="14"/>
    <x v="14"/>
    <m/>
  </r>
  <r>
    <x v="4"/>
    <x v="0"/>
    <x v="0"/>
    <x v="0"/>
    <x v="0"/>
    <x v="15"/>
    <n v="375"/>
    <x v="15"/>
    <x v="15"/>
    <n v="2867"/>
  </r>
  <r>
    <x v="4"/>
    <x v="1"/>
    <x v="0"/>
    <x v="9"/>
    <x v="12"/>
    <x v="16"/>
    <n v="110"/>
    <x v="16"/>
    <x v="16"/>
    <n v="379"/>
  </r>
  <r>
    <x v="4"/>
    <x v="2"/>
    <x v="0"/>
    <x v="8"/>
    <x v="13"/>
    <x v="17"/>
    <n v="71"/>
    <x v="17"/>
    <x v="3"/>
    <n v="156"/>
  </r>
  <r>
    <x v="4"/>
    <x v="3"/>
    <x v="4"/>
    <x v="10"/>
    <x v="14"/>
    <x v="14"/>
    <n v="47"/>
    <x v="14"/>
    <x v="17"/>
    <n v="143"/>
  </r>
  <r>
    <x v="5"/>
    <x v="0"/>
    <x v="0"/>
    <x v="0"/>
    <x v="0"/>
    <x v="15"/>
    <n v="377"/>
    <x v="4"/>
    <x v="18"/>
    <n v="2955"/>
  </r>
  <r>
    <x v="5"/>
    <x v="1"/>
    <x v="0"/>
    <x v="9"/>
    <x v="15"/>
    <x v="16"/>
    <n v="124"/>
    <x v="18"/>
    <x v="16"/>
    <n v="387"/>
  </r>
  <r>
    <x v="5"/>
    <x v="2"/>
    <x v="0"/>
    <x v="8"/>
    <x v="16"/>
    <x v="18"/>
    <n v="64"/>
    <x v="19"/>
    <x v="3"/>
    <n v="146"/>
  </r>
  <r>
    <x v="5"/>
    <x v="3"/>
    <x v="4"/>
    <x v="7"/>
    <x v="17"/>
    <x v="19"/>
    <n v="46"/>
    <x v="14"/>
    <x v="19"/>
    <n v="149"/>
  </r>
  <r>
    <x v="6"/>
    <x v="0"/>
    <x v="0"/>
    <x v="0"/>
    <x v="0"/>
    <x v="15"/>
    <n v="376"/>
    <x v="20"/>
    <x v="20"/>
    <n v="2966"/>
  </r>
  <r>
    <x v="6"/>
    <x v="1"/>
    <x v="0"/>
    <x v="9"/>
    <x v="18"/>
    <x v="20"/>
    <n v="113"/>
    <x v="21"/>
    <x v="21"/>
    <n v="383"/>
  </r>
  <r>
    <x v="6"/>
    <x v="2"/>
    <x v="0"/>
    <x v="2"/>
    <x v="17"/>
    <x v="17"/>
    <n v="112"/>
    <x v="22"/>
    <x v="3"/>
    <n v="197"/>
  </r>
  <r>
    <x v="6"/>
    <x v="3"/>
    <x v="2"/>
    <x v="11"/>
    <x v="14"/>
    <x v="7"/>
    <n v="7"/>
    <x v="14"/>
    <x v="22"/>
    <n v="90"/>
  </r>
  <r>
    <x v="7"/>
    <x v="0"/>
    <x v="0"/>
    <x v="0"/>
    <x v="0"/>
    <x v="15"/>
    <n v="372"/>
    <x v="23"/>
    <x v="23"/>
    <n v="2903"/>
  </r>
  <r>
    <x v="7"/>
    <x v="1"/>
    <x v="0"/>
    <x v="9"/>
    <x v="15"/>
    <x v="12"/>
    <n v="115"/>
    <x v="24"/>
    <x v="24"/>
    <n v="377"/>
  </r>
  <r>
    <x v="7"/>
    <x v="2"/>
    <x v="0"/>
    <x v="2"/>
    <x v="8"/>
    <x v="21"/>
    <n v="87"/>
    <x v="25"/>
    <x v="25"/>
    <n v="212"/>
  </r>
  <r>
    <x v="7"/>
    <x v="3"/>
    <x v="5"/>
    <x v="12"/>
    <x v="19"/>
    <x v="22"/>
    <n v="30"/>
    <x v="14"/>
    <x v="7"/>
    <n v="92"/>
  </r>
</pivotCacheRecords>
</file>

<file path=xl/pivotCache/pivotCacheRecords13.xml><?xml version="1.0" encoding="utf-8"?>
<pivotCacheRecords xmlns="http://schemas.openxmlformats.org/spreadsheetml/2006/main" xmlns:r="http://schemas.openxmlformats.org/officeDocument/2006/relationships" count="424">
  <r>
    <x v="0"/>
    <x v="0"/>
    <x v="0"/>
    <m/>
    <m/>
    <m/>
    <n v="0"/>
    <n v="22"/>
    <n v="24"/>
    <n v="128"/>
  </r>
  <r>
    <x v="0"/>
    <x v="0"/>
    <x v="1"/>
    <m/>
    <m/>
    <m/>
    <n v="0"/>
    <n v="4"/>
    <n v="3"/>
    <n v="16"/>
  </r>
  <r>
    <x v="0"/>
    <x v="0"/>
    <x v="2"/>
    <m/>
    <m/>
    <m/>
    <n v="1"/>
    <n v="9"/>
    <n v="0"/>
    <n v="25"/>
  </r>
  <r>
    <x v="0"/>
    <x v="0"/>
    <x v="3"/>
    <m/>
    <m/>
    <m/>
    <n v="2"/>
    <n v="15"/>
    <n v="10"/>
    <n v="31"/>
  </r>
  <r>
    <x v="0"/>
    <x v="0"/>
    <x v="4"/>
    <m/>
    <m/>
    <m/>
    <n v="0"/>
    <n v="25"/>
    <n v="70"/>
    <n v="275"/>
  </r>
  <r>
    <x v="0"/>
    <x v="0"/>
    <x v="5"/>
    <m/>
    <m/>
    <m/>
    <n v="0"/>
    <n v="4"/>
    <n v="9"/>
    <n v="30"/>
  </r>
  <r>
    <x v="0"/>
    <x v="0"/>
    <x v="6"/>
    <m/>
    <m/>
    <m/>
    <n v="0"/>
    <n v="5"/>
    <n v="11"/>
    <n v="53"/>
  </r>
  <r>
    <x v="0"/>
    <x v="0"/>
    <x v="7"/>
    <m/>
    <m/>
    <m/>
    <n v="1"/>
    <n v="23"/>
    <n v="29"/>
    <n v="162"/>
  </r>
  <r>
    <x v="0"/>
    <x v="0"/>
    <x v="8"/>
    <m/>
    <m/>
    <m/>
    <n v="0"/>
    <n v="8"/>
    <n v="11"/>
    <n v="40"/>
  </r>
  <r>
    <x v="0"/>
    <x v="0"/>
    <x v="9"/>
    <m/>
    <m/>
    <m/>
    <n v="0"/>
    <n v="14"/>
    <n v="15"/>
    <n v="45"/>
  </r>
  <r>
    <x v="0"/>
    <x v="0"/>
    <x v="10"/>
    <m/>
    <m/>
    <m/>
    <n v="0"/>
    <n v="3"/>
    <n v="5"/>
    <n v="21"/>
  </r>
  <r>
    <x v="0"/>
    <x v="0"/>
    <x v="11"/>
    <m/>
    <m/>
    <m/>
    <n v="0"/>
    <n v="11"/>
    <n v="14"/>
    <n v="34"/>
  </r>
  <r>
    <x v="0"/>
    <x v="0"/>
    <x v="12"/>
    <m/>
    <m/>
    <m/>
    <n v="1"/>
    <n v="12"/>
    <n v="18"/>
    <n v="65"/>
  </r>
  <r>
    <x v="0"/>
    <x v="0"/>
    <x v="13"/>
    <m/>
    <m/>
    <m/>
    <n v="0"/>
    <n v="23"/>
    <n v="58"/>
    <n v="208"/>
  </r>
  <r>
    <x v="0"/>
    <x v="0"/>
    <x v="14"/>
    <m/>
    <m/>
    <m/>
    <n v="0"/>
    <n v="68"/>
    <n v="119"/>
    <n v="373"/>
  </r>
  <r>
    <x v="0"/>
    <x v="0"/>
    <x v="15"/>
    <m/>
    <m/>
    <m/>
    <n v="2"/>
    <n v="10"/>
    <n v="9"/>
    <n v="60"/>
  </r>
  <r>
    <x v="0"/>
    <x v="0"/>
    <x v="16"/>
    <m/>
    <m/>
    <m/>
    <n v="0"/>
    <n v="11"/>
    <n v="18"/>
    <n v="49"/>
  </r>
  <r>
    <x v="0"/>
    <x v="0"/>
    <x v="17"/>
    <m/>
    <m/>
    <m/>
    <n v="0"/>
    <n v="5"/>
    <n v="4"/>
    <n v="26"/>
  </r>
  <r>
    <x v="0"/>
    <x v="0"/>
    <x v="18"/>
    <m/>
    <m/>
    <m/>
    <n v="0"/>
    <n v="3"/>
    <n v="2"/>
    <n v="15"/>
  </r>
  <r>
    <x v="0"/>
    <x v="0"/>
    <x v="19"/>
    <m/>
    <m/>
    <m/>
    <n v="0"/>
    <n v="0"/>
    <n v="0"/>
    <n v="0"/>
  </r>
  <r>
    <x v="0"/>
    <x v="0"/>
    <x v="20"/>
    <m/>
    <m/>
    <m/>
    <n v="0"/>
    <n v="13"/>
    <n v="13"/>
    <n v="50"/>
  </r>
  <r>
    <x v="0"/>
    <x v="0"/>
    <x v="21"/>
    <m/>
    <m/>
    <m/>
    <n v="1"/>
    <n v="24"/>
    <n v="34"/>
    <n v="129"/>
  </r>
  <r>
    <x v="0"/>
    <x v="0"/>
    <x v="22"/>
    <m/>
    <m/>
    <m/>
    <n v="0"/>
    <n v="0"/>
    <n v="0"/>
    <n v="0"/>
  </r>
  <r>
    <x v="0"/>
    <x v="0"/>
    <x v="23"/>
    <m/>
    <m/>
    <m/>
    <n v="2"/>
    <n v="11"/>
    <n v="14"/>
    <n v="61"/>
  </r>
  <r>
    <x v="0"/>
    <x v="0"/>
    <x v="24"/>
    <m/>
    <m/>
    <m/>
    <n v="1"/>
    <n v="19"/>
    <n v="22"/>
    <n v="74"/>
  </r>
  <r>
    <x v="0"/>
    <x v="0"/>
    <x v="25"/>
    <m/>
    <m/>
    <m/>
    <n v="0"/>
    <n v="10"/>
    <n v="11"/>
    <n v="54"/>
  </r>
  <r>
    <x v="0"/>
    <x v="0"/>
    <x v="26"/>
    <m/>
    <m/>
    <m/>
    <n v="0"/>
    <n v="0"/>
    <n v="0"/>
    <n v="0"/>
  </r>
  <r>
    <x v="0"/>
    <x v="0"/>
    <x v="27"/>
    <m/>
    <m/>
    <m/>
    <n v="0"/>
    <n v="8"/>
    <n v="10"/>
    <n v="47"/>
  </r>
  <r>
    <x v="0"/>
    <x v="0"/>
    <x v="28"/>
    <m/>
    <m/>
    <m/>
    <n v="2"/>
    <n v="26"/>
    <n v="33"/>
    <n v="129"/>
  </r>
  <r>
    <x v="0"/>
    <x v="0"/>
    <x v="29"/>
    <m/>
    <m/>
    <m/>
    <n v="0"/>
    <n v="10"/>
    <n v="10"/>
    <n v="42"/>
  </r>
  <r>
    <x v="0"/>
    <x v="0"/>
    <x v="30"/>
    <m/>
    <m/>
    <m/>
    <n v="0"/>
    <n v="10"/>
    <n v="18"/>
    <n v="52"/>
  </r>
  <r>
    <x v="0"/>
    <x v="0"/>
    <x v="31"/>
    <m/>
    <m/>
    <m/>
    <n v="0"/>
    <n v="10"/>
    <n v="14"/>
    <n v="61"/>
  </r>
  <r>
    <x v="0"/>
    <x v="1"/>
    <x v="0"/>
    <m/>
    <n v="1"/>
    <n v="7"/>
    <n v="6"/>
    <n v="8"/>
    <n v="0"/>
    <n v="1"/>
  </r>
  <r>
    <x v="0"/>
    <x v="1"/>
    <x v="32"/>
    <m/>
    <n v="1"/>
    <n v="2"/>
    <n v="4"/>
    <n v="8"/>
    <n v="0"/>
    <n v="0"/>
  </r>
  <r>
    <x v="0"/>
    <x v="1"/>
    <x v="33"/>
    <m/>
    <n v="1"/>
    <n v="3"/>
    <n v="6"/>
    <n v="10"/>
    <n v="1"/>
    <n v="1"/>
  </r>
  <r>
    <x v="0"/>
    <x v="1"/>
    <x v="6"/>
    <m/>
    <n v="0"/>
    <n v="2"/>
    <n v="5"/>
    <n v="9"/>
    <n v="0"/>
    <n v="0"/>
  </r>
  <r>
    <x v="0"/>
    <x v="1"/>
    <x v="34"/>
    <m/>
    <n v="1"/>
    <n v="3"/>
    <n v="5"/>
    <n v="2"/>
    <n v="0"/>
    <n v="0"/>
  </r>
  <r>
    <x v="0"/>
    <x v="1"/>
    <x v="35"/>
    <m/>
    <n v="1"/>
    <n v="7"/>
    <n v="0"/>
    <n v="8"/>
    <n v="0"/>
    <n v="5"/>
  </r>
  <r>
    <x v="0"/>
    <x v="1"/>
    <x v="36"/>
    <m/>
    <n v="1"/>
    <n v="3"/>
    <n v="5"/>
    <n v="2"/>
    <n v="0"/>
    <n v="1"/>
  </r>
  <r>
    <x v="0"/>
    <x v="1"/>
    <x v="37"/>
    <m/>
    <n v="1"/>
    <n v="9"/>
    <n v="7"/>
    <n v="6"/>
    <n v="0"/>
    <n v="0"/>
  </r>
  <r>
    <x v="0"/>
    <x v="1"/>
    <x v="38"/>
    <m/>
    <n v="2"/>
    <n v="9"/>
    <n v="3"/>
    <n v="7"/>
    <n v="3"/>
    <n v="2"/>
  </r>
  <r>
    <x v="0"/>
    <x v="1"/>
    <x v="39"/>
    <m/>
    <n v="1"/>
    <n v="2"/>
    <n v="2"/>
    <n v="6"/>
    <n v="0"/>
    <n v="2"/>
  </r>
  <r>
    <x v="0"/>
    <x v="1"/>
    <x v="13"/>
    <m/>
    <n v="1"/>
    <n v="3"/>
    <n v="6"/>
    <n v="11"/>
    <n v="0"/>
    <n v="0"/>
  </r>
  <r>
    <x v="0"/>
    <x v="1"/>
    <x v="14"/>
    <m/>
    <n v="1"/>
    <n v="4"/>
    <n v="10"/>
    <n v="10"/>
    <n v="0"/>
    <n v="3"/>
  </r>
  <r>
    <x v="0"/>
    <x v="1"/>
    <x v="40"/>
    <m/>
    <n v="1"/>
    <n v="4"/>
    <n v="7"/>
    <n v="1"/>
    <n v="0"/>
    <n v="0"/>
  </r>
  <r>
    <x v="0"/>
    <x v="1"/>
    <x v="21"/>
    <m/>
    <n v="1"/>
    <n v="2"/>
    <n v="6"/>
    <n v="4"/>
    <n v="1"/>
    <n v="0"/>
  </r>
  <r>
    <x v="0"/>
    <x v="1"/>
    <x v="28"/>
    <m/>
    <n v="1"/>
    <n v="3"/>
    <n v="4"/>
    <n v="2"/>
    <n v="0"/>
    <n v="0"/>
  </r>
  <r>
    <x v="0"/>
    <x v="1"/>
    <x v="41"/>
    <m/>
    <n v="1"/>
    <n v="3"/>
    <n v="4"/>
    <n v="0"/>
    <n v="0"/>
    <n v="0"/>
  </r>
  <r>
    <x v="0"/>
    <x v="1"/>
    <x v="42"/>
    <m/>
    <n v="1"/>
    <n v="3"/>
    <n v="5"/>
    <n v="0"/>
    <n v="0"/>
    <n v="0"/>
  </r>
  <r>
    <x v="0"/>
    <x v="2"/>
    <x v="43"/>
    <n v="1"/>
    <n v="1"/>
    <n v="3"/>
    <n v="15"/>
    <n v="49"/>
    <n v="8"/>
    <n v="3"/>
  </r>
  <r>
    <x v="0"/>
    <x v="2"/>
    <x v="44"/>
    <n v="1"/>
    <n v="2"/>
    <n v="9"/>
    <n v="10"/>
    <n v="30"/>
    <n v="24"/>
    <n v="1"/>
  </r>
  <r>
    <x v="0"/>
    <x v="2"/>
    <x v="45"/>
    <n v="1"/>
    <n v="3"/>
    <n v="12"/>
    <n v="8"/>
    <n v="79"/>
    <n v="8"/>
    <n v="0"/>
  </r>
  <r>
    <x v="0"/>
    <x v="3"/>
    <x v="46"/>
    <n v="6"/>
    <n v="5"/>
    <n v="22"/>
    <n v="5"/>
    <n v="11"/>
    <n v="7"/>
    <n v="0"/>
  </r>
  <r>
    <x v="1"/>
    <x v="0"/>
    <x v="0"/>
    <m/>
    <m/>
    <m/>
    <n v="0"/>
    <n v="26"/>
    <n v="25"/>
    <n v="122"/>
  </r>
  <r>
    <x v="1"/>
    <x v="0"/>
    <x v="1"/>
    <m/>
    <m/>
    <m/>
    <n v="0"/>
    <n v="2"/>
    <n v="3"/>
    <n v="18"/>
  </r>
  <r>
    <x v="1"/>
    <x v="0"/>
    <x v="2"/>
    <m/>
    <m/>
    <m/>
    <n v="1"/>
    <n v="4"/>
    <n v="0"/>
    <n v="22"/>
  </r>
  <r>
    <x v="1"/>
    <x v="0"/>
    <x v="3"/>
    <m/>
    <m/>
    <m/>
    <n v="2"/>
    <n v="15"/>
    <n v="10"/>
    <n v="27"/>
  </r>
  <r>
    <x v="1"/>
    <x v="0"/>
    <x v="4"/>
    <m/>
    <m/>
    <m/>
    <n v="1"/>
    <n v="26"/>
    <n v="64"/>
    <n v="257"/>
  </r>
  <r>
    <x v="1"/>
    <x v="0"/>
    <x v="5"/>
    <m/>
    <m/>
    <m/>
    <n v="0"/>
    <n v="4"/>
    <n v="8"/>
    <n v="25"/>
  </r>
  <r>
    <x v="1"/>
    <x v="0"/>
    <x v="6"/>
    <m/>
    <m/>
    <m/>
    <n v="0"/>
    <n v="6"/>
    <n v="11"/>
    <n v="52"/>
  </r>
  <r>
    <x v="1"/>
    <x v="0"/>
    <x v="7"/>
    <m/>
    <m/>
    <m/>
    <n v="1"/>
    <n v="21"/>
    <n v="27"/>
    <n v="158"/>
  </r>
  <r>
    <x v="1"/>
    <x v="0"/>
    <x v="8"/>
    <m/>
    <m/>
    <m/>
    <n v="0"/>
    <n v="8"/>
    <n v="9"/>
    <n v="39"/>
  </r>
  <r>
    <x v="1"/>
    <x v="0"/>
    <x v="9"/>
    <m/>
    <m/>
    <m/>
    <n v="0"/>
    <n v="14"/>
    <n v="14"/>
    <n v="44"/>
  </r>
  <r>
    <x v="1"/>
    <x v="0"/>
    <x v="10"/>
    <m/>
    <m/>
    <m/>
    <n v="0"/>
    <n v="4"/>
    <n v="3"/>
    <n v="21"/>
  </r>
  <r>
    <x v="1"/>
    <x v="0"/>
    <x v="11"/>
    <m/>
    <m/>
    <m/>
    <n v="0"/>
    <n v="9"/>
    <n v="13"/>
    <n v="35"/>
  </r>
  <r>
    <x v="1"/>
    <x v="0"/>
    <x v="12"/>
    <m/>
    <m/>
    <m/>
    <n v="2"/>
    <n v="15"/>
    <n v="17"/>
    <n v="60"/>
  </r>
  <r>
    <x v="1"/>
    <x v="0"/>
    <x v="13"/>
    <m/>
    <m/>
    <m/>
    <n v="0"/>
    <n v="25"/>
    <n v="54"/>
    <n v="209"/>
  </r>
  <r>
    <x v="1"/>
    <x v="0"/>
    <x v="14"/>
    <m/>
    <m/>
    <m/>
    <n v="1"/>
    <n v="65"/>
    <n v="116"/>
    <n v="362"/>
  </r>
  <r>
    <x v="1"/>
    <x v="0"/>
    <x v="15"/>
    <m/>
    <m/>
    <m/>
    <n v="1"/>
    <n v="12"/>
    <n v="11"/>
    <n v="57"/>
  </r>
  <r>
    <x v="1"/>
    <x v="0"/>
    <x v="16"/>
    <m/>
    <m/>
    <m/>
    <n v="0"/>
    <n v="12"/>
    <n v="16"/>
    <n v="49"/>
  </r>
  <r>
    <x v="1"/>
    <x v="0"/>
    <x v="17"/>
    <m/>
    <m/>
    <m/>
    <n v="0"/>
    <n v="5"/>
    <n v="4"/>
    <n v="26"/>
  </r>
  <r>
    <x v="1"/>
    <x v="0"/>
    <x v="18"/>
    <m/>
    <m/>
    <m/>
    <n v="0"/>
    <n v="4"/>
    <n v="3"/>
    <n v="14"/>
  </r>
  <r>
    <x v="1"/>
    <x v="0"/>
    <x v="19"/>
    <m/>
    <m/>
    <m/>
    <n v="0"/>
    <n v="0"/>
    <n v="0"/>
    <n v="0"/>
  </r>
  <r>
    <x v="1"/>
    <x v="0"/>
    <x v="20"/>
    <m/>
    <m/>
    <m/>
    <n v="0"/>
    <n v="14"/>
    <n v="14"/>
    <n v="50"/>
  </r>
  <r>
    <x v="1"/>
    <x v="0"/>
    <x v="21"/>
    <m/>
    <m/>
    <m/>
    <n v="1"/>
    <n v="24"/>
    <n v="37"/>
    <n v="125"/>
  </r>
  <r>
    <x v="1"/>
    <x v="0"/>
    <x v="22"/>
    <m/>
    <m/>
    <m/>
    <n v="0"/>
    <n v="0"/>
    <n v="0"/>
    <n v="0"/>
  </r>
  <r>
    <x v="1"/>
    <x v="0"/>
    <x v="23"/>
    <m/>
    <m/>
    <m/>
    <n v="1"/>
    <n v="11"/>
    <n v="16"/>
    <n v="58"/>
  </r>
  <r>
    <x v="1"/>
    <x v="0"/>
    <x v="24"/>
    <m/>
    <m/>
    <m/>
    <n v="0"/>
    <n v="20"/>
    <n v="23"/>
    <n v="72"/>
  </r>
  <r>
    <x v="1"/>
    <x v="0"/>
    <x v="25"/>
    <m/>
    <m/>
    <m/>
    <n v="0"/>
    <n v="11"/>
    <n v="11"/>
    <n v="51"/>
  </r>
  <r>
    <x v="1"/>
    <x v="0"/>
    <x v="26"/>
    <m/>
    <m/>
    <m/>
    <n v="0"/>
    <n v="0"/>
    <n v="0"/>
    <n v="0"/>
  </r>
  <r>
    <x v="1"/>
    <x v="0"/>
    <x v="27"/>
    <m/>
    <m/>
    <m/>
    <n v="0"/>
    <n v="8"/>
    <n v="9"/>
    <n v="43"/>
  </r>
  <r>
    <x v="1"/>
    <x v="0"/>
    <x v="28"/>
    <m/>
    <m/>
    <m/>
    <n v="2"/>
    <n v="24"/>
    <n v="35"/>
    <n v="126"/>
  </r>
  <r>
    <x v="1"/>
    <x v="0"/>
    <x v="29"/>
    <m/>
    <m/>
    <m/>
    <n v="0"/>
    <n v="8"/>
    <n v="10"/>
    <n v="37"/>
  </r>
  <r>
    <x v="1"/>
    <x v="0"/>
    <x v="30"/>
    <m/>
    <m/>
    <m/>
    <n v="0"/>
    <n v="9"/>
    <n v="20"/>
    <n v="45"/>
  </r>
  <r>
    <x v="1"/>
    <x v="0"/>
    <x v="31"/>
    <m/>
    <m/>
    <m/>
    <n v="1"/>
    <n v="10"/>
    <n v="9"/>
    <n v="59"/>
  </r>
  <r>
    <x v="1"/>
    <x v="1"/>
    <x v="0"/>
    <m/>
    <n v="1"/>
    <n v="3"/>
    <n v="7"/>
    <n v="7"/>
    <n v="0"/>
    <n v="0"/>
  </r>
  <r>
    <x v="1"/>
    <x v="1"/>
    <x v="32"/>
    <m/>
    <n v="1"/>
    <n v="1"/>
    <n v="4"/>
    <n v="10"/>
    <n v="0"/>
    <n v="2"/>
  </r>
  <r>
    <x v="1"/>
    <x v="1"/>
    <x v="33"/>
    <m/>
    <n v="1"/>
    <n v="7"/>
    <n v="5"/>
    <n v="7"/>
    <n v="0"/>
    <n v="1"/>
  </r>
  <r>
    <x v="1"/>
    <x v="1"/>
    <x v="6"/>
    <m/>
    <n v="0"/>
    <n v="2"/>
    <n v="5"/>
    <n v="10"/>
    <n v="0"/>
    <n v="1"/>
  </r>
  <r>
    <x v="1"/>
    <x v="1"/>
    <x v="34"/>
    <m/>
    <n v="1"/>
    <n v="3"/>
    <n v="5"/>
    <n v="3"/>
    <n v="0"/>
    <n v="0"/>
  </r>
  <r>
    <x v="1"/>
    <x v="1"/>
    <x v="35"/>
    <m/>
    <n v="1"/>
    <n v="7"/>
    <n v="7"/>
    <n v="5"/>
    <n v="0"/>
    <n v="0"/>
  </r>
  <r>
    <x v="1"/>
    <x v="1"/>
    <x v="36"/>
    <m/>
    <n v="1"/>
    <n v="5"/>
    <n v="1"/>
    <n v="6"/>
    <n v="0"/>
    <n v="4"/>
  </r>
  <r>
    <x v="1"/>
    <x v="1"/>
    <x v="37"/>
    <m/>
    <n v="1"/>
    <n v="3"/>
    <n v="5"/>
    <n v="3"/>
    <n v="0"/>
    <n v="0"/>
  </r>
  <r>
    <x v="1"/>
    <x v="1"/>
    <x v="38"/>
    <m/>
    <n v="2"/>
    <n v="8"/>
    <n v="4"/>
    <n v="6"/>
    <n v="2"/>
    <n v="2"/>
  </r>
  <r>
    <x v="1"/>
    <x v="1"/>
    <x v="39"/>
    <m/>
    <n v="1"/>
    <n v="3"/>
    <n v="3"/>
    <n v="5"/>
    <n v="0"/>
    <n v="1"/>
  </r>
  <r>
    <x v="1"/>
    <x v="1"/>
    <x v="13"/>
    <m/>
    <n v="2"/>
    <n v="2"/>
    <n v="6"/>
    <n v="11"/>
    <n v="0"/>
    <n v="0"/>
  </r>
  <r>
    <x v="1"/>
    <x v="1"/>
    <x v="14"/>
    <m/>
    <n v="1"/>
    <n v="4"/>
    <n v="8"/>
    <n v="9"/>
    <n v="1"/>
    <n v="2"/>
  </r>
  <r>
    <x v="1"/>
    <x v="1"/>
    <x v="40"/>
    <m/>
    <n v="1"/>
    <n v="6"/>
    <n v="5"/>
    <n v="1"/>
    <n v="0"/>
    <n v="0"/>
  </r>
  <r>
    <x v="1"/>
    <x v="1"/>
    <x v="21"/>
    <m/>
    <n v="2"/>
    <n v="3"/>
    <n v="5"/>
    <n v="4"/>
    <n v="1"/>
    <n v="1"/>
  </r>
  <r>
    <x v="1"/>
    <x v="1"/>
    <x v="28"/>
    <m/>
    <n v="1"/>
    <n v="4"/>
    <n v="2"/>
    <n v="3"/>
    <n v="0"/>
    <n v="0"/>
  </r>
  <r>
    <x v="1"/>
    <x v="1"/>
    <x v="41"/>
    <m/>
    <n v="0"/>
    <n v="1"/>
    <n v="4"/>
    <n v="0"/>
    <n v="0"/>
    <n v="0"/>
  </r>
  <r>
    <x v="1"/>
    <x v="1"/>
    <x v="42"/>
    <m/>
    <n v="1"/>
    <n v="3"/>
    <n v="3"/>
    <n v="0"/>
    <n v="0"/>
    <n v="0"/>
  </r>
  <r>
    <x v="1"/>
    <x v="2"/>
    <x v="43"/>
    <m/>
    <n v="1"/>
    <n v="4"/>
    <n v="17"/>
    <n v="46"/>
    <n v="4"/>
    <n v="6"/>
  </r>
  <r>
    <x v="1"/>
    <x v="2"/>
    <x v="44"/>
    <m/>
    <n v="1"/>
    <n v="7"/>
    <n v="10"/>
    <n v="26"/>
    <n v="21"/>
    <n v="1"/>
  </r>
  <r>
    <x v="1"/>
    <x v="2"/>
    <x v="45"/>
    <m/>
    <n v="2"/>
    <n v="15"/>
    <n v="4"/>
    <n v="75"/>
    <n v="9"/>
    <n v="0"/>
  </r>
  <r>
    <x v="1"/>
    <x v="3"/>
    <x v="46"/>
    <n v="7"/>
    <n v="11"/>
    <n v="12"/>
    <n v="6"/>
    <n v="11"/>
    <n v="4"/>
    <n v="1"/>
  </r>
  <r>
    <x v="2"/>
    <x v="0"/>
    <x v="0"/>
    <m/>
    <m/>
    <m/>
    <n v="0"/>
    <n v="13"/>
    <n v="22"/>
    <n v="109"/>
  </r>
  <r>
    <x v="2"/>
    <x v="0"/>
    <x v="1"/>
    <m/>
    <m/>
    <m/>
    <n v="0"/>
    <n v="4"/>
    <n v="6"/>
    <n v="22"/>
  </r>
  <r>
    <x v="2"/>
    <x v="0"/>
    <x v="2"/>
    <m/>
    <m/>
    <m/>
    <n v="0"/>
    <n v="3"/>
    <n v="8"/>
    <n v="25"/>
  </r>
  <r>
    <x v="2"/>
    <x v="0"/>
    <x v="3"/>
    <m/>
    <m/>
    <m/>
    <n v="0"/>
    <n v="10"/>
    <n v="8"/>
    <n v="37"/>
  </r>
  <r>
    <x v="2"/>
    <x v="0"/>
    <x v="4"/>
    <m/>
    <m/>
    <m/>
    <n v="0"/>
    <n v="19"/>
    <n v="48"/>
    <n v="248"/>
  </r>
  <r>
    <x v="2"/>
    <x v="0"/>
    <x v="5"/>
    <m/>
    <m/>
    <m/>
    <n v="0"/>
    <n v="4"/>
    <n v="5"/>
    <n v="17"/>
  </r>
  <r>
    <x v="2"/>
    <x v="0"/>
    <x v="6"/>
    <m/>
    <m/>
    <m/>
    <n v="0"/>
    <n v="3"/>
    <n v="14"/>
    <n v="48"/>
  </r>
  <r>
    <x v="2"/>
    <x v="0"/>
    <x v="7"/>
    <m/>
    <m/>
    <m/>
    <n v="1"/>
    <n v="14"/>
    <n v="26"/>
    <n v="135"/>
  </r>
  <r>
    <x v="2"/>
    <x v="0"/>
    <x v="8"/>
    <m/>
    <m/>
    <m/>
    <n v="0"/>
    <n v="5"/>
    <n v="7"/>
    <n v="41"/>
  </r>
  <r>
    <x v="2"/>
    <x v="0"/>
    <x v="9"/>
    <m/>
    <m/>
    <m/>
    <n v="0"/>
    <n v="15"/>
    <n v="9"/>
    <n v="46"/>
  </r>
  <r>
    <x v="2"/>
    <x v="0"/>
    <x v="10"/>
    <m/>
    <m/>
    <m/>
    <n v="0"/>
    <n v="4"/>
    <n v="4"/>
    <n v="19"/>
  </r>
  <r>
    <x v="2"/>
    <x v="0"/>
    <x v="11"/>
    <m/>
    <m/>
    <m/>
    <n v="0"/>
    <n v="9"/>
    <n v="10"/>
    <n v="34"/>
  </r>
  <r>
    <x v="2"/>
    <x v="0"/>
    <x v="12"/>
    <m/>
    <m/>
    <m/>
    <n v="0"/>
    <n v="12"/>
    <n v="17"/>
    <n v="66"/>
  </r>
  <r>
    <x v="2"/>
    <x v="0"/>
    <x v="13"/>
    <m/>
    <m/>
    <m/>
    <n v="0"/>
    <n v="20"/>
    <n v="47"/>
    <n v="211"/>
  </r>
  <r>
    <x v="2"/>
    <x v="0"/>
    <x v="14"/>
    <m/>
    <m/>
    <m/>
    <n v="0"/>
    <n v="50"/>
    <n v="99"/>
    <n v="350"/>
  </r>
  <r>
    <x v="2"/>
    <x v="0"/>
    <x v="15"/>
    <m/>
    <m/>
    <m/>
    <n v="0"/>
    <n v="4"/>
    <n v="11"/>
    <n v="53"/>
  </r>
  <r>
    <x v="2"/>
    <x v="0"/>
    <x v="16"/>
    <m/>
    <m/>
    <m/>
    <n v="1"/>
    <n v="9"/>
    <n v="12"/>
    <n v="48"/>
  </r>
  <r>
    <x v="2"/>
    <x v="0"/>
    <x v="17"/>
    <m/>
    <m/>
    <m/>
    <n v="0"/>
    <n v="3"/>
    <n v="4"/>
    <n v="16"/>
  </r>
  <r>
    <x v="2"/>
    <x v="0"/>
    <x v="18"/>
    <m/>
    <m/>
    <m/>
    <n v="0"/>
    <n v="5"/>
    <n v="5"/>
    <n v="21"/>
  </r>
  <r>
    <x v="2"/>
    <x v="0"/>
    <x v="19"/>
    <m/>
    <m/>
    <m/>
    <n v="0"/>
    <n v="0"/>
    <n v="0"/>
    <n v="0"/>
  </r>
  <r>
    <x v="2"/>
    <x v="0"/>
    <x v="20"/>
    <m/>
    <m/>
    <m/>
    <n v="0"/>
    <n v="12"/>
    <n v="14"/>
    <n v="52"/>
  </r>
  <r>
    <x v="2"/>
    <x v="0"/>
    <x v="21"/>
    <m/>
    <m/>
    <m/>
    <n v="0"/>
    <n v="16"/>
    <n v="28"/>
    <n v="136"/>
  </r>
  <r>
    <x v="2"/>
    <x v="0"/>
    <x v="22"/>
    <m/>
    <m/>
    <m/>
    <n v="0"/>
    <n v="0"/>
    <n v="0"/>
    <n v="0"/>
  </r>
  <r>
    <x v="2"/>
    <x v="0"/>
    <x v="23"/>
    <m/>
    <m/>
    <m/>
    <n v="0"/>
    <n v="4"/>
    <n v="13"/>
    <n v="56"/>
  </r>
  <r>
    <x v="2"/>
    <x v="0"/>
    <x v="24"/>
    <m/>
    <m/>
    <m/>
    <n v="0"/>
    <n v="15"/>
    <n v="15"/>
    <n v="62"/>
  </r>
  <r>
    <x v="2"/>
    <x v="0"/>
    <x v="25"/>
    <m/>
    <m/>
    <m/>
    <n v="0"/>
    <n v="9"/>
    <n v="12"/>
    <n v="50"/>
  </r>
  <r>
    <x v="2"/>
    <x v="0"/>
    <x v="26"/>
    <m/>
    <m/>
    <m/>
    <n v="0"/>
    <n v="0"/>
    <n v="0"/>
    <n v="0"/>
  </r>
  <r>
    <x v="2"/>
    <x v="0"/>
    <x v="27"/>
    <m/>
    <m/>
    <m/>
    <n v="0"/>
    <n v="5"/>
    <n v="10"/>
    <n v="40"/>
  </r>
  <r>
    <x v="2"/>
    <x v="0"/>
    <x v="28"/>
    <m/>
    <m/>
    <m/>
    <n v="0"/>
    <n v="18"/>
    <n v="28"/>
    <n v="132"/>
  </r>
  <r>
    <x v="2"/>
    <x v="0"/>
    <x v="29"/>
    <m/>
    <m/>
    <m/>
    <n v="0"/>
    <n v="2"/>
    <n v="9"/>
    <n v="40"/>
  </r>
  <r>
    <x v="2"/>
    <x v="0"/>
    <x v="30"/>
    <m/>
    <m/>
    <m/>
    <n v="0"/>
    <n v="10"/>
    <n v="11"/>
    <n v="49"/>
  </r>
  <r>
    <x v="2"/>
    <x v="0"/>
    <x v="31"/>
    <m/>
    <m/>
    <m/>
    <n v="0"/>
    <n v="8"/>
    <n v="9"/>
    <n v="44"/>
  </r>
  <r>
    <x v="2"/>
    <x v="1"/>
    <x v="0"/>
    <m/>
    <n v="1"/>
    <n v="3"/>
    <n v="2"/>
    <n v="7"/>
    <n v="0"/>
    <n v="3"/>
  </r>
  <r>
    <x v="2"/>
    <x v="1"/>
    <x v="32"/>
    <m/>
    <n v="1"/>
    <n v="2"/>
    <n v="6"/>
    <n v="10"/>
    <n v="7"/>
    <n v="1"/>
  </r>
  <r>
    <x v="2"/>
    <x v="1"/>
    <x v="33"/>
    <m/>
    <n v="1"/>
    <n v="5"/>
    <n v="7"/>
    <n v="6"/>
    <n v="2"/>
    <n v="4"/>
  </r>
  <r>
    <x v="2"/>
    <x v="1"/>
    <x v="6"/>
    <m/>
    <n v="0"/>
    <n v="2"/>
    <n v="5"/>
    <n v="10"/>
    <n v="0"/>
    <n v="2"/>
  </r>
  <r>
    <x v="2"/>
    <x v="1"/>
    <x v="34"/>
    <m/>
    <n v="1"/>
    <n v="4"/>
    <n v="10"/>
    <n v="8"/>
    <n v="0"/>
    <n v="1"/>
  </r>
  <r>
    <x v="2"/>
    <x v="1"/>
    <x v="35"/>
    <m/>
    <n v="1"/>
    <n v="6"/>
    <n v="7"/>
    <n v="9"/>
    <n v="4"/>
    <n v="2"/>
  </r>
  <r>
    <x v="2"/>
    <x v="1"/>
    <x v="36"/>
    <m/>
    <n v="1"/>
    <n v="5"/>
    <n v="6"/>
    <n v="11"/>
    <n v="10"/>
    <n v="5"/>
  </r>
  <r>
    <x v="2"/>
    <x v="1"/>
    <x v="37"/>
    <m/>
    <n v="1"/>
    <n v="2"/>
    <n v="3"/>
    <n v="7"/>
    <n v="1"/>
    <n v="3"/>
  </r>
  <r>
    <x v="2"/>
    <x v="1"/>
    <x v="38"/>
    <m/>
    <n v="0"/>
    <n v="7"/>
    <n v="2"/>
    <n v="9"/>
    <n v="5"/>
    <n v="4"/>
  </r>
  <r>
    <x v="2"/>
    <x v="1"/>
    <x v="39"/>
    <m/>
    <n v="1"/>
    <n v="2"/>
    <n v="3"/>
    <n v="7"/>
    <n v="1"/>
    <n v="2"/>
  </r>
  <r>
    <x v="2"/>
    <x v="1"/>
    <x v="13"/>
    <m/>
    <n v="1"/>
    <n v="2"/>
    <n v="5"/>
    <n v="11"/>
    <n v="3"/>
    <n v="4"/>
  </r>
  <r>
    <x v="2"/>
    <x v="1"/>
    <x v="14"/>
    <m/>
    <n v="1"/>
    <n v="5"/>
    <n v="8"/>
    <n v="15"/>
    <n v="1"/>
    <n v="2"/>
  </r>
  <r>
    <x v="2"/>
    <x v="1"/>
    <x v="40"/>
    <m/>
    <n v="1"/>
    <n v="6"/>
    <n v="8"/>
    <n v="7"/>
    <n v="7"/>
    <n v="0"/>
  </r>
  <r>
    <x v="2"/>
    <x v="1"/>
    <x v="21"/>
    <m/>
    <n v="1"/>
    <n v="3"/>
    <n v="4"/>
    <n v="9"/>
    <n v="3"/>
    <n v="0"/>
  </r>
  <r>
    <x v="2"/>
    <x v="1"/>
    <x v="28"/>
    <m/>
    <n v="1"/>
    <n v="3"/>
    <n v="5"/>
    <n v="3"/>
    <n v="3"/>
    <n v="1"/>
  </r>
  <r>
    <x v="2"/>
    <x v="1"/>
    <x v="41"/>
    <m/>
    <n v="0"/>
    <n v="2"/>
    <n v="5"/>
    <n v="3"/>
    <n v="2"/>
    <n v="1"/>
  </r>
  <r>
    <x v="2"/>
    <x v="1"/>
    <x v="42"/>
    <m/>
    <n v="1"/>
    <n v="3"/>
    <n v="5"/>
    <n v="1"/>
    <n v="1"/>
    <n v="0"/>
  </r>
  <r>
    <x v="2"/>
    <x v="2"/>
    <x v="43"/>
    <m/>
    <n v="1"/>
    <n v="2"/>
    <n v="3"/>
    <n v="17"/>
    <n v="2"/>
    <m/>
  </r>
  <r>
    <x v="2"/>
    <x v="2"/>
    <x v="44"/>
    <m/>
    <n v="1"/>
    <n v="2"/>
    <n v="8"/>
    <n v="25"/>
    <n v="8"/>
    <m/>
  </r>
  <r>
    <x v="2"/>
    <x v="2"/>
    <x v="45"/>
    <m/>
    <n v="1"/>
    <n v="5"/>
    <n v="3"/>
    <n v="4"/>
    <n v="3"/>
    <m/>
  </r>
  <r>
    <x v="2"/>
    <x v="3"/>
    <x v="46"/>
    <n v="4"/>
    <n v="18"/>
    <n v="19"/>
    <n v="19"/>
    <n v="93"/>
    <n v="26"/>
    <n v="16"/>
  </r>
  <r>
    <x v="3"/>
    <x v="0"/>
    <x v="0"/>
    <m/>
    <m/>
    <m/>
    <m/>
    <n v="16"/>
    <n v="26"/>
    <n v="113"/>
  </r>
  <r>
    <x v="3"/>
    <x v="0"/>
    <x v="1"/>
    <m/>
    <m/>
    <m/>
    <m/>
    <n v="4"/>
    <n v="4"/>
    <n v="17"/>
  </r>
  <r>
    <x v="3"/>
    <x v="0"/>
    <x v="2"/>
    <m/>
    <m/>
    <m/>
    <m/>
    <n v="3"/>
    <n v="4"/>
    <n v="18"/>
  </r>
  <r>
    <x v="3"/>
    <x v="0"/>
    <x v="3"/>
    <m/>
    <m/>
    <m/>
    <m/>
    <n v="10"/>
    <n v="9"/>
    <n v="24"/>
  </r>
  <r>
    <x v="3"/>
    <x v="0"/>
    <x v="4"/>
    <m/>
    <m/>
    <m/>
    <m/>
    <n v="26"/>
    <n v="60"/>
    <n v="227"/>
  </r>
  <r>
    <x v="3"/>
    <x v="0"/>
    <x v="5"/>
    <m/>
    <m/>
    <m/>
    <m/>
    <n v="4"/>
    <n v="4"/>
    <n v="14"/>
  </r>
  <r>
    <x v="3"/>
    <x v="0"/>
    <x v="6"/>
    <m/>
    <m/>
    <m/>
    <m/>
    <n v="4"/>
    <n v="11"/>
    <n v="48"/>
  </r>
  <r>
    <x v="3"/>
    <x v="0"/>
    <x v="7"/>
    <m/>
    <m/>
    <m/>
    <m/>
    <n v="18"/>
    <n v="30"/>
    <n v="144"/>
  </r>
  <r>
    <x v="3"/>
    <x v="0"/>
    <x v="8"/>
    <m/>
    <m/>
    <m/>
    <m/>
    <n v="5"/>
    <n v="9"/>
    <n v="32"/>
  </r>
  <r>
    <x v="3"/>
    <x v="0"/>
    <x v="9"/>
    <m/>
    <m/>
    <m/>
    <m/>
    <n v="15"/>
    <n v="14"/>
    <n v="39"/>
  </r>
  <r>
    <x v="3"/>
    <x v="0"/>
    <x v="10"/>
    <m/>
    <m/>
    <m/>
    <m/>
    <n v="4"/>
    <n v="4"/>
    <n v="19"/>
  </r>
  <r>
    <x v="3"/>
    <x v="0"/>
    <x v="11"/>
    <m/>
    <m/>
    <m/>
    <m/>
    <n v="10"/>
    <n v="10"/>
    <n v="30"/>
  </r>
  <r>
    <x v="3"/>
    <x v="0"/>
    <x v="12"/>
    <m/>
    <m/>
    <m/>
    <m/>
    <n v="13"/>
    <n v="16"/>
    <n v="57"/>
  </r>
  <r>
    <x v="3"/>
    <x v="0"/>
    <x v="13"/>
    <m/>
    <m/>
    <m/>
    <m/>
    <n v="21"/>
    <n v="48"/>
    <n v="201"/>
  </r>
  <r>
    <x v="3"/>
    <x v="0"/>
    <x v="14"/>
    <m/>
    <m/>
    <m/>
    <m/>
    <n v="57"/>
    <n v="105"/>
    <n v="313"/>
  </r>
  <r>
    <x v="3"/>
    <x v="0"/>
    <x v="15"/>
    <m/>
    <m/>
    <m/>
    <m/>
    <n v="4"/>
    <n v="11"/>
    <n v="52"/>
  </r>
  <r>
    <x v="3"/>
    <x v="0"/>
    <x v="16"/>
    <m/>
    <m/>
    <m/>
    <n v="1"/>
    <n v="11"/>
    <n v="13"/>
    <n v="43"/>
  </r>
  <r>
    <x v="3"/>
    <x v="0"/>
    <x v="17"/>
    <m/>
    <m/>
    <m/>
    <m/>
    <n v="4"/>
    <n v="4"/>
    <n v="14"/>
  </r>
  <r>
    <x v="3"/>
    <x v="0"/>
    <x v="18"/>
    <m/>
    <m/>
    <m/>
    <m/>
    <n v="4"/>
    <n v="4"/>
    <n v="19"/>
  </r>
  <r>
    <x v="3"/>
    <x v="0"/>
    <x v="19"/>
    <m/>
    <m/>
    <m/>
    <m/>
    <n v="0"/>
    <n v="0"/>
    <n v="0"/>
  </r>
  <r>
    <x v="3"/>
    <x v="0"/>
    <x v="20"/>
    <m/>
    <m/>
    <m/>
    <m/>
    <n v="15"/>
    <n v="17"/>
    <n v="46"/>
  </r>
  <r>
    <x v="3"/>
    <x v="0"/>
    <x v="21"/>
    <m/>
    <m/>
    <m/>
    <m/>
    <n v="20"/>
    <n v="30"/>
    <n v="123"/>
  </r>
  <r>
    <x v="3"/>
    <x v="0"/>
    <x v="22"/>
    <m/>
    <m/>
    <m/>
    <m/>
    <n v="0"/>
    <n v="0"/>
    <n v="0"/>
  </r>
  <r>
    <x v="3"/>
    <x v="0"/>
    <x v="23"/>
    <m/>
    <m/>
    <m/>
    <m/>
    <n v="4"/>
    <n v="12"/>
    <n v="52"/>
  </r>
  <r>
    <x v="3"/>
    <x v="0"/>
    <x v="24"/>
    <m/>
    <m/>
    <m/>
    <m/>
    <n v="16"/>
    <n v="21"/>
    <n v="60"/>
  </r>
  <r>
    <x v="3"/>
    <x v="0"/>
    <x v="25"/>
    <m/>
    <m/>
    <m/>
    <m/>
    <n v="8"/>
    <n v="8"/>
    <n v="40"/>
  </r>
  <r>
    <x v="3"/>
    <x v="0"/>
    <x v="26"/>
    <m/>
    <m/>
    <m/>
    <m/>
    <n v="0"/>
    <n v="0"/>
    <n v="0"/>
  </r>
  <r>
    <x v="3"/>
    <x v="0"/>
    <x v="27"/>
    <m/>
    <m/>
    <m/>
    <m/>
    <n v="5"/>
    <n v="10"/>
    <n v="39"/>
  </r>
  <r>
    <x v="3"/>
    <x v="0"/>
    <x v="28"/>
    <m/>
    <m/>
    <m/>
    <m/>
    <n v="20"/>
    <n v="34"/>
    <n v="117"/>
  </r>
  <r>
    <x v="3"/>
    <x v="0"/>
    <x v="29"/>
    <m/>
    <m/>
    <m/>
    <m/>
    <n v="4"/>
    <n v="9"/>
    <n v="40"/>
  </r>
  <r>
    <x v="3"/>
    <x v="0"/>
    <x v="30"/>
    <m/>
    <m/>
    <m/>
    <m/>
    <n v="10"/>
    <n v="15"/>
    <n v="44"/>
  </r>
  <r>
    <x v="3"/>
    <x v="0"/>
    <x v="31"/>
    <m/>
    <m/>
    <m/>
    <m/>
    <n v="8"/>
    <n v="10"/>
    <n v="42"/>
  </r>
  <r>
    <x v="3"/>
    <x v="1"/>
    <x v="0"/>
    <m/>
    <n v="1"/>
    <n v="1"/>
    <n v="3"/>
    <n v="5"/>
    <n v="2"/>
    <n v="2"/>
  </r>
  <r>
    <x v="3"/>
    <x v="1"/>
    <x v="32"/>
    <m/>
    <n v="1"/>
    <n v="2"/>
    <n v="8"/>
    <n v="9"/>
    <n v="5"/>
    <n v="0"/>
  </r>
  <r>
    <x v="3"/>
    <x v="1"/>
    <x v="33"/>
    <m/>
    <n v="1"/>
    <n v="3"/>
    <n v="9"/>
    <n v="7"/>
    <n v="4"/>
    <n v="2"/>
  </r>
  <r>
    <x v="3"/>
    <x v="1"/>
    <x v="6"/>
    <m/>
    <n v="1"/>
    <n v="2"/>
    <n v="6"/>
    <n v="9"/>
    <n v="3"/>
    <n v="1"/>
  </r>
  <r>
    <x v="3"/>
    <x v="1"/>
    <x v="34"/>
    <m/>
    <n v="1"/>
    <n v="4"/>
    <n v="9"/>
    <n v="10"/>
    <n v="2"/>
    <n v="2"/>
  </r>
  <r>
    <x v="3"/>
    <x v="1"/>
    <x v="35"/>
    <m/>
    <n v="1"/>
    <n v="4"/>
    <n v="9"/>
    <n v="9"/>
    <n v="5"/>
    <n v="2"/>
  </r>
  <r>
    <x v="3"/>
    <x v="1"/>
    <x v="36"/>
    <m/>
    <n v="1"/>
    <n v="4"/>
    <n v="8"/>
    <n v="8"/>
    <n v="5"/>
    <n v="5"/>
  </r>
  <r>
    <x v="3"/>
    <x v="1"/>
    <x v="37"/>
    <m/>
    <n v="1"/>
    <n v="3"/>
    <n v="4"/>
    <n v="7"/>
    <n v="2"/>
    <n v="1"/>
  </r>
  <r>
    <x v="3"/>
    <x v="1"/>
    <x v="38"/>
    <m/>
    <n v="1"/>
    <n v="3"/>
    <n v="6"/>
    <n v="11"/>
    <n v="2"/>
    <n v="4"/>
  </r>
  <r>
    <x v="3"/>
    <x v="1"/>
    <x v="39"/>
    <m/>
    <n v="1"/>
    <n v="2"/>
    <n v="6"/>
    <n v="7"/>
    <n v="3"/>
    <n v="2"/>
  </r>
  <r>
    <x v="3"/>
    <x v="1"/>
    <x v="13"/>
    <m/>
    <n v="1"/>
    <n v="2"/>
    <n v="7"/>
    <n v="8"/>
    <n v="3"/>
    <n v="3"/>
  </r>
  <r>
    <x v="3"/>
    <x v="1"/>
    <x v="14"/>
    <m/>
    <n v="1"/>
    <n v="4"/>
    <n v="9"/>
    <n v="6"/>
    <n v="3"/>
    <n v="2"/>
  </r>
  <r>
    <x v="3"/>
    <x v="1"/>
    <x v="40"/>
    <m/>
    <n v="1"/>
    <n v="4"/>
    <n v="13"/>
    <n v="8"/>
    <n v="10"/>
    <n v="1"/>
  </r>
  <r>
    <x v="3"/>
    <x v="1"/>
    <x v="21"/>
    <m/>
    <n v="1"/>
    <n v="2"/>
    <n v="5"/>
    <n v="5"/>
    <n v="1"/>
    <n v="1"/>
  </r>
  <r>
    <x v="3"/>
    <x v="1"/>
    <x v="28"/>
    <m/>
    <n v="1"/>
    <n v="2"/>
    <n v="5"/>
    <n v="4"/>
    <n v="2"/>
    <n v="1"/>
  </r>
  <r>
    <x v="3"/>
    <x v="1"/>
    <x v="41"/>
    <m/>
    <n v="0"/>
    <n v="2"/>
    <n v="4"/>
    <n v="5"/>
    <n v="3"/>
    <n v="1"/>
  </r>
  <r>
    <x v="3"/>
    <x v="1"/>
    <x v="42"/>
    <m/>
    <n v="1"/>
    <n v="3"/>
    <n v="5"/>
    <n v="1"/>
    <n v="6"/>
    <n v="0"/>
  </r>
  <r>
    <x v="3"/>
    <x v="2"/>
    <x v="43"/>
    <m/>
    <n v="1"/>
    <n v="5"/>
    <n v="5"/>
    <n v="20"/>
    <n v="6"/>
    <n v="1"/>
  </r>
  <r>
    <x v="3"/>
    <x v="2"/>
    <x v="44"/>
    <m/>
    <n v="1"/>
    <n v="4"/>
    <n v="9"/>
    <n v="24"/>
    <n v="6"/>
    <n v="1"/>
  </r>
  <r>
    <x v="3"/>
    <x v="2"/>
    <x v="45"/>
    <m/>
    <n v="1"/>
    <n v="3"/>
    <n v="11"/>
    <n v="42"/>
    <n v="10"/>
    <n v="1"/>
  </r>
  <r>
    <x v="3"/>
    <x v="3"/>
    <x v="46"/>
    <n v="4"/>
    <n v="15"/>
    <n v="11"/>
    <n v="9"/>
    <n v="42"/>
    <n v="0"/>
    <n v="101"/>
  </r>
  <r>
    <x v="4"/>
    <x v="0"/>
    <x v="0"/>
    <n v="0"/>
    <n v="0"/>
    <n v="0"/>
    <n v="0"/>
    <n v="15"/>
    <n v="33"/>
    <n v="97"/>
  </r>
  <r>
    <x v="4"/>
    <x v="0"/>
    <x v="1"/>
    <n v="0"/>
    <n v="0"/>
    <n v="0"/>
    <n v="0"/>
    <n v="5"/>
    <n v="5"/>
    <n v="14"/>
  </r>
  <r>
    <x v="4"/>
    <x v="0"/>
    <x v="2"/>
    <n v="0"/>
    <n v="0"/>
    <n v="0"/>
    <n v="0"/>
    <n v="5"/>
    <n v="5"/>
    <n v="18"/>
  </r>
  <r>
    <x v="4"/>
    <x v="0"/>
    <x v="3"/>
    <n v="0"/>
    <n v="0"/>
    <n v="0"/>
    <n v="0"/>
    <n v="10"/>
    <n v="10"/>
    <n v="30"/>
  </r>
  <r>
    <x v="4"/>
    <x v="0"/>
    <x v="4"/>
    <n v="0"/>
    <n v="0"/>
    <n v="0"/>
    <n v="0"/>
    <n v="35"/>
    <n v="54"/>
    <n v="204"/>
  </r>
  <r>
    <x v="4"/>
    <x v="0"/>
    <x v="5"/>
    <n v="0"/>
    <n v="0"/>
    <n v="0"/>
    <n v="0"/>
    <n v="5"/>
    <n v="5"/>
    <n v="15"/>
  </r>
  <r>
    <x v="4"/>
    <x v="0"/>
    <x v="47"/>
    <n v="0"/>
    <n v="0"/>
    <n v="0"/>
    <n v="0"/>
    <n v="5"/>
    <n v="11"/>
    <n v="38"/>
  </r>
  <r>
    <x v="4"/>
    <x v="0"/>
    <x v="7"/>
    <n v="0"/>
    <n v="0"/>
    <n v="0"/>
    <n v="0"/>
    <n v="21"/>
    <n v="35"/>
    <n v="122"/>
  </r>
  <r>
    <x v="4"/>
    <x v="0"/>
    <x v="8"/>
    <n v="0"/>
    <n v="0"/>
    <n v="0"/>
    <n v="0"/>
    <n v="5"/>
    <n v="10"/>
    <n v="34"/>
  </r>
  <r>
    <x v="4"/>
    <x v="0"/>
    <x v="9"/>
    <n v="0"/>
    <n v="0"/>
    <n v="0"/>
    <n v="0"/>
    <n v="15"/>
    <n v="15"/>
    <n v="48"/>
  </r>
  <r>
    <x v="4"/>
    <x v="0"/>
    <x v="10"/>
    <n v="0"/>
    <n v="0"/>
    <n v="0"/>
    <n v="0"/>
    <n v="5"/>
    <n v="5"/>
    <n v="13"/>
  </r>
  <r>
    <x v="4"/>
    <x v="0"/>
    <x v="11"/>
    <n v="0"/>
    <n v="0"/>
    <n v="0"/>
    <n v="0"/>
    <n v="11"/>
    <n v="10"/>
    <n v="30"/>
  </r>
  <r>
    <x v="4"/>
    <x v="0"/>
    <x v="12"/>
    <n v="0"/>
    <n v="0"/>
    <n v="0"/>
    <n v="0"/>
    <n v="16"/>
    <n v="22"/>
    <n v="49"/>
  </r>
  <r>
    <x v="4"/>
    <x v="0"/>
    <x v="13"/>
    <n v="0"/>
    <n v="0"/>
    <n v="0"/>
    <n v="0"/>
    <n v="24"/>
    <n v="49"/>
    <n v="181"/>
  </r>
  <r>
    <x v="4"/>
    <x v="0"/>
    <x v="14"/>
    <n v="0"/>
    <n v="0"/>
    <n v="0"/>
    <n v="0"/>
    <n v="57"/>
    <n v="113"/>
    <n v="319"/>
  </r>
  <r>
    <x v="4"/>
    <x v="0"/>
    <x v="15"/>
    <n v="0"/>
    <n v="0"/>
    <n v="0"/>
    <n v="0"/>
    <n v="4"/>
    <n v="15"/>
    <n v="49"/>
  </r>
  <r>
    <x v="4"/>
    <x v="0"/>
    <x v="16"/>
    <n v="0"/>
    <n v="0"/>
    <n v="0"/>
    <n v="0"/>
    <n v="13"/>
    <n v="15"/>
    <n v="44"/>
  </r>
  <r>
    <x v="4"/>
    <x v="0"/>
    <x v="17"/>
    <n v="0"/>
    <n v="0"/>
    <n v="0"/>
    <n v="0"/>
    <n v="5"/>
    <n v="5"/>
    <n v="18"/>
  </r>
  <r>
    <x v="4"/>
    <x v="0"/>
    <x v="18"/>
    <n v="0"/>
    <n v="0"/>
    <n v="0"/>
    <n v="0"/>
    <n v="5"/>
    <n v="5"/>
    <n v="19"/>
  </r>
  <r>
    <x v="4"/>
    <x v="0"/>
    <x v="19"/>
    <m/>
    <m/>
    <m/>
    <m/>
    <m/>
    <m/>
    <m/>
  </r>
  <r>
    <x v="4"/>
    <x v="0"/>
    <x v="20"/>
    <n v="0"/>
    <n v="0"/>
    <n v="0"/>
    <n v="0"/>
    <n v="15"/>
    <n v="16"/>
    <n v="45"/>
  </r>
  <r>
    <x v="4"/>
    <x v="0"/>
    <x v="21"/>
    <n v="0"/>
    <n v="0"/>
    <n v="0"/>
    <n v="0"/>
    <n v="19"/>
    <n v="31"/>
    <n v="113"/>
  </r>
  <r>
    <x v="4"/>
    <x v="0"/>
    <x v="22"/>
    <m/>
    <m/>
    <m/>
    <m/>
    <m/>
    <m/>
    <m/>
  </r>
  <r>
    <x v="4"/>
    <x v="0"/>
    <x v="23"/>
    <n v="0"/>
    <n v="0"/>
    <n v="0"/>
    <n v="0"/>
    <n v="5"/>
    <n v="10"/>
    <n v="54"/>
  </r>
  <r>
    <x v="4"/>
    <x v="0"/>
    <x v="24"/>
    <n v="0"/>
    <n v="0"/>
    <n v="0"/>
    <n v="0"/>
    <n v="15"/>
    <n v="20"/>
    <n v="59"/>
  </r>
  <r>
    <x v="4"/>
    <x v="0"/>
    <x v="25"/>
    <n v="0"/>
    <n v="0"/>
    <n v="0"/>
    <n v="0"/>
    <n v="10"/>
    <n v="9"/>
    <n v="32"/>
  </r>
  <r>
    <x v="4"/>
    <x v="0"/>
    <x v="26"/>
    <m/>
    <m/>
    <m/>
    <m/>
    <m/>
    <m/>
    <m/>
  </r>
  <r>
    <x v="4"/>
    <x v="0"/>
    <x v="27"/>
    <n v="0"/>
    <n v="0"/>
    <n v="0"/>
    <n v="0"/>
    <n v="5"/>
    <n v="10"/>
    <n v="35"/>
  </r>
  <r>
    <x v="4"/>
    <x v="0"/>
    <x v="28"/>
    <n v="0"/>
    <n v="0"/>
    <n v="0"/>
    <n v="0"/>
    <n v="20"/>
    <n v="35"/>
    <n v="111"/>
  </r>
  <r>
    <x v="4"/>
    <x v="0"/>
    <x v="29"/>
    <n v="0"/>
    <n v="0"/>
    <n v="0"/>
    <n v="0"/>
    <n v="5"/>
    <n v="9"/>
    <n v="34"/>
  </r>
  <r>
    <x v="4"/>
    <x v="0"/>
    <x v="30"/>
    <n v="0"/>
    <n v="0"/>
    <n v="0"/>
    <n v="0"/>
    <n v="10"/>
    <n v="15"/>
    <n v="43"/>
  </r>
  <r>
    <x v="4"/>
    <x v="0"/>
    <x v="31"/>
    <n v="0"/>
    <n v="0"/>
    <n v="0"/>
    <n v="0"/>
    <n v="10"/>
    <n v="11"/>
    <n v="37"/>
  </r>
  <r>
    <x v="4"/>
    <x v="1"/>
    <x v="0"/>
    <n v="0"/>
    <n v="1"/>
    <n v="2"/>
    <n v="3"/>
    <n v="5"/>
    <n v="2"/>
    <n v="2"/>
  </r>
  <r>
    <x v="4"/>
    <x v="1"/>
    <x v="32"/>
    <n v="0"/>
    <n v="1"/>
    <n v="2"/>
    <n v="7"/>
    <n v="8"/>
    <n v="7"/>
    <n v="0"/>
  </r>
  <r>
    <x v="4"/>
    <x v="1"/>
    <x v="33"/>
    <n v="0"/>
    <n v="1"/>
    <n v="3"/>
    <n v="9"/>
    <n v="6"/>
    <n v="6"/>
    <n v="1"/>
  </r>
  <r>
    <x v="4"/>
    <x v="1"/>
    <x v="6"/>
    <n v="0"/>
    <n v="1"/>
    <n v="2"/>
    <n v="6"/>
    <n v="7"/>
    <n v="4"/>
    <n v="2"/>
  </r>
  <r>
    <x v="4"/>
    <x v="1"/>
    <x v="34"/>
    <n v="0"/>
    <n v="1"/>
    <n v="4"/>
    <n v="9"/>
    <n v="9"/>
    <n v="3"/>
    <n v="2"/>
  </r>
  <r>
    <x v="4"/>
    <x v="1"/>
    <x v="35"/>
    <n v="0"/>
    <n v="1"/>
    <n v="3"/>
    <n v="9"/>
    <n v="8"/>
    <n v="5"/>
    <n v="1"/>
  </r>
  <r>
    <x v="4"/>
    <x v="1"/>
    <x v="36"/>
    <n v="0"/>
    <n v="1"/>
    <n v="3"/>
    <n v="7"/>
    <n v="8"/>
    <n v="3"/>
    <n v="5"/>
  </r>
  <r>
    <x v="4"/>
    <x v="1"/>
    <x v="37"/>
    <n v="0"/>
    <n v="1"/>
    <n v="3"/>
    <n v="4"/>
    <n v="4"/>
    <n v="2"/>
    <n v="2"/>
  </r>
  <r>
    <x v="4"/>
    <x v="1"/>
    <x v="38"/>
    <n v="0"/>
    <n v="1"/>
    <n v="3"/>
    <n v="7"/>
    <n v="11"/>
    <n v="6"/>
    <n v="3"/>
  </r>
  <r>
    <x v="4"/>
    <x v="1"/>
    <x v="39"/>
    <n v="0"/>
    <n v="1"/>
    <n v="2"/>
    <n v="5"/>
    <n v="6"/>
    <n v="3"/>
    <n v="2"/>
  </r>
  <r>
    <x v="4"/>
    <x v="1"/>
    <x v="13"/>
    <n v="0"/>
    <n v="0"/>
    <n v="2"/>
    <n v="6"/>
    <n v="6"/>
    <n v="1"/>
    <n v="4"/>
  </r>
  <r>
    <x v="4"/>
    <x v="1"/>
    <x v="14"/>
    <n v="0"/>
    <n v="1"/>
    <n v="4"/>
    <n v="8"/>
    <n v="6"/>
    <n v="2"/>
    <n v="1"/>
  </r>
  <r>
    <x v="4"/>
    <x v="1"/>
    <x v="40"/>
    <n v="0"/>
    <n v="1"/>
    <n v="4"/>
    <n v="12"/>
    <n v="7"/>
    <n v="7"/>
    <n v="1"/>
  </r>
  <r>
    <x v="4"/>
    <x v="1"/>
    <x v="21"/>
    <n v="0"/>
    <n v="1"/>
    <n v="2"/>
    <n v="6"/>
    <n v="5"/>
    <n v="2"/>
    <n v="1"/>
  </r>
  <r>
    <x v="4"/>
    <x v="1"/>
    <x v="28"/>
    <n v="0"/>
    <n v="1"/>
    <n v="2"/>
    <n v="6"/>
    <n v="4"/>
    <n v="2"/>
    <n v="1"/>
  </r>
  <r>
    <x v="4"/>
    <x v="1"/>
    <x v="41"/>
    <n v="0"/>
    <n v="1"/>
    <n v="3"/>
    <n v="5"/>
    <n v="5"/>
    <n v="3"/>
    <n v="1"/>
  </r>
  <r>
    <x v="4"/>
    <x v="1"/>
    <x v="42"/>
    <n v="0"/>
    <n v="1"/>
    <n v="2"/>
    <n v="6"/>
    <n v="5"/>
    <n v="5"/>
    <n v="0"/>
  </r>
  <r>
    <x v="4"/>
    <x v="2"/>
    <x v="43"/>
    <n v="0"/>
    <n v="1"/>
    <n v="5"/>
    <n v="6"/>
    <n v="16"/>
    <n v="9"/>
    <n v="0"/>
  </r>
  <r>
    <x v="4"/>
    <x v="2"/>
    <x v="44"/>
    <n v="0"/>
    <n v="1"/>
    <n v="6"/>
    <n v="10"/>
    <n v="18"/>
    <n v="11"/>
    <n v="0"/>
  </r>
  <r>
    <x v="4"/>
    <x v="2"/>
    <x v="45"/>
    <n v="0"/>
    <n v="1"/>
    <n v="4"/>
    <n v="13"/>
    <n v="37"/>
    <n v="18"/>
    <n v="0"/>
  </r>
  <r>
    <x v="4"/>
    <x v="3"/>
    <x v="46"/>
    <n v="4"/>
    <n v="15"/>
    <n v="13"/>
    <n v="9"/>
    <n v="47"/>
    <n v="0"/>
    <n v="55"/>
  </r>
  <r>
    <x v="5"/>
    <x v="0"/>
    <x v="0"/>
    <n v="0"/>
    <n v="0"/>
    <n v="0"/>
    <n v="0"/>
    <n v="15"/>
    <n v="35"/>
    <n v="104"/>
  </r>
  <r>
    <x v="5"/>
    <x v="0"/>
    <x v="1"/>
    <n v="0"/>
    <n v="0"/>
    <n v="0"/>
    <n v="0"/>
    <n v="5"/>
    <n v="5"/>
    <n v="20"/>
  </r>
  <r>
    <x v="5"/>
    <x v="0"/>
    <x v="2"/>
    <n v="0"/>
    <n v="0"/>
    <n v="0"/>
    <n v="0"/>
    <n v="5"/>
    <n v="5"/>
    <n v="18"/>
  </r>
  <r>
    <x v="5"/>
    <x v="0"/>
    <x v="3"/>
    <n v="0"/>
    <n v="0"/>
    <n v="0"/>
    <n v="0"/>
    <n v="10"/>
    <n v="11"/>
    <n v="33"/>
  </r>
  <r>
    <x v="5"/>
    <x v="0"/>
    <x v="4"/>
    <n v="0"/>
    <n v="0"/>
    <n v="0"/>
    <n v="0"/>
    <n v="35"/>
    <n v="59"/>
    <n v="203"/>
  </r>
  <r>
    <x v="5"/>
    <x v="0"/>
    <x v="5"/>
    <n v="0"/>
    <n v="0"/>
    <n v="0"/>
    <n v="0"/>
    <n v="5"/>
    <n v="5"/>
    <n v="15"/>
  </r>
  <r>
    <x v="5"/>
    <x v="0"/>
    <x v="47"/>
    <n v="0"/>
    <n v="0"/>
    <n v="0"/>
    <n v="0"/>
    <n v="5"/>
    <n v="10"/>
    <n v="38"/>
  </r>
  <r>
    <x v="5"/>
    <x v="0"/>
    <x v="7"/>
    <n v="0"/>
    <n v="0"/>
    <n v="0"/>
    <n v="0"/>
    <n v="20"/>
    <n v="35"/>
    <n v="122"/>
  </r>
  <r>
    <x v="5"/>
    <x v="0"/>
    <x v="8"/>
    <n v="0"/>
    <n v="0"/>
    <n v="0"/>
    <n v="0"/>
    <n v="5"/>
    <n v="10"/>
    <n v="32"/>
  </r>
  <r>
    <x v="5"/>
    <x v="0"/>
    <x v="9"/>
    <n v="0"/>
    <n v="0"/>
    <n v="0"/>
    <n v="0"/>
    <n v="16"/>
    <n v="15"/>
    <n v="47"/>
  </r>
  <r>
    <x v="5"/>
    <x v="0"/>
    <x v="10"/>
    <n v="0"/>
    <n v="0"/>
    <n v="0"/>
    <n v="0"/>
    <n v="5"/>
    <n v="5"/>
    <n v="14"/>
  </r>
  <r>
    <x v="5"/>
    <x v="0"/>
    <x v="11"/>
    <n v="0"/>
    <n v="0"/>
    <n v="0"/>
    <n v="0"/>
    <n v="11"/>
    <n v="10"/>
    <n v="31"/>
  </r>
  <r>
    <x v="5"/>
    <x v="0"/>
    <x v="12"/>
    <n v="0"/>
    <n v="0"/>
    <n v="0"/>
    <n v="0"/>
    <n v="15"/>
    <n v="20"/>
    <n v="53"/>
  </r>
  <r>
    <x v="5"/>
    <x v="0"/>
    <x v="13"/>
    <n v="0"/>
    <n v="0"/>
    <n v="0"/>
    <n v="0"/>
    <n v="27"/>
    <n v="48"/>
    <n v="199"/>
  </r>
  <r>
    <x v="5"/>
    <x v="0"/>
    <x v="14"/>
    <n v="0"/>
    <n v="0"/>
    <n v="0"/>
    <n v="0"/>
    <n v="56"/>
    <n v="110"/>
    <n v="349"/>
  </r>
  <r>
    <x v="5"/>
    <x v="0"/>
    <x v="15"/>
    <n v="0"/>
    <n v="0"/>
    <n v="0"/>
    <n v="0"/>
    <n v="5"/>
    <n v="15"/>
    <n v="50"/>
  </r>
  <r>
    <x v="5"/>
    <x v="0"/>
    <x v="16"/>
    <n v="0"/>
    <n v="0"/>
    <n v="0"/>
    <n v="0"/>
    <n v="10"/>
    <n v="15"/>
    <n v="47"/>
  </r>
  <r>
    <x v="5"/>
    <x v="0"/>
    <x v="17"/>
    <n v="0"/>
    <n v="0"/>
    <n v="0"/>
    <n v="0"/>
    <n v="5"/>
    <n v="4"/>
    <n v="17"/>
  </r>
  <r>
    <x v="5"/>
    <x v="0"/>
    <x v="18"/>
    <n v="0"/>
    <n v="0"/>
    <n v="0"/>
    <n v="0"/>
    <n v="5"/>
    <n v="5"/>
    <n v="20"/>
  </r>
  <r>
    <x v="5"/>
    <x v="0"/>
    <x v="19"/>
    <m/>
    <m/>
    <m/>
    <m/>
    <m/>
    <m/>
    <m/>
  </r>
  <r>
    <x v="5"/>
    <x v="0"/>
    <x v="20"/>
    <n v="0"/>
    <n v="0"/>
    <n v="0"/>
    <n v="0"/>
    <n v="16"/>
    <n v="15"/>
    <n v="45"/>
  </r>
  <r>
    <x v="5"/>
    <x v="0"/>
    <x v="21"/>
    <n v="0"/>
    <n v="0"/>
    <n v="0"/>
    <n v="0"/>
    <n v="20"/>
    <n v="35"/>
    <n v="111"/>
  </r>
  <r>
    <x v="5"/>
    <x v="0"/>
    <x v="22"/>
    <m/>
    <m/>
    <m/>
    <m/>
    <m/>
    <m/>
    <m/>
  </r>
  <r>
    <x v="5"/>
    <x v="0"/>
    <x v="23"/>
    <n v="0"/>
    <n v="0"/>
    <n v="0"/>
    <n v="0"/>
    <n v="5"/>
    <n v="10"/>
    <n v="54"/>
  </r>
  <r>
    <x v="5"/>
    <x v="0"/>
    <x v="24"/>
    <n v="0"/>
    <n v="0"/>
    <n v="0"/>
    <n v="0"/>
    <n v="16"/>
    <n v="18"/>
    <n v="65"/>
  </r>
  <r>
    <x v="5"/>
    <x v="0"/>
    <x v="25"/>
    <n v="0"/>
    <n v="0"/>
    <n v="0"/>
    <n v="0"/>
    <n v="10"/>
    <n v="10"/>
    <n v="36"/>
  </r>
  <r>
    <x v="5"/>
    <x v="0"/>
    <x v="26"/>
    <m/>
    <m/>
    <m/>
    <m/>
    <m/>
    <m/>
    <m/>
  </r>
  <r>
    <x v="5"/>
    <x v="0"/>
    <x v="27"/>
    <n v="0"/>
    <n v="0"/>
    <n v="0"/>
    <n v="0"/>
    <n v="5"/>
    <n v="11"/>
    <n v="34"/>
  </r>
  <r>
    <x v="5"/>
    <x v="0"/>
    <x v="28"/>
    <n v="0"/>
    <n v="0"/>
    <n v="0"/>
    <n v="0"/>
    <n v="20"/>
    <n v="36"/>
    <n v="111"/>
  </r>
  <r>
    <x v="5"/>
    <x v="0"/>
    <x v="29"/>
    <n v="0"/>
    <n v="0"/>
    <n v="0"/>
    <n v="0"/>
    <n v="5"/>
    <n v="10"/>
    <n v="34"/>
  </r>
  <r>
    <x v="5"/>
    <x v="0"/>
    <x v="30"/>
    <n v="0"/>
    <n v="0"/>
    <n v="0"/>
    <n v="0"/>
    <n v="10"/>
    <n v="15"/>
    <n v="48"/>
  </r>
  <r>
    <x v="5"/>
    <x v="0"/>
    <x v="31"/>
    <n v="0"/>
    <n v="0"/>
    <n v="0"/>
    <n v="0"/>
    <n v="10"/>
    <n v="10"/>
    <n v="36"/>
  </r>
  <r>
    <x v="5"/>
    <x v="1"/>
    <x v="0"/>
    <n v="0"/>
    <n v="1"/>
    <n v="2"/>
    <n v="4"/>
    <n v="6"/>
    <n v="2"/>
    <n v="1"/>
  </r>
  <r>
    <x v="5"/>
    <x v="1"/>
    <x v="32"/>
    <n v="0"/>
    <n v="1"/>
    <n v="2"/>
    <n v="8"/>
    <n v="8"/>
    <n v="6"/>
    <n v="0"/>
  </r>
  <r>
    <x v="5"/>
    <x v="1"/>
    <x v="33"/>
    <n v="0"/>
    <n v="1"/>
    <n v="3"/>
    <n v="8"/>
    <n v="6"/>
    <n v="6"/>
    <n v="2"/>
  </r>
  <r>
    <x v="5"/>
    <x v="1"/>
    <x v="6"/>
    <n v="0"/>
    <n v="1"/>
    <n v="2"/>
    <n v="6"/>
    <n v="7"/>
    <n v="4"/>
    <n v="2"/>
  </r>
  <r>
    <x v="5"/>
    <x v="1"/>
    <x v="34"/>
    <n v="0"/>
    <n v="1"/>
    <n v="4"/>
    <n v="8"/>
    <n v="11"/>
    <n v="3"/>
    <n v="2"/>
  </r>
  <r>
    <x v="5"/>
    <x v="1"/>
    <x v="35"/>
    <n v="0"/>
    <n v="1"/>
    <n v="3"/>
    <n v="9"/>
    <n v="8"/>
    <n v="2"/>
    <n v="2"/>
  </r>
  <r>
    <x v="5"/>
    <x v="1"/>
    <x v="36"/>
    <n v="0"/>
    <n v="1"/>
    <n v="3"/>
    <n v="7"/>
    <n v="9"/>
    <n v="2"/>
    <n v="3"/>
  </r>
  <r>
    <x v="5"/>
    <x v="1"/>
    <x v="37"/>
    <n v="0"/>
    <n v="1"/>
    <n v="4"/>
    <n v="4"/>
    <n v="3"/>
    <n v="0"/>
    <n v="2"/>
  </r>
  <r>
    <x v="5"/>
    <x v="1"/>
    <x v="38"/>
    <n v="0"/>
    <n v="1"/>
    <n v="5"/>
    <n v="4"/>
    <n v="12"/>
    <n v="5"/>
    <n v="3"/>
  </r>
  <r>
    <x v="5"/>
    <x v="1"/>
    <x v="39"/>
    <n v="0"/>
    <n v="1"/>
    <n v="2"/>
    <n v="6"/>
    <n v="6"/>
    <n v="3"/>
    <n v="2"/>
  </r>
  <r>
    <x v="5"/>
    <x v="1"/>
    <x v="13"/>
    <n v="0"/>
    <n v="0"/>
    <n v="2"/>
    <n v="6"/>
    <n v="6"/>
    <n v="0"/>
    <n v="4"/>
  </r>
  <r>
    <x v="5"/>
    <x v="1"/>
    <x v="14"/>
    <n v="0"/>
    <n v="1"/>
    <n v="4"/>
    <n v="9"/>
    <n v="7"/>
    <n v="2"/>
    <n v="2"/>
  </r>
  <r>
    <x v="5"/>
    <x v="1"/>
    <x v="40"/>
    <n v="0"/>
    <n v="1"/>
    <n v="4"/>
    <n v="14"/>
    <n v="16"/>
    <n v="9"/>
    <n v="1"/>
  </r>
  <r>
    <x v="5"/>
    <x v="1"/>
    <x v="21"/>
    <n v="0"/>
    <n v="1"/>
    <n v="2"/>
    <n v="5"/>
    <n v="6"/>
    <n v="2"/>
    <n v="1"/>
  </r>
  <r>
    <x v="5"/>
    <x v="1"/>
    <x v="28"/>
    <n v="0"/>
    <n v="1"/>
    <n v="2"/>
    <n v="6"/>
    <n v="4"/>
    <n v="2"/>
    <n v="1"/>
  </r>
  <r>
    <x v="5"/>
    <x v="1"/>
    <x v="41"/>
    <n v="0"/>
    <n v="1"/>
    <n v="2"/>
    <n v="6"/>
    <n v="5"/>
    <n v="3"/>
    <n v="1"/>
  </r>
  <r>
    <x v="5"/>
    <x v="1"/>
    <x v="42"/>
    <n v="0"/>
    <n v="1"/>
    <n v="3"/>
    <n v="5"/>
    <n v="4"/>
    <n v="3"/>
    <n v="0"/>
  </r>
  <r>
    <x v="5"/>
    <x v="2"/>
    <x v="43"/>
    <n v="0"/>
    <n v="1"/>
    <n v="5"/>
    <n v="5"/>
    <n v="18"/>
    <n v="8"/>
    <n v="0"/>
  </r>
  <r>
    <x v="5"/>
    <x v="2"/>
    <x v="44"/>
    <n v="0"/>
    <n v="1"/>
    <n v="4"/>
    <n v="7"/>
    <n v="11"/>
    <n v="7"/>
    <n v="0"/>
  </r>
  <r>
    <x v="5"/>
    <x v="2"/>
    <x v="45"/>
    <n v="0"/>
    <n v="1"/>
    <n v="5"/>
    <n v="12"/>
    <n v="35"/>
    <n v="26"/>
    <n v="0"/>
  </r>
  <r>
    <x v="5"/>
    <x v="3"/>
    <x v="46"/>
    <n v="4"/>
    <n v="14"/>
    <n v="17"/>
    <n v="8"/>
    <n v="46"/>
    <n v="0"/>
    <n v="60"/>
  </r>
  <r>
    <x v="6"/>
    <x v="0"/>
    <x v="0"/>
    <n v="0"/>
    <n v="0"/>
    <n v="0"/>
    <n v="0"/>
    <n v="15"/>
    <n v="35"/>
    <n v="105"/>
  </r>
  <r>
    <x v="6"/>
    <x v="0"/>
    <x v="1"/>
    <n v="0"/>
    <n v="0"/>
    <n v="0"/>
    <n v="0"/>
    <n v="6"/>
    <n v="4"/>
    <n v="22"/>
  </r>
  <r>
    <x v="6"/>
    <x v="0"/>
    <x v="2"/>
    <n v="0"/>
    <n v="0"/>
    <n v="0"/>
    <n v="0"/>
    <n v="5"/>
    <n v="5"/>
    <n v="17"/>
  </r>
  <r>
    <x v="6"/>
    <x v="0"/>
    <x v="3"/>
    <n v="0"/>
    <n v="0"/>
    <n v="0"/>
    <n v="0"/>
    <n v="10"/>
    <n v="10"/>
    <n v="33"/>
  </r>
  <r>
    <x v="6"/>
    <x v="0"/>
    <x v="4"/>
    <n v="0"/>
    <n v="0"/>
    <n v="0"/>
    <n v="0"/>
    <n v="36"/>
    <n v="56"/>
    <n v="214"/>
  </r>
  <r>
    <x v="6"/>
    <x v="0"/>
    <x v="5"/>
    <n v="0"/>
    <n v="0"/>
    <n v="0"/>
    <n v="0"/>
    <n v="5"/>
    <n v="5"/>
    <n v="15"/>
  </r>
  <r>
    <x v="6"/>
    <x v="0"/>
    <x v="47"/>
    <n v="0"/>
    <n v="0"/>
    <n v="0"/>
    <n v="0"/>
    <n v="5"/>
    <n v="10"/>
    <n v="37"/>
  </r>
  <r>
    <x v="6"/>
    <x v="0"/>
    <x v="7"/>
    <n v="0"/>
    <n v="0"/>
    <n v="0"/>
    <n v="0"/>
    <n v="20"/>
    <n v="36"/>
    <n v="126"/>
  </r>
  <r>
    <x v="6"/>
    <x v="0"/>
    <x v="8"/>
    <n v="0"/>
    <n v="0"/>
    <n v="0"/>
    <n v="0"/>
    <n v="5"/>
    <n v="10"/>
    <n v="34"/>
  </r>
  <r>
    <x v="6"/>
    <x v="0"/>
    <x v="9"/>
    <n v="0"/>
    <n v="0"/>
    <n v="0"/>
    <n v="0"/>
    <n v="15"/>
    <n v="15"/>
    <n v="49"/>
  </r>
  <r>
    <x v="6"/>
    <x v="0"/>
    <x v="10"/>
    <n v="0"/>
    <n v="0"/>
    <n v="0"/>
    <n v="0"/>
    <n v="5"/>
    <n v="5"/>
    <n v="15"/>
  </r>
  <r>
    <x v="6"/>
    <x v="0"/>
    <x v="11"/>
    <n v="0"/>
    <n v="0"/>
    <n v="0"/>
    <n v="0"/>
    <n v="10"/>
    <n v="10"/>
    <n v="30"/>
  </r>
  <r>
    <x v="6"/>
    <x v="0"/>
    <x v="12"/>
    <n v="0"/>
    <n v="0"/>
    <n v="0"/>
    <n v="0"/>
    <n v="15"/>
    <n v="19"/>
    <n v="54"/>
  </r>
  <r>
    <x v="6"/>
    <x v="0"/>
    <x v="13"/>
    <n v="0"/>
    <n v="0"/>
    <n v="0"/>
    <n v="0"/>
    <n v="26"/>
    <n v="51"/>
    <n v="192"/>
  </r>
  <r>
    <x v="6"/>
    <x v="0"/>
    <x v="14"/>
    <n v="0"/>
    <n v="0"/>
    <n v="0"/>
    <n v="0"/>
    <n v="57"/>
    <n v="114"/>
    <n v="346"/>
  </r>
  <r>
    <x v="6"/>
    <x v="0"/>
    <x v="15"/>
    <n v="0"/>
    <n v="0"/>
    <n v="0"/>
    <n v="0"/>
    <n v="5"/>
    <n v="14"/>
    <n v="52"/>
  </r>
  <r>
    <x v="6"/>
    <x v="0"/>
    <x v="16"/>
    <n v="0"/>
    <n v="0"/>
    <n v="0"/>
    <n v="0"/>
    <n v="10"/>
    <n v="15"/>
    <n v="45"/>
  </r>
  <r>
    <x v="6"/>
    <x v="0"/>
    <x v="17"/>
    <n v="0"/>
    <n v="0"/>
    <n v="0"/>
    <n v="0"/>
    <n v="5"/>
    <n v="4"/>
    <n v="17"/>
  </r>
  <r>
    <x v="6"/>
    <x v="0"/>
    <x v="18"/>
    <n v="0"/>
    <n v="0"/>
    <n v="0"/>
    <n v="0"/>
    <n v="5"/>
    <n v="5"/>
    <n v="20"/>
  </r>
  <r>
    <x v="6"/>
    <x v="0"/>
    <x v="19"/>
    <m/>
    <m/>
    <m/>
    <m/>
    <m/>
    <m/>
    <m/>
  </r>
  <r>
    <x v="6"/>
    <x v="0"/>
    <x v="20"/>
    <n v="0"/>
    <n v="0"/>
    <n v="0"/>
    <n v="0"/>
    <n v="15"/>
    <n v="15"/>
    <n v="45"/>
  </r>
  <r>
    <x v="6"/>
    <x v="0"/>
    <x v="21"/>
    <n v="0"/>
    <n v="0"/>
    <n v="0"/>
    <n v="0"/>
    <n v="21"/>
    <n v="37"/>
    <n v="105"/>
  </r>
  <r>
    <x v="6"/>
    <x v="0"/>
    <x v="22"/>
    <m/>
    <m/>
    <m/>
    <m/>
    <m/>
    <m/>
    <m/>
  </r>
  <r>
    <x v="6"/>
    <x v="0"/>
    <x v="23"/>
    <n v="0"/>
    <n v="0"/>
    <n v="0"/>
    <n v="0"/>
    <n v="5"/>
    <n v="10"/>
    <n v="52"/>
  </r>
  <r>
    <x v="6"/>
    <x v="0"/>
    <x v="24"/>
    <n v="0"/>
    <n v="0"/>
    <n v="0"/>
    <n v="0"/>
    <n v="15"/>
    <n v="21"/>
    <n v="66"/>
  </r>
  <r>
    <x v="6"/>
    <x v="0"/>
    <x v="25"/>
    <n v="0"/>
    <n v="0"/>
    <n v="0"/>
    <n v="0"/>
    <n v="10"/>
    <n v="10"/>
    <n v="33"/>
  </r>
  <r>
    <x v="6"/>
    <x v="0"/>
    <x v="26"/>
    <m/>
    <m/>
    <m/>
    <m/>
    <m/>
    <m/>
    <m/>
  </r>
  <r>
    <x v="6"/>
    <x v="0"/>
    <x v="27"/>
    <n v="0"/>
    <n v="0"/>
    <n v="0"/>
    <n v="0"/>
    <n v="5"/>
    <n v="9"/>
    <n v="36"/>
  </r>
  <r>
    <x v="6"/>
    <x v="0"/>
    <x v="28"/>
    <n v="0"/>
    <n v="0"/>
    <n v="0"/>
    <n v="0"/>
    <n v="20"/>
    <n v="37"/>
    <n v="111"/>
  </r>
  <r>
    <x v="6"/>
    <x v="0"/>
    <x v="29"/>
    <n v="0"/>
    <n v="0"/>
    <n v="0"/>
    <n v="0"/>
    <n v="5"/>
    <n v="10"/>
    <n v="36"/>
  </r>
  <r>
    <x v="6"/>
    <x v="0"/>
    <x v="30"/>
    <n v="0"/>
    <n v="0"/>
    <n v="0"/>
    <n v="0"/>
    <n v="10"/>
    <n v="15"/>
    <n v="48"/>
  </r>
  <r>
    <x v="6"/>
    <x v="0"/>
    <x v="31"/>
    <n v="0"/>
    <n v="0"/>
    <n v="0"/>
    <n v="0"/>
    <n v="10"/>
    <n v="10"/>
    <n v="38"/>
  </r>
  <r>
    <x v="6"/>
    <x v="1"/>
    <x v="0"/>
    <n v="0"/>
    <n v="1"/>
    <n v="2"/>
    <n v="3"/>
    <n v="4"/>
    <n v="2"/>
    <n v="1"/>
  </r>
  <r>
    <x v="6"/>
    <x v="1"/>
    <x v="32"/>
    <n v="0"/>
    <n v="1"/>
    <n v="3"/>
    <n v="9"/>
    <n v="7"/>
    <n v="4"/>
    <n v="1"/>
  </r>
  <r>
    <x v="6"/>
    <x v="1"/>
    <x v="33"/>
    <n v="0"/>
    <n v="1"/>
    <n v="3"/>
    <n v="8"/>
    <n v="7"/>
    <n v="7"/>
    <n v="2"/>
  </r>
  <r>
    <x v="6"/>
    <x v="1"/>
    <x v="6"/>
    <n v="0"/>
    <n v="1"/>
    <n v="2"/>
    <n v="6"/>
    <n v="8"/>
    <n v="3"/>
    <n v="2"/>
  </r>
  <r>
    <x v="6"/>
    <x v="1"/>
    <x v="34"/>
    <n v="0"/>
    <n v="1"/>
    <n v="4"/>
    <n v="9"/>
    <n v="11"/>
    <n v="4"/>
    <n v="2"/>
  </r>
  <r>
    <x v="6"/>
    <x v="1"/>
    <x v="35"/>
    <n v="0"/>
    <n v="1"/>
    <n v="3"/>
    <n v="10"/>
    <n v="8"/>
    <n v="5"/>
    <n v="1"/>
  </r>
  <r>
    <x v="6"/>
    <x v="1"/>
    <x v="36"/>
    <n v="0"/>
    <n v="1"/>
    <n v="3"/>
    <n v="7"/>
    <n v="9"/>
    <n v="5"/>
    <n v="4"/>
  </r>
  <r>
    <x v="6"/>
    <x v="1"/>
    <x v="37"/>
    <n v="0"/>
    <n v="1"/>
    <n v="4"/>
    <n v="4"/>
    <n v="3"/>
    <n v="0"/>
    <n v="1"/>
  </r>
  <r>
    <x v="6"/>
    <x v="1"/>
    <x v="38"/>
    <n v="0"/>
    <n v="1"/>
    <n v="4"/>
    <n v="5"/>
    <n v="10"/>
    <n v="4"/>
    <n v="4"/>
  </r>
  <r>
    <x v="6"/>
    <x v="1"/>
    <x v="39"/>
    <n v="0"/>
    <n v="1"/>
    <n v="2"/>
    <n v="6"/>
    <n v="6"/>
    <n v="2"/>
    <n v="2"/>
  </r>
  <r>
    <x v="6"/>
    <x v="1"/>
    <x v="13"/>
    <m/>
    <m/>
    <m/>
    <m/>
    <m/>
    <m/>
    <m/>
  </r>
  <r>
    <x v="6"/>
    <x v="1"/>
    <x v="14"/>
    <n v="0"/>
    <n v="1"/>
    <n v="5"/>
    <n v="10"/>
    <n v="5"/>
    <n v="2"/>
    <n v="2"/>
  </r>
  <r>
    <x v="6"/>
    <x v="1"/>
    <x v="40"/>
    <n v="0"/>
    <n v="1"/>
    <n v="4"/>
    <n v="13"/>
    <n v="11"/>
    <n v="8"/>
    <n v="1"/>
  </r>
  <r>
    <x v="6"/>
    <x v="1"/>
    <x v="21"/>
    <n v="0"/>
    <n v="1"/>
    <n v="2"/>
    <n v="5"/>
    <n v="5"/>
    <n v="2"/>
    <n v="1"/>
  </r>
  <r>
    <x v="6"/>
    <x v="1"/>
    <x v="28"/>
    <n v="0"/>
    <n v="1"/>
    <n v="2"/>
    <n v="6"/>
    <n v="4"/>
    <n v="3"/>
    <n v="0"/>
  </r>
  <r>
    <x v="6"/>
    <x v="1"/>
    <x v="48"/>
    <n v="0"/>
    <n v="1"/>
    <n v="4"/>
    <n v="12"/>
    <n v="11"/>
    <n v="6"/>
    <n v="4"/>
  </r>
  <r>
    <x v="6"/>
    <x v="1"/>
    <x v="42"/>
    <n v="0"/>
    <n v="1"/>
    <n v="3"/>
    <n v="5"/>
    <n v="4"/>
    <n v="1"/>
    <n v="0"/>
  </r>
  <r>
    <x v="6"/>
    <x v="2"/>
    <x v="43"/>
    <n v="0"/>
    <n v="1"/>
    <n v="4"/>
    <n v="8"/>
    <n v="33"/>
    <n v="6"/>
    <n v="0"/>
  </r>
  <r>
    <x v="6"/>
    <x v="2"/>
    <x v="44"/>
    <n v="0"/>
    <n v="2"/>
    <n v="3"/>
    <n v="7"/>
    <n v="24"/>
    <n v="6"/>
    <n v="0"/>
  </r>
  <r>
    <x v="6"/>
    <x v="2"/>
    <x v="45"/>
    <n v="0"/>
    <n v="3"/>
    <n v="10"/>
    <n v="14"/>
    <n v="55"/>
    <n v="21"/>
    <n v="0"/>
  </r>
  <r>
    <x v="6"/>
    <x v="3"/>
    <x v="46"/>
    <n v="6"/>
    <n v="9"/>
    <n v="13"/>
    <n v="6"/>
    <n v="7"/>
    <n v="0"/>
    <n v="49"/>
  </r>
  <r>
    <x v="7"/>
    <x v="0"/>
    <x v="0"/>
    <n v="0"/>
    <n v="0"/>
    <n v="0"/>
    <n v="0"/>
    <n v="15"/>
    <n v="35"/>
    <n v="99"/>
  </r>
  <r>
    <x v="7"/>
    <x v="0"/>
    <x v="1"/>
    <n v="0"/>
    <n v="0"/>
    <n v="0"/>
    <n v="0"/>
    <n v="5"/>
    <n v="5"/>
    <n v="19"/>
  </r>
  <r>
    <x v="7"/>
    <x v="0"/>
    <x v="2"/>
    <n v="0"/>
    <n v="0"/>
    <n v="0"/>
    <n v="0"/>
    <n v="5"/>
    <n v="5"/>
    <n v="17"/>
  </r>
  <r>
    <x v="7"/>
    <x v="0"/>
    <x v="3"/>
    <n v="0"/>
    <n v="0"/>
    <n v="0"/>
    <n v="0"/>
    <n v="10"/>
    <n v="10"/>
    <n v="32"/>
  </r>
  <r>
    <x v="7"/>
    <x v="0"/>
    <x v="4"/>
    <n v="0"/>
    <n v="0"/>
    <n v="0"/>
    <n v="0"/>
    <n v="36"/>
    <n v="58"/>
    <n v="206"/>
  </r>
  <r>
    <x v="7"/>
    <x v="0"/>
    <x v="5"/>
    <n v="0"/>
    <n v="0"/>
    <n v="0"/>
    <n v="0"/>
    <n v="6"/>
    <n v="5"/>
    <n v="13"/>
  </r>
  <r>
    <x v="7"/>
    <x v="0"/>
    <x v="47"/>
    <n v="0"/>
    <n v="0"/>
    <n v="0"/>
    <n v="0"/>
    <n v="5"/>
    <n v="10"/>
    <n v="36"/>
  </r>
  <r>
    <x v="7"/>
    <x v="0"/>
    <x v="7"/>
    <n v="0"/>
    <n v="0"/>
    <n v="0"/>
    <n v="0"/>
    <n v="19"/>
    <n v="36"/>
    <n v="127"/>
  </r>
  <r>
    <x v="7"/>
    <x v="0"/>
    <x v="8"/>
    <n v="0"/>
    <n v="0"/>
    <n v="0"/>
    <n v="0"/>
    <n v="5"/>
    <n v="10"/>
    <n v="32"/>
  </r>
  <r>
    <x v="7"/>
    <x v="0"/>
    <x v="9"/>
    <n v="0"/>
    <n v="0"/>
    <n v="0"/>
    <n v="0"/>
    <n v="16"/>
    <n v="14"/>
    <n v="46"/>
  </r>
  <r>
    <x v="7"/>
    <x v="0"/>
    <x v="10"/>
    <n v="0"/>
    <n v="0"/>
    <n v="0"/>
    <n v="0"/>
    <n v="5"/>
    <n v="5"/>
    <n v="16"/>
  </r>
  <r>
    <x v="7"/>
    <x v="0"/>
    <x v="11"/>
    <n v="0"/>
    <n v="0"/>
    <n v="0"/>
    <n v="0"/>
    <n v="10"/>
    <n v="10"/>
    <n v="28"/>
  </r>
  <r>
    <x v="7"/>
    <x v="0"/>
    <x v="12"/>
    <n v="0"/>
    <n v="0"/>
    <n v="0"/>
    <n v="0"/>
    <n v="15"/>
    <n v="20"/>
    <n v="53"/>
  </r>
  <r>
    <x v="7"/>
    <x v="0"/>
    <x v="13"/>
    <n v="0"/>
    <n v="0"/>
    <n v="0"/>
    <n v="0"/>
    <n v="25"/>
    <n v="50"/>
    <n v="179"/>
  </r>
  <r>
    <x v="7"/>
    <x v="0"/>
    <x v="14"/>
    <n v="0"/>
    <n v="0"/>
    <n v="0"/>
    <n v="0"/>
    <n v="55"/>
    <n v="109"/>
    <n v="335"/>
  </r>
  <r>
    <x v="7"/>
    <x v="0"/>
    <x v="15"/>
    <n v="0"/>
    <n v="0"/>
    <n v="0"/>
    <n v="0"/>
    <n v="5"/>
    <n v="15"/>
    <n v="54"/>
  </r>
  <r>
    <x v="7"/>
    <x v="0"/>
    <x v="16"/>
    <n v="0"/>
    <n v="0"/>
    <n v="0"/>
    <n v="0"/>
    <n v="10"/>
    <n v="15"/>
    <n v="45"/>
  </r>
  <r>
    <x v="7"/>
    <x v="0"/>
    <x v="17"/>
    <n v="0"/>
    <n v="0"/>
    <n v="0"/>
    <n v="0"/>
    <n v="5"/>
    <n v="5"/>
    <n v="17"/>
  </r>
  <r>
    <x v="7"/>
    <x v="0"/>
    <x v="18"/>
    <n v="0"/>
    <n v="0"/>
    <n v="0"/>
    <n v="0"/>
    <n v="5"/>
    <n v="5"/>
    <n v="20"/>
  </r>
  <r>
    <x v="7"/>
    <x v="0"/>
    <x v="19"/>
    <m/>
    <m/>
    <m/>
    <m/>
    <m/>
    <m/>
    <m/>
  </r>
  <r>
    <x v="7"/>
    <x v="0"/>
    <x v="20"/>
    <n v="0"/>
    <n v="0"/>
    <n v="0"/>
    <n v="0"/>
    <n v="15"/>
    <n v="15"/>
    <n v="45"/>
  </r>
  <r>
    <x v="7"/>
    <x v="0"/>
    <x v="21"/>
    <n v="0"/>
    <n v="0"/>
    <n v="0"/>
    <n v="0"/>
    <n v="20"/>
    <n v="35"/>
    <n v="105"/>
  </r>
  <r>
    <x v="7"/>
    <x v="0"/>
    <x v="22"/>
    <m/>
    <m/>
    <m/>
    <m/>
    <m/>
    <m/>
    <m/>
  </r>
  <r>
    <x v="7"/>
    <x v="0"/>
    <x v="23"/>
    <n v="0"/>
    <n v="0"/>
    <n v="0"/>
    <n v="0"/>
    <n v="5"/>
    <n v="10"/>
    <n v="48"/>
  </r>
  <r>
    <x v="7"/>
    <x v="0"/>
    <x v="24"/>
    <n v="0"/>
    <n v="0"/>
    <n v="0"/>
    <n v="0"/>
    <n v="15"/>
    <n v="21"/>
    <n v="64"/>
  </r>
  <r>
    <x v="7"/>
    <x v="0"/>
    <x v="25"/>
    <n v="0"/>
    <n v="0"/>
    <n v="0"/>
    <n v="0"/>
    <n v="10"/>
    <n v="8"/>
    <n v="33"/>
  </r>
  <r>
    <x v="7"/>
    <x v="0"/>
    <x v="26"/>
    <m/>
    <m/>
    <m/>
    <m/>
    <m/>
    <m/>
    <m/>
  </r>
  <r>
    <x v="7"/>
    <x v="0"/>
    <x v="27"/>
    <n v="0"/>
    <n v="0"/>
    <n v="0"/>
    <n v="0"/>
    <n v="5"/>
    <n v="10"/>
    <n v="36"/>
  </r>
  <r>
    <x v="7"/>
    <x v="0"/>
    <x v="28"/>
    <n v="0"/>
    <n v="0"/>
    <n v="0"/>
    <n v="0"/>
    <n v="20"/>
    <n v="37"/>
    <n v="111"/>
  </r>
  <r>
    <x v="7"/>
    <x v="0"/>
    <x v="29"/>
    <n v="0"/>
    <n v="0"/>
    <n v="0"/>
    <n v="0"/>
    <n v="5"/>
    <n v="10"/>
    <n v="37"/>
  </r>
  <r>
    <x v="7"/>
    <x v="0"/>
    <x v="30"/>
    <n v="0"/>
    <n v="0"/>
    <n v="0"/>
    <n v="0"/>
    <n v="10"/>
    <n v="17"/>
    <n v="46"/>
  </r>
  <r>
    <x v="7"/>
    <x v="0"/>
    <x v="31"/>
    <n v="0"/>
    <n v="0"/>
    <n v="0"/>
    <n v="0"/>
    <n v="10"/>
    <n v="11"/>
    <n v="36"/>
  </r>
  <r>
    <x v="7"/>
    <x v="1"/>
    <x v="0"/>
    <n v="0"/>
    <n v="1"/>
    <n v="2"/>
    <n v="3"/>
    <n v="4"/>
    <n v="1"/>
    <n v="1"/>
  </r>
  <r>
    <x v="7"/>
    <x v="1"/>
    <x v="32"/>
    <n v="0"/>
    <n v="1"/>
    <n v="3"/>
    <n v="9"/>
    <n v="8"/>
    <n v="4"/>
    <n v="1"/>
  </r>
  <r>
    <x v="7"/>
    <x v="1"/>
    <x v="33"/>
    <n v="0"/>
    <n v="1"/>
    <n v="3"/>
    <n v="7"/>
    <n v="7"/>
    <n v="6"/>
    <n v="2"/>
  </r>
  <r>
    <x v="7"/>
    <x v="1"/>
    <x v="6"/>
    <n v="0"/>
    <n v="1"/>
    <n v="2"/>
    <n v="6"/>
    <n v="6"/>
    <n v="4"/>
    <n v="2"/>
  </r>
  <r>
    <x v="7"/>
    <x v="1"/>
    <x v="34"/>
    <n v="0"/>
    <n v="1"/>
    <n v="4"/>
    <n v="8"/>
    <n v="10"/>
    <n v="4"/>
    <n v="1"/>
  </r>
  <r>
    <x v="7"/>
    <x v="1"/>
    <x v="35"/>
    <n v="0"/>
    <n v="1"/>
    <n v="3"/>
    <n v="9"/>
    <n v="8"/>
    <n v="5"/>
    <n v="1"/>
  </r>
  <r>
    <x v="7"/>
    <x v="1"/>
    <x v="36"/>
    <n v="0"/>
    <n v="1"/>
    <n v="3"/>
    <n v="7"/>
    <n v="10"/>
    <n v="3"/>
    <n v="4"/>
  </r>
  <r>
    <x v="7"/>
    <x v="1"/>
    <x v="37"/>
    <n v="0"/>
    <n v="1"/>
    <n v="4"/>
    <n v="5"/>
    <n v="4"/>
    <n v="2"/>
    <n v="1"/>
  </r>
  <r>
    <x v="7"/>
    <x v="1"/>
    <x v="38"/>
    <n v="0"/>
    <n v="1"/>
    <n v="3"/>
    <n v="7"/>
    <n v="11"/>
    <n v="3"/>
    <n v="4"/>
  </r>
  <r>
    <x v="7"/>
    <x v="1"/>
    <x v="39"/>
    <n v="0"/>
    <n v="1"/>
    <n v="2"/>
    <n v="5"/>
    <n v="6"/>
    <n v="3"/>
    <n v="2"/>
  </r>
  <r>
    <x v="7"/>
    <x v="1"/>
    <x v="13"/>
    <m/>
    <m/>
    <m/>
    <m/>
    <m/>
    <m/>
    <m/>
  </r>
  <r>
    <x v="7"/>
    <x v="1"/>
    <x v="14"/>
    <n v="0"/>
    <n v="1"/>
    <n v="5"/>
    <n v="9"/>
    <n v="7"/>
    <n v="2"/>
    <n v="2"/>
  </r>
  <r>
    <x v="7"/>
    <x v="1"/>
    <x v="40"/>
    <n v="0"/>
    <n v="1"/>
    <n v="4"/>
    <n v="12"/>
    <n v="10"/>
    <n v="7"/>
    <n v="1"/>
  </r>
  <r>
    <x v="7"/>
    <x v="1"/>
    <x v="21"/>
    <n v="0"/>
    <n v="1"/>
    <n v="2"/>
    <n v="5"/>
    <n v="5"/>
    <n v="2"/>
    <n v="0"/>
  </r>
  <r>
    <x v="7"/>
    <x v="1"/>
    <x v="28"/>
    <n v="0"/>
    <n v="1"/>
    <n v="2"/>
    <n v="6"/>
    <n v="4"/>
    <n v="3"/>
    <n v="0"/>
  </r>
  <r>
    <x v="7"/>
    <x v="1"/>
    <x v="48"/>
    <n v="0"/>
    <n v="1"/>
    <n v="4"/>
    <n v="11"/>
    <n v="11"/>
    <n v="6"/>
    <n v="4"/>
  </r>
  <r>
    <x v="7"/>
    <x v="1"/>
    <x v="42"/>
    <n v="0"/>
    <n v="1"/>
    <n v="3"/>
    <n v="7"/>
    <n v="4"/>
    <n v="0"/>
    <n v="0"/>
  </r>
  <r>
    <x v="7"/>
    <x v="2"/>
    <x v="43"/>
    <n v="0"/>
    <n v="1"/>
    <n v="2"/>
    <n v="5"/>
    <n v="32"/>
    <n v="6"/>
    <n v="20"/>
  </r>
  <r>
    <x v="7"/>
    <x v="2"/>
    <x v="44"/>
    <n v="0"/>
    <n v="2"/>
    <n v="2"/>
    <n v="6"/>
    <n v="19"/>
    <n v="13"/>
    <n v="13"/>
  </r>
  <r>
    <x v="7"/>
    <x v="2"/>
    <x v="45"/>
    <n v="0"/>
    <n v="3"/>
    <n v="5"/>
    <n v="5"/>
    <n v="36"/>
    <n v="17"/>
    <n v="25"/>
  </r>
  <r>
    <x v="7"/>
    <x v="3"/>
    <x v="46"/>
    <n v="5"/>
    <n v="13"/>
    <n v="23"/>
    <n v="20"/>
    <n v="30"/>
    <n v="0"/>
    <n v="1"/>
  </r>
</pivotCacheRecords>
</file>

<file path=xl/pivotCache/pivotCacheRecords14.xml><?xml version="1.0" encoding="utf-8"?>
<pivotCacheRecords xmlns="http://schemas.openxmlformats.org/spreadsheetml/2006/main" xmlns:r="http://schemas.openxmlformats.org/officeDocument/2006/relationships" count="256">
  <r>
    <x v="0"/>
    <s v="1:LA"/>
    <x v="0"/>
    <s v="S12000033"/>
    <n v="2"/>
    <n v="1"/>
    <n v="5"/>
  </r>
  <r>
    <x v="0"/>
    <s v="1:LA"/>
    <x v="1"/>
    <s v="S12000034"/>
    <n v="65"/>
    <n v="29"/>
    <n v="203"/>
  </r>
  <r>
    <x v="0"/>
    <s v="1:LA"/>
    <x v="2"/>
    <s v="S12000041"/>
    <n v="19"/>
    <n v="7"/>
    <n v="73"/>
  </r>
  <r>
    <x v="0"/>
    <s v="1:LA"/>
    <x v="3"/>
    <s v="S12000035"/>
    <n v="24"/>
    <n v="17"/>
    <n v="146"/>
  </r>
  <r>
    <x v="0"/>
    <s v="1:LA"/>
    <x v="4"/>
    <s v="S12000036"/>
    <n v="2"/>
    <n v="1"/>
    <n v="9"/>
  </r>
  <r>
    <x v="0"/>
    <s v="1:LA"/>
    <x v="5"/>
    <s v="S12000005"/>
    <n v="4"/>
    <n v="2"/>
    <n v="15"/>
  </r>
  <r>
    <x v="0"/>
    <s v="1:LA"/>
    <x v="6"/>
    <s v="S12000006"/>
    <n v="34"/>
    <n v="17"/>
    <n v="147"/>
  </r>
  <r>
    <x v="0"/>
    <s v="1:LA"/>
    <x v="7"/>
    <s v="S12000042"/>
    <n v="3"/>
    <n v="1"/>
    <n v="10"/>
  </r>
  <r>
    <x v="0"/>
    <s v="1:LA"/>
    <x v="8"/>
    <s v="S12000008"/>
    <n v="10"/>
    <n v="9"/>
    <n v="58"/>
  </r>
  <r>
    <x v="0"/>
    <s v="1:LA"/>
    <x v="9"/>
    <s v="S12000045"/>
    <n v="0"/>
    <n v="0"/>
    <n v="0"/>
  </r>
  <r>
    <x v="0"/>
    <s v="1:LA"/>
    <x v="10"/>
    <s v="S12000010"/>
    <n v="9"/>
    <n v="5"/>
    <n v="38"/>
  </r>
  <r>
    <x v="0"/>
    <s v="1:LA"/>
    <x v="11"/>
    <s v="S12000011"/>
    <n v="0"/>
    <n v="0"/>
    <n v="0"/>
  </r>
  <r>
    <x v="0"/>
    <s v="1:LA"/>
    <x v="12"/>
    <s v="S12000014"/>
    <n v="10"/>
    <n v="5"/>
    <n v="50"/>
  </r>
  <r>
    <x v="0"/>
    <s v="1:LA"/>
    <x v="13"/>
    <s v="S12000047"/>
    <n v="19"/>
    <n v="11"/>
    <n v="81"/>
  </r>
  <r>
    <x v="0"/>
    <s v="1:LA"/>
    <x v="14"/>
    <s v="S12000046"/>
    <n v="1"/>
    <n v="0"/>
    <n v="1"/>
  </r>
  <r>
    <x v="0"/>
    <s v="1:LA"/>
    <x v="15"/>
    <s v="S12000017"/>
    <n v="115"/>
    <n v="55"/>
    <n v="394"/>
  </r>
  <r>
    <x v="0"/>
    <s v="1:LA"/>
    <x v="16"/>
    <s v="S12000018"/>
    <n v="4"/>
    <n v="3"/>
    <n v="35"/>
  </r>
  <r>
    <x v="0"/>
    <s v="1:LA"/>
    <x v="17"/>
    <s v="S12000019"/>
    <n v="2"/>
    <n v="1"/>
    <n v="7"/>
  </r>
  <r>
    <x v="0"/>
    <s v="1:LA"/>
    <x v="18"/>
    <s v="S12000020"/>
    <n v="22"/>
    <n v="9"/>
    <n v="73"/>
  </r>
  <r>
    <x v="0"/>
    <s v="1:LA"/>
    <x v="19"/>
    <s v="S12000013"/>
    <n v="25"/>
    <n v="13"/>
    <n v="94"/>
  </r>
  <r>
    <x v="0"/>
    <s v="1:LA"/>
    <x v="20"/>
    <s v="S12000021"/>
    <n v="15"/>
    <n v="9"/>
    <n v="70"/>
  </r>
  <r>
    <x v="0"/>
    <s v="1:LA"/>
    <x v="21"/>
    <s v="S12000044"/>
    <n v="3"/>
    <n v="3"/>
    <n v="22"/>
  </r>
  <r>
    <x v="0"/>
    <s v="1:LA"/>
    <x v="22"/>
    <s v="S12000023"/>
    <n v="22"/>
    <n v="12"/>
    <n v="79"/>
  </r>
  <r>
    <x v="0"/>
    <s v="1:LA"/>
    <x v="23"/>
    <s v="S12000024"/>
    <n v="25"/>
    <n v="10"/>
    <n v="105"/>
  </r>
  <r>
    <x v="0"/>
    <s v="1:LA"/>
    <x v="24"/>
    <s v="S12000038"/>
    <n v="2"/>
    <n v="1"/>
    <n v="11"/>
  </r>
  <r>
    <x v="0"/>
    <s v="1:LA"/>
    <x v="25"/>
    <s v="S12000026"/>
    <n v="25"/>
    <n v="13"/>
    <n v="96"/>
  </r>
  <r>
    <x v="0"/>
    <s v="1:LA"/>
    <x v="26"/>
    <s v="S12000027"/>
    <n v="29"/>
    <n v="13"/>
    <n v="92"/>
  </r>
  <r>
    <x v="0"/>
    <s v="1:LA"/>
    <x v="27"/>
    <s v="S12000028"/>
    <n v="9"/>
    <n v="5"/>
    <n v="40"/>
  </r>
  <r>
    <x v="0"/>
    <s v="1:LA"/>
    <x v="28"/>
    <s v="S12000029"/>
    <n v="8"/>
    <n v="9"/>
    <n v="67"/>
  </r>
  <r>
    <x v="0"/>
    <s v="1:LA"/>
    <x v="29"/>
    <s v="S12000030"/>
    <n v="15"/>
    <n v="9"/>
    <n v="50"/>
  </r>
  <r>
    <x v="0"/>
    <s v="1:LA"/>
    <x v="30"/>
    <s v="S12000039"/>
    <n v="1"/>
    <n v="2"/>
    <n v="15"/>
  </r>
  <r>
    <x v="0"/>
    <s v="1:LA"/>
    <x v="31"/>
    <s v="S12000040"/>
    <n v="11"/>
    <n v="6"/>
    <n v="41"/>
  </r>
  <r>
    <x v="1"/>
    <s v="1:LA"/>
    <x v="0"/>
    <s v="S12000033"/>
    <n v="2"/>
    <n v="1"/>
    <n v="5"/>
  </r>
  <r>
    <x v="1"/>
    <s v="1:LA"/>
    <x v="1"/>
    <s v="S12000034"/>
    <n v="63"/>
    <n v="27"/>
    <n v="190"/>
  </r>
  <r>
    <x v="1"/>
    <s v="1:LA"/>
    <x v="2"/>
    <s v="S12000041"/>
    <n v="20"/>
    <n v="7"/>
    <n v="68"/>
  </r>
  <r>
    <x v="1"/>
    <s v="1:LA"/>
    <x v="3"/>
    <s v="S12000035"/>
    <n v="24"/>
    <n v="15"/>
    <n v="136"/>
  </r>
  <r>
    <x v="1"/>
    <s v="1:LA"/>
    <x v="4"/>
    <s v="S12000036"/>
    <n v="2"/>
    <n v="1"/>
    <n v="10"/>
  </r>
  <r>
    <x v="1"/>
    <s v="1:LA"/>
    <x v="5"/>
    <s v="S12000005"/>
    <n v="5"/>
    <n v="2"/>
    <n v="16"/>
  </r>
  <r>
    <x v="1"/>
    <s v="1:LA"/>
    <x v="6"/>
    <s v="S12000006"/>
    <n v="36"/>
    <n v="17"/>
    <n v="153"/>
  </r>
  <r>
    <x v="1"/>
    <s v="1:LA"/>
    <x v="7"/>
    <s v="S12000042"/>
    <n v="3"/>
    <n v="1"/>
    <n v="10"/>
  </r>
  <r>
    <x v="1"/>
    <s v="1:LA"/>
    <x v="8"/>
    <s v="S12000008"/>
    <n v="9"/>
    <n v="8"/>
    <n v="63"/>
  </r>
  <r>
    <x v="1"/>
    <s v="1:LA"/>
    <x v="9"/>
    <s v="S12000045"/>
    <n v="0"/>
    <n v="0"/>
    <n v="0"/>
  </r>
  <r>
    <x v="1"/>
    <s v="1:LA"/>
    <x v="10"/>
    <s v="S12000010"/>
    <n v="12"/>
    <n v="5"/>
    <n v="43"/>
  </r>
  <r>
    <x v="1"/>
    <s v="1:LA"/>
    <x v="11"/>
    <s v="S12000011"/>
    <n v="0"/>
    <n v="0"/>
    <n v="0"/>
  </r>
  <r>
    <x v="1"/>
    <s v="1:LA"/>
    <x v="12"/>
    <s v="S12000014"/>
    <n v="9"/>
    <n v="6"/>
    <n v="53"/>
  </r>
  <r>
    <x v="1"/>
    <s v="1:LA"/>
    <x v="13"/>
    <s v="S12000047"/>
    <n v="23"/>
    <n v="10"/>
    <n v="79"/>
  </r>
  <r>
    <x v="1"/>
    <s v="1:LA"/>
    <x v="14"/>
    <s v="S12000046"/>
    <n v="0"/>
    <n v="0"/>
    <n v="0"/>
  </r>
  <r>
    <x v="1"/>
    <s v="1:LA"/>
    <x v="15"/>
    <s v="S12000017"/>
    <n v="106"/>
    <n v="54"/>
    <n v="388"/>
  </r>
  <r>
    <x v="1"/>
    <s v="1:LA"/>
    <x v="16"/>
    <s v="S12000018"/>
    <n v="4"/>
    <n v="3"/>
    <n v="33"/>
  </r>
  <r>
    <x v="1"/>
    <s v="1:LA"/>
    <x v="17"/>
    <s v="S12000019"/>
    <n v="2"/>
    <n v="1"/>
    <n v="11"/>
  </r>
  <r>
    <x v="1"/>
    <s v="1:LA"/>
    <x v="18"/>
    <s v="S12000020"/>
    <n v="26"/>
    <n v="11"/>
    <n v="84"/>
  </r>
  <r>
    <x v="1"/>
    <s v="1:LA"/>
    <x v="19"/>
    <s v="S12000013"/>
    <n v="27"/>
    <n v="16"/>
    <n v="104"/>
  </r>
  <r>
    <x v="1"/>
    <s v="1:LA"/>
    <x v="20"/>
    <s v="S12000021"/>
    <n v="17"/>
    <n v="9"/>
    <n v="64"/>
  </r>
  <r>
    <x v="1"/>
    <s v="1:LA"/>
    <x v="21"/>
    <s v="S12000044"/>
    <n v="3"/>
    <n v="3"/>
    <n v="24"/>
  </r>
  <r>
    <x v="1"/>
    <s v="1:LA"/>
    <x v="22"/>
    <s v="S12000023"/>
    <n v="26"/>
    <n v="12"/>
    <n v="71"/>
  </r>
  <r>
    <x v="1"/>
    <s v="1:LA"/>
    <x v="23"/>
    <s v="S12000024"/>
    <n v="26"/>
    <n v="13"/>
    <n v="89"/>
  </r>
  <r>
    <x v="1"/>
    <s v="1:LA"/>
    <x v="24"/>
    <s v="S12000038"/>
    <n v="2"/>
    <n v="1"/>
    <n v="11"/>
  </r>
  <r>
    <x v="1"/>
    <s v="1:LA"/>
    <x v="25"/>
    <s v="S12000026"/>
    <n v="26"/>
    <n v="14"/>
    <n v="111"/>
  </r>
  <r>
    <x v="1"/>
    <s v="1:LA"/>
    <x v="26"/>
    <s v="S12000027"/>
    <n v="29"/>
    <n v="12"/>
    <n v="86"/>
  </r>
  <r>
    <x v="1"/>
    <s v="1:LA"/>
    <x v="27"/>
    <s v="S12000028"/>
    <n v="9"/>
    <n v="5"/>
    <n v="40"/>
  </r>
  <r>
    <x v="1"/>
    <s v="1:LA"/>
    <x v="28"/>
    <s v="S12000029"/>
    <n v="8"/>
    <n v="9"/>
    <n v="65"/>
  </r>
  <r>
    <x v="1"/>
    <s v="1:LA"/>
    <x v="29"/>
    <s v="S12000030"/>
    <n v="14"/>
    <n v="9"/>
    <n v="52"/>
  </r>
  <r>
    <x v="1"/>
    <s v="1:LA"/>
    <x v="30"/>
    <s v="S12000039"/>
    <n v="1"/>
    <n v="2"/>
    <n v="18"/>
  </r>
  <r>
    <x v="1"/>
    <s v="1:LA"/>
    <x v="31"/>
    <s v="S12000040"/>
    <n v="12"/>
    <n v="6"/>
    <n v="47"/>
  </r>
  <r>
    <x v="2"/>
    <s v="1:LA"/>
    <x v="0"/>
    <s v="S12000033"/>
    <n v="8"/>
    <n v="2"/>
    <n v="13"/>
  </r>
  <r>
    <x v="2"/>
    <s v="1:LA"/>
    <x v="1"/>
    <s v="S12000034"/>
    <n v="66"/>
    <n v="25"/>
    <n v="180"/>
  </r>
  <r>
    <x v="2"/>
    <s v="1:LA"/>
    <x v="2"/>
    <s v="S12000041"/>
    <n v="16"/>
    <n v="6"/>
    <n v="76"/>
  </r>
  <r>
    <x v="2"/>
    <s v="1:LA"/>
    <x v="3"/>
    <s v="S12000035"/>
    <n v="26"/>
    <n v="12"/>
    <n v="144"/>
  </r>
  <r>
    <x v="2"/>
    <s v="1:LA"/>
    <x v="4"/>
    <s v="S12000036"/>
    <n v="2"/>
    <n v="1"/>
    <n v="9"/>
  </r>
  <r>
    <x v="2"/>
    <s v="1:LA"/>
    <x v="5"/>
    <s v="S12000005"/>
    <n v="4"/>
    <n v="2"/>
    <n v="15"/>
  </r>
  <r>
    <x v="2"/>
    <s v="1:LA"/>
    <x v="6"/>
    <s v="S12000006"/>
    <n v="34"/>
    <n v="16"/>
    <n v="140"/>
  </r>
  <r>
    <x v="2"/>
    <s v="1:LA"/>
    <x v="7"/>
    <s v="S12000042"/>
    <n v="3"/>
    <n v="1"/>
    <n v="7"/>
  </r>
  <r>
    <x v="2"/>
    <s v="1:LA"/>
    <x v="8"/>
    <s v="S12000008"/>
    <n v="11"/>
    <n v="7"/>
    <n v="65"/>
  </r>
  <r>
    <x v="2"/>
    <s v="1:LA"/>
    <x v="9"/>
    <s v="S12000045"/>
    <n v="0"/>
    <n v="0"/>
    <n v="1"/>
  </r>
  <r>
    <x v="2"/>
    <s v="1:LA"/>
    <x v="10"/>
    <s v="S12000010"/>
    <n v="11"/>
    <n v="4"/>
    <n v="40"/>
  </r>
  <r>
    <x v="2"/>
    <s v="1:LA"/>
    <x v="11"/>
    <s v="S12000011"/>
    <n v="0"/>
    <n v="0"/>
    <n v="2"/>
  </r>
  <r>
    <x v="2"/>
    <s v="1:LA"/>
    <x v="12"/>
    <s v="S12000014"/>
    <n v="9"/>
    <n v="5"/>
    <n v="39"/>
  </r>
  <r>
    <x v="2"/>
    <s v="1:LA"/>
    <x v="13"/>
    <s v="S12000047"/>
    <n v="23"/>
    <n v="9"/>
    <n v="80"/>
  </r>
  <r>
    <x v="2"/>
    <s v="1:LA"/>
    <x v="14"/>
    <s v="S12000046"/>
    <n v="0"/>
    <n v="0"/>
    <n v="6"/>
  </r>
  <r>
    <x v="2"/>
    <s v="1:LA"/>
    <x v="15"/>
    <s v="S12000017"/>
    <n v="107"/>
    <n v="53"/>
    <n v="365"/>
  </r>
  <r>
    <x v="2"/>
    <s v="1:LA"/>
    <x v="16"/>
    <s v="S12000018"/>
    <n v="6"/>
    <n v="4"/>
    <n v="31"/>
  </r>
  <r>
    <x v="2"/>
    <s v="1:LA"/>
    <x v="17"/>
    <s v="S12000019"/>
    <n v="2"/>
    <n v="1"/>
    <n v="8"/>
  </r>
  <r>
    <x v="2"/>
    <s v="1:LA"/>
    <x v="18"/>
    <s v="S12000020"/>
    <n v="26"/>
    <n v="12"/>
    <n v="72"/>
  </r>
  <r>
    <x v="2"/>
    <s v="1:LA"/>
    <x v="19"/>
    <s v="S12000013"/>
    <n v="34"/>
    <n v="12"/>
    <n v="94"/>
  </r>
  <r>
    <x v="2"/>
    <s v="1:LA"/>
    <x v="20"/>
    <s v="S12000021"/>
    <n v="12"/>
    <n v="9"/>
    <n v="87"/>
  </r>
  <r>
    <x v="2"/>
    <s v="1:LA"/>
    <x v="21"/>
    <s v="S12000044"/>
    <n v="3"/>
    <n v="3"/>
    <n v="28"/>
  </r>
  <r>
    <x v="2"/>
    <s v="1:LA"/>
    <x v="22"/>
    <s v="S12000023"/>
    <n v="19"/>
    <n v="12"/>
    <n v="67"/>
  </r>
  <r>
    <x v="2"/>
    <s v="1:LA"/>
    <x v="23"/>
    <s v="S12000024"/>
    <n v="24"/>
    <n v="9"/>
    <n v="93"/>
  </r>
  <r>
    <x v="2"/>
    <s v="1:LA"/>
    <x v="24"/>
    <s v="S12000038"/>
    <n v="1"/>
    <n v="1"/>
    <n v="11"/>
  </r>
  <r>
    <x v="2"/>
    <s v="1:LA"/>
    <x v="25"/>
    <s v="S12000026"/>
    <n v="26"/>
    <n v="13"/>
    <n v="108"/>
  </r>
  <r>
    <x v="2"/>
    <s v="1:LA"/>
    <x v="26"/>
    <s v="S12000027"/>
    <n v="25"/>
    <n v="14"/>
    <n v="87"/>
  </r>
  <r>
    <x v="2"/>
    <s v="1:LA"/>
    <x v="27"/>
    <s v="S12000028"/>
    <n v="7"/>
    <n v="5"/>
    <n v="41"/>
  </r>
  <r>
    <x v="2"/>
    <s v="1:LA"/>
    <x v="28"/>
    <s v="S12000029"/>
    <n v="9"/>
    <n v="8"/>
    <n v="54"/>
  </r>
  <r>
    <x v="2"/>
    <s v="1:LA"/>
    <x v="29"/>
    <s v="S12000030"/>
    <n v="17"/>
    <n v="9"/>
    <n v="47"/>
  </r>
  <r>
    <x v="2"/>
    <s v="1:LA"/>
    <x v="30"/>
    <s v="S12000039"/>
    <n v="2"/>
    <n v="2"/>
    <n v="15"/>
  </r>
  <r>
    <x v="2"/>
    <s v="1:LA"/>
    <x v="31"/>
    <s v="S12000040"/>
    <n v="10"/>
    <n v="5"/>
    <n v="40"/>
  </r>
  <r>
    <x v="3"/>
    <s v="1:LA"/>
    <x v="0"/>
    <s v="S12000033"/>
    <n v="2"/>
    <n v="1"/>
    <n v="5"/>
  </r>
  <r>
    <x v="3"/>
    <s v="1:LA"/>
    <x v="1"/>
    <s v="S12000034"/>
    <n v="68"/>
    <n v="26"/>
    <n v="188"/>
  </r>
  <r>
    <x v="3"/>
    <s v="1:LA"/>
    <x v="2"/>
    <s v="S12000041"/>
    <n v="17"/>
    <n v="6"/>
    <n v="71"/>
  </r>
  <r>
    <x v="3"/>
    <s v="1:LA"/>
    <x v="3"/>
    <s v="S12000035"/>
    <n v="27"/>
    <n v="14"/>
    <n v="144"/>
  </r>
  <r>
    <x v="3"/>
    <s v="1:LA"/>
    <x v="4"/>
    <s v="S12000036"/>
    <n v="1"/>
    <n v="1"/>
    <n v="10"/>
  </r>
  <r>
    <x v="3"/>
    <s v="1:LA"/>
    <x v="5"/>
    <s v="S12000005"/>
    <n v="4"/>
    <n v="2"/>
    <n v="18"/>
  </r>
  <r>
    <x v="3"/>
    <s v="1:LA"/>
    <x v="6"/>
    <s v="S12000006"/>
    <n v="37"/>
    <n v="16"/>
    <n v="149"/>
  </r>
  <r>
    <x v="3"/>
    <s v="1:LA"/>
    <x v="7"/>
    <s v="S12000042"/>
    <n v="3"/>
    <n v="1"/>
    <n v="9"/>
  </r>
  <r>
    <x v="3"/>
    <s v="1:LA"/>
    <x v="8"/>
    <s v="S12000008"/>
    <n v="11"/>
    <n v="7"/>
    <n v="63"/>
  </r>
  <r>
    <x v="3"/>
    <s v="1:LA"/>
    <x v="9"/>
    <s v="S12000045"/>
    <n v="0"/>
    <n v="0"/>
    <n v="0"/>
  </r>
  <r>
    <x v="3"/>
    <s v="1:LA"/>
    <x v="10"/>
    <s v="S12000010"/>
    <n v="12"/>
    <n v="5"/>
    <n v="38"/>
  </r>
  <r>
    <x v="3"/>
    <s v="1:LA"/>
    <x v="11"/>
    <s v="S12000011"/>
    <n v="0"/>
    <n v="0"/>
    <n v="0"/>
  </r>
  <r>
    <x v="3"/>
    <s v="1:LA"/>
    <x v="12"/>
    <s v="S12000014"/>
    <n v="10"/>
    <n v="5"/>
    <n v="41"/>
  </r>
  <r>
    <x v="3"/>
    <s v="1:LA"/>
    <x v="13"/>
    <s v="S12000047"/>
    <n v="22"/>
    <n v="9"/>
    <n v="78"/>
  </r>
  <r>
    <x v="3"/>
    <s v="1:LA"/>
    <x v="14"/>
    <s v="S12000046"/>
    <n v="0"/>
    <n v="0"/>
    <n v="0"/>
  </r>
  <r>
    <x v="3"/>
    <s v="1:LA"/>
    <x v="15"/>
    <s v="S12000017"/>
    <n v="102"/>
    <n v="52"/>
    <n v="371"/>
  </r>
  <r>
    <x v="3"/>
    <s v="1:LA"/>
    <x v="16"/>
    <s v="S12000018"/>
    <n v="6"/>
    <n v="3"/>
    <n v="30"/>
  </r>
  <r>
    <x v="3"/>
    <s v="1:LA"/>
    <x v="17"/>
    <s v="S12000019"/>
    <n v="2"/>
    <n v="1"/>
    <n v="8"/>
  </r>
  <r>
    <x v="3"/>
    <s v="1:LA"/>
    <x v="18"/>
    <s v="S12000020"/>
    <n v="26"/>
    <n v="13"/>
    <n v="86"/>
  </r>
  <r>
    <x v="3"/>
    <s v="1:LA"/>
    <x v="19"/>
    <s v="S12000013"/>
    <n v="33"/>
    <n v="12"/>
    <n v="92"/>
  </r>
  <r>
    <x v="3"/>
    <s v="1:LA"/>
    <x v="20"/>
    <s v="S12000021"/>
    <n v="12"/>
    <n v="10"/>
    <n v="84"/>
  </r>
  <r>
    <x v="3"/>
    <s v="1:LA"/>
    <x v="21"/>
    <s v="S12000044"/>
    <n v="6"/>
    <n v="3"/>
    <n v="26"/>
  </r>
  <r>
    <x v="3"/>
    <s v="1:LA"/>
    <x v="22"/>
    <s v="S12000023"/>
    <n v="21"/>
    <n v="11"/>
    <n v="63"/>
  </r>
  <r>
    <x v="3"/>
    <s v="1:LA"/>
    <x v="23"/>
    <s v="S12000024"/>
    <n v="23"/>
    <n v="9"/>
    <n v="90"/>
  </r>
  <r>
    <x v="3"/>
    <s v="1:LA"/>
    <x v="24"/>
    <s v="S12000038"/>
    <n v="2"/>
    <n v="1"/>
    <n v="10"/>
  </r>
  <r>
    <x v="3"/>
    <s v="1:LA"/>
    <x v="25"/>
    <s v="S12000026"/>
    <n v="27"/>
    <n v="13"/>
    <n v="103"/>
  </r>
  <r>
    <x v="3"/>
    <s v="1:LA"/>
    <x v="26"/>
    <s v="S12000027"/>
    <n v="27"/>
    <n v="12"/>
    <n v="83"/>
  </r>
  <r>
    <x v="3"/>
    <s v="1:LA"/>
    <x v="27"/>
    <s v="S12000028"/>
    <n v="8"/>
    <n v="5"/>
    <n v="35"/>
  </r>
  <r>
    <x v="3"/>
    <s v="1:LA"/>
    <x v="28"/>
    <s v="S12000029"/>
    <n v="9"/>
    <n v="8"/>
    <n v="57"/>
  </r>
  <r>
    <x v="3"/>
    <s v="1:LA"/>
    <x v="29"/>
    <s v="S12000030"/>
    <n v="17"/>
    <n v="8"/>
    <n v="48"/>
  </r>
  <r>
    <x v="3"/>
    <s v="1:LA"/>
    <x v="30"/>
    <s v="S12000039"/>
    <n v="2"/>
    <n v="1"/>
    <n v="14"/>
  </r>
  <r>
    <x v="3"/>
    <s v="1:LA"/>
    <x v="31"/>
    <s v="S12000040"/>
    <n v="12"/>
    <n v="5"/>
    <n v="47"/>
  </r>
  <r>
    <x v="4"/>
    <s v="1:LA"/>
    <x v="0"/>
    <s v="S12000033"/>
    <n v="1"/>
    <n v="1"/>
    <n v="6"/>
  </r>
  <r>
    <x v="4"/>
    <s v="1:LA"/>
    <x v="1"/>
    <s v="S12000034"/>
    <n v="69"/>
    <n v="24"/>
    <n v="182"/>
  </r>
  <r>
    <x v="4"/>
    <s v="1:LA"/>
    <x v="2"/>
    <s v="S12000041"/>
    <n v="16"/>
    <n v="6"/>
    <n v="71"/>
  </r>
  <r>
    <x v="4"/>
    <s v="1:LA"/>
    <x v="3"/>
    <s v="S12000035"/>
    <n v="26"/>
    <n v="14"/>
    <n v="137"/>
  </r>
  <r>
    <x v="4"/>
    <s v="1:LA"/>
    <x v="4"/>
    <s v="S12000036"/>
    <n v="1"/>
    <n v="1"/>
    <n v="9"/>
  </r>
  <r>
    <x v="4"/>
    <s v="1:LA"/>
    <x v="5"/>
    <s v="S12000005"/>
    <n v="3"/>
    <n v="2"/>
    <n v="17"/>
  </r>
  <r>
    <x v="4"/>
    <s v="1:LA"/>
    <x v="32"/>
    <s v="S12000006"/>
    <n v="34"/>
    <n v="16"/>
    <n v="139"/>
  </r>
  <r>
    <x v="4"/>
    <s v="1:LA"/>
    <x v="7"/>
    <s v="S12000042"/>
    <n v="2"/>
    <n v="1"/>
    <n v="10"/>
  </r>
  <r>
    <x v="4"/>
    <s v="1:LA"/>
    <x v="8"/>
    <s v="S12000008"/>
    <n v="9"/>
    <n v="7"/>
    <n v="66"/>
  </r>
  <r>
    <x v="4"/>
    <s v="1:LA"/>
    <x v="9"/>
    <m/>
    <m/>
    <m/>
    <m/>
  </r>
  <r>
    <x v="4"/>
    <s v="1:LA"/>
    <x v="10"/>
    <s v="S12000010"/>
    <n v="10"/>
    <n v="5"/>
    <n v="41"/>
  </r>
  <r>
    <x v="4"/>
    <s v="1:LA"/>
    <x v="11"/>
    <m/>
    <m/>
    <m/>
    <m/>
  </r>
  <r>
    <x v="4"/>
    <s v="1:LA"/>
    <x v="12"/>
    <s v="S12000014"/>
    <n v="11"/>
    <n v="5"/>
    <n v="38"/>
  </r>
  <r>
    <x v="4"/>
    <s v="1:LA"/>
    <x v="13"/>
    <s v="S12000047"/>
    <n v="21"/>
    <n v="9"/>
    <n v="85"/>
  </r>
  <r>
    <x v="4"/>
    <s v="1:LA"/>
    <x v="14"/>
    <m/>
    <m/>
    <m/>
    <m/>
  </r>
  <r>
    <x v="4"/>
    <s v="1:LA"/>
    <x v="15"/>
    <s v="S12000017"/>
    <n v="106"/>
    <n v="55"/>
    <n v="377"/>
  </r>
  <r>
    <x v="4"/>
    <s v="1:LA"/>
    <x v="16"/>
    <s v="S12000018"/>
    <n v="6"/>
    <n v="3"/>
    <n v="33"/>
  </r>
  <r>
    <x v="4"/>
    <s v="1:LA"/>
    <x v="17"/>
    <s v="S12000019"/>
    <n v="2"/>
    <n v="1"/>
    <n v="9"/>
  </r>
  <r>
    <x v="4"/>
    <s v="1:LA"/>
    <x v="18"/>
    <s v="S12000020"/>
    <n v="27"/>
    <n v="12"/>
    <n v="81"/>
  </r>
  <r>
    <x v="4"/>
    <s v="1:LA"/>
    <x v="19"/>
    <s v="S12000013"/>
    <n v="25"/>
    <n v="13"/>
    <n v="93"/>
  </r>
  <r>
    <x v="4"/>
    <s v="1:LA"/>
    <x v="20"/>
    <s v="S12000021"/>
    <n v="10"/>
    <n v="10"/>
    <n v="86"/>
  </r>
  <r>
    <x v="4"/>
    <s v="1:LA"/>
    <x v="21"/>
    <s v="S12000044"/>
    <n v="6"/>
    <n v="3"/>
    <n v="28"/>
  </r>
  <r>
    <x v="4"/>
    <s v="1:LA"/>
    <x v="22"/>
    <s v="S12000023"/>
    <n v="22"/>
    <n v="9"/>
    <n v="69"/>
  </r>
  <r>
    <x v="4"/>
    <s v="1:LA"/>
    <x v="23"/>
    <s v="S12000024"/>
    <n v="23"/>
    <n v="9"/>
    <n v="94"/>
  </r>
  <r>
    <x v="4"/>
    <s v="1:LA"/>
    <x v="24"/>
    <s v="S12000038"/>
    <n v="2"/>
    <n v="1"/>
    <n v="13"/>
  </r>
  <r>
    <x v="4"/>
    <s v="1:LA"/>
    <x v="25"/>
    <s v="S12000026"/>
    <n v="27"/>
    <n v="13"/>
    <n v="103"/>
  </r>
  <r>
    <x v="4"/>
    <s v="1:LA"/>
    <x v="26"/>
    <s v="S12000027"/>
    <n v="24"/>
    <n v="12"/>
    <n v="82"/>
  </r>
  <r>
    <x v="4"/>
    <s v="1:LA"/>
    <x v="27"/>
    <s v="S12000028"/>
    <n v="6"/>
    <n v="5"/>
    <n v="38"/>
  </r>
  <r>
    <x v="4"/>
    <s v="1:LA"/>
    <x v="28"/>
    <s v="S12000029"/>
    <n v="8"/>
    <n v="9"/>
    <n v="56"/>
  </r>
  <r>
    <x v="4"/>
    <s v="1:LA"/>
    <x v="29"/>
    <s v="S12000030"/>
    <n v="15"/>
    <n v="8"/>
    <n v="51"/>
  </r>
  <r>
    <x v="4"/>
    <s v="1:LA"/>
    <x v="30"/>
    <s v="S12000039"/>
    <n v="2"/>
    <n v="2"/>
    <n v="14"/>
  </r>
  <r>
    <x v="4"/>
    <s v="1:LA"/>
    <x v="31"/>
    <s v="S12000040"/>
    <n v="11"/>
    <n v="5"/>
    <n v="49"/>
  </r>
  <r>
    <x v="5"/>
    <s v="1:LA"/>
    <x v="0"/>
    <s v="S12000033"/>
    <n v="1"/>
    <n v="3"/>
    <n v="5"/>
  </r>
  <r>
    <x v="5"/>
    <s v="1:LA"/>
    <x v="1"/>
    <s v="S12000034"/>
    <n v="24"/>
    <n v="69"/>
    <n v="191"/>
  </r>
  <r>
    <x v="5"/>
    <s v="1:LA"/>
    <x v="2"/>
    <s v="S12000041"/>
    <n v="6"/>
    <n v="14"/>
    <n v="78"/>
  </r>
  <r>
    <x v="5"/>
    <s v="1:LA"/>
    <x v="3"/>
    <s v="S12000035"/>
    <n v="14"/>
    <n v="25"/>
    <n v="137"/>
  </r>
  <r>
    <x v="5"/>
    <s v="1:LA"/>
    <x v="4"/>
    <s v="S12000036"/>
    <n v="0"/>
    <n v="2"/>
    <n v="7"/>
  </r>
  <r>
    <x v="5"/>
    <s v="1:LA"/>
    <x v="5"/>
    <s v="S12000005"/>
    <n v="2"/>
    <n v="4"/>
    <n v="14"/>
  </r>
  <r>
    <x v="5"/>
    <s v="1:LA"/>
    <x v="32"/>
    <s v="S12000006"/>
    <n v="17"/>
    <n v="34"/>
    <n v="147"/>
  </r>
  <r>
    <x v="5"/>
    <s v="1:LA"/>
    <x v="7"/>
    <s v="S12000042"/>
    <n v="1"/>
    <n v="2"/>
    <n v="9"/>
  </r>
  <r>
    <x v="5"/>
    <s v="1:LA"/>
    <x v="8"/>
    <s v="S12000008"/>
    <n v="5"/>
    <n v="10"/>
    <n v="62"/>
  </r>
  <r>
    <x v="5"/>
    <s v="1:LA"/>
    <x v="9"/>
    <m/>
    <m/>
    <m/>
    <m/>
  </r>
  <r>
    <x v="5"/>
    <s v="1:LA"/>
    <x v="10"/>
    <s v="S12000010"/>
    <n v="5"/>
    <n v="12"/>
    <n v="45"/>
  </r>
  <r>
    <x v="5"/>
    <s v="1:LA"/>
    <x v="11"/>
    <m/>
    <m/>
    <m/>
    <m/>
  </r>
  <r>
    <x v="5"/>
    <s v="1:LA"/>
    <x v="12"/>
    <s v="S12000014"/>
    <n v="5"/>
    <n v="10"/>
    <n v="40"/>
  </r>
  <r>
    <x v="5"/>
    <s v="1:LA"/>
    <x v="13"/>
    <s v="S12000047"/>
    <n v="9"/>
    <n v="21"/>
    <n v="86"/>
  </r>
  <r>
    <x v="5"/>
    <s v="1:LA"/>
    <x v="14"/>
    <m/>
    <m/>
    <m/>
    <m/>
  </r>
  <r>
    <x v="5"/>
    <s v="1:LA"/>
    <x v="15"/>
    <s v="S12000017"/>
    <n v="56"/>
    <n v="103"/>
    <n v="393"/>
  </r>
  <r>
    <x v="5"/>
    <s v="1:LA"/>
    <x v="16"/>
    <s v="S12000018"/>
    <n v="3"/>
    <n v="6"/>
    <n v="35"/>
  </r>
  <r>
    <x v="5"/>
    <s v="1:LA"/>
    <x v="17"/>
    <s v="S12000019"/>
    <n v="1"/>
    <n v="3"/>
    <n v="9"/>
  </r>
  <r>
    <x v="5"/>
    <s v="1:LA"/>
    <x v="18"/>
    <s v="S12000020"/>
    <n v="11"/>
    <n v="28"/>
    <n v="81"/>
  </r>
  <r>
    <x v="5"/>
    <s v="1:LA"/>
    <x v="19"/>
    <s v="S12000013"/>
    <n v="13"/>
    <n v="25"/>
    <n v="94"/>
  </r>
  <r>
    <x v="5"/>
    <s v="1:LA"/>
    <x v="20"/>
    <s v="S12000021"/>
    <n v="11"/>
    <n v="11"/>
    <n v="85"/>
  </r>
  <r>
    <x v="5"/>
    <s v="1:LA"/>
    <x v="21"/>
    <s v="S12000044"/>
    <n v="3"/>
    <n v="6"/>
    <n v="26"/>
  </r>
  <r>
    <x v="5"/>
    <s v="1:LA"/>
    <x v="22"/>
    <s v="S12000023"/>
    <n v="9"/>
    <n v="23"/>
    <n v="77"/>
  </r>
  <r>
    <x v="5"/>
    <s v="1:LA"/>
    <x v="23"/>
    <s v="S12000024"/>
    <n v="10"/>
    <n v="23"/>
    <n v="98"/>
  </r>
  <r>
    <x v="5"/>
    <s v="1:LA"/>
    <x v="24"/>
    <s v="S12000038"/>
    <n v="1"/>
    <n v="2"/>
    <n v="14"/>
  </r>
  <r>
    <x v="5"/>
    <s v="1:LA"/>
    <x v="25"/>
    <s v="S12000026"/>
    <n v="13"/>
    <n v="28"/>
    <n v="102"/>
  </r>
  <r>
    <x v="5"/>
    <s v="1:LA"/>
    <x v="26"/>
    <s v="S12000027"/>
    <n v="13"/>
    <n v="25"/>
    <n v="89"/>
  </r>
  <r>
    <x v="5"/>
    <s v="1:LA"/>
    <x v="27"/>
    <s v="S12000028"/>
    <n v="5"/>
    <n v="7"/>
    <n v="46"/>
  </r>
  <r>
    <x v="5"/>
    <s v="1:LA"/>
    <x v="28"/>
    <s v="S12000029"/>
    <n v="8"/>
    <n v="8"/>
    <n v="61"/>
  </r>
  <r>
    <x v="5"/>
    <s v="1:LA"/>
    <x v="29"/>
    <s v="S12000030"/>
    <n v="8"/>
    <n v="16"/>
    <n v="51"/>
  </r>
  <r>
    <x v="5"/>
    <s v="1:LA"/>
    <x v="30"/>
    <s v="S12000039"/>
    <n v="2"/>
    <n v="2"/>
    <n v="16"/>
  </r>
  <r>
    <x v="5"/>
    <s v="1:LA"/>
    <x v="31"/>
    <s v="S12000040"/>
    <n v="5"/>
    <n v="11"/>
    <n v="43"/>
  </r>
  <r>
    <x v="6"/>
    <s v="1:LA"/>
    <x v="0"/>
    <s v="S40000005"/>
    <n v="1"/>
    <n v="3"/>
    <n v="4"/>
  </r>
  <r>
    <x v="6"/>
    <s v="1:LA"/>
    <x v="1"/>
    <s v="S40000005"/>
    <n v="25"/>
    <n v="65"/>
    <n v="195"/>
  </r>
  <r>
    <x v="6"/>
    <s v="1:LA"/>
    <x v="2"/>
    <s v="S40000005"/>
    <n v="6"/>
    <n v="16"/>
    <n v="81"/>
  </r>
  <r>
    <x v="6"/>
    <s v="1:LA"/>
    <x v="3"/>
    <s v="S40000003"/>
    <n v="13"/>
    <n v="25"/>
    <n v="136"/>
  </r>
  <r>
    <x v="6"/>
    <s v="1:LA"/>
    <x v="4"/>
    <s v="S40000004"/>
    <n v="1"/>
    <n v="2"/>
    <n v="5"/>
  </r>
  <r>
    <x v="6"/>
    <s v="1:LA"/>
    <x v="5"/>
    <s v="S40000004"/>
    <n v="3"/>
    <n v="5"/>
    <n v="17"/>
  </r>
  <r>
    <x v="6"/>
    <s v="1:LA"/>
    <x v="32"/>
    <s v="S40000003"/>
    <n v="16"/>
    <n v="34"/>
    <n v="142"/>
  </r>
  <r>
    <x v="6"/>
    <s v="1:LA"/>
    <x v="7"/>
    <s v="S40000005"/>
    <n v="1"/>
    <n v="2"/>
    <n v="9"/>
  </r>
  <r>
    <x v="6"/>
    <s v="1:LA"/>
    <x v="8"/>
    <s v="S40000003"/>
    <n v="7"/>
    <n v="8"/>
    <n v="65"/>
  </r>
  <r>
    <x v="6"/>
    <s v="1:LA"/>
    <x v="9"/>
    <m/>
    <m/>
    <m/>
    <m/>
  </r>
  <r>
    <x v="6"/>
    <s v="1:LA"/>
    <x v="10"/>
    <s v="S40000004"/>
    <n v="5"/>
    <n v="12"/>
    <n v="48"/>
  </r>
  <r>
    <x v="6"/>
    <s v="1:LA"/>
    <x v="11"/>
    <m/>
    <m/>
    <m/>
    <m/>
  </r>
  <r>
    <x v="6"/>
    <s v="1:LA"/>
    <x v="12"/>
    <s v="S40000004"/>
    <n v="4"/>
    <n v="10"/>
    <n v="43"/>
  </r>
  <r>
    <x v="6"/>
    <s v="1:LA"/>
    <x v="13"/>
    <s v="S40000004"/>
    <n v="9"/>
    <n v="21"/>
    <n v="83"/>
  </r>
  <r>
    <x v="6"/>
    <s v="1:LA"/>
    <x v="14"/>
    <m/>
    <m/>
    <m/>
    <m/>
  </r>
  <r>
    <x v="6"/>
    <s v="1:LA"/>
    <x v="15"/>
    <s v="S40000005"/>
    <n v="53"/>
    <n v="94"/>
    <n v="378"/>
  </r>
  <r>
    <x v="6"/>
    <s v="1:LA"/>
    <x v="16"/>
    <s v="S40000003"/>
    <n v="3"/>
    <n v="6"/>
    <n v="33"/>
  </r>
  <r>
    <x v="6"/>
    <s v="1:LA"/>
    <x v="17"/>
    <s v="S40000004"/>
    <n v="1"/>
    <n v="2"/>
    <n v="10"/>
  </r>
  <r>
    <x v="6"/>
    <s v="1:LA"/>
    <x v="18"/>
    <s v="S40000005"/>
    <n v="11"/>
    <n v="27"/>
    <n v="83"/>
  </r>
  <r>
    <x v="6"/>
    <s v="1:LA"/>
    <x v="19"/>
    <s v="S40000005"/>
    <n v="14"/>
    <n v="30"/>
    <n v="91"/>
  </r>
  <r>
    <x v="6"/>
    <s v="1:LA"/>
    <x v="20"/>
    <s v="S40000003"/>
    <n v="11"/>
    <n v="11"/>
    <n v="82"/>
  </r>
  <r>
    <x v="6"/>
    <s v="1:LA"/>
    <x v="21"/>
    <s v="S40000003"/>
    <n v="3"/>
    <n v="5"/>
    <n v="29"/>
  </r>
  <r>
    <x v="6"/>
    <s v="1:LA"/>
    <x v="22"/>
    <s v="S40000005"/>
    <n v="9"/>
    <n v="22"/>
    <n v="78"/>
  </r>
  <r>
    <x v="6"/>
    <s v="1:LA"/>
    <x v="23"/>
    <s v="S40000005"/>
    <n v="10"/>
    <n v="22"/>
    <n v="99"/>
  </r>
  <r>
    <x v="6"/>
    <s v="1:LA"/>
    <x v="24"/>
    <s v="S40000003"/>
    <n v="1"/>
    <n v="2"/>
    <n v="12"/>
  </r>
  <r>
    <x v="6"/>
    <s v="1:LA"/>
    <x v="25"/>
    <s v="S40000004"/>
    <n v="13"/>
    <n v="28"/>
    <n v="107"/>
  </r>
  <r>
    <x v="6"/>
    <s v="1:LA"/>
    <x v="26"/>
    <s v="S40000005"/>
    <n v="12"/>
    <n v="24"/>
    <n v="98"/>
  </r>
  <r>
    <x v="6"/>
    <s v="1:LA"/>
    <x v="27"/>
    <s v="S40000003"/>
    <n v="5"/>
    <n v="8"/>
    <n v="42"/>
  </r>
  <r>
    <x v="6"/>
    <s v="1:LA"/>
    <x v="28"/>
    <s v="S40000003"/>
    <n v="8"/>
    <n v="8"/>
    <n v="70"/>
  </r>
  <r>
    <x v="6"/>
    <s v="1:LA"/>
    <x v="29"/>
    <s v="S40000004"/>
    <n v="9"/>
    <n v="15"/>
    <n v="51"/>
  </r>
  <r>
    <x v="6"/>
    <s v="1:LA"/>
    <x v="30"/>
    <s v="S40000003"/>
    <n v="2"/>
    <n v="2"/>
    <n v="16"/>
  </r>
  <r>
    <x v="6"/>
    <s v="1:LA"/>
    <x v="31"/>
    <s v="S40000004"/>
    <n v="6"/>
    <n v="11"/>
    <n v="48"/>
  </r>
  <r>
    <x v="7"/>
    <s v="1:LA"/>
    <x v="0"/>
    <s v="S40000005"/>
    <n v="1"/>
    <n v="3"/>
    <n v="6"/>
  </r>
  <r>
    <x v="7"/>
    <s v="1:LA"/>
    <x v="1"/>
    <s v="S40000005"/>
    <n v="26"/>
    <n v="68"/>
    <n v="192"/>
  </r>
  <r>
    <x v="7"/>
    <s v="1:LA"/>
    <x v="2"/>
    <s v="S40000005"/>
    <n v="7"/>
    <n v="17"/>
    <n v="80"/>
  </r>
  <r>
    <x v="7"/>
    <s v="1:LA"/>
    <x v="3"/>
    <s v="S40000003"/>
    <n v="14"/>
    <n v="26"/>
    <n v="128"/>
  </r>
  <r>
    <x v="7"/>
    <s v="1:LA"/>
    <x v="4"/>
    <s v="S40000004"/>
    <n v="1"/>
    <n v="1"/>
    <n v="6"/>
  </r>
  <r>
    <x v="7"/>
    <s v="1:LA"/>
    <x v="5"/>
    <s v="S40000004"/>
    <n v="2"/>
    <n v="4"/>
    <n v="21"/>
  </r>
  <r>
    <x v="7"/>
    <s v="1:LA"/>
    <x v="32"/>
    <s v="S40000003"/>
    <n v="16"/>
    <n v="35"/>
    <n v="135"/>
  </r>
  <r>
    <x v="7"/>
    <s v="1:LA"/>
    <x v="7"/>
    <s v="S40000005"/>
    <n v="1"/>
    <n v="2"/>
    <n v="8"/>
  </r>
  <r>
    <x v="7"/>
    <s v="1:LA"/>
    <x v="8"/>
    <s v="S40000003"/>
    <n v="7"/>
    <n v="8"/>
    <n v="63"/>
  </r>
  <r>
    <x v="7"/>
    <s v="1:LA"/>
    <x v="9"/>
    <m/>
    <m/>
    <m/>
    <m/>
  </r>
  <r>
    <x v="7"/>
    <s v="1:LA"/>
    <x v="10"/>
    <s v="S40000004"/>
    <n v="5"/>
    <n v="12"/>
    <n v="47"/>
  </r>
  <r>
    <x v="7"/>
    <s v="1:LA"/>
    <x v="11"/>
    <m/>
    <m/>
    <m/>
    <m/>
  </r>
  <r>
    <x v="7"/>
    <s v="1:LA"/>
    <x v="12"/>
    <s v="S40000004"/>
    <n v="5"/>
    <n v="9"/>
    <n v="42"/>
  </r>
  <r>
    <x v="7"/>
    <s v="1:LA"/>
    <x v="13"/>
    <s v="S40000004"/>
    <n v="8"/>
    <n v="23"/>
    <n v="78"/>
  </r>
  <r>
    <x v="7"/>
    <s v="1:LA"/>
    <x v="14"/>
    <m/>
    <m/>
    <m/>
    <m/>
  </r>
  <r>
    <x v="7"/>
    <s v="1:LA"/>
    <x v="15"/>
    <s v="S40000005"/>
    <n v="52"/>
    <n v="97"/>
    <n v="351"/>
  </r>
  <r>
    <x v="7"/>
    <s v="1:LA"/>
    <x v="16"/>
    <s v="S40000003"/>
    <n v="3"/>
    <n v="6"/>
    <n v="35"/>
  </r>
  <r>
    <x v="7"/>
    <s v="1:LA"/>
    <x v="17"/>
    <s v="S40000004"/>
    <n v="1"/>
    <n v="2"/>
    <n v="8"/>
  </r>
  <r>
    <x v="7"/>
    <s v="1:LA"/>
    <x v="18"/>
    <s v="S40000005"/>
    <n v="11"/>
    <n v="27"/>
    <n v="76"/>
  </r>
  <r>
    <x v="7"/>
    <s v="1:LA"/>
    <x v="19"/>
    <s v="S40000005"/>
    <n v="15"/>
    <n v="27"/>
    <n v="89"/>
  </r>
  <r>
    <x v="7"/>
    <s v="1:LA"/>
    <x v="20"/>
    <s v="S40000003"/>
    <n v="11"/>
    <n v="11"/>
    <n v="78"/>
  </r>
  <r>
    <x v="7"/>
    <s v="1:LA"/>
    <x v="21"/>
    <s v="S40000003"/>
    <n v="3"/>
    <n v="6"/>
    <n v="29"/>
  </r>
  <r>
    <x v="7"/>
    <s v="1:LA"/>
    <x v="22"/>
    <s v="S40000005"/>
    <n v="8"/>
    <n v="21"/>
    <n v="83"/>
  </r>
  <r>
    <x v="7"/>
    <s v="1:LA"/>
    <x v="23"/>
    <s v="S40000005"/>
    <n v="10"/>
    <n v="21"/>
    <n v="99"/>
  </r>
  <r>
    <x v="7"/>
    <s v="1:LA"/>
    <x v="24"/>
    <s v="S40000003"/>
    <n v="2"/>
    <n v="1"/>
    <n v="10"/>
  </r>
  <r>
    <x v="7"/>
    <s v="1:LA"/>
    <x v="25"/>
    <s v="S40000004"/>
    <n v="13"/>
    <n v="30"/>
    <n v="106"/>
  </r>
  <r>
    <x v="7"/>
    <s v="1:LA"/>
    <x v="26"/>
    <s v="S40000005"/>
    <n v="13"/>
    <n v="25"/>
    <n v="94"/>
  </r>
  <r>
    <x v="7"/>
    <s v="1:LA"/>
    <x v="27"/>
    <s v="S40000003"/>
    <n v="4"/>
    <n v="7"/>
    <n v="41"/>
  </r>
  <r>
    <x v="7"/>
    <s v="1:LA"/>
    <x v="28"/>
    <s v="S40000003"/>
    <n v="10"/>
    <n v="7"/>
    <n v="67"/>
  </r>
  <r>
    <x v="7"/>
    <s v="1:LA"/>
    <x v="29"/>
    <s v="S40000004"/>
    <n v="9"/>
    <n v="15"/>
    <n v="51"/>
  </r>
  <r>
    <x v="7"/>
    <s v="1:LA"/>
    <x v="30"/>
    <s v="S40000003"/>
    <n v="2"/>
    <n v="2"/>
    <n v="18"/>
  </r>
  <r>
    <x v="7"/>
    <s v="1:LA"/>
    <x v="31"/>
    <s v="S40000004"/>
    <n v="7"/>
    <n v="9"/>
    <n v="42"/>
  </r>
</pivotCacheRecords>
</file>

<file path=xl/pivotCache/pivotCacheRecords15.xml><?xml version="1.0" encoding="utf-8"?>
<pivotCacheRecords xmlns="http://schemas.openxmlformats.org/spreadsheetml/2006/main" xmlns:r="http://schemas.openxmlformats.org/officeDocument/2006/relationships" count="8">
  <r>
    <x v="0"/>
    <x v="0"/>
    <x v="0"/>
    <s v="S92000003"/>
    <n v="0"/>
    <n v="52"/>
    <n v="103"/>
    <n v="5"/>
    <n v="11"/>
    <n v="52"/>
  </r>
  <r>
    <x v="1"/>
    <x v="0"/>
    <x v="0"/>
    <s v="S92000003"/>
    <n v="0"/>
    <n v="52"/>
    <n v="110"/>
    <n v="5"/>
    <n v="13"/>
    <n v="50"/>
  </r>
  <r>
    <x v="2"/>
    <x v="0"/>
    <x v="0"/>
    <s v="S92000003"/>
    <n v="0"/>
    <n v="44"/>
    <n v="95"/>
    <n v="6"/>
    <n v="7"/>
    <n v="51"/>
  </r>
  <r>
    <x v="3"/>
    <x v="0"/>
    <x v="0"/>
    <s v="S92000003"/>
    <n v="0"/>
    <n v="31"/>
    <n v="80"/>
    <n v="5"/>
    <n v="8"/>
    <n v="41"/>
  </r>
  <r>
    <x v="4"/>
    <x v="0"/>
    <x v="0"/>
    <s v="S92000003"/>
    <n v="0"/>
    <n v="27"/>
    <n v="106"/>
    <n v="5"/>
    <n v="8"/>
    <n v="43"/>
  </r>
  <r>
    <x v="5"/>
    <x v="0"/>
    <x v="0"/>
    <s v="S92000003"/>
    <n v="1"/>
    <n v="4"/>
    <n v="9"/>
    <n v="42"/>
    <n v="27"/>
    <n v="124"/>
  </r>
  <r>
    <x v="6"/>
    <x v="0"/>
    <x v="0"/>
    <s v="S92000003"/>
    <n v="1"/>
    <n v="4"/>
    <n v="8"/>
    <n v="45"/>
    <n v="26"/>
    <n v="104"/>
  </r>
  <r>
    <x v="7"/>
    <x v="0"/>
    <x v="0"/>
    <s v="S92000003"/>
    <n v="1"/>
    <n v="4"/>
    <n v="10"/>
    <n v="41"/>
    <n v="31"/>
    <n v="95"/>
  </r>
</pivotCacheRecords>
</file>

<file path=xl/pivotCache/pivotCacheRecords16.xml><?xml version="1.0" encoding="utf-8"?>
<pivotCacheRecords xmlns="http://schemas.openxmlformats.org/spreadsheetml/2006/main" xmlns:r="http://schemas.openxmlformats.org/officeDocument/2006/relationships" count="257">
  <r>
    <x v="0"/>
    <x v="0"/>
    <s v="S12000033"/>
    <x v="0"/>
    <n v="0"/>
    <n v="0"/>
    <n v="0"/>
    <n v="0"/>
  </r>
  <r>
    <x v="0"/>
    <x v="0"/>
    <s v="S12000034"/>
    <x v="1"/>
    <n v="0"/>
    <n v="0"/>
    <n v="0"/>
    <n v="0"/>
  </r>
  <r>
    <x v="0"/>
    <x v="0"/>
    <s v="S12000041"/>
    <x v="2"/>
    <n v="0"/>
    <n v="0"/>
    <n v="0"/>
    <n v="0"/>
  </r>
  <r>
    <x v="0"/>
    <x v="0"/>
    <s v="S12000035"/>
    <x v="3"/>
    <n v="203"/>
    <n v="0"/>
    <n v="47"/>
    <n v="156"/>
  </r>
  <r>
    <x v="0"/>
    <x v="0"/>
    <s v="S12000036"/>
    <x v="4"/>
    <n v="0"/>
    <n v="0"/>
    <n v="0"/>
    <n v="0"/>
  </r>
  <r>
    <x v="0"/>
    <x v="0"/>
    <s v="S12000005"/>
    <x v="5"/>
    <n v="0"/>
    <n v="0"/>
    <n v="0"/>
    <n v="0"/>
  </r>
  <r>
    <x v="0"/>
    <x v="0"/>
    <s v="S12000006"/>
    <x v="6"/>
    <n v="4"/>
    <n v="0"/>
    <n v="1"/>
    <n v="3"/>
  </r>
  <r>
    <x v="0"/>
    <x v="0"/>
    <s v="S12000042"/>
    <x v="7"/>
    <n v="0"/>
    <n v="0"/>
    <n v="0"/>
    <n v="0"/>
  </r>
  <r>
    <x v="0"/>
    <x v="0"/>
    <s v="S12000008"/>
    <x v="8"/>
    <n v="0"/>
    <n v="0"/>
    <n v="0"/>
    <n v="0"/>
  </r>
  <r>
    <x v="0"/>
    <x v="0"/>
    <s v="S12000045"/>
    <x v="9"/>
    <n v="0"/>
    <n v="0"/>
    <n v="0"/>
    <n v="0"/>
  </r>
  <r>
    <x v="0"/>
    <x v="0"/>
    <s v="S12000010"/>
    <x v="10"/>
    <n v="0"/>
    <n v="0"/>
    <n v="0"/>
    <n v="0"/>
  </r>
  <r>
    <x v="0"/>
    <x v="0"/>
    <s v="S12000011"/>
    <x v="11"/>
    <n v="0"/>
    <n v="0"/>
    <n v="0"/>
    <n v="0"/>
  </r>
  <r>
    <x v="0"/>
    <x v="0"/>
    <s v="S12000014"/>
    <x v="12"/>
    <n v="0"/>
    <n v="0"/>
    <n v="0"/>
    <n v="0"/>
  </r>
  <r>
    <x v="0"/>
    <x v="0"/>
    <s v="S12000047"/>
    <x v="13"/>
    <n v="0"/>
    <n v="0"/>
    <n v="0"/>
    <n v="0"/>
  </r>
  <r>
    <x v="0"/>
    <x v="0"/>
    <s v="S12000046"/>
    <x v="14"/>
    <n v="0"/>
    <n v="0"/>
    <n v="0"/>
    <n v="0"/>
  </r>
  <r>
    <x v="0"/>
    <x v="0"/>
    <s v="S12000017"/>
    <x v="15"/>
    <n v="72"/>
    <n v="8"/>
    <n v="13"/>
    <n v="51"/>
  </r>
  <r>
    <x v="0"/>
    <x v="0"/>
    <s v="S12000018"/>
    <x v="16"/>
    <n v="0"/>
    <n v="0"/>
    <n v="0"/>
    <n v="0"/>
  </r>
  <r>
    <x v="0"/>
    <x v="0"/>
    <s v="S12000019"/>
    <x v="17"/>
    <n v="0"/>
    <n v="0"/>
    <n v="0"/>
    <n v="0"/>
  </r>
  <r>
    <x v="0"/>
    <x v="0"/>
    <s v="S12000020"/>
    <x v="18"/>
    <n v="32"/>
    <n v="1"/>
    <n v="2"/>
    <n v="29"/>
  </r>
  <r>
    <x v="0"/>
    <x v="0"/>
    <s v="S12000013"/>
    <x v="19"/>
    <n v="0"/>
    <n v="0"/>
    <n v="0"/>
    <n v="0"/>
  </r>
  <r>
    <x v="0"/>
    <x v="0"/>
    <s v="S12000021"/>
    <x v="20"/>
    <n v="21"/>
    <n v="0"/>
    <n v="6"/>
    <n v="15"/>
  </r>
  <r>
    <x v="0"/>
    <x v="0"/>
    <s v="S12000044"/>
    <x v="21"/>
    <n v="0"/>
    <n v="0"/>
    <n v="0"/>
    <n v="0"/>
  </r>
  <r>
    <x v="0"/>
    <x v="0"/>
    <s v="S12000023"/>
    <x v="22"/>
    <n v="0"/>
    <n v="0"/>
    <n v="0"/>
    <n v="0"/>
  </r>
  <r>
    <x v="0"/>
    <x v="0"/>
    <s v="S12000024"/>
    <x v="23"/>
    <n v="25"/>
    <n v="0"/>
    <n v="3"/>
    <n v="22"/>
  </r>
  <r>
    <x v="0"/>
    <x v="0"/>
    <s v="S12000038"/>
    <x v="24"/>
    <n v="0"/>
    <n v="0"/>
    <n v="0"/>
    <n v="0"/>
  </r>
  <r>
    <x v="0"/>
    <x v="0"/>
    <s v="S12000026"/>
    <x v="25"/>
    <n v="0"/>
    <n v="0"/>
    <n v="0"/>
    <n v="0"/>
  </r>
  <r>
    <x v="0"/>
    <x v="0"/>
    <s v="S12000027"/>
    <x v="26"/>
    <n v="0"/>
    <n v="0"/>
    <n v="0"/>
    <n v="0"/>
  </r>
  <r>
    <x v="0"/>
    <x v="0"/>
    <s v="S12000028"/>
    <x v="27"/>
    <n v="0"/>
    <n v="0"/>
    <n v="0"/>
    <n v="0"/>
  </r>
  <r>
    <x v="0"/>
    <x v="0"/>
    <s v="S12000029"/>
    <x v="28"/>
    <n v="2"/>
    <n v="0"/>
    <n v="1"/>
    <n v="1"/>
  </r>
  <r>
    <x v="0"/>
    <x v="0"/>
    <s v="S12000030"/>
    <x v="29"/>
    <n v="0"/>
    <n v="0"/>
    <n v="0"/>
    <n v="0"/>
  </r>
  <r>
    <x v="0"/>
    <x v="0"/>
    <s v="S12000039"/>
    <x v="30"/>
    <n v="0"/>
    <n v="0"/>
    <n v="0"/>
    <n v="0"/>
  </r>
  <r>
    <x v="0"/>
    <x v="0"/>
    <s v="S12000040"/>
    <x v="31"/>
    <n v="0"/>
    <n v="0"/>
    <n v="0"/>
    <n v="0"/>
  </r>
  <r>
    <x v="1"/>
    <x v="0"/>
    <s v="S12000033"/>
    <x v="0"/>
    <n v="0"/>
    <n v="0"/>
    <n v="0"/>
    <n v="0"/>
  </r>
  <r>
    <x v="1"/>
    <x v="0"/>
    <s v="S12000034"/>
    <x v="1"/>
    <n v="0"/>
    <n v="0"/>
    <n v="0"/>
    <n v="0"/>
  </r>
  <r>
    <x v="1"/>
    <x v="0"/>
    <s v="S12000041"/>
    <x v="2"/>
    <n v="0"/>
    <n v="0"/>
    <n v="0"/>
    <n v="0"/>
  </r>
  <r>
    <x v="1"/>
    <x v="0"/>
    <s v="S12000035"/>
    <x v="3"/>
    <n v="225"/>
    <n v="25"/>
    <n v="20"/>
    <n v="180"/>
  </r>
  <r>
    <x v="1"/>
    <x v="0"/>
    <s v="S12000036"/>
    <x v="4"/>
    <n v="0"/>
    <n v="0"/>
    <n v="0"/>
    <n v="0"/>
  </r>
  <r>
    <x v="1"/>
    <x v="0"/>
    <s v="S12000005"/>
    <x v="5"/>
    <n v="0"/>
    <n v="0"/>
    <n v="0"/>
    <n v="0"/>
  </r>
  <r>
    <x v="1"/>
    <x v="0"/>
    <s v="S12000006"/>
    <x v="6"/>
    <n v="3"/>
    <n v="0"/>
    <n v="1"/>
    <n v="2"/>
  </r>
  <r>
    <x v="1"/>
    <x v="0"/>
    <s v="S12000042"/>
    <x v="7"/>
    <n v="0"/>
    <n v="0"/>
    <n v="0"/>
    <n v="0"/>
  </r>
  <r>
    <x v="1"/>
    <x v="0"/>
    <s v="S12000008"/>
    <x v="8"/>
    <n v="0"/>
    <n v="0"/>
    <n v="0"/>
    <n v="0"/>
  </r>
  <r>
    <x v="1"/>
    <x v="0"/>
    <s v="S12000045"/>
    <x v="9"/>
    <n v="0"/>
    <n v="0"/>
    <n v="0"/>
    <n v="0"/>
  </r>
  <r>
    <x v="1"/>
    <x v="0"/>
    <s v="S12000010"/>
    <x v="10"/>
    <n v="0"/>
    <n v="0"/>
    <n v="0"/>
    <n v="0"/>
  </r>
  <r>
    <x v="1"/>
    <x v="0"/>
    <s v="S12000011"/>
    <x v="11"/>
    <n v="0"/>
    <n v="0"/>
    <n v="0"/>
    <n v="0"/>
  </r>
  <r>
    <x v="1"/>
    <x v="0"/>
    <s v="S12000014"/>
    <x v="12"/>
    <n v="0"/>
    <n v="0"/>
    <n v="0"/>
    <n v="0"/>
  </r>
  <r>
    <x v="1"/>
    <x v="0"/>
    <s v="S12000047"/>
    <x v="13"/>
    <n v="0"/>
    <n v="0"/>
    <n v="0"/>
    <n v="0"/>
  </r>
  <r>
    <x v="1"/>
    <x v="0"/>
    <s v="S12000046"/>
    <x v="14"/>
    <n v="0"/>
    <n v="0"/>
    <n v="0"/>
    <n v="0"/>
  </r>
  <r>
    <x v="1"/>
    <x v="0"/>
    <s v="S12000017"/>
    <x v="15"/>
    <n v="69"/>
    <n v="8"/>
    <n v="12"/>
    <n v="49"/>
  </r>
  <r>
    <x v="1"/>
    <x v="0"/>
    <s v="S12000018"/>
    <x v="16"/>
    <n v="0"/>
    <n v="0"/>
    <n v="0"/>
    <n v="0"/>
  </r>
  <r>
    <x v="1"/>
    <x v="0"/>
    <s v="S12000019"/>
    <x v="17"/>
    <n v="0"/>
    <n v="0"/>
    <n v="0"/>
    <n v="0"/>
  </r>
  <r>
    <x v="1"/>
    <x v="0"/>
    <s v="S12000020"/>
    <x v="18"/>
    <n v="25"/>
    <n v="1"/>
    <n v="2"/>
    <n v="22"/>
  </r>
  <r>
    <x v="1"/>
    <x v="0"/>
    <s v="S12000013"/>
    <x v="19"/>
    <n v="0"/>
    <n v="0"/>
    <n v="0"/>
    <n v="0"/>
  </r>
  <r>
    <x v="1"/>
    <x v="0"/>
    <s v="S12000021"/>
    <x v="20"/>
    <n v="26"/>
    <n v="3"/>
    <n v="3"/>
    <n v="20"/>
  </r>
  <r>
    <x v="1"/>
    <x v="0"/>
    <s v="S12000044"/>
    <x v="21"/>
    <n v="0"/>
    <n v="0"/>
    <n v="0"/>
    <n v="0"/>
  </r>
  <r>
    <x v="1"/>
    <x v="0"/>
    <s v="S12000023"/>
    <x v="22"/>
    <n v="1"/>
    <n v="0"/>
    <n v="1"/>
    <n v="0"/>
  </r>
  <r>
    <x v="1"/>
    <x v="0"/>
    <s v="S12000024"/>
    <x v="23"/>
    <n v="24"/>
    <n v="0"/>
    <n v="5"/>
    <n v="19"/>
  </r>
  <r>
    <x v="1"/>
    <x v="0"/>
    <s v="S12000038"/>
    <x v="24"/>
    <n v="0"/>
    <n v="0"/>
    <n v="0"/>
    <n v="0"/>
  </r>
  <r>
    <x v="1"/>
    <x v="0"/>
    <s v="S12000026"/>
    <x v="25"/>
    <n v="0"/>
    <n v="0"/>
    <n v="0"/>
    <n v="0"/>
  </r>
  <r>
    <x v="1"/>
    <x v="0"/>
    <s v="S12000027"/>
    <x v="26"/>
    <n v="1"/>
    <n v="0"/>
    <n v="0"/>
    <n v="1"/>
  </r>
  <r>
    <x v="1"/>
    <x v="0"/>
    <s v="S12000028"/>
    <x v="27"/>
    <n v="0"/>
    <n v="0"/>
    <n v="0"/>
    <n v="0"/>
  </r>
  <r>
    <x v="1"/>
    <x v="0"/>
    <s v="S12000029"/>
    <x v="28"/>
    <n v="4"/>
    <n v="1"/>
    <m/>
    <n v="3"/>
  </r>
  <r>
    <x v="1"/>
    <x v="0"/>
    <s v="S12000030"/>
    <x v="29"/>
    <n v="0"/>
    <n v="0"/>
    <n v="0"/>
    <n v="0"/>
  </r>
  <r>
    <x v="1"/>
    <x v="0"/>
    <s v="S12000039"/>
    <x v="30"/>
    <n v="0"/>
    <n v="0"/>
    <n v="0"/>
    <n v="0"/>
  </r>
  <r>
    <x v="1"/>
    <x v="0"/>
    <s v="S12000040"/>
    <x v="31"/>
    <n v="0"/>
    <n v="0"/>
    <n v="0"/>
    <n v="0"/>
  </r>
  <r>
    <x v="2"/>
    <x v="0"/>
    <s v="S12000033"/>
    <x v="0"/>
    <n v="0"/>
    <n v="0"/>
    <n v="0"/>
    <n v="0"/>
  </r>
  <r>
    <x v="2"/>
    <x v="0"/>
    <s v="S12000034"/>
    <x v="1"/>
    <n v="0"/>
    <n v="0"/>
    <n v="0"/>
    <n v="0"/>
  </r>
  <r>
    <x v="2"/>
    <x v="0"/>
    <s v="S12000041"/>
    <x v="2"/>
    <n v="0"/>
    <n v="0"/>
    <n v="0"/>
    <n v="0"/>
  </r>
  <r>
    <x v="2"/>
    <x v="0"/>
    <s v="S12000035"/>
    <x v="3"/>
    <n v="201"/>
    <n v="22"/>
    <n v="23"/>
    <n v="156"/>
  </r>
  <r>
    <x v="2"/>
    <x v="0"/>
    <s v="S12000036"/>
    <x v="4"/>
    <n v="0"/>
    <n v="0"/>
    <n v="0"/>
    <n v="0"/>
  </r>
  <r>
    <x v="2"/>
    <x v="0"/>
    <s v="S12000005"/>
    <x v="5"/>
    <n v="0"/>
    <n v="0"/>
    <n v="0"/>
    <n v="0"/>
  </r>
  <r>
    <x v="2"/>
    <x v="0"/>
    <s v="S12000006"/>
    <x v="6"/>
    <n v="5"/>
    <n v="1"/>
    <n v="1"/>
    <n v="3"/>
  </r>
  <r>
    <x v="2"/>
    <x v="0"/>
    <s v="S12000042"/>
    <x v="7"/>
    <n v="0"/>
    <n v="0"/>
    <n v="0"/>
    <n v="0"/>
  </r>
  <r>
    <x v="2"/>
    <x v="0"/>
    <s v="S12000008"/>
    <x v="8"/>
    <n v="0"/>
    <n v="0"/>
    <n v="0"/>
    <n v="0"/>
  </r>
  <r>
    <x v="2"/>
    <x v="0"/>
    <s v="S12000045"/>
    <x v="9"/>
    <n v="0"/>
    <n v="0"/>
    <n v="0"/>
    <n v="0"/>
  </r>
  <r>
    <x v="2"/>
    <x v="0"/>
    <s v="S12000010"/>
    <x v="10"/>
    <n v="0"/>
    <n v="0"/>
    <n v="0"/>
    <n v="0"/>
  </r>
  <r>
    <x v="2"/>
    <x v="0"/>
    <s v="S12000011"/>
    <x v="11"/>
    <n v="0"/>
    <n v="0"/>
    <n v="0"/>
    <n v="0"/>
  </r>
  <r>
    <x v="2"/>
    <x v="0"/>
    <s v="S12000014"/>
    <x v="12"/>
    <n v="0"/>
    <n v="0"/>
    <n v="0"/>
    <n v="0"/>
  </r>
  <r>
    <x v="2"/>
    <x v="0"/>
    <s v="S12000047"/>
    <x v="13"/>
    <n v="0"/>
    <n v="0"/>
    <n v="0"/>
    <n v="0"/>
  </r>
  <r>
    <x v="2"/>
    <x v="0"/>
    <s v="S12000046"/>
    <x v="14"/>
    <n v="0"/>
    <n v="0"/>
    <n v="0"/>
    <n v="0"/>
  </r>
  <r>
    <x v="2"/>
    <x v="0"/>
    <s v="S12000017"/>
    <x v="15"/>
    <n v="68"/>
    <n v="8"/>
    <n v="14"/>
    <n v="46"/>
  </r>
  <r>
    <x v="2"/>
    <x v="0"/>
    <s v="S12000018"/>
    <x v="16"/>
    <n v="0"/>
    <n v="0"/>
    <n v="0"/>
    <n v="0"/>
  </r>
  <r>
    <x v="2"/>
    <x v="0"/>
    <s v="S12000019"/>
    <x v="17"/>
    <n v="0"/>
    <n v="0"/>
    <n v="0"/>
    <n v="0"/>
  </r>
  <r>
    <x v="2"/>
    <x v="0"/>
    <s v="S12000020"/>
    <x v="18"/>
    <n v="20"/>
    <n v="2"/>
    <n v="1"/>
    <n v="17"/>
  </r>
  <r>
    <x v="2"/>
    <x v="0"/>
    <s v="S12000013"/>
    <x v="19"/>
    <n v="0"/>
    <n v="0"/>
    <n v="0"/>
    <n v="0"/>
  </r>
  <r>
    <x v="2"/>
    <x v="0"/>
    <s v="S12000021"/>
    <x v="20"/>
    <n v="22"/>
    <n v="3"/>
    <n v="4"/>
    <n v="15"/>
  </r>
  <r>
    <x v="2"/>
    <x v="0"/>
    <s v="S12000044"/>
    <x v="21"/>
    <n v="0"/>
    <n v="0"/>
    <n v="0"/>
    <n v="0"/>
  </r>
  <r>
    <x v="2"/>
    <x v="0"/>
    <s v="S12000023"/>
    <x v="22"/>
    <n v="0"/>
    <n v="0"/>
    <n v="0"/>
    <n v="0"/>
  </r>
  <r>
    <x v="2"/>
    <x v="0"/>
    <s v="S12000024"/>
    <x v="23"/>
    <n v="23"/>
    <n v="0"/>
    <n v="2"/>
    <n v="21"/>
  </r>
  <r>
    <x v="2"/>
    <x v="0"/>
    <s v="S12000038"/>
    <x v="24"/>
    <n v="0"/>
    <n v="0"/>
    <n v="0"/>
    <n v="0"/>
  </r>
  <r>
    <x v="2"/>
    <x v="0"/>
    <s v="S12000026"/>
    <x v="25"/>
    <n v="0"/>
    <n v="0"/>
    <n v="0"/>
    <n v="0"/>
  </r>
  <r>
    <x v="2"/>
    <x v="0"/>
    <s v="S12000027"/>
    <x v="26"/>
    <n v="0"/>
    <n v="0"/>
    <n v="0"/>
    <n v="0"/>
  </r>
  <r>
    <x v="2"/>
    <x v="0"/>
    <s v="S12000028"/>
    <x v="27"/>
    <n v="0"/>
    <n v="0"/>
    <n v="0"/>
    <n v="0"/>
  </r>
  <r>
    <x v="2"/>
    <x v="0"/>
    <s v="S12000029"/>
    <x v="28"/>
    <n v="3"/>
    <n v="0"/>
    <n v="1"/>
    <n v="2"/>
  </r>
  <r>
    <x v="2"/>
    <x v="0"/>
    <s v="S12000030"/>
    <x v="29"/>
    <n v="0"/>
    <n v="0"/>
    <n v="0"/>
    <n v="0"/>
  </r>
  <r>
    <x v="2"/>
    <x v="0"/>
    <s v="S12000039"/>
    <x v="30"/>
    <n v="0"/>
    <n v="0"/>
    <n v="0"/>
    <n v="0"/>
  </r>
  <r>
    <x v="2"/>
    <x v="0"/>
    <s v="S12000040"/>
    <x v="31"/>
    <n v="0"/>
    <n v="0"/>
    <n v="0"/>
    <n v="0"/>
  </r>
  <r>
    <x v="3"/>
    <x v="0"/>
    <s v="S12000033"/>
    <x v="0"/>
    <n v="0"/>
    <n v="0"/>
    <n v="0"/>
    <n v="0"/>
  </r>
  <r>
    <x v="3"/>
    <x v="0"/>
    <s v="S12000034"/>
    <x v="1"/>
    <n v="0"/>
    <n v="0"/>
    <n v="0"/>
    <n v="0"/>
  </r>
  <r>
    <x v="3"/>
    <x v="0"/>
    <s v="S12000041"/>
    <x v="2"/>
    <n v="0"/>
    <n v="0"/>
    <n v="0"/>
    <n v="0"/>
  </r>
  <r>
    <x v="3"/>
    <x v="0"/>
    <s v="S12000035"/>
    <x v="3"/>
    <n v="200"/>
    <n v="24"/>
    <n v="21"/>
    <n v="155"/>
  </r>
  <r>
    <x v="3"/>
    <x v="0"/>
    <s v="S12000036"/>
    <x v="4"/>
    <n v="0"/>
    <n v="0"/>
    <n v="0"/>
    <n v="0"/>
  </r>
  <r>
    <x v="3"/>
    <x v="0"/>
    <s v="S12000005"/>
    <x v="5"/>
    <n v="0"/>
    <n v="0"/>
    <n v="0"/>
    <n v="0"/>
  </r>
  <r>
    <x v="3"/>
    <x v="0"/>
    <s v="S12000006"/>
    <x v="6"/>
    <n v="5"/>
    <n v="1"/>
    <n v="1"/>
    <n v="3"/>
  </r>
  <r>
    <x v="3"/>
    <x v="0"/>
    <s v="S12000042"/>
    <x v="7"/>
    <n v="0"/>
    <n v="0"/>
    <n v="0"/>
    <n v="0"/>
  </r>
  <r>
    <x v="3"/>
    <x v="0"/>
    <s v="S12000008"/>
    <x v="8"/>
    <n v="0"/>
    <n v="0"/>
    <n v="0"/>
    <n v="0"/>
  </r>
  <r>
    <x v="3"/>
    <x v="0"/>
    <s v="S12000045"/>
    <x v="9"/>
    <n v="0"/>
    <n v="0"/>
    <n v="0"/>
    <n v="0"/>
  </r>
  <r>
    <x v="3"/>
    <x v="0"/>
    <s v="S12000010"/>
    <x v="10"/>
    <n v="0"/>
    <n v="0"/>
    <n v="0"/>
    <n v="0"/>
  </r>
  <r>
    <x v="3"/>
    <x v="0"/>
    <s v="S12000011"/>
    <x v="11"/>
    <n v="0"/>
    <n v="0"/>
    <n v="0"/>
    <n v="0"/>
  </r>
  <r>
    <x v="3"/>
    <x v="0"/>
    <s v="S12000014"/>
    <x v="12"/>
    <n v="0"/>
    <n v="0"/>
    <n v="0"/>
    <n v="0"/>
  </r>
  <r>
    <x v="3"/>
    <x v="0"/>
    <s v="S12000047"/>
    <x v="13"/>
    <n v="0"/>
    <n v="0"/>
    <n v="0"/>
    <n v="0"/>
  </r>
  <r>
    <x v="3"/>
    <x v="0"/>
    <s v="S12000046"/>
    <x v="14"/>
    <n v="0"/>
    <n v="0"/>
    <n v="0"/>
    <n v="0"/>
  </r>
  <r>
    <x v="3"/>
    <x v="0"/>
    <s v="S12000017"/>
    <x v="15"/>
    <n v="67"/>
    <n v="7"/>
    <n v="13"/>
    <n v="47"/>
  </r>
  <r>
    <x v="3"/>
    <x v="0"/>
    <s v="S12000018"/>
    <x v="16"/>
    <n v="0"/>
    <n v="0"/>
    <n v="0"/>
    <n v="0"/>
  </r>
  <r>
    <x v="3"/>
    <x v="0"/>
    <s v="S12000019"/>
    <x v="17"/>
    <n v="0"/>
    <n v="0"/>
    <n v="0"/>
    <n v="0"/>
  </r>
  <r>
    <x v="3"/>
    <x v="0"/>
    <s v="S12000020"/>
    <x v="18"/>
    <n v="4"/>
    <n v="1"/>
    <n v="2"/>
    <n v="1"/>
  </r>
  <r>
    <x v="3"/>
    <x v="0"/>
    <s v="S12000013"/>
    <x v="19"/>
    <n v="0"/>
    <n v="0"/>
    <n v="0"/>
    <n v="0"/>
  </r>
  <r>
    <x v="3"/>
    <x v="0"/>
    <s v="S12000021"/>
    <x v="20"/>
    <n v="18"/>
    <n v="3"/>
    <n v="4"/>
    <n v="11"/>
  </r>
  <r>
    <x v="3"/>
    <x v="0"/>
    <s v="S12000044"/>
    <x v="21"/>
    <n v="0"/>
    <n v="0"/>
    <n v="0"/>
    <n v="0"/>
  </r>
  <r>
    <x v="3"/>
    <x v="0"/>
    <s v="S12000023"/>
    <x v="22"/>
    <n v="0"/>
    <n v="0"/>
    <n v="0"/>
    <n v="0"/>
  </r>
  <r>
    <x v="3"/>
    <x v="0"/>
    <s v="S12000024"/>
    <x v="23"/>
    <n v="23"/>
    <n v="0"/>
    <n v="3"/>
    <n v="20"/>
  </r>
  <r>
    <x v="3"/>
    <x v="0"/>
    <s v="S12000038"/>
    <x v="24"/>
    <n v="0"/>
    <n v="0"/>
    <n v="0"/>
    <n v="0"/>
  </r>
  <r>
    <x v="3"/>
    <x v="0"/>
    <s v="S12000026"/>
    <x v="25"/>
    <n v="0"/>
    <n v="0"/>
    <n v="0"/>
    <n v="0"/>
  </r>
  <r>
    <x v="3"/>
    <x v="0"/>
    <s v="S12000027"/>
    <x v="26"/>
    <n v="0"/>
    <n v="0"/>
    <n v="0"/>
    <n v="0"/>
  </r>
  <r>
    <x v="3"/>
    <x v="0"/>
    <s v="S12000028"/>
    <x v="27"/>
    <n v="0"/>
    <n v="0"/>
    <n v="0"/>
    <n v="0"/>
  </r>
  <r>
    <x v="3"/>
    <x v="0"/>
    <s v="S12000029"/>
    <x v="28"/>
    <n v="3"/>
    <n v="1"/>
    <n v="0"/>
    <n v="2"/>
  </r>
  <r>
    <x v="3"/>
    <x v="0"/>
    <s v="S12000030"/>
    <x v="29"/>
    <n v="0"/>
    <n v="0"/>
    <n v="0"/>
    <n v="0"/>
  </r>
  <r>
    <x v="3"/>
    <x v="0"/>
    <s v="S12000039"/>
    <x v="30"/>
    <n v="0"/>
    <n v="0"/>
    <n v="0"/>
    <n v="0"/>
  </r>
  <r>
    <x v="3"/>
    <x v="0"/>
    <s v="S12000040"/>
    <x v="31"/>
    <n v="0"/>
    <n v="0"/>
    <n v="0"/>
    <n v="0"/>
  </r>
  <r>
    <x v="4"/>
    <x v="0"/>
    <m/>
    <x v="0"/>
    <m/>
    <m/>
    <m/>
    <m/>
  </r>
  <r>
    <x v="4"/>
    <x v="0"/>
    <m/>
    <x v="1"/>
    <m/>
    <m/>
    <m/>
    <m/>
  </r>
  <r>
    <x v="4"/>
    <x v="0"/>
    <m/>
    <x v="2"/>
    <m/>
    <m/>
    <m/>
    <m/>
  </r>
  <r>
    <x v="4"/>
    <x v="0"/>
    <s v="S12000035"/>
    <x v="3"/>
    <n v="211"/>
    <n v="25"/>
    <n v="22"/>
    <n v="164"/>
  </r>
  <r>
    <x v="4"/>
    <x v="0"/>
    <m/>
    <x v="4"/>
    <m/>
    <m/>
    <m/>
    <m/>
  </r>
  <r>
    <x v="4"/>
    <x v="0"/>
    <m/>
    <x v="5"/>
    <m/>
    <m/>
    <m/>
    <m/>
  </r>
  <r>
    <x v="4"/>
    <x v="0"/>
    <s v="S12000006"/>
    <x v="6"/>
    <n v="4"/>
    <n v="1"/>
    <n v="0"/>
    <n v="3"/>
  </r>
  <r>
    <x v="4"/>
    <x v="0"/>
    <m/>
    <x v="7"/>
    <m/>
    <m/>
    <m/>
    <m/>
  </r>
  <r>
    <x v="4"/>
    <x v="0"/>
    <m/>
    <x v="8"/>
    <m/>
    <m/>
    <m/>
    <m/>
  </r>
  <r>
    <x v="4"/>
    <x v="0"/>
    <m/>
    <x v="9"/>
    <m/>
    <m/>
    <m/>
    <m/>
  </r>
  <r>
    <x v="4"/>
    <x v="0"/>
    <m/>
    <x v="10"/>
    <m/>
    <m/>
    <m/>
    <m/>
  </r>
  <r>
    <x v="4"/>
    <x v="0"/>
    <m/>
    <x v="11"/>
    <m/>
    <m/>
    <m/>
    <m/>
  </r>
  <r>
    <x v="4"/>
    <x v="0"/>
    <m/>
    <x v="12"/>
    <m/>
    <m/>
    <m/>
    <m/>
  </r>
  <r>
    <x v="4"/>
    <x v="0"/>
    <m/>
    <x v="13"/>
    <m/>
    <m/>
    <m/>
    <m/>
  </r>
  <r>
    <x v="4"/>
    <x v="0"/>
    <m/>
    <x v="14"/>
    <m/>
    <m/>
    <m/>
    <m/>
  </r>
  <r>
    <x v="4"/>
    <x v="0"/>
    <s v="S12000017"/>
    <x v="15"/>
    <n v="64"/>
    <n v="7"/>
    <n v="11"/>
    <n v="46"/>
  </r>
  <r>
    <x v="4"/>
    <x v="0"/>
    <m/>
    <x v="16"/>
    <m/>
    <m/>
    <m/>
    <m/>
  </r>
  <r>
    <x v="4"/>
    <x v="0"/>
    <m/>
    <x v="17"/>
    <m/>
    <m/>
    <m/>
    <m/>
  </r>
  <r>
    <x v="4"/>
    <x v="0"/>
    <s v="S12000020"/>
    <x v="18"/>
    <n v="4"/>
    <n v="1"/>
    <n v="2"/>
    <n v="1"/>
  </r>
  <r>
    <x v="4"/>
    <x v="0"/>
    <m/>
    <x v="19"/>
    <m/>
    <m/>
    <m/>
    <m/>
  </r>
  <r>
    <x v="4"/>
    <x v="0"/>
    <s v="S12000021"/>
    <x v="20"/>
    <n v="23"/>
    <n v="3"/>
    <n v="3"/>
    <n v="17"/>
  </r>
  <r>
    <x v="4"/>
    <x v="0"/>
    <m/>
    <x v="21"/>
    <m/>
    <m/>
    <m/>
    <m/>
  </r>
  <r>
    <x v="4"/>
    <x v="0"/>
    <m/>
    <x v="22"/>
    <m/>
    <m/>
    <m/>
    <m/>
  </r>
  <r>
    <x v="4"/>
    <x v="0"/>
    <s v="S12000024"/>
    <x v="23"/>
    <n v="28"/>
    <n v="0"/>
    <n v="3"/>
    <n v="25"/>
  </r>
  <r>
    <x v="4"/>
    <x v="0"/>
    <m/>
    <x v="24"/>
    <m/>
    <m/>
    <m/>
    <m/>
  </r>
  <r>
    <x v="4"/>
    <x v="0"/>
    <m/>
    <x v="25"/>
    <m/>
    <m/>
    <m/>
    <m/>
  </r>
  <r>
    <x v="4"/>
    <x v="0"/>
    <m/>
    <x v="26"/>
    <m/>
    <m/>
    <m/>
    <m/>
  </r>
  <r>
    <x v="4"/>
    <x v="0"/>
    <m/>
    <x v="27"/>
    <m/>
    <m/>
    <m/>
    <m/>
  </r>
  <r>
    <x v="4"/>
    <x v="0"/>
    <s v="S12000029"/>
    <x v="28"/>
    <n v="2"/>
    <n v="1"/>
    <n v="0"/>
    <n v="1"/>
  </r>
  <r>
    <x v="4"/>
    <x v="0"/>
    <m/>
    <x v="29"/>
    <m/>
    <m/>
    <m/>
    <m/>
  </r>
  <r>
    <x v="4"/>
    <x v="0"/>
    <m/>
    <x v="30"/>
    <m/>
    <m/>
    <m/>
    <m/>
  </r>
  <r>
    <x v="4"/>
    <x v="0"/>
    <m/>
    <x v="31"/>
    <m/>
    <m/>
    <m/>
    <m/>
  </r>
  <r>
    <x v="4"/>
    <x v="0"/>
    <m/>
    <x v="31"/>
    <m/>
    <m/>
    <m/>
    <m/>
  </r>
  <r>
    <x v="5"/>
    <x v="0"/>
    <m/>
    <x v="0"/>
    <m/>
    <m/>
    <m/>
    <m/>
  </r>
  <r>
    <x v="5"/>
    <x v="0"/>
    <m/>
    <x v="1"/>
    <m/>
    <m/>
    <m/>
    <m/>
  </r>
  <r>
    <x v="5"/>
    <x v="0"/>
    <m/>
    <x v="2"/>
    <m/>
    <m/>
    <m/>
    <m/>
  </r>
  <r>
    <x v="5"/>
    <x v="0"/>
    <s v="S12000035"/>
    <x v="3"/>
    <n v="203"/>
    <n v="25"/>
    <n v="22"/>
    <n v="156"/>
  </r>
  <r>
    <x v="5"/>
    <x v="0"/>
    <m/>
    <x v="4"/>
    <m/>
    <m/>
    <m/>
    <m/>
  </r>
  <r>
    <x v="5"/>
    <x v="0"/>
    <m/>
    <x v="5"/>
    <m/>
    <m/>
    <m/>
    <m/>
  </r>
  <r>
    <x v="5"/>
    <x v="0"/>
    <s v="S12000006"/>
    <x v="6"/>
    <n v="6"/>
    <n v="1"/>
    <n v="0"/>
    <n v="5"/>
  </r>
  <r>
    <x v="5"/>
    <x v="0"/>
    <m/>
    <x v="7"/>
    <m/>
    <m/>
    <m/>
    <m/>
  </r>
  <r>
    <x v="5"/>
    <x v="0"/>
    <m/>
    <x v="8"/>
    <m/>
    <m/>
    <m/>
    <m/>
  </r>
  <r>
    <x v="5"/>
    <x v="0"/>
    <m/>
    <x v="9"/>
    <m/>
    <m/>
    <m/>
    <m/>
  </r>
  <r>
    <x v="5"/>
    <x v="0"/>
    <m/>
    <x v="10"/>
    <m/>
    <m/>
    <m/>
    <m/>
  </r>
  <r>
    <x v="5"/>
    <x v="0"/>
    <m/>
    <x v="11"/>
    <m/>
    <m/>
    <m/>
    <m/>
  </r>
  <r>
    <x v="5"/>
    <x v="0"/>
    <m/>
    <x v="12"/>
    <m/>
    <m/>
    <m/>
    <m/>
  </r>
  <r>
    <x v="5"/>
    <x v="0"/>
    <m/>
    <x v="13"/>
    <m/>
    <m/>
    <m/>
    <m/>
  </r>
  <r>
    <x v="5"/>
    <x v="0"/>
    <m/>
    <x v="14"/>
    <m/>
    <m/>
    <m/>
    <m/>
  </r>
  <r>
    <x v="5"/>
    <x v="0"/>
    <s v="S12000017"/>
    <x v="15"/>
    <n v="62"/>
    <n v="7"/>
    <n v="12"/>
    <n v="43"/>
  </r>
  <r>
    <x v="5"/>
    <x v="0"/>
    <m/>
    <x v="16"/>
    <m/>
    <m/>
    <m/>
    <m/>
  </r>
  <r>
    <x v="5"/>
    <x v="0"/>
    <m/>
    <x v="17"/>
    <m/>
    <m/>
    <m/>
    <m/>
  </r>
  <r>
    <x v="5"/>
    <x v="0"/>
    <s v="S12000020"/>
    <x v="18"/>
    <n v="4"/>
    <n v="1"/>
    <n v="2"/>
    <n v="1"/>
  </r>
  <r>
    <x v="5"/>
    <x v="0"/>
    <m/>
    <x v="19"/>
    <m/>
    <m/>
    <m/>
    <m/>
  </r>
  <r>
    <x v="5"/>
    <x v="0"/>
    <s v="S12000021"/>
    <x v="20"/>
    <n v="22"/>
    <n v="3"/>
    <n v="3"/>
    <n v="16"/>
  </r>
  <r>
    <x v="5"/>
    <x v="0"/>
    <m/>
    <x v="21"/>
    <m/>
    <m/>
    <m/>
    <m/>
  </r>
  <r>
    <x v="5"/>
    <x v="0"/>
    <m/>
    <x v="22"/>
    <m/>
    <m/>
    <m/>
    <m/>
  </r>
  <r>
    <x v="5"/>
    <x v="0"/>
    <s v="S12000024"/>
    <x v="23"/>
    <n v="22"/>
    <n v="0"/>
    <n v="3"/>
    <n v="19"/>
  </r>
  <r>
    <x v="5"/>
    <x v="0"/>
    <m/>
    <x v="24"/>
    <m/>
    <m/>
    <m/>
    <m/>
  </r>
  <r>
    <x v="5"/>
    <x v="0"/>
    <m/>
    <x v="25"/>
    <m/>
    <m/>
    <m/>
    <m/>
  </r>
  <r>
    <x v="5"/>
    <x v="0"/>
    <m/>
    <x v="26"/>
    <m/>
    <m/>
    <m/>
    <m/>
  </r>
  <r>
    <x v="5"/>
    <x v="0"/>
    <m/>
    <x v="27"/>
    <m/>
    <m/>
    <m/>
    <m/>
  </r>
  <r>
    <x v="5"/>
    <x v="0"/>
    <s v="S12000029"/>
    <x v="28"/>
    <n v="2"/>
    <n v="1"/>
    <n v="0"/>
    <n v="1"/>
  </r>
  <r>
    <x v="5"/>
    <x v="0"/>
    <m/>
    <x v="29"/>
    <m/>
    <m/>
    <m/>
    <m/>
  </r>
  <r>
    <x v="5"/>
    <x v="0"/>
    <m/>
    <x v="30"/>
    <m/>
    <m/>
    <m/>
    <m/>
  </r>
  <r>
    <x v="5"/>
    <x v="0"/>
    <m/>
    <x v="31"/>
    <m/>
    <m/>
    <m/>
    <m/>
  </r>
  <r>
    <x v="6"/>
    <x v="0"/>
    <m/>
    <x v="0"/>
    <m/>
    <m/>
    <m/>
    <m/>
  </r>
  <r>
    <x v="6"/>
    <x v="0"/>
    <m/>
    <x v="1"/>
    <m/>
    <m/>
    <m/>
    <m/>
  </r>
  <r>
    <x v="6"/>
    <x v="0"/>
    <m/>
    <x v="2"/>
    <m/>
    <m/>
    <m/>
    <m/>
  </r>
  <r>
    <x v="6"/>
    <x v="0"/>
    <s v="S40000003"/>
    <x v="3"/>
    <n v="212"/>
    <n v="25"/>
    <n v="22"/>
    <n v="165"/>
  </r>
  <r>
    <x v="6"/>
    <x v="0"/>
    <m/>
    <x v="4"/>
    <m/>
    <m/>
    <m/>
    <m/>
  </r>
  <r>
    <x v="6"/>
    <x v="0"/>
    <m/>
    <x v="5"/>
    <m/>
    <m/>
    <m/>
    <m/>
  </r>
  <r>
    <x v="6"/>
    <x v="0"/>
    <s v="S40000003"/>
    <x v="6"/>
    <n v="5"/>
    <n v="1"/>
    <n v="1"/>
    <n v="3"/>
  </r>
  <r>
    <x v="6"/>
    <x v="0"/>
    <m/>
    <x v="7"/>
    <m/>
    <m/>
    <m/>
    <m/>
  </r>
  <r>
    <x v="6"/>
    <x v="0"/>
    <m/>
    <x v="8"/>
    <m/>
    <m/>
    <m/>
    <m/>
  </r>
  <r>
    <x v="6"/>
    <x v="0"/>
    <m/>
    <x v="9"/>
    <m/>
    <m/>
    <m/>
    <m/>
  </r>
  <r>
    <x v="6"/>
    <x v="0"/>
    <m/>
    <x v="10"/>
    <m/>
    <m/>
    <m/>
    <m/>
  </r>
  <r>
    <x v="6"/>
    <x v="0"/>
    <m/>
    <x v="11"/>
    <m/>
    <m/>
    <m/>
    <m/>
  </r>
  <r>
    <x v="6"/>
    <x v="0"/>
    <m/>
    <x v="12"/>
    <m/>
    <m/>
    <m/>
    <m/>
  </r>
  <r>
    <x v="6"/>
    <x v="0"/>
    <m/>
    <x v="13"/>
    <m/>
    <m/>
    <m/>
    <m/>
  </r>
  <r>
    <x v="6"/>
    <x v="0"/>
    <m/>
    <x v="14"/>
    <m/>
    <m/>
    <m/>
    <m/>
  </r>
  <r>
    <x v="6"/>
    <x v="0"/>
    <s v="S40000005"/>
    <x v="15"/>
    <n v="49"/>
    <n v="6"/>
    <n v="10"/>
    <n v="33"/>
  </r>
  <r>
    <x v="6"/>
    <x v="0"/>
    <m/>
    <x v="16"/>
    <m/>
    <m/>
    <m/>
    <m/>
  </r>
  <r>
    <x v="6"/>
    <x v="0"/>
    <m/>
    <x v="17"/>
    <m/>
    <m/>
    <m/>
    <m/>
  </r>
  <r>
    <x v="6"/>
    <x v="0"/>
    <s v="S40000005"/>
    <x v="18"/>
    <n v="4"/>
    <n v="1"/>
    <n v="2"/>
    <n v="1"/>
  </r>
  <r>
    <x v="6"/>
    <x v="0"/>
    <m/>
    <x v="19"/>
    <m/>
    <m/>
    <m/>
    <m/>
  </r>
  <r>
    <x v="6"/>
    <x v="0"/>
    <s v="S40000003"/>
    <x v="20"/>
    <n v="22"/>
    <n v="3"/>
    <n v="3"/>
    <n v="16"/>
  </r>
  <r>
    <x v="6"/>
    <x v="0"/>
    <m/>
    <x v="21"/>
    <m/>
    <m/>
    <m/>
    <m/>
  </r>
  <r>
    <x v="6"/>
    <x v="0"/>
    <m/>
    <x v="22"/>
    <m/>
    <m/>
    <m/>
    <m/>
  </r>
  <r>
    <x v="6"/>
    <x v="0"/>
    <s v="S40000005"/>
    <x v="23"/>
    <n v="21"/>
    <n v="0"/>
    <n v="3"/>
    <n v="18"/>
  </r>
  <r>
    <x v="6"/>
    <x v="0"/>
    <m/>
    <x v="24"/>
    <m/>
    <m/>
    <m/>
    <m/>
  </r>
  <r>
    <x v="6"/>
    <x v="0"/>
    <m/>
    <x v="25"/>
    <m/>
    <m/>
    <m/>
    <m/>
  </r>
  <r>
    <x v="6"/>
    <x v="0"/>
    <m/>
    <x v="26"/>
    <m/>
    <m/>
    <m/>
    <m/>
  </r>
  <r>
    <x v="6"/>
    <x v="0"/>
    <m/>
    <x v="27"/>
    <m/>
    <m/>
    <m/>
    <m/>
  </r>
  <r>
    <x v="6"/>
    <x v="0"/>
    <s v="S40000003"/>
    <x v="28"/>
    <n v="2"/>
    <n v="1"/>
    <n v="0"/>
    <n v="1"/>
  </r>
  <r>
    <x v="6"/>
    <x v="0"/>
    <m/>
    <x v="29"/>
    <m/>
    <m/>
    <m/>
    <m/>
  </r>
  <r>
    <x v="6"/>
    <x v="0"/>
    <m/>
    <x v="30"/>
    <m/>
    <m/>
    <m/>
    <m/>
  </r>
  <r>
    <x v="6"/>
    <x v="0"/>
    <m/>
    <x v="31"/>
    <m/>
    <m/>
    <m/>
    <m/>
  </r>
  <r>
    <x v="7"/>
    <x v="0"/>
    <m/>
    <x v="0"/>
    <m/>
    <m/>
    <m/>
    <m/>
  </r>
  <r>
    <x v="7"/>
    <x v="0"/>
    <m/>
    <x v="1"/>
    <m/>
    <m/>
    <m/>
    <m/>
  </r>
  <r>
    <x v="7"/>
    <x v="0"/>
    <m/>
    <x v="2"/>
    <m/>
    <m/>
    <m/>
    <m/>
  </r>
  <r>
    <x v="7"/>
    <x v="0"/>
    <s v="S40000003"/>
    <x v="3"/>
    <n v="201"/>
    <n v="25"/>
    <n v="22"/>
    <n v="154"/>
  </r>
  <r>
    <x v="7"/>
    <x v="0"/>
    <m/>
    <x v="4"/>
    <m/>
    <m/>
    <m/>
    <m/>
  </r>
  <r>
    <x v="7"/>
    <x v="0"/>
    <m/>
    <x v="5"/>
    <m/>
    <m/>
    <m/>
    <m/>
  </r>
  <r>
    <x v="7"/>
    <x v="0"/>
    <s v="S40000003"/>
    <x v="6"/>
    <n v="6"/>
    <n v="1"/>
    <n v="1"/>
    <n v="4"/>
  </r>
  <r>
    <x v="7"/>
    <x v="0"/>
    <m/>
    <x v="7"/>
    <m/>
    <m/>
    <m/>
    <m/>
  </r>
  <r>
    <x v="7"/>
    <x v="0"/>
    <m/>
    <x v="8"/>
    <m/>
    <m/>
    <m/>
    <m/>
  </r>
  <r>
    <x v="7"/>
    <x v="0"/>
    <m/>
    <x v="9"/>
    <m/>
    <m/>
    <m/>
    <m/>
  </r>
  <r>
    <x v="7"/>
    <x v="0"/>
    <m/>
    <x v="10"/>
    <m/>
    <m/>
    <m/>
    <m/>
  </r>
  <r>
    <x v="7"/>
    <x v="0"/>
    <m/>
    <x v="11"/>
    <m/>
    <m/>
    <m/>
    <m/>
  </r>
  <r>
    <x v="7"/>
    <x v="0"/>
    <m/>
    <x v="12"/>
    <m/>
    <m/>
    <m/>
    <m/>
  </r>
  <r>
    <x v="7"/>
    <x v="0"/>
    <m/>
    <x v="13"/>
    <m/>
    <m/>
    <m/>
    <m/>
  </r>
  <r>
    <x v="7"/>
    <x v="0"/>
    <m/>
    <x v="14"/>
    <m/>
    <m/>
    <m/>
    <m/>
  </r>
  <r>
    <x v="7"/>
    <x v="0"/>
    <s v="S40000005"/>
    <x v="15"/>
    <n v="48"/>
    <n v="6"/>
    <n v="12"/>
    <n v="30"/>
  </r>
  <r>
    <x v="7"/>
    <x v="0"/>
    <m/>
    <x v="16"/>
    <m/>
    <m/>
    <m/>
    <m/>
  </r>
  <r>
    <x v="7"/>
    <x v="0"/>
    <m/>
    <x v="17"/>
    <m/>
    <m/>
    <m/>
    <m/>
  </r>
  <r>
    <x v="7"/>
    <x v="0"/>
    <s v="S40000005"/>
    <x v="18"/>
    <n v="3"/>
    <n v="1"/>
    <n v="2"/>
    <n v="0"/>
  </r>
  <r>
    <x v="7"/>
    <x v="0"/>
    <m/>
    <x v="19"/>
    <m/>
    <m/>
    <m/>
    <m/>
  </r>
  <r>
    <x v="7"/>
    <x v="0"/>
    <s v="S40000003"/>
    <x v="20"/>
    <n v="22"/>
    <n v="3"/>
    <n v="3"/>
    <n v="16"/>
  </r>
  <r>
    <x v="7"/>
    <x v="0"/>
    <m/>
    <x v="21"/>
    <m/>
    <m/>
    <m/>
    <m/>
  </r>
  <r>
    <x v="7"/>
    <x v="0"/>
    <m/>
    <x v="22"/>
    <m/>
    <m/>
    <m/>
    <m/>
  </r>
  <r>
    <x v="7"/>
    <x v="0"/>
    <s v="S40000005"/>
    <x v="23"/>
    <n v="21"/>
    <n v="0"/>
    <n v="3"/>
    <n v="18"/>
  </r>
  <r>
    <x v="7"/>
    <x v="0"/>
    <m/>
    <x v="24"/>
    <m/>
    <m/>
    <m/>
    <m/>
  </r>
  <r>
    <x v="7"/>
    <x v="0"/>
    <m/>
    <x v="25"/>
    <m/>
    <m/>
    <m/>
    <m/>
  </r>
  <r>
    <x v="7"/>
    <x v="0"/>
    <m/>
    <x v="26"/>
    <m/>
    <m/>
    <m/>
    <m/>
  </r>
  <r>
    <x v="7"/>
    <x v="0"/>
    <m/>
    <x v="27"/>
    <m/>
    <m/>
    <m/>
    <m/>
  </r>
  <r>
    <x v="7"/>
    <x v="0"/>
    <s v="S40000003"/>
    <x v="28"/>
    <n v="2"/>
    <n v="1"/>
    <n v="0"/>
    <n v="1"/>
  </r>
  <r>
    <x v="7"/>
    <x v="0"/>
    <m/>
    <x v="29"/>
    <m/>
    <m/>
    <m/>
    <m/>
  </r>
  <r>
    <x v="7"/>
    <x v="0"/>
    <m/>
    <x v="30"/>
    <m/>
    <m/>
    <m/>
    <m/>
  </r>
  <r>
    <x v="7"/>
    <x v="0"/>
    <m/>
    <x v="31"/>
    <m/>
    <m/>
    <m/>
    <m/>
  </r>
</pivotCacheRecords>
</file>

<file path=xl/pivotCache/pivotCacheRecords17.xml><?xml version="1.0" encoding="utf-8"?>
<pivotCacheRecords xmlns="http://schemas.openxmlformats.org/spreadsheetml/2006/main" xmlns:r="http://schemas.openxmlformats.org/officeDocument/2006/relationships" count="79">
  <r>
    <x v="0"/>
    <x v="0"/>
    <x v="0"/>
    <x v="0"/>
    <x v="0"/>
  </r>
  <r>
    <x v="0"/>
    <x v="1"/>
    <x v="1"/>
    <x v="1"/>
    <x v="1"/>
  </r>
  <r>
    <x v="0"/>
    <x v="2"/>
    <x v="2"/>
    <x v="2"/>
    <x v="2"/>
  </r>
  <r>
    <x v="0"/>
    <x v="3"/>
    <x v="3"/>
    <x v="3"/>
    <x v="3"/>
  </r>
  <r>
    <x v="0"/>
    <x v="4"/>
    <x v="4"/>
    <x v="3"/>
    <x v="4"/>
  </r>
  <r>
    <x v="0"/>
    <x v="5"/>
    <x v="5"/>
    <x v="1"/>
    <x v="5"/>
  </r>
  <r>
    <x v="0"/>
    <x v="6"/>
    <x v="6"/>
    <x v="4"/>
    <x v="6"/>
  </r>
  <r>
    <x v="1"/>
    <x v="0"/>
    <x v="7"/>
    <x v="0"/>
    <x v="7"/>
  </r>
  <r>
    <x v="1"/>
    <x v="1"/>
    <x v="8"/>
    <x v="1"/>
    <x v="8"/>
  </r>
  <r>
    <x v="1"/>
    <x v="2"/>
    <x v="9"/>
    <x v="2"/>
    <x v="9"/>
  </r>
  <r>
    <x v="1"/>
    <x v="3"/>
    <x v="10"/>
    <x v="3"/>
    <x v="10"/>
  </r>
  <r>
    <x v="1"/>
    <x v="4"/>
    <x v="11"/>
    <x v="3"/>
    <x v="11"/>
  </r>
  <r>
    <x v="1"/>
    <x v="5"/>
    <x v="12"/>
    <x v="5"/>
    <x v="12"/>
  </r>
  <r>
    <x v="1"/>
    <x v="6"/>
    <x v="13"/>
    <x v="6"/>
    <x v="1"/>
  </r>
  <r>
    <x v="2"/>
    <x v="0"/>
    <x v="14"/>
    <x v="7"/>
    <x v="13"/>
  </r>
  <r>
    <x v="2"/>
    <x v="1"/>
    <x v="15"/>
    <x v="8"/>
    <x v="14"/>
  </r>
  <r>
    <x v="2"/>
    <x v="2"/>
    <x v="16"/>
    <x v="2"/>
    <x v="15"/>
  </r>
  <r>
    <x v="2"/>
    <x v="3"/>
    <x v="17"/>
    <x v="4"/>
    <x v="12"/>
  </r>
  <r>
    <x v="2"/>
    <x v="4"/>
    <x v="18"/>
    <x v="4"/>
    <x v="16"/>
  </r>
  <r>
    <x v="2"/>
    <x v="5"/>
    <x v="19"/>
    <x v="3"/>
    <x v="17"/>
  </r>
  <r>
    <x v="2"/>
    <x v="6"/>
    <x v="20"/>
    <x v="3"/>
    <x v="18"/>
  </r>
  <r>
    <x v="3"/>
    <x v="0"/>
    <x v="21"/>
    <x v="0"/>
    <x v="19"/>
  </r>
  <r>
    <x v="3"/>
    <x v="1"/>
    <x v="22"/>
    <x v="9"/>
    <x v="20"/>
  </r>
  <r>
    <x v="3"/>
    <x v="2"/>
    <x v="23"/>
    <x v="10"/>
    <x v="21"/>
  </r>
  <r>
    <x v="3"/>
    <x v="3"/>
    <x v="24"/>
    <x v="5"/>
    <x v="22"/>
  </r>
  <r>
    <x v="3"/>
    <x v="4"/>
    <x v="25"/>
    <x v="5"/>
    <x v="23"/>
  </r>
  <r>
    <x v="3"/>
    <x v="5"/>
    <x v="26"/>
    <x v="5"/>
    <x v="24"/>
  </r>
  <r>
    <x v="3"/>
    <x v="6"/>
    <x v="27"/>
    <x v="3"/>
    <x v="25"/>
  </r>
  <r>
    <x v="4"/>
    <x v="0"/>
    <x v="28"/>
    <x v="5"/>
    <x v="26"/>
  </r>
  <r>
    <x v="4"/>
    <x v="1"/>
    <x v="29"/>
    <x v="3"/>
    <x v="27"/>
  </r>
  <r>
    <x v="4"/>
    <x v="2"/>
    <x v="30"/>
    <x v="4"/>
    <x v="28"/>
  </r>
  <r>
    <x v="4"/>
    <x v="3"/>
    <x v="31"/>
    <x v="3"/>
    <x v="29"/>
  </r>
  <r>
    <x v="4"/>
    <x v="4"/>
    <x v="32"/>
    <x v="3"/>
    <x v="30"/>
  </r>
  <r>
    <x v="4"/>
    <x v="5"/>
    <x v="33"/>
    <x v="11"/>
    <x v="31"/>
  </r>
  <r>
    <x v="4"/>
    <x v="6"/>
    <x v="23"/>
    <x v="5"/>
    <x v="32"/>
  </r>
  <r>
    <x v="5"/>
    <x v="0"/>
    <x v="34"/>
    <x v="3"/>
    <x v="33"/>
  </r>
  <r>
    <x v="5"/>
    <x v="1"/>
    <x v="35"/>
    <x v="3"/>
    <x v="34"/>
  </r>
  <r>
    <x v="5"/>
    <x v="2"/>
    <x v="36"/>
    <x v="3"/>
    <x v="35"/>
  </r>
  <r>
    <x v="5"/>
    <x v="3"/>
    <x v="23"/>
    <x v="3"/>
    <x v="32"/>
  </r>
  <r>
    <x v="5"/>
    <x v="4"/>
    <x v="37"/>
    <x v="3"/>
    <x v="36"/>
  </r>
  <r>
    <x v="5"/>
    <x v="5"/>
    <x v="38"/>
    <x v="12"/>
    <x v="37"/>
  </r>
  <r>
    <x v="5"/>
    <x v="6"/>
    <x v="39"/>
    <x v="5"/>
    <x v="38"/>
  </r>
  <r>
    <x v="6"/>
    <x v="0"/>
    <x v="40"/>
    <x v="13"/>
    <x v="39"/>
  </r>
  <r>
    <x v="6"/>
    <x v="1"/>
    <x v="41"/>
    <x v="14"/>
    <x v="40"/>
  </r>
  <r>
    <x v="6"/>
    <x v="2"/>
    <x v="42"/>
    <x v="15"/>
    <x v="41"/>
  </r>
  <r>
    <x v="6"/>
    <x v="3"/>
    <x v="43"/>
    <x v="16"/>
    <x v="42"/>
  </r>
  <r>
    <x v="6"/>
    <x v="4"/>
    <x v="44"/>
    <x v="17"/>
    <x v="43"/>
  </r>
  <r>
    <x v="6"/>
    <x v="5"/>
    <x v="45"/>
    <x v="18"/>
    <x v="44"/>
  </r>
  <r>
    <x v="6"/>
    <x v="6"/>
    <x v="46"/>
    <x v="19"/>
    <x v="45"/>
  </r>
  <r>
    <x v="7"/>
    <x v="0"/>
    <x v="47"/>
    <x v="20"/>
    <x v="46"/>
  </r>
  <r>
    <x v="7"/>
    <x v="1"/>
    <x v="48"/>
    <x v="21"/>
    <x v="47"/>
  </r>
  <r>
    <x v="7"/>
    <x v="2"/>
    <x v="49"/>
    <x v="22"/>
    <x v="48"/>
  </r>
  <r>
    <x v="7"/>
    <x v="3"/>
    <x v="50"/>
    <x v="23"/>
    <x v="49"/>
  </r>
  <r>
    <x v="7"/>
    <x v="4"/>
    <x v="51"/>
    <x v="24"/>
    <x v="50"/>
  </r>
  <r>
    <x v="7"/>
    <x v="5"/>
    <x v="52"/>
    <x v="25"/>
    <x v="51"/>
  </r>
  <r>
    <x v="7"/>
    <x v="6"/>
    <x v="53"/>
    <x v="26"/>
    <x v="52"/>
  </r>
  <r>
    <x v="8"/>
    <x v="0"/>
    <x v="54"/>
    <x v="27"/>
    <x v="53"/>
  </r>
  <r>
    <x v="8"/>
    <x v="1"/>
    <x v="55"/>
    <x v="28"/>
    <x v="54"/>
  </r>
  <r>
    <x v="8"/>
    <x v="7"/>
    <x v="56"/>
    <x v="7"/>
    <x v="55"/>
  </r>
  <r>
    <x v="8"/>
    <x v="2"/>
    <x v="57"/>
    <x v="29"/>
    <x v="56"/>
  </r>
  <r>
    <x v="8"/>
    <x v="3"/>
    <x v="58"/>
    <x v="30"/>
    <x v="57"/>
  </r>
  <r>
    <x v="8"/>
    <x v="4"/>
    <x v="59"/>
    <x v="31"/>
    <x v="58"/>
  </r>
  <r>
    <x v="8"/>
    <x v="5"/>
    <x v="60"/>
    <x v="32"/>
    <x v="59"/>
  </r>
  <r>
    <x v="8"/>
    <x v="6"/>
    <x v="61"/>
    <x v="33"/>
    <x v="60"/>
  </r>
  <r>
    <x v="9"/>
    <x v="0"/>
    <x v="62"/>
    <x v="34"/>
    <x v="61"/>
  </r>
  <r>
    <x v="9"/>
    <x v="1"/>
    <x v="63"/>
    <x v="35"/>
    <x v="62"/>
  </r>
  <r>
    <x v="9"/>
    <x v="7"/>
    <x v="64"/>
    <x v="36"/>
    <x v="63"/>
  </r>
  <r>
    <x v="9"/>
    <x v="2"/>
    <x v="65"/>
    <x v="37"/>
    <x v="64"/>
  </r>
  <r>
    <x v="9"/>
    <x v="3"/>
    <x v="66"/>
    <x v="38"/>
    <x v="65"/>
  </r>
  <r>
    <x v="9"/>
    <x v="4"/>
    <x v="67"/>
    <x v="39"/>
    <x v="66"/>
  </r>
  <r>
    <x v="9"/>
    <x v="5"/>
    <x v="68"/>
    <x v="40"/>
    <x v="67"/>
  </r>
  <r>
    <x v="9"/>
    <x v="6"/>
    <x v="69"/>
    <x v="41"/>
    <x v="68"/>
  </r>
  <r>
    <x v="10"/>
    <x v="8"/>
    <x v="70"/>
    <x v="7"/>
    <x v="69"/>
  </r>
  <r>
    <x v="10"/>
    <x v="8"/>
    <x v="70"/>
    <x v="7"/>
    <x v="69"/>
  </r>
  <r>
    <x v="10"/>
    <x v="8"/>
    <x v="70"/>
    <x v="7"/>
    <x v="69"/>
  </r>
  <r>
    <x v="10"/>
    <x v="8"/>
    <x v="70"/>
    <x v="7"/>
    <x v="69"/>
  </r>
  <r>
    <x v="10"/>
    <x v="8"/>
    <x v="70"/>
    <x v="7"/>
    <x v="69"/>
  </r>
  <r>
    <x v="10"/>
    <x v="8"/>
    <x v="70"/>
    <x v="7"/>
    <x v="69"/>
  </r>
  <r>
    <x v="10"/>
    <x v="8"/>
    <x v="70"/>
    <x v="7"/>
    <x v="69"/>
  </r>
</pivotCacheRecords>
</file>

<file path=xl/pivotCache/pivotCacheRecords18.xml><?xml version="1.0" encoding="utf-8"?>
<pivotCacheRecords xmlns="http://schemas.openxmlformats.org/spreadsheetml/2006/main" xmlns:r="http://schemas.openxmlformats.org/officeDocument/2006/relationships" count="96">
  <r>
    <x v="0"/>
    <s v="S12000033"/>
    <x v="0"/>
    <n v="8"/>
    <n v="2"/>
    <n v="6"/>
    <n v="1"/>
    <n v="0"/>
    <n v="2"/>
    <n v="19"/>
  </r>
  <r>
    <x v="0"/>
    <s v="S12000034"/>
    <x v="1"/>
    <n v="31"/>
    <n v="0"/>
    <n v="1"/>
    <n v="0"/>
    <n v="0"/>
    <n v="5"/>
    <n v="37"/>
  </r>
  <r>
    <x v="0"/>
    <s v="S12000041"/>
    <x v="2"/>
    <n v="11"/>
    <n v="0"/>
    <n v="1"/>
    <n v="0"/>
    <n v="0"/>
    <n v="1"/>
    <n v="13"/>
  </r>
  <r>
    <x v="0"/>
    <s v="S12000035"/>
    <x v="3"/>
    <n v="25"/>
    <n v="1"/>
    <n v="0"/>
    <n v="1"/>
    <n v="20"/>
    <n v="4"/>
    <n v="51"/>
  </r>
  <r>
    <x v="0"/>
    <s v="S12000036"/>
    <x v="4"/>
    <n v="12"/>
    <n v="4"/>
    <n v="6"/>
    <n v="2"/>
    <n v="0"/>
    <n v="1"/>
    <n v="25"/>
  </r>
  <r>
    <x v="0"/>
    <s v="S12000005"/>
    <x v="5"/>
    <n v="3"/>
    <n v="0"/>
    <n v="0"/>
    <n v="1"/>
    <n v="0"/>
    <n v="1"/>
    <n v="5"/>
  </r>
  <r>
    <x v="0"/>
    <s v="S12000006"/>
    <x v="6"/>
    <n v="22"/>
    <n v="1"/>
    <n v="0"/>
    <n v="3"/>
    <n v="0"/>
    <n v="4"/>
    <n v="30"/>
  </r>
  <r>
    <x v="0"/>
    <s v="S12000042"/>
    <x v="7"/>
    <n v="7"/>
    <n v="2"/>
    <n v="8"/>
    <n v="1"/>
    <n v="0"/>
    <n v="2"/>
    <n v="20"/>
  </r>
  <r>
    <x v="0"/>
    <s v="S12000008"/>
    <x v="8"/>
    <n v="9"/>
    <n v="1"/>
    <n v="1"/>
    <n v="0"/>
    <n v="0"/>
    <n v="0"/>
    <n v="11"/>
  </r>
  <r>
    <x v="0"/>
    <s v="S12000045"/>
    <x v="9"/>
    <n v="3"/>
    <n v="0"/>
    <n v="2"/>
    <n v="0"/>
    <n v="0"/>
    <n v="0"/>
    <n v="5"/>
  </r>
  <r>
    <x v="0"/>
    <s v="S12000010"/>
    <x v="10"/>
    <n v="9"/>
    <n v="0"/>
    <n v="0"/>
    <n v="0"/>
    <n v="0"/>
    <n v="0"/>
    <n v="9"/>
  </r>
  <r>
    <x v="0"/>
    <s v="S12000011"/>
    <x v="11"/>
    <n v="2"/>
    <n v="0"/>
    <n v="0"/>
    <n v="0"/>
    <n v="0"/>
    <n v="0"/>
    <n v="2"/>
  </r>
  <r>
    <x v="0"/>
    <s v="S12000014"/>
    <x v="12"/>
    <n v="10"/>
    <n v="1"/>
    <n v="2"/>
    <n v="0"/>
    <n v="0"/>
    <n v="4"/>
    <n v="17"/>
  </r>
  <r>
    <x v="0"/>
    <s v="S12000047"/>
    <x v="13"/>
    <n v="21"/>
    <n v="2"/>
    <n v="2"/>
    <n v="1"/>
    <n v="0"/>
    <n v="5"/>
    <n v="31"/>
  </r>
  <r>
    <x v="0"/>
    <s v="S12000049"/>
    <x v="14"/>
    <n v="18"/>
    <n v="4"/>
    <n v="0"/>
    <n v="3"/>
    <n v="0"/>
    <n v="3"/>
    <n v="28"/>
  </r>
  <r>
    <x v="0"/>
    <s v="S12000017"/>
    <x v="15"/>
    <n v="68"/>
    <n v="1"/>
    <n v="4"/>
    <n v="2"/>
    <n v="8"/>
    <n v="5"/>
    <n v="88"/>
  </r>
  <r>
    <x v="0"/>
    <s v="S12000018"/>
    <x v="16"/>
    <n v="7"/>
    <n v="1"/>
    <n v="0"/>
    <n v="0"/>
    <n v="0"/>
    <n v="0"/>
    <n v="8"/>
  </r>
  <r>
    <x v="0"/>
    <s v="S12000019"/>
    <x v="17"/>
    <n v="2"/>
    <n v="0"/>
    <n v="0"/>
    <n v="0"/>
    <n v="0"/>
    <n v="1"/>
    <n v="3"/>
  </r>
  <r>
    <x v="0"/>
    <s v="S12000020"/>
    <x v="18"/>
    <n v="13"/>
    <n v="0"/>
    <n v="1"/>
    <n v="0"/>
    <n v="2"/>
    <n v="3"/>
    <n v="19"/>
  </r>
  <r>
    <x v="0"/>
    <s v="S12000013"/>
    <x v="19"/>
    <n v="17"/>
    <n v="0"/>
    <n v="0"/>
    <n v="0"/>
    <n v="1"/>
    <n v="0"/>
    <n v="18"/>
  </r>
  <r>
    <x v="0"/>
    <s v="S12000021"/>
    <x v="20"/>
    <n v="16"/>
    <n v="0"/>
    <n v="1"/>
    <n v="0"/>
    <n v="1"/>
    <n v="2"/>
    <n v="20"/>
  </r>
  <r>
    <x v="0"/>
    <s v="S12000050"/>
    <x v="21"/>
    <n v="8"/>
    <n v="2"/>
    <n v="2"/>
    <n v="1"/>
    <n v="0"/>
    <n v="2"/>
    <n v="15"/>
  </r>
  <r>
    <x v="0"/>
    <s v="S12000023"/>
    <x v="22"/>
    <n v="14"/>
    <n v="0"/>
    <n v="0"/>
    <n v="0"/>
    <n v="1"/>
    <n v="0"/>
    <n v="15"/>
  </r>
  <r>
    <x v="0"/>
    <s v="S12000024"/>
    <x v="23"/>
    <n v="16"/>
    <n v="1"/>
    <n v="2"/>
    <n v="1"/>
    <n v="3"/>
    <n v="0"/>
    <n v="23"/>
  </r>
  <r>
    <x v="0"/>
    <s v="S12000038"/>
    <x v="24"/>
    <n v="4"/>
    <n v="2"/>
    <n v="0"/>
    <n v="0"/>
    <n v="0"/>
    <n v="4"/>
    <n v="10"/>
  </r>
  <r>
    <x v="0"/>
    <s v="S12000026"/>
    <x v="25"/>
    <n v="17"/>
    <n v="0"/>
    <n v="0"/>
    <n v="2"/>
    <n v="0"/>
    <n v="1"/>
    <n v="20"/>
  </r>
  <r>
    <x v="0"/>
    <s v="S12000027"/>
    <x v="26"/>
    <n v="16"/>
    <n v="0"/>
    <n v="0"/>
    <n v="0"/>
    <n v="1"/>
    <n v="1"/>
    <n v="18"/>
  </r>
  <r>
    <x v="0"/>
    <s v="S12000028"/>
    <x v="27"/>
    <n v="7"/>
    <n v="1"/>
    <n v="0"/>
    <n v="1"/>
    <n v="0"/>
    <n v="0"/>
    <n v="9"/>
  </r>
  <r>
    <x v="0"/>
    <s v="S12000029"/>
    <x v="28"/>
    <n v="14"/>
    <n v="1"/>
    <n v="1"/>
    <n v="2"/>
    <n v="0"/>
    <n v="6"/>
    <n v="24"/>
  </r>
  <r>
    <x v="0"/>
    <s v="S12000030"/>
    <x v="29"/>
    <n v="9"/>
    <n v="0"/>
    <n v="0"/>
    <n v="1"/>
    <n v="2"/>
    <n v="3"/>
    <n v="15"/>
  </r>
  <r>
    <x v="0"/>
    <s v="S12000039"/>
    <x v="30"/>
    <n v="4"/>
    <n v="1"/>
    <n v="1"/>
    <n v="0"/>
    <n v="0"/>
    <n v="1"/>
    <n v="7"/>
  </r>
  <r>
    <x v="0"/>
    <s v="S12000040"/>
    <x v="31"/>
    <n v="8"/>
    <n v="0"/>
    <n v="1"/>
    <n v="2"/>
    <n v="0"/>
    <n v="1"/>
    <n v="12"/>
  </r>
  <r>
    <x v="1"/>
    <s v="S12000033"/>
    <x v="0"/>
    <n v="9"/>
    <n v="1"/>
    <n v="6"/>
    <n v="1"/>
    <n v="0"/>
    <n v="4"/>
    <n v="21"/>
  </r>
  <r>
    <x v="1"/>
    <s v="S12000034"/>
    <x v="1"/>
    <n v="31"/>
    <n v="0"/>
    <n v="1"/>
    <n v="1"/>
    <n v="0"/>
    <n v="5"/>
    <n v="38"/>
  </r>
  <r>
    <x v="1"/>
    <s v="S12000041"/>
    <x v="2"/>
    <n v="11"/>
    <n v="0"/>
    <n v="1"/>
    <n v="0"/>
    <n v="0"/>
    <n v="1"/>
    <n v="13"/>
  </r>
  <r>
    <x v="1"/>
    <s v="S12000035"/>
    <x v="3"/>
    <n v="24"/>
    <n v="1"/>
    <n v="0"/>
    <n v="1"/>
    <n v="17"/>
    <n v="4"/>
    <n v="47"/>
  </r>
  <r>
    <x v="1"/>
    <s v="S12000036"/>
    <x v="4"/>
    <n v="12"/>
    <n v="3"/>
    <n v="5"/>
    <n v="2"/>
    <n v="0"/>
    <n v="3"/>
    <n v="25"/>
  </r>
  <r>
    <x v="1"/>
    <s v="S12000005"/>
    <x v="5"/>
    <n v="2"/>
    <n v="0"/>
    <n v="0"/>
    <n v="1"/>
    <n v="0"/>
    <n v="1"/>
    <n v="4"/>
  </r>
  <r>
    <x v="1"/>
    <s v="S12000006"/>
    <x v="6"/>
    <n v="21"/>
    <n v="1"/>
    <n v="0"/>
    <n v="3"/>
    <n v="0"/>
    <n v="3"/>
    <n v="28"/>
  </r>
  <r>
    <x v="1"/>
    <s v="S12000042"/>
    <x v="7"/>
    <n v="7"/>
    <n v="2"/>
    <n v="7"/>
    <n v="1"/>
    <n v="0"/>
    <n v="2"/>
    <n v="19"/>
  </r>
  <r>
    <x v="1"/>
    <s v="S12000008"/>
    <x v="8"/>
    <n v="9"/>
    <n v="1"/>
    <n v="1"/>
    <n v="0"/>
    <n v="0"/>
    <n v="0"/>
    <n v="11"/>
  </r>
  <r>
    <x v="1"/>
    <s v="S12000045"/>
    <x v="9"/>
    <n v="3"/>
    <n v="0"/>
    <n v="2"/>
    <n v="0"/>
    <n v="0"/>
    <n v="0"/>
    <n v="5"/>
  </r>
  <r>
    <x v="1"/>
    <s v="S12000010"/>
    <x v="10"/>
    <n v="9"/>
    <n v="0"/>
    <n v="0"/>
    <n v="0"/>
    <n v="0"/>
    <n v="1"/>
    <n v="10"/>
  </r>
  <r>
    <x v="1"/>
    <s v="S12000011"/>
    <x v="11"/>
    <n v="2"/>
    <n v="0"/>
    <n v="0"/>
    <n v="0"/>
    <n v="0"/>
    <n v="0"/>
    <n v="2"/>
  </r>
  <r>
    <x v="1"/>
    <s v="S12000014"/>
    <x v="12"/>
    <n v="9"/>
    <n v="2"/>
    <n v="2"/>
    <n v="0"/>
    <n v="0"/>
    <n v="5"/>
    <n v="18"/>
  </r>
  <r>
    <x v="1"/>
    <s v="S12000047"/>
    <x v="13"/>
    <n v="19"/>
    <n v="2"/>
    <n v="2"/>
    <n v="2"/>
    <n v="0"/>
    <n v="5"/>
    <n v="30"/>
  </r>
  <r>
    <x v="1"/>
    <s v="S12000049"/>
    <x v="14"/>
    <n v="19"/>
    <n v="3"/>
    <n v="0"/>
    <n v="3"/>
    <n v="0"/>
    <n v="3"/>
    <n v="28"/>
  </r>
  <r>
    <x v="1"/>
    <s v="S12000017"/>
    <x v="15"/>
    <n v="65"/>
    <n v="2"/>
    <n v="3"/>
    <n v="3"/>
    <n v="8"/>
    <n v="2"/>
    <n v="83"/>
  </r>
  <r>
    <x v="1"/>
    <s v="S12000018"/>
    <x v="16"/>
    <n v="6"/>
    <n v="1"/>
    <n v="0"/>
    <n v="0"/>
    <n v="0"/>
    <n v="0"/>
    <n v="7"/>
  </r>
  <r>
    <x v="1"/>
    <s v="S12000019"/>
    <x v="17"/>
    <n v="2"/>
    <n v="0"/>
    <n v="0"/>
    <n v="0"/>
    <n v="0"/>
    <n v="1"/>
    <n v="3"/>
  </r>
  <r>
    <x v="1"/>
    <s v="S12000020"/>
    <x v="18"/>
    <n v="13"/>
    <n v="0"/>
    <n v="1"/>
    <n v="1"/>
    <n v="2"/>
    <n v="3"/>
    <n v="20"/>
  </r>
  <r>
    <x v="1"/>
    <s v="S12000013"/>
    <x v="19"/>
    <n v="16"/>
    <n v="0"/>
    <n v="0"/>
    <n v="0"/>
    <n v="1"/>
    <n v="0"/>
    <n v="17"/>
  </r>
  <r>
    <x v="1"/>
    <s v="S12000021"/>
    <x v="20"/>
    <n v="16"/>
    <n v="0"/>
    <n v="1"/>
    <n v="0"/>
    <n v="1"/>
    <n v="2"/>
    <n v="20"/>
  </r>
  <r>
    <x v="1"/>
    <s v="S12000050"/>
    <x v="21"/>
    <n v="8"/>
    <n v="1"/>
    <n v="2"/>
    <n v="1"/>
    <n v="0"/>
    <n v="3"/>
    <n v="15"/>
  </r>
  <r>
    <x v="1"/>
    <s v="S12000023"/>
    <x v="22"/>
    <n v="16"/>
    <n v="0"/>
    <n v="0"/>
    <n v="0"/>
    <n v="1"/>
    <n v="0"/>
    <n v="17"/>
  </r>
  <r>
    <x v="1"/>
    <s v="S12000024"/>
    <x v="23"/>
    <n v="15"/>
    <n v="1"/>
    <n v="3"/>
    <n v="1"/>
    <n v="3"/>
    <n v="0"/>
    <n v="23"/>
  </r>
  <r>
    <x v="1"/>
    <s v="S12000038"/>
    <x v="24"/>
    <n v="4"/>
    <n v="2"/>
    <n v="0"/>
    <n v="0"/>
    <n v="0"/>
    <n v="3"/>
    <n v="9"/>
  </r>
  <r>
    <x v="1"/>
    <s v="S12000026"/>
    <x v="25"/>
    <n v="17"/>
    <n v="0"/>
    <n v="0"/>
    <n v="2"/>
    <n v="0"/>
    <n v="1"/>
    <n v="20"/>
  </r>
  <r>
    <x v="1"/>
    <s v="S12000027"/>
    <x v="26"/>
    <n v="14"/>
    <n v="0"/>
    <n v="0"/>
    <n v="0"/>
    <n v="1"/>
    <n v="1"/>
    <n v="16"/>
  </r>
  <r>
    <x v="1"/>
    <s v="S12000028"/>
    <x v="27"/>
    <n v="7"/>
    <n v="1"/>
    <n v="0"/>
    <n v="1"/>
    <n v="0"/>
    <n v="0"/>
    <n v="9"/>
  </r>
  <r>
    <x v="1"/>
    <s v="S12000029"/>
    <x v="28"/>
    <n v="14"/>
    <n v="1"/>
    <n v="1"/>
    <n v="2"/>
    <n v="0"/>
    <n v="5"/>
    <n v="23"/>
  </r>
  <r>
    <x v="1"/>
    <s v="S12000030"/>
    <x v="29"/>
    <n v="9"/>
    <n v="0"/>
    <n v="0"/>
    <n v="2"/>
    <n v="2"/>
    <n v="3"/>
    <n v="16"/>
  </r>
  <r>
    <x v="1"/>
    <s v="S12000039"/>
    <x v="30"/>
    <n v="4"/>
    <n v="1"/>
    <n v="1"/>
    <n v="0"/>
    <n v="0"/>
    <n v="1"/>
    <n v="7"/>
  </r>
  <r>
    <x v="1"/>
    <s v="S12000040"/>
    <x v="31"/>
    <n v="8"/>
    <n v="0"/>
    <n v="0"/>
    <n v="1"/>
    <n v="0"/>
    <n v="1"/>
    <n v="10"/>
  </r>
  <r>
    <x v="2"/>
    <s v="S12000033"/>
    <x v="0"/>
    <n v="7"/>
    <n v="1"/>
    <n v="4"/>
    <n v="2"/>
    <n v="0"/>
    <n v="2"/>
    <n v="16"/>
  </r>
  <r>
    <x v="2"/>
    <s v="S12000034"/>
    <x v="1"/>
    <n v="31"/>
    <n v="0"/>
    <n v="1"/>
    <n v="0"/>
    <n v="0"/>
    <n v="4"/>
    <n v="36"/>
  </r>
  <r>
    <x v="2"/>
    <s v="S12000041"/>
    <x v="2"/>
    <n v="11"/>
    <n v="0"/>
    <n v="1"/>
    <n v="0"/>
    <n v="0"/>
    <n v="1"/>
    <n v="13"/>
  </r>
  <r>
    <x v="2"/>
    <s v="S12000035"/>
    <x v="3"/>
    <n v="25"/>
    <n v="1"/>
    <n v="0"/>
    <n v="1"/>
    <n v="17"/>
    <n v="4"/>
    <n v="48"/>
  </r>
  <r>
    <x v="2"/>
    <s v="S12000036"/>
    <x v="4"/>
    <n v="19"/>
    <n v="3"/>
    <n v="4"/>
    <n v="2"/>
    <n v="0"/>
    <n v="3"/>
    <n v="31"/>
  </r>
  <r>
    <x v="2"/>
    <s v="S12000005"/>
    <x v="5"/>
    <n v="3"/>
    <n v="0"/>
    <n v="0"/>
    <n v="1"/>
    <n v="0"/>
    <n v="1"/>
    <n v="5"/>
  </r>
  <r>
    <x v="2"/>
    <s v="S12000006"/>
    <x v="6"/>
    <n v="21"/>
    <n v="1"/>
    <n v="0"/>
    <n v="3"/>
    <n v="0"/>
    <n v="3"/>
    <n v="28"/>
  </r>
  <r>
    <x v="2"/>
    <s v="S12000042"/>
    <x v="7"/>
    <n v="7"/>
    <n v="2"/>
    <n v="2"/>
    <n v="1"/>
    <n v="0"/>
    <n v="2"/>
    <n v="14"/>
  </r>
  <r>
    <x v="2"/>
    <s v="S12000008"/>
    <x v="8"/>
    <n v="10"/>
    <n v="1"/>
    <n v="1"/>
    <n v="0"/>
    <n v="0"/>
    <n v="0"/>
    <n v="12"/>
  </r>
  <r>
    <x v="2"/>
    <s v="S12000045"/>
    <x v="9"/>
    <n v="3"/>
    <n v="0"/>
    <n v="2"/>
    <n v="0"/>
    <n v="0"/>
    <n v="0"/>
    <n v="5"/>
  </r>
  <r>
    <x v="2"/>
    <s v="S12000010"/>
    <x v="10"/>
    <n v="9"/>
    <n v="0"/>
    <n v="0"/>
    <n v="0"/>
    <n v="0"/>
    <n v="1"/>
    <n v="10"/>
  </r>
  <r>
    <x v="2"/>
    <s v="S12000011"/>
    <x v="11"/>
    <n v="2"/>
    <n v="0"/>
    <n v="0"/>
    <n v="0"/>
    <n v="0"/>
    <n v="0"/>
    <n v="2"/>
  </r>
  <r>
    <x v="2"/>
    <s v="S12000014"/>
    <x v="12"/>
    <n v="9"/>
    <n v="1"/>
    <n v="1"/>
    <n v="0"/>
    <n v="0"/>
    <n v="4"/>
    <n v="15"/>
  </r>
  <r>
    <x v="2"/>
    <s v="S12000047"/>
    <x v="13"/>
    <n v="20"/>
    <n v="2"/>
    <n v="0"/>
    <n v="2"/>
    <n v="0"/>
    <n v="4"/>
    <n v="28"/>
  </r>
  <r>
    <x v="2"/>
    <s v="S12000049"/>
    <x v="14"/>
    <n v="29"/>
    <n v="3"/>
    <n v="0"/>
    <n v="3"/>
    <n v="0"/>
    <n v="4"/>
    <n v="39"/>
  </r>
  <r>
    <x v="2"/>
    <s v="S12000017"/>
    <x v="15"/>
    <n v="65"/>
    <n v="1"/>
    <n v="1"/>
    <n v="3"/>
    <n v="3"/>
    <n v="2"/>
    <n v="75"/>
  </r>
  <r>
    <x v="2"/>
    <s v="S12000018"/>
    <x v="16"/>
    <n v="6"/>
    <n v="1"/>
    <n v="0"/>
    <n v="0"/>
    <n v="0"/>
    <n v="0"/>
    <n v="7"/>
  </r>
  <r>
    <x v="2"/>
    <s v="S12000019"/>
    <x v="17"/>
    <n v="3"/>
    <n v="0"/>
    <n v="0"/>
    <n v="0"/>
    <n v="0"/>
    <n v="1"/>
    <n v="4"/>
  </r>
  <r>
    <x v="2"/>
    <s v="S12000020"/>
    <x v="18"/>
    <n v="13"/>
    <n v="0"/>
    <n v="1"/>
    <n v="1"/>
    <n v="2"/>
    <n v="4"/>
    <n v="21"/>
  </r>
  <r>
    <x v="2"/>
    <s v="S12000013"/>
    <x v="19"/>
    <n v="15"/>
    <n v="0"/>
    <n v="0"/>
    <n v="0"/>
    <n v="0"/>
    <n v="0"/>
    <n v="15"/>
  </r>
  <r>
    <x v="2"/>
    <s v="S12000021"/>
    <x v="20"/>
    <n v="17"/>
    <n v="0"/>
    <n v="1"/>
    <n v="0"/>
    <n v="1"/>
    <n v="2"/>
    <n v="21"/>
  </r>
  <r>
    <x v="2"/>
    <s v="S12000050"/>
    <x v="21"/>
    <n v="8"/>
    <n v="2"/>
    <n v="2"/>
    <n v="1"/>
    <n v="0"/>
    <n v="3"/>
    <n v="16"/>
  </r>
  <r>
    <x v="2"/>
    <s v="S12000023"/>
    <x v="22"/>
    <n v="15"/>
    <n v="0"/>
    <n v="0"/>
    <n v="0"/>
    <n v="1"/>
    <n v="0"/>
    <n v="16"/>
  </r>
  <r>
    <x v="2"/>
    <s v="S12000024"/>
    <x v="23"/>
    <n v="15"/>
    <n v="1"/>
    <n v="0"/>
    <n v="1"/>
    <n v="3"/>
    <n v="0"/>
    <n v="20"/>
  </r>
  <r>
    <x v="2"/>
    <s v="S12000038"/>
    <x v="24"/>
    <n v="5"/>
    <n v="2"/>
    <n v="0"/>
    <n v="0"/>
    <n v="0"/>
    <n v="3"/>
    <n v="10"/>
  </r>
  <r>
    <x v="2"/>
    <s v="S12000026"/>
    <x v="25"/>
    <n v="17"/>
    <n v="0"/>
    <n v="0"/>
    <n v="2"/>
    <n v="0"/>
    <n v="1"/>
    <n v="20"/>
  </r>
  <r>
    <x v="2"/>
    <s v="S12000027"/>
    <x v="26"/>
    <n v="16"/>
    <n v="0"/>
    <n v="0"/>
    <n v="0"/>
    <n v="1"/>
    <n v="1"/>
    <n v="18"/>
  </r>
  <r>
    <x v="2"/>
    <s v="S12000028"/>
    <x v="27"/>
    <n v="7"/>
    <n v="1"/>
    <n v="0"/>
    <n v="1"/>
    <n v="0"/>
    <n v="0"/>
    <n v="9"/>
  </r>
  <r>
    <x v="2"/>
    <s v="S12000029"/>
    <x v="28"/>
    <n v="15"/>
    <n v="1"/>
    <n v="1"/>
    <n v="2"/>
    <n v="0"/>
    <n v="5"/>
    <n v="24"/>
  </r>
  <r>
    <x v="2"/>
    <s v="S12000030"/>
    <x v="29"/>
    <n v="9"/>
    <n v="0"/>
    <n v="0"/>
    <n v="1"/>
    <n v="2"/>
    <n v="3"/>
    <n v="15"/>
  </r>
  <r>
    <x v="2"/>
    <s v="S12000039"/>
    <x v="30"/>
    <n v="4"/>
    <n v="1"/>
    <n v="1"/>
    <n v="0"/>
    <n v="0"/>
    <n v="1"/>
    <n v="7"/>
  </r>
  <r>
    <x v="2"/>
    <s v="S12000040"/>
    <x v="31"/>
    <n v="9"/>
    <n v="0"/>
    <n v="0"/>
    <n v="1"/>
    <n v="0"/>
    <n v="1"/>
    <n v="11"/>
  </r>
</pivotCacheRecords>
</file>

<file path=xl/pivotCache/pivotCacheRecords19.xml><?xml version="1.0" encoding="utf-8"?>
<pivotCacheRecords xmlns="http://schemas.openxmlformats.org/spreadsheetml/2006/main" xmlns:r="http://schemas.openxmlformats.org/officeDocument/2006/relationships" count="96">
  <r>
    <x v="0"/>
    <x v="0"/>
    <x v="0"/>
    <x v="0"/>
    <x v="0"/>
    <x v="0"/>
    <x v="0"/>
    <n v="4"/>
  </r>
  <r>
    <x v="0"/>
    <x v="1"/>
    <x v="1"/>
    <x v="1"/>
    <x v="0"/>
    <x v="0"/>
    <x v="1"/>
    <n v="24"/>
  </r>
  <r>
    <x v="0"/>
    <x v="2"/>
    <x v="1"/>
    <x v="1"/>
    <x v="0"/>
    <x v="0"/>
    <x v="2"/>
    <n v="6"/>
  </r>
  <r>
    <x v="0"/>
    <x v="3"/>
    <x v="1"/>
    <x v="2"/>
    <x v="0"/>
    <x v="1"/>
    <x v="3"/>
    <n v="39"/>
  </r>
  <r>
    <x v="0"/>
    <x v="4"/>
    <x v="2"/>
    <x v="0"/>
    <x v="0"/>
    <x v="0"/>
    <x v="0"/>
    <n v="8"/>
  </r>
  <r>
    <x v="0"/>
    <x v="5"/>
    <x v="1"/>
    <x v="1"/>
    <x v="0"/>
    <x v="0"/>
    <x v="0"/>
    <n v="2"/>
  </r>
  <r>
    <x v="0"/>
    <x v="6"/>
    <x v="1"/>
    <x v="1"/>
    <x v="0"/>
    <x v="2"/>
    <x v="4"/>
    <n v="17"/>
  </r>
  <r>
    <x v="0"/>
    <x v="7"/>
    <x v="0"/>
    <x v="1"/>
    <x v="0"/>
    <x v="0"/>
    <x v="5"/>
    <n v="4"/>
  </r>
  <r>
    <x v="0"/>
    <x v="8"/>
    <x v="3"/>
    <x v="0"/>
    <x v="0"/>
    <x v="0"/>
    <x v="6"/>
    <n v="8"/>
  </r>
  <r>
    <x v="0"/>
    <x v="9"/>
    <x v="0"/>
    <x v="0"/>
    <x v="0"/>
    <x v="0"/>
    <x v="5"/>
    <n v="3"/>
  </r>
  <r>
    <x v="0"/>
    <x v="10"/>
    <x v="3"/>
    <x v="0"/>
    <x v="0"/>
    <x v="0"/>
    <x v="2"/>
    <n v="6"/>
  </r>
  <r>
    <x v="0"/>
    <x v="11"/>
    <x v="4"/>
    <x v="0"/>
    <x v="0"/>
    <x v="0"/>
    <x v="5"/>
    <n v="2"/>
  </r>
  <r>
    <x v="0"/>
    <x v="12"/>
    <x v="1"/>
    <x v="3"/>
    <x v="0"/>
    <x v="0"/>
    <x v="7"/>
    <n v="5"/>
  </r>
  <r>
    <x v="0"/>
    <x v="13"/>
    <x v="5"/>
    <x v="0"/>
    <x v="0"/>
    <x v="0"/>
    <x v="8"/>
    <n v="13"/>
  </r>
  <r>
    <x v="0"/>
    <x v="14"/>
    <x v="6"/>
    <x v="0"/>
    <x v="0"/>
    <x v="0"/>
    <x v="5"/>
    <n v="11"/>
  </r>
  <r>
    <x v="0"/>
    <x v="15"/>
    <x v="1"/>
    <x v="1"/>
    <x v="0"/>
    <x v="3"/>
    <x v="9"/>
    <n v="61"/>
  </r>
  <r>
    <x v="0"/>
    <x v="16"/>
    <x v="1"/>
    <x v="2"/>
    <x v="0"/>
    <x v="0"/>
    <x v="0"/>
    <n v="3"/>
  </r>
  <r>
    <x v="0"/>
    <x v="17"/>
    <x v="3"/>
    <x v="0"/>
    <x v="0"/>
    <x v="0"/>
    <x v="0"/>
    <n v="2"/>
  </r>
  <r>
    <x v="0"/>
    <x v="18"/>
    <x v="1"/>
    <x v="1"/>
    <x v="0"/>
    <x v="2"/>
    <x v="10"/>
    <n v="12"/>
  </r>
  <r>
    <x v="0"/>
    <x v="19"/>
    <x v="1"/>
    <x v="0"/>
    <x v="0"/>
    <x v="0"/>
    <x v="11"/>
    <n v="14"/>
  </r>
  <r>
    <x v="0"/>
    <x v="20"/>
    <x v="3"/>
    <x v="2"/>
    <x v="0"/>
    <x v="4"/>
    <x v="8"/>
    <n v="14"/>
  </r>
  <r>
    <x v="0"/>
    <x v="21"/>
    <x v="7"/>
    <x v="0"/>
    <x v="0"/>
    <x v="0"/>
    <x v="12"/>
    <n v="7"/>
  </r>
  <r>
    <x v="0"/>
    <x v="22"/>
    <x v="1"/>
    <x v="0"/>
    <x v="0"/>
    <x v="0"/>
    <x v="3"/>
    <n v="12"/>
  </r>
  <r>
    <x v="0"/>
    <x v="23"/>
    <x v="3"/>
    <x v="0"/>
    <x v="0"/>
    <x v="4"/>
    <x v="10"/>
    <n v="14"/>
  </r>
  <r>
    <x v="0"/>
    <x v="24"/>
    <x v="4"/>
    <x v="1"/>
    <x v="0"/>
    <x v="0"/>
    <x v="5"/>
    <n v="3"/>
  </r>
  <r>
    <x v="0"/>
    <x v="25"/>
    <x v="1"/>
    <x v="2"/>
    <x v="0"/>
    <x v="0"/>
    <x v="13"/>
    <n v="13"/>
  </r>
  <r>
    <x v="0"/>
    <x v="26"/>
    <x v="1"/>
    <x v="0"/>
    <x v="0"/>
    <x v="0"/>
    <x v="11"/>
    <n v="14"/>
  </r>
  <r>
    <x v="0"/>
    <x v="27"/>
    <x v="1"/>
    <x v="1"/>
    <x v="0"/>
    <x v="0"/>
    <x v="14"/>
    <n v="5"/>
  </r>
  <r>
    <x v="0"/>
    <x v="28"/>
    <x v="0"/>
    <x v="1"/>
    <x v="0"/>
    <x v="2"/>
    <x v="6"/>
    <n v="12"/>
  </r>
  <r>
    <x v="0"/>
    <x v="29"/>
    <x v="3"/>
    <x v="0"/>
    <x v="0"/>
    <x v="0"/>
    <x v="15"/>
    <n v="10"/>
  </r>
  <r>
    <x v="0"/>
    <x v="30"/>
    <x v="3"/>
    <x v="1"/>
    <x v="0"/>
    <x v="0"/>
    <x v="0"/>
    <n v="3"/>
  </r>
  <r>
    <x v="0"/>
    <x v="31"/>
    <x v="1"/>
    <x v="1"/>
    <x v="1"/>
    <x v="0"/>
    <x v="14"/>
    <n v="6"/>
  </r>
  <r>
    <x v="1"/>
    <x v="0"/>
    <x v="0"/>
    <x v="0"/>
    <x v="0"/>
    <x v="0"/>
    <x v="0"/>
    <n v="4"/>
  </r>
  <r>
    <x v="1"/>
    <x v="1"/>
    <x v="1"/>
    <x v="1"/>
    <x v="0"/>
    <x v="0"/>
    <x v="1"/>
    <n v="24"/>
  </r>
  <r>
    <x v="1"/>
    <x v="2"/>
    <x v="1"/>
    <x v="1"/>
    <x v="0"/>
    <x v="0"/>
    <x v="2"/>
    <n v="6"/>
  </r>
  <r>
    <x v="1"/>
    <x v="3"/>
    <x v="1"/>
    <x v="2"/>
    <x v="0"/>
    <x v="1"/>
    <x v="3"/>
    <n v="39"/>
  </r>
  <r>
    <x v="1"/>
    <x v="4"/>
    <x v="2"/>
    <x v="0"/>
    <x v="0"/>
    <x v="0"/>
    <x v="0"/>
    <n v="8"/>
  </r>
  <r>
    <x v="1"/>
    <x v="5"/>
    <x v="1"/>
    <x v="1"/>
    <x v="0"/>
    <x v="0"/>
    <x v="0"/>
    <n v="2"/>
  </r>
  <r>
    <x v="1"/>
    <x v="6"/>
    <x v="1"/>
    <x v="1"/>
    <x v="0"/>
    <x v="2"/>
    <x v="4"/>
    <n v="17"/>
  </r>
  <r>
    <x v="1"/>
    <x v="7"/>
    <x v="0"/>
    <x v="1"/>
    <x v="0"/>
    <x v="0"/>
    <x v="5"/>
    <n v="4"/>
  </r>
  <r>
    <x v="1"/>
    <x v="8"/>
    <x v="3"/>
    <x v="0"/>
    <x v="0"/>
    <x v="0"/>
    <x v="6"/>
    <n v="8"/>
  </r>
  <r>
    <x v="1"/>
    <x v="9"/>
    <x v="0"/>
    <x v="0"/>
    <x v="0"/>
    <x v="0"/>
    <x v="5"/>
    <n v="3"/>
  </r>
  <r>
    <x v="1"/>
    <x v="10"/>
    <x v="3"/>
    <x v="0"/>
    <x v="0"/>
    <x v="0"/>
    <x v="2"/>
    <n v="6"/>
  </r>
  <r>
    <x v="1"/>
    <x v="11"/>
    <x v="4"/>
    <x v="0"/>
    <x v="0"/>
    <x v="0"/>
    <x v="5"/>
    <n v="2"/>
  </r>
  <r>
    <x v="1"/>
    <x v="12"/>
    <x v="1"/>
    <x v="3"/>
    <x v="0"/>
    <x v="0"/>
    <x v="7"/>
    <n v="5"/>
  </r>
  <r>
    <x v="1"/>
    <x v="13"/>
    <x v="5"/>
    <x v="0"/>
    <x v="0"/>
    <x v="0"/>
    <x v="8"/>
    <n v="13"/>
  </r>
  <r>
    <x v="1"/>
    <x v="14"/>
    <x v="6"/>
    <x v="0"/>
    <x v="0"/>
    <x v="0"/>
    <x v="5"/>
    <n v="11"/>
  </r>
  <r>
    <x v="1"/>
    <x v="15"/>
    <x v="1"/>
    <x v="1"/>
    <x v="0"/>
    <x v="3"/>
    <x v="9"/>
    <n v="61"/>
  </r>
  <r>
    <x v="1"/>
    <x v="16"/>
    <x v="1"/>
    <x v="2"/>
    <x v="0"/>
    <x v="0"/>
    <x v="0"/>
    <n v="3"/>
  </r>
  <r>
    <x v="1"/>
    <x v="17"/>
    <x v="3"/>
    <x v="0"/>
    <x v="0"/>
    <x v="0"/>
    <x v="0"/>
    <n v="2"/>
  </r>
  <r>
    <x v="1"/>
    <x v="18"/>
    <x v="1"/>
    <x v="1"/>
    <x v="0"/>
    <x v="2"/>
    <x v="10"/>
    <n v="12"/>
  </r>
  <r>
    <x v="1"/>
    <x v="19"/>
    <x v="1"/>
    <x v="0"/>
    <x v="0"/>
    <x v="0"/>
    <x v="11"/>
    <n v="14"/>
  </r>
  <r>
    <x v="1"/>
    <x v="20"/>
    <x v="3"/>
    <x v="2"/>
    <x v="0"/>
    <x v="4"/>
    <x v="8"/>
    <n v="14"/>
  </r>
  <r>
    <x v="1"/>
    <x v="21"/>
    <x v="7"/>
    <x v="0"/>
    <x v="0"/>
    <x v="0"/>
    <x v="12"/>
    <n v="7"/>
  </r>
  <r>
    <x v="1"/>
    <x v="22"/>
    <x v="1"/>
    <x v="0"/>
    <x v="0"/>
    <x v="0"/>
    <x v="3"/>
    <n v="12"/>
  </r>
  <r>
    <x v="1"/>
    <x v="23"/>
    <x v="3"/>
    <x v="0"/>
    <x v="0"/>
    <x v="4"/>
    <x v="10"/>
    <n v="14"/>
  </r>
  <r>
    <x v="1"/>
    <x v="24"/>
    <x v="4"/>
    <x v="1"/>
    <x v="0"/>
    <x v="0"/>
    <x v="5"/>
    <n v="3"/>
  </r>
  <r>
    <x v="1"/>
    <x v="25"/>
    <x v="1"/>
    <x v="2"/>
    <x v="0"/>
    <x v="0"/>
    <x v="13"/>
    <n v="13"/>
  </r>
  <r>
    <x v="1"/>
    <x v="26"/>
    <x v="1"/>
    <x v="0"/>
    <x v="0"/>
    <x v="0"/>
    <x v="11"/>
    <n v="14"/>
  </r>
  <r>
    <x v="1"/>
    <x v="27"/>
    <x v="1"/>
    <x v="1"/>
    <x v="0"/>
    <x v="0"/>
    <x v="14"/>
    <n v="5"/>
  </r>
  <r>
    <x v="1"/>
    <x v="28"/>
    <x v="0"/>
    <x v="1"/>
    <x v="0"/>
    <x v="2"/>
    <x v="6"/>
    <n v="12"/>
  </r>
  <r>
    <x v="1"/>
    <x v="29"/>
    <x v="3"/>
    <x v="0"/>
    <x v="0"/>
    <x v="0"/>
    <x v="15"/>
    <n v="10"/>
  </r>
  <r>
    <x v="1"/>
    <x v="30"/>
    <x v="3"/>
    <x v="1"/>
    <x v="0"/>
    <x v="0"/>
    <x v="0"/>
    <n v="3"/>
  </r>
  <r>
    <x v="1"/>
    <x v="31"/>
    <x v="1"/>
    <x v="1"/>
    <x v="1"/>
    <x v="0"/>
    <x v="14"/>
    <n v="6"/>
  </r>
  <r>
    <x v="2"/>
    <x v="0"/>
    <x v="0"/>
    <x v="0"/>
    <x v="0"/>
    <x v="0"/>
    <x v="0"/>
    <n v="4"/>
  </r>
  <r>
    <x v="2"/>
    <x v="1"/>
    <x v="1"/>
    <x v="1"/>
    <x v="0"/>
    <x v="0"/>
    <x v="1"/>
    <n v="24"/>
  </r>
  <r>
    <x v="2"/>
    <x v="2"/>
    <x v="1"/>
    <x v="1"/>
    <x v="0"/>
    <x v="0"/>
    <x v="2"/>
    <n v="6"/>
  </r>
  <r>
    <x v="2"/>
    <x v="3"/>
    <x v="1"/>
    <x v="2"/>
    <x v="0"/>
    <x v="1"/>
    <x v="3"/>
    <n v="39"/>
  </r>
  <r>
    <x v="2"/>
    <x v="4"/>
    <x v="2"/>
    <x v="0"/>
    <x v="0"/>
    <x v="0"/>
    <x v="0"/>
    <n v="8"/>
  </r>
  <r>
    <x v="2"/>
    <x v="5"/>
    <x v="1"/>
    <x v="1"/>
    <x v="0"/>
    <x v="0"/>
    <x v="0"/>
    <n v="2"/>
  </r>
  <r>
    <x v="2"/>
    <x v="6"/>
    <x v="1"/>
    <x v="1"/>
    <x v="0"/>
    <x v="2"/>
    <x v="4"/>
    <n v="17"/>
  </r>
  <r>
    <x v="2"/>
    <x v="7"/>
    <x v="0"/>
    <x v="1"/>
    <x v="0"/>
    <x v="0"/>
    <x v="5"/>
    <n v="4"/>
  </r>
  <r>
    <x v="2"/>
    <x v="8"/>
    <x v="3"/>
    <x v="0"/>
    <x v="0"/>
    <x v="0"/>
    <x v="6"/>
    <n v="8"/>
  </r>
  <r>
    <x v="2"/>
    <x v="9"/>
    <x v="0"/>
    <x v="0"/>
    <x v="0"/>
    <x v="0"/>
    <x v="5"/>
    <n v="3"/>
  </r>
  <r>
    <x v="2"/>
    <x v="10"/>
    <x v="3"/>
    <x v="0"/>
    <x v="0"/>
    <x v="0"/>
    <x v="2"/>
    <n v="6"/>
  </r>
  <r>
    <x v="2"/>
    <x v="11"/>
    <x v="4"/>
    <x v="0"/>
    <x v="0"/>
    <x v="0"/>
    <x v="5"/>
    <n v="2"/>
  </r>
  <r>
    <x v="2"/>
    <x v="12"/>
    <x v="1"/>
    <x v="3"/>
    <x v="0"/>
    <x v="0"/>
    <x v="7"/>
    <n v="5"/>
  </r>
  <r>
    <x v="2"/>
    <x v="13"/>
    <x v="5"/>
    <x v="0"/>
    <x v="0"/>
    <x v="0"/>
    <x v="8"/>
    <n v="13"/>
  </r>
  <r>
    <x v="2"/>
    <x v="14"/>
    <x v="6"/>
    <x v="0"/>
    <x v="0"/>
    <x v="0"/>
    <x v="5"/>
    <n v="11"/>
  </r>
  <r>
    <x v="2"/>
    <x v="15"/>
    <x v="1"/>
    <x v="1"/>
    <x v="0"/>
    <x v="3"/>
    <x v="9"/>
    <n v="61"/>
  </r>
  <r>
    <x v="2"/>
    <x v="16"/>
    <x v="1"/>
    <x v="2"/>
    <x v="0"/>
    <x v="0"/>
    <x v="0"/>
    <n v="3"/>
  </r>
  <r>
    <x v="2"/>
    <x v="17"/>
    <x v="3"/>
    <x v="0"/>
    <x v="0"/>
    <x v="0"/>
    <x v="0"/>
    <n v="2"/>
  </r>
  <r>
    <x v="2"/>
    <x v="18"/>
    <x v="1"/>
    <x v="1"/>
    <x v="0"/>
    <x v="2"/>
    <x v="10"/>
    <n v="12"/>
  </r>
  <r>
    <x v="2"/>
    <x v="19"/>
    <x v="1"/>
    <x v="0"/>
    <x v="0"/>
    <x v="0"/>
    <x v="11"/>
    <n v="14"/>
  </r>
  <r>
    <x v="2"/>
    <x v="20"/>
    <x v="3"/>
    <x v="2"/>
    <x v="0"/>
    <x v="4"/>
    <x v="8"/>
    <n v="14"/>
  </r>
  <r>
    <x v="2"/>
    <x v="21"/>
    <x v="7"/>
    <x v="0"/>
    <x v="0"/>
    <x v="0"/>
    <x v="12"/>
    <n v="7"/>
  </r>
  <r>
    <x v="2"/>
    <x v="22"/>
    <x v="1"/>
    <x v="0"/>
    <x v="0"/>
    <x v="0"/>
    <x v="3"/>
    <n v="12"/>
  </r>
  <r>
    <x v="2"/>
    <x v="23"/>
    <x v="3"/>
    <x v="0"/>
    <x v="0"/>
    <x v="4"/>
    <x v="10"/>
    <n v="14"/>
  </r>
  <r>
    <x v="2"/>
    <x v="24"/>
    <x v="4"/>
    <x v="1"/>
    <x v="0"/>
    <x v="0"/>
    <x v="5"/>
    <n v="3"/>
  </r>
  <r>
    <x v="2"/>
    <x v="25"/>
    <x v="1"/>
    <x v="2"/>
    <x v="0"/>
    <x v="0"/>
    <x v="13"/>
    <n v="13"/>
  </r>
  <r>
    <x v="2"/>
    <x v="26"/>
    <x v="1"/>
    <x v="0"/>
    <x v="0"/>
    <x v="0"/>
    <x v="11"/>
    <n v="14"/>
  </r>
  <r>
    <x v="2"/>
    <x v="27"/>
    <x v="1"/>
    <x v="1"/>
    <x v="0"/>
    <x v="0"/>
    <x v="14"/>
    <n v="5"/>
  </r>
  <r>
    <x v="2"/>
    <x v="28"/>
    <x v="0"/>
    <x v="1"/>
    <x v="0"/>
    <x v="2"/>
    <x v="6"/>
    <n v="12"/>
  </r>
  <r>
    <x v="2"/>
    <x v="29"/>
    <x v="3"/>
    <x v="0"/>
    <x v="0"/>
    <x v="0"/>
    <x v="15"/>
    <n v="10"/>
  </r>
  <r>
    <x v="2"/>
    <x v="30"/>
    <x v="3"/>
    <x v="1"/>
    <x v="0"/>
    <x v="0"/>
    <x v="0"/>
    <n v="3"/>
  </r>
  <r>
    <x v="2"/>
    <x v="31"/>
    <x v="1"/>
    <x v="1"/>
    <x v="1"/>
    <x v="0"/>
    <x v="14"/>
    <n v="6"/>
  </r>
</pivotCacheRecords>
</file>

<file path=xl/pivotCache/pivotCacheRecords2.xml><?xml version="1.0" encoding="utf-8"?>
<pivotCacheRecords xmlns="http://schemas.openxmlformats.org/spreadsheetml/2006/main" xmlns:r="http://schemas.openxmlformats.org/officeDocument/2006/relationships" count="32">
  <r>
    <x v="0"/>
    <x v="0"/>
    <x v="0"/>
    <n v="1.6"/>
  </r>
  <r>
    <x v="0"/>
    <x v="0"/>
    <x v="1"/>
    <n v="0.9"/>
  </r>
  <r>
    <x v="1"/>
    <x v="0"/>
    <x v="0"/>
    <n v="2.2000000000000002"/>
  </r>
  <r>
    <x v="2"/>
    <x v="0"/>
    <x v="0"/>
    <n v="1"/>
  </r>
  <r>
    <x v="2"/>
    <x v="0"/>
    <x v="1"/>
    <n v="0.5"/>
  </r>
  <r>
    <x v="3"/>
    <x v="0"/>
    <x v="0"/>
    <n v="1.1000000000000001"/>
  </r>
  <r>
    <x v="3"/>
    <x v="0"/>
    <x v="1"/>
    <n v="0.5"/>
  </r>
  <r>
    <x v="4"/>
    <x v="1"/>
    <x v="0"/>
    <n v="62.1"/>
  </r>
  <r>
    <x v="0"/>
    <x v="1"/>
    <x v="0"/>
    <n v="44.5"/>
  </r>
  <r>
    <x v="0"/>
    <x v="1"/>
    <x v="1"/>
    <n v="88.3"/>
  </r>
  <r>
    <x v="1"/>
    <x v="1"/>
    <x v="0"/>
    <n v="43.5"/>
  </r>
  <r>
    <x v="1"/>
    <x v="1"/>
    <x v="1"/>
    <n v="62.7"/>
  </r>
  <r>
    <x v="2"/>
    <x v="1"/>
    <x v="0"/>
    <n v="52.4"/>
  </r>
  <r>
    <x v="2"/>
    <x v="1"/>
    <x v="1"/>
    <n v="84"/>
  </r>
  <r>
    <x v="3"/>
    <x v="1"/>
    <x v="0"/>
    <n v="50.4"/>
  </r>
  <r>
    <x v="3"/>
    <x v="1"/>
    <x v="1"/>
    <n v="83.4"/>
  </r>
  <r>
    <x v="5"/>
    <x v="1"/>
    <x v="0"/>
    <n v="100"/>
  </r>
  <r>
    <x v="5"/>
    <x v="1"/>
    <x v="1"/>
    <n v="95.2"/>
  </r>
  <r>
    <x v="6"/>
    <x v="1"/>
    <x v="0"/>
    <n v="59.3"/>
  </r>
  <r>
    <x v="6"/>
    <x v="1"/>
    <x v="1"/>
    <n v="85.7"/>
  </r>
  <r>
    <x v="4"/>
    <x v="2"/>
    <x v="0"/>
    <n v="37.9"/>
  </r>
  <r>
    <x v="0"/>
    <x v="2"/>
    <x v="0"/>
    <n v="53.8"/>
  </r>
  <r>
    <x v="0"/>
    <x v="2"/>
    <x v="1"/>
    <n v="10.8"/>
  </r>
  <r>
    <x v="1"/>
    <x v="2"/>
    <x v="0"/>
    <n v="54.3"/>
  </r>
  <r>
    <x v="1"/>
    <x v="2"/>
    <x v="1"/>
    <n v="37.299999999999997"/>
  </r>
  <r>
    <x v="2"/>
    <x v="2"/>
    <x v="0"/>
    <n v="46.6"/>
  </r>
  <r>
    <x v="2"/>
    <x v="2"/>
    <x v="1"/>
    <n v="15.6"/>
  </r>
  <r>
    <x v="3"/>
    <x v="2"/>
    <x v="0"/>
    <n v="48.6"/>
  </r>
  <r>
    <x v="3"/>
    <x v="2"/>
    <x v="1"/>
    <n v="16.100000000000001"/>
  </r>
  <r>
    <x v="5"/>
    <x v="2"/>
    <x v="1"/>
    <n v="4.8"/>
  </r>
  <r>
    <x v="6"/>
    <x v="2"/>
    <x v="0"/>
    <n v="40.700000000000003"/>
  </r>
  <r>
    <x v="6"/>
    <x v="2"/>
    <x v="1"/>
    <n v="14.3"/>
  </r>
</pivotCacheRecords>
</file>

<file path=xl/pivotCache/pivotCacheRecords20.xml><?xml version="1.0" encoding="utf-8"?>
<pivotCacheRecords xmlns="http://schemas.openxmlformats.org/spreadsheetml/2006/main" xmlns:r="http://schemas.openxmlformats.org/officeDocument/2006/relationships" count="224">
  <r>
    <x v="0"/>
    <x v="0"/>
    <x v="0"/>
    <x v="0"/>
    <x v="0"/>
    <n v="4"/>
  </r>
  <r>
    <x v="0"/>
    <x v="1"/>
    <x v="1"/>
    <x v="1"/>
    <x v="0"/>
    <n v="24"/>
  </r>
  <r>
    <x v="0"/>
    <x v="2"/>
    <x v="1"/>
    <x v="2"/>
    <x v="0"/>
    <n v="6"/>
  </r>
  <r>
    <x v="0"/>
    <x v="3"/>
    <x v="2"/>
    <x v="3"/>
    <x v="1"/>
    <n v="39"/>
  </r>
  <r>
    <x v="0"/>
    <x v="4"/>
    <x v="3"/>
    <x v="0"/>
    <x v="0"/>
    <n v="8"/>
  </r>
  <r>
    <x v="0"/>
    <x v="5"/>
    <x v="1"/>
    <x v="0"/>
    <x v="0"/>
    <n v="2"/>
  </r>
  <r>
    <x v="0"/>
    <x v="6"/>
    <x v="1"/>
    <x v="4"/>
    <x v="2"/>
    <n v="17"/>
  </r>
  <r>
    <x v="0"/>
    <x v="7"/>
    <x v="4"/>
    <x v="5"/>
    <x v="0"/>
    <n v="4"/>
  </r>
  <r>
    <x v="0"/>
    <x v="8"/>
    <x v="1"/>
    <x v="6"/>
    <x v="0"/>
    <n v="8"/>
  </r>
  <r>
    <x v="0"/>
    <x v="9"/>
    <x v="0"/>
    <x v="5"/>
    <x v="0"/>
    <n v="3"/>
  </r>
  <r>
    <x v="0"/>
    <x v="10"/>
    <x v="1"/>
    <x v="2"/>
    <x v="0"/>
    <n v="6"/>
  </r>
  <r>
    <x v="0"/>
    <x v="11"/>
    <x v="2"/>
    <x v="5"/>
    <x v="0"/>
    <n v="2"/>
  </r>
  <r>
    <x v="0"/>
    <x v="12"/>
    <x v="0"/>
    <x v="7"/>
    <x v="0"/>
    <n v="5"/>
  </r>
  <r>
    <x v="0"/>
    <x v="13"/>
    <x v="5"/>
    <x v="8"/>
    <x v="0"/>
    <n v="13"/>
  </r>
  <r>
    <x v="0"/>
    <x v="14"/>
    <x v="6"/>
    <x v="5"/>
    <x v="0"/>
    <n v="11"/>
  </r>
  <r>
    <x v="0"/>
    <x v="15"/>
    <x v="1"/>
    <x v="9"/>
    <x v="3"/>
    <n v="61"/>
  </r>
  <r>
    <x v="0"/>
    <x v="16"/>
    <x v="2"/>
    <x v="0"/>
    <x v="0"/>
    <n v="3"/>
  </r>
  <r>
    <x v="0"/>
    <x v="17"/>
    <x v="1"/>
    <x v="0"/>
    <x v="0"/>
    <n v="2"/>
  </r>
  <r>
    <x v="0"/>
    <x v="18"/>
    <x v="1"/>
    <x v="10"/>
    <x v="2"/>
    <n v="12"/>
  </r>
  <r>
    <x v="0"/>
    <x v="19"/>
    <x v="7"/>
    <x v="11"/>
    <x v="0"/>
    <n v="14"/>
  </r>
  <r>
    <x v="0"/>
    <x v="20"/>
    <x v="0"/>
    <x v="8"/>
    <x v="4"/>
    <n v="14"/>
  </r>
  <r>
    <x v="0"/>
    <x v="21"/>
    <x v="4"/>
    <x v="12"/>
    <x v="0"/>
    <n v="7"/>
  </r>
  <r>
    <x v="0"/>
    <x v="22"/>
    <x v="7"/>
    <x v="3"/>
    <x v="0"/>
    <n v="12"/>
  </r>
  <r>
    <x v="0"/>
    <x v="23"/>
    <x v="1"/>
    <x v="10"/>
    <x v="4"/>
    <n v="14"/>
  </r>
  <r>
    <x v="0"/>
    <x v="24"/>
    <x v="0"/>
    <x v="5"/>
    <x v="0"/>
    <n v="3"/>
  </r>
  <r>
    <x v="0"/>
    <x v="25"/>
    <x v="2"/>
    <x v="13"/>
    <x v="0"/>
    <n v="13"/>
  </r>
  <r>
    <x v="0"/>
    <x v="26"/>
    <x v="7"/>
    <x v="11"/>
    <x v="0"/>
    <n v="14"/>
  </r>
  <r>
    <x v="0"/>
    <x v="27"/>
    <x v="1"/>
    <x v="14"/>
    <x v="0"/>
    <n v="5"/>
  </r>
  <r>
    <x v="0"/>
    <x v="28"/>
    <x v="4"/>
    <x v="6"/>
    <x v="2"/>
    <n v="12"/>
  </r>
  <r>
    <x v="0"/>
    <x v="29"/>
    <x v="1"/>
    <x v="15"/>
    <x v="0"/>
    <n v="10"/>
  </r>
  <r>
    <x v="0"/>
    <x v="30"/>
    <x v="2"/>
    <x v="0"/>
    <x v="0"/>
    <n v="3"/>
  </r>
  <r>
    <x v="0"/>
    <x v="31"/>
    <x v="2"/>
    <x v="14"/>
    <x v="0"/>
    <n v="6"/>
  </r>
  <r>
    <x v="1"/>
    <x v="0"/>
    <x v="0"/>
    <x v="0"/>
    <x v="0"/>
    <n v="4"/>
  </r>
  <r>
    <x v="1"/>
    <x v="1"/>
    <x v="1"/>
    <x v="1"/>
    <x v="0"/>
    <n v="24"/>
  </r>
  <r>
    <x v="1"/>
    <x v="2"/>
    <x v="1"/>
    <x v="2"/>
    <x v="0"/>
    <n v="6"/>
  </r>
  <r>
    <x v="1"/>
    <x v="3"/>
    <x v="2"/>
    <x v="3"/>
    <x v="1"/>
    <n v="39"/>
  </r>
  <r>
    <x v="1"/>
    <x v="4"/>
    <x v="3"/>
    <x v="0"/>
    <x v="0"/>
    <n v="8"/>
  </r>
  <r>
    <x v="1"/>
    <x v="5"/>
    <x v="1"/>
    <x v="0"/>
    <x v="0"/>
    <n v="2"/>
  </r>
  <r>
    <x v="1"/>
    <x v="6"/>
    <x v="1"/>
    <x v="4"/>
    <x v="2"/>
    <n v="17"/>
  </r>
  <r>
    <x v="1"/>
    <x v="7"/>
    <x v="4"/>
    <x v="5"/>
    <x v="0"/>
    <n v="4"/>
  </r>
  <r>
    <x v="1"/>
    <x v="8"/>
    <x v="1"/>
    <x v="6"/>
    <x v="0"/>
    <n v="8"/>
  </r>
  <r>
    <x v="1"/>
    <x v="9"/>
    <x v="0"/>
    <x v="5"/>
    <x v="0"/>
    <n v="3"/>
  </r>
  <r>
    <x v="1"/>
    <x v="10"/>
    <x v="1"/>
    <x v="2"/>
    <x v="0"/>
    <n v="6"/>
  </r>
  <r>
    <x v="1"/>
    <x v="11"/>
    <x v="2"/>
    <x v="5"/>
    <x v="0"/>
    <n v="2"/>
  </r>
  <r>
    <x v="1"/>
    <x v="12"/>
    <x v="0"/>
    <x v="7"/>
    <x v="0"/>
    <n v="5"/>
  </r>
  <r>
    <x v="1"/>
    <x v="13"/>
    <x v="5"/>
    <x v="8"/>
    <x v="0"/>
    <n v="13"/>
  </r>
  <r>
    <x v="1"/>
    <x v="14"/>
    <x v="6"/>
    <x v="5"/>
    <x v="0"/>
    <n v="11"/>
  </r>
  <r>
    <x v="1"/>
    <x v="15"/>
    <x v="1"/>
    <x v="9"/>
    <x v="3"/>
    <n v="61"/>
  </r>
  <r>
    <x v="1"/>
    <x v="16"/>
    <x v="2"/>
    <x v="0"/>
    <x v="0"/>
    <n v="3"/>
  </r>
  <r>
    <x v="1"/>
    <x v="17"/>
    <x v="1"/>
    <x v="0"/>
    <x v="0"/>
    <n v="2"/>
  </r>
  <r>
    <x v="1"/>
    <x v="18"/>
    <x v="1"/>
    <x v="10"/>
    <x v="2"/>
    <n v="12"/>
  </r>
  <r>
    <x v="1"/>
    <x v="19"/>
    <x v="7"/>
    <x v="11"/>
    <x v="0"/>
    <n v="14"/>
  </r>
  <r>
    <x v="1"/>
    <x v="20"/>
    <x v="0"/>
    <x v="8"/>
    <x v="4"/>
    <n v="14"/>
  </r>
  <r>
    <x v="1"/>
    <x v="21"/>
    <x v="4"/>
    <x v="12"/>
    <x v="0"/>
    <n v="7"/>
  </r>
  <r>
    <x v="1"/>
    <x v="22"/>
    <x v="7"/>
    <x v="3"/>
    <x v="0"/>
    <n v="12"/>
  </r>
  <r>
    <x v="1"/>
    <x v="23"/>
    <x v="1"/>
    <x v="10"/>
    <x v="4"/>
    <n v="14"/>
  </r>
  <r>
    <x v="1"/>
    <x v="24"/>
    <x v="0"/>
    <x v="5"/>
    <x v="0"/>
    <n v="3"/>
  </r>
  <r>
    <x v="1"/>
    <x v="25"/>
    <x v="2"/>
    <x v="13"/>
    <x v="0"/>
    <n v="13"/>
  </r>
  <r>
    <x v="1"/>
    <x v="26"/>
    <x v="7"/>
    <x v="11"/>
    <x v="0"/>
    <n v="14"/>
  </r>
  <r>
    <x v="1"/>
    <x v="27"/>
    <x v="1"/>
    <x v="14"/>
    <x v="0"/>
    <n v="5"/>
  </r>
  <r>
    <x v="1"/>
    <x v="28"/>
    <x v="4"/>
    <x v="6"/>
    <x v="2"/>
    <n v="12"/>
  </r>
  <r>
    <x v="1"/>
    <x v="29"/>
    <x v="1"/>
    <x v="15"/>
    <x v="0"/>
    <n v="10"/>
  </r>
  <r>
    <x v="1"/>
    <x v="30"/>
    <x v="2"/>
    <x v="0"/>
    <x v="0"/>
    <n v="3"/>
  </r>
  <r>
    <x v="1"/>
    <x v="31"/>
    <x v="2"/>
    <x v="14"/>
    <x v="0"/>
    <n v="6"/>
  </r>
  <r>
    <x v="2"/>
    <x v="0"/>
    <x v="0"/>
    <x v="0"/>
    <x v="0"/>
    <n v="4"/>
  </r>
  <r>
    <x v="2"/>
    <x v="1"/>
    <x v="1"/>
    <x v="1"/>
    <x v="0"/>
    <n v="24"/>
  </r>
  <r>
    <x v="2"/>
    <x v="2"/>
    <x v="1"/>
    <x v="2"/>
    <x v="0"/>
    <n v="6"/>
  </r>
  <r>
    <x v="2"/>
    <x v="3"/>
    <x v="2"/>
    <x v="3"/>
    <x v="1"/>
    <n v="39"/>
  </r>
  <r>
    <x v="2"/>
    <x v="4"/>
    <x v="3"/>
    <x v="0"/>
    <x v="0"/>
    <n v="8"/>
  </r>
  <r>
    <x v="2"/>
    <x v="5"/>
    <x v="1"/>
    <x v="0"/>
    <x v="0"/>
    <n v="2"/>
  </r>
  <r>
    <x v="2"/>
    <x v="6"/>
    <x v="1"/>
    <x v="4"/>
    <x v="2"/>
    <n v="17"/>
  </r>
  <r>
    <x v="2"/>
    <x v="7"/>
    <x v="4"/>
    <x v="5"/>
    <x v="0"/>
    <n v="4"/>
  </r>
  <r>
    <x v="2"/>
    <x v="8"/>
    <x v="1"/>
    <x v="6"/>
    <x v="0"/>
    <n v="8"/>
  </r>
  <r>
    <x v="2"/>
    <x v="9"/>
    <x v="0"/>
    <x v="5"/>
    <x v="0"/>
    <n v="3"/>
  </r>
  <r>
    <x v="2"/>
    <x v="10"/>
    <x v="1"/>
    <x v="2"/>
    <x v="0"/>
    <n v="6"/>
  </r>
  <r>
    <x v="2"/>
    <x v="11"/>
    <x v="2"/>
    <x v="5"/>
    <x v="0"/>
    <n v="2"/>
  </r>
  <r>
    <x v="2"/>
    <x v="12"/>
    <x v="0"/>
    <x v="7"/>
    <x v="0"/>
    <n v="5"/>
  </r>
  <r>
    <x v="2"/>
    <x v="13"/>
    <x v="5"/>
    <x v="8"/>
    <x v="0"/>
    <n v="13"/>
  </r>
  <r>
    <x v="2"/>
    <x v="14"/>
    <x v="6"/>
    <x v="5"/>
    <x v="0"/>
    <n v="11"/>
  </r>
  <r>
    <x v="2"/>
    <x v="15"/>
    <x v="1"/>
    <x v="9"/>
    <x v="3"/>
    <n v="61"/>
  </r>
  <r>
    <x v="2"/>
    <x v="16"/>
    <x v="2"/>
    <x v="0"/>
    <x v="0"/>
    <n v="3"/>
  </r>
  <r>
    <x v="2"/>
    <x v="17"/>
    <x v="1"/>
    <x v="0"/>
    <x v="0"/>
    <n v="2"/>
  </r>
  <r>
    <x v="2"/>
    <x v="18"/>
    <x v="1"/>
    <x v="10"/>
    <x v="2"/>
    <n v="12"/>
  </r>
  <r>
    <x v="2"/>
    <x v="19"/>
    <x v="7"/>
    <x v="11"/>
    <x v="0"/>
    <n v="14"/>
  </r>
  <r>
    <x v="2"/>
    <x v="20"/>
    <x v="0"/>
    <x v="8"/>
    <x v="4"/>
    <n v="14"/>
  </r>
  <r>
    <x v="2"/>
    <x v="21"/>
    <x v="4"/>
    <x v="12"/>
    <x v="0"/>
    <n v="7"/>
  </r>
  <r>
    <x v="2"/>
    <x v="22"/>
    <x v="7"/>
    <x v="3"/>
    <x v="0"/>
    <n v="12"/>
  </r>
  <r>
    <x v="2"/>
    <x v="23"/>
    <x v="1"/>
    <x v="10"/>
    <x v="4"/>
    <n v="14"/>
  </r>
  <r>
    <x v="2"/>
    <x v="24"/>
    <x v="0"/>
    <x v="5"/>
    <x v="0"/>
    <n v="3"/>
  </r>
  <r>
    <x v="2"/>
    <x v="25"/>
    <x v="2"/>
    <x v="13"/>
    <x v="0"/>
    <n v="13"/>
  </r>
  <r>
    <x v="2"/>
    <x v="26"/>
    <x v="7"/>
    <x v="11"/>
    <x v="0"/>
    <n v="14"/>
  </r>
  <r>
    <x v="2"/>
    <x v="27"/>
    <x v="1"/>
    <x v="14"/>
    <x v="0"/>
    <n v="5"/>
  </r>
  <r>
    <x v="2"/>
    <x v="28"/>
    <x v="4"/>
    <x v="6"/>
    <x v="2"/>
    <n v="12"/>
  </r>
  <r>
    <x v="2"/>
    <x v="29"/>
    <x v="1"/>
    <x v="15"/>
    <x v="0"/>
    <n v="10"/>
  </r>
  <r>
    <x v="2"/>
    <x v="30"/>
    <x v="2"/>
    <x v="0"/>
    <x v="0"/>
    <n v="3"/>
  </r>
  <r>
    <x v="2"/>
    <x v="31"/>
    <x v="2"/>
    <x v="14"/>
    <x v="0"/>
    <n v="6"/>
  </r>
  <r>
    <x v="3"/>
    <x v="0"/>
    <x v="0"/>
    <x v="0"/>
    <x v="0"/>
    <n v="4"/>
  </r>
  <r>
    <x v="3"/>
    <x v="1"/>
    <x v="1"/>
    <x v="1"/>
    <x v="0"/>
    <n v="24"/>
  </r>
  <r>
    <x v="3"/>
    <x v="2"/>
    <x v="1"/>
    <x v="2"/>
    <x v="0"/>
    <n v="6"/>
  </r>
  <r>
    <x v="3"/>
    <x v="3"/>
    <x v="2"/>
    <x v="3"/>
    <x v="1"/>
    <n v="39"/>
  </r>
  <r>
    <x v="3"/>
    <x v="4"/>
    <x v="3"/>
    <x v="0"/>
    <x v="0"/>
    <n v="8"/>
  </r>
  <r>
    <x v="3"/>
    <x v="5"/>
    <x v="1"/>
    <x v="0"/>
    <x v="0"/>
    <n v="2"/>
  </r>
  <r>
    <x v="3"/>
    <x v="6"/>
    <x v="1"/>
    <x v="4"/>
    <x v="2"/>
    <n v="17"/>
  </r>
  <r>
    <x v="3"/>
    <x v="7"/>
    <x v="4"/>
    <x v="5"/>
    <x v="0"/>
    <n v="4"/>
  </r>
  <r>
    <x v="3"/>
    <x v="8"/>
    <x v="1"/>
    <x v="6"/>
    <x v="0"/>
    <n v="8"/>
  </r>
  <r>
    <x v="3"/>
    <x v="9"/>
    <x v="0"/>
    <x v="5"/>
    <x v="0"/>
    <n v="3"/>
  </r>
  <r>
    <x v="3"/>
    <x v="10"/>
    <x v="1"/>
    <x v="2"/>
    <x v="0"/>
    <n v="6"/>
  </r>
  <r>
    <x v="3"/>
    <x v="11"/>
    <x v="2"/>
    <x v="5"/>
    <x v="0"/>
    <n v="2"/>
  </r>
  <r>
    <x v="3"/>
    <x v="12"/>
    <x v="0"/>
    <x v="7"/>
    <x v="0"/>
    <n v="5"/>
  </r>
  <r>
    <x v="3"/>
    <x v="13"/>
    <x v="5"/>
    <x v="8"/>
    <x v="0"/>
    <n v="13"/>
  </r>
  <r>
    <x v="3"/>
    <x v="14"/>
    <x v="6"/>
    <x v="5"/>
    <x v="0"/>
    <n v="11"/>
  </r>
  <r>
    <x v="3"/>
    <x v="15"/>
    <x v="1"/>
    <x v="9"/>
    <x v="3"/>
    <n v="61"/>
  </r>
  <r>
    <x v="3"/>
    <x v="16"/>
    <x v="2"/>
    <x v="0"/>
    <x v="0"/>
    <n v="3"/>
  </r>
  <r>
    <x v="3"/>
    <x v="17"/>
    <x v="1"/>
    <x v="0"/>
    <x v="0"/>
    <n v="2"/>
  </r>
  <r>
    <x v="3"/>
    <x v="18"/>
    <x v="1"/>
    <x v="10"/>
    <x v="2"/>
    <n v="12"/>
  </r>
  <r>
    <x v="3"/>
    <x v="19"/>
    <x v="7"/>
    <x v="11"/>
    <x v="0"/>
    <n v="14"/>
  </r>
  <r>
    <x v="3"/>
    <x v="20"/>
    <x v="0"/>
    <x v="8"/>
    <x v="4"/>
    <n v="14"/>
  </r>
  <r>
    <x v="3"/>
    <x v="21"/>
    <x v="4"/>
    <x v="12"/>
    <x v="0"/>
    <n v="7"/>
  </r>
  <r>
    <x v="3"/>
    <x v="22"/>
    <x v="7"/>
    <x v="3"/>
    <x v="0"/>
    <n v="12"/>
  </r>
  <r>
    <x v="3"/>
    <x v="23"/>
    <x v="1"/>
    <x v="10"/>
    <x v="4"/>
    <n v="14"/>
  </r>
  <r>
    <x v="3"/>
    <x v="24"/>
    <x v="0"/>
    <x v="5"/>
    <x v="0"/>
    <n v="3"/>
  </r>
  <r>
    <x v="3"/>
    <x v="25"/>
    <x v="2"/>
    <x v="13"/>
    <x v="0"/>
    <n v="13"/>
  </r>
  <r>
    <x v="3"/>
    <x v="26"/>
    <x v="7"/>
    <x v="11"/>
    <x v="0"/>
    <n v="14"/>
  </r>
  <r>
    <x v="3"/>
    <x v="27"/>
    <x v="1"/>
    <x v="14"/>
    <x v="0"/>
    <n v="5"/>
  </r>
  <r>
    <x v="3"/>
    <x v="28"/>
    <x v="4"/>
    <x v="6"/>
    <x v="2"/>
    <n v="12"/>
  </r>
  <r>
    <x v="3"/>
    <x v="29"/>
    <x v="1"/>
    <x v="15"/>
    <x v="0"/>
    <n v="10"/>
  </r>
  <r>
    <x v="3"/>
    <x v="30"/>
    <x v="2"/>
    <x v="0"/>
    <x v="0"/>
    <n v="3"/>
  </r>
  <r>
    <x v="3"/>
    <x v="31"/>
    <x v="2"/>
    <x v="14"/>
    <x v="0"/>
    <n v="6"/>
  </r>
  <r>
    <x v="4"/>
    <x v="0"/>
    <x v="0"/>
    <x v="0"/>
    <x v="0"/>
    <n v="4"/>
  </r>
  <r>
    <x v="4"/>
    <x v="1"/>
    <x v="1"/>
    <x v="1"/>
    <x v="0"/>
    <n v="24"/>
  </r>
  <r>
    <x v="4"/>
    <x v="2"/>
    <x v="1"/>
    <x v="2"/>
    <x v="0"/>
    <n v="6"/>
  </r>
  <r>
    <x v="4"/>
    <x v="3"/>
    <x v="2"/>
    <x v="3"/>
    <x v="1"/>
    <n v="39"/>
  </r>
  <r>
    <x v="4"/>
    <x v="4"/>
    <x v="3"/>
    <x v="0"/>
    <x v="0"/>
    <n v="8"/>
  </r>
  <r>
    <x v="4"/>
    <x v="5"/>
    <x v="1"/>
    <x v="0"/>
    <x v="0"/>
    <n v="2"/>
  </r>
  <r>
    <x v="4"/>
    <x v="6"/>
    <x v="1"/>
    <x v="4"/>
    <x v="2"/>
    <n v="17"/>
  </r>
  <r>
    <x v="4"/>
    <x v="7"/>
    <x v="4"/>
    <x v="5"/>
    <x v="0"/>
    <n v="4"/>
  </r>
  <r>
    <x v="4"/>
    <x v="8"/>
    <x v="1"/>
    <x v="6"/>
    <x v="0"/>
    <n v="8"/>
  </r>
  <r>
    <x v="4"/>
    <x v="9"/>
    <x v="0"/>
    <x v="5"/>
    <x v="0"/>
    <n v="3"/>
  </r>
  <r>
    <x v="4"/>
    <x v="10"/>
    <x v="1"/>
    <x v="2"/>
    <x v="0"/>
    <n v="6"/>
  </r>
  <r>
    <x v="4"/>
    <x v="11"/>
    <x v="2"/>
    <x v="5"/>
    <x v="0"/>
    <n v="2"/>
  </r>
  <r>
    <x v="4"/>
    <x v="12"/>
    <x v="0"/>
    <x v="7"/>
    <x v="0"/>
    <n v="5"/>
  </r>
  <r>
    <x v="4"/>
    <x v="13"/>
    <x v="5"/>
    <x v="8"/>
    <x v="0"/>
    <n v="13"/>
  </r>
  <r>
    <x v="4"/>
    <x v="14"/>
    <x v="6"/>
    <x v="5"/>
    <x v="0"/>
    <n v="11"/>
  </r>
  <r>
    <x v="4"/>
    <x v="15"/>
    <x v="1"/>
    <x v="9"/>
    <x v="3"/>
    <n v="61"/>
  </r>
  <r>
    <x v="4"/>
    <x v="16"/>
    <x v="2"/>
    <x v="0"/>
    <x v="0"/>
    <n v="3"/>
  </r>
  <r>
    <x v="4"/>
    <x v="17"/>
    <x v="1"/>
    <x v="0"/>
    <x v="0"/>
    <n v="2"/>
  </r>
  <r>
    <x v="4"/>
    <x v="18"/>
    <x v="1"/>
    <x v="10"/>
    <x v="2"/>
    <n v="12"/>
  </r>
  <r>
    <x v="4"/>
    <x v="19"/>
    <x v="7"/>
    <x v="11"/>
    <x v="0"/>
    <n v="14"/>
  </r>
  <r>
    <x v="4"/>
    <x v="20"/>
    <x v="0"/>
    <x v="8"/>
    <x v="4"/>
    <n v="14"/>
  </r>
  <r>
    <x v="4"/>
    <x v="21"/>
    <x v="4"/>
    <x v="12"/>
    <x v="0"/>
    <n v="7"/>
  </r>
  <r>
    <x v="4"/>
    <x v="22"/>
    <x v="7"/>
    <x v="3"/>
    <x v="0"/>
    <n v="12"/>
  </r>
  <r>
    <x v="4"/>
    <x v="23"/>
    <x v="1"/>
    <x v="10"/>
    <x v="4"/>
    <n v="14"/>
  </r>
  <r>
    <x v="4"/>
    <x v="24"/>
    <x v="0"/>
    <x v="5"/>
    <x v="0"/>
    <n v="3"/>
  </r>
  <r>
    <x v="4"/>
    <x v="25"/>
    <x v="2"/>
    <x v="13"/>
    <x v="0"/>
    <n v="13"/>
  </r>
  <r>
    <x v="4"/>
    <x v="26"/>
    <x v="7"/>
    <x v="11"/>
    <x v="0"/>
    <n v="14"/>
  </r>
  <r>
    <x v="4"/>
    <x v="27"/>
    <x v="1"/>
    <x v="14"/>
    <x v="0"/>
    <n v="5"/>
  </r>
  <r>
    <x v="4"/>
    <x v="28"/>
    <x v="4"/>
    <x v="6"/>
    <x v="2"/>
    <n v="12"/>
  </r>
  <r>
    <x v="4"/>
    <x v="29"/>
    <x v="1"/>
    <x v="15"/>
    <x v="0"/>
    <n v="10"/>
  </r>
  <r>
    <x v="4"/>
    <x v="30"/>
    <x v="2"/>
    <x v="0"/>
    <x v="0"/>
    <n v="3"/>
  </r>
  <r>
    <x v="4"/>
    <x v="31"/>
    <x v="2"/>
    <x v="14"/>
    <x v="0"/>
    <n v="6"/>
  </r>
  <r>
    <x v="5"/>
    <x v="0"/>
    <x v="0"/>
    <x v="0"/>
    <x v="0"/>
    <n v="4"/>
  </r>
  <r>
    <x v="5"/>
    <x v="1"/>
    <x v="1"/>
    <x v="1"/>
    <x v="0"/>
    <n v="24"/>
  </r>
  <r>
    <x v="5"/>
    <x v="2"/>
    <x v="1"/>
    <x v="2"/>
    <x v="0"/>
    <n v="6"/>
  </r>
  <r>
    <x v="5"/>
    <x v="3"/>
    <x v="2"/>
    <x v="3"/>
    <x v="1"/>
    <n v="39"/>
  </r>
  <r>
    <x v="5"/>
    <x v="4"/>
    <x v="3"/>
    <x v="0"/>
    <x v="0"/>
    <n v="8"/>
  </r>
  <r>
    <x v="5"/>
    <x v="5"/>
    <x v="1"/>
    <x v="0"/>
    <x v="0"/>
    <n v="2"/>
  </r>
  <r>
    <x v="5"/>
    <x v="6"/>
    <x v="1"/>
    <x v="4"/>
    <x v="2"/>
    <n v="17"/>
  </r>
  <r>
    <x v="5"/>
    <x v="7"/>
    <x v="4"/>
    <x v="5"/>
    <x v="0"/>
    <n v="4"/>
  </r>
  <r>
    <x v="5"/>
    <x v="8"/>
    <x v="1"/>
    <x v="6"/>
    <x v="0"/>
    <n v="8"/>
  </r>
  <r>
    <x v="5"/>
    <x v="9"/>
    <x v="0"/>
    <x v="5"/>
    <x v="0"/>
    <n v="3"/>
  </r>
  <r>
    <x v="5"/>
    <x v="10"/>
    <x v="1"/>
    <x v="2"/>
    <x v="0"/>
    <n v="6"/>
  </r>
  <r>
    <x v="5"/>
    <x v="11"/>
    <x v="2"/>
    <x v="5"/>
    <x v="0"/>
    <n v="2"/>
  </r>
  <r>
    <x v="5"/>
    <x v="12"/>
    <x v="0"/>
    <x v="7"/>
    <x v="0"/>
    <n v="5"/>
  </r>
  <r>
    <x v="5"/>
    <x v="13"/>
    <x v="5"/>
    <x v="8"/>
    <x v="0"/>
    <n v="13"/>
  </r>
  <r>
    <x v="5"/>
    <x v="14"/>
    <x v="6"/>
    <x v="5"/>
    <x v="0"/>
    <n v="11"/>
  </r>
  <r>
    <x v="5"/>
    <x v="15"/>
    <x v="1"/>
    <x v="9"/>
    <x v="3"/>
    <n v="61"/>
  </r>
  <r>
    <x v="5"/>
    <x v="16"/>
    <x v="2"/>
    <x v="0"/>
    <x v="0"/>
    <n v="3"/>
  </r>
  <r>
    <x v="5"/>
    <x v="17"/>
    <x v="1"/>
    <x v="0"/>
    <x v="0"/>
    <n v="2"/>
  </r>
  <r>
    <x v="5"/>
    <x v="18"/>
    <x v="1"/>
    <x v="10"/>
    <x v="2"/>
    <n v="12"/>
  </r>
  <r>
    <x v="5"/>
    <x v="19"/>
    <x v="7"/>
    <x v="11"/>
    <x v="0"/>
    <n v="14"/>
  </r>
  <r>
    <x v="5"/>
    <x v="20"/>
    <x v="0"/>
    <x v="8"/>
    <x v="4"/>
    <n v="14"/>
  </r>
  <r>
    <x v="5"/>
    <x v="21"/>
    <x v="4"/>
    <x v="12"/>
    <x v="0"/>
    <n v="7"/>
  </r>
  <r>
    <x v="5"/>
    <x v="22"/>
    <x v="7"/>
    <x v="3"/>
    <x v="0"/>
    <n v="12"/>
  </r>
  <r>
    <x v="5"/>
    <x v="23"/>
    <x v="1"/>
    <x v="10"/>
    <x v="4"/>
    <n v="14"/>
  </r>
  <r>
    <x v="5"/>
    <x v="24"/>
    <x v="0"/>
    <x v="5"/>
    <x v="0"/>
    <n v="3"/>
  </r>
  <r>
    <x v="5"/>
    <x v="25"/>
    <x v="2"/>
    <x v="13"/>
    <x v="0"/>
    <n v="13"/>
  </r>
  <r>
    <x v="5"/>
    <x v="26"/>
    <x v="7"/>
    <x v="11"/>
    <x v="0"/>
    <n v="14"/>
  </r>
  <r>
    <x v="5"/>
    <x v="27"/>
    <x v="1"/>
    <x v="14"/>
    <x v="0"/>
    <n v="5"/>
  </r>
  <r>
    <x v="5"/>
    <x v="28"/>
    <x v="4"/>
    <x v="6"/>
    <x v="2"/>
    <n v="12"/>
  </r>
  <r>
    <x v="5"/>
    <x v="29"/>
    <x v="1"/>
    <x v="15"/>
    <x v="0"/>
    <n v="10"/>
  </r>
  <r>
    <x v="5"/>
    <x v="30"/>
    <x v="2"/>
    <x v="0"/>
    <x v="0"/>
    <n v="3"/>
  </r>
  <r>
    <x v="5"/>
    <x v="31"/>
    <x v="2"/>
    <x v="14"/>
    <x v="0"/>
    <n v="6"/>
  </r>
  <r>
    <x v="6"/>
    <x v="0"/>
    <x v="0"/>
    <x v="0"/>
    <x v="0"/>
    <n v="4"/>
  </r>
  <r>
    <x v="6"/>
    <x v="1"/>
    <x v="1"/>
    <x v="1"/>
    <x v="0"/>
    <n v="24"/>
  </r>
  <r>
    <x v="6"/>
    <x v="2"/>
    <x v="1"/>
    <x v="2"/>
    <x v="0"/>
    <n v="6"/>
  </r>
  <r>
    <x v="6"/>
    <x v="3"/>
    <x v="2"/>
    <x v="3"/>
    <x v="1"/>
    <n v="39"/>
  </r>
  <r>
    <x v="6"/>
    <x v="4"/>
    <x v="3"/>
    <x v="0"/>
    <x v="0"/>
    <n v="8"/>
  </r>
  <r>
    <x v="6"/>
    <x v="5"/>
    <x v="1"/>
    <x v="0"/>
    <x v="0"/>
    <n v="2"/>
  </r>
  <r>
    <x v="6"/>
    <x v="6"/>
    <x v="1"/>
    <x v="4"/>
    <x v="2"/>
    <n v="17"/>
  </r>
  <r>
    <x v="6"/>
    <x v="7"/>
    <x v="4"/>
    <x v="5"/>
    <x v="0"/>
    <n v="4"/>
  </r>
  <r>
    <x v="6"/>
    <x v="8"/>
    <x v="1"/>
    <x v="6"/>
    <x v="0"/>
    <n v="8"/>
  </r>
  <r>
    <x v="6"/>
    <x v="9"/>
    <x v="0"/>
    <x v="5"/>
    <x v="0"/>
    <n v="3"/>
  </r>
  <r>
    <x v="6"/>
    <x v="10"/>
    <x v="1"/>
    <x v="2"/>
    <x v="0"/>
    <n v="6"/>
  </r>
  <r>
    <x v="6"/>
    <x v="11"/>
    <x v="2"/>
    <x v="5"/>
    <x v="0"/>
    <n v="2"/>
  </r>
  <r>
    <x v="6"/>
    <x v="12"/>
    <x v="0"/>
    <x v="7"/>
    <x v="0"/>
    <n v="5"/>
  </r>
  <r>
    <x v="6"/>
    <x v="13"/>
    <x v="5"/>
    <x v="8"/>
    <x v="0"/>
    <n v="13"/>
  </r>
  <r>
    <x v="6"/>
    <x v="14"/>
    <x v="6"/>
    <x v="5"/>
    <x v="0"/>
    <n v="11"/>
  </r>
  <r>
    <x v="6"/>
    <x v="15"/>
    <x v="1"/>
    <x v="9"/>
    <x v="3"/>
    <n v="61"/>
  </r>
  <r>
    <x v="6"/>
    <x v="16"/>
    <x v="2"/>
    <x v="0"/>
    <x v="0"/>
    <n v="3"/>
  </r>
  <r>
    <x v="6"/>
    <x v="17"/>
    <x v="1"/>
    <x v="0"/>
    <x v="0"/>
    <n v="2"/>
  </r>
  <r>
    <x v="6"/>
    <x v="18"/>
    <x v="1"/>
    <x v="10"/>
    <x v="2"/>
    <n v="12"/>
  </r>
  <r>
    <x v="6"/>
    <x v="19"/>
    <x v="7"/>
    <x v="11"/>
    <x v="0"/>
    <n v="14"/>
  </r>
  <r>
    <x v="6"/>
    <x v="20"/>
    <x v="0"/>
    <x v="8"/>
    <x v="4"/>
    <n v="14"/>
  </r>
  <r>
    <x v="6"/>
    <x v="21"/>
    <x v="4"/>
    <x v="12"/>
    <x v="0"/>
    <n v="7"/>
  </r>
  <r>
    <x v="6"/>
    <x v="22"/>
    <x v="7"/>
    <x v="3"/>
    <x v="0"/>
    <n v="12"/>
  </r>
  <r>
    <x v="6"/>
    <x v="23"/>
    <x v="1"/>
    <x v="10"/>
    <x v="4"/>
    <n v="14"/>
  </r>
  <r>
    <x v="6"/>
    <x v="24"/>
    <x v="0"/>
    <x v="5"/>
    <x v="0"/>
    <n v="3"/>
  </r>
  <r>
    <x v="6"/>
    <x v="25"/>
    <x v="2"/>
    <x v="13"/>
    <x v="0"/>
    <n v="13"/>
  </r>
  <r>
    <x v="6"/>
    <x v="26"/>
    <x v="7"/>
    <x v="11"/>
    <x v="0"/>
    <n v="14"/>
  </r>
  <r>
    <x v="6"/>
    <x v="27"/>
    <x v="1"/>
    <x v="14"/>
    <x v="0"/>
    <n v="5"/>
  </r>
  <r>
    <x v="6"/>
    <x v="28"/>
    <x v="4"/>
    <x v="6"/>
    <x v="2"/>
    <n v="12"/>
  </r>
  <r>
    <x v="6"/>
    <x v="29"/>
    <x v="1"/>
    <x v="15"/>
    <x v="0"/>
    <n v="10"/>
  </r>
  <r>
    <x v="6"/>
    <x v="30"/>
    <x v="2"/>
    <x v="0"/>
    <x v="0"/>
    <n v="3"/>
  </r>
  <r>
    <x v="6"/>
    <x v="31"/>
    <x v="2"/>
    <x v="14"/>
    <x v="0"/>
    <n v="6"/>
  </r>
</pivotCacheRecords>
</file>

<file path=xl/pivotCache/pivotCacheRecords21.xml><?xml version="1.0" encoding="utf-8"?>
<pivotCacheRecords xmlns="http://schemas.openxmlformats.org/spreadsheetml/2006/main" xmlns:r="http://schemas.openxmlformats.org/officeDocument/2006/relationships" count="3">
  <r>
    <x v="0"/>
  </r>
  <r>
    <x v="1"/>
  </r>
  <r>
    <x v="2"/>
  </r>
</pivotCacheRecords>
</file>

<file path=xl/pivotCache/pivotCacheRecords22.xml><?xml version="1.0" encoding="utf-8"?>
<pivotCacheRecords xmlns="http://schemas.openxmlformats.org/spreadsheetml/2006/main" xmlns:r="http://schemas.openxmlformats.org/officeDocument/2006/relationships" count="36">
  <r>
    <x v="0"/>
    <x v="0"/>
    <n v="5311"/>
    <n v="2914"/>
    <n v="54.9"/>
    <n v="0.55000000000000004"/>
    <n v="525964"/>
  </r>
  <r>
    <x v="1"/>
    <x v="1"/>
    <n v="8894"/>
    <n v="4750"/>
    <n v="53.4"/>
    <n v="0.99"/>
    <n v="479897"/>
  </r>
  <r>
    <x v="1"/>
    <x v="2"/>
    <n v="7902"/>
    <n v="4428"/>
    <n v="56"/>
    <n v="0.97"/>
    <n v="455604"/>
  </r>
  <r>
    <x v="2"/>
    <x v="3"/>
    <s v="NULL"/>
    <s v="NULL"/>
    <s v="NULL"/>
    <s v="NULL"/>
    <s v="NULL"/>
  </r>
  <r>
    <x v="0"/>
    <x v="1"/>
    <n v="7028"/>
    <n v="3984"/>
    <n v="56.7"/>
    <n v="0.85"/>
    <n v="467642"/>
  </r>
  <r>
    <x v="0"/>
    <x v="2"/>
    <n v="6863"/>
    <n v="3917"/>
    <n v="57.1"/>
    <n v="0.87"/>
    <n v="449892"/>
  </r>
  <r>
    <x v="1"/>
    <x v="0"/>
    <n v="5988"/>
    <n v="3276"/>
    <n v="54.7"/>
    <n v="0.62"/>
    <n v="530637"/>
  </r>
  <r>
    <x v="3"/>
    <x v="4"/>
    <n v="7150"/>
    <n v="3749"/>
    <n v="52.4"/>
    <n v="0.72"/>
    <n v="518089"/>
  </r>
  <r>
    <x v="3"/>
    <x v="5"/>
    <n v="7304"/>
    <n v="3557"/>
    <n v="48.7"/>
    <n v="0.7"/>
    <n v="505001"/>
  </r>
  <r>
    <x v="1"/>
    <x v="4"/>
    <n v="8378"/>
    <n v="4745"/>
    <n v="56.6"/>
    <n v="0.93"/>
    <n v="509500"/>
  </r>
  <r>
    <x v="1"/>
    <x v="5"/>
    <n v="8563"/>
    <n v="4675"/>
    <n v="54.6"/>
    <n v="0.95"/>
    <n v="494416"/>
  </r>
  <r>
    <x v="3"/>
    <x v="0"/>
    <n v="5605"/>
    <n v="2755"/>
    <n v="49.2"/>
    <n v="0.51"/>
    <n v="536037"/>
  </r>
  <r>
    <x v="3"/>
    <x v="1"/>
    <n v="7626"/>
    <n v="3533"/>
    <n v="46.3"/>
    <n v="0.7"/>
    <n v="501595"/>
  </r>
  <r>
    <x v="3"/>
    <x v="2"/>
    <n v="6945"/>
    <n v="3404"/>
    <n v="49"/>
    <n v="0.73"/>
    <n v="467052"/>
  </r>
  <r>
    <x v="0"/>
    <x v="4"/>
    <n v="7233"/>
    <n v="4167"/>
    <n v="57.6"/>
    <n v="0.83"/>
    <n v="504692"/>
  </r>
  <r>
    <x v="4"/>
    <x v="4"/>
    <n v="8141"/>
    <n v="4633"/>
    <n v="56.9"/>
    <n v="0.9"/>
    <n v="512529"/>
  </r>
  <r>
    <x v="4"/>
    <x v="5"/>
    <n v="8219"/>
    <n v="4493"/>
    <n v="54.7"/>
    <n v="0.9"/>
    <n v="498164"/>
  </r>
  <r>
    <x v="5"/>
    <x v="0"/>
    <n v="5681"/>
    <n v="2968"/>
    <n v="52.2"/>
    <n v="0.56000000000000005"/>
    <n v="534275"/>
  </r>
  <r>
    <x v="6"/>
    <x v="1"/>
    <n v="2334"/>
    <n v="1264"/>
    <n v="54.2"/>
    <n v="0.25"/>
    <n v="506063"/>
  </r>
  <r>
    <x v="6"/>
    <x v="2"/>
    <n v="2092"/>
    <n v="1179"/>
    <n v="56.4"/>
    <n v="0.25"/>
    <n v="469008"/>
  </r>
  <r>
    <x v="7"/>
    <x v="5"/>
    <n v="7988"/>
    <n v="4450"/>
    <n v="55.7"/>
    <n v="0.91"/>
    <n v="490270"/>
  </r>
  <r>
    <x v="5"/>
    <x v="1"/>
    <n v="7416"/>
    <n v="3798"/>
    <n v="51.2"/>
    <n v="0.77"/>
    <n v="493970"/>
  </r>
  <r>
    <x v="5"/>
    <x v="2"/>
    <n v="7075"/>
    <n v="3690"/>
    <n v="52.2"/>
    <n v="0.8"/>
    <n v="463248"/>
  </r>
  <r>
    <x v="6"/>
    <x v="0"/>
    <n v="1880"/>
    <n v="1045"/>
    <n v="55.6"/>
    <n v="0.19"/>
    <n v="536888"/>
  </r>
  <r>
    <x v="7"/>
    <x v="0"/>
    <n v="5853"/>
    <n v="3157"/>
    <n v="53.9"/>
    <n v="0.6"/>
    <n v="528323"/>
  </r>
  <r>
    <x v="7"/>
    <x v="1"/>
    <n v="8176"/>
    <n v="4368"/>
    <n v="53.4"/>
    <n v="0.92"/>
    <n v="472964"/>
  </r>
  <r>
    <x v="7"/>
    <x v="2"/>
    <n v="7333"/>
    <n v="4100"/>
    <n v="55.9"/>
    <n v="0.9"/>
    <n v="453045"/>
  </r>
  <r>
    <x v="6"/>
    <x v="4"/>
    <n v="2356"/>
    <n v="1305"/>
    <n v="55.4"/>
    <n v="0.25"/>
    <n v="518933"/>
  </r>
  <r>
    <x v="6"/>
    <x v="5"/>
    <n v="2255"/>
    <n v="1198"/>
    <n v="53.1"/>
    <n v="0.24"/>
    <n v="507851"/>
  </r>
  <r>
    <x v="0"/>
    <x v="5"/>
    <n v="7002"/>
    <n v="3879"/>
    <n v="55.4"/>
    <n v="0.79"/>
    <n v="488191"/>
  </r>
  <r>
    <x v="4"/>
    <x v="1"/>
    <n v="8476"/>
    <n v="4510"/>
    <n v="53.2"/>
    <n v="0.93"/>
    <n v="487395"/>
  </r>
  <r>
    <x v="4"/>
    <x v="2"/>
    <n v="7497"/>
    <n v="4265"/>
    <n v="56.9"/>
    <n v="0.93"/>
    <n v="459499"/>
  </r>
  <r>
    <x v="7"/>
    <x v="4"/>
    <n v="8111"/>
    <n v="4507"/>
    <n v="55.6"/>
    <n v="0.89"/>
    <n v="506910"/>
  </r>
  <r>
    <x v="4"/>
    <x v="0"/>
    <n v="6009"/>
    <n v="3169"/>
    <n v="52.7"/>
    <n v="0.6"/>
    <n v="532256"/>
  </r>
  <r>
    <x v="5"/>
    <x v="4"/>
    <n v="7502"/>
    <n v="4073"/>
    <n v="54.3"/>
    <n v="0.79"/>
    <n v="514316"/>
  </r>
  <r>
    <x v="5"/>
    <x v="5"/>
    <n v="7665"/>
    <n v="3983"/>
    <n v="52"/>
    <n v="0.8"/>
    <n v="500858"/>
  </r>
</pivotCacheRecords>
</file>

<file path=xl/pivotCache/pivotCacheRecords23.xml><?xml version="1.0" encoding="utf-8"?>
<pivotCacheRecords xmlns="http://schemas.openxmlformats.org/spreadsheetml/2006/main" xmlns:r="http://schemas.openxmlformats.org/officeDocument/2006/relationships" count="105">
  <r>
    <x v="0"/>
    <x v="0"/>
    <s v="Hospital / Prison"/>
    <n v="330"/>
    <n v="2088.25"/>
    <n v="4"/>
    <n v="37.5"/>
    <m/>
    <m/>
    <m/>
    <m/>
  </r>
  <r>
    <x v="0"/>
    <x v="1"/>
    <s v="Care Home"/>
    <n v="1456"/>
    <n v="8821.25"/>
    <n v="50"/>
    <n v="482.25"/>
    <n v="1"/>
    <n v="31"/>
    <m/>
    <m/>
  </r>
  <r>
    <x v="0"/>
    <x v="2"/>
    <s v="HMO"/>
    <n v="1871"/>
    <n v="7024.75"/>
    <n v="76"/>
    <n v="361.75"/>
    <n v="2"/>
    <n v="19.25"/>
    <n v="1"/>
    <n v="7.5"/>
  </r>
  <r>
    <x v="0"/>
    <x v="3"/>
    <s v="Hostel"/>
    <n v="127"/>
    <n v="588.75"/>
    <n v="11"/>
    <n v="66.25"/>
    <m/>
    <m/>
    <n v="1"/>
    <n v="5.5"/>
  </r>
  <r>
    <x v="0"/>
    <x v="4"/>
    <s v="Hotel"/>
    <n v="1022"/>
    <n v="6361.5"/>
    <n v="87"/>
    <n v="868.25"/>
    <n v="6"/>
    <n v="150.5"/>
    <m/>
    <m/>
  </r>
  <r>
    <x v="0"/>
    <x v="5"/>
    <s v="Other Sleeping Accommodation"/>
    <n v="234"/>
    <n v="1136.75"/>
    <n v="17"/>
    <n v="120"/>
    <m/>
    <m/>
    <m/>
    <m/>
  </r>
  <r>
    <x v="0"/>
    <x v="6"/>
    <s v="Further Education"/>
    <n v="27"/>
    <n v="201"/>
    <n v="1"/>
    <n v="4.75"/>
    <m/>
    <m/>
    <m/>
    <m/>
  </r>
  <r>
    <x v="0"/>
    <x v="7"/>
    <s v="Public Building"/>
    <n v="67"/>
    <n v="370.5"/>
    <n v="1"/>
    <n v="7.25"/>
    <m/>
    <m/>
    <m/>
    <m/>
  </r>
  <r>
    <x v="0"/>
    <x v="8"/>
    <s v="Licensed Premises"/>
    <n v="553"/>
    <n v="2713"/>
    <n v="43"/>
    <n v="383.25"/>
    <m/>
    <m/>
    <m/>
    <m/>
  </r>
  <r>
    <x v="0"/>
    <x v="9"/>
    <s v="School"/>
    <n v="257"/>
    <n v="1527"/>
    <n v="3"/>
    <n v="23.5"/>
    <m/>
    <m/>
    <m/>
    <m/>
  </r>
  <r>
    <x v="0"/>
    <x v="10"/>
    <s v="Shop"/>
    <n v="644"/>
    <n v="3222.75"/>
    <n v="39"/>
    <n v="284.75"/>
    <m/>
    <m/>
    <m/>
    <m/>
  </r>
  <r>
    <x v="0"/>
    <x v="11"/>
    <s v="Other Premises Open to Public"/>
    <n v="343"/>
    <n v="1793.75"/>
    <n v="13"/>
    <n v="95"/>
    <m/>
    <m/>
    <n v="1"/>
    <n v="12.5"/>
  </r>
  <r>
    <x v="0"/>
    <x v="12"/>
    <s v="Factory or Warehouse"/>
    <n v="388"/>
    <n v="2008.75"/>
    <n v="24"/>
    <n v="214.75"/>
    <m/>
    <m/>
    <m/>
    <m/>
  </r>
  <r>
    <x v="0"/>
    <x v="13"/>
    <s v="Office"/>
    <n v="333"/>
    <n v="1754.75"/>
    <n v="11"/>
    <n v="75"/>
    <n v="1"/>
    <n v="5.5"/>
    <m/>
    <m/>
  </r>
  <r>
    <x v="0"/>
    <x v="14"/>
    <s v="Other Workplace"/>
    <n v="164"/>
    <n v="872.25"/>
    <n v="10"/>
    <n v="110.25"/>
    <m/>
    <m/>
    <m/>
    <m/>
  </r>
  <r>
    <x v="1"/>
    <x v="0"/>
    <s v="Hospital / Prison"/>
    <n v="409"/>
    <n v="2440"/>
    <n v="42"/>
    <n v="504.75"/>
    <n v="1"/>
    <n v="32"/>
    <m/>
    <m/>
  </r>
  <r>
    <x v="1"/>
    <x v="1"/>
    <s v="Care Home"/>
    <n v="1667"/>
    <n v="9716.25"/>
    <n v="93"/>
    <n v="978.75"/>
    <n v="3"/>
    <n v="76.25"/>
    <m/>
    <m/>
  </r>
  <r>
    <x v="1"/>
    <x v="2"/>
    <s v="HMO"/>
    <n v="2916"/>
    <n v="10285.25"/>
    <n v="146"/>
    <n v="902.5"/>
    <n v="2"/>
    <n v="14.5"/>
    <n v="1"/>
    <n v="3.75"/>
  </r>
  <r>
    <x v="1"/>
    <x v="3"/>
    <s v="Hostel"/>
    <n v="109"/>
    <n v="654.75"/>
    <n v="10"/>
    <n v="118.75"/>
    <n v="1"/>
    <n v="26.5"/>
    <m/>
    <m/>
  </r>
  <r>
    <x v="1"/>
    <x v="4"/>
    <s v="Hotel"/>
    <n v="1100"/>
    <n v="6862.25"/>
    <n v="163"/>
    <n v="2008.25"/>
    <n v="14"/>
    <n v="436.5"/>
    <m/>
    <m/>
  </r>
  <r>
    <x v="1"/>
    <x v="5"/>
    <s v="Other Sleeping Accommodation"/>
    <n v="317"/>
    <n v="1475"/>
    <n v="34"/>
    <n v="285.75"/>
    <m/>
    <m/>
    <m/>
    <m/>
  </r>
  <r>
    <x v="1"/>
    <x v="6"/>
    <s v="Further Education"/>
    <n v="35"/>
    <n v="248.75"/>
    <n v="1"/>
    <n v="6.5"/>
    <m/>
    <m/>
    <m/>
    <m/>
  </r>
  <r>
    <x v="1"/>
    <x v="7"/>
    <s v="Public Building"/>
    <n v="48"/>
    <n v="249.5"/>
    <n v="1"/>
    <n v="20.25"/>
    <m/>
    <m/>
    <m/>
    <m/>
  </r>
  <r>
    <x v="1"/>
    <x v="8"/>
    <s v="Licensed Premises"/>
    <n v="437"/>
    <n v="2243.5"/>
    <n v="57"/>
    <n v="475.25"/>
    <n v="2"/>
    <n v="26.25"/>
    <m/>
    <m/>
  </r>
  <r>
    <x v="1"/>
    <x v="9"/>
    <s v="School"/>
    <n v="216"/>
    <n v="1257"/>
    <n v="12"/>
    <n v="100"/>
    <m/>
    <m/>
    <n v="1"/>
    <n v="2.5"/>
  </r>
  <r>
    <x v="1"/>
    <x v="10"/>
    <s v="Shop"/>
    <n v="598"/>
    <n v="3214.5"/>
    <n v="41"/>
    <n v="283"/>
    <m/>
    <m/>
    <n v="1"/>
    <n v="11.5"/>
  </r>
  <r>
    <x v="1"/>
    <x v="11"/>
    <s v="Other Premises Open to Public"/>
    <n v="303"/>
    <n v="1550.75"/>
    <n v="17"/>
    <n v="153"/>
    <m/>
    <m/>
    <m/>
    <m/>
  </r>
  <r>
    <x v="1"/>
    <x v="12"/>
    <s v="Factory or Warehouse"/>
    <n v="476"/>
    <n v="2044.25"/>
    <n v="9"/>
    <n v="74.75"/>
    <m/>
    <m/>
    <m/>
    <m/>
  </r>
  <r>
    <x v="1"/>
    <x v="13"/>
    <s v="Office"/>
    <n v="364"/>
    <n v="1734.75"/>
    <n v="15"/>
    <n v="95.75"/>
    <m/>
    <m/>
    <m/>
    <m/>
  </r>
  <r>
    <x v="1"/>
    <x v="14"/>
    <s v="Other Workplace"/>
    <n v="190"/>
    <n v="988.5"/>
    <n v="8"/>
    <n v="62.25"/>
    <m/>
    <m/>
    <n v="1"/>
    <n v="5.5"/>
  </r>
  <r>
    <x v="2"/>
    <x v="0"/>
    <s v="Hospital / Prison"/>
    <n v="359"/>
    <n v="1911.75"/>
    <n v="37"/>
    <n v="370.75"/>
    <m/>
    <m/>
    <m/>
    <m/>
  </r>
  <r>
    <x v="2"/>
    <x v="1"/>
    <s v="Care Home"/>
    <n v="1660"/>
    <n v="9324.75"/>
    <n v="59"/>
    <n v="711.5"/>
    <m/>
    <m/>
    <m/>
    <m/>
  </r>
  <r>
    <x v="2"/>
    <x v="2"/>
    <s v="HMO"/>
    <n v="2531"/>
    <n v="8986"/>
    <n v="119"/>
    <n v="614"/>
    <n v="9"/>
    <n v="69.25"/>
    <n v="4"/>
    <n v="22.25"/>
  </r>
  <r>
    <x v="2"/>
    <x v="3"/>
    <s v="Hostel"/>
    <n v="119"/>
    <n v="607"/>
    <n v="9"/>
    <n v="83.5"/>
    <n v="1"/>
    <n v="6.75"/>
    <m/>
    <m/>
  </r>
  <r>
    <x v="2"/>
    <x v="4"/>
    <s v="Hotel"/>
    <n v="990"/>
    <n v="5995.25"/>
    <n v="148"/>
    <n v="1626.25"/>
    <n v="8"/>
    <n v="268.5"/>
    <n v="3"/>
    <n v="20.75"/>
  </r>
  <r>
    <x v="2"/>
    <x v="5"/>
    <s v="Other Sleeping Accommodation"/>
    <n v="338"/>
    <n v="1664"/>
    <n v="33"/>
    <n v="287.5"/>
    <n v="2"/>
    <n v="39"/>
    <n v="2"/>
    <n v="7.25"/>
  </r>
  <r>
    <x v="2"/>
    <x v="6"/>
    <s v="Further Education"/>
    <n v="20"/>
    <n v="104.5"/>
    <n v="1"/>
    <n v="11.5"/>
    <m/>
    <m/>
    <m/>
    <m/>
  </r>
  <r>
    <x v="2"/>
    <x v="7"/>
    <s v="Public Building"/>
    <n v="63"/>
    <n v="340.5"/>
    <n v="3"/>
    <n v="33.25"/>
    <m/>
    <m/>
    <m/>
    <m/>
  </r>
  <r>
    <x v="2"/>
    <x v="8"/>
    <s v="Licensed Premises"/>
    <n v="421"/>
    <n v="2155.5"/>
    <n v="61"/>
    <n v="470.25"/>
    <n v="1"/>
    <n v="11.75"/>
    <n v="1"/>
    <n v="8.5"/>
  </r>
  <r>
    <x v="2"/>
    <x v="9"/>
    <s v="School"/>
    <n v="350"/>
    <n v="2174"/>
    <n v="13"/>
    <n v="160.75"/>
    <m/>
    <m/>
    <m/>
    <m/>
  </r>
  <r>
    <x v="2"/>
    <x v="10"/>
    <s v="Shop"/>
    <n v="497"/>
    <n v="2570.75"/>
    <n v="26"/>
    <n v="227.75"/>
    <m/>
    <m/>
    <n v="2"/>
    <n v="13.5"/>
  </r>
  <r>
    <x v="2"/>
    <x v="11"/>
    <s v="Other Premises Open to Public"/>
    <n v="221"/>
    <n v="1244.75"/>
    <n v="14"/>
    <n v="103.25"/>
    <m/>
    <m/>
    <m/>
    <m/>
  </r>
  <r>
    <x v="2"/>
    <x v="12"/>
    <s v="Factory or Warehouse"/>
    <n v="319"/>
    <n v="1744"/>
    <n v="10"/>
    <n v="102.75"/>
    <m/>
    <m/>
    <m/>
    <m/>
  </r>
  <r>
    <x v="2"/>
    <x v="13"/>
    <s v="Office"/>
    <n v="264"/>
    <n v="1213.5"/>
    <n v="11"/>
    <n v="97.25"/>
    <m/>
    <m/>
    <m/>
    <m/>
  </r>
  <r>
    <x v="2"/>
    <x v="14"/>
    <s v="Other Workplace"/>
    <n v="233"/>
    <n v="1339.75"/>
    <n v="10"/>
    <n v="90.5"/>
    <m/>
    <m/>
    <m/>
    <m/>
  </r>
  <r>
    <x v="3"/>
    <x v="0"/>
    <s v="Hospital / Prison"/>
    <n v="342"/>
    <n v="1662"/>
    <n v="25"/>
    <n v="274.25"/>
    <m/>
    <m/>
    <m/>
    <m/>
  </r>
  <r>
    <x v="3"/>
    <x v="1"/>
    <s v="Care Home"/>
    <n v="1599"/>
    <n v="8671.5"/>
    <n v="54"/>
    <n v="593.75"/>
    <m/>
    <m/>
    <m/>
    <m/>
  </r>
  <r>
    <x v="3"/>
    <x v="2"/>
    <s v="HMO"/>
    <n v="1986"/>
    <n v="7167.75"/>
    <n v="91"/>
    <n v="794.5"/>
    <n v="2"/>
    <n v="51.75"/>
    <n v="4"/>
    <n v="16.25"/>
  </r>
  <r>
    <x v="3"/>
    <x v="3"/>
    <s v="Hostel"/>
    <n v="94"/>
    <n v="573.5"/>
    <n v="10"/>
    <n v="114.75"/>
    <m/>
    <m/>
    <n v="1"/>
    <n v="2"/>
  </r>
  <r>
    <x v="3"/>
    <x v="4"/>
    <s v="Hotel"/>
    <n v="1018"/>
    <n v="5856.5"/>
    <n v="149"/>
    <n v="1800.5"/>
    <n v="9"/>
    <n v="378.75"/>
    <n v="6"/>
    <n v="72.5"/>
  </r>
  <r>
    <x v="3"/>
    <x v="5"/>
    <s v="Other Sleeping Accommodation"/>
    <n v="375"/>
    <n v="1755"/>
    <n v="33"/>
    <n v="257.25"/>
    <m/>
    <m/>
    <n v="1"/>
    <n v="7.5"/>
  </r>
  <r>
    <x v="3"/>
    <x v="6"/>
    <s v="Further Education"/>
    <n v="34"/>
    <n v="183"/>
    <n v="3"/>
    <n v="56.5"/>
    <m/>
    <m/>
    <m/>
    <m/>
  </r>
  <r>
    <x v="3"/>
    <x v="7"/>
    <s v="Public Building"/>
    <n v="55"/>
    <n v="288"/>
    <n v="4"/>
    <n v="35.75"/>
    <m/>
    <m/>
    <m/>
    <m/>
  </r>
  <r>
    <x v="3"/>
    <x v="8"/>
    <s v="Licensed Premises"/>
    <n v="294"/>
    <n v="1469.5"/>
    <n v="38"/>
    <n v="329.5"/>
    <n v="3"/>
    <n v="32"/>
    <n v="3"/>
    <n v="17.75"/>
  </r>
  <r>
    <x v="3"/>
    <x v="9"/>
    <s v="School"/>
    <n v="255"/>
    <n v="1437.75"/>
    <n v="13"/>
    <n v="146.5"/>
    <m/>
    <m/>
    <m/>
    <m/>
  </r>
  <r>
    <x v="3"/>
    <x v="10"/>
    <s v="Shop"/>
    <n v="344"/>
    <n v="1674.75"/>
    <n v="18"/>
    <n v="138.25"/>
    <n v="1"/>
    <n v="3"/>
    <n v="2"/>
    <n v="12.5"/>
  </r>
  <r>
    <x v="3"/>
    <x v="11"/>
    <s v="Other Premises Open to Public"/>
    <n v="225"/>
    <n v="1105.5"/>
    <n v="15"/>
    <n v="122.25"/>
    <m/>
    <m/>
    <m/>
    <m/>
  </r>
  <r>
    <x v="3"/>
    <x v="12"/>
    <s v="Factory or Warehouse"/>
    <n v="222"/>
    <n v="1205.75"/>
    <n v="6"/>
    <n v="53.25"/>
    <m/>
    <m/>
    <m/>
    <m/>
  </r>
  <r>
    <x v="3"/>
    <x v="13"/>
    <s v="Office"/>
    <n v="217"/>
    <n v="1101.5"/>
    <n v="3"/>
    <n v="26"/>
    <m/>
    <m/>
    <m/>
    <m/>
  </r>
  <r>
    <x v="3"/>
    <x v="14"/>
    <s v="Other Workplace"/>
    <n v="107"/>
    <n v="536.5"/>
    <n v="6"/>
    <n v="39"/>
    <m/>
    <m/>
    <m/>
    <m/>
  </r>
  <r>
    <x v="4"/>
    <x v="0"/>
    <s v="Hospital / Prison"/>
    <n v="449"/>
    <n v="2244.5"/>
    <n v="22"/>
    <n v="166.5"/>
    <m/>
    <m/>
    <m/>
    <m/>
  </r>
  <r>
    <x v="4"/>
    <x v="1"/>
    <s v="Care Home"/>
    <n v="1731"/>
    <n v="9112.75"/>
    <n v="44"/>
    <n v="463.25"/>
    <n v="1"/>
    <n v="33.25"/>
    <m/>
    <m/>
  </r>
  <r>
    <x v="4"/>
    <x v="2"/>
    <s v="HMO"/>
    <n v="1804"/>
    <n v="6780"/>
    <n v="58"/>
    <n v="572.5"/>
    <n v="5"/>
    <n v="167.25"/>
    <n v="12"/>
    <n v="181.25"/>
  </r>
  <r>
    <x v="4"/>
    <x v="3"/>
    <s v="Hostel"/>
    <n v="85"/>
    <n v="435.5"/>
    <n v="3"/>
    <n v="61.25"/>
    <n v="1"/>
    <n v="38.25"/>
    <m/>
    <m/>
  </r>
  <r>
    <x v="4"/>
    <x v="4"/>
    <s v="Hotel"/>
    <n v="921"/>
    <n v="5130.75"/>
    <n v="109"/>
    <n v="1313.75"/>
    <n v="5"/>
    <n v="154"/>
    <n v="4"/>
    <n v="34"/>
  </r>
  <r>
    <x v="4"/>
    <x v="5"/>
    <s v="Other Sleeping Accommodation"/>
    <n v="301"/>
    <n v="1377.25"/>
    <n v="22"/>
    <n v="192.75"/>
    <m/>
    <m/>
    <m/>
    <m/>
  </r>
  <r>
    <x v="4"/>
    <x v="6"/>
    <s v="Further Education"/>
    <n v="30"/>
    <n v="199.75"/>
    <n v="1"/>
    <n v="11.25"/>
    <m/>
    <m/>
    <m/>
    <m/>
  </r>
  <r>
    <x v="4"/>
    <x v="7"/>
    <s v="Public Building"/>
    <n v="59"/>
    <n v="321.75"/>
    <n v="1"/>
    <n v="14"/>
    <m/>
    <m/>
    <m/>
    <m/>
  </r>
  <r>
    <x v="4"/>
    <x v="8"/>
    <s v="Licensed Premises"/>
    <n v="329"/>
    <n v="1704"/>
    <n v="45"/>
    <n v="386.75"/>
    <n v="5"/>
    <n v="80"/>
    <m/>
    <m/>
  </r>
  <r>
    <x v="4"/>
    <x v="9"/>
    <s v="School"/>
    <n v="457"/>
    <n v="2188.5"/>
    <n v="13"/>
    <n v="156.75"/>
    <m/>
    <m/>
    <m/>
    <m/>
  </r>
  <r>
    <x v="4"/>
    <x v="10"/>
    <s v="Shop"/>
    <n v="366"/>
    <n v="1827.5"/>
    <n v="16"/>
    <n v="156.5"/>
    <n v="3"/>
    <n v="45.25"/>
    <n v="3"/>
    <n v="16"/>
  </r>
  <r>
    <x v="4"/>
    <x v="11"/>
    <s v="Other Premises Open to Public"/>
    <n v="273"/>
    <n v="1407.5"/>
    <n v="10"/>
    <n v="106.75"/>
    <m/>
    <m/>
    <n v="1"/>
    <n v="6.25"/>
  </r>
  <r>
    <x v="4"/>
    <x v="12"/>
    <s v="Factory or Warehouse"/>
    <n v="261"/>
    <n v="1459.5"/>
    <n v="6"/>
    <n v="50.75"/>
    <m/>
    <m/>
    <m/>
    <m/>
  </r>
  <r>
    <x v="4"/>
    <x v="13"/>
    <s v="Office"/>
    <n v="263"/>
    <n v="1314"/>
    <n v="4"/>
    <n v="38"/>
    <m/>
    <m/>
    <m/>
    <m/>
  </r>
  <r>
    <x v="4"/>
    <x v="14"/>
    <s v="Other Workplace"/>
    <n v="179"/>
    <n v="949"/>
    <n v="10"/>
    <n v="68.5"/>
    <n v="1"/>
    <m/>
    <m/>
    <m/>
  </r>
  <r>
    <x v="5"/>
    <x v="0"/>
    <s v="Hospital / Prison"/>
    <n v="294"/>
    <m/>
    <n v="4"/>
    <m/>
    <m/>
    <m/>
    <m/>
    <m/>
  </r>
  <r>
    <x v="5"/>
    <x v="1"/>
    <s v="Care Home"/>
    <n v="1451"/>
    <m/>
    <n v="35"/>
    <m/>
    <m/>
    <m/>
    <m/>
    <m/>
  </r>
  <r>
    <x v="5"/>
    <x v="2"/>
    <s v="HMO"/>
    <n v="1738"/>
    <m/>
    <n v="213"/>
    <m/>
    <n v="1"/>
    <m/>
    <n v="5"/>
    <m/>
  </r>
  <r>
    <x v="5"/>
    <x v="3"/>
    <s v="Hostel"/>
    <n v="70"/>
    <m/>
    <n v="1"/>
    <m/>
    <m/>
    <m/>
    <m/>
    <m/>
  </r>
  <r>
    <x v="5"/>
    <x v="4"/>
    <s v="Hotel"/>
    <n v="1017"/>
    <m/>
    <n v="64"/>
    <m/>
    <m/>
    <m/>
    <m/>
    <m/>
  </r>
  <r>
    <x v="5"/>
    <x v="5"/>
    <s v="Other Sleeping Accommodation"/>
    <n v="458"/>
    <m/>
    <n v="12"/>
    <m/>
    <m/>
    <m/>
    <n v="2"/>
    <m/>
  </r>
  <r>
    <x v="5"/>
    <x v="6"/>
    <s v="Further Education"/>
    <n v="25"/>
    <m/>
    <m/>
    <m/>
    <m/>
    <m/>
    <m/>
    <m/>
  </r>
  <r>
    <x v="5"/>
    <x v="7"/>
    <s v="Public Building"/>
    <n v="38"/>
    <m/>
    <n v="1"/>
    <m/>
    <m/>
    <m/>
    <m/>
    <m/>
  </r>
  <r>
    <x v="5"/>
    <x v="8"/>
    <s v="Licensed Premises"/>
    <n v="259"/>
    <m/>
    <n v="30"/>
    <m/>
    <m/>
    <m/>
    <n v="1"/>
    <m/>
  </r>
  <r>
    <x v="5"/>
    <x v="9"/>
    <s v="School"/>
    <n v="266"/>
    <m/>
    <n v="5"/>
    <m/>
    <m/>
    <m/>
    <m/>
    <m/>
  </r>
  <r>
    <x v="5"/>
    <x v="10"/>
    <s v="Shop"/>
    <n v="350"/>
    <m/>
    <n v="8"/>
    <m/>
    <m/>
    <m/>
    <n v="1"/>
    <m/>
  </r>
  <r>
    <x v="5"/>
    <x v="11"/>
    <s v="Other Premises Open to Public"/>
    <n v="275"/>
    <m/>
    <n v="4"/>
    <m/>
    <m/>
    <m/>
    <n v="2"/>
    <m/>
  </r>
  <r>
    <x v="5"/>
    <x v="12"/>
    <s v="Factory or Warehouse"/>
    <n v="234"/>
    <m/>
    <n v="7"/>
    <m/>
    <m/>
    <m/>
    <n v="1"/>
    <m/>
  </r>
  <r>
    <x v="5"/>
    <x v="13"/>
    <s v="Office"/>
    <n v="283"/>
    <m/>
    <n v="2"/>
    <m/>
    <m/>
    <m/>
    <m/>
    <m/>
  </r>
  <r>
    <x v="5"/>
    <x v="14"/>
    <s v="Other Workplace"/>
    <n v="115"/>
    <m/>
    <n v="2"/>
    <m/>
    <m/>
    <m/>
    <m/>
    <m/>
  </r>
  <r>
    <x v="6"/>
    <x v="0"/>
    <s v="Hospital / Prison"/>
    <n v="212"/>
    <n v="1131.5"/>
    <n v="8"/>
    <n v="173"/>
    <m/>
    <m/>
    <m/>
    <m/>
  </r>
  <r>
    <x v="6"/>
    <x v="1"/>
    <s v="Care Home"/>
    <n v="1326"/>
    <n v="7506.25"/>
    <n v="16"/>
    <n v="203.5"/>
    <m/>
    <m/>
    <m/>
    <m/>
  </r>
  <r>
    <x v="6"/>
    <x v="2"/>
    <s v="HMO"/>
    <n v="774"/>
    <n v="2858.25"/>
    <n v="35"/>
    <n v="369.5"/>
    <n v="1"/>
    <n v="41.25"/>
    <m/>
    <m/>
  </r>
  <r>
    <x v="6"/>
    <x v="3"/>
    <s v="Hostel"/>
    <n v="34"/>
    <n v="117"/>
    <n v="3"/>
    <n v="48.75"/>
    <m/>
    <m/>
    <m/>
    <m/>
  </r>
  <r>
    <x v="6"/>
    <x v="4"/>
    <s v="Hotel"/>
    <n v="206"/>
    <n v="1195.25"/>
    <n v="24"/>
    <n v="285.25"/>
    <n v="1"/>
    <n v="54.5"/>
    <m/>
    <m/>
  </r>
  <r>
    <x v="6"/>
    <x v="5"/>
    <s v="Other Sleeping Accommodation"/>
    <n v="109"/>
    <n v="561.5"/>
    <n v="6"/>
    <n v="63.5"/>
    <n v="1"/>
    <n v="27.5"/>
    <m/>
    <m/>
  </r>
  <r>
    <x v="6"/>
    <x v="6"/>
    <s v="Further Education"/>
    <n v="10"/>
    <n v="66.5"/>
    <m/>
    <m/>
    <m/>
    <m/>
    <m/>
    <m/>
  </r>
  <r>
    <x v="6"/>
    <x v="7"/>
    <s v="Public Building"/>
    <n v="6"/>
    <n v="28"/>
    <m/>
    <m/>
    <m/>
    <m/>
    <m/>
    <m/>
  </r>
  <r>
    <x v="6"/>
    <x v="8"/>
    <s v="Licensed Premises"/>
    <n v="67"/>
    <n v="372.75"/>
    <n v="6"/>
    <n v="50"/>
    <m/>
    <m/>
    <n v="1"/>
    <m/>
  </r>
  <r>
    <x v="6"/>
    <x v="9"/>
    <s v="School"/>
    <n v="66"/>
    <n v="355.25"/>
    <n v="1"/>
    <n v="31.25"/>
    <m/>
    <m/>
    <m/>
    <m/>
  </r>
  <r>
    <x v="6"/>
    <x v="10"/>
    <s v="Shop"/>
    <n v="119"/>
    <n v="667.5"/>
    <n v="6"/>
    <n v="56.25"/>
    <m/>
    <m/>
    <n v="1"/>
    <n v="4"/>
  </r>
  <r>
    <x v="6"/>
    <x v="11"/>
    <s v="Other Premises Open to Public"/>
    <n v="59"/>
    <n v="366.5"/>
    <n v="3"/>
    <n v="27.25"/>
    <m/>
    <m/>
    <m/>
    <m/>
  </r>
  <r>
    <x v="6"/>
    <x v="12"/>
    <s v="Factory or Warehouse"/>
    <n v="82"/>
    <n v="493.75"/>
    <n v="2"/>
    <n v="11.25"/>
    <m/>
    <m/>
    <m/>
    <m/>
  </r>
  <r>
    <x v="6"/>
    <x v="13"/>
    <s v="Office"/>
    <n v="62"/>
    <n v="288.25"/>
    <m/>
    <m/>
    <m/>
    <m/>
    <m/>
    <m/>
  </r>
  <r>
    <x v="6"/>
    <x v="14"/>
    <s v="Other Workplace"/>
    <n v="48"/>
    <n v="270.5"/>
    <n v="2"/>
    <n v="19.25"/>
    <m/>
    <m/>
    <n v="1"/>
    <n v="20"/>
  </r>
</pivotCacheRecords>
</file>

<file path=xl/pivotCache/pivotCacheRecords24.xml><?xml version="1.0" encoding="utf-8"?>
<pivotCacheRecords xmlns="http://schemas.openxmlformats.org/spreadsheetml/2006/main" xmlns:r="http://schemas.openxmlformats.org/officeDocument/2006/relationships" count="159">
  <r>
    <x v="0"/>
    <x v="0"/>
    <x v="0"/>
    <n v="154"/>
    <n v="0"/>
    <n v="0"/>
    <n v="0"/>
  </r>
  <r>
    <x v="0"/>
    <x v="0"/>
    <x v="1"/>
    <n v="30"/>
    <n v="0"/>
    <n v="0"/>
    <n v="0"/>
  </r>
  <r>
    <x v="0"/>
    <x v="0"/>
    <x v="2"/>
    <n v="28"/>
    <n v="0"/>
    <n v="0"/>
    <n v="0"/>
  </r>
  <r>
    <x v="0"/>
    <x v="0"/>
    <x v="3"/>
    <n v="54"/>
    <n v="0"/>
    <n v="0"/>
    <n v="0"/>
  </r>
  <r>
    <x v="0"/>
    <x v="0"/>
    <x v="4"/>
    <n v="297"/>
    <n v="0"/>
    <n v="0"/>
    <n v="0"/>
  </r>
  <r>
    <x v="0"/>
    <x v="0"/>
    <x v="5"/>
    <n v="25"/>
    <n v="0"/>
    <n v="0"/>
    <n v="0"/>
  </r>
  <r>
    <x v="0"/>
    <x v="0"/>
    <x v="6"/>
    <n v="53"/>
    <n v="0"/>
    <n v="0"/>
    <n v="0"/>
  </r>
  <r>
    <x v="0"/>
    <x v="0"/>
    <x v="7"/>
    <n v="177"/>
    <n v="0"/>
    <n v="0"/>
    <n v="0"/>
  </r>
  <r>
    <x v="0"/>
    <x v="0"/>
    <x v="8"/>
    <n v="47"/>
    <n v="0"/>
    <n v="0"/>
    <n v="0"/>
  </r>
  <r>
    <x v="0"/>
    <x v="0"/>
    <x v="9"/>
    <n v="78"/>
    <n v="0"/>
    <n v="0"/>
    <n v="0"/>
  </r>
  <r>
    <x v="0"/>
    <x v="0"/>
    <x v="10"/>
    <n v="24"/>
    <n v="0"/>
    <n v="0"/>
    <n v="0"/>
  </r>
  <r>
    <x v="0"/>
    <x v="0"/>
    <x v="11"/>
    <n v="52"/>
    <n v="0"/>
    <n v="0"/>
    <n v="0"/>
  </r>
  <r>
    <x v="0"/>
    <x v="0"/>
    <x v="12"/>
    <n v="88"/>
    <n v="0"/>
    <n v="0"/>
    <n v="0"/>
  </r>
  <r>
    <x v="0"/>
    <x v="0"/>
    <x v="13"/>
    <n v="274"/>
    <n v="0"/>
    <n v="0"/>
    <n v="0"/>
  </r>
  <r>
    <x v="0"/>
    <x v="0"/>
    <x v="14"/>
    <n v="515"/>
    <n v="0"/>
    <n v="0"/>
    <n v="0"/>
  </r>
  <r>
    <x v="0"/>
    <x v="0"/>
    <x v="15"/>
    <n v="70"/>
    <n v="0"/>
    <n v="0"/>
    <n v="0"/>
  </r>
  <r>
    <x v="0"/>
    <x v="0"/>
    <x v="16"/>
    <n v="72"/>
    <n v="0"/>
    <n v="0"/>
    <n v="0"/>
  </r>
  <r>
    <x v="0"/>
    <x v="0"/>
    <x v="17"/>
    <n v="26"/>
    <n v="0"/>
    <n v="0"/>
    <n v="0"/>
  </r>
  <r>
    <x v="0"/>
    <x v="0"/>
    <x v="18"/>
    <n v="30"/>
    <n v="0"/>
    <n v="0"/>
    <n v="0"/>
  </r>
  <r>
    <x v="0"/>
    <x v="0"/>
    <x v="19"/>
    <n v="0"/>
    <n v="0"/>
    <n v="0"/>
    <n v="0"/>
  </r>
  <r>
    <x v="0"/>
    <x v="0"/>
    <x v="20"/>
    <n v="76"/>
    <n v="0"/>
    <n v="0"/>
    <n v="0"/>
  </r>
  <r>
    <x v="0"/>
    <x v="0"/>
    <x v="21"/>
    <n v="166"/>
    <n v="0"/>
    <n v="0"/>
    <n v="0"/>
  </r>
  <r>
    <x v="0"/>
    <x v="0"/>
    <x v="22"/>
    <n v="0"/>
    <n v="0"/>
    <n v="0"/>
    <n v="0"/>
  </r>
  <r>
    <x v="0"/>
    <x v="0"/>
    <x v="23"/>
    <n v="69"/>
    <n v="0"/>
    <n v="0"/>
    <n v="0"/>
  </r>
  <r>
    <x v="0"/>
    <x v="0"/>
    <x v="24"/>
    <n v="99"/>
    <n v="0"/>
    <n v="0"/>
    <n v="0"/>
  </r>
  <r>
    <x v="0"/>
    <x v="0"/>
    <x v="25"/>
    <n v="56"/>
    <n v="0"/>
    <n v="0"/>
    <n v="0"/>
  </r>
  <r>
    <x v="0"/>
    <x v="0"/>
    <x v="26"/>
    <n v="0"/>
    <n v="0"/>
    <n v="0"/>
    <n v="0"/>
  </r>
  <r>
    <x v="0"/>
    <x v="0"/>
    <x v="27"/>
    <n v="50"/>
    <n v="0"/>
    <n v="0"/>
    <n v="0"/>
  </r>
  <r>
    <x v="0"/>
    <x v="0"/>
    <x v="28"/>
    <n v="167"/>
    <n v="0"/>
    <n v="0"/>
    <n v="0"/>
  </r>
  <r>
    <x v="0"/>
    <x v="0"/>
    <x v="29"/>
    <n v="49"/>
    <n v="0"/>
    <n v="0"/>
    <n v="0"/>
  </r>
  <r>
    <x v="0"/>
    <x v="0"/>
    <x v="30"/>
    <n v="73"/>
    <n v="0"/>
    <n v="0"/>
    <n v="0"/>
  </r>
  <r>
    <x v="0"/>
    <x v="0"/>
    <x v="31"/>
    <n v="56"/>
    <n v="0"/>
    <n v="0"/>
    <n v="0"/>
  </r>
  <r>
    <x v="0"/>
    <x v="1"/>
    <x v="0"/>
    <n v="0"/>
    <n v="7"/>
    <n v="9"/>
    <n v="0"/>
  </r>
  <r>
    <x v="0"/>
    <x v="1"/>
    <x v="32"/>
    <n v="0"/>
    <n v="11"/>
    <n v="14"/>
    <n v="0"/>
  </r>
  <r>
    <x v="0"/>
    <x v="1"/>
    <x v="33"/>
    <n v="0"/>
    <n v="12"/>
    <n v="14"/>
    <n v="0"/>
  </r>
  <r>
    <x v="0"/>
    <x v="1"/>
    <x v="34"/>
    <n v="0"/>
    <n v="9"/>
    <n v="13"/>
    <n v="0"/>
  </r>
  <r>
    <x v="0"/>
    <x v="1"/>
    <x v="35"/>
    <n v="0"/>
    <n v="13"/>
    <n v="16"/>
    <n v="0"/>
  </r>
  <r>
    <x v="0"/>
    <x v="1"/>
    <x v="36"/>
    <n v="0"/>
    <n v="13"/>
    <n v="12"/>
    <n v="0"/>
  </r>
  <r>
    <x v="0"/>
    <x v="1"/>
    <x v="37"/>
    <n v="0"/>
    <n v="11"/>
    <n v="14"/>
    <n v="0"/>
  </r>
  <r>
    <x v="0"/>
    <x v="1"/>
    <x v="38"/>
    <n v="0"/>
    <n v="9"/>
    <n v="5"/>
    <n v="0"/>
  </r>
  <r>
    <x v="0"/>
    <x v="1"/>
    <x v="39"/>
    <n v="0"/>
    <n v="10"/>
    <n v="20"/>
    <n v="0"/>
  </r>
  <r>
    <x v="0"/>
    <x v="1"/>
    <x v="40"/>
    <n v="0"/>
    <n v="9"/>
    <n v="11"/>
    <n v="0"/>
  </r>
  <r>
    <x v="0"/>
    <x v="1"/>
    <x v="13"/>
    <n v="0"/>
    <n v="8"/>
    <n v="10"/>
    <n v="0"/>
  </r>
  <r>
    <x v="0"/>
    <x v="1"/>
    <x v="14"/>
    <n v="0"/>
    <n v="14"/>
    <n v="11"/>
    <n v="0"/>
  </r>
  <r>
    <x v="0"/>
    <x v="1"/>
    <x v="41"/>
    <n v="0"/>
    <n v="19"/>
    <n v="26"/>
    <n v="0"/>
  </r>
  <r>
    <x v="0"/>
    <x v="1"/>
    <x v="21"/>
    <n v="0"/>
    <n v="8"/>
    <n v="9"/>
    <n v="0"/>
  </r>
  <r>
    <x v="0"/>
    <x v="1"/>
    <x v="28"/>
    <n v="0"/>
    <n v="9"/>
    <n v="7"/>
    <n v="0"/>
  </r>
  <r>
    <x v="0"/>
    <x v="1"/>
    <x v="42"/>
    <n v="0"/>
    <n v="9"/>
    <n v="9"/>
    <n v="0"/>
  </r>
  <r>
    <x v="0"/>
    <x v="1"/>
    <x v="43"/>
    <n v="0"/>
    <n v="9"/>
    <n v="7"/>
    <n v="0"/>
  </r>
  <r>
    <x v="0"/>
    <x v="2"/>
    <x v="44"/>
    <n v="0"/>
    <n v="11"/>
    <n v="26"/>
    <n v="0"/>
  </r>
  <r>
    <x v="0"/>
    <x v="2"/>
    <x v="45"/>
    <n v="0"/>
    <n v="12"/>
    <n v="18"/>
    <n v="0"/>
  </r>
  <r>
    <x v="0"/>
    <x v="2"/>
    <x v="46"/>
    <n v="0"/>
    <n v="18"/>
    <n v="61"/>
    <n v="0"/>
  </r>
  <r>
    <x v="0"/>
    <x v="3"/>
    <x v="47"/>
    <n v="0"/>
    <n v="43"/>
    <n v="46"/>
    <n v="60"/>
  </r>
  <r>
    <x v="1"/>
    <x v="0"/>
    <x v="0"/>
    <n v="155"/>
    <n v="0"/>
    <n v="0"/>
    <n v="0"/>
  </r>
  <r>
    <x v="1"/>
    <x v="0"/>
    <x v="1"/>
    <n v="32"/>
    <n v="0"/>
    <n v="0"/>
    <n v="0"/>
  </r>
  <r>
    <x v="1"/>
    <x v="0"/>
    <x v="2"/>
    <n v="27"/>
    <n v="0"/>
    <n v="0"/>
    <n v="0"/>
  </r>
  <r>
    <x v="1"/>
    <x v="0"/>
    <x v="3"/>
    <n v="53"/>
    <n v="0"/>
    <n v="0"/>
    <n v="0"/>
  </r>
  <r>
    <x v="1"/>
    <x v="0"/>
    <x v="4"/>
    <n v="306"/>
    <n v="0"/>
    <n v="0"/>
    <n v="0"/>
  </r>
  <r>
    <x v="1"/>
    <x v="0"/>
    <x v="5"/>
    <n v="25"/>
    <n v="0"/>
    <n v="0"/>
    <n v="0"/>
  </r>
  <r>
    <x v="1"/>
    <x v="0"/>
    <x v="6"/>
    <n v="52"/>
    <n v="0"/>
    <n v="0"/>
    <n v="0"/>
  </r>
  <r>
    <x v="1"/>
    <x v="0"/>
    <x v="7"/>
    <n v="182"/>
    <n v="0"/>
    <n v="0"/>
    <n v="0"/>
  </r>
  <r>
    <x v="1"/>
    <x v="0"/>
    <x v="8"/>
    <n v="49"/>
    <n v="0"/>
    <n v="0"/>
    <n v="0"/>
  </r>
  <r>
    <x v="1"/>
    <x v="0"/>
    <x v="9"/>
    <n v="79"/>
    <n v="0"/>
    <n v="0"/>
    <n v="0"/>
  </r>
  <r>
    <x v="1"/>
    <x v="0"/>
    <x v="10"/>
    <n v="25"/>
    <n v="0"/>
    <n v="0"/>
    <n v="0"/>
  </r>
  <r>
    <x v="1"/>
    <x v="0"/>
    <x v="11"/>
    <n v="50"/>
    <n v="0"/>
    <n v="0"/>
    <n v="0"/>
  </r>
  <r>
    <x v="1"/>
    <x v="0"/>
    <x v="12"/>
    <n v="88"/>
    <n v="0"/>
    <n v="0"/>
    <n v="0"/>
  </r>
  <r>
    <x v="1"/>
    <x v="0"/>
    <x v="13"/>
    <n v="269"/>
    <n v="0"/>
    <n v="0"/>
    <n v="0"/>
  </r>
  <r>
    <x v="1"/>
    <x v="0"/>
    <x v="14"/>
    <n v="517"/>
    <n v="0"/>
    <n v="0"/>
    <n v="0"/>
  </r>
  <r>
    <x v="1"/>
    <x v="0"/>
    <x v="15"/>
    <n v="71"/>
    <n v="0"/>
    <n v="0"/>
    <n v="0"/>
  </r>
  <r>
    <x v="1"/>
    <x v="0"/>
    <x v="16"/>
    <n v="70"/>
    <n v="0"/>
    <n v="0"/>
    <n v="0"/>
  </r>
  <r>
    <x v="1"/>
    <x v="0"/>
    <x v="17"/>
    <n v="26"/>
    <n v="0"/>
    <n v="0"/>
    <n v="0"/>
  </r>
  <r>
    <x v="1"/>
    <x v="0"/>
    <x v="18"/>
    <n v="30"/>
    <n v="0"/>
    <n v="0"/>
    <n v="0"/>
  </r>
  <r>
    <x v="1"/>
    <x v="0"/>
    <x v="19"/>
    <n v="0"/>
    <n v="0"/>
    <n v="0"/>
    <n v="0"/>
  </r>
  <r>
    <x v="1"/>
    <x v="0"/>
    <x v="20"/>
    <n v="75"/>
    <n v="0"/>
    <n v="0"/>
    <n v="0"/>
  </r>
  <r>
    <x v="1"/>
    <x v="0"/>
    <x v="21"/>
    <n v="163"/>
    <n v="0"/>
    <n v="0"/>
    <n v="0"/>
  </r>
  <r>
    <x v="1"/>
    <x v="0"/>
    <x v="22"/>
    <n v="0"/>
    <n v="0"/>
    <n v="0"/>
    <n v="0"/>
  </r>
  <r>
    <x v="1"/>
    <x v="0"/>
    <x v="23"/>
    <n v="67"/>
    <n v="0"/>
    <n v="0"/>
    <n v="0"/>
  </r>
  <r>
    <x v="1"/>
    <x v="0"/>
    <x v="24"/>
    <n v="102"/>
    <n v="0"/>
    <n v="0"/>
    <n v="0"/>
  </r>
  <r>
    <x v="1"/>
    <x v="0"/>
    <x v="25"/>
    <n v="53"/>
    <n v="0"/>
    <n v="0"/>
    <n v="0"/>
  </r>
  <r>
    <x v="1"/>
    <x v="0"/>
    <x v="26"/>
    <n v="0"/>
    <n v="0"/>
    <n v="0"/>
    <n v="0"/>
  </r>
  <r>
    <x v="1"/>
    <x v="0"/>
    <x v="27"/>
    <n v="50"/>
    <n v="0"/>
    <n v="0"/>
    <n v="0"/>
  </r>
  <r>
    <x v="1"/>
    <x v="0"/>
    <x v="28"/>
    <n v="168"/>
    <n v="0"/>
    <n v="0"/>
    <n v="0"/>
  </r>
  <r>
    <x v="1"/>
    <x v="0"/>
    <x v="29"/>
    <n v="51"/>
    <n v="0"/>
    <n v="0"/>
    <n v="0"/>
  </r>
  <r>
    <x v="1"/>
    <x v="0"/>
    <x v="30"/>
    <n v="73"/>
    <n v="0"/>
    <n v="0"/>
    <n v="0"/>
  </r>
  <r>
    <x v="1"/>
    <x v="0"/>
    <x v="31"/>
    <n v="58"/>
    <n v="0"/>
    <n v="0"/>
    <n v="0"/>
  </r>
  <r>
    <x v="1"/>
    <x v="1"/>
    <x v="0"/>
    <n v="0"/>
    <n v="6"/>
    <n v="7"/>
    <n v="0"/>
  </r>
  <r>
    <x v="1"/>
    <x v="1"/>
    <x v="32"/>
    <n v="0"/>
    <n v="13"/>
    <n v="12"/>
    <n v="0"/>
  </r>
  <r>
    <x v="1"/>
    <x v="1"/>
    <x v="33"/>
    <n v="0"/>
    <n v="12"/>
    <n v="16"/>
    <n v="0"/>
  </r>
  <r>
    <x v="1"/>
    <x v="1"/>
    <x v="34"/>
    <n v="0"/>
    <n v="9"/>
    <n v="13"/>
    <n v="0"/>
  </r>
  <r>
    <x v="1"/>
    <x v="1"/>
    <x v="35"/>
    <n v="0"/>
    <n v="14"/>
    <n v="17"/>
    <n v="0"/>
  </r>
  <r>
    <x v="1"/>
    <x v="1"/>
    <x v="36"/>
    <n v="0"/>
    <n v="14"/>
    <n v="14"/>
    <n v="0"/>
  </r>
  <r>
    <x v="1"/>
    <x v="1"/>
    <x v="37"/>
    <n v="0"/>
    <n v="11"/>
    <n v="18"/>
    <n v="0"/>
  </r>
  <r>
    <x v="1"/>
    <x v="1"/>
    <x v="38"/>
    <n v="0"/>
    <n v="9"/>
    <n v="4"/>
    <n v="0"/>
  </r>
  <r>
    <x v="1"/>
    <x v="1"/>
    <x v="39"/>
    <n v="0"/>
    <n v="10"/>
    <n v="18"/>
    <n v="0"/>
  </r>
  <r>
    <x v="1"/>
    <x v="1"/>
    <x v="40"/>
    <n v="0"/>
    <n v="9"/>
    <n v="10"/>
    <n v="0"/>
  </r>
  <r>
    <x v="1"/>
    <x v="1"/>
    <x v="13"/>
    <m/>
    <m/>
    <m/>
    <m/>
  </r>
  <r>
    <x v="1"/>
    <x v="1"/>
    <x v="14"/>
    <n v="0"/>
    <n v="16"/>
    <n v="9"/>
    <n v="0"/>
  </r>
  <r>
    <x v="1"/>
    <x v="1"/>
    <x v="41"/>
    <n v="0"/>
    <n v="18"/>
    <n v="20"/>
    <n v="0"/>
  </r>
  <r>
    <x v="1"/>
    <x v="1"/>
    <x v="21"/>
    <n v="0"/>
    <n v="8"/>
    <n v="8"/>
    <n v="0"/>
  </r>
  <r>
    <x v="1"/>
    <x v="1"/>
    <x v="28"/>
    <n v="0"/>
    <n v="9"/>
    <n v="7"/>
    <n v="0"/>
  </r>
  <r>
    <x v="1"/>
    <x v="1"/>
    <x v="48"/>
    <n v="0"/>
    <n v="17"/>
    <n v="21"/>
    <n v="0"/>
  </r>
  <r>
    <x v="1"/>
    <x v="1"/>
    <x v="43"/>
    <n v="0"/>
    <n v="9"/>
    <n v="5"/>
    <n v="0"/>
  </r>
  <r>
    <x v="1"/>
    <x v="2"/>
    <x v="44"/>
    <n v="0"/>
    <n v="13"/>
    <n v="39"/>
    <n v="0"/>
  </r>
  <r>
    <x v="1"/>
    <x v="2"/>
    <x v="45"/>
    <n v="0"/>
    <n v="12"/>
    <n v="30"/>
    <n v="0"/>
  </r>
  <r>
    <x v="1"/>
    <x v="2"/>
    <x v="46"/>
    <n v="0"/>
    <n v="27"/>
    <n v="76"/>
    <n v="0"/>
  </r>
  <r>
    <x v="1"/>
    <x v="3"/>
    <x v="47"/>
    <n v="0"/>
    <n v="34"/>
    <n v="7"/>
    <n v="49"/>
  </r>
  <r>
    <x v="2"/>
    <x v="0"/>
    <x v="0"/>
    <n v="149"/>
    <n v="0"/>
    <n v="0"/>
    <n v="0"/>
  </r>
  <r>
    <x v="2"/>
    <x v="0"/>
    <x v="1"/>
    <n v="29"/>
    <n v="0"/>
    <n v="0"/>
    <n v="0"/>
  </r>
  <r>
    <x v="2"/>
    <x v="0"/>
    <x v="2"/>
    <n v="27"/>
    <n v="0"/>
    <n v="0"/>
    <n v="0"/>
  </r>
  <r>
    <x v="2"/>
    <x v="0"/>
    <x v="3"/>
    <n v="52"/>
    <n v="0"/>
    <n v="0"/>
    <n v="0"/>
  </r>
  <r>
    <x v="2"/>
    <x v="0"/>
    <x v="4"/>
    <n v="300"/>
    <n v="0"/>
    <n v="0"/>
    <n v="0"/>
  </r>
  <r>
    <x v="2"/>
    <x v="0"/>
    <x v="5"/>
    <n v="24"/>
    <n v="0"/>
    <n v="0"/>
    <n v="0"/>
  </r>
  <r>
    <x v="2"/>
    <x v="0"/>
    <x v="6"/>
    <n v="51"/>
    <n v="0"/>
    <n v="0"/>
    <n v="0"/>
  </r>
  <r>
    <x v="2"/>
    <x v="0"/>
    <x v="7"/>
    <n v="182"/>
    <n v="0"/>
    <n v="0"/>
    <n v="0"/>
  </r>
  <r>
    <x v="2"/>
    <x v="0"/>
    <x v="8"/>
    <n v="47"/>
    <n v="0"/>
    <n v="0"/>
    <n v="0"/>
  </r>
  <r>
    <x v="2"/>
    <x v="0"/>
    <x v="9"/>
    <n v="76"/>
    <n v="0"/>
    <n v="0"/>
    <n v="0"/>
  </r>
  <r>
    <x v="2"/>
    <x v="0"/>
    <x v="10"/>
    <n v="26"/>
    <n v="0"/>
    <n v="0"/>
    <n v="0"/>
  </r>
  <r>
    <x v="2"/>
    <x v="0"/>
    <x v="11"/>
    <n v="48"/>
    <n v="0"/>
    <n v="0"/>
    <n v="0"/>
  </r>
  <r>
    <x v="2"/>
    <x v="0"/>
    <x v="12"/>
    <n v="88"/>
    <n v="0"/>
    <n v="0"/>
    <n v="0"/>
  </r>
  <r>
    <x v="2"/>
    <x v="0"/>
    <x v="13"/>
    <n v="254"/>
    <n v="0"/>
    <n v="0"/>
    <n v="0"/>
  </r>
  <r>
    <x v="2"/>
    <x v="0"/>
    <x v="14"/>
    <n v="499"/>
    <n v="0"/>
    <n v="0"/>
    <n v="0"/>
  </r>
  <r>
    <x v="2"/>
    <x v="0"/>
    <x v="15"/>
    <n v="74"/>
    <n v="0"/>
    <n v="0"/>
    <n v="0"/>
  </r>
  <r>
    <x v="2"/>
    <x v="0"/>
    <x v="16"/>
    <n v="70"/>
    <n v="0"/>
    <n v="0"/>
    <n v="0"/>
  </r>
  <r>
    <x v="2"/>
    <x v="0"/>
    <x v="17"/>
    <n v="27"/>
    <n v="0"/>
    <n v="0"/>
    <n v="0"/>
  </r>
  <r>
    <x v="2"/>
    <x v="0"/>
    <x v="18"/>
    <n v="30"/>
    <n v="0"/>
    <n v="0"/>
    <n v="0"/>
  </r>
  <r>
    <x v="2"/>
    <x v="0"/>
    <x v="19"/>
    <n v="0"/>
    <n v="0"/>
    <n v="0"/>
    <n v="0"/>
  </r>
  <r>
    <x v="2"/>
    <x v="0"/>
    <x v="20"/>
    <n v="75"/>
    <n v="0"/>
    <n v="0"/>
    <n v="0"/>
  </r>
  <r>
    <x v="2"/>
    <x v="0"/>
    <x v="21"/>
    <n v="160"/>
    <n v="0"/>
    <n v="0"/>
    <n v="0"/>
  </r>
  <r>
    <x v="2"/>
    <x v="0"/>
    <x v="22"/>
    <n v="0"/>
    <n v="0"/>
    <n v="0"/>
    <n v="0"/>
  </r>
  <r>
    <x v="2"/>
    <x v="0"/>
    <x v="23"/>
    <n v="63"/>
    <n v="0"/>
    <n v="0"/>
    <n v="0"/>
  </r>
  <r>
    <x v="2"/>
    <x v="0"/>
    <x v="24"/>
    <n v="100"/>
    <n v="0"/>
    <n v="0"/>
    <n v="0"/>
  </r>
  <r>
    <x v="2"/>
    <x v="0"/>
    <x v="25"/>
    <n v="51"/>
    <n v="0"/>
    <n v="0"/>
    <n v="0"/>
  </r>
  <r>
    <x v="2"/>
    <x v="0"/>
    <x v="26"/>
    <n v="0"/>
    <n v="0"/>
    <n v="0"/>
    <n v="0"/>
  </r>
  <r>
    <x v="2"/>
    <x v="0"/>
    <x v="27"/>
    <n v="51"/>
    <n v="0"/>
    <n v="0"/>
    <n v="0"/>
  </r>
  <r>
    <x v="2"/>
    <x v="0"/>
    <x v="28"/>
    <n v="168"/>
    <n v="0"/>
    <n v="0"/>
    <n v="0"/>
  </r>
  <r>
    <x v="2"/>
    <x v="0"/>
    <x v="29"/>
    <n v="52"/>
    <n v="0"/>
    <n v="0"/>
    <n v="0"/>
  </r>
  <r>
    <x v="2"/>
    <x v="0"/>
    <x v="30"/>
    <n v="73"/>
    <n v="0"/>
    <n v="0"/>
    <n v="0"/>
  </r>
  <r>
    <x v="2"/>
    <x v="0"/>
    <x v="31"/>
    <n v="57"/>
    <n v="0"/>
    <n v="0"/>
    <n v="0"/>
  </r>
  <r>
    <x v="2"/>
    <x v="1"/>
    <x v="0"/>
    <n v="0"/>
    <n v="6"/>
    <n v="6"/>
    <n v="0"/>
  </r>
  <r>
    <x v="2"/>
    <x v="1"/>
    <x v="32"/>
    <n v="0"/>
    <n v="13"/>
    <n v="13"/>
    <n v="0"/>
  </r>
  <r>
    <x v="2"/>
    <x v="1"/>
    <x v="33"/>
    <n v="0"/>
    <n v="11"/>
    <n v="15"/>
    <n v="0"/>
  </r>
  <r>
    <x v="2"/>
    <x v="1"/>
    <x v="34"/>
    <n v="0"/>
    <n v="9"/>
    <n v="12"/>
    <n v="0"/>
  </r>
  <r>
    <x v="2"/>
    <x v="1"/>
    <x v="35"/>
    <n v="0"/>
    <n v="13"/>
    <n v="15"/>
    <n v="0"/>
  </r>
  <r>
    <x v="2"/>
    <x v="1"/>
    <x v="36"/>
    <n v="0"/>
    <n v="13"/>
    <n v="14"/>
    <n v="0"/>
  </r>
  <r>
    <x v="2"/>
    <x v="1"/>
    <x v="37"/>
    <n v="0"/>
    <n v="11"/>
    <n v="17"/>
    <n v="0"/>
  </r>
  <r>
    <x v="2"/>
    <x v="1"/>
    <x v="38"/>
    <n v="0"/>
    <n v="10"/>
    <n v="7"/>
    <n v="0"/>
  </r>
  <r>
    <x v="2"/>
    <x v="1"/>
    <x v="39"/>
    <n v="0"/>
    <n v="11"/>
    <n v="18"/>
    <n v="0"/>
  </r>
  <r>
    <x v="2"/>
    <x v="1"/>
    <x v="40"/>
    <n v="0"/>
    <n v="8"/>
    <n v="11"/>
    <n v="0"/>
  </r>
  <r>
    <x v="2"/>
    <x v="1"/>
    <x v="13"/>
    <m/>
    <m/>
    <m/>
    <m/>
  </r>
  <r>
    <x v="2"/>
    <x v="1"/>
    <x v="14"/>
    <n v="0"/>
    <n v="15"/>
    <n v="11"/>
    <n v="0"/>
  </r>
  <r>
    <x v="2"/>
    <x v="1"/>
    <x v="41"/>
    <n v="0"/>
    <n v="17"/>
    <n v="18"/>
    <n v="0"/>
  </r>
  <r>
    <x v="2"/>
    <x v="1"/>
    <x v="21"/>
    <n v="0"/>
    <n v="8"/>
    <n v="7"/>
    <n v="0"/>
  </r>
  <r>
    <x v="2"/>
    <x v="1"/>
    <x v="28"/>
    <n v="0"/>
    <n v="9"/>
    <n v="7"/>
    <n v="0"/>
  </r>
  <r>
    <x v="2"/>
    <x v="1"/>
    <x v="48"/>
    <n v="0"/>
    <n v="16"/>
    <n v="21"/>
    <n v="0"/>
  </r>
  <r>
    <x v="2"/>
    <x v="1"/>
    <x v="43"/>
    <n v="0"/>
    <n v="11"/>
    <n v="4"/>
    <n v="0"/>
  </r>
  <r>
    <x v="2"/>
    <x v="2"/>
    <x v="44"/>
    <n v="0"/>
    <n v="8"/>
    <n v="38"/>
    <n v="20"/>
  </r>
  <r>
    <x v="2"/>
    <x v="2"/>
    <x v="45"/>
    <n v="0"/>
    <n v="10"/>
    <n v="32"/>
    <n v="13"/>
  </r>
  <r>
    <x v="2"/>
    <x v="2"/>
    <x v="46"/>
    <n v="0"/>
    <n v="13"/>
    <n v="53"/>
    <n v="25"/>
  </r>
  <r>
    <x v="2"/>
    <x v="3"/>
    <x v="47"/>
    <n v="0"/>
    <n v="61"/>
    <n v="30"/>
    <n v="1"/>
  </r>
</pivotCacheRecords>
</file>

<file path=xl/pivotCache/pivotCacheRecords25.xml><?xml version="1.0" encoding="utf-8"?>
<pivotCacheRecords xmlns="http://schemas.openxmlformats.org/spreadsheetml/2006/main" xmlns:r="http://schemas.openxmlformats.org/officeDocument/2006/relationships" count="43">
  <r>
    <x v="0"/>
    <x v="0"/>
    <n v="223"/>
    <n v="199"/>
    <n v="24"/>
  </r>
  <r>
    <x v="0"/>
    <x v="1"/>
    <n v="2940"/>
    <n v="178"/>
    <n v="2762"/>
  </r>
  <r>
    <x v="0"/>
    <x v="2"/>
    <n v="961"/>
    <n v="545"/>
    <n v="416"/>
  </r>
  <r>
    <x v="0"/>
    <x v="3"/>
    <n v="359"/>
    <n v="52"/>
    <n v="307"/>
  </r>
  <r>
    <x v="0"/>
    <x v="4"/>
    <n v="4001"/>
    <n v="159"/>
    <n v="3842"/>
  </r>
  <r>
    <x v="1"/>
    <x v="0"/>
    <n v="230"/>
    <n v="192"/>
    <n v="38"/>
  </r>
  <r>
    <x v="1"/>
    <x v="1"/>
    <n v="2950"/>
    <n v="172"/>
    <n v="2778"/>
  </r>
  <r>
    <x v="1"/>
    <x v="2"/>
    <n v="867"/>
    <n v="480"/>
    <n v="387"/>
  </r>
  <r>
    <x v="1"/>
    <x v="3"/>
    <n v="378"/>
    <n v="56"/>
    <n v="322"/>
  </r>
  <r>
    <x v="1"/>
    <x v="4"/>
    <n v="3856"/>
    <n v="164"/>
    <n v="3692"/>
  </r>
  <r>
    <x v="2"/>
    <x v="0"/>
    <n v="203"/>
    <n v="171"/>
    <n v="32"/>
  </r>
  <r>
    <x v="2"/>
    <x v="1"/>
    <n v="2870"/>
    <n v="163"/>
    <n v="2707"/>
  </r>
  <r>
    <x v="2"/>
    <x v="2"/>
    <n v="828"/>
    <n v="463"/>
    <n v="365"/>
  </r>
  <r>
    <x v="2"/>
    <x v="3"/>
    <n v="342"/>
    <n v="56"/>
    <n v="286"/>
  </r>
  <r>
    <x v="2"/>
    <x v="4"/>
    <n v="3690"/>
    <n v="167"/>
    <n v="3523"/>
  </r>
  <r>
    <x v="3"/>
    <x v="0"/>
    <n v="165"/>
    <n v="139"/>
    <n v="26"/>
  </r>
  <r>
    <x v="3"/>
    <x v="1"/>
    <n v="2870"/>
    <n v="158"/>
    <n v="2712"/>
  </r>
  <r>
    <x v="3"/>
    <x v="2"/>
    <n v="838"/>
    <n v="466"/>
    <n v="372"/>
  </r>
  <r>
    <x v="3"/>
    <x v="3"/>
    <n v="316"/>
    <n v="48"/>
    <n v="268"/>
  </r>
  <r>
    <x v="3"/>
    <x v="4"/>
    <n v="3645"/>
    <n v="178"/>
    <n v="3467"/>
  </r>
  <r>
    <x v="4"/>
    <x v="0"/>
    <n v="189"/>
    <n v="158"/>
    <n v="31"/>
  </r>
  <r>
    <x v="4"/>
    <x v="1"/>
    <n v="2863"/>
    <n v="171"/>
    <n v="2692"/>
  </r>
  <r>
    <x v="4"/>
    <x v="2"/>
    <n v="846"/>
    <n v="476"/>
    <n v="370"/>
  </r>
  <r>
    <x v="4"/>
    <x v="3"/>
    <n v="332"/>
    <n v="55"/>
    <n v="277"/>
  </r>
  <r>
    <x v="4"/>
    <x v="4"/>
    <n v="3546"/>
    <n v="175"/>
    <n v="3371"/>
  </r>
  <r>
    <x v="5"/>
    <x v="0"/>
    <n v="207"/>
    <n v="172"/>
    <n v="35"/>
  </r>
  <r>
    <x v="5"/>
    <x v="1"/>
    <n v="2935"/>
    <n v="201"/>
    <n v="2734"/>
  </r>
  <r>
    <x v="5"/>
    <x v="5"/>
    <n v="18"/>
    <n v="1"/>
    <n v="17"/>
  </r>
  <r>
    <x v="5"/>
    <x v="2"/>
    <n v="792"/>
    <n v="427"/>
    <n v="365"/>
  </r>
  <r>
    <x v="5"/>
    <x v="3"/>
    <n v="317"/>
    <n v="54"/>
    <n v="263"/>
  </r>
  <r>
    <x v="5"/>
    <x v="4"/>
    <n v="3637"/>
    <n v="196"/>
    <n v="3441"/>
  </r>
  <r>
    <x v="6"/>
    <x v="0"/>
    <n v="188"/>
    <n v="156"/>
    <n v="32"/>
  </r>
  <r>
    <x v="6"/>
    <x v="1"/>
    <n v="2937"/>
    <n v="208"/>
    <n v="2729"/>
  </r>
  <r>
    <x v="6"/>
    <x v="5"/>
    <n v="36"/>
    <n v="7"/>
    <n v="29"/>
  </r>
  <r>
    <x v="6"/>
    <x v="2"/>
    <n v="817"/>
    <n v="447"/>
    <n v="370"/>
  </r>
  <r>
    <x v="6"/>
    <x v="3"/>
    <n v="315"/>
    <n v="54"/>
    <n v="261"/>
  </r>
  <r>
    <x v="6"/>
    <x v="4"/>
    <n v="3636"/>
    <n v="222"/>
    <n v="3414"/>
  </r>
  <r>
    <x v="7"/>
    <x v="0"/>
    <n v="182"/>
    <n v="151"/>
    <n v="31"/>
  </r>
  <r>
    <x v="7"/>
    <x v="1"/>
    <n v="2872"/>
    <n v="197"/>
    <n v="2675"/>
  </r>
  <r>
    <x v="7"/>
    <x v="5"/>
    <n v="54"/>
    <n v="11"/>
    <n v="43"/>
  </r>
  <r>
    <x v="7"/>
    <x v="2"/>
    <n v="836"/>
    <n v="461"/>
    <n v="375"/>
  </r>
  <r>
    <x v="7"/>
    <x v="3"/>
    <n v="303"/>
    <n v="52"/>
    <n v="251"/>
  </r>
  <r>
    <x v="7"/>
    <x v="4"/>
    <n v="3584"/>
    <n v="219"/>
    <n v="3365"/>
  </r>
</pivotCacheRecords>
</file>

<file path=xl/pivotCache/pivotCacheRecords26.xml><?xml version="1.0" encoding="utf-8"?>
<pivotCacheRecords xmlns="http://schemas.openxmlformats.org/spreadsheetml/2006/main" xmlns:r="http://schemas.openxmlformats.org/officeDocument/2006/relationships" count="93">
  <r>
    <x v="0"/>
    <n v="302"/>
    <n v="438"/>
    <m/>
    <n v="12"/>
    <n v="69"/>
    <n v="32"/>
    <s v="Age Range"/>
    <x v="0"/>
  </r>
  <r>
    <x v="0"/>
    <n v="1254"/>
    <n v="691"/>
    <m/>
    <n v="46"/>
    <n v="174"/>
    <n v="58"/>
    <s v="Age Range"/>
    <x v="1"/>
  </r>
  <r>
    <x v="0"/>
    <n v="888"/>
    <n v="540"/>
    <m/>
    <n v="34"/>
    <n v="142"/>
    <n v="63"/>
    <s v="Age Range"/>
    <x v="2"/>
  </r>
  <r>
    <x v="0"/>
    <n v="1024"/>
    <n v="635"/>
    <m/>
    <n v="42"/>
    <n v="153"/>
    <n v="89"/>
    <s v="Age Range"/>
    <x v="3"/>
  </r>
  <r>
    <x v="0"/>
    <n v="486"/>
    <n v="370"/>
    <m/>
    <n v="52"/>
    <n v="160"/>
    <n v="48"/>
    <s v="Age Range"/>
    <x v="4"/>
  </r>
  <r>
    <x v="0"/>
    <n v="47"/>
    <n v="253"/>
    <m/>
    <n v="37"/>
    <n v="248"/>
    <n v="38"/>
    <s v="Age Range"/>
    <x v="5"/>
  </r>
  <r>
    <x v="0"/>
    <m/>
    <m/>
    <m/>
    <m/>
    <n v="15"/>
    <n v="2"/>
    <s v="Age Range"/>
    <x v="6"/>
  </r>
  <r>
    <x v="0"/>
    <m/>
    <n v="13"/>
    <m/>
    <m/>
    <m/>
    <n v="29"/>
    <s v="Age Range"/>
    <x v="7"/>
  </r>
  <r>
    <x v="1"/>
    <n v="47"/>
    <n v="159"/>
    <m/>
    <n v="9"/>
    <n v="17"/>
    <n v="20"/>
    <s v="Age Range"/>
    <x v="8"/>
  </r>
  <r>
    <x v="1"/>
    <n v="179"/>
    <n v="287"/>
    <m/>
    <n v="17"/>
    <n v="41"/>
    <n v="23"/>
    <s v="Age Range"/>
    <x v="9"/>
  </r>
  <r>
    <x v="1"/>
    <n v="529"/>
    <n v="337"/>
    <m/>
    <n v="18"/>
    <n v="52"/>
    <n v="34"/>
    <s v="Age Range"/>
    <x v="10"/>
  </r>
  <r>
    <x v="1"/>
    <n v="668"/>
    <n v="350"/>
    <m/>
    <n v="27"/>
    <n v="94"/>
    <n v="30"/>
    <s v="Age Range"/>
    <x v="11"/>
  </r>
  <r>
    <x v="1"/>
    <n v="822"/>
    <n v="510"/>
    <m/>
    <n v="35"/>
    <n v="118"/>
    <n v="65"/>
    <s v="Age Range"/>
    <x v="2"/>
  </r>
  <r>
    <x v="1"/>
    <n v="1006"/>
    <n v="627"/>
    <m/>
    <n v="41"/>
    <n v="149"/>
    <n v="89"/>
    <s v="Age Range"/>
    <x v="3"/>
  </r>
  <r>
    <x v="1"/>
    <n v="554"/>
    <n v="398"/>
    <m/>
    <n v="48"/>
    <n v="148"/>
    <n v="53"/>
    <s v="Age Range"/>
    <x v="4"/>
  </r>
  <r>
    <x v="1"/>
    <n v="50"/>
    <n v="202"/>
    <m/>
    <n v="31"/>
    <n v="132"/>
    <n v="33"/>
    <s v="Age Range"/>
    <x v="12"/>
  </r>
  <r>
    <x v="1"/>
    <n v="1"/>
    <n v="71"/>
    <m/>
    <n v="4"/>
    <n v="93"/>
    <n v="9"/>
    <s v="Age Range"/>
    <x v="13"/>
  </r>
  <r>
    <x v="1"/>
    <m/>
    <n v="2"/>
    <m/>
    <m/>
    <n v="17"/>
    <n v="1"/>
    <s v="Age Range"/>
    <x v="14"/>
  </r>
  <r>
    <x v="1"/>
    <m/>
    <m/>
    <m/>
    <m/>
    <n v="6"/>
    <m/>
    <s v="Age Range"/>
    <x v="15"/>
  </r>
  <r>
    <x v="1"/>
    <m/>
    <n v="7"/>
    <m/>
    <m/>
    <m/>
    <n v="21"/>
    <s v="Age Range"/>
    <x v="7"/>
  </r>
  <r>
    <x v="2"/>
    <n v="38"/>
    <n v="180"/>
    <m/>
    <n v="5"/>
    <n v="20"/>
    <n v="15"/>
    <s v="Age Range"/>
    <x v="8"/>
  </r>
  <r>
    <x v="2"/>
    <n v="145"/>
    <n v="283"/>
    <m/>
    <n v="14"/>
    <n v="45"/>
    <n v="20"/>
    <s v="Age Range"/>
    <x v="9"/>
  </r>
  <r>
    <x v="2"/>
    <n v="438"/>
    <n v="335"/>
    <m/>
    <n v="15"/>
    <n v="64"/>
    <n v="27"/>
    <s v="Age Range"/>
    <x v="10"/>
  </r>
  <r>
    <x v="2"/>
    <n v="667"/>
    <n v="352"/>
    <m/>
    <n v="23"/>
    <n v="73"/>
    <n v="30"/>
    <s v="Age Range"/>
    <x v="11"/>
  </r>
  <r>
    <x v="2"/>
    <n v="752"/>
    <n v="456"/>
    <m/>
    <n v="29"/>
    <n v="102"/>
    <n v="48"/>
    <s v="Age Range"/>
    <x v="2"/>
  </r>
  <r>
    <x v="2"/>
    <n v="978"/>
    <n v="576"/>
    <m/>
    <n v="39"/>
    <n v="144"/>
    <n v="76"/>
    <s v="Age Range"/>
    <x v="3"/>
  </r>
  <r>
    <x v="2"/>
    <n v="618"/>
    <n v="432"/>
    <m/>
    <n v="42"/>
    <n v="139"/>
    <n v="56"/>
    <s v="Age Range"/>
    <x v="4"/>
  </r>
  <r>
    <x v="2"/>
    <n v="51"/>
    <n v="181"/>
    <m/>
    <n v="34"/>
    <n v="124"/>
    <n v="36"/>
    <s v="Age Range"/>
    <x v="12"/>
  </r>
  <r>
    <x v="2"/>
    <n v="2"/>
    <n v="62"/>
    <m/>
    <n v="2"/>
    <n v="99"/>
    <n v="14"/>
    <s v="Age Range"/>
    <x v="13"/>
  </r>
  <r>
    <x v="2"/>
    <m/>
    <n v="5"/>
    <m/>
    <m/>
    <n v="12"/>
    <n v="2"/>
    <s v="Age Range"/>
    <x v="14"/>
  </r>
  <r>
    <x v="2"/>
    <m/>
    <m/>
    <m/>
    <m/>
    <n v="6"/>
    <m/>
    <s v="Age Range"/>
    <x v="15"/>
  </r>
  <r>
    <x v="2"/>
    <m/>
    <m/>
    <m/>
    <m/>
    <m/>
    <n v="12"/>
    <s v="Age Range"/>
    <x v="16"/>
  </r>
  <r>
    <x v="2"/>
    <n v="1"/>
    <n v="8"/>
    <m/>
    <m/>
    <m/>
    <n v="6"/>
    <s v="Age Range"/>
    <x v="7"/>
  </r>
  <r>
    <x v="3"/>
    <n v="51"/>
    <n v="174"/>
    <m/>
    <n v="1"/>
    <n v="17"/>
    <n v="10"/>
    <s v="Age Range"/>
    <x v="8"/>
  </r>
  <r>
    <x v="3"/>
    <n v="144"/>
    <n v="295"/>
    <m/>
    <n v="16"/>
    <n v="41"/>
    <n v="20"/>
    <s v="Age Range"/>
    <x v="9"/>
  </r>
  <r>
    <x v="3"/>
    <n v="398"/>
    <n v="337"/>
    <m/>
    <n v="13"/>
    <n v="71"/>
    <n v="26"/>
    <s v="Age Range"/>
    <x v="10"/>
  </r>
  <r>
    <x v="3"/>
    <n v="661"/>
    <n v="387"/>
    <m/>
    <n v="21"/>
    <n v="73"/>
    <n v="35"/>
    <s v="Age Range"/>
    <x v="11"/>
  </r>
  <r>
    <x v="3"/>
    <n v="689"/>
    <n v="392"/>
    <m/>
    <n v="20"/>
    <n v="111"/>
    <n v="35"/>
    <s v="Age Range"/>
    <x v="2"/>
  </r>
  <r>
    <x v="3"/>
    <n v="968"/>
    <n v="555"/>
    <m/>
    <n v="29"/>
    <n v="144"/>
    <n v="70"/>
    <s v="Age Range"/>
    <x v="3"/>
  </r>
  <r>
    <x v="3"/>
    <n v="658"/>
    <n v="460"/>
    <m/>
    <n v="36"/>
    <n v="135"/>
    <n v="65"/>
    <s v="Age Range"/>
    <x v="4"/>
  </r>
  <r>
    <x v="3"/>
    <n v="73"/>
    <n v="178"/>
    <m/>
    <n v="25"/>
    <n v="133"/>
    <n v="35"/>
    <s v="Age Range"/>
    <x v="12"/>
  </r>
  <r>
    <x v="3"/>
    <n v="3"/>
    <n v="73"/>
    <m/>
    <n v="4"/>
    <n v="91"/>
    <n v="17"/>
    <s v="Age Range"/>
    <x v="13"/>
  </r>
  <r>
    <x v="3"/>
    <m/>
    <n v="3"/>
    <m/>
    <m/>
    <n v="16"/>
    <n v="1"/>
    <s v="Age Range"/>
    <x v="14"/>
  </r>
  <r>
    <x v="3"/>
    <m/>
    <m/>
    <m/>
    <m/>
    <n v="5"/>
    <n v="1"/>
    <s v="Age Range"/>
    <x v="15"/>
  </r>
  <r>
    <x v="3"/>
    <m/>
    <n v="16"/>
    <m/>
    <m/>
    <n v="1"/>
    <n v="1"/>
    <s v="Age Range"/>
    <x v="7"/>
  </r>
  <r>
    <x v="4"/>
    <n v="24"/>
    <n v="135"/>
    <m/>
    <n v="5"/>
    <n v="14"/>
    <n v="10"/>
    <s v="Age Range"/>
    <x v="8"/>
  </r>
  <r>
    <x v="4"/>
    <n v="149"/>
    <n v="298"/>
    <m/>
    <n v="23"/>
    <n v="35"/>
    <n v="19"/>
    <s v="Age Range"/>
    <x v="9"/>
  </r>
  <r>
    <x v="4"/>
    <n v="320"/>
    <n v="366"/>
    <m/>
    <n v="26"/>
    <n v="71"/>
    <n v="32"/>
    <s v="Age Range"/>
    <x v="10"/>
  </r>
  <r>
    <x v="4"/>
    <n v="605"/>
    <n v="375"/>
    <m/>
    <n v="22"/>
    <n v="70"/>
    <n v="35"/>
    <s v="Age Range"/>
    <x v="11"/>
  </r>
  <r>
    <x v="4"/>
    <n v="661"/>
    <n v="359"/>
    <m/>
    <n v="21"/>
    <n v="103"/>
    <n v="36"/>
    <s v="Age Range"/>
    <x v="2"/>
  </r>
  <r>
    <x v="4"/>
    <n v="880"/>
    <n v="494"/>
    <m/>
    <n v="27"/>
    <n v="139"/>
    <n v="62"/>
    <s v="Age Range"/>
    <x v="3"/>
  </r>
  <r>
    <x v="4"/>
    <n v="775"/>
    <n v="499"/>
    <m/>
    <n v="33"/>
    <n v="140"/>
    <n v="80"/>
    <s v="Age Range"/>
    <x v="4"/>
  </r>
  <r>
    <x v="4"/>
    <n v="124"/>
    <n v="237"/>
    <m/>
    <n v="29"/>
    <n v="141"/>
    <n v="31"/>
    <s v="Age Range"/>
    <x v="12"/>
  </r>
  <r>
    <x v="4"/>
    <n v="7"/>
    <n v="84"/>
    <m/>
    <n v="3"/>
    <n v="93"/>
    <n v="20"/>
    <s v="Age Range"/>
    <x v="13"/>
  </r>
  <r>
    <x v="4"/>
    <n v="1"/>
    <n v="12"/>
    <m/>
    <m/>
    <n v="32"/>
    <n v="5"/>
    <s v="Age Range"/>
    <x v="14"/>
  </r>
  <r>
    <x v="4"/>
    <m/>
    <n v="1"/>
    <m/>
    <m/>
    <n v="8"/>
    <m/>
    <s v="Age Range"/>
    <x v="15"/>
  </r>
  <r>
    <x v="4"/>
    <m/>
    <n v="3"/>
    <m/>
    <m/>
    <m/>
    <n v="2"/>
    <s v="Age Range"/>
    <x v="7"/>
  </r>
  <r>
    <x v="5"/>
    <n v="47"/>
    <n v="140"/>
    <m/>
    <n v="12"/>
    <n v="18"/>
    <n v="13"/>
    <s v="Age Range"/>
    <x v="8"/>
  </r>
  <r>
    <x v="5"/>
    <n v="214"/>
    <n v="308"/>
    <n v="1"/>
    <n v="25"/>
    <n v="40"/>
    <n v="19"/>
    <s v="Age Range"/>
    <x v="9"/>
  </r>
  <r>
    <x v="5"/>
    <n v="339"/>
    <n v="373"/>
    <n v="1"/>
    <n v="36"/>
    <n v="61"/>
    <n v="28"/>
    <s v="Age Range"/>
    <x v="10"/>
  </r>
  <r>
    <x v="5"/>
    <n v="595"/>
    <n v="383"/>
    <n v="2"/>
    <n v="24"/>
    <n v="71"/>
    <n v="29"/>
    <s v="Age Range"/>
    <x v="11"/>
  </r>
  <r>
    <x v="5"/>
    <n v="687"/>
    <n v="374"/>
    <n v="2"/>
    <n v="20"/>
    <n v="91"/>
    <n v="33"/>
    <s v="Age Range"/>
    <x v="2"/>
  </r>
  <r>
    <x v="5"/>
    <n v="828"/>
    <n v="466"/>
    <n v="2"/>
    <n v="27"/>
    <n v="134"/>
    <n v="57"/>
    <s v="Age Range"/>
    <x v="3"/>
  </r>
  <r>
    <x v="5"/>
    <n v="749"/>
    <n v="508"/>
    <n v="6"/>
    <n v="28"/>
    <n v="132"/>
    <n v="73"/>
    <s v="Age Range"/>
    <x v="4"/>
  </r>
  <r>
    <x v="5"/>
    <n v="168"/>
    <n v="264"/>
    <n v="4"/>
    <n v="30"/>
    <n v="126"/>
    <n v="39"/>
    <s v="Age Range"/>
    <x v="12"/>
  </r>
  <r>
    <x v="5"/>
    <n v="9"/>
    <n v="95"/>
    <m/>
    <n v="5"/>
    <n v="89"/>
    <n v="20"/>
    <s v="Age Range"/>
    <x v="13"/>
  </r>
  <r>
    <x v="5"/>
    <n v="1"/>
    <n v="20"/>
    <m/>
    <m/>
    <n v="26"/>
    <n v="6"/>
    <s v="Age Range"/>
    <x v="14"/>
  </r>
  <r>
    <x v="5"/>
    <m/>
    <m/>
    <m/>
    <m/>
    <n v="2"/>
    <m/>
    <s v="Age Range"/>
    <x v="15"/>
  </r>
  <r>
    <x v="5"/>
    <m/>
    <n v="4"/>
    <m/>
    <m/>
    <n v="2"/>
    <m/>
    <s v="Age Range"/>
    <x v="7"/>
  </r>
  <r>
    <x v="6"/>
    <n v="46"/>
    <n v="152"/>
    <m/>
    <n v="7"/>
    <n v="18"/>
    <n v="18"/>
    <s v="Age Range"/>
    <x v="8"/>
  </r>
  <r>
    <x v="6"/>
    <n v="246"/>
    <n v="313"/>
    <n v="3"/>
    <n v="21"/>
    <n v="51"/>
    <n v="15"/>
    <s v="Age Range"/>
    <x v="9"/>
  </r>
  <r>
    <x v="6"/>
    <n v="360"/>
    <n v="366"/>
    <n v="4"/>
    <n v="38"/>
    <n v="61"/>
    <n v="26"/>
    <s v="Age Range"/>
    <x v="10"/>
  </r>
  <r>
    <x v="6"/>
    <n v="567"/>
    <n v="405"/>
    <n v="5"/>
    <n v="20"/>
    <n v="72"/>
    <n v="32"/>
    <s v="Age Range"/>
    <x v="11"/>
  </r>
  <r>
    <x v="6"/>
    <n v="701"/>
    <n v="357"/>
    <n v="4"/>
    <n v="19"/>
    <n v="87"/>
    <n v="28"/>
    <s v="Age Range"/>
    <x v="2"/>
  </r>
  <r>
    <x v="6"/>
    <n v="775"/>
    <n v="421"/>
    <n v="3"/>
    <n v="22"/>
    <n v="114"/>
    <n v="53"/>
    <s v="Age Range"/>
    <x v="3"/>
  </r>
  <r>
    <x v="6"/>
    <n v="740"/>
    <n v="495"/>
    <n v="10"/>
    <n v="27"/>
    <n v="151"/>
    <n v="72"/>
    <s v="Age Range"/>
    <x v="4"/>
  </r>
  <r>
    <x v="6"/>
    <n v="188"/>
    <n v="298"/>
    <n v="7"/>
    <n v="27"/>
    <n v="128"/>
    <n v="40"/>
    <s v="Age Range"/>
    <x v="12"/>
  </r>
  <r>
    <x v="6"/>
    <n v="12"/>
    <n v="96"/>
    <m/>
    <n v="6"/>
    <n v="92"/>
    <n v="23"/>
    <s v="Age Range"/>
    <x v="13"/>
  </r>
  <r>
    <x v="6"/>
    <n v="1"/>
    <n v="26"/>
    <m/>
    <n v="1"/>
    <n v="36"/>
    <n v="8"/>
    <s v="Age Range"/>
    <x v="14"/>
  </r>
  <r>
    <x v="6"/>
    <m/>
    <m/>
    <m/>
    <m/>
    <n v="2"/>
    <m/>
    <s v="Age Range"/>
    <x v="15"/>
  </r>
  <r>
    <x v="6"/>
    <m/>
    <n v="8"/>
    <m/>
    <m/>
    <n v="5"/>
    <m/>
    <s v="Age Range"/>
    <x v="7"/>
  </r>
  <r>
    <x v="7"/>
    <n v="37"/>
    <n v="134"/>
    <m/>
    <n v="6"/>
    <n v="20"/>
    <n v="13"/>
    <s v="Age Range"/>
    <x v="8"/>
  </r>
  <r>
    <x v="7"/>
    <n v="243"/>
    <n v="308"/>
    <n v="3"/>
    <n v="20"/>
    <n v="47"/>
    <n v="16"/>
    <s v="Age Range"/>
    <x v="9"/>
  </r>
  <r>
    <x v="7"/>
    <n v="388"/>
    <n v="371"/>
    <n v="4"/>
    <n v="35"/>
    <n v="67"/>
    <n v="20"/>
    <s v="Age Range"/>
    <x v="10"/>
  </r>
  <r>
    <x v="7"/>
    <n v="529"/>
    <n v="402"/>
    <n v="8"/>
    <n v="19"/>
    <n v="80"/>
    <n v="36"/>
    <s v="Age Range"/>
    <x v="11"/>
  </r>
  <r>
    <x v="7"/>
    <n v="703"/>
    <n v="367"/>
    <n v="5"/>
    <n v="22"/>
    <n v="79"/>
    <n v="29"/>
    <s v="Age Range"/>
    <x v="2"/>
  </r>
  <r>
    <x v="7"/>
    <n v="727"/>
    <n v="383"/>
    <n v="3"/>
    <n v="20"/>
    <n v="114"/>
    <n v="44"/>
    <s v="Age Range"/>
    <x v="3"/>
  </r>
  <r>
    <x v="7"/>
    <n v="751"/>
    <n v="457"/>
    <n v="19"/>
    <n v="27"/>
    <n v="152"/>
    <n v="65"/>
    <s v="Age Range"/>
    <x v="4"/>
  </r>
  <r>
    <x v="7"/>
    <n v="185"/>
    <n v="330"/>
    <n v="11"/>
    <n v="28"/>
    <n v="137"/>
    <n v="45"/>
    <s v="Age Range"/>
    <x v="12"/>
  </r>
  <r>
    <x v="7"/>
    <n v="20"/>
    <n v="90"/>
    <n v="1"/>
    <n v="4"/>
    <n v="96"/>
    <n v="23"/>
    <s v="Age Range"/>
    <x v="13"/>
  </r>
  <r>
    <x v="7"/>
    <n v="1"/>
    <n v="28"/>
    <m/>
    <n v="1"/>
    <n v="38"/>
    <n v="11"/>
    <s v="Age Range"/>
    <x v="14"/>
  </r>
  <r>
    <x v="7"/>
    <m/>
    <n v="1"/>
    <m/>
    <m/>
    <n v="2"/>
    <n v="1"/>
    <s v="Age Range"/>
    <x v="15"/>
  </r>
  <r>
    <x v="7"/>
    <m/>
    <n v="1"/>
    <m/>
    <m/>
    <n v="4"/>
    <m/>
    <s v="Age Range"/>
    <x v="7"/>
  </r>
</pivotCacheRecords>
</file>

<file path=xl/pivotCache/pivotCacheRecords27.xml><?xml version="1.0" encoding="utf-8"?>
<pivotCacheRecords xmlns="http://schemas.openxmlformats.org/spreadsheetml/2006/main" xmlns:r="http://schemas.openxmlformats.org/officeDocument/2006/relationships" count="32">
  <r>
    <x v="0"/>
    <x v="0"/>
    <s v="S40000004"/>
    <x v="0"/>
    <m/>
    <n v="6"/>
    <n v="2"/>
    <n v="7"/>
    <n v="46"/>
    <n v="66"/>
    <n v="48"/>
    <n v="175"/>
  </r>
  <r>
    <x v="0"/>
    <x v="0"/>
    <s v="S40000005"/>
    <x v="1"/>
    <m/>
    <n v="4"/>
    <n v="5"/>
    <n v="6"/>
    <n v="59"/>
    <n v="19"/>
    <n v="40"/>
    <n v="133"/>
  </r>
  <r>
    <x v="0"/>
    <x v="0"/>
    <s v="S92000003"/>
    <x v="2"/>
    <m/>
    <n v="56"/>
    <n v="9"/>
    <n v="24"/>
    <n v="102"/>
    <n v="0"/>
    <n v="46"/>
    <n v="237"/>
  </r>
  <r>
    <x v="0"/>
    <x v="0"/>
    <s v="S40000003"/>
    <x v="3"/>
    <m/>
    <n v="4"/>
    <n v="4"/>
    <n v="8"/>
    <n v="107"/>
    <n v="149"/>
    <n v="144"/>
    <n v="416"/>
  </r>
  <r>
    <x v="1"/>
    <x v="0"/>
    <s v="S40000004"/>
    <x v="0"/>
    <m/>
    <n v="3"/>
    <n v="7"/>
    <n v="12"/>
    <n v="48"/>
    <n v="65"/>
    <n v="28"/>
    <n v="163"/>
  </r>
  <r>
    <x v="1"/>
    <x v="0"/>
    <s v="S40000005"/>
    <x v="1"/>
    <m/>
    <n v="3"/>
    <n v="7"/>
    <n v="6"/>
    <n v="64"/>
    <n v="19"/>
    <n v="27"/>
    <n v="126"/>
  </r>
  <r>
    <x v="1"/>
    <x v="0"/>
    <s v="S92000003"/>
    <x v="2"/>
    <n v="2"/>
    <n v="35"/>
    <n v="13"/>
    <n v="27"/>
    <n v="112"/>
    <n v="0"/>
    <n v="49"/>
    <n v="238"/>
  </r>
  <r>
    <x v="1"/>
    <x v="0"/>
    <s v="S40000003"/>
    <x v="3"/>
    <m/>
    <n v="3"/>
    <n v="9"/>
    <n v="14"/>
    <n v="113"/>
    <n v="109"/>
    <n v="92"/>
    <n v="340"/>
  </r>
  <r>
    <x v="2"/>
    <x v="0"/>
    <s v="S40000004"/>
    <x v="0"/>
    <m/>
    <n v="3"/>
    <n v="5"/>
    <n v="13"/>
    <n v="35"/>
    <n v="56"/>
    <n v="12"/>
    <n v="124"/>
  </r>
  <r>
    <x v="2"/>
    <x v="0"/>
    <s v="S40000005"/>
    <x v="1"/>
    <m/>
    <n v="3"/>
    <n v="7"/>
    <n v="11"/>
    <n v="61"/>
    <n v="20"/>
    <n v="19"/>
    <n v="121"/>
  </r>
  <r>
    <x v="2"/>
    <x v="0"/>
    <s v="S92000003"/>
    <x v="2"/>
    <n v="3"/>
    <n v="32"/>
    <n v="12"/>
    <n v="35"/>
    <n v="110"/>
    <n v="7"/>
    <n v="98"/>
    <n v="297"/>
  </r>
  <r>
    <x v="2"/>
    <x v="0"/>
    <s v="S40000003"/>
    <x v="3"/>
    <m/>
    <n v="2"/>
    <n v="10"/>
    <n v="15"/>
    <n v="110"/>
    <n v="84"/>
    <n v="65"/>
    <n v="286"/>
  </r>
  <r>
    <x v="3"/>
    <x v="0"/>
    <s v="S40000004"/>
    <x v="0"/>
    <m/>
    <n v="3"/>
    <n v="5"/>
    <n v="13"/>
    <n v="48"/>
    <n v="54"/>
    <n v="19"/>
    <n v="142"/>
  </r>
  <r>
    <x v="3"/>
    <x v="0"/>
    <s v="S40000005"/>
    <x v="1"/>
    <m/>
    <n v="3"/>
    <n v="7"/>
    <n v="12"/>
    <n v="75"/>
    <n v="14"/>
    <n v="24"/>
    <n v="135"/>
  </r>
  <r>
    <x v="3"/>
    <x v="0"/>
    <s v="S92000003"/>
    <x v="2"/>
    <n v="3"/>
    <n v="34"/>
    <n v="12"/>
    <n v="38"/>
    <n v="103"/>
    <n v="8"/>
    <n v="69"/>
    <n v="267"/>
  </r>
  <r>
    <x v="3"/>
    <x v="0"/>
    <s v="S40000003"/>
    <x v="3"/>
    <m/>
    <n v="2"/>
    <n v="10"/>
    <n v="15"/>
    <n v="120"/>
    <n v="89"/>
    <n v="58"/>
    <n v="294"/>
  </r>
  <r>
    <x v="4"/>
    <x v="0"/>
    <s v="S40000004"/>
    <x v="0"/>
    <m/>
    <n v="3"/>
    <n v="3"/>
    <n v="11"/>
    <n v="45"/>
    <n v="49"/>
    <n v="17"/>
    <n v="128"/>
  </r>
  <r>
    <x v="4"/>
    <x v="0"/>
    <s v="S40000005"/>
    <x v="1"/>
    <m/>
    <n v="3"/>
    <n v="8"/>
    <n v="11"/>
    <n v="81"/>
    <n v="15"/>
    <n v="23"/>
    <n v="141"/>
  </r>
  <r>
    <x v="4"/>
    <x v="0"/>
    <s v="S92000003"/>
    <x v="2"/>
    <n v="2"/>
    <n v="42"/>
    <n v="11"/>
    <n v="41"/>
    <n v="107"/>
    <n v="7"/>
    <n v="67"/>
    <n v="277"/>
  </r>
  <r>
    <x v="4"/>
    <x v="0"/>
    <s v="S40000003"/>
    <x v="3"/>
    <m/>
    <n v="2"/>
    <n v="10"/>
    <n v="16"/>
    <n v="133"/>
    <n v="82"/>
    <n v="57"/>
    <n v="300"/>
  </r>
  <r>
    <x v="5"/>
    <x v="1"/>
    <s v="S40000004"/>
    <x v="0"/>
    <m/>
    <n v="0"/>
    <n v="0"/>
    <n v="0"/>
    <n v="0"/>
    <n v="0"/>
    <n v="0"/>
    <n v="0"/>
  </r>
  <r>
    <x v="5"/>
    <x v="1"/>
    <s v="S40000005"/>
    <x v="1"/>
    <m/>
    <n v="0"/>
    <n v="0"/>
    <n v="0"/>
    <n v="0"/>
    <n v="0"/>
    <n v="0"/>
    <n v="0"/>
  </r>
  <r>
    <x v="5"/>
    <x v="1"/>
    <s v="S40000003"/>
    <x v="3"/>
    <m/>
    <n v="0"/>
    <n v="0"/>
    <n v="0"/>
    <n v="0"/>
    <n v="0"/>
    <n v="0"/>
    <n v="0"/>
  </r>
  <r>
    <x v="5"/>
    <x v="0"/>
    <s v="S92000003"/>
    <x v="2"/>
    <n v="3"/>
    <n v="49"/>
    <n v="34"/>
    <n v="84"/>
    <n v="388"/>
    <n v="64"/>
    <n v="170"/>
    <n v="792"/>
  </r>
  <r>
    <x v="6"/>
    <x v="1"/>
    <s v="S40000004"/>
    <x v="0"/>
    <m/>
    <n v="0"/>
    <n v="0"/>
    <n v="0"/>
    <n v="0"/>
    <n v="0"/>
    <n v="0"/>
    <n v="0"/>
  </r>
  <r>
    <x v="6"/>
    <x v="1"/>
    <s v="S40000005"/>
    <x v="1"/>
    <m/>
    <n v="0"/>
    <n v="0"/>
    <n v="0"/>
    <n v="0"/>
    <n v="0"/>
    <n v="0"/>
    <n v="0"/>
  </r>
  <r>
    <x v="6"/>
    <x v="1"/>
    <s v="S40000003"/>
    <x v="3"/>
    <m/>
    <n v="0"/>
    <n v="0"/>
    <n v="0"/>
    <n v="0"/>
    <n v="0"/>
    <n v="0"/>
    <n v="0"/>
  </r>
  <r>
    <x v="6"/>
    <x v="0"/>
    <s v="S92000003"/>
    <x v="2"/>
    <n v="3"/>
    <n v="47"/>
    <n v="32"/>
    <n v="90"/>
    <n v="400"/>
    <n v="63"/>
    <n v="182"/>
    <n v="817"/>
  </r>
  <r>
    <x v="7"/>
    <x v="1"/>
    <s v="S40000004"/>
    <x v="0"/>
    <m/>
    <n v="0"/>
    <n v="0"/>
    <n v="0"/>
    <n v="0"/>
    <n v="0"/>
    <n v="0"/>
    <n v="0"/>
  </r>
  <r>
    <x v="7"/>
    <x v="1"/>
    <s v="S40000005"/>
    <x v="1"/>
    <m/>
    <n v="0"/>
    <n v="0"/>
    <n v="0"/>
    <n v="0"/>
    <n v="0"/>
    <n v="0"/>
    <n v="0"/>
  </r>
  <r>
    <x v="7"/>
    <x v="1"/>
    <s v="S40000003"/>
    <x v="3"/>
    <m/>
    <n v="0"/>
    <n v="0"/>
    <n v="0"/>
    <n v="0"/>
    <n v="0"/>
    <n v="0"/>
    <n v="0"/>
  </r>
  <r>
    <x v="7"/>
    <x v="0"/>
    <s v="S92000003"/>
    <x v="2"/>
    <n v="3"/>
    <n v="50"/>
    <n v="30"/>
    <n v="91"/>
    <n v="414"/>
    <n v="61"/>
    <n v="187"/>
    <n v="836"/>
  </r>
</pivotCacheRecords>
</file>

<file path=xl/pivotCache/pivotCacheRecords28.xml><?xml version="1.0" encoding="utf-8"?>
<pivotCacheRecords xmlns="http://schemas.openxmlformats.org/spreadsheetml/2006/main" xmlns:r="http://schemas.openxmlformats.org/officeDocument/2006/relationships" count="224">
  <r>
    <x v="0"/>
    <x v="0"/>
    <s v="S12000033"/>
    <n v="356"/>
    <n v="1936.75"/>
    <n v="13"/>
    <n v="138.5"/>
    <n v="2"/>
    <n v="19.25"/>
    <m/>
    <m/>
  </r>
  <r>
    <x v="0"/>
    <x v="1"/>
    <s v="S12000034"/>
    <n v="252"/>
    <n v="1725.5"/>
    <n v="15"/>
    <n v="162"/>
    <n v="1"/>
    <n v="38"/>
    <n v="1"/>
    <n v="7.5"/>
  </r>
  <r>
    <x v="0"/>
    <x v="2"/>
    <s v="S12000041"/>
    <n v="202"/>
    <n v="853.5"/>
    <n v="4"/>
    <n v="21.75"/>
    <m/>
    <m/>
    <m/>
    <m/>
  </r>
  <r>
    <x v="0"/>
    <x v="3"/>
    <s v="S12000035"/>
    <n v="250"/>
    <n v="1985.5"/>
    <n v="3"/>
    <n v="38.5"/>
    <m/>
    <m/>
    <m/>
    <m/>
  </r>
  <r>
    <x v="0"/>
    <x v="4"/>
    <s v="S12000036"/>
    <n v="903"/>
    <n v="3293.5"/>
    <n v="53"/>
    <n v="292"/>
    <n v="1"/>
    <n v="5.5"/>
    <m/>
    <m/>
  </r>
  <r>
    <x v="0"/>
    <x v="5"/>
    <s v="S12000005"/>
    <n v="42"/>
    <n v="247.25"/>
    <n v="2"/>
    <n v="16"/>
    <m/>
    <m/>
    <m/>
    <m/>
  </r>
  <r>
    <x v="0"/>
    <x v="6"/>
    <s v="S12000006"/>
    <n v="177"/>
    <n v="785.25"/>
    <n v="36"/>
    <n v="306.5"/>
    <m/>
    <m/>
    <n v="1"/>
    <n v="12.5"/>
  </r>
  <r>
    <x v="0"/>
    <x v="7"/>
    <s v="S12000042"/>
    <n v="456"/>
    <n v="1804.75"/>
    <n v="4"/>
    <n v="13.5"/>
    <m/>
    <m/>
    <m/>
    <m/>
  </r>
  <r>
    <x v="0"/>
    <x v="8"/>
    <s v="S12000008"/>
    <n v="142"/>
    <n v="914.75"/>
    <n v="11"/>
    <n v="90.75"/>
    <m/>
    <m/>
    <m/>
    <m/>
  </r>
  <r>
    <x v="0"/>
    <x v="9"/>
    <s v="S12000045"/>
    <n v="53"/>
    <n v="362.75"/>
    <n v="1"/>
    <n v="7.5"/>
    <m/>
    <m/>
    <m/>
    <m/>
  </r>
  <r>
    <x v="0"/>
    <x v="10"/>
    <s v="S12000010"/>
    <n v="96"/>
    <n v="335.5"/>
    <n v="6"/>
    <n v="37.5"/>
    <m/>
    <m/>
    <m/>
    <m/>
  </r>
  <r>
    <x v="0"/>
    <x v="11"/>
    <s v="S12000011"/>
    <n v="111"/>
    <n v="761.5"/>
    <n v="8"/>
    <n v="133"/>
    <m/>
    <m/>
    <m/>
    <m/>
  </r>
  <r>
    <x v="0"/>
    <x v="12"/>
    <s v="S12000014"/>
    <n v="232"/>
    <n v="1156"/>
    <n v="11"/>
    <n v="105.25"/>
    <m/>
    <m/>
    <m/>
    <m/>
  </r>
  <r>
    <x v="0"/>
    <x v="13"/>
    <s v="S12000015"/>
    <n v="483"/>
    <n v="1857.5"/>
    <n v="15"/>
    <n v="104.75"/>
    <m/>
    <m/>
    <m/>
    <m/>
  </r>
  <r>
    <x v="0"/>
    <x v="14"/>
    <s v="S12000046"/>
    <n v="1045"/>
    <n v="5340"/>
    <n v="77"/>
    <n v="444"/>
    <m/>
    <m/>
    <n v="1"/>
    <n v="5.5"/>
  </r>
  <r>
    <x v="0"/>
    <x v="15"/>
    <s v="S12000017"/>
    <n v="259"/>
    <n v="1846.75"/>
    <n v="17"/>
    <n v="253.25"/>
    <n v="5"/>
    <n v="112.5"/>
    <m/>
    <m/>
  </r>
  <r>
    <x v="0"/>
    <x v="16"/>
    <s v="S12000018"/>
    <n v="142"/>
    <n v="600.5"/>
    <n v="5"/>
    <n v="37.75"/>
    <m/>
    <m/>
    <m/>
    <m/>
  </r>
  <r>
    <x v="0"/>
    <x v="17"/>
    <s v="S12000019"/>
    <n v="122"/>
    <n v="365.5"/>
    <n v="4"/>
    <n v="31.25"/>
    <m/>
    <m/>
    <m/>
    <m/>
  </r>
  <r>
    <x v="0"/>
    <x v="18"/>
    <s v="S12000020"/>
    <n v="110"/>
    <n v="771.25"/>
    <n v="4"/>
    <n v="72.5"/>
    <m/>
    <m/>
    <m/>
    <m/>
  </r>
  <r>
    <x v="0"/>
    <x v="19"/>
    <s v="S12000013"/>
    <n v="18"/>
    <n v="138.5"/>
    <n v="1"/>
    <n v="13.25"/>
    <m/>
    <m/>
    <m/>
    <m/>
  </r>
  <r>
    <x v="0"/>
    <x v="20"/>
    <s v="S12000021"/>
    <n v="105"/>
    <n v="505.5"/>
    <n v="4"/>
    <n v="31"/>
    <m/>
    <m/>
    <m/>
    <m/>
  </r>
  <r>
    <x v="0"/>
    <x v="21"/>
    <s v="S12000044"/>
    <n v="298"/>
    <n v="2166.75"/>
    <n v="3"/>
    <n v="23.75"/>
    <m/>
    <m/>
    <m/>
    <m/>
  </r>
  <r>
    <x v="0"/>
    <x v="22"/>
    <s v="S12000023"/>
    <n v="16"/>
    <n v="108.5"/>
    <m/>
    <m/>
    <m/>
    <m/>
    <m/>
    <m/>
  </r>
  <r>
    <x v="0"/>
    <x v="23"/>
    <s v="S12000024"/>
    <n v="246"/>
    <n v="1269.25"/>
    <n v="1"/>
    <n v="10.25"/>
    <m/>
    <m/>
    <m/>
    <m/>
  </r>
  <r>
    <x v="0"/>
    <x v="24"/>
    <s v="S12000038"/>
    <n v="212"/>
    <n v="1318.75"/>
    <n v="3"/>
    <n v="28.75"/>
    <m/>
    <m/>
    <m/>
    <m/>
  </r>
  <r>
    <x v="0"/>
    <x v="25"/>
    <s v="S12000026"/>
    <n v="332"/>
    <n v="1463"/>
    <n v="49"/>
    <n v="381.75"/>
    <n v="1"/>
    <n v="31"/>
    <m/>
    <m/>
  </r>
  <r>
    <x v="0"/>
    <x v="26"/>
    <s v="S12000027"/>
    <n v="32"/>
    <n v="199.75"/>
    <m/>
    <m/>
    <m/>
    <m/>
    <m/>
    <m/>
  </r>
  <r>
    <x v="0"/>
    <x v="27"/>
    <s v="S12000028"/>
    <n v="239"/>
    <n v="1368.5"/>
    <n v="8"/>
    <n v="65.5"/>
    <m/>
    <m/>
    <m/>
    <m/>
  </r>
  <r>
    <x v="0"/>
    <x v="28"/>
    <s v="S12000029"/>
    <n v="278"/>
    <n v="2462.25"/>
    <n v="8"/>
    <n v="133.5"/>
    <m/>
    <m/>
    <m/>
    <m/>
  </r>
  <r>
    <x v="0"/>
    <x v="29"/>
    <s v="S12000030"/>
    <n v="210"/>
    <n v="875.75"/>
    <n v="7"/>
    <n v="49.25"/>
    <m/>
    <m/>
    <m/>
    <m/>
  </r>
  <r>
    <x v="0"/>
    <x v="30"/>
    <s v="S12000039"/>
    <n v="176"/>
    <n v="797.25"/>
    <m/>
    <m/>
    <m/>
    <m/>
    <m/>
    <m/>
  </r>
  <r>
    <x v="0"/>
    <x v="31"/>
    <s v="S12000040"/>
    <n v="221"/>
    <n v="867.25"/>
    <n v="17"/>
    <n v="91.25"/>
    <m/>
    <m/>
    <m/>
    <m/>
  </r>
  <r>
    <x v="1"/>
    <x v="0"/>
    <s v="S12000033"/>
    <n v="282"/>
    <n v="1395"/>
    <n v="33"/>
    <n v="340.75"/>
    <m/>
    <m/>
    <n v="1"/>
    <n v="3.75"/>
  </r>
  <r>
    <x v="1"/>
    <x v="1"/>
    <s v="S12000034"/>
    <n v="334"/>
    <n v="2016.25"/>
    <n v="39"/>
    <n v="438"/>
    <n v="1"/>
    <n v="28.25"/>
    <m/>
    <m/>
  </r>
  <r>
    <x v="1"/>
    <x v="2"/>
    <s v="S12000041"/>
    <n v="167"/>
    <n v="768.25"/>
    <n v="7"/>
    <n v="62"/>
    <m/>
    <m/>
    <m/>
    <m/>
  </r>
  <r>
    <x v="1"/>
    <x v="3"/>
    <s v="S12000035"/>
    <n v="328"/>
    <n v="2625.5"/>
    <n v="13"/>
    <n v="134"/>
    <n v="3"/>
    <n v="51.25"/>
    <m/>
    <m/>
  </r>
  <r>
    <x v="1"/>
    <x v="4"/>
    <s v="S12000036"/>
    <n v="790"/>
    <n v="2779.75"/>
    <n v="67"/>
    <n v="415"/>
    <n v="1"/>
    <n v="32"/>
    <m/>
    <m/>
  </r>
  <r>
    <x v="1"/>
    <x v="5"/>
    <s v="S12000005"/>
    <n v="51"/>
    <n v="190"/>
    <m/>
    <m/>
    <m/>
    <m/>
    <m/>
    <m/>
  </r>
  <r>
    <x v="1"/>
    <x v="6"/>
    <s v="S12000006"/>
    <n v="236"/>
    <n v="943.25"/>
    <n v="60"/>
    <n v="445.25"/>
    <m/>
    <m/>
    <m/>
    <m/>
  </r>
  <r>
    <x v="1"/>
    <x v="7"/>
    <s v="S12000042"/>
    <n v="588"/>
    <n v="2433.5"/>
    <n v="10"/>
    <n v="76.25"/>
    <m/>
    <m/>
    <m/>
    <m/>
  </r>
  <r>
    <x v="1"/>
    <x v="8"/>
    <s v="S12000008"/>
    <n v="131"/>
    <n v="1016"/>
    <n v="12"/>
    <n v="128.75"/>
    <n v="1"/>
    <n v="28.5"/>
    <m/>
    <m/>
  </r>
  <r>
    <x v="1"/>
    <x v="9"/>
    <s v="S12000045"/>
    <n v="93"/>
    <n v="607.5"/>
    <n v="2"/>
    <n v="26.25"/>
    <m/>
    <m/>
    <m/>
    <m/>
  </r>
  <r>
    <x v="1"/>
    <x v="10"/>
    <s v="S12000010"/>
    <n v="143"/>
    <n v="628"/>
    <n v="13"/>
    <n v="106"/>
    <m/>
    <m/>
    <m/>
    <m/>
  </r>
  <r>
    <x v="1"/>
    <x v="11"/>
    <s v="S12000011"/>
    <n v="54"/>
    <n v="343.75"/>
    <n v="3"/>
    <n v="60"/>
    <m/>
    <m/>
    <m/>
    <m/>
  </r>
  <r>
    <x v="1"/>
    <x v="12"/>
    <s v="S12000014"/>
    <n v="151"/>
    <n v="754.5"/>
    <n v="9"/>
    <n v="57.25"/>
    <m/>
    <m/>
    <n v="1"/>
    <n v="11.5"/>
  </r>
  <r>
    <x v="1"/>
    <x v="13"/>
    <s v="S12000015"/>
    <n v="600"/>
    <n v="2456.75"/>
    <n v="18"/>
    <n v="153.75"/>
    <n v="1"/>
    <n v="24.75"/>
    <m/>
    <m/>
  </r>
  <r>
    <x v="1"/>
    <x v="14"/>
    <s v="S12000046"/>
    <n v="1812"/>
    <n v="7682.25"/>
    <n v="144"/>
    <n v="952.25"/>
    <n v="1"/>
    <n v="37.25"/>
    <m/>
    <m/>
  </r>
  <r>
    <x v="1"/>
    <x v="15"/>
    <s v="S12000017"/>
    <n v="287"/>
    <n v="1820.25"/>
    <n v="49"/>
    <n v="847.75"/>
    <n v="10"/>
    <n v="256.5"/>
    <m/>
    <m/>
  </r>
  <r>
    <x v="1"/>
    <x v="16"/>
    <s v="S12000018"/>
    <n v="62"/>
    <n v="263.75"/>
    <n v="1"/>
    <n v="17.25"/>
    <m/>
    <m/>
    <m/>
    <m/>
  </r>
  <r>
    <x v="1"/>
    <x v="17"/>
    <s v="S12000019"/>
    <n v="96"/>
    <n v="321.75"/>
    <n v="2"/>
    <n v="7.75"/>
    <m/>
    <m/>
    <m/>
    <m/>
  </r>
  <r>
    <x v="1"/>
    <x v="18"/>
    <s v="S12000020"/>
    <n v="175"/>
    <n v="986.75"/>
    <n v="18"/>
    <n v="256.25"/>
    <n v="2"/>
    <n v="23"/>
    <m/>
    <m/>
  </r>
  <r>
    <x v="1"/>
    <x v="19"/>
    <s v="S12000013"/>
    <n v="5"/>
    <n v="27.25"/>
    <n v="4"/>
    <n v="78.75"/>
    <m/>
    <m/>
    <m/>
    <m/>
  </r>
  <r>
    <x v="1"/>
    <x v="20"/>
    <s v="S12000021"/>
    <n v="226"/>
    <n v="1330.25"/>
    <n v="37"/>
    <n v="348.75"/>
    <m/>
    <m/>
    <m/>
    <m/>
  </r>
  <r>
    <x v="1"/>
    <x v="21"/>
    <s v="S12000044"/>
    <n v="539"/>
    <n v="3321.5"/>
    <n v="15"/>
    <n v="152.25"/>
    <m/>
    <m/>
    <m/>
    <m/>
  </r>
  <r>
    <x v="1"/>
    <x v="22"/>
    <s v="S12000023"/>
    <n v="31"/>
    <n v="146.75"/>
    <n v="1"/>
    <n v="13.25"/>
    <m/>
    <m/>
    <m/>
    <m/>
  </r>
  <r>
    <x v="1"/>
    <x v="23"/>
    <s v="S12000024"/>
    <n v="269"/>
    <n v="1484.5"/>
    <n v="1"/>
    <n v="12"/>
    <m/>
    <m/>
    <m/>
    <m/>
  </r>
  <r>
    <x v="1"/>
    <x v="24"/>
    <s v="S12000038"/>
    <n v="238"/>
    <n v="1268.75"/>
    <m/>
    <m/>
    <m/>
    <m/>
    <m/>
    <m/>
  </r>
  <r>
    <x v="1"/>
    <x v="25"/>
    <s v="S12000026"/>
    <n v="251"/>
    <n v="1101.75"/>
    <n v="39"/>
    <n v="303.5"/>
    <m/>
    <m/>
    <n v="1"/>
    <n v="5.5"/>
  </r>
  <r>
    <x v="1"/>
    <x v="26"/>
    <s v="S12000027"/>
    <n v="24"/>
    <n v="127.25"/>
    <m/>
    <m/>
    <m/>
    <m/>
    <m/>
    <m/>
  </r>
  <r>
    <x v="1"/>
    <x v="27"/>
    <s v="S12000028"/>
    <n v="274"/>
    <n v="1590.25"/>
    <n v="14"/>
    <n v="122.25"/>
    <n v="1"/>
    <n v="18.25"/>
    <m/>
    <m/>
  </r>
  <r>
    <x v="1"/>
    <x v="28"/>
    <s v="S12000029"/>
    <n v="243"/>
    <n v="1871.5"/>
    <n v="7"/>
    <n v="246.25"/>
    <n v="1"/>
    <n v="90.5"/>
    <m/>
    <m/>
  </r>
  <r>
    <x v="1"/>
    <x v="29"/>
    <s v="S12000030"/>
    <n v="332"/>
    <n v="1013.5"/>
    <n v="8"/>
    <n v="39"/>
    <n v="1"/>
    <n v="21.75"/>
    <n v="1"/>
    <n v="2.5"/>
  </r>
  <r>
    <x v="1"/>
    <x v="30"/>
    <s v="S12000039"/>
    <n v="212"/>
    <n v="933.75"/>
    <n v="8"/>
    <n v="99.75"/>
    <m/>
    <m/>
    <m/>
    <m/>
  </r>
  <r>
    <x v="1"/>
    <x v="31"/>
    <s v="S12000040"/>
    <n v="161"/>
    <n v="715.25"/>
    <n v="15"/>
    <n v="129.25"/>
    <m/>
    <m/>
    <m/>
    <m/>
  </r>
  <r>
    <x v="2"/>
    <x v="0"/>
    <s v="S12000033"/>
    <n v="415"/>
    <n v="2311"/>
    <n v="20"/>
    <n v="156.5"/>
    <n v="7"/>
    <n v="48"/>
    <m/>
    <m/>
  </r>
  <r>
    <x v="2"/>
    <x v="1"/>
    <s v="S12000034"/>
    <n v="336"/>
    <n v="2384"/>
    <n v="26"/>
    <n v="277.5"/>
    <n v="1"/>
    <n v="6.5"/>
    <m/>
    <m/>
  </r>
  <r>
    <x v="2"/>
    <x v="2"/>
    <s v="S12000041"/>
    <n v="97"/>
    <n v="396"/>
    <n v="2"/>
    <n v="19.75"/>
    <m/>
    <m/>
    <m/>
    <m/>
  </r>
  <r>
    <x v="2"/>
    <x v="3"/>
    <s v="S12000035"/>
    <n v="317"/>
    <n v="2229.75"/>
    <n v="14"/>
    <n v="172.25"/>
    <n v="2"/>
    <n v="56.5"/>
    <m/>
    <m/>
  </r>
  <r>
    <x v="2"/>
    <x v="4"/>
    <s v="S12000036"/>
    <n v="733"/>
    <n v="2765"/>
    <n v="50"/>
    <n v="314"/>
    <n v="3"/>
    <n v="28"/>
    <n v="4"/>
    <n v="8.25"/>
  </r>
  <r>
    <x v="2"/>
    <x v="5"/>
    <s v="S12000005"/>
    <n v="65"/>
    <n v="226.75"/>
    <n v="3"/>
    <n v="16"/>
    <m/>
    <m/>
    <m/>
    <m/>
  </r>
  <r>
    <x v="2"/>
    <x v="6"/>
    <s v="S12000006"/>
    <n v="307"/>
    <n v="1238"/>
    <n v="56"/>
    <n v="490.5"/>
    <m/>
    <m/>
    <n v="1"/>
    <n v="10.5"/>
  </r>
  <r>
    <x v="2"/>
    <x v="7"/>
    <s v="S12000042"/>
    <n v="653"/>
    <n v="2216"/>
    <n v="3"/>
    <n v="17.25"/>
    <m/>
    <m/>
    <n v="2"/>
    <n v="16.5"/>
  </r>
  <r>
    <x v="2"/>
    <x v="8"/>
    <s v="S12000008"/>
    <n v="152"/>
    <n v="1162.5"/>
    <n v="12"/>
    <n v="126.25"/>
    <n v="1"/>
    <n v="12.75"/>
    <m/>
    <m/>
  </r>
  <r>
    <x v="2"/>
    <x v="9"/>
    <s v="S12000045"/>
    <n v="77"/>
    <n v="520.25"/>
    <n v="4"/>
    <n v="57"/>
    <m/>
    <m/>
    <m/>
    <m/>
  </r>
  <r>
    <x v="2"/>
    <x v="10"/>
    <s v="S12000010"/>
    <n v="126"/>
    <n v="481.75"/>
    <n v="13"/>
    <n v="102.25"/>
    <m/>
    <m/>
    <m/>
    <m/>
  </r>
  <r>
    <x v="2"/>
    <x v="11"/>
    <s v="S12000011"/>
    <n v="76"/>
    <n v="571.5"/>
    <n v="4"/>
    <n v="107.75"/>
    <m/>
    <m/>
    <m/>
    <m/>
  </r>
  <r>
    <x v="2"/>
    <x v="12"/>
    <s v="S12000014"/>
    <n v="152"/>
    <n v="799.75"/>
    <n v="8"/>
    <n v="89.25"/>
    <m/>
    <m/>
    <m/>
    <m/>
  </r>
  <r>
    <x v="2"/>
    <x v="13"/>
    <s v="S12000015"/>
    <n v="452"/>
    <n v="1850"/>
    <n v="30"/>
    <n v="353.5"/>
    <n v="1"/>
    <n v="76.75"/>
    <m/>
    <m/>
  </r>
  <r>
    <x v="2"/>
    <x v="14"/>
    <s v="S12000046"/>
    <n v="1457"/>
    <n v="6398"/>
    <n v="105"/>
    <n v="596"/>
    <m/>
    <m/>
    <m/>
    <m/>
  </r>
  <r>
    <x v="2"/>
    <x v="15"/>
    <s v="S12000017"/>
    <n v="241"/>
    <n v="1483.75"/>
    <n v="27"/>
    <n v="284.75"/>
    <n v="1"/>
    <n v="9.5"/>
    <n v="1"/>
    <n v="6.5"/>
  </r>
  <r>
    <x v="2"/>
    <x v="16"/>
    <s v="S12000018"/>
    <n v="107"/>
    <n v="429.5"/>
    <n v="8"/>
    <n v="55"/>
    <m/>
    <m/>
    <m/>
    <m/>
  </r>
  <r>
    <x v="2"/>
    <x v="17"/>
    <s v="S12000019"/>
    <n v="93"/>
    <n v="285.75"/>
    <n v="4"/>
    <n v="21"/>
    <m/>
    <m/>
    <m/>
    <m/>
  </r>
  <r>
    <x v="2"/>
    <x v="18"/>
    <s v="S12000020"/>
    <n v="136"/>
    <n v="833.25"/>
    <n v="6"/>
    <n v="94.25"/>
    <n v="1"/>
    <n v="7"/>
    <m/>
    <m/>
  </r>
  <r>
    <x v="2"/>
    <x v="19"/>
    <s v="S12000013"/>
    <n v="16"/>
    <n v="73.25"/>
    <n v="5"/>
    <n v="96.5"/>
    <n v="1"/>
    <n v="28.75"/>
    <m/>
    <m/>
  </r>
  <r>
    <x v="2"/>
    <x v="20"/>
    <s v="S12000021"/>
    <n v="212"/>
    <n v="982.75"/>
    <n v="18"/>
    <n v="181.75"/>
    <m/>
    <m/>
    <m/>
    <m/>
  </r>
  <r>
    <x v="2"/>
    <x v="21"/>
    <s v="S12000044"/>
    <n v="485"/>
    <n v="2741.25"/>
    <n v="11"/>
    <n v="112"/>
    <m/>
    <m/>
    <m/>
    <m/>
  </r>
  <r>
    <x v="2"/>
    <x v="22"/>
    <s v="S12000023"/>
    <n v="24"/>
    <n v="132.75"/>
    <n v="5"/>
    <n v="53.25"/>
    <m/>
    <m/>
    <m/>
    <m/>
  </r>
  <r>
    <x v="2"/>
    <x v="23"/>
    <s v="S12000024"/>
    <n v="279"/>
    <n v="1366.25"/>
    <n v="8"/>
    <n v="59.5"/>
    <m/>
    <m/>
    <m/>
    <m/>
  </r>
  <r>
    <x v="2"/>
    <x v="24"/>
    <s v="S12000038"/>
    <n v="164"/>
    <n v="1078.5"/>
    <n v="5"/>
    <n v="60"/>
    <m/>
    <m/>
    <m/>
    <m/>
  </r>
  <r>
    <x v="2"/>
    <x v="25"/>
    <s v="S12000026"/>
    <n v="243"/>
    <n v="1093.5"/>
    <n v="42"/>
    <n v="392.75"/>
    <n v="1"/>
    <n v="32"/>
    <n v="1"/>
    <n v="6.5"/>
  </r>
  <r>
    <x v="2"/>
    <x v="26"/>
    <s v="S12000027"/>
    <n v="14"/>
    <n v="67"/>
    <n v="2"/>
    <n v="22"/>
    <m/>
    <m/>
    <n v="3"/>
    <n v="24"/>
  </r>
  <r>
    <x v="2"/>
    <x v="27"/>
    <s v="S12000028"/>
    <n v="294"/>
    <n v="1861.5"/>
    <n v="16"/>
    <n v="121.75"/>
    <n v="1"/>
    <n v="17.25"/>
    <m/>
    <m/>
  </r>
  <r>
    <x v="2"/>
    <x v="28"/>
    <s v="S12000029"/>
    <n v="243"/>
    <n v="1452.5"/>
    <n v="8"/>
    <n v="235.75"/>
    <n v="1"/>
    <n v="72.25"/>
    <m/>
    <m/>
  </r>
  <r>
    <x v="2"/>
    <x v="29"/>
    <s v="S12000030"/>
    <n v="146"/>
    <n v="598.5"/>
    <n v="14"/>
    <n v="101.25"/>
    <m/>
    <m/>
    <m/>
    <m/>
  </r>
  <r>
    <x v="2"/>
    <x v="30"/>
    <s v="S12000039"/>
    <n v="118"/>
    <n v="596.75"/>
    <n v="3"/>
    <n v="39.25"/>
    <m/>
    <m/>
    <m/>
    <m/>
  </r>
  <r>
    <x v="2"/>
    <x v="31"/>
    <s v="S12000040"/>
    <n v="155"/>
    <n v="749"/>
    <n v="22"/>
    <n v="164.25"/>
    <m/>
    <m/>
    <m/>
    <m/>
  </r>
  <r>
    <x v="3"/>
    <x v="0"/>
    <s v="S12000033"/>
    <n v="294"/>
    <n v="1570.5"/>
    <n v="21"/>
    <n v="212.25"/>
    <n v="2"/>
    <n v="57.5"/>
    <n v="1"/>
    <n v="3.5"/>
  </r>
  <r>
    <x v="3"/>
    <x v="1"/>
    <s v="S12000034"/>
    <n v="317"/>
    <n v="2121"/>
    <n v="27"/>
    <n v="291.25"/>
    <m/>
    <m/>
    <n v="1"/>
    <n v="23.25"/>
  </r>
  <r>
    <x v="3"/>
    <x v="2"/>
    <s v="S12000041"/>
    <n v="99"/>
    <n v="422.25"/>
    <n v="20"/>
    <n v="92.5"/>
    <n v="2"/>
    <n v="11"/>
    <n v="1"/>
    <n v="7.5"/>
  </r>
  <r>
    <x v="3"/>
    <x v="3"/>
    <s v="S12000035"/>
    <n v="171"/>
    <n v="1143.75"/>
    <n v="14"/>
    <n v="157.75"/>
    <n v="1"/>
    <n v="14.5"/>
    <m/>
    <m/>
  </r>
  <r>
    <x v="3"/>
    <x v="4"/>
    <s v="S12000036"/>
    <n v="707"/>
    <n v="2618.75"/>
    <n v="37"/>
    <n v="234.5"/>
    <m/>
    <m/>
    <n v="4"/>
    <n v="10"/>
  </r>
  <r>
    <x v="3"/>
    <x v="5"/>
    <s v="S12000005"/>
    <n v="56"/>
    <n v="253.5"/>
    <n v="8"/>
    <n v="36.75"/>
    <m/>
    <m/>
    <n v="1"/>
    <n v="10.25"/>
  </r>
  <r>
    <x v="3"/>
    <x v="6"/>
    <s v="S12000006"/>
    <n v="346"/>
    <n v="1646"/>
    <n v="33"/>
    <n v="312.25"/>
    <m/>
    <m/>
    <m/>
    <m/>
  </r>
  <r>
    <x v="3"/>
    <x v="7"/>
    <s v="S12000042"/>
    <n v="299"/>
    <n v="1117.25"/>
    <n v="7"/>
    <n v="57.75"/>
    <m/>
    <m/>
    <n v="1"/>
    <n v="7"/>
  </r>
  <r>
    <x v="3"/>
    <x v="8"/>
    <s v="S12000008"/>
    <n v="155"/>
    <n v="975"/>
    <n v="10"/>
    <n v="143"/>
    <n v="1"/>
    <n v="51.75"/>
    <m/>
    <m/>
  </r>
  <r>
    <x v="3"/>
    <x v="9"/>
    <s v="S12000045"/>
    <n v="86"/>
    <n v="611"/>
    <n v="6"/>
    <n v="67.25"/>
    <m/>
    <m/>
    <m/>
    <m/>
  </r>
  <r>
    <x v="3"/>
    <x v="10"/>
    <s v="S12000010"/>
    <n v="138"/>
    <n v="536.5"/>
    <n v="6"/>
    <n v="35.75"/>
    <m/>
    <m/>
    <m/>
    <m/>
  </r>
  <r>
    <x v="3"/>
    <x v="11"/>
    <s v="S12000011"/>
    <n v="27"/>
    <n v="236.5"/>
    <n v="3"/>
    <n v="49.75"/>
    <m/>
    <m/>
    <m/>
    <m/>
  </r>
  <r>
    <x v="3"/>
    <x v="12"/>
    <s v="S12000014"/>
    <n v="148"/>
    <n v="843"/>
    <n v="11"/>
    <n v="143.25"/>
    <m/>
    <m/>
    <m/>
    <m/>
  </r>
  <r>
    <x v="3"/>
    <x v="13"/>
    <s v="S12000015"/>
    <n v="450"/>
    <n v="1686.5"/>
    <n v="14"/>
    <n v="150.5"/>
    <n v="2"/>
    <n v="38.75"/>
    <n v="2"/>
    <n v="19.5"/>
  </r>
  <r>
    <x v="3"/>
    <x v="14"/>
    <s v="S12000046"/>
    <n v="1125"/>
    <n v="4472.75"/>
    <n v="62"/>
    <n v="403"/>
    <m/>
    <m/>
    <m/>
    <m/>
  </r>
  <r>
    <x v="3"/>
    <x v="15"/>
    <s v="S12000017"/>
    <n v="227"/>
    <n v="1333"/>
    <n v="59"/>
    <n v="1064.25"/>
    <n v="6"/>
    <n v="232"/>
    <n v="4"/>
    <n v="38.5"/>
  </r>
  <r>
    <x v="3"/>
    <x v="16"/>
    <s v="S12000018"/>
    <n v="57"/>
    <n v="256.5"/>
    <n v="8"/>
    <n v="62"/>
    <m/>
    <m/>
    <m/>
    <m/>
  </r>
  <r>
    <x v="3"/>
    <x v="17"/>
    <s v="S12000019"/>
    <n v="94"/>
    <n v="477.5"/>
    <n v="1"/>
    <n v="4.25"/>
    <m/>
    <m/>
    <m/>
    <m/>
  </r>
  <r>
    <x v="3"/>
    <x v="18"/>
    <s v="S12000020"/>
    <n v="207"/>
    <n v="1131.25"/>
    <n v="9"/>
    <n v="130.75"/>
    <m/>
    <m/>
    <m/>
    <m/>
  </r>
  <r>
    <x v="3"/>
    <x v="19"/>
    <s v="S12000013"/>
    <n v="19"/>
    <n v="163.25"/>
    <n v="4"/>
    <n v="93.25"/>
    <n v="1"/>
    <n v="60"/>
    <m/>
    <m/>
  </r>
  <r>
    <x v="3"/>
    <x v="20"/>
    <s v="S12000021"/>
    <n v="94"/>
    <n v="542.75"/>
    <n v="8"/>
    <n v="85.75"/>
    <m/>
    <m/>
    <m/>
    <m/>
  </r>
  <r>
    <x v="3"/>
    <x v="21"/>
    <s v="S12000044"/>
    <n v="344"/>
    <n v="1826.5"/>
    <n v="7"/>
    <n v="65.5"/>
    <m/>
    <m/>
    <m/>
    <m/>
  </r>
  <r>
    <x v="3"/>
    <x v="22"/>
    <s v="S12000023"/>
    <n v="10"/>
    <n v="46.75"/>
    <n v="3"/>
    <n v="44.25"/>
    <m/>
    <m/>
    <m/>
    <m/>
  </r>
  <r>
    <x v="3"/>
    <x v="23"/>
    <s v="S12000024"/>
    <n v="284"/>
    <n v="1240.75"/>
    <n v="9"/>
    <n v="81.25"/>
    <m/>
    <m/>
    <m/>
    <m/>
  </r>
  <r>
    <x v="3"/>
    <x v="24"/>
    <s v="S12000038"/>
    <n v="82"/>
    <n v="508.5"/>
    <n v="9"/>
    <n v="126"/>
    <m/>
    <m/>
    <m/>
    <m/>
  </r>
  <r>
    <x v="3"/>
    <x v="25"/>
    <s v="S12000026"/>
    <n v="218"/>
    <n v="1084.25"/>
    <n v="13"/>
    <n v="97.75"/>
    <m/>
    <m/>
    <m/>
    <m/>
  </r>
  <r>
    <x v="3"/>
    <x v="26"/>
    <s v="S12000027"/>
    <n v="22"/>
    <n v="189"/>
    <n v="1"/>
    <n v="8"/>
    <m/>
    <m/>
    <n v="1"/>
    <n v="3.5"/>
  </r>
  <r>
    <x v="3"/>
    <x v="27"/>
    <s v="S12000028"/>
    <n v="310"/>
    <n v="1986.75"/>
    <n v="9"/>
    <n v="68.75"/>
    <m/>
    <m/>
    <m/>
    <m/>
  </r>
  <r>
    <x v="3"/>
    <x v="28"/>
    <s v="S12000029"/>
    <n v="321"/>
    <n v="1386.5"/>
    <n v="12"/>
    <n v="171.5"/>
    <m/>
    <m/>
    <m/>
    <m/>
  </r>
  <r>
    <x v="3"/>
    <x v="29"/>
    <s v="S12000030"/>
    <n v="203"/>
    <n v="910.5"/>
    <n v="21"/>
    <n v="135.5"/>
    <m/>
    <m/>
    <n v="1"/>
    <n v="5.5"/>
  </r>
  <r>
    <x v="3"/>
    <x v="30"/>
    <s v="S12000039"/>
    <n v="100"/>
    <n v="682.75"/>
    <n v="9"/>
    <n v="115.25"/>
    <m/>
    <m/>
    <m/>
    <m/>
  </r>
  <r>
    <x v="3"/>
    <x v="31"/>
    <s v="S12000040"/>
    <n v="157"/>
    <n v="667.75"/>
    <n v="7"/>
    <n v="40.5"/>
    <m/>
    <m/>
    <m/>
    <m/>
  </r>
  <r>
    <x v="4"/>
    <x v="0"/>
    <s v="S12000033"/>
    <n v="349"/>
    <n v="2090"/>
    <n v="15"/>
    <n v="161"/>
    <m/>
    <m/>
    <n v="2"/>
    <n v="4.5"/>
  </r>
  <r>
    <x v="4"/>
    <x v="1"/>
    <s v="S12000034"/>
    <n v="344"/>
    <n v="1895"/>
    <n v="29"/>
    <n v="240.5"/>
    <m/>
    <m/>
    <n v="1"/>
    <n v="7.5"/>
  </r>
  <r>
    <x v="4"/>
    <x v="2"/>
    <s v="S12000041"/>
    <n v="115"/>
    <n v="476.75"/>
    <n v="11"/>
    <n v="49.5"/>
    <n v="1"/>
    <n v="6"/>
    <m/>
    <m/>
  </r>
  <r>
    <x v="4"/>
    <x v="3"/>
    <s v="S12000035"/>
    <n v="205"/>
    <n v="1662"/>
    <n v="15"/>
    <n v="154.75"/>
    <m/>
    <m/>
    <m/>
    <m/>
  </r>
  <r>
    <x v="4"/>
    <x v="4"/>
    <s v="S12000036"/>
    <n v="672"/>
    <n v="2918.5"/>
    <n v="42"/>
    <n v="362.75"/>
    <n v="5"/>
    <n v="63.5"/>
    <n v="4"/>
    <n v="16"/>
  </r>
  <r>
    <x v="4"/>
    <x v="5"/>
    <s v="S12000005"/>
    <n v="69"/>
    <n v="332.5"/>
    <n v="1"/>
    <n v="8.5"/>
    <m/>
    <m/>
    <m/>
    <m/>
  </r>
  <r>
    <x v="4"/>
    <x v="6"/>
    <s v="S12000006"/>
    <n v="420"/>
    <n v="2070.25"/>
    <n v="20"/>
    <n v="205.5"/>
    <n v="2"/>
    <n v="17"/>
    <m/>
    <m/>
  </r>
  <r>
    <x v="4"/>
    <x v="7"/>
    <s v="S12000042"/>
    <n v="371"/>
    <n v="1559.5"/>
    <n v="10"/>
    <n v="90.75"/>
    <m/>
    <m/>
    <n v="3"/>
    <n v="23.5"/>
  </r>
  <r>
    <x v="4"/>
    <x v="8"/>
    <s v="S12000008"/>
    <n v="138"/>
    <n v="837.25"/>
    <n v="7"/>
    <n v="59"/>
    <m/>
    <m/>
    <m/>
    <m/>
  </r>
  <r>
    <x v="4"/>
    <x v="9"/>
    <s v="S12000045"/>
    <n v="82"/>
    <n v="447.75"/>
    <n v="2"/>
    <n v="30"/>
    <m/>
    <m/>
    <m/>
    <m/>
  </r>
  <r>
    <x v="4"/>
    <x v="10"/>
    <s v="S12000010"/>
    <n v="144"/>
    <n v="567.25"/>
    <n v="5"/>
    <n v="34.5"/>
    <m/>
    <m/>
    <m/>
    <m/>
  </r>
  <r>
    <x v="4"/>
    <x v="11"/>
    <s v="S12000011"/>
    <n v="34"/>
    <n v="234"/>
    <n v="2"/>
    <n v="18.75"/>
    <m/>
    <m/>
    <m/>
    <m/>
  </r>
  <r>
    <x v="4"/>
    <x v="12"/>
    <s v="S12000014"/>
    <n v="201"/>
    <n v="1063.25"/>
    <m/>
    <m/>
    <m/>
    <m/>
    <m/>
    <m/>
  </r>
  <r>
    <x v="4"/>
    <x v="13"/>
    <s v="S12000015"/>
    <n v="644"/>
    <n v="2085.75"/>
    <n v="13"/>
    <n v="127"/>
    <n v="2"/>
    <n v="52"/>
    <m/>
    <m/>
  </r>
  <r>
    <x v="4"/>
    <x v="14"/>
    <s v="S12000046"/>
    <n v="1067"/>
    <n v="4671"/>
    <n v="59"/>
    <n v="525.75"/>
    <n v="3"/>
    <n v="49.25"/>
    <m/>
    <m/>
  </r>
  <r>
    <x v="4"/>
    <x v="15"/>
    <s v="S12000017"/>
    <n v="172"/>
    <n v="1061.75"/>
    <n v="24"/>
    <n v="392.5"/>
    <n v="1"/>
    <n v="70.75"/>
    <n v="7"/>
    <n v="123"/>
  </r>
  <r>
    <x v="4"/>
    <x v="16"/>
    <s v="S12000018"/>
    <n v="73"/>
    <n v="338.75"/>
    <n v="5"/>
    <n v="63"/>
    <n v="1"/>
    <n v="33.25"/>
    <m/>
    <m/>
  </r>
  <r>
    <x v="4"/>
    <x v="17"/>
    <s v="S12000019"/>
    <n v="131"/>
    <n v="878.5"/>
    <n v="7"/>
    <n v="91.25"/>
    <m/>
    <m/>
    <m/>
    <m/>
  </r>
  <r>
    <x v="4"/>
    <x v="18"/>
    <s v="S12000020"/>
    <n v="124"/>
    <n v="579.75"/>
    <n v="6"/>
    <n v="75.25"/>
    <m/>
    <m/>
    <n v="1"/>
    <m/>
  </r>
  <r>
    <x v="4"/>
    <x v="19"/>
    <s v="S12000013"/>
    <n v="21"/>
    <n v="73.5"/>
    <m/>
    <m/>
    <m/>
    <m/>
    <m/>
    <m/>
  </r>
  <r>
    <x v="4"/>
    <x v="20"/>
    <s v="S12000021"/>
    <n v="239"/>
    <n v="1222.25"/>
    <n v="5"/>
    <n v="47"/>
    <m/>
    <m/>
    <m/>
    <m/>
  </r>
  <r>
    <x v="4"/>
    <x v="21"/>
    <s v="S12000044"/>
    <n v="294"/>
    <n v="1348"/>
    <n v="13"/>
    <n v="182.75"/>
    <n v="2"/>
    <n v="68.75"/>
    <n v="1"/>
    <n v="63"/>
  </r>
  <r>
    <x v="4"/>
    <x v="22"/>
    <s v="S12000023"/>
    <n v="9"/>
    <n v="42.5"/>
    <m/>
    <m/>
    <m/>
    <m/>
    <m/>
    <m/>
  </r>
  <r>
    <x v="4"/>
    <x v="23"/>
    <s v="S12000024"/>
    <n v="281"/>
    <n v="1204.5"/>
    <n v="12"/>
    <n v="81"/>
    <n v="1"/>
    <n v="14.25"/>
    <m/>
    <m/>
  </r>
  <r>
    <x v="4"/>
    <x v="24"/>
    <s v="S12000038"/>
    <n v="163"/>
    <n v="836"/>
    <n v="6"/>
    <n v="94"/>
    <m/>
    <m/>
    <m/>
    <m/>
  </r>
  <r>
    <x v="4"/>
    <x v="25"/>
    <s v="S12000026"/>
    <n v="202"/>
    <n v="998.75"/>
    <n v="17"/>
    <n v="142.5"/>
    <m/>
    <m/>
    <m/>
    <m/>
  </r>
  <r>
    <x v="4"/>
    <x v="26"/>
    <s v="S12000027"/>
    <n v="14"/>
    <n v="110.25"/>
    <n v="2"/>
    <n v="23.75"/>
    <m/>
    <m/>
    <m/>
    <m/>
  </r>
  <r>
    <x v="4"/>
    <x v="27"/>
    <s v="S12000028"/>
    <n v="216"/>
    <n v="1373.25"/>
    <n v="13"/>
    <n v="108"/>
    <n v="3"/>
    <n v="44.25"/>
    <n v="1"/>
    <m/>
  </r>
  <r>
    <x v="4"/>
    <x v="28"/>
    <s v="S12000029"/>
    <n v="242"/>
    <n v="1512.25"/>
    <n v="10"/>
    <n v="273"/>
    <n v="1"/>
    <n v="102.75"/>
    <m/>
    <m/>
  </r>
  <r>
    <x v="4"/>
    <x v="29"/>
    <s v="S12000030"/>
    <n v="190"/>
    <n v="759"/>
    <n v="3"/>
    <n v="38.75"/>
    <m/>
    <m/>
    <m/>
    <m/>
  </r>
  <r>
    <x v="4"/>
    <x v="30"/>
    <s v="S12000039"/>
    <n v="74"/>
    <n v="427"/>
    <n v="5"/>
    <n v="44.75"/>
    <m/>
    <m/>
    <m/>
    <m/>
  </r>
  <r>
    <x v="4"/>
    <x v="31"/>
    <s v="S12000040"/>
    <n v="208"/>
    <n v="775.5"/>
    <n v="5"/>
    <n v="33.5"/>
    <m/>
    <m/>
    <m/>
    <m/>
  </r>
  <r>
    <x v="5"/>
    <x v="0"/>
    <s v="S12000033"/>
    <n v="422"/>
    <m/>
    <n v="11"/>
    <m/>
    <m/>
    <m/>
    <n v="2"/>
    <m/>
  </r>
  <r>
    <x v="5"/>
    <x v="1"/>
    <s v="S12000034"/>
    <n v="345"/>
    <m/>
    <n v="6"/>
    <m/>
    <m/>
    <m/>
    <m/>
    <m/>
  </r>
  <r>
    <x v="5"/>
    <x v="2"/>
    <s v="S12000041"/>
    <n v="123"/>
    <m/>
    <m/>
    <m/>
    <m/>
    <m/>
    <m/>
    <m/>
  </r>
  <r>
    <x v="5"/>
    <x v="3"/>
    <s v="S12000035"/>
    <n v="275"/>
    <m/>
    <n v="7"/>
    <m/>
    <m/>
    <m/>
    <m/>
    <m/>
  </r>
  <r>
    <x v="5"/>
    <x v="4"/>
    <s v="S12000036"/>
    <n v="631"/>
    <m/>
    <n v="17"/>
    <m/>
    <m/>
    <m/>
    <n v="1"/>
    <m/>
  </r>
  <r>
    <x v="5"/>
    <x v="5"/>
    <s v="S12000005"/>
    <n v="49"/>
    <m/>
    <m/>
    <m/>
    <m/>
    <m/>
    <m/>
    <m/>
  </r>
  <r>
    <x v="5"/>
    <x v="6"/>
    <s v="S12000006"/>
    <n v="429"/>
    <m/>
    <n v="6"/>
    <m/>
    <m/>
    <m/>
    <m/>
    <m/>
  </r>
  <r>
    <x v="5"/>
    <x v="7"/>
    <s v="S12000042"/>
    <n v="419"/>
    <m/>
    <n v="5"/>
    <m/>
    <m/>
    <m/>
    <m/>
    <m/>
  </r>
  <r>
    <x v="5"/>
    <x v="8"/>
    <s v="S12000008"/>
    <n v="105"/>
    <m/>
    <n v="5"/>
    <m/>
    <m/>
    <m/>
    <m/>
    <m/>
  </r>
  <r>
    <x v="5"/>
    <x v="9"/>
    <s v="S12000045"/>
    <n v="97"/>
    <m/>
    <n v="4"/>
    <m/>
    <m/>
    <m/>
    <m/>
    <m/>
  </r>
  <r>
    <x v="5"/>
    <x v="10"/>
    <s v="S12000010"/>
    <n v="76"/>
    <m/>
    <n v="2"/>
    <m/>
    <m/>
    <m/>
    <m/>
    <m/>
  </r>
  <r>
    <x v="5"/>
    <x v="11"/>
    <s v="S12000011"/>
    <n v="28"/>
    <m/>
    <m/>
    <m/>
    <m/>
    <m/>
    <m/>
    <m/>
  </r>
  <r>
    <x v="5"/>
    <x v="12"/>
    <s v="S12000014"/>
    <n v="143"/>
    <m/>
    <n v="7"/>
    <m/>
    <m/>
    <m/>
    <m/>
    <m/>
  </r>
  <r>
    <x v="5"/>
    <x v="13"/>
    <s v="S12000015"/>
    <n v="335"/>
    <m/>
    <n v="82"/>
    <m/>
    <m/>
    <m/>
    <n v="2"/>
    <m/>
  </r>
  <r>
    <x v="5"/>
    <x v="14"/>
    <s v="S12000046"/>
    <n v="897"/>
    <m/>
    <n v="142"/>
    <m/>
    <m/>
    <m/>
    <n v="3"/>
    <m/>
  </r>
  <r>
    <x v="5"/>
    <x v="15"/>
    <s v="S12000017"/>
    <n v="462"/>
    <m/>
    <n v="31"/>
    <m/>
    <m/>
    <m/>
    <n v="3"/>
    <m/>
  </r>
  <r>
    <x v="5"/>
    <x v="16"/>
    <s v="S12000018"/>
    <n v="51"/>
    <m/>
    <n v="3"/>
    <m/>
    <m/>
    <m/>
    <m/>
    <m/>
  </r>
  <r>
    <x v="5"/>
    <x v="17"/>
    <s v="S12000019"/>
    <n v="64"/>
    <m/>
    <n v="6"/>
    <m/>
    <m/>
    <m/>
    <m/>
    <m/>
  </r>
  <r>
    <x v="5"/>
    <x v="18"/>
    <s v="S12000020"/>
    <n v="91"/>
    <m/>
    <n v="9"/>
    <m/>
    <m/>
    <m/>
    <n v="1"/>
    <m/>
  </r>
  <r>
    <x v="5"/>
    <x v="19"/>
    <m/>
    <m/>
    <m/>
    <m/>
    <m/>
    <m/>
    <m/>
    <m/>
    <m/>
  </r>
  <r>
    <x v="5"/>
    <x v="20"/>
    <s v="S12000021"/>
    <n v="145"/>
    <m/>
    <n v="3"/>
    <m/>
    <m/>
    <m/>
    <m/>
    <m/>
  </r>
  <r>
    <x v="5"/>
    <x v="21"/>
    <s v="S12000044"/>
    <n v="299"/>
    <m/>
    <n v="7"/>
    <m/>
    <m/>
    <m/>
    <m/>
    <m/>
  </r>
  <r>
    <x v="5"/>
    <x v="22"/>
    <s v="S12000023"/>
    <n v="23"/>
    <m/>
    <m/>
    <m/>
    <m/>
    <m/>
    <m/>
    <m/>
  </r>
  <r>
    <x v="5"/>
    <x v="23"/>
    <s v="S12000024"/>
    <n v="247"/>
    <m/>
    <n v="1"/>
    <m/>
    <m/>
    <m/>
    <m/>
    <m/>
  </r>
  <r>
    <x v="5"/>
    <x v="24"/>
    <s v="S12000038"/>
    <n v="140"/>
    <m/>
    <n v="9"/>
    <m/>
    <m/>
    <m/>
    <m/>
    <m/>
  </r>
  <r>
    <x v="5"/>
    <x v="25"/>
    <s v="S12000026"/>
    <n v="99"/>
    <m/>
    <n v="5"/>
    <m/>
    <m/>
    <m/>
    <m/>
    <m/>
  </r>
  <r>
    <x v="5"/>
    <x v="26"/>
    <s v="S12000027"/>
    <n v="11"/>
    <m/>
    <m/>
    <m/>
    <m/>
    <m/>
    <m/>
    <m/>
  </r>
  <r>
    <x v="5"/>
    <x v="27"/>
    <s v="S12000028"/>
    <n v="220"/>
    <m/>
    <n v="5"/>
    <m/>
    <m/>
    <m/>
    <m/>
    <m/>
  </r>
  <r>
    <x v="5"/>
    <x v="28"/>
    <s v="S12000029"/>
    <n v="154"/>
    <m/>
    <n v="5"/>
    <m/>
    <m/>
    <m/>
    <m/>
    <m/>
  </r>
  <r>
    <x v="5"/>
    <x v="29"/>
    <s v="S12000030"/>
    <n v="195"/>
    <m/>
    <n v="6"/>
    <m/>
    <m/>
    <m/>
    <m/>
    <m/>
  </r>
  <r>
    <x v="5"/>
    <x v="30"/>
    <s v="S12000039"/>
    <n v="125"/>
    <m/>
    <n v="3"/>
    <m/>
    <m/>
    <m/>
    <m/>
    <m/>
  </r>
  <r>
    <x v="5"/>
    <x v="31"/>
    <s v="S12000040"/>
    <n v="173"/>
    <m/>
    <n v="1"/>
    <m/>
    <n v="1"/>
    <m/>
    <m/>
    <m/>
  </r>
  <r>
    <x v="6"/>
    <x v="0"/>
    <s v="S12000033"/>
    <n v="176"/>
    <n v="1044.75"/>
    <n v="5"/>
    <n v="24.25"/>
    <m/>
    <m/>
    <n v="1"/>
    <n v="20"/>
  </r>
  <r>
    <x v="6"/>
    <x v="1"/>
    <s v="S12000034"/>
    <n v="77"/>
    <n v="586.25"/>
    <n v="4"/>
    <n v="57.25"/>
    <m/>
    <m/>
    <n v="1"/>
    <n v="4"/>
  </r>
  <r>
    <x v="6"/>
    <x v="2"/>
    <s v="S12000041"/>
    <n v="56"/>
    <n v="230.5"/>
    <n v="3"/>
    <n v="12.75"/>
    <m/>
    <m/>
    <m/>
    <m/>
  </r>
  <r>
    <x v="6"/>
    <x v="3"/>
    <s v="S12000035"/>
    <n v="106"/>
    <n v="628"/>
    <n v="13"/>
    <n v="230"/>
    <m/>
    <m/>
    <m/>
    <m/>
  </r>
  <r>
    <x v="6"/>
    <x v="4"/>
    <s v="S12000036"/>
    <n v="353"/>
    <n v="1302.5"/>
    <n v="9"/>
    <n v="185.5"/>
    <m/>
    <m/>
    <m/>
    <m/>
  </r>
  <r>
    <x v="6"/>
    <x v="5"/>
    <s v="S12000005"/>
    <n v="35"/>
    <n v="206.25"/>
    <m/>
    <m/>
    <m/>
    <m/>
    <m/>
    <m/>
  </r>
  <r>
    <x v="6"/>
    <x v="6"/>
    <s v="S12000006"/>
    <n v="122"/>
    <n v="533.25"/>
    <n v="2"/>
    <n v="12.25"/>
    <m/>
    <m/>
    <m/>
    <m/>
  </r>
  <r>
    <x v="6"/>
    <x v="7"/>
    <s v="S12000042"/>
    <n v="149"/>
    <n v="745.25"/>
    <n v="6"/>
    <n v="76.75"/>
    <n v="1"/>
    <n v="27.5"/>
    <m/>
    <m/>
  </r>
  <r>
    <x v="6"/>
    <x v="8"/>
    <s v="S12000008"/>
    <n v="67"/>
    <n v="266.75"/>
    <n v="2"/>
    <n v="17.5"/>
    <m/>
    <m/>
    <m/>
    <m/>
  </r>
  <r>
    <x v="6"/>
    <x v="9"/>
    <s v="S12000045"/>
    <n v="45"/>
    <n v="153.5"/>
    <m/>
    <m/>
    <m/>
    <m/>
    <m/>
    <m/>
  </r>
  <r>
    <x v="6"/>
    <x v="10"/>
    <s v="S12000010"/>
    <n v="43"/>
    <n v="252.75"/>
    <n v="2"/>
    <n v="23"/>
    <m/>
    <m/>
    <m/>
    <m/>
  </r>
  <r>
    <x v="6"/>
    <x v="11"/>
    <s v="S12000011"/>
    <n v="19"/>
    <n v="117.25"/>
    <m/>
    <m/>
    <m/>
    <m/>
    <m/>
    <m/>
  </r>
  <r>
    <x v="6"/>
    <x v="12"/>
    <s v="S12000014"/>
    <n v="62"/>
    <n v="270.5"/>
    <m/>
    <m/>
    <m/>
    <m/>
    <m/>
    <m/>
  </r>
  <r>
    <x v="6"/>
    <x v="13"/>
    <s v="S12000047"/>
    <n v="248"/>
    <n v="1040.25"/>
    <n v="4"/>
    <n v="56.75"/>
    <n v="1"/>
    <n v="41.25"/>
    <m/>
    <m/>
  </r>
  <r>
    <x v="6"/>
    <x v="14"/>
    <s v="S12000049"/>
    <n v="446"/>
    <n v="1777.5"/>
    <n v="24"/>
    <n v="120.25"/>
    <m/>
    <m/>
    <m/>
    <m/>
  </r>
  <r>
    <x v="6"/>
    <x v="15"/>
    <s v="S12000017"/>
    <n v="109"/>
    <n v="648.25"/>
    <n v="11"/>
    <n v="125"/>
    <m/>
    <m/>
    <m/>
    <m/>
  </r>
  <r>
    <x v="6"/>
    <x v="16"/>
    <s v="S12000018"/>
    <n v="27"/>
    <n v="152.25"/>
    <m/>
    <m/>
    <m/>
    <m/>
    <m/>
    <m/>
  </r>
  <r>
    <x v="6"/>
    <x v="17"/>
    <s v="S12000019"/>
    <n v="35"/>
    <n v="292.25"/>
    <n v="2"/>
    <n v="31.75"/>
    <m/>
    <m/>
    <m/>
    <m/>
  </r>
  <r>
    <x v="6"/>
    <x v="18"/>
    <s v="S12000020"/>
    <n v="41"/>
    <n v="252.75"/>
    <n v="1"/>
    <n v="5.5"/>
    <m/>
    <m/>
    <n v="1"/>
    <m/>
  </r>
  <r>
    <x v="6"/>
    <x v="19"/>
    <s v="S12000013"/>
    <n v="11"/>
    <n v="62.75"/>
    <m/>
    <m/>
    <m/>
    <m/>
    <m/>
    <m/>
  </r>
  <r>
    <x v="6"/>
    <x v="20"/>
    <s v="S12000021"/>
    <n v="89"/>
    <n v="599.25"/>
    <m/>
    <m/>
    <m/>
    <m/>
    <m/>
    <m/>
  </r>
  <r>
    <x v="6"/>
    <x v="21"/>
    <s v="S12000050"/>
    <n v="115"/>
    <n v="395.25"/>
    <n v="2"/>
    <n v="10.5"/>
    <m/>
    <m/>
    <m/>
    <m/>
  </r>
  <r>
    <x v="6"/>
    <x v="22"/>
    <s v="S12000023"/>
    <n v="8"/>
    <n v="37.75"/>
    <n v="1"/>
    <n v="34.75"/>
    <m/>
    <m/>
    <m/>
    <m/>
  </r>
  <r>
    <x v="6"/>
    <x v="23"/>
    <s v="S12000048"/>
    <n v="152"/>
    <n v="697"/>
    <m/>
    <m/>
    <m/>
    <m/>
    <m/>
    <m/>
  </r>
  <r>
    <x v="6"/>
    <x v="24"/>
    <s v="S12000038"/>
    <n v="66"/>
    <n v="328.75"/>
    <n v="6"/>
    <n v="54.5"/>
    <m/>
    <m/>
    <m/>
    <m/>
  </r>
  <r>
    <x v="6"/>
    <x v="25"/>
    <s v="S12000026"/>
    <n v="63"/>
    <n v="350"/>
    <n v="3"/>
    <n v="49.5"/>
    <m/>
    <m/>
    <m/>
    <m/>
  </r>
  <r>
    <x v="6"/>
    <x v="26"/>
    <s v="S12000027"/>
    <n v="10"/>
    <n v="101.75"/>
    <m/>
    <m/>
    <m/>
    <m/>
    <m/>
    <m/>
  </r>
  <r>
    <x v="6"/>
    <x v="27"/>
    <s v="S12000028"/>
    <n v="120"/>
    <n v="791.75"/>
    <n v="2"/>
    <n v="7.75"/>
    <m/>
    <m/>
    <m/>
    <m/>
  </r>
  <r>
    <x v="6"/>
    <x v="28"/>
    <s v="S12000029"/>
    <n v="142"/>
    <n v="1628.25"/>
    <n v="4"/>
    <n v="64.75"/>
    <m/>
    <m/>
    <m/>
    <m/>
  </r>
  <r>
    <x v="6"/>
    <x v="29"/>
    <s v="S12000030"/>
    <n v="74"/>
    <n v="377.5"/>
    <n v="6"/>
    <n v="138.5"/>
    <n v="1"/>
    <n v="54.5"/>
    <m/>
    <m/>
  </r>
  <r>
    <x v="6"/>
    <x v="30"/>
    <s v="S12000039"/>
    <n v="28"/>
    <n v="102.5"/>
    <m/>
    <m/>
    <m/>
    <m/>
    <m/>
    <m/>
  </r>
  <r>
    <x v="6"/>
    <x v="31"/>
    <s v="S12000040"/>
    <n v="86"/>
    <n v="305.5"/>
    <m/>
    <m/>
    <m/>
    <m/>
    <m/>
    <m/>
  </r>
</pivotCacheRecords>
</file>

<file path=xl/pivotCache/pivotCacheRecords29.xml><?xml version="1.0" encoding="utf-8"?>
<pivotCacheRecords xmlns="http://schemas.openxmlformats.org/spreadsheetml/2006/main" xmlns:r="http://schemas.openxmlformats.org/officeDocument/2006/relationships" count="255">
  <r>
    <x v="0"/>
    <x v="0"/>
    <s v="S12000033"/>
    <x v="0"/>
    <n v="6.5"/>
    <n v="1"/>
    <n v="1.75"/>
    <n v="3.75"/>
  </r>
  <r>
    <x v="0"/>
    <x v="0"/>
    <s v="S12000034"/>
    <x v="1"/>
    <n v="269.71000000000004"/>
    <n v="27.46"/>
    <n v="57.67"/>
    <n v="184.58"/>
  </r>
  <r>
    <x v="0"/>
    <x v="0"/>
    <s v=""/>
    <x v="2"/>
    <n v="2665.13"/>
    <n v="262.12"/>
    <n v="489.46"/>
    <n v="1913.55"/>
  </r>
  <r>
    <x v="0"/>
    <x v="0"/>
    <s v="S12000041"/>
    <x v="3"/>
    <n v="86.75"/>
    <n v="7"/>
    <n v="17"/>
    <n v="62.75"/>
  </r>
  <r>
    <x v="0"/>
    <x v="0"/>
    <s v="S12000035"/>
    <x v="4"/>
    <n v="178.25"/>
    <n v="16.75"/>
    <n v="22.75"/>
    <n v="138.75"/>
  </r>
  <r>
    <x v="0"/>
    <x v="0"/>
    <s v="S12000036"/>
    <x v="5"/>
    <n v="9.75"/>
    <n v="0.75"/>
    <n v="1.75"/>
    <n v="7.25"/>
  </r>
  <r>
    <x v="0"/>
    <x v="0"/>
    <s v="S12000005"/>
    <x v="6"/>
    <n v="16.71"/>
    <n v="1.52"/>
    <n v="3.29"/>
    <n v="11.9"/>
  </r>
  <r>
    <x v="0"/>
    <x v="0"/>
    <s v="S12000006"/>
    <x v="7"/>
    <n v="177.25"/>
    <n v="15.25"/>
    <n v="31.25"/>
    <n v="130.75"/>
  </r>
  <r>
    <x v="0"/>
    <x v="0"/>
    <s v="S12000042"/>
    <x v="8"/>
    <n v="12.25"/>
    <n v="0.75"/>
    <n v="2.75"/>
    <n v="8.75"/>
  </r>
  <r>
    <x v="0"/>
    <x v="0"/>
    <s v="S12000008"/>
    <x v="9"/>
    <n v="66.86"/>
    <n v="8.25"/>
    <n v="8.5"/>
    <n v="50.11"/>
  </r>
  <r>
    <x v="0"/>
    <x v="0"/>
    <s v="S12000045"/>
    <x v="10"/>
    <m/>
    <m/>
    <m/>
    <m/>
  </r>
  <r>
    <x v="0"/>
    <x v="0"/>
    <s v="S12000010"/>
    <x v="11"/>
    <n v="46.75"/>
    <n v="5"/>
    <n v="8.75"/>
    <n v="33"/>
  </r>
  <r>
    <x v="0"/>
    <x v="0"/>
    <s v="S12000011"/>
    <x v="12"/>
    <m/>
    <m/>
    <m/>
    <m/>
  </r>
  <r>
    <x v="0"/>
    <x v="0"/>
    <s v="S12000014"/>
    <x v="13"/>
    <n v="49.69"/>
    <n v="3.81"/>
    <n v="7.6"/>
    <n v="38.28"/>
  </r>
  <r>
    <x v="0"/>
    <x v="0"/>
    <s v="S12000047"/>
    <x v="14"/>
    <n v="92"/>
    <n v="10.75"/>
    <n v="15"/>
    <n v="66.25"/>
  </r>
  <r>
    <x v="0"/>
    <x v="0"/>
    <s v="S12000046"/>
    <x v="15"/>
    <m/>
    <m/>
    <n v="1"/>
    <n v="1"/>
  </r>
  <r>
    <x v="0"/>
    <x v="0"/>
    <s v="S12000017"/>
    <x v="16"/>
    <n v="525.5"/>
    <n v="52.25"/>
    <n v="108.25"/>
    <n v="365"/>
  </r>
  <r>
    <x v="0"/>
    <x v="0"/>
    <s v="S12000018"/>
    <x v="17"/>
    <n v="35.5"/>
    <n v="3"/>
    <n v="3.75"/>
    <n v="28.75"/>
  </r>
  <r>
    <x v="0"/>
    <x v="0"/>
    <s v="S12000019"/>
    <x v="18"/>
    <n v="8.75"/>
    <n v="1"/>
    <n v="1.75"/>
    <n v="6"/>
  </r>
  <r>
    <x v="0"/>
    <x v="0"/>
    <s v="S12000020"/>
    <x v="19"/>
    <n v="95.38"/>
    <n v="8"/>
    <n v="19.5"/>
    <n v="67.88"/>
  </r>
  <r>
    <x v="0"/>
    <x v="0"/>
    <s v="S12000013"/>
    <x v="20"/>
    <n v="124"/>
    <n v="12.5"/>
    <n v="24"/>
    <n v="87.5"/>
  </r>
  <r>
    <x v="0"/>
    <x v="0"/>
    <s v="S12000021"/>
    <x v="21"/>
    <n v="86.25"/>
    <n v="8.5"/>
    <n v="14"/>
    <n v="63.75"/>
  </r>
  <r>
    <x v="0"/>
    <x v="0"/>
    <s v="S12000044"/>
    <x v="22"/>
    <n v="27"/>
    <n v="2.75"/>
    <n v="3"/>
    <n v="21.25"/>
  </r>
  <r>
    <x v="0"/>
    <x v="0"/>
    <s v="S12000023"/>
    <x v="23"/>
    <n v="111"/>
    <n v="12"/>
    <n v="21.25"/>
    <n v="77.75"/>
  </r>
  <r>
    <x v="0"/>
    <x v="0"/>
    <s v="S12000024"/>
    <x v="24"/>
    <n v="128"/>
    <n v="9.5"/>
    <n v="24"/>
    <n v="94.5"/>
  </r>
  <r>
    <x v="0"/>
    <x v="0"/>
    <s v="S12000038"/>
    <x v="25"/>
    <n v="11.75"/>
    <n v="1"/>
    <n v="2"/>
    <n v="8.75"/>
  </r>
  <r>
    <x v="0"/>
    <x v="0"/>
    <s v="S12000026"/>
    <x v="26"/>
    <n v="119.5"/>
    <n v="12.5"/>
    <n v="22"/>
    <n v="85"/>
  </r>
  <r>
    <x v="0"/>
    <x v="0"/>
    <s v="S12000027"/>
    <x v="27"/>
    <n v="126"/>
    <n v="12.25"/>
    <n v="28.25"/>
    <n v="85.5"/>
  </r>
  <r>
    <x v="0"/>
    <x v="0"/>
    <s v="S12000028"/>
    <x v="28"/>
    <n v="49.25"/>
    <n v="5"/>
    <n v="8.25"/>
    <n v="36"/>
  </r>
  <r>
    <x v="0"/>
    <x v="0"/>
    <s v="S12000029"/>
    <x v="29"/>
    <n v="79.25"/>
    <n v="8.75"/>
    <n v="8"/>
    <n v="62.5"/>
  </r>
  <r>
    <x v="0"/>
    <x v="0"/>
    <s v="S12000030"/>
    <x v="30"/>
    <n v="58.03"/>
    <n v="7.33"/>
    <n v="11.9"/>
    <n v="38.799999999999997"/>
  </r>
  <r>
    <x v="0"/>
    <x v="0"/>
    <s v="S12000039"/>
    <x v="31"/>
    <n v="15.75"/>
    <n v="1.75"/>
    <n v="1"/>
    <n v="13"/>
  </r>
  <r>
    <x v="0"/>
    <x v="0"/>
    <s v="S12000040"/>
    <x v="32"/>
    <n v="49.75"/>
    <n v="5.75"/>
    <n v="9.5"/>
    <n v="34.5"/>
  </r>
  <r>
    <x v="1"/>
    <x v="0"/>
    <s v="S12000033"/>
    <x v="0"/>
    <n v="6.5"/>
    <n v="1"/>
    <n v="1.75"/>
    <n v="3.75"/>
  </r>
  <r>
    <x v="1"/>
    <x v="0"/>
    <s v="S12000034"/>
    <x v="1"/>
    <n v="253.25"/>
    <n v="25.25"/>
    <n v="56"/>
    <n v="172"/>
  </r>
  <r>
    <x v="1"/>
    <x v="0"/>
    <s v=""/>
    <x v="2"/>
    <n v="2668.5"/>
    <n v="263.75"/>
    <n v="498"/>
    <n v="1906.75"/>
  </r>
  <r>
    <x v="1"/>
    <x v="0"/>
    <s v="S12000041"/>
    <x v="3"/>
    <n v="83.5"/>
    <n v="7"/>
    <n v="18"/>
    <n v="58.5"/>
  </r>
  <r>
    <x v="1"/>
    <x v="0"/>
    <s v="S12000035"/>
    <x v="4"/>
    <n v="166.5"/>
    <n v="14.75"/>
    <n v="22.75"/>
    <n v="129"/>
  </r>
  <r>
    <x v="1"/>
    <x v="0"/>
    <s v="S12000036"/>
    <x v="5"/>
    <n v="10.5"/>
    <n v="0.75"/>
    <n v="1.75"/>
    <n v="8"/>
  </r>
  <r>
    <x v="1"/>
    <x v="0"/>
    <s v="S12000005"/>
    <x v="6"/>
    <n v="18.25"/>
    <n v="1.5"/>
    <n v="4"/>
    <n v="12.75"/>
  </r>
  <r>
    <x v="1"/>
    <x v="0"/>
    <s v="S12000006"/>
    <x v="7"/>
    <n v="185"/>
    <n v="15.25"/>
    <n v="32.75"/>
    <n v="137"/>
  </r>
  <r>
    <x v="1"/>
    <x v="0"/>
    <s v="S12000042"/>
    <x v="8"/>
    <n v="11.75"/>
    <n v="0.75"/>
    <n v="2.75"/>
    <n v="8.25"/>
  </r>
  <r>
    <x v="1"/>
    <x v="0"/>
    <s v="S12000008"/>
    <x v="9"/>
    <n v="71.25"/>
    <n v="7.5"/>
    <n v="7.25"/>
    <n v="56.5"/>
  </r>
  <r>
    <x v="1"/>
    <x v="0"/>
    <s v="S12000045"/>
    <x v="10"/>
    <n v="0"/>
    <n v="0"/>
    <n v="0"/>
    <n v="0"/>
  </r>
  <r>
    <x v="1"/>
    <x v="0"/>
    <s v="S12000010"/>
    <x v="11"/>
    <n v="52.75"/>
    <n v="5"/>
    <n v="11.5"/>
    <n v="36.25"/>
  </r>
  <r>
    <x v="1"/>
    <x v="0"/>
    <s v="S12000011"/>
    <x v="12"/>
    <n v="0"/>
    <n v="0"/>
    <n v="0"/>
    <n v="0"/>
  </r>
  <r>
    <x v="1"/>
    <x v="0"/>
    <s v="S12000014"/>
    <x v="13"/>
    <n v="51.75"/>
    <n v="4.5"/>
    <n v="6.75"/>
    <n v="40.5"/>
  </r>
  <r>
    <x v="1"/>
    <x v="0"/>
    <s v="S12000047"/>
    <x v="14"/>
    <n v="94"/>
    <n v="9.75"/>
    <n v="18.75"/>
    <n v="65.5"/>
  </r>
  <r>
    <x v="1"/>
    <x v="0"/>
    <s v="S12000046"/>
    <x v="15"/>
    <n v="0"/>
    <n v="0"/>
    <n v="0"/>
    <n v="0"/>
  </r>
  <r>
    <x v="1"/>
    <x v="0"/>
    <s v="S12000017"/>
    <x v="16"/>
    <n v="512.75"/>
    <n v="52.25"/>
    <n v="100.25"/>
    <n v="360.25"/>
  </r>
  <r>
    <x v="1"/>
    <x v="0"/>
    <s v="S12000018"/>
    <x v="17"/>
    <n v="33.5"/>
    <n v="3"/>
    <n v="3.75"/>
    <n v="26.75"/>
  </r>
  <r>
    <x v="1"/>
    <x v="0"/>
    <s v="S12000019"/>
    <x v="18"/>
    <n v="11.75"/>
    <n v="1"/>
    <n v="1.75"/>
    <n v="9"/>
  </r>
  <r>
    <x v="1"/>
    <x v="0"/>
    <s v="S12000020"/>
    <x v="19"/>
    <n v="111.75"/>
    <n v="10"/>
    <n v="23"/>
    <n v="78.75"/>
  </r>
  <r>
    <x v="1"/>
    <x v="0"/>
    <s v="S12000013"/>
    <x v="20"/>
    <n v="140.25"/>
    <n v="15.5"/>
    <n v="26.5"/>
    <n v="98.25"/>
  </r>
  <r>
    <x v="1"/>
    <x v="0"/>
    <s v="S12000021"/>
    <x v="21"/>
    <n v="82.5"/>
    <n v="8.5"/>
    <n v="15.5"/>
    <n v="58.5"/>
  </r>
  <r>
    <x v="1"/>
    <x v="0"/>
    <s v="S12000044"/>
    <x v="22"/>
    <n v="28.25"/>
    <n v="2.5"/>
    <n v="3"/>
    <n v="22.75"/>
  </r>
  <r>
    <x v="1"/>
    <x v="0"/>
    <s v="S12000023"/>
    <x v="23"/>
    <n v="107.25"/>
    <n v="12"/>
    <n v="25"/>
    <n v="70.25"/>
  </r>
  <r>
    <x v="1"/>
    <x v="0"/>
    <s v="S12000024"/>
    <x v="24"/>
    <n v="116.75"/>
    <n v="12.75"/>
    <n v="24.25"/>
    <n v="79.75"/>
  </r>
  <r>
    <x v="1"/>
    <x v="0"/>
    <s v="S12000038"/>
    <x v="25"/>
    <n v="11.75"/>
    <n v="1"/>
    <n v="2"/>
    <n v="8.75"/>
  </r>
  <r>
    <x v="1"/>
    <x v="0"/>
    <s v="S12000026"/>
    <x v="26"/>
    <n v="132.25"/>
    <n v="13.25"/>
    <n v="22.75"/>
    <n v="96.25"/>
  </r>
  <r>
    <x v="1"/>
    <x v="0"/>
    <s v="S12000027"/>
    <x v="27"/>
    <n v="119"/>
    <n v="11.25"/>
    <n v="28"/>
    <n v="79.75"/>
  </r>
  <r>
    <x v="1"/>
    <x v="0"/>
    <s v="S12000028"/>
    <x v="28"/>
    <n v="49"/>
    <n v="5"/>
    <n v="8.25"/>
    <n v="35.75"/>
  </r>
  <r>
    <x v="1"/>
    <x v="0"/>
    <s v="S12000029"/>
    <x v="29"/>
    <n v="76.75"/>
    <n v="8.75"/>
    <n v="8"/>
    <n v="60"/>
  </r>
  <r>
    <x v="1"/>
    <x v="0"/>
    <s v="S12000030"/>
    <x v="30"/>
    <n v="58.5"/>
    <n v="7.25"/>
    <n v="11"/>
    <n v="40.25"/>
  </r>
  <r>
    <x v="1"/>
    <x v="0"/>
    <s v="S12000039"/>
    <x v="31"/>
    <n v="18.5"/>
    <n v="1.75"/>
    <n v="1"/>
    <n v="15.75"/>
  </r>
  <r>
    <x v="1"/>
    <x v="0"/>
    <s v="S12000040"/>
    <x v="32"/>
    <n v="53"/>
    <n v="5"/>
    <n v="10"/>
    <n v="38"/>
  </r>
  <r>
    <x v="2"/>
    <x v="0"/>
    <s v="S12000033"/>
    <x v="0"/>
    <n v="15.25"/>
    <n v="1.75"/>
    <n v="5.5"/>
    <n v="8"/>
  </r>
  <r>
    <x v="2"/>
    <x v="0"/>
    <s v="S12000034"/>
    <x v="1"/>
    <n v="226.25"/>
    <n v="24"/>
    <n v="56.25"/>
    <n v="146"/>
  </r>
  <r>
    <x v="2"/>
    <x v="0"/>
    <s v=""/>
    <x v="2"/>
    <n v="2527"/>
    <n v="248"/>
    <n v="486"/>
    <n v="1793"/>
  </r>
  <r>
    <x v="2"/>
    <x v="0"/>
    <s v="S12000041"/>
    <x v="3"/>
    <n v="82"/>
    <n v="6"/>
    <n v="13.5"/>
    <n v="62.5"/>
  </r>
  <r>
    <x v="2"/>
    <x v="0"/>
    <s v="S12000035"/>
    <x v="4"/>
    <n v="171.39285714285714"/>
    <n v="11.75"/>
    <n v="24.75"/>
    <n v="134.89285714285714"/>
  </r>
  <r>
    <x v="2"/>
    <x v="0"/>
    <s v="S12000036"/>
    <x v="5"/>
    <n v="10"/>
    <n v="1"/>
    <n v="1.75"/>
    <n v="7.25"/>
  </r>
  <r>
    <x v="2"/>
    <x v="0"/>
    <s v="S12000005"/>
    <x v="6"/>
    <n v="16.25"/>
    <n v="2"/>
    <n v="3"/>
    <n v="11.25"/>
  </r>
  <r>
    <x v="2"/>
    <x v="0"/>
    <s v="S12000006"/>
    <x v="7"/>
    <n v="169"/>
    <n v="14.5"/>
    <n v="30.75"/>
    <n v="123.75"/>
  </r>
  <r>
    <x v="2"/>
    <x v="0"/>
    <s v="S12000042"/>
    <x v="8"/>
    <n v="9.5"/>
    <n v="0.75"/>
    <n v="2.5"/>
    <n v="6.25"/>
  </r>
  <r>
    <x v="2"/>
    <x v="0"/>
    <s v="S12000008"/>
    <x v="9"/>
    <n v="71"/>
    <n v="6.25"/>
    <n v="8.75"/>
    <n v="56"/>
  </r>
  <r>
    <x v="2"/>
    <x v="0"/>
    <s v="S12000045"/>
    <x v="10"/>
    <n v="0"/>
    <n v="0"/>
    <n v="0"/>
    <n v="0"/>
  </r>
  <r>
    <x v="2"/>
    <x v="0"/>
    <s v="S12000010"/>
    <x v="11"/>
    <n v="45.25"/>
    <n v="4"/>
    <n v="9.75"/>
    <n v="31.5"/>
  </r>
  <r>
    <x v="2"/>
    <x v="0"/>
    <s v="S12000011"/>
    <x v="12"/>
    <n v="1"/>
    <n v="0"/>
    <n v="0"/>
    <n v="1"/>
  </r>
  <r>
    <x v="2"/>
    <x v="0"/>
    <s v="S12000014"/>
    <x v="13"/>
    <n v="39.75"/>
    <n v="3.75"/>
    <n v="7"/>
    <n v="29"/>
  </r>
  <r>
    <x v="2"/>
    <x v="0"/>
    <s v="S12000047"/>
    <x v="14"/>
    <n v="93.37"/>
    <n v="9"/>
    <n v="18.93"/>
    <n v="65.44"/>
  </r>
  <r>
    <x v="2"/>
    <x v="0"/>
    <s v="S12000046"/>
    <x v="15"/>
    <n v="3.25"/>
    <n v="0"/>
    <n v="0"/>
    <n v="3.25"/>
  </r>
  <r>
    <x v="2"/>
    <x v="0"/>
    <s v="S12000017"/>
    <x v="16"/>
    <n v="489.75"/>
    <n v="51"/>
    <n v="102.5"/>
    <n v="336.25"/>
  </r>
  <r>
    <x v="2"/>
    <x v="0"/>
    <s v="S12000018"/>
    <x v="17"/>
    <n v="33.75"/>
    <n v="3.5"/>
    <n v="5.5"/>
    <n v="24.75"/>
  </r>
  <r>
    <x v="2"/>
    <x v="0"/>
    <s v="S12000019"/>
    <x v="18"/>
    <n v="9.25"/>
    <n v="1"/>
    <n v="1.75"/>
    <n v="6.5"/>
  </r>
  <r>
    <x v="2"/>
    <x v="0"/>
    <s v="S12000020"/>
    <x v="19"/>
    <n v="97.25"/>
    <n v="11"/>
    <n v="21"/>
    <n v="65.25"/>
  </r>
  <r>
    <x v="2"/>
    <x v="0"/>
    <s v="S12000013"/>
    <x v="20"/>
    <n v="134.25"/>
    <n v="11.75"/>
    <n v="33"/>
    <n v="89.5"/>
  </r>
  <r>
    <x v="2"/>
    <x v="0"/>
    <s v="S12000021"/>
    <x v="21"/>
    <n v="91.5"/>
    <n v="9"/>
    <n v="10"/>
    <n v="72.5"/>
  </r>
  <r>
    <x v="2"/>
    <x v="0"/>
    <s v="S12000044"/>
    <x v="22"/>
    <n v="27"/>
    <n v="2.5"/>
    <n v="2.5"/>
    <n v="22"/>
  </r>
  <r>
    <x v="2"/>
    <x v="0"/>
    <s v="S12000023"/>
    <x v="23"/>
    <n v="96.5"/>
    <n v="12"/>
    <n v="18.75"/>
    <n v="65.75"/>
  </r>
  <r>
    <x v="2"/>
    <x v="0"/>
    <s v="S12000024"/>
    <x v="24"/>
    <n v="110.5"/>
    <n v="8.75"/>
    <n v="22.5"/>
    <n v="79.25"/>
  </r>
  <r>
    <x v="2"/>
    <x v="0"/>
    <s v="S12000038"/>
    <x v="25"/>
    <n v="10.5"/>
    <n v="1"/>
    <n v="1"/>
    <n v="8.5"/>
  </r>
  <r>
    <x v="2"/>
    <x v="0"/>
    <s v="S12000026"/>
    <x v="26"/>
    <n v="123.25"/>
    <n v="11.5"/>
    <n v="22.5"/>
    <n v="89.25"/>
  </r>
  <r>
    <x v="2"/>
    <x v="0"/>
    <s v="S12000027"/>
    <x v="27"/>
    <n v="116.75"/>
    <n v="13.25"/>
    <n v="23.25"/>
    <n v="80.25"/>
  </r>
  <r>
    <x v="2"/>
    <x v="0"/>
    <s v="S12000028"/>
    <x v="28"/>
    <n v="46"/>
    <n v="4.75"/>
    <n v="5.75"/>
    <n v="35.5"/>
  </r>
  <r>
    <x v="2"/>
    <x v="0"/>
    <s v="S12000029"/>
    <x v="29"/>
    <n v="64"/>
    <n v="7.75"/>
    <n v="8.75"/>
    <n v="47.5"/>
  </r>
  <r>
    <x v="2"/>
    <x v="0"/>
    <s v="S12000030"/>
    <x v="30"/>
    <n v="62.25"/>
    <n v="8.25"/>
    <n v="15"/>
    <n v="39"/>
  </r>
  <r>
    <x v="2"/>
    <x v="0"/>
    <s v="S12000039"/>
    <x v="31"/>
    <n v="16.75"/>
    <n v="1.75"/>
    <n v="1.75"/>
    <n v="13.25"/>
  </r>
  <r>
    <x v="2"/>
    <x v="0"/>
    <s v="S12000040"/>
    <x v="32"/>
    <n v="44.25"/>
    <n v="4.25"/>
    <n v="8.25"/>
    <n v="31.75"/>
  </r>
  <r>
    <x v="3"/>
    <x v="0"/>
    <s v="S12000033"/>
    <x v="0"/>
    <n v="5"/>
    <n v="1"/>
    <n v="1"/>
    <n v="3"/>
  </r>
  <r>
    <x v="3"/>
    <x v="0"/>
    <s v="S12000034"/>
    <x v="1"/>
    <n v="250"/>
    <n v="24"/>
    <n v="61"/>
    <n v="165"/>
  </r>
  <r>
    <x v="3"/>
    <x v="0"/>
    <s v=""/>
    <x v="2"/>
    <n v="2546"/>
    <n v="246"/>
    <n v="499"/>
    <n v="1800"/>
  </r>
  <r>
    <x v="3"/>
    <x v="0"/>
    <s v="S12000041"/>
    <x v="3"/>
    <n v="78"/>
    <n v="6"/>
    <n v="14"/>
    <n v="58"/>
  </r>
  <r>
    <x v="3"/>
    <x v="0"/>
    <s v="S12000035"/>
    <x v="4"/>
    <n v="171"/>
    <n v="13"/>
    <n v="25"/>
    <n v="133"/>
  </r>
  <r>
    <x v="3"/>
    <x v="0"/>
    <s v="S12000036"/>
    <x v="5"/>
    <n v="9"/>
    <n v="1"/>
    <n v="1"/>
    <n v="7"/>
  </r>
  <r>
    <x v="3"/>
    <x v="0"/>
    <s v="S12000005"/>
    <x v="6"/>
    <n v="17"/>
    <n v="2"/>
    <n v="2"/>
    <n v="13"/>
  </r>
  <r>
    <x v="3"/>
    <x v="0"/>
    <s v="S12000006"/>
    <x v="7"/>
    <n v="177"/>
    <n v="14"/>
    <n v="34"/>
    <n v="129"/>
  </r>
  <r>
    <x v="3"/>
    <x v="0"/>
    <s v="S12000042"/>
    <x v="8"/>
    <n v="11"/>
    <n v="1"/>
    <n v="2"/>
    <n v="8"/>
  </r>
  <r>
    <x v="3"/>
    <x v="0"/>
    <s v="S12000008"/>
    <x v="9"/>
    <n v="69"/>
    <n v="6"/>
    <n v="9"/>
    <n v="54"/>
  </r>
  <r>
    <x v="3"/>
    <x v="0"/>
    <s v="S12000045"/>
    <x v="10"/>
    <n v="0"/>
    <n v="0"/>
    <n v="0"/>
    <n v="0"/>
  </r>
  <r>
    <x v="3"/>
    <x v="0"/>
    <s v="S12000010"/>
    <x v="11"/>
    <n v="45"/>
    <n v="4"/>
    <n v="11"/>
    <n v="30"/>
  </r>
  <r>
    <x v="3"/>
    <x v="0"/>
    <s v="S12000011"/>
    <x v="12"/>
    <n v="0"/>
    <n v="0"/>
    <n v="0"/>
    <n v="0"/>
  </r>
  <r>
    <x v="3"/>
    <x v="0"/>
    <s v="S12000014"/>
    <x v="13"/>
    <n v="39"/>
    <n v="3"/>
    <n v="7"/>
    <n v="29"/>
  </r>
  <r>
    <x v="3"/>
    <x v="0"/>
    <s v="S12000047"/>
    <x v="14"/>
    <n v="93"/>
    <n v="9"/>
    <n v="18"/>
    <n v="66"/>
  </r>
  <r>
    <x v="3"/>
    <x v="0"/>
    <s v="S12000046"/>
    <x v="15"/>
    <n v="0"/>
    <n v="0"/>
    <n v="0"/>
    <n v="0"/>
  </r>
  <r>
    <x v="3"/>
    <x v="0"/>
    <s v="S12000017"/>
    <x v="16"/>
    <n v="485"/>
    <n v="50"/>
    <n v="97"/>
    <n v="338"/>
  </r>
  <r>
    <x v="3"/>
    <x v="0"/>
    <s v="S12000018"/>
    <x v="17"/>
    <n v="31"/>
    <n v="2"/>
    <n v="5"/>
    <n v="24"/>
  </r>
  <r>
    <x v="3"/>
    <x v="0"/>
    <s v="S12000019"/>
    <x v="18"/>
    <n v="8"/>
    <n v="1"/>
    <n v="1"/>
    <n v="6"/>
  </r>
  <r>
    <x v="3"/>
    <x v="0"/>
    <s v="S12000020"/>
    <x v="19"/>
    <n v="112"/>
    <n v="11"/>
    <n v="22"/>
    <n v="79"/>
  </r>
  <r>
    <x v="3"/>
    <x v="0"/>
    <s v="S12000013"/>
    <x v="20"/>
    <n v="130"/>
    <n v="12"/>
    <n v="32"/>
    <n v="86"/>
  </r>
  <r>
    <x v="3"/>
    <x v="0"/>
    <s v="S12000021"/>
    <x v="21"/>
    <n v="89"/>
    <n v="9"/>
    <n v="10"/>
    <n v="70"/>
  </r>
  <r>
    <x v="3"/>
    <x v="0"/>
    <s v="S12000044"/>
    <x v="22"/>
    <n v="25"/>
    <n v="3"/>
    <n v="5"/>
    <n v="17"/>
  </r>
  <r>
    <x v="3"/>
    <x v="0"/>
    <s v="S12000023"/>
    <x v="23"/>
    <n v="92"/>
    <n v="11"/>
    <n v="20"/>
    <n v="61"/>
  </r>
  <r>
    <x v="3"/>
    <x v="0"/>
    <s v="S12000024"/>
    <x v="24"/>
    <n v="107"/>
    <n v="8"/>
    <n v="21"/>
    <n v="78"/>
  </r>
  <r>
    <x v="3"/>
    <x v="0"/>
    <s v="S12000038"/>
    <x v="25"/>
    <n v="10"/>
    <n v="1"/>
    <n v="1"/>
    <n v="8"/>
  </r>
  <r>
    <x v="3"/>
    <x v="0"/>
    <s v="S12000026"/>
    <x v="26"/>
    <n v="118"/>
    <n v="12"/>
    <n v="23"/>
    <n v="83"/>
  </r>
  <r>
    <x v="3"/>
    <x v="0"/>
    <s v="S12000027"/>
    <x v="27"/>
    <n v="112"/>
    <n v="11"/>
    <n v="25"/>
    <n v="76"/>
  </r>
  <r>
    <x v="3"/>
    <x v="0"/>
    <s v="S12000028"/>
    <x v="28"/>
    <n v="42"/>
    <n v="5"/>
    <n v="7"/>
    <n v="30"/>
  </r>
  <r>
    <x v="3"/>
    <x v="0"/>
    <s v="S12000029"/>
    <x v="29"/>
    <n v="64"/>
    <n v="7"/>
    <n v="8"/>
    <n v="49"/>
  </r>
  <r>
    <x v="3"/>
    <x v="0"/>
    <s v="S12000030"/>
    <x v="30"/>
    <n v="63"/>
    <n v="7"/>
    <n v="15"/>
    <n v="41"/>
  </r>
  <r>
    <x v="3"/>
    <x v="0"/>
    <s v="S12000039"/>
    <x v="31"/>
    <n v="12"/>
    <n v="0"/>
    <n v="0"/>
    <n v="12"/>
  </r>
  <r>
    <x v="3"/>
    <x v="0"/>
    <s v="S12000040"/>
    <x v="32"/>
    <n v="48"/>
    <n v="4"/>
    <n v="9"/>
    <n v="35"/>
  </r>
  <r>
    <x v="4"/>
    <x v="0"/>
    <s v="S12000033"/>
    <x v="0"/>
    <n v="6"/>
    <n v="1"/>
    <n v="1"/>
    <n v="4"/>
  </r>
  <r>
    <x v="4"/>
    <x v="0"/>
    <s v="S12000034"/>
    <x v="1"/>
    <n v="248"/>
    <n v="23"/>
    <n v="63"/>
    <n v="162"/>
  </r>
  <r>
    <x v="4"/>
    <x v="0"/>
    <s v="0"/>
    <x v="2"/>
    <n v="2545"/>
    <n v="246"/>
    <n v="477"/>
    <n v="1822"/>
  </r>
  <r>
    <x v="4"/>
    <x v="0"/>
    <s v="S12000041"/>
    <x v="3"/>
    <n v="80"/>
    <n v="6"/>
    <n v="14"/>
    <n v="60"/>
  </r>
  <r>
    <x v="4"/>
    <x v="0"/>
    <s v="S12000035"/>
    <x v="4"/>
    <n v="166"/>
    <n v="14"/>
    <n v="24"/>
    <n v="128"/>
  </r>
  <r>
    <x v="4"/>
    <x v="0"/>
    <s v="S12000036"/>
    <x v="5"/>
    <n v="8"/>
    <n v="1"/>
    <n v="1"/>
    <n v="6"/>
  </r>
  <r>
    <x v="4"/>
    <x v="0"/>
    <s v="S12000005"/>
    <x v="6"/>
    <n v="17"/>
    <n v="2"/>
    <n v="2"/>
    <n v="13"/>
  </r>
  <r>
    <x v="4"/>
    <x v="0"/>
    <s v="S12000006"/>
    <x v="7"/>
    <n v="167"/>
    <n v="14"/>
    <n v="31"/>
    <n v="122"/>
  </r>
  <r>
    <x v="4"/>
    <x v="0"/>
    <s v="S12000042"/>
    <x v="8"/>
    <n v="12"/>
    <n v="1"/>
    <n v="2"/>
    <n v="9"/>
  </r>
  <r>
    <x v="4"/>
    <x v="0"/>
    <s v="S12000008"/>
    <x v="9"/>
    <n v="69"/>
    <n v="6"/>
    <n v="7"/>
    <n v="56"/>
  </r>
  <r>
    <x v="4"/>
    <x v="0"/>
    <s v="S12000045"/>
    <x v="10"/>
    <n v="0"/>
    <n v="0"/>
    <n v="0"/>
    <n v="0"/>
  </r>
  <r>
    <x v="4"/>
    <x v="0"/>
    <s v="S12000010"/>
    <x v="11"/>
    <n v="48"/>
    <n v="5"/>
    <n v="9"/>
    <n v="34"/>
  </r>
  <r>
    <x v="4"/>
    <x v="0"/>
    <s v="S12000011"/>
    <x v="12"/>
    <n v="0"/>
    <n v="0"/>
    <n v="0"/>
    <n v="0"/>
  </r>
  <r>
    <x v="4"/>
    <x v="0"/>
    <s v="S12000014"/>
    <x v="13"/>
    <n v="40"/>
    <n v="4"/>
    <n v="8"/>
    <n v="28"/>
  </r>
  <r>
    <x v="4"/>
    <x v="0"/>
    <s v="S12000047"/>
    <x v="14"/>
    <n v="102"/>
    <n v="9"/>
    <n v="18"/>
    <n v="75"/>
  </r>
  <r>
    <x v="4"/>
    <x v="0"/>
    <s v="S12000046"/>
    <x v="15"/>
    <n v="0"/>
    <n v="0"/>
    <n v="0"/>
    <n v="0"/>
  </r>
  <r>
    <x v="4"/>
    <x v="0"/>
    <s v="S12000017"/>
    <x v="16"/>
    <n v="494"/>
    <n v="53"/>
    <n v="101"/>
    <n v="340"/>
  </r>
  <r>
    <x v="4"/>
    <x v="0"/>
    <s v="S12000018"/>
    <x v="17"/>
    <n v="34"/>
    <n v="3"/>
    <n v="5"/>
    <n v="26"/>
  </r>
  <r>
    <x v="4"/>
    <x v="0"/>
    <s v="S12000019"/>
    <x v="18"/>
    <n v="10"/>
    <n v="1"/>
    <n v="2"/>
    <n v="7"/>
  </r>
  <r>
    <x v="4"/>
    <x v="0"/>
    <s v="S12000020"/>
    <x v="19"/>
    <n v="111"/>
    <n v="11"/>
    <n v="24"/>
    <n v="76"/>
  </r>
  <r>
    <x v="4"/>
    <x v="0"/>
    <s v="S12000013"/>
    <x v="20"/>
    <n v="125"/>
    <n v="13"/>
    <n v="24"/>
    <n v="88"/>
  </r>
  <r>
    <x v="4"/>
    <x v="0"/>
    <s v="S12000021"/>
    <x v="21"/>
    <n v="92"/>
    <n v="10"/>
    <n v="9"/>
    <n v="73"/>
  </r>
  <r>
    <x v="4"/>
    <x v="0"/>
    <s v="S12000044"/>
    <x v="22"/>
    <n v="28"/>
    <n v="2"/>
    <n v="5"/>
    <n v="21"/>
  </r>
  <r>
    <x v="4"/>
    <x v="0"/>
    <s v="S12000023"/>
    <x v="23"/>
    <n v="99"/>
    <n v="9"/>
    <n v="22"/>
    <n v="68"/>
  </r>
  <r>
    <x v="4"/>
    <x v="0"/>
    <s v="S12000024"/>
    <x v="24"/>
    <n v="110"/>
    <n v="8"/>
    <n v="22"/>
    <n v="80"/>
  </r>
  <r>
    <x v="4"/>
    <x v="0"/>
    <s v="S12000038"/>
    <x v="25"/>
    <n v="13"/>
    <n v="1"/>
    <n v="2"/>
    <n v="10"/>
  </r>
  <r>
    <x v="4"/>
    <x v="0"/>
    <s v="S12000026"/>
    <x v="26"/>
    <n v="118"/>
    <n v="12"/>
    <n v="24"/>
    <n v="82"/>
  </r>
  <r>
    <x v="4"/>
    <x v="0"/>
    <s v="S12000027"/>
    <x v="27"/>
    <n v="110"/>
    <n v="11"/>
    <n v="23"/>
    <n v="76"/>
  </r>
  <r>
    <x v="4"/>
    <x v="0"/>
    <s v="S12000028"/>
    <x v="28"/>
    <n v="44"/>
    <n v="5"/>
    <n v="5"/>
    <n v="34"/>
  </r>
  <r>
    <x v="4"/>
    <x v="0"/>
    <s v="S12000029"/>
    <x v="29"/>
    <n v="66"/>
    <n v="9"/>
    <n v="7"/>
    <n v="50"/>
  </r>
  <r>
    <x v="4"/>
    <x v="0"/>
    <s v="S12000030"/>
    <x v="30"/>
    <n v="66"/>
    <n v="8"/>
    <n v="14"/>
    <n v="44"/>
  </r>
  <r>
    <x v="4"/>
    <x v="0"/>
    <s v="S12000039"/>
    <x v="31"/>
    <n v="16"/>
    <n v="2"/>
    <n v="2"/>
    <n v="12"/>
  </r>
  <r>
    <x v="4"/>
    <x v="0"/>
    <s v="S12000040"/>
    <x v="32"/>
    <n v="49"/>
    <n v="4"/>
    <n v="9"/>
    <n v="36"/>
  </r>
  <r>
    <x v="5"/>
    <x v="0"/>
    <s v="S12000033"/>
    <x v="0"/>
    <n v="6.75"/>
    <n v="1"/>
    <n v="2.5"/>
    <n v="3.25"/>
  </r>
  <r>
    <x v="5"/>
    <x v="0"/>
    <s v="S12000034"/>
    <x v="1"/>
    <n v="255.25"/>
    <n v="22.5"/>
    <n v="62.5"/>
    <n v="170.25"/>
  </r>
  <r>
    <x v="5"/>
    <x v="0"/>
    <m/>
    <x v="2"/>
    <n v="2583.98"/>
    <n v="241.25"/>
    <n v="478.93"/>
    <n v="1863.8"/>
  </r>
  <r>
    <x v="5"/>
    <x v="0"/>
    <s v="S12000041"/>
    <x v="3"/>
    <n v="84"/>
    <n v="6"/>
    <n v="12.5"/>
    <n v="65.5"/>
  </r>
  <r>
    <x v="5"/>
    <x v="0"/>
    <s v="S12000035"/>
    <x v="4"/>
    <n v="163.75"/>
    <n v="13.25"/>
    <n v="23"/>
    <n v="127.5"/>
  </r>
  <r>
    <x v="5"/>
    <x v="0"/>
    <s v="S12000036"/>
    <x v="5"/>
    <m/>
    <m/>
    <n v="1.25"/>
    <n v="4.25"/>
  </r>
  <r>
    <x v="5"/>
    <x v="0"/>
    <s v="S12000005"/>
    <x v="6"/>
    <n v="15"/>
    <n v="1.25"/>
    <n v="2.75"/>
    <n v="11"/>
  </r>
  <r>
    <x v="5"/>
    <x v="0"/>
    <s v="S12000006"/>
    <x v="33"/>
    <n v="173.25"/>
    <n v="15.25"/>
    <n v="31"/>
    <n v="127"/>
  </r>
  <r>
    <x v="5"/>
    <x v="0"/>
    <s v="S12000042"/>
    <x v="8"/>
    <n v="10.25"/>
    <n v="1"/>
    <n v="1.5"/>
    <n v="7.75"/>
  </r>
  <r>
    <x v="5"/>
    <x v="0"/>
    <s v="S12000008"/>
    <x v="9"/>
    <n v="62"/>
    <n v="4.5"/>
    <n v="8.25"/>
    <n v="49.25"/>
  </r>
  <r>
    <x v="5"/>
    <x v="0"/>
    <s v="S12000010"/>
    <x v="11"/>
    <n v="51"/>
    <n v="4"/>
    <n v="10.5"/>
    <n v="36.5"/>
  </r>
  <r>
    <x v="5"/>
    <x v="0"/>
    <s v="S12000014"/>
    <x v="13"/>
    <n v="41"/>
    <n v="4"/>
    <n v="7.75"/>
    <n v="29.25"/>
  </r>
  <r>
    <x v="5"/>
    <x v="0"/>
    <s v="S12000047"/>
    <x v="14"/>
    <n v="101.48000000000002"/>
    <n v="8.75"/>
    <n v="17.93"/>
    <n v="74.800000000000011"/>
  </r>
  <r>
    <x v="5"/>
    <x v="0"/>
    <s v="S12000017"/>
    <x v="16"/>
    <n v="503"/>
    <n v="53.5"/>
    <n v="96.25"/>
    <n v="353.25"/>
  </r>
  <r>
    <x v="5"/>
    <x v="0"/>
    <s v="S12000018"/>
    <x v="17"/>
    <n v="36.5"/>
    <n v="2.75"/>
    <n v="4.75"/>
    <n v="29"/>
  </r>
  <r>
    <x v="5"/>
    <x v="0"/>
    <s v="S12000019"/>
    <x v="18"/>
    <n v="11"/>
    <n v="1"/>
    <n v="2.5"/>
    <n v="7.5"/>
  </r>
  <r>
    <x v="5"/>
    <x v="0"/>
    <s v="S12000020"/>
    <x v="19"/>
    <n v="109.25"/>
    <n v="10.25"/>
    <n v="24.25"/>
    <n v="74.75"/>
  </r>
  <r>
    <x v="5"/>
    <x v="0"/>
    <s v="S12000013"/>
    <x v="20"/>
    <n v="126.75"/>
    <n v="12.5"/>
    <n v="24.25"/>
    <n v="90"/>
  </r>
  <r>
    <x v="5"/>
    <x v="0"/>
    <s v="S12000021"/>
    <x v="21"/>
    <n v="90.75"/>
    <n v="10.75"/>
    <n v="9.5"/>
    <n v="70.5"/>
  </r>
  <r>
    <x v="5"/>
    <x v="0"/>
    <s v="S12000044"/>
    <x v="22"/>
    <n v="25.5"/>
    <n v="2.5"/>
    <n v="4.75"/>
    <n v="18.25"/>
  </r>
  <r>
    <x v="5"/>
    <x v="0"/>
    <s v="S12000023"/>
    <x v="23"/>
    <n v="106.5"/>
    <n v="8.5"/>
    <n v="23"/>
    <n v="75"/>
  </r>
  <r>
    <x v="5"/>
    <x v="0"/>
    <s v="S12000024"/>
    <x v="24"/>
    <n v="112"/>
    <n v="9.25"/>
    <n v="20.25"/>
    <n v="82.5"/>
  </r>
  <r>
    <x v="5"/>
    <x v="0"/>
    <s v="S12000038"/>
    <x v="25"/>
    <n v="12.25"/>
    <n v="0.75"/>
    <n v="1.5"/>
    <n v="10"/>
  </r>
  <r>
    <x v="5"/>
    <x v="0"/>
    <s v="S12000026"/>
    <x v="26"/>
    <n v="117.75"/>
    <n v="11"/>
    <n v="24.75"/>
    <n v="82"/>
  </r>
  <r>
    <x v="5"/>
    <x v="0"/>
    <s v="S12000027"/>
    <x v="27"/>
    <n v="118.25"/>
    <n v="11.75"/>
    <n v="23.75"/>
    <n v="82.75"/>
  </r>
  <r>
    <x v="5"/>
    <x v="0"/>
    <s v="S12000028"/>
    <x v="28"/>
    <n v="50.75"/>
    <n v="5"/>
    <n v="6.25"/>
    <n v="39.5"/>
  </r>
  <r>
    <x v="5"/>
    <x v="0"/>
    <s v="S12000029"/>
    <x v="29"/>
    <n v="65.25"/>
    <n v="7.25"/>
    <n v="7.25"/>
    <n v="50.75"/>
  </r>
  <r>
    <x v="5"/>
    <x v="0"/>
    <s v="S12000030"/>
    <x v="30"/>
    <n v="66.5"/>
    <n v="7.5"/>
    <n v="14.25"/>
    <n v="44.75"/>
  </r>
  <r>
    <x v="5"/>
    <x v="0"/>
    <s v="S12000039"/>
    <x v="31"/>
    <n v="17.5"/>
    <n v="1.75"/>
    <n v="1.5"/>
    <n v="14.25"/>
  </r>
  <r>
    <x v="5"/>
    <x v="0"/>
    <s v="S12000040"/>
    <x v="32"/>
    <n v="45.25"/>
    <n v="3.75"/>
    <n v="8.75"/>
    <n v="32.75"/>
  </r>
  <r>
    <x v="6"/>
    <x v="0"/>
    <s v="S40000005"/>
    <x v="0"/>
    <n v="6.5"/>
    <n v="1"/>
    <n v="2.5"/>
    <n v="3"/>
  </r>
  <r>
    <x v="6"/>
    <x v="0"/>
    <s v="S40000005"/>
    <x v="1"/>
    <n v="252.5"/>
    <n v="22.5"/>
    <n v="58"/>
    <n v="172"/>
  </r>
  <r>
    <x v="6"/>
    <x v="0"/>
    <m/>
    <x v="2"/>
    <n v="2551.73"/>
    <n v="236.5"/>
    <n v="459.92999999999995"/>
    <n v="1855.3"/>
  </r>
  <r>
    <x v="6"/>
    <x v="0"/>
    <s v="S40000005"/>
    <x v="3"/>
    <n v="86.5"/>
    <n v="6"/>
    <n v="13.75"/>
    <n v="66.75"/>
  </r>
  <r>
    <x v="6"/>
    <x v="0"/>
    <s v="S40000003"/>
    <x v="4"/>
    <n v="160.5"/>
    <n v="11.75"/>
    <n v="22.25"/>
    <n v="126.5"/>
  </r>
  <r>
    <x v="6"/>
    <x v="0"/>
    <s v="S40000004"/>
    <x v="5"/>
    <n v="4.75"/>
    <n v="0.75"/>
    <n v="1"/>
    <n v="3"/>
  </r>
  <r>
    <x v="6"/>
    <x v="0"/>
    <s v="S40000004"/>
    <x v="6"/>
    <n v="19"/>
    <n v="2.25"/>
    <n v="3.5"/>
    <n v="13.25"/>
  </r>
  <r>
    <x v="6"/>
    <x v="0"/>
    <s v="S40000003"/>
    <x v="33"/>
    <n v="163"/>
    <n v="14.25"/>
    <n v="29.75"/>
    <n v="119"/>
  </r>
  <r>
    <x v="6"/>
    <x v="0"/>
    <s v="S40000005"/>
    <x v="8"/>
    <n v="10.25"/>
    <n v="1"/>
    <n v="1.5"/>
    <n v="7.75"/>
  </r>
  <r>
    <x v="6"/>
    <x v="0"/>
    <s v="S40000003"/>
    <x v="9"/>
    <n v="64"/>
    <n v="6"/>
    <n v="6.75"/>
    <n v="51.25"/>
  </r>
  <r>
    <x v="6"/>
    <x v="0"/>
    <s v="S40000004"/>
    <x v="11"/>
    <n v="52.25"/>
    <n v="4"/>
    <n v="10.25"/>
    <n v="38"/>
  </r>
  <r>
    <x v="6"/>
    <x v="0"/>
    <s v="S40000004"/>
    <x v="13"/>
    <n v="42.5"/>
    <n v="3"/>
    <n v="7.5"/>
    <n v="32"/>
  </r>
  <r>
    <x v="6"/>
    <x v="0"/>
    <s v="S40000004"/>
    <x v="14"/>
    <n v="97.22999999999999"/>
    <n v="8.75"/>
    <n v="17.18"/>
    <n v="71.3"/>
  </r>
  <r>
    <x v="6"/>
    <x v="0"/>
    <s v="S40000005"/>
    <x v="16"/>
    <n v="476.75"/>
    <n v="49.5"/>
    <n v="87"/>
    <n v="340.25"/>
  </r>
  <r>
    <x v="6"/>
    <x v="0"/>
    <s v="S40000003"/>
    <x v="17"/>
    <n v="34.5"/>
    <n v="2.75"/>
    <n v="4.75"/>
    <n v="27"/>
  </r>
  <r>
    <x v="6"/>
    <x v="0"/>
    <s v="S40000004"/>
    <x v="18"/>
    <n v="10.5"/>
    <n v="1"/>
    <n v="1.5"/>
    <n v="8"/>
  </r>
  <r>
    <x v="6"/>
    <x v="0"/>
    <s v="S40000005"/>
    <x v="19"/>
    <n v="109"/>
    <n v="9.75"/>
    <n v="23.75"/>
    <n v="75.5"/>
  </r>
  <r>
    <x v="6"/>
    <x v="0"/>
    <s v="S40000005"/>
    <x v="20"/>
    <n v="127.75"/>
    <n v="13.5"/>
    <n v="28.75"/>
    <n v="85.5"/>
  </r>
  <r>
    <x v="6"/>
    <x v="0"/>
    <s v="S40000003"/>
    <x v="21"/>
    <n v="88.25"/>
    <n v="10.5"/>
    <n v="9.5"/>
    <n v="68.25"/>
  </r>
  <r>
    <x v="6"/>
    <x v="0"/>
    <s v="S40000003"/>
    <x v="22"/>
    <n v="27"/>
    <n v="2.5"/>
    <n v="3.75"/>
    <n v="20.75"/>
  </r>
  <r>
    <x v="6"/>
    <x v="0"/>
    <s v="S40000005"/>
    <x v="23"/>
    <n v="106.25"/>
    <n v="8.75"/>
    <n v="22"/>
    <n v="75.5"/>
  </r>
  <r>
    <x v="6"/>
    <x v="0"/>
    <s v="S40000005"/>
    <x v="24"/>
    <n v="112.25"/>
    <n v="9.25"/>
    <n v="19.75"/>
    <n v="83.25"/>
  </r>
  <r>
    <x v="6"/>
    <x v="0"/>
    <s v="S40000003"/>
    <x v="25"/>
    <n v="11"/>
    <n v="0.75"/>
    <n v="1.5"/>
    <n v="8.75"/>
  </r>
  <r>
    <x v="6"/>
    <x v="0"/>
    <s v="S40000004"/>
    <x v="26"/>
    <n v="120.75"/>
    <n v="10.75"/>
    <n v="24.75"/>
    <n v="85.25"/>
  </r>
  <r>
    <x v="6"/>
    <x v="0"/>
    <s v="S40000005"/>
    <x v="27"/>
    <n v="121"/>
    <n v="10.75"/>
    <n v="22.75"/>
    <n v="87.5"/>
  </r>
  <r>
    <x v="6"/>
    <x v="0"/>
    <s v="S40000003"/>
    <x v="28"/>
    <n v="46.5"/>
    <n v="4.5"/>
    <n v="6.5"/>
    <n v="35.5"/>
  </r>
  <r>
    <x v="6"/>
    <x v="0"/>
    <s v="S40000003"/>
    <x v="29"/>
    <n v="70.25"/>
    <n v="6.5"/>
    <n v="7.25"/>
    <n v="56.5"/>
  </r>
  <r>
    <x v="6"/>
    <x v="0"/>
    <s v="S40000004"/>
    <x v="30"/>
    <n v="65"/>
    <n v="8.25"/>
    <n v="12.75"/>
    <n v="44"/>
  </r>
  <r>
    <x v="6"/>
    <x v="0"/>
    <s v="S40000003"/>
    <x v="31"/>
    <n v="16.25"/>
    <n v="1.5"/>
    <n v="1.5"/>
    <n v="13.25"/>
  </r>
  <r>
    <x v="6"/>
    <x v="0"/>
    <s v="S40000004"/>
    <x v="32"/>
    <n v="49.75"/>
    <n v="4.75"/>
    <n v="8.25"/>
    <n v="36.75"/>
  </r>
  <r>
    <x v="7"/>
    <x v="0"/>
    <s v="S40000005"/>
    <x v="0"/>
    <n v="8.5"/>
    <n v="1"/>
    <n v="2.5"/>
    <n v="5"/>
  </r>
  <r>
    <x v="7"/>
    <x v="0"/>
    <s v="S40000005"/>
    <x v="1"/>
    <n v="251.75"/>
    <n v="22.75"/>
    <n v="60.25"/>
    <n v="168.75"/>
  </r>
  <r>
    <x v="7"/>
    <x v="0"/>
    <m/>
    <x v="2"/>
    <n v="2482.48"/>
    <n v="236"/>
    <n v="461.93"/>
    <n v="1784.55"/>
  </r>
  <r>
    <x v="7"/>
    <x v="0"/>
    <s v="S40000005"/>
    <x v="3"/>
    <n v="87.25"/>
    <n v="7"/>
    <n v="14"/>
    <n v="66.25"/>
  </r>
  <r>
    <x v="7"/>
    <x v="0"/>
    <s v="S40000003"/>
    <x v="4"/>
    <n v="156"/>
    <n v="13"/>
    <n v="23.25"/>
    <n v="119.75"/>
  </r>
  <r>
    <x v="7"/>
    <x v="0"/>
    <s v="S40000004"/>
    <x v="5"/>
    <n v="4.75"/>
    <n v="0.5"/>
    <n v="0.5"/>
    <n v="3.75"/>
  </r>
  <r>
    <x v="7"/>
    <x v="0"/>
    <s v="S40000004"/>
    <x v="6"/>
    <n v="20.25"/>
    <n v="1.5"/>
    <n v="2.75"/>
    <n v="16"/>
  </r>
  <r>
    <x v="7"/>
    <x v="0"/>
    <s v="S40000003"/>
    <x v="33"/>
    <n v="159"/>
    <n v="14.25"/>
    <n v="31"/>
    <n v="113.75"/>
  </r>
  <r>
    <x v="7"/>
    <x v="0"/>
    <s v="S40000005"/>
    <x v="8"/>
    <n v="9.5"/>
    <n v="1"/>
    <n v="1.5"/>
    <n v="7"/>
  </r>
  <r>
    <x v="7"/>
    <x v="0"/>
    <s v="S40000003"/>
    <x v="9"/>
    <n v="63.5"/>
    <n v="6"/>
    <n v="6.75"/>
    <n v="50.75"/>
  </r>
  <r>
    <x v="7"/>
    <x v="0"/>
    <s v="S40000004"/>
    <x v="11"/>
    <n v="50.75"/>
    <n v="4.25"/>
    <n v="10"/>
    <n v="36.5"/>
  </r>
  <r>
    <x v="7"/>
    <x v="0"/>
    <s v="S40000004"/>
    <x v="13"/>
    <n v="42"/>
    <n v="3.75"/>
    <n v="6.75"/>
    <n v="31.5"/>
  </r>
  <r>
    <x v="7"/>
    <x v="0"/>
    <s v="S40000004"/>
    <x v="14"/>
    <n v="92.22999999999999"/>
    <n v="7.75"/>
    <n v="18.43"/>
    <n v="66.05"/>
  </r>
  <r>
    <x v="7"/>
    <x v="0"/>
    <s v="S40000005"/>
    <x v="16"/>
    <n v="449.5"/>
    <n v="48.25"/>
    <n v="89.75"/>
    <n v="311.5"/>
  </r>
  <r>
    <x v="7"/>
    <x v="0"/>
    <s v="S40000003"/>
    <x v="17"/>
    <n v="35.75"/>
    <n v="2.25"/>
    <n v="4.75"/>
    <n v="28.75"/>
  </r>
  <r>
    <x v="7"/>
    <x v="0"/>
    <s v="S40000004"/>
    <x v="18"/>
    <n v="9"/>
    <n v="1"/>
    <n v="1.5"/>
    <n v="6.5"/>
  </r>
  <r>
    <x v="7"/>
    <x v="0"/>
    <s v="S40000005"/>
    <x v="19"/>
    <n v="102.25"/>
    <n v="9.75"/>
    <n v="23.5"/>
    <n v="69"/>
  </r>
  <r>
    <x v="7"/>
    <x v="0"/>
    <s v="S40000005"/>
    <x v="20"/>
    <n v="123.75"/>
    <n v="14"/>
    <n v="26.25"/>
    <n v="83.5"/>
  </r>
  <r>
    <x v="7"/>
    <x v="0"/>
    <s v="S40000003"/>
    <x v="21"/>
    <n v="85"/>
    <n v="9.75"/>
    <n v="9.5"/>
    <n v="65.75"/>
  </r>
  <r>
    <x v="7"/>
    <x v="0"/>
    <s v="S40000003"/>
    <x v="22"/>
    <n v="27.25"/>
    <n v="2"/>
    <n v="4.5"/>
    <n v="20.75"/>
  </r>
  <r>
    <x v="7"/>
    <x v="0"/>
    <s v="S40000005"/>
    <x v="23"/>
    <n v="108.75"/>
    <n v="7.25"/>
    <n v="21"/>
    <n v="80.5"/>
  </r>
  <r>
    <x v="7"/>
    <x v="0"/>
    <s v="S40000005"/>
    <x v="24"/>
    <n v="110.25"/>
    <n v="9.25"/>
    <n v="19.25"/>
    <n v="81.75"/>
  </r>
  <r>
    <x v="7"/>
    <x v="0"/>
    <s v="S40000003"/>
    <x v="25"/>
    <n v="9.5"/>
    <n v="1.5"/>
    <n v="0.75"/>
    <n v="7.25"/>
  </r>
  <r>
    <x v="7"/>
    <x v="0"/>
    <s v="S40000004"/>
    <x v="26"/>
    <n v="121.75"/>
    <n v="10.25"/>
    <n v="26.5"/>
    <n v="85"/>
  </r>
  <r>
    <x v="7"/>
    <x v="0"/>
    <s v="S40000005"/>
    <x v="27"/>
    <n v="117.5"/>
    <n v="11.5"/>
    <n v="23.75"/>
    <n v="82.25"/>
  </r>
  <r>
    <x v="7"/>
    <x v="0"/>
    <s v="S40000003"/>
    <x v="28"/>
    <n v="43"/>
    <n v="3.5"/>
    <n v="5.75"/>
    <n v="33.75"/>
  </r>
  <r>
    <x v="7"/>
    <x v="0"/>
    <s v="S40000003"/>
    <x v="29"/>
    <n v="67"/>
    <n v="8.75"/>
    <n v="5.75"/>
    <n v="52.5"/>
  </r>
  <r>
    <x v="7"/>
    <x v="0"/>
    <s v="S40000004"/>
    <x v="30"/>
    <n v="64"/>
    <n v="7.75"/>
    <n v="13"/>
    <n v="43.25"/>
  </r>
  <r>
    <x v="7"/>
    <x v="0"/>
    <s v="S40000003"/>
    <x v="31"/>
    <n v="18"/>
    <n v="1.5"/>
    <n v="1.5"/>
    <n v="15"/>
  </r>
  <r>
    <x v="7"/>
    <x v="0"/>
    <s v="S40000004"/>
    <x v="32"/>
    <n v="44.75"/>
    <n v="5"/>
    <n v="7.25"/>
    <n v="32.5"/>
  </r>
</pivotCacheRecords>
</file>

<file path=xl/pivotCache/pivotCacheRecords3.xml><?xml version="1.0" encoding="utf-8"?>
<pivotCacheRecords xmlns="http://schemas.openxmlformats.org/spreadsheetml/2006/main" xmlns:r="http://schemas.openxmlformats.org/officeDocument/2006/relationships" count="18">
  <r>
    <x v="0"/>
    <x v="0"/>
    <x v="0"/>
    <n v="24"/>
  </r>
  <r>
    <x v="0"/>
    <x v="0"/>
    <x v="1"/>
    <n v="38"/>
  </r>
  <r>
    <x v="0"/>
    <x v="0"/>
    <x v="2"/>
    <n v="38"/>
  </r>
  <r>
    <x v="0"/>
    <x v="0"/>
    <x v="3"/>
    <n v="8"/>
  </r>
  <r>
    <x v="0"/>
    <x v="0"/>
    <x v="4"/>
    <n v="14"/>
  </r>
  <r>
    <x v="0"/>
    <x v="1"/>
    <x v="0"/>
    <n v="5"/>
  </r>
  <r>
    <x v="0"/>
    <x v="1"/>
    <x v="1"/>
    <n v="209"/>
  </r>
  <r>
    <x v="0"/>
    <x v="1"/>
    <x v="2"/>
    <n v="54"/>
  </r>
  <r>
    <x v="0"/>
    <x v="1"/>
    <x v="3"/>
    <n v="16"/>
  </r>
  <r>
    <x v="0"/>
    <x v="1"/>
    <x v="4"/>
    <n v="180"/>
  </r>
  <r>
    <x v="1"/>
    <x v="0"/>
    <x v="1"/>
    <n v="23"/>
  </r>
  <r>
    <x v="1"/>
    <x v="0"/>
    <x v="2"/>
    <n v="38"/>
  </r>
  <r>
    <x v="1"/>
    <x v="0"/>
    <x v="3"/>
    <n v="6"/>
  </r>
  <r>
    <x v="1"/>
    <x v="0"/>
    <x v="4"/>
    <n v="21"/>
  </r>
  <r>
    <x v="1"/>
    <x v="1"/>
    <x v="1"/>
    <n v="200"/>
  </r>
  <r>
    <x v="1"/>
    <x v="1"/>
    <x v="2"/>
    <n v="29"/>
  </r>
  <r>
    <x v="1"/>
    <x v="1"/>
    <x v="3"/>
    <n v="15"/>
  </r>
  <r>
    <x v="1"/>
    <x v="1"/>
    <x v="4"/>
    <n v="98"/>
  </r>
</pivotCacheRecords>
</file>

<file path=xl/pivotCache/pivotCacheRecords30.xml><?xml version="1.0" encoding="utf-8"?>
<pivotCacheRecords xmlns="http://schemas.openxmlformats.org/spreadsheetml/2006/main" xmlns:r="http://schemas.openxmlformats.org/officeDocument/2006/relationships" count="206">
  <r>
    <x v="0"/>
    <x v="0"/>
    <x v="0"/>
    <n v="5"/>
    <n v="4"/>
    <n v="1"/>
  </r>
  <r>
    <x v="1"/>
    <x v="1"/>
    <x v="1"/>
    <n v="335"/>
    <n v="99"/>
    <n v="236"/>
  </r>
  <r>
    <x v="1"/>
    <x v="2"/>
    <x v="2"/>
    <n v="44"/>
    <n v="4"/>
    <n v="40"/>
  </r>
  <r>
    <x v="2"/>
    <x v="1"/>
    <x v="1"/>
    <n v="316"/>
    <n v="101"/>
    <n v="215"/>
  </r>
  <r>
    <x v="2"/>
    <x v="1"/>
    <x v="3"/>
    <n v="167"/>
    <n v="94"/>
    <n v="73"/>
  </r>
  <r>
    <x v="2"/>
    <x v="3"/>
    <x v="4"/>
    <n v="35"/>
    <n v="0"/>
    <n v="35"/>
  </r>
  <r>
    <x v="3"/>
    <x v="1"/>
    <x v="5"/>
    <n v="170"/>
    <n v="159"/>
    <n v="11"/>
  </r>
  <r>
    <x v="3"/>
    <x v="1"/>
    <x v="1"/>
    <n v="346"/>
    <n v="113"/>
    <n v="233"/>
  </r>
  <r>
    <x v="4"/>
    <x v="4"/>
    <x v="2"/>
    <n v="525"/>
    <n v="19"/>
    <n v="506"/>
  </r>
  <r>
    <x v="5"/>
    <x v="0"/>
    <x v="6"/>
    <n v="104"/>
    <n v="86"/>
    <n v="18"/>
  </r>
  <r>
    <x v="5"/>
    <x v="5"/>
    <x v="7"/>
    <n v="36"/>
    <n v="7"/>
    <n v="29"/>
  </r>
  <r>
    <x v="5"/>
    <x v="1"/>
    <x v="8"/>
    <n v="3"/>
    <n v="2"/>
    <n v="1"/>
  </r>
  <r>
    <x v="6"/>
    <x v="4"/>
    <x v="2"/>
    <n v="522"/>
    <n v="16"/>
    <n v="506"/>
  </r>
  <r>
    <x v="6"/>
    <x v="2"/>
    <x v="2"/>
    <n v="43"/>
    <n v="3"/>
    <n v="40"/>
  </r>
  <r>
    <x v="6"/>
    <x v="3"/>
    <x v="4"/>
    <n v="35"/>
    <n v="0"/>
    <n v="35"/>
  </r>
  <r>
    <x v="6"/>
    <x v="3"/>
    <x v="9"/>
    <n v="5"/>
    <n v="0"/>
    <n v="5"/>
  </r>
  <r>
    <x v="0"/>
    <x v="0"/>
    <x v="6"/>
    <n v="103"/>
    <n v="94"/>
    <n v="9"/>
  </r>
  <r>
    <x v="0"/>
    <x v="1"/>
    <x v="8"/>
    <n v="0"/>
    <n v="0"/>
    <n v="0"/>
  </r>
  <r>
    <x v="0"/>
    <x v="3"/>
    <x v="10"/>
    <n v="136"/>
    <n v="2"/>
    <n v="134"/>
  </r>
  <r>
    <x v="1"/>
    <x v="4"/>
    <x v="2"/>
    <n v="546"/>
    <n v="17"/>
    <n v="529"/>
  </r>
  <r>
    <x v="3"/>
    <x v="0"/>
    <x v="6"/>
    <n v="80"/>
    <n v="67"/>
    <n v="13"/>
  </r>
  <r>
    <x v="3"/>
    <x v="1"/>
    <x v="8"/>
    <n v="3"/>
    <n v="2"/>
    <n v="1"/>
  </r>
  <r>
    <x v="3"/>
    <x v="1"/>
    <x v="11"/>
    <n v="34"/>
    <n v="19"/>
    <n v="15"/>
  </r>
  <r>
    <x v="3"/>
    <x v="3"/>
    <x v="9"/>
    <n v="4"/>
    <n v="0"/>
    <n v="4"/>
  </r>
  <r>
    <x v="4"/>
    <x v="0"/>
    <x v="6"/>
    <n v="106"/>
    <n v="88"/>
    <n v="18"/>
  </r>
  <r>
    <x v="4"/>
    <x v="3"/>
    <x v="9"/>
    <n v="4"/>
    <n v="0"/>
    <n v="4"/>
  </r>
  <r>
    <x v="4"/>
    <x v="3"/>
    <x v="6"/>
    <n v="1988"/>
    <n v="114"/>
    <n v="1875"/>
  </r>
  <r>
    <x v="7"/>
    <x v="1"/>
    <x v="11"/>
    <n v="34"/>
    <n v="21"/>
    <n v="13"/>
  </r>
  <r>
    <x v="7"/>
    <x v="3"/>
    <x v="4"/>
    <n v="33"/>
    <n v="0"/>
    <n v="33"/>
  </r>
  <r>
    <x v="5"/>
    <x v="4"/>
    <x v="7"/>
    <n v="262"/>
    <n v="13"/>
    <n v="249"/>
  </r>
  <r>
    <x v="5"/>
    <x v="2"/>
    <x v="2"/>
    <n v="41"/>
    <n v="1"/>
    <n v="40"/>
  </r>
  <r>
    <x v="5"/>
    <x v="3"/>
    <x v="0"/>
    <n v="80"/>
    <n v="2"/>
    <n v="78"/>
  </r>
  <r>
    <x v="5"/>
    <x v="3"/>
    <x v="10"/>
    <n v="153"/>
    <n v="5"/>
    <n v="148"/>
  </r>
  <r>
    <x v="0"/>
    <x v="4"/>
    <x v="7"/>
    <n v="278"/>
    <n v="10"/>
    <n v="268"/>
  </r>
  <r>
    <x v="0"/>
    <x v="3"/>
    <x v="9"/>
    <n v="9"/>
    <n v="0"/>
    <n v="9"/>
  </r>
  <r>
    <x v="0"/>
    <x v="3"/>
    <x v="6"/>
    <n v="2374"/>
    <n v="106"/>
    <n v="2268"/>
  </r>
  <r>
    <x v="1"/>
    <x v="0"/>
    <x v="2"/>
    <n v="52"/>
    <n v="44"/>
    <n v="8"/>
  </r>
  <r>
    <x v="1"/>
    <x v="4"/>
    <x v="6"/>
    <n v="2124"/>
    <n v="143"/>
    <n v="1981"/>
  </r>
  <r>
    <x v="1"/>
    <x v="3"/>
    <x v="7"/>
    <n v="664"/>
    <n v="27"/>
    <n v="637"/>
  </r>
  <r>
    <x v="2"/>
    <x v="0"/>
    <x v="2"/>
    <n v="44"/>
    <n v="39"/>
    <n v="5"/>
  </r>
  <r>
    <x v="2"/>
    <x v="0"/>
    <x v="6"/>
    <n v="95"/>
    <n v="77"/>
    <n v="18"/>
  </r>
  <r>
    <x v="2"/>
    <x v="0"/>
    <x v="10"/>
    <n v="7"/>
    <n v="7"/>
    <n v="0"/>
  </r>
  <r>
    <x v="2"/>
    <x v="0"/>
    <x v="7"/>
    <n v="51"/>
    <n v="44"/>
    <n v="7"/>
  </r>
  <r>
    <x v="2"/>
    <x v="4"/>
    <x v="7"/>
    <n v="262"/>
    <n v="14"/>
    <n v="248"/>
  </r>
  <r>
    <x v="2"/>
    <x v="2"/>
    <x v="7"/>
    <n v="36"/>
    <n v="2"/>
    <n v="34"/>
  </r>
  <r>
    <x v="2"/>
    <x v="3"/>
    <x v="10"/>
    <n v="126"/>
    <n v="2"/>
    <n v="124"/>
  </r>
  <r>
    <x v="3"/>
    <x v="4"/>
    <x v="2"/>
    <n v="549"/>
    <n v="15"/>
    <n v="534"/>
  </r>
  <r>
    <x v="3"/>
    <x v="3"/>
    <x v="0"/>
    <n v="70"/>
    <n v="2"/>
    <n v="68"/>
  </r>
  <r>
    <x v="3"/>
    <x v="3"/>
    <x v="10"/>
    <n v="151"/>
    <n v="2"/>
    <n v="149"/>
  </r>
  <r>
    <x v="4"/>
    <x v="4"/>
    <x v="6"/>
    <n v="2077"/>
    <n v="138"/>
    <n v="1939"/>
  </r>
  <r>
    <x v="7"/>
    <x v="4"/>
    <x v="2"/>
    <n v="533"/>
    <n v="20"/>
    <n v="513"/>
  </r>
  <r>
    <x v="7"/>
    <x v="4"/>
    <x v="6"/>
    <n v="2141"/>
    <n v="168"/>
    <n v="1973"/>
  </r>
  <r>
    <x v="7"/>
    <x v="1"/>
    <x v="12"/>
    <n v="49"/>
    <n v="15"/>
    <n v="34"/>
  </r>
  <r>
    <x v="7"/>
    <x v="1"/>
    <x v="3"/>
    <n v="64"/>
    <n v="26"/>
    <n v="38"/>
  </r>
  <r>
    <x v="7"/>
    <x v="3"/>
    <x v="2"/>
    <n v="687"/>
    <n v="27"/>
    <n v="660"/>
  </r>
  <r>
    <x v="7"/>
    <x v="3"/>
    <x v="6"/>
    <n v="2075"/>
    <n v="132"/>
    <n v="1943"/>
  </r>
  <r>
    <x v="5"/>
    <x v="0"/>
    <x v="2"/>
    <n v="26"/>
    <n v="21"/>
    <n v="5"/>
  </r>
  <r>
    <x v="5"/>
    <x v="0"/>
    <x v="0"/>
    <n v="4"/>
    <n v="3"/>
    <n v="1"/>
  </r>
  <r>
    <x v="5"/>
    <x v="4"/>
    <x v="6"/>
    <n v="2155"/>
    <n v="175"/>
    <n v="1980"/>
  </r>
  <r>
    <x v="5"/>
    <x v="1"/>
    <x v="5"/>
    <n v="182"/>
    <n v="172"/>
    <n v="10"/>
  </r>
  <r>
    <x v="6"/>
    <x v="2"/>
    <x v="7"/>
    <n v="37"/>
    <n v="5"/>
    <n v="32"/>
  </r>
  <r>
    <x v="6"/>
    <x v="3"/>
    <x v="0"/>
    <n v="81"/>
    <n v="2"/>
    <n v="79"/>
  </r>
  <r>
    <x v="0"/>
    <x v="2"/>
    <x v="2"/>
    <n v="73"/>
    <n v="8"/>
    <n v="65"/>
  </r>
  <r>
    <x v="0"/>
    <x v="3"/>
    <x v="0"/>
    <n v="115"/>
    <n v="3"/>
    <n v="112"/>
  </r>
  <r>
    <x v="0"/>
    <x v="3"/>
    <x v="7"/>
    <n v="679"/>
    <n v="22"/>
    <n v="657"/>
  </r>
  <r>
    <x v="1"/>
    <x v="0"/>
    <x v="6"/>
    <n v="110"/>
    <n v="89"/>
    <n v="21"/>
  </r>
  <r>
    <x v="1"/>
    <x v="1"/>
    <x v="5"/>
    <n v="195"/>
    <n v="176"/>
    <n v="19"/>
  </r>
  <r>
    <x v="1"/>
    <x v="1"/>
    <x v="8"/>
    <n v="2"/>
    <n v="2"/>
    <n v="0"/>
  </r>
  <r>
    <x v="1"/>
    <x v="1"/>
    <x v="13"/>
    <n v="59"/>
    <n v="40"/>
    <n v="19"/>
  </r>
  <r>
    <x v="1"/>
    <x v="1"/>
    <x v="12"/>
    <n v="44"/>
    <n v="21"/>
    <n v="23"/>
  </r>
  <r>
    <x v="1"/>
    <x v="3"/>
    <x v="9"/>
    <n v="7"/>
    <n v="0"/>
    <n v="7"/>
  </r>
  <r>
    <x v="1"/>
    <x v="3"/>
    <x v="6"/>
    <n v="2285"/>
    <n v="109"/>
    <n v="2176"/>
  </r>
  <r>
    <x v="1"/>
    <x v="3"/>
    <x v="10"/>
    <n v="130"/>
    <n v="1"/>
    <n v="129"/>
  </r>
  <r>
    <x v="2"/>
    <x v="4"/>
    <x v="2"/>
    <n v="543"/>
    <n v="17"/>
    <n v="526"/>
  </r>
  <r>
    <x v="2"/>
    <x v="1"/>
    <x v="12"/>
    <n v="40"/>
    <n v="15"/>
    <n v="25"/>
  </r>
  <r>
    <x v="2"/>
    <x v="3"/>
    <x v="9"/>
    <n v="4"/>
    <n v="0"/>
    <n v="4"/>
  </r>
  <r>
    <x v="2"/>
    <x v="3"/>
    <x v="2"/>
    <n v="600"/>
    <n v="27"/>
    <n v="573"/>
  </r>
  <r>
    <x v="3"/>
    <x v="0"/>
    <x v="0"/>
    <n v="5"/>
    <n v="4"/>
    <n v="1"/>
  </r>
  <r>
    <x v="3"/>
    <x v="4"/>
    <x v="7"/>
    <n v="260"/>
    <n v="16"/>
    <n v="244"/>
  </r>
  <r>
    <x v="4"/>
    <x v="1"/>
    <x v="11"/>
    <n v="32"/>
    <n v="19"/>
    <n v="13"/>
  </r>
  <r>
    <x v="4"/>
    <x v="3"/>
    <x v="4"/>
    <n v="34"/>
    <n v="0"/>
    <n v="34"/>
  </r>
  <r>
    <x v="4"/>
    <x v="3"/>
    <x v="2"/>
    <n v="689"/>
    <n v="26"/>
    <n v="663"/>
  </r>
  <r>
    <x v="4"/>
    <x v="3"/>
    <x v="10"/>
    <n v="153"/>
    <n v="2"/>
    <n v="151"/>
  </r>
  <r>
    <x v="4"/>
    <x v="3"/>
    <x v="7"/>
    <n v="603"/>
    <n v="31"/>
    <n v="572"/>
  </r>
  <r>
    <x v="7"/>
    <x v="0"/>
    <x v="6"/>
    <n v="124"/>
    <n v="103"/>
    <n v="21"/>
  </r>
  <r>
    <x v="7"/>
    <x v="0"/>
    <x v="10"/>
    <n v="9"/>
    <n v="8"/>
    <n v="1"/>
  </r>
  <r>
    <x v="7"/>
    <x v="5"/>
    <x v="14"/>
    <n v="18"/>
    <n v="1"/>
    <n v="17"/>
  </r>
  <r>
    <x v="7"/>
    <x v="2"/>
    <x v="2"/>
    <n v="40"/>
    <n v="3"/>
    <n v="37"/>
  </r>
  <r>
    <x v="7"/>
    <x v="3"/>
    <x v="9"/>
    <n v="4"/>
    <n v="0"/>
    <n v="4"/>
  </r>
  <r>
    <x v="5"/>
    <x v="1"/>
    <x v="1"/>
    <n v="400"/>
    <n v="152"/>
    <n v="248"/>
  </r>
  <r>
    <x v="5"/>
    <x v="3"/>
    <x v="4"/>
    <n v="31"/>
    <n v="0"/>
    <n v="31"/>
  </r>
  <r>
    <x v="5"/>
    <x v="3"/>
    <x v="2"/>
    <n v="688"/>
    <n v="31"/>
    <n v="657"/>
  </r>
  <r>
    <x v="6"/>
    <x v="0"/>
    <x v="6"/>
    <n v="95"/>
    <n v="79"/>
    <n v="16"/>
  </r>
  <r>
    <x v="6"/>
    <x v="4"/>
    <x v="7"/>
    <n v="267"/>
    <n v="14"/>
    <n v="253"/>
  </r>
  <r>
    <x v="6"/>
    <x v="1"/>
    <x v="5"/>
    <n v="187"/>
    <n v="178"/>
    <n v="9"/>
  </r>
  <r>
    <x v="6"/>
    <x v="1"/>
    <x v="8"/>
    <n v="3"/>
    <n v="2"/>
    <n v="1"/>
  </r>
  <r>
    <x v="6"/>
    <x v="2"/>
    <x v="6"/>
    <n v="223"/>
    <n v="44"/>
    <n v="179"/>
  </r>
  <r>
    <x v="0"/>
    <x v="4"/>
    <x v="2"/>
    <n v="535"/>
    <n v="19"/>
    <n v="516"/>
  </r>
  <r>
    <x v="0"/>
    <x v="4"/>
    <x v="6"/>
    <n v="2127"/>
    <n v="149"/>
    <n v="1978"/>
  </r>
  <r>
    <x v="0"/>
    <x v="1"/>
    <x v="13"/>
    <n v="45"/>
    <n v="28"/>
    <n v="17"/>
  </r>
  <r>
    <x v="0"/>
    <x v="1"/>
    <x v="11"/>
    <n v="20"/>
    <n v="7"/>
    <n v="13"/>
  </r>
  <r>
    <x v="0"/>
    <x v="2"/>
    <x v="7"/>
    <n v="9"/>
    <n v="0"/>
    <n v="9"/>
  </r>
  <r>
    <x v="1"/>
    <x v="0"/>
    <x v="0"/>
    <n v="5"/>
    <n v="4"/>
    <n v="1"/>
  </r>
  <r>
    <x v="1"/>
    <x v="3"/>
    <x v="4"/>
    <n v="33"/>
    <n v="0"/>
    <n v="33"/>
  </r>
  <r>
    <x v="2"/>
    <x v="2"/>
    <x v="2"/>
    <n v="46"/>
    <n v="6"/>
    <n v="40"/>
  </r>
  <r>
    <x v="2"/>
    <x v="2"/>
    <x v="6"/>
    <n v="260"/>
    <n v="48"/>
    <n v="212"/>
  </r>
  <r>
    <x v="2"/>
    <x v="3"/>
    <x v="6"/>
    <n v="2258"/>
    <n v="113"/>
    <n v="2145"/>
  </r>
  <r>
    <x v="2"/>
    <x v="3"/>
    <x v="0"/>
    <n v="90"/>
    <n v="3"/>
    <n v="87"/>
  </r>
  <r>
    <x v="3"/>
    <x v="3"/>
    <x v="4"/>
    <n v="34"/>
    <n v="0"/>
    <n v="34"/>
  </r>
  <r>
    <x v="3"/>
    <x v="3"/>
    <x v="2"/>
    <n v="635"/>
    <n v="29"/>
    <n v="606"/>
  </r>
  <r>
    <x v="3"/>
    <x v="3"/>
    <x v="6"/>
    <n v="2161"/>
    <n v="122"/>
    <n v="2039"/>
  </r>
  <r>
    <x v="3"/>
    <x v="3"/>
    <x v="7"/>
    <n v="590"/>
    <n v="23"/>
    <n v="567"/>
  </r>
  <r>
    <x v="4"/>
    <x v="1"/>
    <x v="1"/>
    <n v="366"/>
    <n v="139"/>
    <n v="227"/>
  </r>
  <r>
    <x v="4"/>
    <x v="1"/>
    <x v="3"/>
    <n v="153"/>
    <n v="88"/>
    <n v="65"/>
  </r>
  <r>
    <x v="7"/>
    <x v="0"/>
    <x v="0"/>
    <n v="4"/>
    <n v="3"/>
    <n v="1"/>
  </r>
  <r>
    <x v="6"/>
    <x v="4"/>
    <x v="6"/>
    <n v="2083"/>
    <n v="167"/>
    <n v="1916"/>
  </r>
  <r>
    <x v="6"/>
    <x v="3"/>
    <x v="7"/>
    <n v="604"/>
    <n v="31"/>
    <n v="573"/>
  </r>
  <r>
    <x v="0"/>
    <x v="1"/>
    <x v="5"/>
    <n v="278"/>
    <n v="248"/>
    <n v="30"/>
  </r>
  <r>
    <x v="0"/>
    <x v="2"/>
    <x v="6"/>
    <n v="277"/>
    <n v="44"/>
    <n v="233"/>
  </r>
  <r>
    <x v="0"/>
    <x v="3"/>
    <x v="4"/>
    <n v="28"/>
    <n v="0"/>
    <n v="28"/>
  </r>
  <r>
    <x v="1"/>
    <x v="3"/>
    <x v="2"/>
    <n v="634"/>
    <n v="24"/>
    <n v="610"/>
  </r>
  <r>
    <x v="2"/>
    <x v="1"/>
    <x v="5"/>
    <n v="194"/>
    <n v="176"/>
    <n v="18"/>
  </r>
  <r>
    <x v="2"/>
    <x v="1"/>
    <x v="8"/>
    <n v="3"/>
    <n v="2"/>
    <n v="1"/>
  </r>
  <r>
    <x v="2"/>
    <x v="1"/>
    <x v="11"/>
    <n v="34"/>
    <n v="18"/>
    <n v="16"/>
  </r>
  <r>
    <x v="3"/>
    <x v="0"/>
    <x v="7"/>
    <n v="41"/>
    <n v="35"/>
    <n v="6"/>
  </r>
  <r>
    <x v="3"/>
    <x v="1"/>
    <x v="3"/>
    <n v="165"/>
    <n v="98"/>
    <n v="67"/>
  </r>
  <r>
    <x v="3"/>
    <x v="2"/>
    <x v="2"/>
    <n v="46"/>
    <n v="4"/>
    <n v="38"/>
  </r>
  <r>
    <x v="3"/>
    <x v="2"/>
    <x v="6"/>
    <n v="260"/>
    <n v="40"/>
    <n v="198"/>
  </r>
  <r>
    <x v="4"/>
    <x v="0"/>
    <x v="2"/>
    <n v="27"/>
    <n v="23"/>
    <n v="4"/>
  </r>
  <r>
    <x v="4"/>
    <x v="1"/>
    <x v="8"/>
    <n v="2"/>
    <n v="1"/>
    <n v="1"/>
  </r>
  <r>
    <x v="4"/>
    <x v="1"/>
    <x v="12"/>
    <n v="50"/>
    <n v="17"/>
    <n v="33"/>
  </r>
  <r>
    <x v="4"/>
    <x v="2"/>
    <x v="2"/>
    <n v="39"/>
    <n v="3"/>
    <n v="36"/>
  </r>
  <r>
    <x v="7"/>
    <x v="4"/>
    <x v="7"/>
    <n v="261"/>
    <n v="13"/>
    <n v="248"/>
  </r>
  <r>
    <x v="7"/>
    <x v="1"/>
    <x v="8"/>
    <n v="3"/>
    <n v="2"/>
    <n v="1"/>
  </r>
  <r>
    <x v="7"/>
    <x v="3"/>
    <x v="7"/>
    <n v="611"/>
    <n v="33"/>
    <n v="578"/>
  </r>
  <r>
    <x v="5"/>
    <x v="0"/>
    <x v="4"/>
    <n v="1"/>
    <n v="1"/>
    <n v="0"/>
  </r>
  <r>
    <x v="5"/>
    <x v="2"/>
    <x v="6"/>
    <n v="237"/>
    <n v="48"/>
    <n v="189"/>
  </r>
  <r>
    <x v="6"/>
    <x v="0"/>
    <x v="10"/>
    <n v="10"/>
    <n v="9"/>
    <n v="1"/>
  </r>
  <r>
    <x v="6"/>
    <x v="0"/>
    <x v="7"/>
    <n v="41"/>
    <n v="35"/>
    <n v="6"/>
  </r>
  <r>
    <x v="6"/>
    <x v="1"/>
    <x v="1"/>
    <n v="414"/>
    <n v="161"/>
    <n v="253"/>
  </r>
  <r>
    <x v="6"/>
    <x v="1"/>
    <x v="3"/>
    <n v="61"/>
    <n v="23"/>
    <n v="38"/>
  </r>
  <r>
    <x v="0"/>
    <x v="0"/>
    <x v="10"/>
    <n v="11"/>
    <n v="9"/>
    <n v="2"/>
  </r>
  <r>
    <x v="0"/>
    <x v="0"/>
    <x v="7"/>
    <n v="52"/>
    <n v="46"/>
    <n v="6"/>
  </r>
  <r>
    <x v="0"/>
    <x v="1"/>
    <x v="12"/>
    <n v="70"/>
    <n v="32"/>
    <n v="38"/>
  </r>
  <r>
    <x v="1"/>
    <x v="1"/>
    <x v="11"/>
    <n v="37"/>
    <n v="20"/>
    <n v="17"/>
  </r>
  <r>
    <x v="1"/>
    <x v="2"/>
    <x v="7"/>
    <n v="38"/>
    <n v="4"/>
    <n v="34"/>
  </r>
  <r>
    <x v="1"/>
    <x v="3"/>
    <x v="0"/>
    <n v="103"/>
    <n v="3"/>
    <n v="100"/>
  </r>
  <r>
    <x v="3"/>
    <x v="0"/>
    <x v="2"/>
    <n v="31"/>
    <n v="26"/>
    <n v="5"/>
  </r>
  <r>
    <x v="3"/>
    <x v="4"/>
    <x v="6"/>
    <n v="2061"/>
    <n v="127"/>
    <n v="1934"/>
  </r>
  <r>
    <x v="3"/>
    <x v="1"/>
    <x v="12"/>
    <n v="42"/>
    <n v="17"/>
    <n v="25"/>
  </r>
  <r>
    <x v="4"/>
    <x v="4"/>
    <x v="7"/>
    <n v="261"/>
    <n v="14"/>
    <n v="247"/>
  </r>
  <r>
    <x v="4"/>
    <x v="1"/>
    <x v="5"/>
    <n v="164"/>
    <n v="155"/>
    <n v="9"/>
  </r>
  <r>
    <x v="4"/>
    <x v="1"/>
    <x v="13"/>
    <n v="79"/>
    <n v="57"/>
    <n v="22"/>
  </r>
  <r>
    <x v="4"/>
    <x v="2"/>
    <x v="6"/>
    <n v="256"/>
    <n v="47"/>
    <n v="209"/>
  </r>
  <r>
    <x v="7"/>
    <x v="1"/>
    <x v="5"/>
    <n v="170"/>
    <n v="159"/>
    <n v="11"/>
  </r>
  <r>
    <x v="7"/>
    <x v="1"/>
    <x v="1"/>
    <n v="388"/>
    <n v="146"/>
    <n v="242"/>
  </r>
  <r>
    <x v="7"/>
    <x v="2"/>
    <x v="6"/>
    <n v="240"/>
    <n v="46"/>
    <n v="194"/>
  </r>
  <r>
    <x v="7"/>
    <x v="2"/>
    <x v="7"/>
    <n v="37"/>
    <n v="5"/>
    <n v="32"/>
  </r>
  <r>
    <x v="7"/>
    <x v="3"/>
    <x v="0"/>
    <n v="80"/>
    <n v="2"/>
    <n v="78"/>
  </r>
  <r>
    <x v="7"/>
    <x v="3"/>
    <x v="10"/>
    <n v="147"/>
    <n v="2"/>
    <n v="145"/>
  </r>
  <r>
    <x v="5"/>
    <x v="0"/>
    <x v="10"/>
    <n v="8"/>
    <n v="7"/>
    <n v="1"/>
  </r>
  <r>
    <x v="5"/>
    <x v="0"/>
    <x v="7"/>
    <n v="45"/>
    <n v="38"/>
    <n v="7"/>
  </r>
  <r>
    <x v="5"/>
    <x v="1"/>
    <x v="13"/>
    <n v="90"/>
    <n v="61"/>
    <n v="29"/>
  </r>
  <r>
    <x v="5"/>
    <x v="3"/>
    <x v="9"/>
    <n v="6"/>
    <n v="0"/>
    <n v="6"/>
  </r>
  <r>
    <x v="5"/>
    <x v="3"/>
    <x v="6"/>
    <n v="2070"/>
    <n v="154"/>
    <n v="1916"/>
  </r>
  <r>
    <x v="5"/>
    <x v="3"/>
    <x v="7"/>
    <n v="608"/>
    <n v="30"/>
    <n v="578"/>
  </r>
  <r>
    <x v="6"/>
    <x v="0"/>
    <x v="4"/>
    <n v="1"/>
    <n v="1"/>
    <n v="0"/>
  </r>
  <r>
    <x v="6"/>
    <x v="0"/>
    <x v="0"/>
    <n v="4"/>
    <n v="3"/>
    <n v="1"/>
  </r>
  <r>
    <x v="6"/>
    <x v="1"/>
    <x v="13"/>
    <n v="91"/>
    <n v="61"/>
    <n v="30"/>
  </r>
  <r>
    <x v="6"/>
    <x v="3"/>
    <x v="2"/>
    <n v="687"/>
    <n v="29"/>
    <n v="658"/>
  </r>
  <r>
    <x v="0"/>
    <x v="0"/>
    <x v="2"/>
    <n v="52"/>
    <n v="46"/>
    <n v="6"/>
  </r>
  <r>
    <x v="0"/>
    <x v="1"/>
    <x v="1"/>
    <n v="314"/>
    <n v="91"/>
    <n v="223"/>
  </r>
  <r>
    <x v="0"/>
    <x v="1"/>
    <x v="3"/>
    <n v="234"/>
    <n v="139"/>
    <n v="95"/>
  </r>
  <r>
    <x v="0"/>
    <x v="3"/>
    <x v="2"/>
    <n v="660"/>
    <n v="26"/>
    <n v="634"/>
  </r>
  <r>
    <x v="1"/>
    <x v="0"/>
    <x v="10"/>
    <n v="13"/>
    <n v="11"/>
    <n v="2"/>
  </r>
  <r>
    <x v="1"/>
    <x v="0"/>
    <x v="7"/>
    <n v="50"/>
    <n v="44"/>
    <n v="6"/>
  </r>
  <r>
    <x v="1"/>
    <x v="4"/>
    <x v="7"/>
    <n v="280"/>
    <n v="12"/>
    <n v="268"/>
  </r>
  <r>
    <x v="1"/>
    <x v="1"/>
    <x v="3"/>
    <n v="195"/>
    <n v="122"/>
    <n v="73"/>
  </r>
  <r>
    <x v="1"/>
    <x v="2"/>
    <x v="6"/>
    <n v="296"/>
    <n v="48"/>
    <n v="248"/>
  </r>
  <r>
    <x v="2"/>
    <x v="0"/>
    <x v="0"/>
    <n v="6"/>
    <n v="4"/>
    <n v="2"/>
  </r>
  <r>
    <x v="2"/>
    <x v="4"/>
    <x v="6"/>
    <n v="2065"/>
    <n v="132"/>
    <n v="1933"/>
  </r>
  <r>
    <x v="2"/>
    <x v="1"/>
    <x v="13"/>
    <n v="74"/>
    <n v="57"/>
    <n v="17"/>
  </r>
  <r>
    <x v="2"/>
    <x v="3"/>
    <x v="7"/>
    <n v="577"/>
    <n v="22"/>
    <n v="555"/>
  </r>
  <r>
    <x v="3"/>
    <x v="0"/>
    <x v="10"/>
    <n v="8"/>
    <n v="7"/>
    <n v="1"/>
  </r>
  <r>
    <x v="3"/>
    <x v="1"/>
    <x v="13"/>
    <n v="78"/>
    <n v="58"/>
    <n v="20"/>
  </r>
  <r>
    <x v="3"/>
    <x v="2"/>
    <x v="7"/>
    <n v="36"/>
    <n v="4"/>
    <n v="32"/>
  </r>
  <r>
    <x v="4"/>
    <x v="0"/>
    <x v="0"/>
    <n v="5"/>
    <n v="4"/>
    <n v="1"/>
  </r>
  <r>
    <x v="4"/>
    <x v="0"/>
    <x v="10"/>
    <n v="8"/>
    <n v="7"/>
    <n v="1"/>
  </r>
  <r>
    <x v="4"/>
    <x v="0"/>
    <x v="7"/>
    <n v="43"/>
    <n v="36"/>
    <n v="7"/>
  </r>
  <r>
    <x v="4"/>
    <x v="2"/>
    <x v="7"/>
    <n v="37"/>
    <n v="5"/>
    <n v="32"/>
  </r>
  <r>
    <x v="4"/>
    <x v="3"/>
    <x v="0"/>
    <n v="74"/>
    <n v="2"/>
    <n v="72"/>
  </r>
  <r>
    <x v="7"/>
    <x v="0"/>
    <x v="4"/>
    <n v="1"/>
    <n v="1"/>
    <n v="0"/>
  </r>
  <r>
    <x v="7"/>
    <x v="0"/>
    <x v="2"/>
    <n v="27"/>
    <n v="21"/>
    <n v="6"/>
  </r>
  <r>
    <x v="7"/>
    <x v="0"/>
    <x v="7"/>
    <n v="42"/>
    <n v="36"/>
    <n v="6"/>
  </r>
  <r>
    <x v="7"/>
    <x v="1"/>
    <x v="13"/>
    <n v="84"/>
    <n v="58"/>
    <n v="26"/>
  </r>
  <r>
    <x v="5"/>
    <x v="4"/>
    <x v="2"/>
    <n v="520"/>
    <n v="20"/>
    <n v="500"/>
  </r>
  <r>
    <x v="5"/>
    <x v="1"/>
    <x v="12"/>
    <n v="47"/>
    <n v="14"/>
    <n v="33"/>
  </r>
  <r>
    <x v="5"/>
    <x v="1"/>
    <x v="11"/>
    <n v="32"/>
    <n v="20"/>
    <n v="12"/>
  </r>
  <r>
    <x v="5"/>
    <x v="1"/>
    <x v="3"/>
    <n v="63"/>
    <n v="26"/>
    <n v="37"/>
  </r>
  <r>
    <x v="5"/>
    <x v="2"/>
    <x v="7"/>
    <n v="37"/>
    <n v="5"/>
    <n v="32"/>
  </r>
  <r>
    <x v="6"/>
    <x v="0"/>
    <x v="2"/>
    <n v="31"/>
    <n v="24"/>
    <n v="7"/>
  </r>
  <r>
    <x v="6"/>
    <x v="5"/>
    <x v="7"/>
    <n v="54"/>
    <n v="11"/>
    <n v="43"/>
  </r>
  <r>
    <x v="6"/>
    <x v="1"/>
    <x v="12"/>
    <n v="50"/>
    <n v="17"/>
    <n v="33"/>
  </r>
  <r>
    <x v="6"/>
    <x v="1"/>
    <x v="11"/>
    <n v="30"/>
    <n v="19"/>
    <n v="11"/>
  </r>
  <r>
    <x v="6"/>
    <x v="3"/>
    <x v="6"/>
    <n v="2020"/>
    <n v="150"/>
    <n v="1870"/>
  </r>
  <r>
    <x v="6"/>
    <x v="3"/>
    <x v="10"/>
    <n v="152"/>
    <n v="7"/>
    <n v="145"/>
  </r>
</pivotCacheRecords>
</file>

<file path=xl/pivotCache/pivotCacheRecords31.xml><?xml version="1.0" encoding="utf-8"?>
<pivotCacheRecords xmlns="http://schemas.openxmlformats.org/spreadsheetml/2006/main" xmlns:r="http://schemas.openxmlformats.org/officeDocument/2006/relationships" count="160">
  <r>
    <x v="0"/>
    <x v="0"/>
    <x v="0"/>
    <n v="51.01"/>
    <n v="45.01"/>
    <n v="6"/>
  </r>
  <r>
    <x v="0"/>
    <x v="0"/>
    <x v="1"/>
    <n v="94.39"/>
    <n v="85.39"/>
    <n v="9"/>
  </r>
  <r>
    <x v="0"/>
    <x v="0"/>
    <x v="2"/>
    <n v="5"/>
    <n v="4"/>
    <n v="1"/>
  </r>
  <r>
    <x v="0"/>
    <x v="0"/>
    <x v="3"/>
    <n v="11"/>
    <n v="9"/>
    <n v="2"/>
  </r>
  <r>
    <x v="0"/>
    <x v="0"/>
    <x v="4"/>
    <n v="51.56"/>
    <n v="45.56"/>
    <n v="6"/>
  </r>
  <r>
    <x v="0"/>
    <x v="1"/>
    <x v="0"/>
    <n v="489.46"/>
    <n v="17.760000000000002"/>
    <n v="471.7"/>
  </r>
  <r>
    <x v="0"/>
    <x v="1"/>
    <x v="1"/>
    <n v="1913.5500000000002"/>
    <n v="132.88999999999999"/>
    <n v="1780.66"/>
  </r>
  <r>
    <x v="0"/>
    <x v="1"/>
    <x v="4"/>
    <n v="262.12"/>
    <n v="10"/>
    <n v="252.12000000000003"/>
  </r>
  <r>
    <x v="0"/>
    <x v="2"/>
    <x v="5"/>
    <n v="223.6"/>
    <n v="197.5"/>
    <n v="26.1"/>
  </r>
  <r>
    <x v="0"/>
    <x v="2"/>
    <x v="6"/>
    <m/>
    <m/>
    <m/>
  </r>
  <r>
    <x v="0"/>
    <x v="2"/>
    <x v="7"/>
    <n v="42.3"/>
    <n v="25.7"/>
    <n v="16.600000000000001"/>
  </r>
  <r>
    <x v="0"/>
    <x v="2"/>
    <x v="8"/>
    <n v="69.7"/>
    <n v="31.7"/>
    <n v="38"/>
  </r>
  <r>
    <x v="0"/>
    <x v="2"/>
    <x v="9"/>
    <n v="256.39999999999998"/>
    <n v="39.199999999999996"/>
    <n v="217.2"/>
  </r>
  <r>
    <x v="0"/>
    <x v="2"/>
    <x v="10"/>
    <n v="19.8"/>
    <n v="6.8"/>
    <n v="13"/>
  </r>
  <r>
    <x v="0"/>
    <x v="2"/>
    <x v="11"/>
    <n v="199.5"/>
    <n v="119.8"/>
    <n v="79.7"/>
  </r>
  <r>
    <x v="0"/>
    <x v="3"/>
    <x v="12"/>
    <n v="28"/>
    <m/>
    <n v="28"/>
  </r>
  <r>
    <x v="0"/>
    <x v="3"/>
    <x v="13"/>
    <n v="9"/>
    <m/>
    <n v="9"/>
  </r>
  <r>
    <x v="0"/>
    <x v="3"/>
    <x v="0"/>
    <n v="660"/>
    <n v="26"/>
    <n v="634"/>
  </r>
  <r>
    <x v="0"/>
    <x v="3"/>
    <x v="1"/>
    <n v="2373.7600000000002"/>
    <n v="106"/>
    <n v="2267.7600000000002"/>
  </r>
  <r>
    <x v="0"/>
    <x v="3"/>
    <x v="2"/>
    <n v="115"/>
    <n v="3"/>
    <n v="112"/>
  </r>
  <r>
    <x v="0"/>
    <x v="3"/>
    <x v="3"/>
    <n v="136"/>
    <n v="2"/>
    <n v="134"/>
  </r>
  <r>
    <x v="0"/>
    <x v="3"/>
    <x v="4"/>
    <n v="679"/>
    <n v="22"/>
    <n v="657"/>
  </r>
  <r>
    <x v="1"/>
    <x v="0"/>
    <x v="0"/>
    <n v="50.79"/>
    <n v="42.79"/>
    <n v="8"/>
  </r>
  <r>
    <x v="1"/>
    <x v="0"/>
    <x v="1"/>
    <n v="102.69"/>
    <n v="81.69"/>
    <n v="21"/>
  </r>
  <r>
    <x v="1"/>
    <x v="0"/>
    <x v="2"/>
    <n v="5"/>
    <n v="4"/>
    <n v="1"/>
  </r>
  <r>
    <x v="1"/>
    <x v="0"/>
    <x v="3"/>
    <n v="12.85"/>
    <n v="10.85"/>
    <n v="2"/>
  </r>
  <r>
    <x v="1"/>
    <x v="0"/>
    <x v="4"/>
    <n v="49.46"/>
    <n v="43.46"/>
    <n v="6"/>
  </r>
  <r>
    <x v="1"/>
    <x v="1"/>
    <x v="0"/>
    <n v="498"/>
    <n v="16.5"/>
    <n v="481.5"/>
  </r>
  <r>
    <x v="1"/>
    <x v="1"/>
    <x v="1"/>
    <n v="1906.75"/>
    <n v="128.25"/>
    <n v="1778.5"/>
  </r>
  <r>
    <x v="1"/>
    <x v="1"/>
    <x v="4"/>
    <n v="263.75"/>
    <n v="12"/>
    <n v="251.75"/>
  </r>
  <r>
    <x v="1"/>
    <x v="2"/>
    <x v="5"/>
    <n v="151.38999999999999"/>
    <n v="135.17999999999998"/>
    <n v="16.21"/>
  </r>
  <r>
    <x v="1"/>
    <x v="2"/>
    <x v="6"/>
    <n v="2"/>
    <n v="2"/>
    <n v="0"/>
  </r>
  <r>
    <x v="1"/>
    <x v="2"/>
    <x v="7"/>
    <n v="55.470000000000006"/>
    <n v="36.870000000000005"/>
    <n v="18.600000000000001"/>
  </r>
  <r>
    <x v="1"/>
    <x v="2"/>
    <x v="8"/>
    <n v="45.99"/>
    <n v="22.990000000000002"/>
    <n v="23"/>
  </r>
  <r>
    <x v="1"/>
    <x v="2"/>
    <x v="9"/>
    <n v="325.23"/>
    <n v="94.63"/>
    <n v="230.60000000000002"/>
  </r>
  <r>
    <x v="1"/>
    <x v="2"/>
    <x v="10"/>
    <n v="36.9"/>
    <n v="19.899999999999999"/>
    <n v="17"/>
  </r>
  <r>
    <x v="1"/>
    <x v="2"/>
    <x v="11"/>
    <n v="128.98000000000002"/>
    <n v="65.05000000000004"/>
    <n v="63.929999999999993"/>
  </r>
  <r>
    <x v="1"/>
    <x v="3"/>
    <x v="12"/>
    <n v="33"/>
    <m/>
    <n v="33"/>
  </r>
  <r>
    <x v="1"/>
    <x v="3"/>
    <x v="13"/>
    <n v="7"/>
    <m/>
    <n v="7"/>
  </r>
  <r>
    <x v="1"/>
    <x v="3"/>
    <x v="0"/>
    <n v="634"/>
    <n v="24"/>
    <n v="610"/>
  </r>
  <r>
    <x v="1"/>
    <x v="3"/>
    <x v="1"/>
    <n v="2285"/>
    <n v="109"/>
    <n v="2176"/>
  </r>
  <r>
    <x v="1"/>
    <x v="3"/>
    <x v="2"/>
    <n v="103"/>
    <n v="3"/>
    <n v="100"/>
  </r>
  <r>
    <x v="1"/>
    <x v="3"/>
    <x v="3"/>
    <n v="130"/>
    <n v="1"/>
    <n v="129"/>
  </r>
  <r>
    <x v="1"/>
    <x v="3"/>
    <x v="4"/>
    <n v="664"/>
    <n v="27"/>
    <n v="637"/>
  </r>
  <r>
    <x v="2"/>
    <x v="0"/>
    <x v="0"/>
    <n v="43"/>
    <n v="38"/>
    <n v="5"/>
  </r>
  <r>
    <x v="2"/>
    <x v="0"/>
    <x v="1"/>
    <n v="89.021904761904764"/>
    <n v="71.021904761904764"/>
    <n v="18"/>
  </r>
  <r>
    <x v="2"/>
    <x v="0"/>
    <x v="2"/>
    <n v="6"/>
    <n v="4"/>
    <n v="2"/>
  </r>
  <r>
    <x v="2"/>
    <x v="0"/>
    <x v="3"/>
    <n v="6.8333333333333339"/>
    <n v="6.8333333333333339"/>
    <m/>
  </r>
  <r>
    <x v="2"/>
    <x v="0"/>
    <x v="4"/>
    <n v="50.314285714285717"/>
    <n v="43.314285714285717"/>
    <n v="7"/>
  </r>
  <r>
    <x v="2"/>
    <x v="1"/>
    <x v="0"/>
    <n v="486.17999999999995"/>
    <n v="16.75"/>
    <n v="469.42999999999995"/>
  </r>
  <r>
    <x v="2"/>
    <x v="1"/>
    <x v="1"/>
    <n v="1792.8328571428574"/>
    <n v="116.4"/>
    <n v="1676.4328571428573"/>
  </r>
  <r>
    <x v="2"/>
    <x v="1"/>
    <x v="4"/>
    <n v="247.75"/>
    <n v="14"/>
    <n v="233.75"/>
  </r>
  <r>
    <x v="2"/>
    <x v="2"/>
    <x v="5"/>
    <n v="145.72971428571435"/>
    <n v="128.96057142857148"/>
    <n v="16.769142857142857"/>
  </r>
  <r>
    <x v="2"/>
    <x v="2"/>
    <x v="6"/>
    <n v="3"/>
    <n v="2"/>
    <n v="1"/>
  </r>
  <r>
    <x v="2"/>
    <x v="2"/>
    <x v="7"/>
    <n v="70.714285714285694"/>
    <n v="53.714285714285701"/>
    <n v="17"/>
  </r>
  <r>
    <x v="2"/>
    <x v="2"/>
    <x v="8"/>
    <n v="40"/>
    <n v="15"/>
    <n v="25"/>
  </r>
  <r>
    <x v="2"/>
    <x v="2"/>
    <x v="9"/>
    <n v="303.60857142857139"/>
    <n v="95.918571428571425"/>
    <n v="207.69"/>
  </r>
  <r>
    <x v="2"/>
    <x v="2"/>
    <x v="10"/>
    <n v="33.309428571428569"/>
    <n v="17.309428571428572"/>
    <n v="16"/>
  </r>
  <r>
    <x v="2"/>
    <x v="2"/>
    <x v="11"/>
    <n v="122.20028571428573"/>
    <n v="57.195428571428593"/>
    <n v="65.004857142857134"/>
  </r>
  <r>
    <x v="2"/>
    <x v="3"/>
    <x v="12"/>
    <n v="35"/>
    <n v="0"/>
    <n v="35"/>
  </r>
  <r>
    <x v="2"/>
    <x v="3"/>
    <x v="13"/>
    <n v="4"/>
    <n v="0"/>
    <n v="4"/>
  </r>
  <r>
    <x v="2"/>
    <x v="3"/>
    <x v="0"/>
    <n v="598.34523809523807"/>
    <n v="27"/>
    <n v="571.34523809523807"/>
  </r>
  <r>
    <x v="2"/>
    <x v="3"/>
    <x v="1"/>
    <n v="2250.7857142857101"/>
    <n v="112.88571428571429"/>
    <n v="2137.9"/>
  </r>
  <r>
    <x v="2"/>
    <x v="3"/>
    <x v="2"/>
    <n v="90"/>
    <n v="3"/>
    <n v="87"/>
  </r>
  <r>
    <x v="2"/>
    <x v="3"/>
    <x v="3"/>
    <n v="126"/>
    <n v="2"/>
    <n v="124"/>
  </r>
  <r>
    <x v="2"/>
    <x v="3"/>
    <x v="4"/>
    <n v="585.31904761904764"/>
    <n v="22"/>
    <n v="563.31904761904764"/>
  </r>
  <r>
    <x v="3"/>
    <x v="0"/>
    <x v="0"/>
    <n v="26.79"/>
    <n v="22.79"/>
    <n v="4"/>
  </r>
  <r>
    <x v="3"/>
    <x v="0"/>
    <x v="1"/>
    <n v="100.83"/>
    <n v="83.33"/>
    <n v="17.5"/>
  </r>
  <r>
    <x v="3"/>
    <x v="0"/>
    <x v="2"/>
    <n v="5"/>
    <n v="4"/>
    <n v="1"/>
  </r>
  <r>
    <x v="3"/>
    <x v="0"/>
    <x v="3"/>
    <n v="8"/>
    <n v="7"/>
    <n v="1"/>
  </r>
  <r>
    <x v="3"/>
    <x v="0"/>
    <x v="4"/>
    <n v="43"/>
    <n v="36"/>
    <n v="7"/>
  </r>
  <r>
    <x v="3"/>
    <x v="1"/>
    <x v="0"/>
    <n v="477.18"/>
    <n v="18.25"/>
    <n v="458.93"/>
  </r>
  <r>
    <x v="3"/>
    <x v="1"/>
    <x v="1"/>
    <n v="1821.55"/>
    <n v="121.65"/>
    <n v="1699.9"/>
  </r>
  <r>
    <x v="3"/>
    <x v="1"/>
    <x v="4"/>
    <n v="246.25"/>
    <n v="13.75"/>
    <n v="232.5"/>
  </r>
  <r>
    <x v="3"/>
    <x v="2"/>
    <x v="5"/>
    <n v="135.37"/>
    <n v="126.82"/>
    <n v="8.5500000000000007"/>
  </r>
  <r>
    <x v="3"/>
    <x v="2"/>
    <x v="6"/>
    <n v="2"/>
    <n v="1"/>
    <n v="1"/>
  </r>
  <r>
    <x v="3"/>
    <x v="2"/>
    <x v="7"/>
    <n v="75.81"/>
    <n v="53.98"/>
    <n v="21.83"/>
  </r>
  <r>
    <x v="3"/>
    <x v="2"/>
    <x v="8"/>
    <n v="49.71"/>
    <n v="16.71"/>
    <n v="33"/>
  </r>
  <r>
    <x v="3"/>
    <x v="2"/>
    <x v="9"/>
    <n v="354.57"/>
    <n v="133.04"/>
    <n v="221.53"/>
  </r>
  <r>
    <x v="3"/>
    <x v="2"/>
    <x v="10"/>
    <n v="30.86"/>
    <n v="18.36"/>
    <n v="12.5"/>
  </r>
  <r>
    <x v="3"/>
    <x v="2"/>
    <x v="11"/>
    <n v="110.41"/>
    <n v="52.13"/>
    <n v="58.28"/>
  </r>
  <r>
    <x v="3"/>
    <x v="3"/>
    <x v="12"/>
    <n v="34"/>
    <m/>
    <n v="34"/>
  </r>
  <r>
    <x v="3"/>
    <x v="3"/>
    <x v="13"/>
    <n v="4"/>
    <m/>
    <n v="4"/>
  </r>
  <r>
    <x v="3"/>
    <x v="3"/>
    <x v="0"/>
    <n v="689"/>
    <n v="26"/>
    <n v="663"/>
  </r>
  <r>
    <x v="3"/>
    <x v="3"/>
    <x v="1"/>
    <n v="1988.43"/>
    <n v="113.43"/>
    <n v="1875"/>
  </r>
  <r>
    <x v="3"/>
    <x v="3"/>
    <x v="2"/>
    <n v="74"/>
    <n v="2"/>
    <n v="72"/>
  </r>
  <r>
    <x v="3"/>
    <x v="3"/>
    <x v="3"/>
    <n v="153"/>
    <n v="2"/>
    <n v="151"/>
  </r>
  <r>
    <x v="3"/>
    <x v="3"/>
    <x v="4"/>
    <n v="602"/>
    <n v="31"/>
    <n v="571"/>
  </r>
  <r>
    <x v="4"/>
    <x v="0"/>
    <x v="12"/>
    <m/>
    <n v="1"/>
    <m/>
  </r>
  <r>
    <x v="4"/>
    <x v="0"/>
    <x v="0"/>
    <n v="27"/>
    <n v="21"/>
    <n v="6"/>
  </r>
  <r>
    <x v="4"/>
    <x v="0"/>
    <x v="1"/>
    <n v="119.33000000000001"/>
    <n v="98.330000000000013"/>
    <n v="21"/>
  </r>
  <r>
    <x v="4"/>
    <x v="0"/>
    <x v="2"/>
    <n v="4"/>
    <n v="3"/>
    <n v="1"/>
  </r>
  <r>
    <x v="4"/>
    <x v="0"/>
    <x v="3"/>
    <n v="9"/>
    <n v="8"/>
    <n v="1"/>
  </r>
  <r>
    <x v="4"/>
    <x v="0"/>
    <x v="4"/>
    <n v="42"/>
    <n v="36"/>
    <n v="6"/>
  </r>
  <r>
    <x v="4"/>
    <x v="1"/>
    <x v="0"/>
    <n v="478.93"/>
    <n v="19"/>
    <n v="459.93"/>
  </r>
  <r>
    <x v="4"/>
    <x v="1"/>
    <x v="1"/>
    <n v="1863.8"/>
    <n v="148.4"/>
    <n v="1715.3999999999999"/>
  </r>
  <r>
    <x v="4"/>
    <x v="1"/>
    <x v="4"/>
    <n v="241.25"/>
    <n v="12.5"/>
    <n v="228.75"/>
  </r>
  <r>
    <x v="4"/>
    <x v="4"/>
    <x v="14"/>
    <n v="18"/>
    <n v="1"/>
    <n v="17"/>
  </r>
  <r>
    <x v="4"/>
    <x v="2"/>
    <x v="5"/>
    <n v="144.99"/>
    <n v="134.44"/>
    <n v="10.549999999999999"/>
  </r>
  <r>
    <x v="4"/>
    <x v="2"/>
    <x v="6"/>
    <n v="3"/>
    <n v="2"/>
    <n v="1"/>
  </r>
  <r>
    <x v="4"/>
    <x v="2"/>
    <x v="7"/>
    <n v="80.400000000000006"/>
    <n v="55.4"/>
    <n v="25"/>
  </r>
  <r>
    <x v="4"/>
    <x v="2"/>
    <x v="8"/>
    <n v="49"/>
    <n v="15"/>
    <n v="34"/>
  </r>
  <r>
    <x v="4"/>
    <x v="2"/>
    <x v="9"/>
    <n v="375.56"/>
    <n v="139.56"/>
    <n v="236"/>
  </r>
  <r>
    <x v="4"/>
    <x v="2"/>
    <x v="10"/>
    <n v="34"/>
    <n v="21"/>
    <n v="13"/>
  </r>
  <r>
    <x v="4"/>
    <x v="2"/>
    <x v="11"/>
    <n v="58.61"/>
    <n v="21.26"/>
    <n v="37.35"/>
  </r>
  <r>
    <x v="4"/>
    <x v="3"/>
    <x v="12"/>
    <m/>
    <m/>
    <n v="33"/>
  </r>
  <r>
    <x v="4"/>
    <x v="3"/>
    <x v="13"/>
    <m/>
    <m/>
    <n v="4"/>
  </r>
  <r>
    <x v="4"/>
    <x v="3"/>
    <x v="0"/>
    <n v="687"/>
    <n v="27"/>
    <n v="660"/>
  </r>
  <r>
    <x v="4"/>
    <x v="3"/>
    <x v="1"/>
    <n v="2073.9299999999998"/>
    <n v="130.93"/>
    <n v="1943"/>
  </r>
  <r>
    <x v="4"/>
    <x v="3"/>
    <x v="2"/>
    <n v="80"/>
    <n v="2"/>
    <n v="78"/>
  </r>
  <r>
    <x v="4"/>
    <x v="3"/>
    <x v="3"/>
    <n v="147"/>
    <n v="2"/>
    <n v="145"/>
  </r>
  <r>
    <x v="4"/>
    <x v="3"/>
    <x v="4"/>
    <n v="611"/>
    <n v="33"/>
    <n v="578"/>
  </r>
  <r>
    <x v="5"/>
    <x v="0"/>
    <x v="12"/>
    <m/>
    <n v="1"/>
    <m/>
  </r>
  <r>
    <x v="5"/>
    <x v="0"/>
    <x v="0"/>
    <n v="26"/>
    <n v="21"/>
    <n v="5"/>
  </r>
  <r>
    <x v="5"/>
    <x v="0"/>
    <x v="1"/>
    <n v="99.83"/>
    <n v="81.83"/>
    <n v="18"/>
  </r>
  <r>
    <x v="5"/>
    <x v="0"/>
    <x v="2"/>
    <n v="4"/>
    <n v="3"/>
    <n v="1"/>
  </r>
  <r>
    <x v="5"/>
    <x v="0"/>
    <x v="3"/>
    <n v="8"/>
    <n v="7"/>
    <n v="1"/>
  </r>
  <r>
    <x v="5"/>
    <x v="0"/>
    <x v="4"/>
    <n v="45"/>
    <n v="38"/>
    <n v="7"/>
  </r>
  <r>
    <x v="5"/>
    <x v="1"/>
    <x v="0"/>
    <n v="459.93"/>
    <n v="17"/>
    <n v="442.93"/>
  </r>
  <r>
    <x v="5"/>
    <x v="1"/>
    <x v="1"/>
    <n v="1855.3"/>
    <n v="153.15"/>
    <n v="1702.1499999999999"/>
  </r>
  <r>
    <x v="5"/>
    <x v="1"/>
    <x v="4"/>
    <n v="236.5"/>
    <n v="11.75"/>
    <n v="224.75"/>
  </r>
  <r>
    <x v="5"/>
    <x v="4"/>
    <x v="4"/>
    <n v="36"/>
    <n v="7"/>
    <n v="29"/>
  </r>
  <r>
    <x v="5"/>
    <x v="2"/>
    <x v="5"/>
    <n v="154.34"/>
    <n v="144.79"/>
    <n v="9.5499999999999989"/>
  </r>
  <r>
    <x v="5"/>
    <x v="2"/>
    <x v="6"/>
    <n v="3"/>
    <n v="2"/>
    <n v="1"/>
  </r>
  <r>
    <x v="5"/>
    <x v="2"/>
    <x v="7"/>
    <n v="88.61"/>
    <n v="59.61"/>
    <n v="29"/>
  </r>
  <r>
    <x v="5"/>
    <x v="2"/>
    <x v="8"/>
    <n v="47"/>
    <n v="14"/>
    <n v="33"/>
  </r>
  <r>
    <x v="5"/>
    <x v="2"/>
    <x v="9"/>
    <n v="382.5"/>
    <n v="142.84"/>
    <n v="239.66000000000003"/>
  </r>
  <r>
    <x v="5"/>
    <x v="2"/>
    <x v="10"/>
    <n v="32"/>
    <n v="20"/>
    <n v="12"/>
  </r>
  <r>
    <x v="5"/>
    <x v="2"/>
    <x v="11"/>
    <n v="56.95"/>
    <n v="20.599999999999998"/>
    <n v="36.35"/>
  </r>
  <r>
    <x v="5"/>
    <x v="3"/>
    <x v="12"/>
    <m/>
    <m/>
    <n v="31"/>
  </r>
  <r>
    <x v="5"/>
    <x v="3"/>
    <x v="13"/>
    <m/>
    <m/>
    <n v="6"/>
  </r>
  <r>
    <x v="5"/>
    <x v="3"/>
    <x v="0"/>
    <n v="688"/>
    <n v="31"/>
    <n v="657"/>
  </r>
  <r>
    <x v="5"/>
    <x v="3"/>
    <x v="1"/>
    <n v="2067.9299999999998"/>
    <n v="152.92999999999998"/>
    <n v="1915"/>
  </r>
  <r>
    <x v="5"/>
    <x v="3"/>
    <x v="2"/>
    <n v="80"/>
    <n v="2"/>
    <n v="78"/>
  </r>
  <r>
    <x v="5"/>
    <x v="3"/>
    <x v="3"/>
    <n v="153"/>
    <n v="5"/>
    <n v="148"/>
  </r>
  <r>
    <x v="5"/>
    <x v="3"/>
    <x v="4"/>
    <n v="608"/>
    <n v="30"/>
    <n v="578"/>
  </r>
  <r>
    <x v="6"/>
    <x v="0"/>
    <x v="12"/>
    <m/>
    <n v="1"/>
    <m/>
  </r>
  <r>
    <x v="6"/>
    <x v="0"/>
    <x v="0"/>
    <n v="30"/>
    <n v="23"/>
    <n v="7"/>
  </r>
  <r>
    <x v="6"/>
    <x v="0"/>
    <x v="1"/>
    <n v="90.06"/>
    <n v="74.06"/>
    <n v="16"/>
  </r>
  <r>
    <x v="6"/>
    <x v="0"/>
    <x v="2"/>
    <n v="4"/>
    <n v="3"/>
    <n v="1"/>
  </r>
  <r>
    <x v="6"/>
    <x v="0"/>
    <x v="3"/>
    <n v="10"/>
    <n v="9"/>
    <n v="1"/>
  </r>
  <r>
    <x v="6"/>
    <x v="0"/>
    <x v="4"/>
    <n v="41"/>
    <n v="35"/>
    <n v="6"/>
  </r>
  <r>
    <x v="6"/>
    <x v="1"/>
    <x v="0"/>
    <n v="461.93"/>
    <n v="14"/>
    <n v="447.93"/>
  </r>
  <r>
    <x v="6"/>
    <x v="1"/>
    <x v="1"/>
    <n v="1784.5500000000002"/>
    <n v="143.4"/>
    <n v="1641.15"/>
  </r>
  <r>
    <x v="6"/>
    <x v="1"/>
    <x v="4"/>
    <n v="236"/>
    <n v="11.25"/>
    <n v="224.75"/>
  </r>
  <r>
    <x v="6"/>
    <x v="4"/>
    <x v="4"/>
    <n v="54"/>
    <n v="11"/>
    <n v="43"/>
  </r>
  <r>
    <x v="6"/>
    <x v="2"/>
    <x v="5"/>
    <n v="160.44999999999999"/>
    <n v="151.58999999999997"/>
    <n v="8.86"/>
  </r>
  <r>
    <x v="6"/>
    <x v="2"/>
    <x v="6"/>
    <n v="3"/>
    <n v="2"/>
    <n v="1"/>
  </r>
  <r>
    <x v="6"/>
    <x v="2"/>
    <x v="7"/>
    <n v="88.429999999999993"/>
    <n v="59.429999999999993"/>
    <n v="29"/>
  </r>
  <r>
    <x v="6"/>
    <x v="2"/>
    <x v="8"/>
    <n v="49.8"/>
    <n v="16.8"/>
    <n v="33"/>
  </r>
  <r>
    <x v="6"/>
    <x v="2"/>
    <x v="9"/>
    <n v="399.88"/>
    <n v="154.13999999999999"/>
    <n v="245.74"/>
  </r>
  <r>
    <x v="6"/>
    <x v="2"/>
    <x v="10"/>
    <n v="30"/>
    <n v="19"/>
    <n v="11"/>
  </r>
  <r>
    <x v="6"/>
    <x v="2"/>
    <x v="11"/>
    <n v="55.730000000000004"/>
    <n v="18.38"/>
    <n v="37.35"/>
  </r>
  <r>
    <x v="6"/>
    <x v="3"/>
    <x v="12"/>
    <m/>
    <m/>
    <n v="35"/>
  </r>
  <r>
    <x v="6"/>
    <x v="3"/>
    <x v="13"/>
    <m/>
    <m/>
    <n v="5"/>
  </r>
  <r>
    <x v="6"/>
    <x v="3"/>
    <x v="0"/>
    <n v="687"/>
    <n v="29"/>
    <n v="658"/>
  </r>
  <r>
    <x v="6"/>
    <x v="3"/>
    <x v="1"/>
    <n v="2017.43"/>
    <n v="148.43"/>
    <n v="1869"/>
  </r>
  <r>
    <x v="6"/>
    <x v="3"/>
    <x v="2"/>
    <n v="81"/>
    <n v="2"/>
    <n v="79"/>
  </r>
  <r>
    <x v="6"/>
    <x v="3"/>
    <x v="3"/>
    <n v="152"/>
    <n v="7"/>
    <n v="145"/>
  </r>
  <r>
    <x v="6"/>
    <x v="3"/>
    <x v="4"/>
    <n v="604"/>
    <n v="31"/>
    <n v="573"/>
  </r>
</pivotCacheRecords>
</file>

<file path=xl/pivotCache/pivotCacheRecords32.xml><?xml version="1.0" encoding="utf-8"?>
<pivotCacheRecords xmlns="http://schemas.openxmlformats.org/spreadsheetml/2006/main" xmlns:r="http://schemas.openxmlformats.org/officeDocument/2006/relationships" count="422">
  <r>
    <x v="0"/>
    <x v="0"/>
    <x v="0"/>
    <s v="S12000041"/>
    <n v="134"/>
    <m/>
    <m/>
    <n v="99"/>
    <m/>
    <n v="0"/>
    <n v="35"/>
  </r>
  <r>
    <x v="0"/>
    <x v="0"/>
    <x v="1"/>
    <s v="S12000005"/>
    <n v="64"/>
    <m/>
    <m/>
    <n v="21"/>
    <m/>
    <n v="0"/>
    <n v="43"/>
  </r>
  <r>
    <x v="0"/>
    <x v="0"/>
    <x v="2"/>
    <s v="S12000020"/>
    <n v="156"/>
    <m/>
    <m/>
    <n v="104"/>
    <m/>
    <n v="32"/>
    <n v="20"/>
  </r>
  <r>
    <x v="0"/>
    <x v="0"/>
    <x v="3"/>
    <s v="S12000028"/>
    <n v="119"/>
    <m/>
    <m/>
    <n v="54"/>
    <m/>
    <n v="0"/>
    <n v="65"/>
  </r>
  <r>
    <x v="0"/>
    <x v="1"/>
    <x v="4"/>
    <s v="S39000001"/>
    <n v="15"/>
    <m/>
    <m/>
    <m/>
    <m/>
    <m/>
    <n v="15"/>
  </r>
  <r>
    <x v="0"/>
    <x v="1"/>
    <x v="5"/>
    <s v="S39000018"/>
    <n v="11"/>
    <m/>
    <m/>
    <m/>
    <m/>
    <m/>
    <n v="11"/>
  </r>
  <r>
    <x v="0"/>
    <x v="1"/>
    <x v="6"/>
    <s v="S39000006"/>
    <n v="23"/>
    <m/>
    <m/>
    <m/>
    <m/>
    <m/>
    <n v="23"/>
  </r>
  <r>
    <x v="0"/>
    <x v="1"/>
    <x v="7"/>
    <s v="S39000007"/>
    <n v="21"/>
    <m/>
    <m/>
    <m/>
    <m/>
    <m/>
    <n v="21"/>
  </r>
  <r>
    <x v="0"/>
    <x v="1"/>
    <x v="8"/>
    <s v="S39000008"/>
    <n v="12"/>
    <m/>
    <m/>
    <m/>
    <m/>
    <m/>
    <n v="12"/>
  </r>
  <r>
    <x v="0"/>
    <x v="1"/>
    <x v="9"/>
    <s v="S39000015"/>
    <n v="10"/>
    <m/>
    <m/>
    <m/>
    <m/>
    <m/>
    <n v="10"/>
  </r>
  <r>
    <x v="0"/>
    <x v="1"/>
    <x v="10"/>
    <s v="S39000017"/>
    <n v="9"/>
    <m/>
    <m/>
    <m/>
    <m/>
    <m/>
    <n v="9"/>
  </r>
  <r>
    <x v="0"/>
    <x v="2"/>
    <x v="11"/>
    <s v="S40000004"/>
    <n v="255"/>
    <m/>
    <m/>
    <m/>
    <m/>
    <m/>
    <n v="80"/>
  </r>
  <r>
    <x v="0"/>
    <x v="0"/>
    <x v="12"/>
    <s v="S12000018"/>
    <n v="120"/>
    <m/>
    <m/>
    <n v="42"/>
    <m/>
    <n v="0"/>
    <n v="78"/>
  </r>
  <r>
    <x v="0"/>
    <x v="0"/>
    <x v="13"/>
    <s v="S12000024"/>
    <n v="253"/>
    <m/>
    <m/>
    <n v="140"/>
    <m/>
    <n v="25"/>
    <n v="88"/>
  </r>
  <r>
    <x v="0"/>
    <x v="1"/>
    <x v="14"/>
    <s v="S39000003"/>
    <n v="23"/>
    <m/>
    <m/>
    <m/>
    <m/>
    <m/>
    <n v="23"/>
  </r>
  <r>
    <x v="0"/>
    <x v="1"/>
    <x v="15"/>
    <s v="S39000013"/>
    <n v="13"/>
    <m/>
    <m/>
    <m/>
    <m/>
    <m/>
    <n v="13"/>
  </r>
  <r>
    <x v="0"/>
    <x v="3"/>
    <x v="16"/>
    <s v="S92000003"/>
    <n v="516"/>
    <n v="223"/>
    <m/>
    <m/>
    <n v="961"/>
    <m/>
    <n v="56"/>
  </r>
  <r>
    <x v="0"/>
    <x v="0"/>
    <x v="17"/>
    <s v="S12000006"/>
    <n v="271"/>
    <m/>
    <m/>
    <n v="198"/>
    <m/>
    <n v="4"/>
    <n v="69"/>
  </r>
  <r>
    <x v="0"/>
    <x v="0"/>
    <x v="18"/>
    <s v="S12000045"/>
    <n v="74"/>
    <m/>
    <m/>
    <n v="0"/>
    <m/>
    <n v="0"/>
    <n v="74"/>
  </r>
  <r>
    <x v="0"/>
    <x v="0"/>
    <x v="19"/>
    <s v="S12000014"/>
    <n v="161"/>
    <m/>
    <m/>
    <n v="65"/>
    <m/>
    <n v="0"/>
    <n v="96"/>
  </r>
  <r>
    <x v="0"/>
    <x v="0"/>
    <x v="20"/>
    <s v="S12000021"/>
    <n v="191"/>
    <m/>
    <m/>
    <n v="94"/>
    <m/>
    <n v="21"/>
    <n v="76"/>
  </r>
  <r>
    <x v="0"/>
    <x v="0"/>
    <x v="21"/>
    <s v="S12000044"/>
    <n v="216"/>
    <m/>
    <m/>
    <n v="28"/>
    <m/>
    <n v="0"/>
    <n v="188"/>
  </r>
  <r>
    <x v="0"/>
    <x v="0"/>
    <x v="22"/>
    <s v="S12000023"/>
    <n v="113"/>
    <m/>
    <m/>
    <n v="113"/>
    <m/>
    <n v="0"/>
    <n v="0"/>
  </r>
  <r>
    <x v="0"/>
    <x v="1"/>
    <x v="23"/>
    <s v="S39000010"/>
    <n v="13"/>
    <m/>
    <m/>
    <m/>
    <m/>
    <m/>
    <n v="13"/>
  </r>
  <r>
    <x v="0"/>
    <x v="1"/>
    <x v="24"/>
    <s v="S39000019"/>
    <n v="21"/>
    <m/>
    <m/>
    <m/>
    <m/>
    <m/>
    <n v="21"/>
  </r>
  <r>
    <x v="0"/>
    <x v="1"/>
    <x v="25"/>
    <s v="S39000012"/>
    <n v="28"/>
    <m/>
    <m/>
    <m/>
    <m/>
    <m/>
    <n v="28"/>
  </r>
  <r>
    <x v="0"/>
    <x v="0"/>
    <x v="4"/>
    <s v="S12000033"/>
    <n v="182"/>
    <m/>
    <m/>
    <n v="8"/>
    <m/>
    <n v="0"/>
    <n v="174"/>
  </r>
  <r>
    <x v="0"/>
    <x v="0"/>
    <x v="24"/>
    <s v="S12000047"/>
    <n v="400"/>
    <m/>
    <m/>
    <n v="111"/>
    <m/>
    <n v="0"/>
    <n v="289"/>
  </r>
  <r>
    <x v="0"/>
    <x v="0"/>
    <x v="26"/>
    <s v="S12000013"/>
    <n v="132"/>
    <m/>
    <m/>
    <n v="132"/>
    <m/>
    <n v="0"/>
    <n v="0"/>
  </r>
  <r>
    <x v="0"/>
    <x v="0"/>
    <x v="27"/>
    <s v="S12000030"/>
    <n v="136"/>
    <m/>
    <m/>
    <n v="74"/>
    <m/>
    <n v="0"/>
    <n v="62"/>
  </r>
  <r>
    <x v="0"/>
    <x v="1"/>
    <x v="28"/>
    <s v="S39000002"/>
    <n v="22"/>
    <m/>
    <m/>
    <m/>
    <m/>
    <m/>
    <n v="22"/>
  </r>
  <r>
    <x v="0"/>
    <x v="2"/>
    <x v="29"/>
    <s v="S40000005"/>
    <n v="210"/>
    <m/>
    <m/>
    <m/>
    <m/>
    <m/>
    <n v="77"/>
  </r>
  <r>
    <x v="0"/>
    <x v="0"/>
    <x v="30"/>
    <s v="S12000011"/>
    <n v="59"/>
    <m/>
    <m/>
    <n v="0"/>
    <m/>
    <n v="0"/>
    <n v="59"/>
  </r>
  <r>
    <x v="0"/>
    <x v="0"/>
    <x v="31"/>
    <s v="S12000017"/>
    <n v="717"/>
    <m/>
    <m/>
    <n v="564"/>
    <m/>
    <n v="72"/>
    <n v="81"/>
  </r>
  <r>
    <x v="0"/>
    <x v="0"/>
    <x v="32"/>
    <s v="S12000026"/>
    <n v="209"/>
    <m/>
    <m/>
    <n v="134"/>
    <m/>
    <n v="0"/>
    <n v="75"/>
  </r>
  <r>
    <x v="0"/>
    <x v="0"/>
    <x v="33"/>
    <s v="S12000040"/>
    <n v="143"/>
    <m/>
    <m/>
    <n v="58"/>
    <m/>
    <n v="0"/>
    <n v="85"/>
  </r>
  <r>
    <x v="0"/>
    <x v="1"/>
    <x v="34"/>
    <s v="S39000009"/>
    <n v="26"/>
    <m/>
    <m/>
    <m/>
    <m/>
    <m/>
    <n v="26"/>
  </r>
  <r>
    <x v="0"/>
    <x v="1"/>
    <x v="21"/>
    <s v="S39000014"/>
    <n v="14"/>
    <m/>
    <m/>
    <m/>
    <m/>
    <m/>
    <n v="14"/>
  </r>
  <r>
    <x v="0"/>
    <x v="0"/>
    <x v="35"/>
    <s v="S12000042"/>
    <n v="229"/>
    <m/>
    <m/>
    <n v="14"/>
    <m/>
    <n v="0"/>
    <n v="215"/>
  </r>
  <r>
    <x v="0"/>
    <x v="0"/>
    <x v="36"/>
    <s v="S12000010"/>
    <n v="81"/>
    <m/>
    <m/>
    <n v="52"/>
    <m/>
    <n v="0"/>
    <n v="29"/>
  </r>
  <r>
    <x v="0"/>
    <x v="1"/>
    <x v="17"/>
    <s v="S39000004"/>
    <n v="16"/>
    <m/>
    <m/>
    <m/>
    <m/>
    <m/>
    <n v="16"/>
  </r>
  <r>
    <x v="0"/>
    <x v="0"/>
    <x v="37"/>
    <s v="S12000034"/>
    <n v="320"/>
    <m/>
    <m/>
    <n v="297"/>
    <m/>
    <n v="0"/>
    <n v="23"/>
  </r>
  <r>
    <x v="0"/>
    <x v="0"/>
    <x v="38"/>
    <s v="S12000036"/>
    <n v="382"/>
    <m/>
    <m/>
    <n v="12"/>
    <m/>
    <n v="0"/>
    <n v="370"/>
  </r>
  <r>
    <x v="0"/>
    <x v="0"/>
    <x v="39"/>
    <s v="S12000019"/>
    <n v="45"/>
    <m/>
    <m/>
    <n v="10"/>
    <m/>
    <n v="0"/>
    <n v="35"/>
  </r>
  <r>
    <x v="0"/>
    <x v="0"/>
    <x v="40"/>
    <s v="S12000027"/>
    <n v="134"/>
    <m/>
    <m/>
    <n v="134"/>
    <m/>
    <n v="0"/>
    <n v="0"/>
  </r>
  <r>
    <x v="0"/>
    <x v="0"/>
    <x v="9"/>
    <s v="S12000029"/>
    <n v="276"/>
    <m/>
    <m/>
    <n v="84"/>
    <m/>
    <n v="2"/>
    <n v="190"/>
  </r>
  <r>
    <x v="0"/>
    <x v="0"/>
    <x v="41"/>
    <s v="S12000039"/>
    <n v="98"/>
    <m/>
    <m/>
    <n v="18"/>
    <m/>
    <n v="0"/>
    <n v="80"/>
  </r>
  <r>
    <x v="0"/>
    <x v="2"/>
    <x v="42"/>
    <s v="S40000003"/>
    <n v="527"/>
    <m/>
    <m/>
    <m/>
    <m/>
    <m/>
    <n v="111"/>
  </r>
  <r>
    <x v="0"/>
    <x v="0"/>
    <x v="43"/>
    <s v="S12000035"/>
    <n v="448"/>
    <m/>
    <m/>
    <n v="187"/>
    <m/>
    <n v="203"/>
    <n v="58"/>
  </r>
  <r>
    <x v="0"/>
    <x v="0"/>
    <x v="44"/>
    <s v="S12000008"/>
    <n v="136"/>
    <m/>
    <m/>
    <n v="77"/>
    <m/>
    <n v="0"/>
    <n v="59"/>
  </r>
  <r>
    <x v="0"/>
    <x v="0"/>
    <x v="25"/>
    <s v="S12000046"/>
    <n v="562"/>
    <m/>
    <m/>
    <n v="2"/>
    <m/>
    <n v="0"/>
    <n v="560"/>
  </r>
  <r>
    <x v="0"/>
    <x v="0"/>
    <x v="45"/>
    <s v="S12000038"/>
    <n v="130"/>
    <m/>
    <m/>
    <n v="14"/>
    <m/>
    <n v="0"/>
    <n v="116"/>
  </r>
  <r>
    <x v="0"/>
    <x v="1"/>
    <x v="46"/>
    <s v="S39000016"/>
    <n v="8"/>
    <m/>
    <m/>
    <m/>
    <m/>
    <m/>
    <n v="8"/>
  </r>
  <r>
    <x v="1"/>
    <x v="0"/>
    <x v="4"/>
    <s v="S12000033"/>
    <n v="181"/>
    <m/>
    <m/>
    <n v="8"/>
    <m/>
    <n v="0"/>
    <n v="173"/>
  </r>
  <r>
    <x v="1"/>
    <x v="0"/>
    <x v="0"/>
    <s v="S12000041"/>
    <n v="122"/>
    <m/>
    <m/>
    <n v="95"/>
    <m/>
    <n v="0"/>
    <n v="27"/>
  </r>
  <r>
    <x v="1"/>
    <x v="0"/>
    <x v="27"/>
    <s v="S12000030"/>
    <n v="130"/>
    <m/>
    <m/>
    <n v="75"/>
    <m/>
    <n v="0"/>
    <n v="55"/>
  </r>
  <r>
    <x v="1"/>
    <x v="1"/>
    <x v="10"/>
    <s v="S39000017"/>
    <n v="7"/>
    <m/>
    <m/>
    <m/>
    <m/>
    <m/>
    <n v="7"/>
  </r>
  <r>
    <x v="1"/>
    <x v="2"/>
    <x v="29"/>
    <s v="S40000005"/>
    <n v="193"/>
    <m/>
    <m/>
    <m/>
    <m/>
    <m/>
    <n v="67"/>
  </r>
  <r>
    <x v="1"/>
    <x v="0"/>
    <x v="38"/>
    <s v="S12000036"/>
    <n v="361"/>
    <m/>
    <m/>
    <n v="13"/>
    <m/>
    <n v="0"/>
    <n v="348"/>
  </r>
  <r>
    <x v="1"/>
    <x v="0"/>
    <x v="1"/>
    <s v="S12000005"/>
    <n v="60"/>
    <m/>
    <m/>
    <n v="23"/>
    <m/>
    <n v="0"/>
    <n v="37"/>
  </r>
  <r>
    <x v="1"/>
    <x v="0"/>
    <x v="19"/>
    <s v="S12000014"/>
    <n v="162"/>
    <m/>
    <m/>
    <n v="68"/>
    <m/>
    <n v="0"/>
    <n v="94"/>
  </r>
  <r>
    <x v="1"/>
    <x v="0"/>
    <x v="24"/>
    <s v="S12000047"/>
    <n v="400"/>
    <m/>
    <m/>
    <n v="112"/>
    <m/>
    <n v="0"/>
    <n v="288"/>
  </r>
  <r>
    <x v="1"/>
    <x v="0"/>
    <x v="25"/>
    <s v="S12000046"/>
    <n v="544"/>
    <m/>
    <m/>
    <n v="0"/>
    <m/>
    <n v="0"/>
    <n v="544"/>
  </r>
  <r>
    <x v="1"/>
    <x v="0"/>
    <x v="2"/>
    <s v="S12000020"/>
    <n v="167"/>
    <m/>
    <m/>
    <n v="121"/>
    <m/>
    <n v="25"/>
    <n v="21"/>
  </r>
  <r>
    <x v="1"/>
    <x v="0"/>
    <x v="22"/>
    <s v="S12000023"/>
    <n v="110"/>
    <m/>
    <m/>
    <n v="109"/>
    <m/>
    <n v="1"/>
    <n v="0"/>
  </r>
  <r>
    <x v="1"/>
    <x v="0"/>
    <x v="32"/>
    <s v="S12000026"/>
    <n v="224"/>
    <m/>
    <m/>
    <n v="151"/>
    <m/>
    <n v="0"/>
    <n v="73"/>
  </r>
  <r>
    <x v="1"/>
    <x v="2"/>
    <x v="11"/>
    <s v="S40000004"/>
    <n v="242"/>
    <m/>
    <m/>
    <m/>
    <m/>
    <m/>
    <n v="79"/>
  </r>
  <r>
    <x v="1"/>
    <x v="0"/>
    <x v="44"/>
    <s v="S12000008"/>
    <n v="136"/>
    <m/>
    <m/>
    <n v="80"/>
    <m/>
    <n v="0"/>
    <n v="56"/>
  </r>
  <r>
    <x v="1"/>
    <x v="0"/>
    <x v="12"/>
    <s v="S12000018"/>
    <n v="117"/>
    <m/>
    <m/>
    <n v="40"/>
    <m/>
    <n v="0"/>
    <n v="77"/>
  </r>
  <r>
    <x v="1"/>
    <x v="1"/>
    <x v="21"/>
    <s v="S39000014"/>
    <n v="16"/>
    <m/>
    <m/>
    <m/>
    <m/>
    <m/>
    <n v="16"/>
  </r>
  <r>
    <x v="1"/>
    <x v="1"/>
    <x v="9"/>
    <s v="S39000015"/>
    <n v="10"/>
    <m/>
    <m/>
    <m/>
    <m/>
    <m/>
    <n v="10"/>
  </r>
  <r>
    <x v="1"/>
    <x v="0"/>
    <x v="43"/>
    <s v="S12000035"/>
    <n v="454"/>
    <m/>
    <m/>
    <n v="175"/>
    <m/>
    <n v="225"/>
    <n v="54"/>
  </r>
  <r>
    <x v="1"/>
    <x v="0"/>
    <x v="17"/>
    <s v="S12000006"/>
    <n v="278"/>
    <m/>
    <m/>
    <n v="206"/>
    <m/>
    <n v="3"/>
    <n v="69"/>
  </r>
  <r>
    <x v="1"/>
    <x v="0"/>
    <x v="18"/>
    <s v="S12000045"/>
    <n v="72"/>
    <m/>
    <m/>
    <n v="0"/>
    <m/>
    <n v="0"/>
    <n v="72"/>
  </r>
  <r>
    <x v="1"/>
    <x v="0"/>
    <x v="31"/>
    <s v="S12000017"/>
    <n v="698"/>
    <m/>
    <m/>
    <n v="548"/>
    <m/>
    <n v="69"/>
    <n v="81"/>
  </r>
  <r>
    <x v="1"/>
    <x v="0"/>
    <x v="21"/>
    <s v="S12000044"/>
    <n v="217"/>
    <m/>
    <m/>
    <n v="30"/>
    <m/>
    <n v="0"/>
    <n v="187"/>
  </r>
  <r>
    <x v="1"/>
    <x v="0"/>
    <x v="3"/>
    <s v="S12000028"/>
    <n v="114"/>
    <m/>
    <m/>
    <n v="54"/>
    <m/>
    <n v="0"/>
    <n v="60"/>
  </r>
  <r>
    <x v="1"/>
    <x v="1"/>
    <x v="17"/>
    <s v="S39000004"/>
    <n v="18"/>
    <m/>
    <m/>
    <m/>
    <m/>
    <m/>
    <n v="18"/>
  </r>
  <r>
    <x v="1"/>
    <x v="1"/>
    <x v="6"/>
    <s v="S39000006"/>
    <n v="20"/>
    <m/>
    <m/>
    <m/>
    <m/>
    <m/>
    <n v="20"/>
  </r>
  <r>
    <x v="1"/>
    <x v="1"/>
    <x v="46"/>
    <s v="S39000016"/>
    <n v="5"/>
    <m/>
    <m/>
    <m/>
    <m/>
    <m/>
    <n v="5"/>
  </r>
  <r>
    <x v="1"/>
    <x v="2"/>
    <x v="42"/>
    <s v="S40000003"/>
    <n v="445"/>
    <m/>
    <m/>
    <m/>
    <m/>
    <m/>
    <n v="105"/>
  </r>
  <r>
    <x v="1"/>
    <x v="0"/>
    <x v="36"/>
    <s v="S12000010"/>
    <n v="88"/>
    <m/>
    <m/>
    <n v="60"/>
    <m/>
    <n v="0"/>
    <n v="28"/>
  </r>
  <r>
    <x v="1"/>
    <x v="0"/>
    <x v="39"/>
    <s v="S12000019"/>
    <n v="49"/>
    <m/>
    <m/>
    <n v="14"/>
    <m/>
    <n v="0"/>
    <n v="35"/>
  </r>
  <r>
    <x v="1"/>
    <x v="0"/>
    <x v="40"/>
    <s v="S12000027"/>
    <n v="128"/>
    <m/>
    <m/>
    <n v="127"/>
    <m/>
    <n v="1"/>
    <n v="0"/>
  </r>
  <r>
    <x v="1"/>
    <x v="1"/>
    <x v="4"/>
    <s v="S39000001"/>
    <n v="18"/>
    <m/>
    <m/>
    <m/>
    <m/>
    <m/>
    <n v="18"/>
  </r>
  <r>
    <x v="1"/>
    <x v="1"/>
    <x v="34"/>
    <s v="S39000009"/>
    <n v="24"/>
    <m/>
    <m/>
    <m/>
    <m/>
    <m/>
    <n v="24"/>
  </r>
  <r>
    <x v="1"/>
    <x v="0"/>
    <x v="37"/>
    <s v="S12000034"/>
    <n v="303"/>
    <m/>
    <m/>
    <n v="280"/>
    <m/>
    <n v="0"/>
    <n v="23"/>
  </r>
  <r>
    <x v="1"/>
    <x v="0"/>
    <x v="26"/>
    <s v="S12000013"/>
    <n v="147"/>
    <m/>
    <m/>
    <n v="147"/>
    <m/>
    <n v="0"/>
    <n v="0"/>
  </r>
  <r>
    <x v="1"/>
    <x v="0"/>
    <x v="9"/>
    <s v="S12000029"/>
    <n v="273"/>
    <m/>
    <m/>
    <n v="82"/>
    <m/>
    <n v="4"/>
    <n v="187"/>
  </r>
  <r>
    <x v="1"/>
    <x v="0"/>
    <x v="33"/>
    <s v="S12000040"/>
    <n v="144"/>
    <m/>
    <m/>
    <n v="65"/>
    <m/>
    <n v="0"/>
    <n v="79"/>
  </r>
  <r>
    <x v="1"/>
    <x v="1"/>
    <x v="23"/>
    <s v="S39000010"/>
    <n v="13"/>
    <m/>
    <m/>
    <m/>
    <m/>
    <m/>
    <n v="13"/>
  </r>
  <r>
    <x v="1"/>
    <x v="1"/>
    <x v="24"/>
    <s v="S39000019"/>
    <n v="21"/>
    <m/>
    <m/>
    <m/>
    <m/>
    <m/>
    <n v="21"/>
  </r>
  <r>
    <x v="1"/>
    <x v="0"/>
    <x v="20"/>
    <s v="S12000021"/>
    <n v="194"/>
    <m/>
    <m/>
    <n v="90"/>
    <m/>
    <n v="26"/>
    <n v="78"/>
  </r>
  <r>
    <x v="1"/>
    <x v="0"/>
    <x v="13"/>
    <s v="S12000024"/>
    <n v="238"/>
    <m/>
    <m/>
    <n v="128"/>
    <m/>
    <n v="24"/>
    <n v="86"/>
  </r>
  <r>
    <x v="1"/>
    <x v="0"/>
    <x v="41"/>
    <s v="S12000039"/>
    <n v="95"/>
    <m/>
    <m/>
    <n v="21"/>
    <m/>
    <n v="0"/>
    <n v="74"/>
  </r>
  <r>
    <x v="1"/>
    <x v="1"/>
    <x v="28"/>
    <s v="S39000002"/>
    <n v="18"/>
    <m/>
    <m/>
    <m/>
    <m/>
    <m/>
    <n v="18"/>
  </r>
  <r>
    <x v="1"/>
    <x v="1"/>
    <x v="14"/>
    <s v="S39000003"/>
    <n v="21"/>
    <m/>
    <m/>
    <m/>
    <m/>
    <m/>
    <n v="21"/>
  </r>
  <r>
    <x v="1"/>
    <x v="1"/>
    <x v="7"/>
    <s v="S39000007"/>
    <n v="17"/>
    <m/>
    <m/>
    <m/>
    <m/>
    <m/>
    <n v="17"/>
  </r>
  <r>
    <x v="1"/>
    <x v="1"/>
    <x v="15"/>
    <s v="S39000013"/>
    <n v="13"/>
    <m/>
    <m/>
    <m/>
    <m/>
    <m/>
    <n v="13"/>
  </r>
  <r>
    <x v="1"/>
    <x v="3"/>
    <x v="16"/>
    <s v="S92000003"/>
    <n v="518"/>
    <n v="230"/>
    <m/>
    <m/>
    <n v="867"/>
    <m/>
    <n v="50"/>
  </r>
  <r>
    <x v="1"/>
    <x v="0"/>
    <x v="35"/>
    <s v="S12000042"/>
    <n v="221"/>
    <m/>
    <m/>
    <n v="14"/>
    <m/>
    <n v="0"/>
    <n v="207"/>
  </r>
  <r>
    <x v="1"/>
    <x v="0"/>
    <x v="30"/>
    <s v="S12000011"/>
    <n v="57"/>
    <m/>
    <m/>
    <n v="0"/>
    <m/>
    <n v="0"/>
    <n v="57"/>
  </r>
  <r>
    <x v="1"/>
    <x v="0"/>
    <x v="45"/>
    <s v="S12000038"/>
    <n v="129"/>
    <m/>
    <m/>
    <n v="14"/>
    <m/>
    <n v="0"/>
    <n v="115"/>
  </r>
  <r>
    <x v="1"/>
    <x v="1"/>
    <x v="5"/>
    <s v="S39000018"/>
    <n v="12"/>
    <m/>
    <m/>
    <m/>
    <m/>
    <m/>
    <n v="12"/>
  </r>
  <r>
    <x v="1"/>
    <x v="1"/>
    <x v="8"/>
    <s v="S39000008"/>
    <n v="12"/>
    <m/>
    <m/>
    <m/>
    <m/>
    <m/>
    <n v="12"/>
  </r>
  <r>
    <x v="1"/>
    <x v="1"/>
    <x v="25"/>
    <s v="S39000012"/>
    <n v="25"/>
    <m/>
    <m/>
    <m/>
    <m/>
    <m/>
    <n v="25"/>
  </r>
  <r>
    <x v="2"/>
    <x v="0"/>
    <x v="4"/>
    <s v="S12000033"/>
    <n v="167"/>
    <m/>
    <m/>
    <n v="23"/>
    <m/>
    <n v="0"/>
    <n v="144"/>
  </r>
  <r>
    <x v="2"/>
    <x v="0"/>
    <x v="19"/>
    <s v="S12000014"/>
    <n v="148"/>
    <m/>
    <m/>
    <n v="53"/>
    <m/>
    <n v="0"/>
    <n v="95"/>
  </r>
  <r>
    <x v="2"/>
    <x v="0"/>
    <x v="2"/>
    <s v="S12000020"/>
    <n v="161"/>
    <m/>
    <m/>
    <n v="110"/>
    <m/>
    <n v="20"/>
    <n v="31"/>
  </r>
  <r>
    <x v="2"/>
    <x v="0"/>
    <x v="21"/>
    <s v="S12000044"/>
    <n v="214"/>
    <m/>
    <m/>
    <n v="34"/>
    <m/>
    <n v="0"/>
    <n v="180"/>
  </r>
  <r>
    <x v="2"/>
    <x v="0"/>
    <x v="45"/>
    <s v="S12000038"/>
    <n v="105"/>
    <m/>
    <m/>
    <n v="13"/>
    <m/>
    <n v="0"/>
    <n v="92"/>
  </r>
  <r>
    <x v="2"/>
    <x v="0"/>
    <x v="41"/>
    <s v="S12000039"/>
    <n v="89"/>
    <m/>
    <m/>
    <n v="19"/>
    <m/>
    <n v="0"/>
    <n v="70"/>
  </r>
  <r>
    <x v="2"/>
    <x v="0"/>
    <x v="33"/>
    <s v="S12000040"/>
    <n v="116"/>
    <m/>
    <m/>
    <n v="55"/>
    <m/>
    <n v="0"/>
    <n v="61"/>
  </r>
  <r>
    <x v="2"/>
    <x v="1"/>
    <x v="9"/>
    <s v="S39000015"/>
    <n v="16"/>
    <m/>
    <m/>
    <m/>
    <m/>
    <m/>
    <n v="16"/>
  </r>
  <r>
    <x v="2"/>
    <x v="1"/>
    <x v="4"/>
    <s v="S39000001"/>
    <n v="16"/>
    <m/>
    <m/>
    <m/>
    <m/>
    <m/>
    <n v="16"/>
  </r>
  <r>
    <x v="2"/>
    <x v="1"/>
    <x v="6"/>
    <s v="S39000006"/>
    <n v="29"/>
    <m/>
    <m/>
    <m/>
    <m/>
    <m/>
    <n v="29"/>
  </r>
  <r>
    <x v="2"/>
    <x v="1"/>
    <x v="8"/>
    <s v="S39000008"/>
    <n v="17"/>
    <m/>
    <m/>
    <m/>
    <m/>
    <m/>
    <n v="17"/>
  </r>
  <r>
    <x v="2"/>
    <x v="0"/>
    <x v="44"/>
    <s v="S12000008"/>
    <n v="136"/>
    <m/>
    <m/>
    <n v="83"/>
    <m/>
    <n v="0"/>
    <n v="53"/>
  </r>
  <r>
    <x v="2"/>
    <x v="0"/>
    <x v="18"/>
    <s v="S12000045"/>
    <n v="71"/>
    <m/>
    <m/>
    <n v="1"/>
    <m/>
    <n v="0"/>
    <n v="70"/>
  </r>
  <r>
    <x v="2"/>
    <x v="1"/>
    <x v="14"/>
    <s v="S39000003"/>
    <n v="25"/>
    <m/>
    <m/>
    <m/>
    <m/>
    <m/>
    <n v="25"/>
  </r>
  <r>
    <x v="2"/>
    <x v="0"/>
    <x v="24"/>
    <s v="S12000047"/>
    <n v="390"/>
    <m/>
    <m/>
    <n v="112"/>
    <m/>
    <n v="0"/>
    <n v="278"/>
  </r>
  <r>
    <x v="2"/>
    <x v="0"/>
    <x v="3"/>
    <s v="S12000028"/>
    <n v="108"/>
    <m/>
    <m/>
    <n v="53"/>
    <m/>
    <n v="0"/>
    <n v="55"/>
  </r>
  <r>
    <x v="2"/>
    <x v="1"/>
    <x v="23"/>
    <s v="S39000010"/>
    <n v="16"/>
    <m/>
    <m/>
    <m/>
    <m/>
    <m/>
    <n v="16"/>
  </r>
  <r>
    <x v="2"/>
    <x v="0"/>
    <x v="0"/>
    <s v="S12000041"/>
    <n v="134"/>
    <m/>
    <m/>
    <n v="98"/>
    <m/>
    <n v="0"/>
    <n v="36"/>
  </r>
  <r>
    <x v="2"/>
    <x v="0"/>
    <x v="43"/>
    <s v="S12000035"/>
    <n v="438"/>
    <m/>
    <m/>
    <n v="182"/>
    <m/>
    <n v="201"/>
    <n v="55"/>
  </r>
  <r>
    <x v="2"/>
    <x v="0"/>
    <x v="38"/>
    <s v="S12000036"/>
    <n v="327"/>
    <m/>
    <m/>
    <n v="12"/>
    <m/>
    <n v="0"/>
    <n v="315"/>
  </r>
  <r>
    <x v="2"/>
    <x v="0"/>
    <x v="17"/>
    <s v="S12000006"/>
    <n v="260"/>
    <m/>
    <m/>
    <n v="190"/>
    <m/>
    <n v="5"/>
    <n v="65"/>
  </r>
  <r>
    <x v="2"/>
    <x v="0"/>
    <x v="30"/>
    <s v="S12000011"/>
    <n v="55"/>
    <m/>
    <m/>
    <n v="2"/>
    <m/>
    <n v="0"/>
    <n v="53"/>
  </r>
  <r>
    <x v="2"/>
    <x v="0"/>
    <x v="39"/>
    <s v="S12000019"/>
    <n v="34"/>
    <m/>
    <m/>
    <n v="11"/>
    <m/>
    <n v="0"/>
    <n v="23"/>
  </r>
  <r>
    <x v="2"/>
    <x v="0"/>
    <x v="26"/>
    <s v="S12000013"/>
    <n v="140"/>
    <m/>
    <m/>
    <n v="140"/>
    <m/>
    <n v="0"/>
    <n v="0"/>
  </r>
  <r>
    <x v="2"/>
    <x v="0"/>
    <x v="22"/>
    <s v="S12000023"/>
    <n v="98"/>
    <m/>
    <m/>
    <n v="98"/>
    <m/>
    <n v="0"/>
    <n v="0"/>
  </r>
  <r>
    <x v="2"/>
    <x v="0"/>
    <x v="32"/>
    <s v="S12000026"/>
    <n v="218"/>
    <m/>
    <m/>
    <n v="147"/>
    <m/>
    <n v="0"/>
    <n v="71"/>
  </r>
  <r>
    <x v="2"/>
    <x v="1"/>
    <x v="21"/>
    <s v="S39000014"/>
    <n v="20"/>
    <m/>
    <m/>
    <m/>
    <m/>
    <m/>
    <n v="20"/>
  </r>
  <r>
    <x v="2"/>
    <x v="1"/>
    <x v="46"/>
    <s v="S39000016"/>
    <n v="13"/>
    <m/>
    <m/>
    <m/>
    <m/>
    <m/>
    <n v="13"/>
  </r>
  <r>
    <x v="2"/>
    <x v="2"/>
    <x v="29"/>
    <s v="S40000005"/>
    <n v="165"/>
    <m/>
    <m/>
    <m/>
    <m/>
    <m/>
    <n v="44"/>
  </r>
  <r>
    <x v="2"/>
    <x v="0"/>
    <x v="31"/>
    <s v="S12000017"/>
    <n v="661"/>
    <m/>
    <m/>
    <n v="525"/>
    <m/>
    <n v="68"/>
    <n v="68"/>
  </r>
  <r>
    <x v="2"/>
    <x v="0"/>
    <x v="12"/>
    <s v="S12000018"/>
    <n v="111"/>
    <m/>
    <m/>
    <n v="41"/>
    <m/>
    <n v="0"/>
    <n v="70"/>
  </r>
  <r>
    <x v="2"/>
    <x v="0"/>
    <x v="20"/>
    <s v="S12000021"/>
    <n v="208"/>
    <m/>
    <m/>
    <n v="108"/>
    <m/>
    <n v="22"/>
    <n v="78"/>
  </r>
  <r>
    <x v="2"/>
    <x v="0"/>
    <x v="9"/>
    <s v="S12000029"/>
    <n v="252"/>
    <m/>
    <m/>
    <n v="71"/>
    <m/>
    <n v="3"/>
    <n v="178"/>
  </r>
  <r>
    <x v="2"/>
    <x v="0"/>
    <x v="27"/>
    <s v="S12000030"/>
    <n v="124"/>
    <m/>
    <m/>
    <n v="73"/>
    <m/>
    <n v="0"/>
    <n v="51"/>
  </r>
  <r>
    <x v="2"/>
    <x v="1"/>
    <x v="28"/>
    <s v="S39000002"/>
    <n v="27"/>
    <m/>
    <m/>
    <m/>
    <m/>
    <m/>
    <n v="27"/>
  </r>
  <r>
    <x v="2"/>
    <x v="1"/>
    <x v="24"/>
    <s v="S39000019"/>
    <n v="26"/>
    <m/>
    <m/>
    <m/>
    <m/>
    <m/>
    <n v="26"/>
  </r>
  <r>
    <x v="2"/>
    <x v="1"/>
    <x v="25"/>
    <s v="S39000012"/>
    <n v="32"/>
    <m/>
    <m/>
    <m/>
    <m/>
    <m/>
    <n v="32"/>
  </r>
  <r>
    <x v="2"/>
    <x v="2"/>
    <x v="11"/>
    <s v="S40000004"/>
    <n v="149"/>
    <m/>
    <m/>
    <m/>
    <m/>
    <m/>
    <n v="25"/>
  </r>
  <r>
    <x v="2"/>
    <x v="0"/>
    <x v="35"/>
    <s v="S12000042"/>
    <n v="187"/>
    <m/>
    <m/>
    <n v="11"/>
    <m/>
    <n v="0"/>
    <n v="176"/>
  </r>
  <r>
    <x v="2"/>
    <x v="0"/>
    <x v="13"/>
    <s v="S12000024"/>
    <n v="222"/>
    <m/>
    <m/>
    <n v="126"/>
    <m/>
    <n v="23"/>
    <n v="73"/>
  </r>
  <r>
    <x v="2"/>
    <x v="0"/>
    <x v="40"/>
    <s v="S12000027"/>
    <n v="126"/>
    <m/>
    <m/>
    <n v="126"/>
    <m/>
    <n v="0"/>
    <n v="0"/>
  </r>
  <r>
    <x v="2"/>
    <x v="1"/>
    <x v="17"/>
    <s v="S39000004"/>
    <n v="19"/>
    <m/>
    <m/>
    <m/>
    <m/>
    <m/>
    <n v="19"/>
  </r>
  <r>
    <x v="2"/>
    <x v="1"/>
    <x v="5"/>
    <s v="S39000018"/>
    <n v="24"/>
    <m/>
    <m/>
    <m/>
    <m/>
    <m/>
    <n v="24"/>
  </r>
  <r>
    <x v="2"/>
    <x v="1"/>
    <x v="7"/>
    <s v="S39000007"/>
    <n v="38"/>
    <m/>
    <m/>
    <m/>
    <m/>
    <m/>
    <n v="38"/>
  </r>
  <r>
    <x v="2"/>
    <x v="1"/>
    <x v="34"/>
    <s v="S39000009"/>
    <n v="27"/>
    <m/>
    <m/>
    <m/>
    <m/>
    <m/>
    <n v="27"/>
  </r>
  <r>
    <x v="2"/>
    <x v="0"/>
    <x v="37"/>
    <s v="S12000034"/>
    <n v="303"/>
    <m/>
    <m/>
    <n v="271"/>
    <m/>
    <n v="0"/>
    <n v="32"/>
  </r>
  <r>
    <x v="2"/>
    <x v="0"/>
    <x v="1"/>
    <s v="S12000005"/>
    <n v="47"/>
    <m/>
    <m/>
    <n v="21"/>
    <m/>
    <n v="0"/>
    <n v="26"/>
  </r>
  <r>
    <x v="2"/>
    <x v="0"/>
    <x v="36"/>
    <s v="S12000010"/>
    <n v="82"/>
    <m/>
    <m/>
    <n v="55"/>
    <m/>
    <n v="0"/>
    <n v="27"/>
  </r>
  <r>
    <x v="2"/>
    <x v="0"/>
    <x v="25"/>
    <s v="S12000046"/>
    <n v="505"/>
    <m/>
    <m/>
    <n v="6"/>
    <m/>
    <n v="0"/>
    <n v="499"/>
  </r>
  <r>
    <x v="2"/>
    <x v="1"/>
    <x v="15"/>
    <s v="S39000013"/>
    <n v="29"/>
    <m/>
    <m/>
    <m/>
    <m/>
    <m/>
    <n v="29"/>
  </r>
  <r>
    <x v="2"/>
    <x v="1"/>
    <x v="10"/>
    <s v="S39000017"/>
    <n v="11"/>
    <m/>
    <m/>
    <m/>
    <m/>
    <m/>
    <n v="11"/>
  </r>
  <r>
    <x v="2"/>
    <x v="2"/>
    <x v="42"/>
    <s v="S40000003"/>
    <n v="302"/>
    <m/>
    <m/>
    <m/>
    <m/>
    <m/>
    <n v="16"/>
  </r>
  <r>
    <x v="2"/>
    <x v="3"/>
    <x v="16"/>
    <s v="S92000003"/>
    <n v="695"/>
    <n v="203"/>
    <m/>
    <m/>
    <n v="828"/>
    <m/>
    <n v="195"/>
  </r>
  <r>
    <x v="3"/>
    <x v="0"/>
    <x v="1"/>
    <s v="S12000005"/>
    <n v="46"/>
    <m/>
    <m/>
    <n v="24"/>
    <m/>
    <n v="0"/>
    <n v="22"/>
  </r>
  <r>
    <x v="3"/>
    <x v="0"/>
    <x v="12"/>
    <s v="S12000018"/>
    <n v="107"/>
    <m/>
    <m/>
    <n v="39"/>
    <m/>
    <n v="0"/>
    <n v="68"/>
  </r>
  <r>
    <x v="3"/>
    <x v="0"/>
    <x v="2"/>
    <s v="S12000020"/>
    <n v="156"/>
    <m/>
    <m/>
    <n v="125"/>
    <m/>
    <n v="4"/>
    <n v="27"/>
  </r>
  <r>
    <x v="3"/>
    <x v="0"/>
    <x v="45"/>
    <s v="S12000038"/>
    <n v="110"/>
    <m/>
    <m/>
    <n v="13"/>
    <m/>
    <n v="0"/>
    <n v="97"/>
  </r>
  <r>
    <x v="3"/>
    <x v="0"/>
    <x v="32"/>
    <s v="S12000026"/>
    <n v="199"/>
    <m/>
    <m/>
    <n v="143"/>
    <m/>
    <n v="0"/>
    <n v="56"/>
  </r>
  <r>
    <x v="3"/>
    <x v="0"/>
    <x v="40"/>
    <s v="S12000027"/>
    <n v="122"/>
    <m/>
    <m/>
    <n v="122"/>
    <m/>
    <n v="0"/>
    <n v="0"/>
  </r>
  <r>
    <x v="3"/>
    <x v="0"/>
    <x v="27"/>
    <s v="S12000030"/>
    <n v="126"/>
    <m/>
    <m/>
    <n v="73"/>
    <m/>
    <n v="0"/>
    <n v="53"/>
  </r>
  <r>
    <x v="3"/>
    <x v="0"/>
    <x v="41"/>
    <s v="S12000039"/>
    <n v="86"/>
    <m/>
    <m/>
    <n v="17"/>
    <m/>
    <n v="0"/>
    <n v="69"/>
  </r>
  <r>
    <x v="3"/>
    <x v="0"/>
    <x v="38"/>
    <s v="S12000036"/>
    <n v="325"/>
    <m/>
    <m/>
    <n v="12"/>
    <m/>
    <n v="0"/>
    <n v="313"/>
  </r>
  <r>
    <x v="3"/>
    <x v="0"/>
    <x v="17"/>
    <s v="S12000006"/>
    <n v="270"/>
    <m/>
    <m/>
    <n v="202"/>
    <m/>
    <n v="5"/>
    <n v="63"/>
  </r>
  <r>
    <x v="3"/>
    <x v="0"/>
    <x v="30"/>
    <s v="S12000011"/>
    <n v="50"/>
    <m/>
    <m/>
    <n v="0"/>
    <m/>
    <n v="0"/>
    <n v="50"/>
  </r>
  <r>
    <x v="3"/>
    <x v="0"/>
    <x v="19"/>
    <s v="S12000014"/>
    <n v="142"/>
    <m/>
    <m/>
    <n v="56"/>
    <m/>
    <n v="0"/>
    <n v="86"/>
  </r>
  <r>
    <x v="3"/>
    <x v="0"/>
    <x v="39"/>
    <s v="S12000019"/>
    <n v="33"/>
    <m/>
    <m/>
    <n v="11"/>
    <m/>
    <n v="0"/>
    <n v="22"/>
  </r>
  <r>
    <x v="3"/>
    <x v="1"/>
    <x v="17"/>
    <s v="S39000004"/>
    <n v="22"/>
    <m/>
    <m/>
    <m/>
    <m/>
    <m/>
    <n v="22"/>
  </r>
  <r>
    <x v="3"/>
    <x v="1"/>
    <x v="6"/>
    <s v="S39000006"/>
    <n v="30"/>
    <m/>
    <m/>
    <m/>
    <m/>
    <m/>
    <n v="30"/>
  </r>
  <r>
    <x v="3"/>
    <x v="1"/>
    <x v="23"/>
    <s v="S39000010"/>
    <n v="21"/>
    <m/>
    <m/>
    <m/>
    <m/>
    <m/>
    <n v="21"/>
  </r>
  <r>
    <x v="3"/>
    <x v="0"/>
    <x v="35"/>
    <s v="S12000042"/>
    <n v="205"/>
    <m/>
    <m/>
    <n v="13"/>
    <m/>
    <n v="0"/>
    <n v="192"/>
  </r>
  <r>
    <x v="3"/>
    <x v="0"/>
    <x v="24"/>
    <s v="S12000047"/>
    <n v="379"/>
    <m/>
    <m/>
    <n v="109"/>
    <m/>
    <n v="0"/>
    <n v="270"/>
  </r>
  <r>
    <x v="3"/>
    <x v="0"/>
    <x v="25"/>
    <s v="S12000046"/>
    <n v="475"/>
    <m/>
    <m/>
    <n v="0"/>
    <m/>
    <n v="0"/>
    <n v="475"/>
  </r>
  <r>
    <x v="3"/>
    <x v="0"/>
    <x v="9"/>
    <s v="S12000029"/>
    <n v="248"/>
    <m/>
    <m/>
    <n v="74"/>
    <m/>
    <n v="3"/>
    <n v="171"/>
  </r>
  <r>
    <x v="3"/>
    <x v="1"/>
    <x v="7"/>
    <s v="S39000007"/>
    <n v="31"/>
    <m/>
    <m/>
    <m/>
    <m/>
    <m/>
    <n v="31"/>
  </r>
  <r>
    <x v="3"/>
    <x v="1"/>
    <x v="15"/>
    <s v="S39000013"/>
    <n v="37"/>
    <m/>
    <m/>
    <m/>
    <m/>
    <m/>
    <n v="37"/>
  </r>
  <r>
    <x v="3"/>
    <x v="1"/>
    <x v="9"/>
    <s v="S39000015"/>
    <n v="15"/>
    <m/>
    <m/>
    <m/>
    <m/>
    <m/>
    <n v="15"/>
  </r>
  <r>
    <x v="3"/>
    <x v="0"/>
    <x v="37"/>
    <s v="S12000034"/>
    <n v="307"/>
    <m/>
    <m/>
    <n v="282"/>
    <m/>
    <n v="0"/>
    <n v="25"/>
  </r>
  <r>
    <x v="3"/>
    <x v="0"/>
    <x v="0"/>
    <s v="S12000041"/>
    <n v="119"/>
    <m/>
    <m/>
    <n v="94"/>
    <m/>
    <n v="0"/>
    <n v="25"/>
  </r>
  <r>
    <x v="3"/>
    <x v="0"/>
    <x v="43"/>
    <s v="S12000035"/>
    <n v="428"/>
    <m/>
    <m/>
    <n v="185"/>
    <m/>
    <n v="200"/>
    <n v="43"/>
  </r>
  <r>
    <x v="3"/>
    <x v="0"/>
    <x v="18"/>
    <s v="S12000045"/>
    <n v="68"/>
    <m/>
    <m/>
    <n v="0"/>
    <m/>
    <n v="0"/>
    <n v="68"/>
  </r>
  <r>
    <x v="3"/>
    <x v="0"/>
    <x v="36"/>
    <s v="S12000010"/>
    <n v="82"/>
    <m/>
    <m/>
    <n v="55"/>
    <m/>
    <n v="0"/>
    <n v="27"/>
  </r>
  <r>
    <x v="3"/>
    <x v="0"/>
    <x v="31"/>
    <s v="S12000017"/>
    <n v="659"/>
    <m/>
    <m/>
    <n v="525"/>
    <m/>
    <n v="67"/>
    <n v="67"/>
  </r>
  <r>
    <x v="3"/>
    <x v="2"/>
    <x v="11"/>
    <s v="S40000004"/>
    <n v="202"/>
    <m/>
    <m/>
    <m/>
    <m/>
    <m/>
    <n v="38"/>
  </r>
  <r>
    <x v="3"/>
    <x v="2"/>
    <x v="29"/>
    <s v="S40000005"/>
    <n v="180"/>
    <m/>
    <m/>
    <m/>
    <m/>
    <m/>
    <n v="45"/>
  </r>
  <r>
    <x v="3"/>
    <x v="1"/>
    <x v="14"/>
    <s v="S39000003"/>
    <n v="26"/>
    <m/>
    <m/>
    <m/>
    <m/>
    <m/>
    <n v="26"/>
  </r>
  <r>
    <x v="3"/>
    <x v="1"/>
    <x v="5"/>
    <s v="S39000018"/>
    <n v="28"/>
    <m/>
    <m/>
    <m/>
    <m/>
    <m/>
    <n v="28"/>
  </r>
  <r>
    <x v="3"/>
    <x v="0"/>
    <x v="44"/>
    <s v="S12000008"/>
    <n v="127"/>
    <m/>
    <m/>
    <n v="81"/>
    <m/>
    <n v="0"/>
    <n v="46"/>
  </r>
  <r>
    <x v="3"/>
    <x v="0"/>
    <x v="26"/>
    <s v="S12000013"/>
    <n v="137"/>
    <m/>
    <m/>
    <n v="137"/>
    <m/>
    <n v="0"/>
    <n v="0"/>
  </r>
  <r>
    <x v="3"/>
    <x v="0"/>
    <x v="20"/>
    <s v="S12000021"/>
    <n v="202"/>
    <m/>
    <m/>
    <n v="106"/>
    <m/>
    <n v="18"/>
    <n v="78"/>
  </r>
  <r>
    <x v="3"/>
    <x v="1"/>
    <x v="4"/>
    <s v="S39000001"/>
    <n v="14"/>
    <m/>
    <m/>
    <m/>
    <m/>
    <m/>
    <n v="14"/>
  </r>
  <r>
    <x v="3"/>
    <x v="1"/>
    <x v="28"/>
    <s v="S39000002"/>
    <n v="25"/>
    <m/>
    <m/>
    <m/>
    <m/>
    <m/>
    <n v="25"/>
  </r>
  <r>
    <x v="3"/>
    <x v="1"/>
    <x v="25"/>
    <s v="S39000012"/>
    <n v="25"/>
    <m/>
    <m/>
    <m/>
    <m/>
    <m/>
    <n v="25"/>
  </r>
  <r>
    <x v="3"/>
    <x v="2"/>
    <x v="42"/>
    <s v="S40000003"/>
    <n v="340"/>
    <m/>
    <m/>
    <m/>
    <m/>
    <m/>
    <n v="68"/>
  </r>
  <r>
    <x v="3"/>
    <x v="0"/>
    <x v="21"/>
    <s v="S12000044"/>
    <n v="208"/>
    <m/>
    <m/>
    <n v="35"/>
    <m/>
    <n v="0"/>
    <n v="173"/>
  </r>
  <r>
    <x v="3"/>
    <x v="0"/>
    <x v="3"/>
    <s v="S12000028"/>
    <n v="102"/>
    <m/>
    <m/>
    <n v="48"/>
    <m/>
    <n v="0"/>
    <n v="54"/>
  </r>
  <r>
    <x v="3"/>
    <x v="1"/>
    <x v="34"/>
    <s v="S39000009"/>
    <n v="27"/>
    <m/>
    <m/>
    <m/>
    <m/>
    <m/>
    <n v="27"/>
  </r>
  <r>
    <x v="3"/>
    <x v="1"/>
    <x v="21"/>
    <s v="S39000014"/>
    <n v="15"/>
    <m/>
    <m/>
    <m/>
    <m/>
    <m/>
    <n v="15"/>
  </r>
  <r>
    <x v="3"/>
    <x v="1"/>
    <x v="10"/>
    <s v="S39000017"/>
    <n v="16"/>
    <m/>
    <m/>
    <m/>
    <m/>
    <m/>
    <n v="16"/>
  </r>
  <r>
    <x v="3"/>
    <x v="0"/>
    <x v="4"/>
    <s v="S12000033"/>
    <n v="163"/>
    <m/>
    <m/>
    <n v="8"/>
    <m/>
    <n v="0"/>
    <n v="155"/>
  </r>
  <r>
    <x v="3"/>
    <x v="0"/>
    <x v="22"/>
    <s v="S12000023"/>
    <n v="95"/>
    <m/>
    <m/>
    <n v="95"/>
    <m/>
    <n v="0"/>
    <n v="0"/>
  </r>
  <r>
    <x v="3"/>
    <x v="0"/>
    <x v="13"/>
    <s v="S12000024"/>
    <n v="213"/>
    <m/>
    <m/>
    <n v="122"/>
    <m/>
    <n v="23"/>
    <n v="68"/>
  </r>
  <r>
    <x v="3"/>
    <x v="0"/>
    <x v="33"/>
    <s v="S12000040"/>
    <n v="124"/>
    <m/>
    <m/>
    <n v="64"/>
    <m/>
    <n v="0"/>
    <n v="60"/>
  </r>
  <r>
    <x v="3"/>
    <x v="1"/>
    <x v="8"/>
    <s v="S39000008"/>
    <n v="18"/>
    <m/>
    <m/>
    <m/>
    <m/>
    <m/>
    <n v="18"/>
  </r>
  <r>
    <x v="3"/>
    <x v="1"/>
    <x v="24"/>
    <s v="S39000019"/>
    <n v="24"/>
    <m/>
    <m/>
    <m/>
    <m/>
    <m/>
    <n v="24"/>
  </r>
  <r>
    <x v="3"/>
    <x v="1"/>
    <x v="46"/>
    <s v="S39000016"/>
    <n v="15"/>
    <m/>
    <m/>
    <m/>
    <m/>
    <m/>
    <n v="15"/>
  </r>
  <r>
    <x v="3"/>
    <x v="3"/>
    <x v="16"/>
    <s v="S92000003"/>
    <n v="614"/>
    <n v="165"/>
    <m/>
    <m/>
    <n v="838"/>
    <m/>
    <n v="182"/>
  </r>
  <r>
    <x v="4"/>
    <x v="0"/>
    <x v="19"/>
    <s v="S12000014"/>
    <n v="141"/>
    <n v="0"/>
    <m/>
    <n v="54"/>
    <n v="0"/>
    <n v="0"/>
    <n v="87"/>
  </r>
  <r>
    <x v="4"/>
    <x v="0"/>
    <x v="26"/>
    <s v="S12000013"/>
    <n v="131"/>
    <n v="0"/>
    <m/>
    <n v="131"/>
    <n v="0"/>
    <n v="0"/>
    <n v="0"/>
  </r>
  <r>
    <x v="4"/>
    <x v="0"/>
    <x v="21"/>
    <s v="S12000044"/>
    <n v="200"/>
    <n v="0"/>
    <m/>
    <n v="37"/>
    <n v="0"/>
    <n v="0"/>
    <n v="163"/>
  </r>
  <r>
    <x v="4"/>
    <x v="0"/>
    <x v="41"/>
    <s v="S12000039"/>
    <n v="86"/>
    <n v="0"/>
    <m/>
    <n v="18"/>
    <n v="0"/>
    <n v="0"/>
    <n v="68"/>
  </r>
  <r>
    <x v="4"/>
    <x v="1"/>
    <x v="8"/>
    <s v="S39000008"/>
    <n v="16"/>
    <n v="0"/>
    <m/>
    <n v="0"/>
    <n v="0"/>
    <n v="0"/>
    <n v="16"/>
  </r>
  <r>
    <x v="4"/>
    <x v="1"/>
    <x v="46"/>
    <s v="S39000016"/>
    <n v="18"/>
    <n v="0"/>
    <m/>
    <n v="0"/>
    <n v="0"/>
    <n v="0"/>
    <n v="18"/>
  </r>
  <r>
    <x v="4"/>
    <x v="0"/>
    <x v="38"/>
    <s v="S12000036"/>
    <n v="304"/>
    <n v="0"/>
    <m/>
    <n v="11"/>
    <n v="0"/>
    <n v="0"/>
    <n v="293"/>
  </r>
  <r>
    <x v="4"/>
    <x v="0"/>
    <x v="22"/>
    <s v="S12000023"/>
    <n v="100"/>
    <n v="0"/>
    <m/>
    <n v="100"/>
    <n v="0"/>
    <n v="0"/>
    <n v="0"/>
  </r>
  <r>
    <x v="4"/>
    <x v="1"/>
    <x v="5"/>
    <s v="S39000018"/>
    <n v="28"/>
    <n v="0"/>
    <m/>
    <n v="0"/>
    <n v="0"/>
    <n v="0"/>
    <n v="28"/>
  </r>
  <r>
    <x v="4"/>
    <x v="1"/>
    <x v="7"/>
    <s v="S39000007"/>
    <n v="27"/>
    <n v="0"/>
    <m/>
    <n v="0"/>
    <n v="0"/>
    <n v="0"/>
    <n v="27"/>
  </r>
  <r>
    <x v="4"/>
    <x v="2"/>
    <x v="29"/>
    <s v="S40000005"/>
    <n v="46"/>
    <n v="0"/>
    <m/>
    <n v="0"/>
    <n v="0"/>
    <n v="0"/>
    <n v="46"/>
  </r>
  <r>
    <x v="4"/>
    <x v="0"/>
    <x v="35"/>
    <s v="S12000042"/>
    <n v="191"/>
    <n v="0"/>
    <m/>
    <n v="13"/>
    <n v="0"/>
    <n v="0"/>
    <n v="178"/>
  </r>
  <r>
    <x v="4"/>
    <x v="0"/>
    <x v="44"/>
    <s v="S12000008"/>
    <n v="131"/>
    <n v="0"/>
    <m/>
    <n v="82"/>
    <n v="0"/>
    <n v="0"/>
    <n v="49"/>
  </r>
  <r>
    <x v="4"/>
    <x v="0"/>
    <x v="30"/>
    <s v="S12000011"/>
    <n v="51"/>
    <n v="0"/>
    <m/>
    <n v="0"/>
    <n v="0"/>
    <n v="0"/>
    <n v="51"/>
  </r>
  <r>
    <x v="4"/>
    <x v="0"/>
    <x v="12"/>
    <s v="S12000018"/>
    <n v="114"/>
    <n v="0"/>
    <m/>
    <n v="42"/>
    <n v="0"/>
    <n v="0"/>
    <n v="72"/>
  </r>
  <r>
    <x v="4"/>
    <x v="0"/>
    <x v="13"/>
    <s v="S12000024"/>
    <n v="223"/>
    <n v="0"/>
    <m/>
    <n v="126"/>
    <n v="0"/>
    <n v="28"/>
    <n v="69"/>
  </r>
  <r>
    <x v="4"/>
    <x v="0"/>
    <x v="33"/>
    <s v="S12000040"/>
    <n v="123"/>
    <n v="0"/>
    <m/>
    <n v="65"/>
    <n v="0"/>
    <n v="0"/>
    <n v="58"/>
  </r>
  <r>
    <x v="4"/>
    <x v="1"/>
    <x v="4"/>
    <s v="S39000001"/>
    <n v="15"/>
    <n v="0"/>
    <m/>
    <n v="0"/>
    <n v="0"/>
    <n v="0"/>
    <n v="15"/>
  </r>
  <r>
    <x v="4"/>
    <x v="1"/>
    <x v="6"/>
    <s v="S39000006"/>
    <n v="27"/>
    <n v="0"/>
    <m/>
    <n v="0"/>
    <n v="0"/>
    <n v="0"/>
    <n v="27"/>
  </r>
  <r>
    <x v="4"/>
    <x v="1"/>
    <x v="15"/>
    <s v="S39000013"/>
    <n v="32"/>
    <n v="0"/>
    <m/>
    <n v="0"/>
    <n v="0"/>
    <n v="0"/>
    <n v="32"/>
  </r>
  <r>
    <x v="4"/>
    <x v="2"/>
    <x v="42"/>
    <s v="S40000003"/>
    <n v="73"/>
    <n v="0"/>
    <m/>
    <n v="0"/>
    <n v="0"/>
    <n v="0"/>
    <n v="73"/>
  </r>
  <r>
    <x v="4"/>
    <x v="1"/>
    <x v="24"/>
    <s v="S39000019"/>
    <n v="19"/>
    <n v="0"/>
    <m/>
    <n v="0"/>
    <n v="0"/>
    <n v="0"/>
    <n v="19"/>
  </r>
  <r>
    <x v="4"/>
    <x v="0"/>
    <x v="0"/>
    <s v="S12000041"/>
    <n v="121"/>
    <n v="0"/>
    <m/>
    <n v="93"/>
    <n v="0"/>
    <n v="0"/>
    <n v="28"/>
  </r>
  <r>
    <x v="4"/>
    <x v="0"/>
    <x v="47"/>
    <s v="S12000006"/>
    <n v="247"/>
    <n v="0"/>
    <m/>
    <n v="189"/>
    <n v="0"/>
    <n v="4"/>
    <n v="54"/>
  </r>
  <r>
    <x v="4"/>
    <x v="0"/>
    <x v="24"/>
    <s v="S12000047"/>
    <n v="369"/>
    <n v="0"/>
    <m/>
    <n v="115"/>
    <n v="0"/>
    <n v="0"/>
    <n v="254"/>
  </r>
  <r>
    <x v="4"/>
    <x v="0"/>
    <x v="31"/>
    <s v="S12000017"/>
    <n v="670"/>
    <n v="0"/>
    <m/>
    <n v="538"/>
    <n v="0"/>
    <n v="64"/>
    <n v="68"/>
  </r>
  <r>
    <x v="4"/>
    <x v="0"/>
    <x v="20"/>
    <s v="S12000021"/>
    <n v="205"/>
    <n v="0"/>
    <m/>
    <n v="106"/>
    <n v="0"/>
    <n v="23"/>
    <n v="76"/>
  </r>
  <r>
    <x v="4"/>
    <x v="0"/>
    <x v="9"/>
    <s v="S12000029"/>
    <n v="241"/>
    <n v="0"/>
    <m/>
    <n v="73"/>
    <n v="0"/>
    <n v="2"/>
    <n v="166"/>
  </r>
  <r>
    <x v="4"/>
    <x v="0"/>
    <x v="27"/>
    <s v="S12000030"/>
    <n v="122"/>
    <n v="0"/>
    <m/>
    <n v="74"/>
    <n v="0"/>
    <n v="0"/>
    <n v="48"/>
  </r>
  <r>
    <x v="4"/>
    <x v="0"/>
    <x v="43"/>
    <s v="S12000035"/>
    <n v="438"/>
    <n v="0"/>
    <m/>
    <n v="177"/>
    <n v="0"/>
    <n v="211"/>
    <n v="50"/>
  </r>
  <r>
    <x v="4"/>
    <x v="0"/>
    <x v="45"/>
    <s v="S12000038"/>
    <n v="110"/>
    <n v="0"/>
    <m/>
    <n v="16"/>
    <n v="0"/>
    <n v="0"/>
    <n v="94"/>
  </r>
  <r>
    <x v="4"/>
    <x v="0"/>
    <x v="40"/>
    <s v="S12000027"/>
    <n v="118"/>
    <n v="0"/>
    <m/>
    <n v="118"/>
    <n v="0"/>
    <n v="0"/>
    <n v="0"/>
  </r>
  <r>
    <x v="4"/>
    <x v="1"/>
    <x v="28"/>
    <s v="S39000002"/>
    <n v="25"/>
    <n v="0"/>
    <m/>
    <n v="0"/>
    <n v="0"/>
    <n v="0"/>
    <n v="25"/>
  </r>
  <r>
    <x v="4"/>
    <x v="1"/>
    <x v="14"/>
    <s v="S39000003"/>
    <n v="26"/>
    <n v="0"/>
    <m/>
    <n v="0"/>
    <n v="0"/>
    <n v="0"/>
    <n v="26"/>
  </r>
  <r>
    <x v="4"/>
    <x v="1"/>
    <x v="25"/>
    <s v="S39000012"/>
    <n v="22"/>
    <n v="0"/>
    <m/>
    <n v="0"/>
    <n v="0"/>
    <n v="0"/>
    <n v="22"/>
  </r>
  <r>
    <x v="4"/>
    <x v="1"/>
    <x v="9"/>
    <s v="S39000015"/>
    <n v="16"/>
    <n v="0"/>
    <m/>
    <n v="0"/>
    <n v="0"/>
    <n v="0"/>
    <n v="16"/>
  </r>
  <r>
    <x v="4"/>
    <x v="0"/>
    <x v="4"/>
    <s v="S12000033"/>
    <n v="153"/>
    <n v="0"/>
    <m/>
    <n v="8"/>
    <n v="0"/>
    <n v="0"/>
    <n v="145"/>
  </r>
  <r>
    <x v="4"/>
    <x v="0"/>
    <x v="1"/>
    <s v="S12000005"/>
    <n v="47"/>
    <n v="0"/>
    <m/>
    <n v="22"/>
    <n v="0"/>
    <n v="0"/>
    <n v="25"/>
  </r>
  <r>
    <x v="4"/>
    <x v="0"/>
    <x v="39"/>
    <s v="S12000019"/>
    <n v="39"/>
    <n v="0"/>
    <m/>
    <n v="12"/>
    <n v="0"/>
    <n v="0"/>
    <n v="28"/>
  </r>
  <r>
    <x v="4"/>
    <x v="0"/>
    <x v="2"/>
    <s v="S12000020"/>
    <n v="149"/>
    <n v="0"/>
    <m/>
    <n v="120"/>
    <n v="0"/>
    <n v="0"/>
    <n v="29"/>
  </r>
  <r>
    <x v="4"/>
    <x v="0"/>
    <x v="32"/>
    <s v="S12000026"/>
    <n v="194"/>
    <n v="0"/>
    <m/>
    <n v="143"/>
    <n v="0"/>
    <n v="0"/>
    <n v="51"/>
  </r>
  <r>
    <x v="4"/>
    <x v="0"/>
    <x v="3"/>
    <s v="S12000028"/>
    <n v="99"/>
    <n v="0"/>
    <m/>
    <n v="49"/>
    <n v="0"/>
    <n v="0"/>
    <n v="50"/>
  </r>
  <r>
    <x v="4"/>
    <x v="1"/>
    <x v="17"/>
    <s v="S39000004"/>
    <n v="22"/>
    <n v="0"/>
    <m/>
    <n v="0"/>
    <n v="0"/>
    <n v="0"/>
    <n v="22"/>
  </r>
  <r>
    <x v="4"/>
    <x v="1"/>
    <x v="23"/>
    <s v="S39000010"/>
    <n v="19"/>
    <n v="0"/>
    <m/>
    <n v="0"/>
    <n v="0"/>
    <n v="0"/>
    <n v="19"/>
  </r>
  <r>
    <x v="4"/>
    <x v="1"/>
    <x v="21"/>
    <s v="S39000014"/>
    <n v="17"/>
    <n v="0"/>
    <m/>
    <n v="0"/>
    <n v="0"/>
    <n v="0"/>
    <n v="17"/>
  </r>
  <r>
    <x v="4"/>
    <x v="1"/>
    <x v="10"/>
    <s v="S39000017"/>
    <n v="19"/>
    <n v="0"/>
    <m/>
    <n v="0"/>
    <n v="0"/>
    <n v="0"/>
    <n v="19"/>
  </r>
  <r>
    <x v="4"/>
    <x v="0"/>
    <x v="37"/>
    <s v="S12000034"/>
    <n v="299"/>
    <n v="0"/>
    <m/>
    <n v="275"/>
    <n v="0"/>
    <n v="0"/>
    <n v="24"/>
  </r>
  <r>
    <x v="4"/>
    <x v="0"/>
    <x v="18"/>
    <s v="S12000045"/>
    <n v="78"/>
    <n v="0"/>
    <m/>
    <n v="0"/>
    <n v="0"/>
    <n v="0"/>
    <n v="78"/>
  </r>
  <r>
    <x v="4"/>
    <x v="0"/>
    <x v="36"/>
    <s v="S12000010"/>
    <n v="79"/>
    <n v="0"/>
    <m/>
    <n v="56"/>
    <n v="0"/>
    <n v="0"/>
    <n v="23"/>
  </r>
  <r>
    <x v="4"/>
    <x v="0"/>
    <x v="25"/>
    <s v="S12000046"/>
    <n v="489"/>
    <n v="0"/>
    <m/>
    <n v="0"/>
    <n v="0"/>
    <n v="0"/>
    <n v="489"/>
  </r>
  <r>
    <x v="4"/>
    <x v="1"/>
    <x v="34"/>
    <s v="S39000009"/>
    <n v="31"/>
    <n v="0"/>
    <m/>
    <n v="0"/>
    <n v="0"/>
    <n v="0"/>
    <n v="31"/>
  </r>
  <r>
    <x v="4"/>
    <x v="2"/>
    <x v="11"/>
    <s v="S40000004"/>
    <n v="37"/>
    <n v="0"/>
    <m/>
    <n v="0"/>
    <n v="0"/>
    <n v="0"/>
    <n v="37"/>
  </r>
  <r>
    <x v="4"/>
    <x v="3"/>
    <x v="16"/>
    <s v="S92000003"/>
    <n v="1178"/>
    <n v="189"/>
    <m/>
    <n v="0"/>
    <n v="846"/>
    <n v="0"/>
    <n v="143"/>
  </r>
  <r>
    <x v="5"/>
    <x v="0"/>
    <x v="47"/>
    <s v="S12000006"/>
    <n v="257"/>
    <n v="0"/>
    <n v="0"/>
    <n v="198"/>
    <n v="0"/>
    <n v="6"/>
    <n v="53"/>
  </r>
  <r>
    <x v="5"/>
    <x v="0"/>
    <x v="12"/>
    <s v="S12000018"/>
    <n v="116"/>
    <n v="0"/>
    <n v="0"/>
    <n v="44"/>
    <n v="0"/>
    <n v="0"/>
    <n v="72"/>
  </r>
  <r>
    <x v="5"/>
    <x v="0"/>
    <x v="2"/>
    <s v="S12000020"/>
    <n v="154"/>
    <n v="0"/>
    <n v="0"/>
    <n v="120"/>
    <n v="0"/>
    <n v="4"/>
    <n v="30"/>
  </r>
  <r>
    <x v="5"/>
    <x v="0"/>
    <x v="20"/>
    <s v="S12000021"/>
    <n v="205"/>
    <n v="0"/>
    <n v="0"/>
    <n v="107"/>
    <n v="0"/>
    <n v="22"/>
    <n v="76"/>
  </r>
  <r>
    <x v="5"/>
    <x v="0"/>
    <x v="45"/>
    <s v="S12000038"/>
    <n v="116"/>
    <n v="0"/>
    <n v="0"/>
    <n v="17"/>
    <n v="0"/>
    <n v="0"/>
    <n v="99"/>
  </r>
  <r>
    <x v="5"/>
    <x v="0"/>
    <x v="32"/>
    <s v="S12000026"/>
    <n v="199"/>
    <n v="0"/>
    <n v="0"/>
    <n v="143"/>
    <n v="0"/>
    <n v="0"/>
    <n v="56"/>
  </r>
  <r>
    <x v="5"/>
    <x v="1"/>
    <x v="17"/>
    <s v="S39000004"/>
    <n v="22"/>
    <n v="0"/>
    <n v="1"/>
    <n v="0"/>
    <n v="0"/>
    <n v="0"/>
    <n v="22"/>
  </r>
  <r>
    <x v="5"/>
    <x v="1"/>
    <x v="23"/>
    <s v="S39000010"/>
    <n v="20"/>
    <n v="0"/>
    <n v="0"/>
    <n v="0"/>
    <n v="0"/>
    <n v="0"/>
    <n v="20"/>
  </r>
  <r>
    <x v="5"/>
    <x v="1"/>
    <x v="24"/>
    <s v="S39000019"/>
    <n v="18"/>
    <n v="0"/>
    <n v="1"/>
    <n v="0"/>
    <n v="0"/>
    <n v="0"/>
    <n v="18"/>
  </r>
  <r>
    <x v="5"/>
    <x v="0"/>
    <x v="30"/>
    <s v="S12000011"/>
    <n v="52"/>
    <n v="0"/>
    <n v="0"/>
    <n v="0"/>
    <n v="0"/>
    <n v="0"/>
    <n v="52"/>
  </r>
  <r>
    <x v="5"/>
    <x v="0"/>
    <x v="27"/>
    <s v="S12000030"/>
    <n v="124"/>
    <n v="0"/>
    <n v="0"/>
    <n v="75"/>
    <n v="0"/>
    <n v="0"/>
    <n v="49"/>
  </r>
  <r>
    <x v="5"/>
    <x v="0"/>
    <x v="33"/>
    <s v="S12000040"/>
    <n v="115"/>
    <n v="0"/>
    <n v="0"/>
    <n v="59"/>
    <n v="0"/>
    <n v="0"/>
    <n v="56"/>
  </r>
  <r>
    <x v="5"/>
    <x v="1"/>
    <x v="14"/>
    <s v="S39000003"/>
    <n v="26"/>
    <n v="0"/>
    <n v="1"/>
    <n v="0"/>
    <n v="0"/>
    <n v="0"/>
    <n v="26"/>
  </r>
  <r>
    <x v="5"/>
    <x v="0"/>
    <x v="4"/>
    <s v="S12000033"/>
    <n v="163"/>
    <n v="0"/>
    <n v="0"/>
    <n v="9"/>
    <n v="0"/>
    <n v="0"/>
    <n v="154"/>
  </r>
  <r>
    <x v="5"/>
    <x v="0"/>
    <x v="21"/>
    <s v="S12000044"/>
    <n v="201"/>
    <n v="0"/>
    <n v="0"/>
    <n v="35"/>
    <n v="0"/>
    <n v="0"/>
    <n v="166"/>
  </r>
  <r>
    <x v="5"/>
    <x v="1"/>
    <x v="34"/>
    <s v="S39000009"/>
    <n v="30"/>
    <n v="0"/>
    <n v="0"/>
    <n v="0"/>
    <n v="0"/>
    <n v="0"/>
    <n v="30"/>
  </r>
  <r>
    <x v="5"/>
    <x v="1"/>
    <x v="21"/>
    <s v="S39000014"/>
    <n v="17"/>
    <n v="0"/>
    <n v="0"/>
    <n v="0"/>
    <n v="0"/>
    <n v="0"/>
    <n v="17"/>
  </r>
  <r>
    <x v="5"/>
    <x v="1"/>
    <x v="46"/>
    <s v="S39000016"/>
    <n v="18"/>
    <n v="0"/>
    <n v="1"/>
    <n v="0"/>
    <n v="0"/>
    <n v="0"/>
    <n v="18"/>
  </r>
  <r>
    <x v="5"/>
    <x v="0"/>
    <x v="0"/>
    <s v="S12000041"/>
    <n v="126"/>
    <n v="0"/>
    <n v="0"/>
    <n v="98"/>
    <n v="0"/>
    <n v="0"/>
    <n v="28"/>
  </r>
  <r>
    <x v="5"/>
    <x v="0"/>
    <x v="38"/>
    <s v="S12000036"/>
    <n v="306"/>
    <n v="0"/>
    <n v="0"/>
    <n v="9"/>
    <n v="0"/>
    <n v="0"/>
    <n v="297"/>
  </r>
  <r>
    <x v="5"/>
    <x v="1"/>
    <x v="7"/>
    <s v="S39000007"/>
    <n v="25"/>
    <n v="0"/>
    <n v="2"/>
    <n v="0"/>
    <n v="0"/>
    <n v="0"/>
    <n v="25"/>
  </r>
  <r>
    <x v="5"/>
    <x v="0"/>
    <x v="44"/>
    <s v="S12000008"/>
    <n v="124"/>
    <n v="0"/>
    <n v="0"/>
    <n v="77"/>
    <n v="0"/>
    <n v="0"/>
    <n v="47"/>
  </r>
  <r>
    <x v="5"/>
    <x v="0"/>
    <x v="25"/>
    <s v="S12000046"/>
    <n v="515"/>
    <n v="0"/>
    <n v="0"/>
    <n v="0"/>
    <n v="0"/>
    <n v="0"/>
    <n v="515"/>
  </r>
  <r>
    <x v="5"/>
    <x v="0"/>
    <x v="13"/>
    <s v="S12000024"/>
    <n v="222"/>
    <n v="0"/>
    <n v="0"/>
    <n v="131"/>
    <n v="0"/>
    <n v="22"/>
    <n v="69"/>
  </r>
  <r>
    <x v="5"/>
    <x v="0"/>
    <x v="3"/>
    <s v="S12000028"/>
    <n v="108"/>
    <n v="0"/>
    <n v="0"/>
    <n v="58"/>
    <n v="0"/>
    <n v="0"/>
    <n v="50"/>
  </r>
  <r>
    <x v="5"/>
    <x v="0"/>
    <x v="41"/>
    <s v="S12000039"/>
    <n v="93"/>
    <n v="0"/>
    <n v="0"/>
    <n v="20"/>
    <n v="0"/>
    <n v="0"/>
    <n v="73"/>
  </r>
  <r>
    <x v="5"/>
    <x v="1"/>
    <x v="6"/>
    <s v="S39000006"/>
    <n v="25"/>
    <n v="0"/>
    <n v="1"/>
    <n v="0"/>
    <n v="0"/>
    <n v="0"/>
    <n v="25"/>
  </r>
  <r>
    <x v="5"/>
    <x v="1"/>
    <x v="10"/>
    <s v="S39000017"/>
    <n v="16"/>
    <n v="0"/>
    <n v="3"/>
    <n v="0"/>
    <n v="0"/>
    <n v="0"/>
    <n v="16"/>
  </r>
  <r>
    <x v="5"/>
    <x v="0"/>
    <x v="43"/>
    <s v="S12000035"/>
    <n v="433"/>
    <n v="0"/>
    <n v="0"/>
    <n v="176"/>
    <n v="0"/>
    <n v="203"/>
    <n v="54"/>
  </r>
  <r>
    <x v="5"/>
    <x v="0"/>
    <x v="1"/>
    <s v="S12000005"/>
    <n v="45"/>
    <n v="0"/>
    <n v="0"/>
    <n v="20"/>
    <n v="0"/>
    <n v="0"/>
    <n v="25"/>
  </r>
  <r>
    <x v="5"/>
    <x v="0"/>
    <x v="35"/>
    <s v="S12000042"/>
    <n v="189"/>
    <n v="0"/>
    <n v="0"/>
    <n v="12"/>
    <n v="0"/>
    <n v="0"/>
    <n v="177"/>
  </r>
  <r>
    <x v="5"/>
    <x v="0"/>
    <x v="24"/>
    <s v="S12000047"/>
    <n v="390"/>
    <n v="0"/>
    <n v="0"/>
    <n v="116"/>
    <n v="0"/>
    <n v="0"/>
    <n v="274"/>
  </r>
  <r>
    <x v="5"/>
    <x v="0"/>
    <x v="39"/>
    <s v="S12000019"/>
    <n v="39"/>
    <n v="0"/>
    <n v="0"/>
    <n v="13"/>
    <n v="0"/>
    <n v="0"/>
    <n v="26"/>
  </r>
  <r>
    <x v="5"/>
    <x v="1"/>
    <x v="4"/>
    <s v="S39000001"/>
    <n v="16"/>
    <n v="0"/>
    <n v="0"/>
    <n v="0"/>
    <n v="0"/>
    <n v="0"/>
    <n v="16"/>
  </r>
  <r>
    <x v="5"/>
    <x v="1"/>
    <x v="5"/>
    <s v="S39000018"/>
    <n v="29"/>
    <n v="0"/>
    <n v="1"/>
    <n v="0"/>
    <n v="0"/>
    <n v="0"/>
    <n v="29"/>
  </r>
  <r>
    <x v="5"/>
    <x v="3"/>
    <x v="16"/>
    <s v="S92000003"/>
    <n v="1148"/>
    <n v="207"/>
    <n v="0"/>
    <n v="0"/>
    <n v="792"/>
    <n v="0"/>
    <n v="149"/>
  </r>
  <r>
    <x v="5"/>
    <x v="0"/>
    <x v="37"/>
    <s v="S12000034"/>
    <n v="314"/>
    <n v="0"/>
    <n v="0"/>
    <n v="284"/>
    <n v="0"/>
    <n v="0"/>
    <n v="30"/>
  </r>
  <r>
    <x v="5"/>
    <x v="0"/>
    <x v="18"/>
    <s v="S12000045"/>
    <n v="78"/>
    <n v="0"/>
    <n v="0"/>
    <n v="0"/>
    <n v="0"/>
    <n v="0"/>
    <n v="78"/>
  </r>
  <r>
    <x v="5"/>
    <x v="0"/>
    <x v="36"/>
    <s v="S12000010"/>
    <n v="86"/>
    <n v="0"/>
    <n v="0"/>
    <n v="62"/>
    <n v="0"/>
    <n v="0"/>
    <n v="24"/>
  </r>
  <r>
    <x v="5"/>
    <x v="0"/>
    <x v="22"/>
    <s v="S12000023"/>
    <n v="109"/>
    <n v="0"/>
    <n v="0"/>
    <n v="109"/>
    <n v="0"/>
    <n v="0"/>
    <n v="0"/>
  </r>
  <r>
    <x v="5"/>
    <x v="0"/>
    <x v="40"/>
    <s v="S12000027"/>
    <n v="127"/>
    <n v="0"/>
    <n v="0"/>
    <n v="127"/>
    <n v="0"/>
    <n v="0"/>
    <n v="0"/>
  </r>
  <r>
    <x v="5"/>
    <x v="1"/>
    <x v="8"/>
    <s v="S39000008"/>
    <n v="14"/>
    <n v="0"/>
    <n v="0"/>
    <n v="0"/>
    <n v="0"/>
    <n v="0"/>
    <n v="14"/>
  </r>
  <r>
    <x v="5"/>
    <x v="1"/>
    <x v="25"/>
    <s v="S39000012"/>
    <n v="25"/>
    <n v="0"/>
    <n v="0"/>
    <n v="0"/>
    <n v="0"/>
    <n v="0"/>
    <n v="25"/>
  </r>
  <r>
    <x v="5"/>
    <x v="2"/>
    <x v="11"/>
    <s v="S40000004"/>
    <n v="37"/>
    <n v="0"/>
    <n v="0"/>
    <n v="0"/>
    <n v="0"/>
    <n v="0"/>
    <n v="37"/>
  </r>
  <r>
    <x v="5"/>
    <x v="2"/>
    <x v="29"/>
    <s v="S40000005"/>
    <n v="30"/>
    <n v="0"/>
    <n v="0"/>
    <n v="0"/>
    <n v="0"/>
    <n v="0"/>
    <n v="30"/>
  </r>
  <r>
    <x v="5"/>
    <x v="2"/>
    <x v="42"/>
    <s v="S40000003"/>
    <n v="79"/>
    <n v="0"/>
    <n v="0"/>
    <n v="0"/>
    <n v="0"/>
    <n v="0"/>
    <n v="79"/>
  </r>
  <r>
    <x v="5"/>
    <x v="0"/>
    <x v="19"/>
    <s v="S12000014"/>
    <n v="143"/>
    <n v="0"/>
    <n v="0"/>
    <n v="55"/>
    <n v="0"/>
    <n v="0"/>
    <n v="88"/>
  </r>
  <r>
    <x v="5"/>
    <x v="0"/>
    <x v="31"/>
    <s v="S12000017"/>
    <n v="684"/>
    <n v="0"/>
    <n v="0"/>
    <n v="552"/>
    <n v="0"/>
    <n v="62"/>
    <n v="70"/>
  </r>
  <r>
    <x v="5"/>
    <x v="0"/>
    <x v="26"/>
    <s v="S12000013"/>
    <n v="132"/>
    <n v="0"/>
    <n v="0"/>
    <n v="132"/>
    <n v="0"/>
    <n v="0"/>
    <n v="0"/>
  </r>
  <r>
    <x v="5"/>
    <x v="0"/>
    <x v="9"/>
    <s v="S12000029"/>
    <n v="246"/>
    <n v="0"/>
    <n v="0"/>
    <n v="77"/>
    <n v="0"/>
    <n v="2"/>
    <n v="167"/>
  </r>
  <r>
    <x v="5"/>
    <x v="1"/>
    <x v="28"/>
    <s v="S39000002"/>
    <n v="25"/>
    <n v="0"/>
    <n v="2"/>
    <n v="0"/>
    <n v="0"/>
    <n v="0"/>
    <n v="25"/>
  </r>
  <r>
    <x v="5"/>
    <x v="1"/>
    <x v="15"/>
    <s v="S39000013"/>
    <n v="45"/>
    <n v="0"/>
    <n v="4"/>
    <n v="0"/>
    <n v="0"/>
    <n v="0"/>
    <n v="45"/>
  </r>
  <r>
    <x v="5"/>
    <x v="1"/>
    <x v="9"/>
    <s v="S39000015"/>
    <n v="16"/>
    <n v="0"/>
    <n v="1"/>
    <n v="0"/>
    <n v="0"/>
    <n v="0"/>
    <n v="16"/>
  </r>
  <r>
    <x v="6"/>
    <x v="0"/>
    <x v="25"/>
    <s v="S40000003"/>
    <n v="517"/>
    <n v="0"/>
    <n v="0"/>
    <n v="0"/>
    <n v="0"/>
    <n v="0"/>
    <n v="517"/>
  </r>
  <r>
    <x v="6"/>
    <x v="0"/>
    <x v="22"/>
    <s v="S40000005"/>
    <n v="109"/>
    <n v="0"/>
    <n v="0"/>
    <n v="109"/>
    <n v="0"/>
    <n v="0"/>
    <n v="0"/>
  </r>
  <r>
    <x v="6"/>
    <x v="1"/>
    <x v="10"/>
    <s v="S40000005"/>
    <n v="14"/>
    <n v="0"/>
    <n v="5"/>
    <n v="0"/>
    <n v="0"/>
    <n v="0"/>
    <n v="14"/>
  </r>
  <r>
    <x v="6"/>
    <x v="2"/>
    <x v="11"/>
    <s v="S40000004"/>
    <n v="52"/>
    <n v="0"/>
    <n v="0"/>
    <n v="0"/>
    <n v="0"/>
    <n v="0"/>
    <n v="52"/>
  </r>
  <r>
    <x v="6"/>
    <x v="1"/>
    <x v="4"/>
    <s v="S40000005"/>
    <n v="13"/>
    <n v="0"/>
    <n v="0"/>
    <n v="0"/>
    <n v="0"/>
    <n v="0"/>
    <n v="13"/>
  </r>
  <r>
    <x v="6"/>
    <x v="1"/>
    <x v="21"/>
    <s v="S40000003"/>
    <n v="16"/>
    <n v="0"/>
    <n v="0"/>
    <n v="0"/>
    <n v="0"/>
    <n v="0"/>
    <n v="16"/>
  </r>
  <r>
    <x v="6"/>
    <x v="1"/>
    <x v="48"/>
    <m/>
    <n v="38"/>
    <n v="0"/>
    <n v="4"/>
    <n v="0"/>
    <n v="0"/>
    <n v="0"/>
    <n v="38"/>
  </r>
  <r>
    <x v="6"/>
    <x v="0"/>
    <x v="20"/>
    <s v="S40000003"/>
    <n v="201"/>
    <n v="0"/>
    <n v="0"/>
    <n v="104"/>
    <n v="0"/>
    <n v="22"/>
    <n v="75"/>
  </r>
  <r>
    <x v="6"/>
    <x v="0"/>
    <x v="13"/>
    <s v="S40000005"/>
    <n v="219"/>
    <n v="0"/>
    <n v="0"/>
    <n v="131"/>
    <n v="0"/>
    <n v="21"/>
    <n v="67"/>
  </r>
  <r>
    <x v="6"/>
    <x v="0"/>
    <x v="3"/>
    <s v="S40000003"/>
    <n v="105"/>
    <n v="0"/>
    <n v="0"/>
    <n v="55"/>
    <n v="0"/>
    <n v="0"/>
    <n v="50"/>
  </r>
  <r>
    <x v="6"/>
    <x v="1"/>
    <x v="14"/>
    <s v="S40000003"/>
    <n v="28"/>
    <n v="0"/>
    <n v="3"/>
    <n v="0"/>
    <n v="0"/>
    <n v="0"/>
    <n v="28"/>
  </r>
  <r>
    <x v="6"/>
    <x v="1"/>
    <x v="15"/>
    <s v="S40000005"/>
    <n v="38"/>
    <n v="0"/>
    <n v="7"/>
    <n v="0"/>
    <n v="0"/>
    <n v="0"/>
    <n v="38"/>
  </r>
  <r>
    <x v="6"/>
    <x v="3"/>
    <x v="16"/>
    <s v="S92000003"/>
    <n v="1095"/>
    <n v="188"/>
    <n v="0"/>
    <n v="0"/>
    <n v="817"/>
    <n v="0"/>
    <n v="90"/>
  </r>
  <r>
    <x v="6"/>
    <x v="0"/>
    <x v="4"/>
    <s v="S40000005"/>
    <n v="163"/>
    <n v="0"/>
    <n v="0"/>
    <n v="8"/>
    <n v="0"/>
    <n v="0"/>
    <n v="155"/>
  </r>
  <r>
    <x v="6"/>
    <x v="0"/>
    <x v="37"/>
    <s v="S40000005"/>
    <n v="317"/>
    <n v="0"/>
    <n v="0"/>
    <n v="285"/>
    <n v="0"/>
    <n v="0"/>
    <n v="32"/>
  </r>
  <r>
    <x v="6"/>
    <x v="0"/>
    <x v="43"/>
    <s v="S40000003"/>
    <n v="439"/>
    <n v="0"/>
    <n v="0"/>
    <n v="174"/>
    <n v="0"/>
    <n v="212"/>
    <n v="53"/>
  </r>
  <r>
    <x v="6"/>
    <x v="0"/>
    <x v="47"/>
    <s v="S40000003"/>
    <n v="249"/>
    <n v="0"/>
    <n v="0"/>
    <n v="192"/>
    <n v="0"/>
    <n v="5"/>
    <n v="52"/>
  </r>
  <r>
    <x v="6"/>
    <x v="0"/>
    <x v="35"/>
    <s v="S40000005"/>
    <n v="194"/>
    <n v="0"/>
    <n v="0"/>
    <n v="12"/>
    <n v="0"/>
    <n v="0"/>
    <n v="182"/>
  </r>
  <r>
    <x v="6"/>
    <x v="0"/>
    <x v="19"/>
    <s v="S40000004"/>
    <n v="145"/>
    <n v="0"/>
    <n v="0"/>
    <n v="57"/>
    <n v="0"/>
    <n v="0"/>
    <n v="88"/>
  </r>
  <r>
    <x v="6"/>
    <x v="0"/>
    <x v="32"/>
    <s v="S40000004"/>
    <n v="201"/>
    <n v="0"/>
    <n v="0"/>
    <n v="148"/>
    <n v="0"/>
    <n v="0"/>
    <n v="53"/>
  </r>
  <r>
    <x v="6"/>
    <x v="0"/>
    <x v="33"/>
    <s v="S40000004"/>
    <n v="123"/>
    <n v="0"/>
    <n v="0"/>
    <n v="65"/>
    <n v="0"/>
    <n v="0"/>
    <n v="58"/>
  </r>
  <r>
    <x v="6"/>
    <x v="1"/>
    <x v="28"/>
    <s v="S40000005"/>
    <n v="25"/>
    <n v="0"/>
    <n v="5"/>
    <n v="0"/>
    <n v="0"/>
    <n v="0"/>
    <n v="25"/>
  </r>
  <r>
    <x v="6"/>
    <x v="1"/>
    <x v="6"/>
    <s v="S40000003"/>
    <n v="28"/>
    <n v="0"/>
    <n v="2"/>
    <n v="0"/>
    <n v="0"/>
    <n v="0"/>
    <n v="28"/>
  </r>
  <r>
    <x v="6"/>
    <x v="1"/>
    <x v="34"/>
    <s v="S40000004"/>
    <n v="28"/>
    <n v="0"/>
    <n v="0"/>
    <n v="0"/>
    <n v="0"/>
    <n v="0"/>
    <n v="28"/>
  </r>
  <r>
    <x v="6"/>
    <x v="0"/>
    <x v="1"/>
    <s v="S40000004"/>
    <n v="50"/>
    <n v="0"/>
    <n v="0"/>
    <n v="25"/>
    <n v="0"/>
    <n v="0"/>
    <n v="25"/>
  </r>
  <r>
    <x v="6"/>
    <x v="0"/>
    <x v="18"/>
    <s v="S40000003"/>
    <n v="79"/>
    <n v="0"/>
    <n v="0"/>
    <n v="0"/>
    <n v="0"/>
    <n v="0"/>
    <n v="79"/>
  </r>
  <r>
    <x v="6"/>
    <x v="0"/>
    <x v="36"/>
    <s v="S40000004"/>
    <n v="90"/>
    <n v="0"/>
    <n v="0"/>
    <n v="65"/>
    <n v="0"/>
    <n v="0"/>
    <n v="25"/>
  </r>
  <r>
    <x v="6"/>
    <x v="0"/>
    <x v="40"/>
    <s v="S40000005"/>
    <n v="134"/>
    <n v="0"/>
    <n v="0"/>
    <n v="134"/>
    <n v="0"/>
    <n v="0"/>
    <n v="0"/>
  </r>
  <r>
    <x v="6"/>
    <x v="1"/>
    <x v="25"/>
    <s v="S40000003"/>
    <n v="25"/>
    <n v="0"/>
    <n v="0"/>
    <n v="0"/>
    <n v="0"/>
    <n v="0"/>
    <n v="25"/>
  </r>
  <r>
    <x v="6"/>
    <x v="0"/>
    <x v="0"/>
    <s v="S40000005"/>
    <n v="130"/>
    <n v="0"/>
    <n v="0"/>
    <n v="103"/>
    <n v="0"/>
    <n v="0"/>
    <n v="27"/>
  </r>
  <r>
    <x v="6"/>
    <x v="0"/>
    <x v="24"/>
    <s v="S40000004"/>
    <n v="382"/>
    <n v="0"/>
    <n v="0"/>
    <n v="113"/>
    <n v="0"/>
    <n v="0"/>
    <n v="269"/>
  </r>
  <r>
    <x v="6"/>
    <x v="0"/>
    <x v="31"/>
    <s v="S40000005"/>
    <n v="645"/>
    <n v="0"/>
    <n v="0"/>
    <n v="525"/>
    <n v="0"/>
    <n v="49"/>
    <n v="71"/>
  </r>
  <r>
    <x v="6"/>
    <x v="0"/>
    <x v="21"/>
    <s v="S40000003"/>
    <n v="200"/>
    <n v="0"/>
    <n v="0"/>
    <n v="37"/>
    <n v="0"/>
    <n v="0"/>
    <n v="163"/>
  </r>
  <r>
    <x v="6"/>
    <x v="0"/>
    <x v="9"/>
    <s v="S40000003"/>
    <n v="256"/>
    <n v="0"/>
    <n v="0"/>
    <n v="86"/>
    <n v="0"/>
    <n v="2"/>
    <n v="168"/>
  </r>
  <r>
    <x v="6"/>
    <x v="1"/>
    <x v="17"/>
    <s v="S40000003"/>
    <n v="22"/>
    <n v="0"/>
    <n v="2"/>
    <n v="0"/>
    <n v="0"/>
    <n v="0"/>
    <n v="22"/>
  </r>
  <r>
    <x v="6"/>
    <x v="1"/>
    <x v="5"/>
    <s v="S40000005"/>
    <n v="31"/>
    <n v="0"/>
    <n v="2"/>
    <n v="0"/>
    <n v="0"/>
    <n v="0"/>
    <n v="31"/>
  </r>
  <r>
    <x v="6"/>
    <x v="1"/>
    <x v="7"/>
    <s v="S40000004"/>
    <n v="29"/>
    <n v="0"/>
    <n v="3"/>
    <n v="0"/>
    <n v="0"/>
    <n v="0"/>
    <n v="29"/>
  </r>
  <r>
    <x v="6"/>
    <x v="1"/>
    <x v="9"/>
    <s v="S40000003"/>
    <n v="16"/>
    <n v="0"/>
    <n v="2"/>
    <n v="0"/>
    <n v="0"/>
    <n v="0"/>
    <n v="16"/>
  </r>
  <r>
    <x v="6"/>
    <x v="0"/>
    <x v="44"/>
    <s v="S40000003"/>
    <n v="129"/>
    <n v="0"/>
    <n v="0"/>
    <n v="80"/>
    <n v="0"/>
    <n v="0"/>
    <n v="49"/>
  </r>
  <r>
    <x v="6"/>
    <x v="0"/>
    <x v="30"/>
    <s v="S40000003"/>
    <n v="50"/>
    <n v="0"/>
    <n v="0"/>
    <n v="0"/>
    <n v="0"/>
    <n v="0"/>
    <n v="50"/>
  </r>
  <r>
    <x v="6"/>
    <x v="0"/>
    <x v="12"/>
    <s v="S40000003"/>
    <n v="112"/>
    <n v="0"/>
    <n v="0"/>
    <n v="42"/>
    <n v="0"/>
    <n v="0"/>
    <n v="70"/>
  </r>
  <r>
    <x v="6"/>
    <x v="0"/>
    <x v="39"/>
    <s v="S40000004"/>
    <n v="39"/>
    <n v="0"/>
    <n v="0"/>
    <n v="13"/>
    <n v="0"/>
    <n v="0"/>
    <n v="26"/>
  </r>
  <r>
    <x v="6"/>
    <x v="0"/>
    <x v="2"/>
    <s v="S40000005"/>
    <n v="155"/>
    <n v="0"/>
    <n v="0"/>
    <n v="121"/>
    <n v="0"/>
    <n v="4"/>
    <n v="30"/>
  </r>
  <r>
    <x v="6"/>
    <x v="0"/>
    <x v="41"/>
    <s v="S40000003"/>
    <n v="93"/>
    <n v="0"/>
    <n v="0"/>
    <n v="20"/>
    <n v="0"/>
    <n v="0"/>
    <n v="73"/>
  </r>
  <r>
    <x v="6"/>
    <x v="1"/>
    <x v="8"/>
    <s v="S40000003"/>
    <n v="13"/>
    <n v="0"/>
    <n v="0"/>
    <n v="0"/>
    <n v="0"/>
    <n v="0"/>
    <n v="13"/>
  </r>
  <r>
    <x v="6"/>
    <x v="2"/>
    <x v="29"/>
    <s v="S40000005"/>
    <n v="42"/>
    <n v="0"/>
    <n v="0"/>
    <n v="0"/>
    <n v="0"/>
    <n v="0"/>
    <n v="42"/>
  </r>
  <r>
    <x v="6"/>
    <x v="2"/>
    <x v="42"/>
    <s v="S40000003"/>
    <n v="103"/>
    <n v="0"/>
    <n v="0"/>
    <n v="0"/>
    <n v="0"/>
    <n v="0"/>
    <n v="103"/>
  </r>
  <r>
    <x v="6"/>
    <x v="0"/>
    <x v="38"/>
    <s v="S40000004"/>
    <n v="314"/>
    <n v="0"/>
    <n v="0"/>
    <n v="8"/>
    <n v="0"/>
    <n v="0"/>
    <n v="306"/>
  </r>
  <r>
    <x v="6"/>
    <x v="0"/>
    <x v="26"/>
    <s v="S40000005"/>
    <n v="135"/>
    <n v="0"/>
    <n v="0"/>
    <n v="135"/>
    <n v="0"/>
    <n v="0"/>
    <n v="0"/>
  </r>
  <r>
    <x v="6"/>
    <x v="0"/>
    <x v="45"/>
    <s v="S40000003"/>
    <n v="117"/>
    <n v="0"/>
    <n v="0"/>
    <n v="15"/>
    <n v="0"/>
    <n v="0"/>
    <n v="102"/>
  </r>
  <r>
    <x v="6"/>
    <x v="0"/>
    <x v="27"/>
    <s v="S40000004"/>
    <n v="126"/>
    <n v="0"/>
    <n v="0"/>
    <n v="75"/>
    <n v="0"/>
    <n v="0"/>
    <n v="51"/>
  </r>
  <r>
    <x v="6"/>
    <x v="1"/>
    <x v="23"/>
    <s v="S40000004"/>
    <n v="19"/>
    <n v="0"/>
    <n v="1"/>
    <n v="0"/>
    <n v="0"/>
    <n v="0"/>
    <n v="19"/>
  </r>
  <r>
    <x v="7"/>
    <x v="0"/>
    <x v="44"/>
    <s v="S40000003"/>
    <n v="125"/>
    <n v="0"/>
    <n v="0"/>
    <n v="78"/>
    <n v="0"/>
    <n v="0"/>
    <n v="47"/>
  </r>
  <r>
    <x v="7"/>
    <x v="0"/>
    <x v="26"/>
    <s v="S40000005"/>
    <n v="131"/>
    <n v="0"/>
    <n v="0"/>
    <n v="131"/>
    <n v="0"/>
    <n v="0"/>
    <n v="0"/>
  </r>
  <r>
    <x v="7"/>
    <x v="1"/>
    <x v="6"/>
    <s v="S40000003"/>
    <n v="27"/>
    <n v="0"/>
    <n v="4"/>
    <n v="0"/>
    <n v="0"/>
    <n v="0"/>
    <n v="27"/>
  </r>
  <r>
    <x v="7"/>
    <x v="1"/>
    <x v="23"/>
    <s v="S40000004"/>
    <n v="19"/>
    <n v="0"/>
    <n v="2"/>
    <n v="0"/>
    <n v="0"/>
    <n v="0"/>
    <n v="19"/>
  </r>
  <r>
    <x v="7"/>
    <x v="1"/>
    <x v="9"/>
    <s v="S40000003"/>
    <n v="16"/>
    <n v="0"/>
    <n v="2"/>
    <n v="0"/>
    <n v="0"/>
    <n v="0"/>
    <n v="16"/>
  </r>
  <r>
    <x v="7"/>
    <x v="1"/>
    <x v="10"/>
    <s v="S40000005"/>
    <n v="15"/>
    <n v="0"/>
    <n v="7"/>
    <n v="0"/>
    <n v="0"/>
    <n v="0"/>
    <n v="15"/>
  </r>
  <r>
    <x v="7"/>
    <x v="0"/>
    <x v="37"/>
    <s v="S40000005"/>
    <n v="315"/>
    <n v="0"/>
    <n v="0"/>
    <n v="286"/>
    <n v="0"/>
    <n v="0"/>
    <n v="29"/>
  </r>
  <r>
    <x v="7"/>
    <x v="0"/>
    <x v="43"/>
    <s v="S40000003"/>
    <n v="421"/>
    <n v="0"/>
    <n v="0"/>
    <n v="168"/>
    <n v="0"/>
    <n v="201"/>
    <n v="52"/>
  </r>
  <r>
    <x v="7"/>
    <x v="0"/>
    <x v="35"/>
    <s v="S40000005"/>
    <n v="193"/>
    <n v="0"/>
    <n v="0"/>
    <n v="11"/>
    <n v="0"/>
    <n v="0"/>
    <n v="182"/>
  </r>
  <r>
    <x v="7"/>
    <x v="0"/>
    <x v="12"/>
    <s v="S40000003"/>
    <n v="114"/>
    <n v="0"/>
    <n v="0"/>
    <n v="44"/>
    <n v="0"/>
    <n v="0"/>
    <n v="70"/>
  </r>
  <r>
    <x v="7"/>
    <x v="0"/>
    <x v="39"/>
    <s v="S40000004"/>
    <n v="38"/>
    <n v="0"/>
    <n v="0"/>
    <n v="11"/>
    <n v="0"/>
    <n v="0"/>
    <n v="27"/>
  </r>
  <r>
    <x v="7"/>
    <x v="0"/>
    <x v="22"/>
    <s v="S40000005"/>
    <n v="112"/>
    <n v="0"/>
    <n v="0"/>
    <n v="112"/>
    <n v="0"/>
    <n v="0"/>
    <n v="0"/>
  </r>
  <r>
    <x v="7"/>
    <x v="0"/>
    <x v="13"/>
    <s v="S40000005"/>
    <n v="214"/>
    <n v="0"/>
    <n v="0"/>
    <n v="130"/>
    <n v="0"/>
    <n v="21"/>
    <n v="63"/>
  </r>
  <r>
    <x v="7"/>
    <x v="0"/>
    <x v="40"/>
    <s v="S40000005"/>
    <n v="132"/>
    <n v="0"/>
    <n v="0"/>
    <n v="132"/>
    <n v="0"/>
    <n v="0"/>
    <n v="0"/>
  </r>
  <r>
    <x v="7"/>
    <x v="0"/>
    <x v="3"/>
    <s v="S40000003"/>
    <n v="103"/>
    <n v="0"/>
    <n v="0"/>
    <n v="52"/>
    <n v="0"/>
    <n v="0"/>
    <n v="51"/>
  </r>
  <r>
    <x v="7"/>
    <x v="0"/>
    <x v="27"/>
    <s v="S40000004"/>
    <n v="127"/>
    <n v="0"/>
    <n v="0"/>
    <n v="75"/>
    <n v="0"/>
    <n v="0"/>
    <n v="52"/>
  </r>
  <r>
    <x v="7"/>
    <x v="1"/>
    <x v="8"/>
    <s v="S40000003"/>
    <n v="17"/>
    <n v="0"/>
    <n v="0"/>
    <n v="0"/>
    <n v="0"/>
    <n v="0"/>
    <n v="17"/>
  </r>
  <r>
    <x v="7"/>
    <x v="1"/>
    <x v="21"/>
    <s v="S40000003"/>
    <n v="15"/>
    <n v="0"/>
    <n v="0"/>
    <n v="0"/>
    <n v="0"/>
    <n v="0"/>
    <n v="15"/>
  </r>
  <r>
    <x v="7"/>
    <x v="1"/>
    <x v="48"/>
    <m/>
    <n v="37"/>
    <n v="0"/>
    <n v="4"/>
    <n v="0"/>
    <n v="0"/>
    <n v="0"/>
    <n v="37"/>
  </r>
  <r>
    <x v="7"/>
    <x v="2"/>
    <x v="11"/>
    <s v="S40000004"/>
    <n v="66"/>
    <n v="0"/>
    <n v="0"/>
    <n v="0"/>
    <n v="0"/>
    <n v="0"/>
    <n v="66"/>
  </r>
  <r>
    <x v="7"/>
    <x v="0"/>
    <x v="38"/>
    <s v="S40000004"/>
    <n v="308"/>
    <n v="0"/>
    <n v="0"/>
    <n v="8"/>
    <n v="0"/>
    <n v="0"/>
    <n v="300"/>
  </r>
  <r>
    <x v="7"/>
    <x v="0"/>
    <x v="1"/>
    <s v="S40000004"/>
    <n v="51"/>
    <n v="0"/>
    <n v="0"/>
    <n v="27"/>
    <n v="0"/>
    <n v="0"/>
    <n v="24"/>
  </r>
  <r>
    <x v="7"/>
    <x v="0"/>
    <x v="18"/>
    <s v="S40000003"/>
    <n v="76"/>
    <n v="0"/>
    <n v="0"/>
    <n v="0"/>
    <n v="0"/>
    <n v="0"/>
    <n v="76"/>
  </r>
  <r>
    <x v="7"/>
    <x v="0"/>
    <x v="31"/>
    <s v="S40000005"/>
    <n v="622"/>
    <n v="0"/>
    <n v="0"/>
    <n v="500"/>
    <n v="0"/>
    <n v="48"/>
    <n v="74"/>
  </r>
  <r>
    <x v="7"/>
    <x v="0"/>
    <x v="2"/>
    <s v="S40000005"/>
    <n v="147"/>
    <n v="0"/>
    <n v="0"/>
    <n v="114"/>
    <n v="0"/>
    <n v="3"/>
    <n v="30"/>
  </r>
  <r>
    <x v="7"/>
    <x v="0"/>
    <x v="20"/>
    <s v="S40000003"/>
    <n v="197"/>
    <n v="0"/>
    <n v="0"/>
    <n v="100"/>
    <n v="0"/>
    <n v="22"/>
    <n v="75"/>
  </r>
  <r>
    <x v="7"/>
    <x v="1"/>
    <x v="25"/>
    <s v="S40000003"/>
    <n v="26"/>
    <n v="0"/>
    <n v="0"/>
    <n v="0"/>
    <n v="0"/>
    <n v="0"/>
    <n v="26"/>
  </r>
  <r>
    <x v="7"/>
    <x v="0"/>
    <x v="36"/>
    <s v="S40000004"/>
    <n v="90"/>
    <n v="0"/>
    <n v="0"/>
    <n v="64"/>
    <n v="0"/>
    <n v="0"/>
    <n v="26"/>
  </r>
  <r>
    <x v="7"/>
    <x v="0"/>
    <x v="25"/>
    <s v="S40000003"/>
    <n v="499"/>
    <n v="0"/>
    <n v="0"/>
    <n v="0"/>
    <n v="0"/>
    <n v="0"/>
    <n v="499"/>
  </r>
  <r>
    <x v="7"/>
    <x v="0"/>
    <x v="21"/>
    <s v="S40000003"/>
    <n v="198"/>
    <n v="0"/>
    <n v="0"/>
    <n v="38"/>
    <n v="0"/>
    <n v="0"/>
    <n v="160"/>
  </r>
  <r>
    <x v="7"/>
    <x v="1"/>
    <x v="17"/>
    <s v="S40000003"/>
    <n v="21"/>
    <n v="0"/>
    <n v="4"/>
    <n v="0"/>
    <n v="0"/>
    <n v="0"/>
    <n v="21"/>
  </r>
  <r>
    <x v="7"/>
    <x v="2"/>
    <x v="42"/>
    <s v="S40000003"/>
    <n v="91"/>
    <n v="0"/>
    <n v="0"/>
    <n v="0"/>
    <n v="0"/>
    <n v="0"/>
    <n v="91"/>
  </r>
  <r>
    <x v="7"/>
    <x v="1"/>
    <x v="4"/>
    <s v="S40000005"/>
    <n v="12"/>
    <n v="0"/>
    <n v="0"/>
    <n v="0"/>
    <n v="0"/>
    <n v="0"/>
    <n v="12"/>
  </r>
  <r>
    <x v="7"/>
    <x v="1"/>
    <x v="15"/>
    <s v="S40000005"/>
    <n v="35"/>
    <n v="0"/>
    <n v="11"/>
    <n v="0"/>
    <n v="0"/>
    <n v="0"/>
    <n v="35"/>
  </r>
  <r>
    <x v="7"/>
    <x v="2"/>
    <x v="29"/>
    <s v="S40000005"/>
    <n v="55"/>
    <n v="0"/>
    <n v="0"/>
    <n v="0"/>
    <n v="0"/>
    <n v="0"/>
    <n v="55"/>
  </r>
  <r>
    <x v="7"/>
    <x v="3"/>
    <x v="16"/>
    <s v="S92000003"/>
    <n v="1110"/>
    <n v="182"/>
    <n v="0"/>
    <n v="0"/>
    <n v="836"/>
    <n v="0"/>
    <n v="92"/>
  </r>
  <r>
    <x v="7"/>
    <x v="0"/>
    <x v="4"/>
    <s v="S40000005"/>
    <n v="159"/>
    <n v="0"/>
    <n v="0"/>
    <n v="10"/>
    <n v="0"/>
    <n v="0"/>
    <n v="149"/>
  </r>
  <r>
    <x v="7"/>
    <x v="0"/>
    <x v="0"/>
    <s v="S40000005"/>
    <n v="131"/>
    <n v="0"/>
    <n v="0"/>
    <n v="104"/>
    <n v="0"/>
    <n v="0"/>
    <n v="27"/>
  </r>
  <r>
    <x v="7"/>
    <x v="1"/>
    <x v="28"/>
    <s v="S40000005"/>
    <n v="26"/>
    <n v="0"/>
    <n v="7"/>
    <n v="0"/>
    <n v="0"/>
    <n v="0"/>
    <n v="26"/>
  </r>
  <r>
    <x v="7"/>
    <x v="1"/>
    <x v="34"/>
    <s v="S40000004"/>
    <n v="29"/>
    <n v="0"/>
    <n v="0"/>
    <n v="0"/>
    <n v="0"/>
    <n v="0"/>
    <n v="29"/>
  </r>
  <r>
    <x v="7"/>
    <x v="0"/>
    <x v="47"/>
    <s v="S40000003"/>
    <n v="243"/>
    <n v="0"/>
    <n v="0"/>
    <n v="186"/>
    <n v="0"/>
    <n v="6"/>
    <n v="51"/>
  </r>
  <r>
    <x v="7"/>
    <x v="0"/>
    <x v="19"/>
    <s v="S40000004"/>
    <n v="144"/>
    <n v="0"/>
    <n v="0"/>
    <n v="56"/>
    <n v="0"/>
    <n v="0"/>
    <n v="88"/>
  </r>
  <r>
    <x v="7"/>
    <x v="0"/>
    <x v="24"/>
    <s v="S40000004"/>
    <n v="363"/>
    <n v="0"/>
    <n v="0"/>
    <n v="109"/>
    <n v="0"/>
    <n v="0"/>
    <n v="254"/>
  </r>
  <r>
    <x v="7"/>
    <x v="0"/>
    <x v="45"/>
    <s v="S40000003"/>
    <n v="113"/>
    <n v="0"/>
    <n v="0"/>
    <n v="13"/>
    <n v="0"/>
    <n v="0"/>
    <n v="100"/>
  </r>
  <r>
    <x v="7"/>
    <x v="0"/>
    <x v="33"/>
    <s v="S40000004"/>
    <n v="115"/>
    <n v="0"/>
    <n v="0"/>
    <n v="58"/>
    <n v="0"/>
    <n v="0"/>
    <n v="57"/>
  </r>
  <r>
    <x v="7"/>
    <x v="1"/>
    <x v="7"/>
    <s v="S40000004"/>
    <n v="28"/>
    <n v="0"/>
    <n v="4"/>
    <n v="0"/>
    <n v="0"/>
    <n v="0"/>
    <n v="28"/>
  </r>
  <r>
    <x v="7"/>
    <x v="0"/>
    <x v="30"/>
    <s v="S40000003"/>
    <n v="48"/>
    <n v="0"/>
    <n v="0"/>
    <n v="0"/>
    <n v="0"/>
    <n v="0"/>
    <n v="48"/>
  </r>
  <r>
    <x v="7"/>
    <x v="0"/>
    <x v="32"/>
    <s v="S40000004"/>
    <n v="200"/>
    <n v="0"/>
    <n v="0"/>
    <n v="149"/>
    <n v="0"/>
    <n v="0"/>
    <n v="51"/>
  </r>
  <r>
    <x v="7"/>
    <x v="0"/>
    <x v="9"/>
    <s v="S40000003"/>
    <n v="254"/>
    <n v="0"/>
    <n v="0"/>
    <n v="84"/>
    <n v="0"/>
    <n v="2"/>
    <n v="168"/>
  </r>
  <r>
    <x v="7"/>
    <x v="0"/>
    <x v="41"/>
    <s v="S40000003"/>
    <n v="95"/>
    <n v="0"/>
    <n v="0"/>
    <n v="22"/>
    <n v="0"/>
    <n v="0"/>
    <n v="73"/>
  </r>
  <r>
    <x v="7"/>
    <x v="1"/>
    <x v="14"/>
    <s v="S40000003"/>
    <n v="26"/>
    <n v="0"/>
    <n v="6"/>
    <n v="0"/>
    <n v="0"/>
    <n v="0"/>
    <n v="26"/>
  </r>
  <r>
    <x v="7"/>
    <x v="1"/>
    <x v="5"/>
    <s v="S40000005"/>
    <n v="28"/>
    <n v="0"/>
    <n v="3"/>
    <n v="0"/>
    <n v="0"/>
    <n v="0"/>
    <n v="28"/>
  </r>
</pivotCacheRecords>
</file>

<file path=xl/pivotCache/pivotCacheRecords33.xml><?xml version="1.0" encoding="utf-8"?>
<pivotCacheRecords xmlns="http://schemas.openxmlformats.org/spreadsheetml/2006/main" xmlns:r="http://schemas.openxmlformats.org/officeDocument/2006/relationships" count="228">
  <r>
    <x v="0"/>
    <x v="0"/>
    <s v="S12000006"/>
    <n v="7"/>
    <n v="38"/>
    <n v="29"/>
    <n v="3"/>
    <n v="58"/>
    <n v="1"/>
    <n v="1"/>
    <n v="2"/>
    <n v="12"/>
    <n v="1"/>
    <n v="21"/>
    <n v="17"/>
    <n v="12"/>
    <n v="9"/>
    <n v="2"/>
  </r>
  <r>
    <x v="0"/>
    <x v="1"/>
    <s v="S12000017"/>
    <n v="12"/>
    <n v="83"/>
    <n v="59"/>
    <n v="10"/>
    <n v="92"/>
    <n v="5"/>
    <m/>
    <m/>
    <n v="5"/>
    <m/>
    <n v="3"/>
    <m/>
    <n v="5"/>
    <m/>
    <n v="2"/>
  </r>
  <r>
    <x v="0"/>
    <x v="2"/>
    <s v="S12000020"/>
    <m/>
    <n v="15"/>
    <n v="14"/>
    <m/>
    <n v="46"/>
    <n v="8"/>
    <m/>
    <n v="1"/>
    <n v="4"/>
    <m/>
    <n v="1"/>
    <n v="6"/>
    <n v="16"/>
    <n v="3"/>
    <m/>
  </r>
  <r>
    <x v="0"/>
    <x v="3"/>
    <s v="S12000029"/>
    <n v="10"/>
    <n v="110"/>
    <n v="69"/>
    <m/>
    <n v="36"/>
    <n v="3"/>
    <m/>
    <n v="1"/>
    <n v="12"/>
    <n v="7"/>
    <n v="15"/>
    <n v="9"/>
    <n v="5"/>
    <n v="7"/>
    <n v="2"/>
  </r>
  <r>
    <x v="1"/>
    <x v="4"/>
    <s v="S12000036"/>
    <n v="35"/>
    <n v="123"/>
    <n v="178"/>
    <n v="33"/>
    <n v="141"/>
    <n v="29"/>
    <n v="4"/>
    <n v="5"/>
    <n v="80"/>
    <n v="20"/>
    <n v="74"/>
    <n v="65"/>
    <n v="7"/>
    <n v="52"/>
    <n v="11"/>
  </r>
  <r>
    <x v="1"/>
    <x v="5"/>
    <s v="S12000008"/>
    <n v="8"/>
    <n v="57"/>
    <n v="3"/>
    <m/>
    <n v="28"/>
    <n v="2"/>
    <m/>
    <n v="1"/>
    <n v="6"/>
    <n v="3"/>
    <n v="16"/>
    <n v="3"/>
    <n v="3"/>
    <n v="12"/>
    <n v="1"/>
  </r>
  <r>
    <x v="1"/>
    <x v="6"/>
    <s v="S12000038"/>
    <n v="1"/>
    <n v="45"/>
    <n v="70"/>
    <m/>
    <n v="27"/>
    <m/>
    <n v="1"/>
    <m/>
    <n v="10"/>
    <n v="4"/>
    <n v="32"/>
    <n v="7"/>
    <n v="23"/>
    <n v="7"/>
    <n v="11"/>
  </r>
  <r>
    <x v="2"/>
    <x v="7"/>
    <s v="S12000010"/>
    <n v="8"/>
    <n v="27"/>
    <n v="12"/>
    <n v="9"/>
    <n v="13"/>
    <n v="5"/>
    <m/>
    <n v="1"/>
    <n v="9"/>
    <n v="20"/>
    <n v="8"/>
    <n v="11"/>
    <n v="3"/>
    <n v="8"/>
    <n v="5"/>
  </r>
  <r>
    <x v="2"/>
    <x v="8"/>
    <s v="S12000046"/>
    <n v="47"/>
    <n v="148"/>
    <n v="958"/>
    <n v="19"/>
    <n v="99"/>
    <n v="6"/>
    <n v="3"/>
    <n v="7"/>
    <n v="84"/>
    <n v="45"/>
    <n v="52"/>
    <n v="24"/>
    <n v="18"/>
    <n v="27"/>
    <n v="25"/>
  </r>
  <r>
    <x v="3"/>
    <x v="4"/>
    <s v="S12000036"/>
    <n v="45"/>
    <n v="134"/>
    <n v="183"/>
    <n v="17"/>
    <n v="115"/>
    <n v="58"/>
    <n v="6"/>
    <n v="3"/>
    <n v="55"/>
    <n v="18"/>
    <n v="27"/>
    <n v="47"/>
    <n v="4"/>
    <n v="22"/>
    <n v="10"/>
  </r>
  <r>
    <x v="3"/>
    <x v="9"/>
    <s v="S12000015"/>
    <n v="13"/>
    <n v="138"/>
    <n v="175"/>
    <n v="2"/>
    <n v="69"/>
    <n v="7"/>
    <m/>
    <n v="2"/>
    <n v="8"/>
    <n v="5"/>
    <n v="11"/>
    <n v="9"/>
    <n v="10"/>
    <n v="10"/>
    <n v="5"/>
  </r>
  <r>
    <x v="3"/>
    <x v="10"/>
    <s v="S12000026"/>
    <n v="17"/>
    <n v="36"/>
    <n v="17"/>
    <m/>
    <n v="60"/>
    <n v="13"/>
    <n v="3"/>
    <n v="2"/>
    <n v="20"/>
    <n v="15"/>
    <n v="21"/>
    <n v="5"/>
    <n v="9"/>
    <n v="9"/>
    <n v="4"/>
  </r>
  <r>
    <x v="3"/>
    <x v="11"/>
    <s v="S12000030"/>
    <n v="2"/>
    <n v="45"/>
    <n v="56"/>
    <n v="5"/>
    <n v="41"/>
    <n v="31"/>
    <n v="2"/>
    <n v="2"/>
    <n v="11"/>
    <n v="15"/>
    <n v="2"/>
    <n v="7"/>
    <n v="2"/>
    <n v="2"/>
    <n v="1"/>
  </r>
  <r>
    <x v="4"/>
    <x v="12"/>
    <s v="S12000033"/>
    <n v="22"/>
    <n v="113"/>
    <n v="136"/>
    <n v="2"/>
    <n v="32"/>
    <n v="1"/>
    <n v="5"/>
    <n v="2"/>
    <n v="5"/>
    <n v="9"/>
    <n v="10"/>
    <n v="6"/>
    <n v="7"/>
    <n v="6"/>
    <n v="8"/>
  </r>
  <r>
    <x v="4"/>
    <x v="13"/>
    <s v="S12000024"/>
    <n v="69"/>
    <n v="86"/>
    <n v="18"/>
    <n v="7"/>
    <n v="48"/>
    <n v="30"/>
    <m/>
    <n v="1"/>
    <n v="5"/>
    <n v="2"/>
    <n v="8"/>
    <n v="5"/>
    <n v="7"/>
    <n v="3"/>
    <n v="4"/>
  </r>
  <r>
    <x v="5"/>
    <x v="2"/>
    <s v="S12000020"/>
    <n v="4"/>
    <n v="21"/>
    <n v="6"/>
    <n v="1"/>
    <n v="20"/>
    <n v="23"/>
    <n v="1"/>
    <n v="1"/>
    <m/>
    <n v="7"/>
    <n v="7"/>
    <n v="4"/>
    <n v="4"/>
    <n v="1"/>
    <m/>
  </r>
  <r>
    <x v="5"/>
    <x v="14"/>
    <s v="S12000013"/>
    <m/>
    <m/>
    <m/>
    <m/>
    <m/>
    <m/>
    <m/>
    <m/>
    <m/>
    <m/>
    <m/>
    <m/>
    <m/>
    <m/>
    <m/>
  </r>
  <r>
    <x v="5"/>
    <x v="15"/>
    <s v="S12000021"/>
    <n v="3"/>
    <n v="62"/>
    <n v="8"/>
    <n v="7"/>
    <n v="8"/>
    <n v="11"/>
    <n v="5"/>
    <n v="1"/>
    <n v="8"/>
    <n v="2"/>
    <n v="14"/>
    <n v="7"/>
    <n v="4"/>
    <n v="3"/>
    <n v="5"/>
  </r>
  <r>
    <x v="5"/>
    <x v="16"/>
    <s v="S12000040"/>
    <n v="5"/>
    <n v="45"/>
    <n v="26"/>
    <m/>
    <n v="10"/>
    <n v="2"/>
    <n v="1"/>
    <n v="1"/>
    <n v="9"/>
    <n v="11"/>
    <n v="17"/>
    <n v="22"/>
    <n v="17"/>
    <n v="5"/>
    <n v="3"/>
  </r>
  <r>
    <x v="6"/>
    <x v="12"/>
    <s v="S12000033"/>
    <n v="17"/>
    <n v="72"/>
    <n v="71"/>
    <m/>
    <n v="2"/>
    <n v="5"/>
    <n v="1"/>
    <m/>
    <n v="1"/>
    <n v="1"/>
    <n v="3"/>
    <m/>
    <n v="2"/>
    <n v="3"/>
    <n v="3"/>
  </r>
  <r>
    <x v="6"/>
    <x v="17"/>
    <s v="S12000041"/>
    <n v="7"/>
    <n v="42"/>
    <n v="3"/>
    <m/>
    <m/>
    <n v="3"/>
    <m/>
    <m/>
    <m/>
    <m/>
    <n v="3"/>
    <n v="1"/>
    <m/>
    <m/>
    <m/>
  </r>
  <r>
    <x v="6"/>
    <x v="5"/>
    <s v="S12000008"/>
    <n v="8"/>
    <n v="50"/>
    <n v="2"/>
    <m/>
    <n v="1"/>
    <n v="3"/>
    <m/>
    <m/>
    <n v="3"/>
    <m/>
    <n v="2"/>
    <m/>
    <m/>
    <m/>
    <m/>
  </r>
  <r>
    <x v="6"/>
    <x v="13"/>
    <s v="S12000048"/>
    <n v="36"/>
    <n v="65"/>
    <n v="7"/>
    <n v="9"/>
    <n v="2"/>
    <n v="15"/>
    <m/>
    <m/>
    <n v="2"/>
    <n v="1"/>
    <n v="7"/>
    <n v="1"/>
    <m/>
    <n v="3"/>
    <m/>
  </r>
  <r>
    <x v="0"/>
    <x v="18"/>
    <s v="S12000045"/>
    <n v="5"/>
    <n v="18"/>
    <n v="1"/>
    <m/>
    <n v="5"/>
    <n v="1"/>
    <m/>
    <n v="1"/>
    <n v="2"/>
    <n v="2"/>
    <n v="6"/>
    <n v="2"/>
    <n v="4"/>
    <n v="4"/>
    <n v="3"/>
  </r>
  <r>
    <x v="0"/>
    <x v="19"/>
    <s v="S12000019"/>
    <n v="3"/>
    <n v="18"/>
    <n v="35"/>
    <n v="5"/>
    <n v="2"/>
    <n v="2"/>
    <n v="1"/>
    <m/>
    <n v="4"/>
    <n v="14"/>
    <n v="38"/>
    <m/>
    <n v="1"/>
    <n v="1"/>
    <n v="2"/>
  </r>
  <r>
    <x v="0"/>
    <x v="15"/>
    <s v="S12000021"/>
    <n v="7"/>
    <n v="58"/>
    <n v="2"/>
    <n v="1"/>
    <n v="6"/>
    <n v="1"/>
    <m/>
    <n v="1"/>
    <n v="1"/>
    <n v="2"/>
    <n v="11"/>
    <n v="9"/>
    <n v="1"/>
    <n v="6"/>
    <n v="3"/>
  </r>
  <r>
    <x v="0"/>
    <x v="6"/>
    <s v="S12000038"/>
    <n v="1"/>
    <n v="51"/>
    <n v="16"/>
    <m/>
    <n v="21"/>
    <m/>
    <m/>
    <m/>
    <n v="31"/>
    <n v="12"/>
    <n v="37"/>
    <n v="10"/>
    <n v="10"/>
    <n v="17"/>
    <n v="9"/>
  </r>
  <r>
    <x v="0"/>
    <x v="10"/>
    <s v="S12000026"/>
    <n v="17"/>
    <n v="34"/>
    <n v="22"/>
    <n v="2"/>
    <n v="85"/>
    <n v="41"/>
    <m/>
    <n v="2"/>
    <n v="21"/>
    <n v="8"/>
    <n v="117"/>
    <n v="11"/>
    <n v="7"/>
    <n v="7"/>
    <n v="7"/>
  </r>
  <r>
    <x v="1"/>
    <x v="12"/>
    <s v="S12000033"/>
    <n v="23"/>
    <n v="41"/>
    <n v="192"/>
    <n v="2"/>
    <n v="25"/>
    <n v="2"/>
    <n v="5"/>
    <m/>
    <n v="10"/>
    <n v="1"/>
    <n v="1"/>
    <n v="7"/>
    <m/>
    <n v="1"/>
    <n v="5"/>
  </r>
  <r>
    <x v="1"/>
    <x v="20"/>
    <s v="S12000034"/>
    <n v="13"/>
    <n v="109"/>
    <n v="44"/>
    <n v="2"/>
    <n v="106"/>
    <n v="38"/>
    <m/>
    <m/>
    <n v="24"/>
    <n v="3"/>
    <m/>
    <n v="8"/>
    <n v="15"/>
    <n v="5"/>
    <n v="6"/>
  </r>
  <r>
    <x v="1"/>
    <x v="7"/>
    <s v="S12000010"/>
    <n v="8"/>
    <n v="27"/>
    <n v="13"/>
    <n v="9"/>
    <n v="32"/>
    <n v="22"/>
    <n v="1"/>
    <n v="5"/>
    <n v="8"/>
    <n v="3"/>
    <n v="9"/>
    <n v="7"/>
    <n v="3"/>
    <n v="4"/>
    <n v="5"/>
  </r>
  <r>
    <x v="1"/>
    <x v="21"/>
    <s v="S12000011"/>
    <n v="1"/>
    <n v="10"/>
    <m/>
    <m/>
    <n v="5"/>
    <n v="1"/>
    <n v="1"/>
    <m/>
    <n v="4"/>
    <n v="4"/>
    <n v="18"/>
    <n v="1"/>
    <m/>
    <n v="9"/>
    <n v="3"/>
  </r>
  <r>
    <x v="1"/>
    <x v="1"/>
    <s v="S12000017"/>
    <n v="17"/>
    <n v="91"/>
    <n v="76"/>
    <n v="6"/>
    <n v="115"/>
    <n v="7"/>
    <n v="2"/>
    <n v="1"/>
    <n v="8"/>
    <m/>
    <n v="5"/>
    <n v="2"/>
    <n v="2"/>
    <n v="1"/>
    <n v="3"/>
  </r>
  <r>
    <x v="1"/>
    <x v="22"/>
    <s v="S12000018"/>
    <n v="6"/>
    <n v="21"/>
    <n v="6"/>
    <m/>
    <m/>
    <n v="2"/>
    <n v="1"/>
    <m/>
    <n v="1"/>
    <n v="3"/>
    <n v="8"/>
    <n v="5"/>
    <n v="2"/>
    <n v="4"/>
    <n v="4"/>
  </r>
  <r>
    <x v="1"/>
    <x v="23"/>
    <s v="S12000044"/>
    <n v="12"/>
    <n v="87"/>
    <n v="30"/>
    <m/>
    <n v="38"/>
    <n v="5"/>
    <n v="2"/>
    <n v="6"/>
    <n v="23"/>
    <n v="15"/>
    <n v="118"/>
    <n v="18"/>
    <n v="36"/>
    <n v="113"/>
    <n v="51"/>
  </r>
  <r>
    <x v="1"/>
    <x v="24"/>
    <s v="S12000027"/>
    <m/>
    <n v="10"/>
    <n v="6"/>
    <n v="1"/>
    <n v="4"/>
    <n v="1"/>
    <m/>
    <m/>
    <n v="1"/>
    <m/>
    <m/>
    <n v="1"/>
    <m/>
    <m/>
    <m/>
  </r>
  <r>
    <x v="1"/>
    <x v="16"/>
    <s v="S12000040"/>
    <n v="7"/>
    <n v="47"/>
    <n v="4"/>
    <n v="1"/>
    <n v="33"/>
    <n v="13"/>
    <m/>
    <n v="2"/>
    <n v="8"/>
    <n v="6"/>
    <n v="6"/>
    <n v="7"/>
    <n v="25"/>
    <n v="15"/>
    <n v="2"/>
  </r>
  <r>
    <x v="2"/>
    <x v="25"/>
    <s v="S12000035"/>
    <n v="6"/>
    <n v="29"/>
    <n v="32"/>
    <n v="15"/>
    <n v="146"/>
    <n v="41"/>
    <m/>
    <n v="4"/>
    <n v="11"/>
    <n v="6"/>
    <n v="15"/>
    <n v="6"/>
    <n v="8"/>
    <n v="9"/>
    <n v="3"/>
  </r>
  <r>
    <x v="2"/>
    <x v="26"/>
    <s v="S12000042"/>
    <n v="3"/>
    <n v="37"/>
    <n v="570"/>
    <n v="1"/>
    <n v="28"/>
    <m/>
    <n v="1"/>
    <m/>
    <n v="5"/>
    <n v="2"/>
    <n v="2"/>
    <n v="4"/>
    <n v="3"/>
    <m/>
    <m/>
  </r>
  <r>
    <x v="2"/>
    <x v="18"/>
    <s v="S12000045"/>
    <n v="11"/>
    <n v="28"/>
    <n v="19"/>
    <m/>
    <n v="6"/>
    <n v="2"/>
    <m/>
    <m/>
    <n v="1"/>
    <n v="4"/>
    <n v="1"/>
    <n v="2"/>
    <n v="1"/>
    <n v="1"/>
    <n v="5"/>
  </r>
  <r>
    <x v="2"/>
    <x v="2"/>
    <s v="S12000020"/>
    <n v="8"/>
    <n v="31"/>
    <n v="4"/>
    <n v="1"/>
    <n v="28"/>
    <n v="15"/>
    <m/>
    <n v="1"/>
    <n v="7"/>
    <n v="20"/>
    <n v="3"/>
    <n v="3"/>
    <n v="19"/>
    <n v="2"/>
    <m/>
  </r>
  <r>
    <x v="2"/>
    <x v="24"/>
    <s v="S12000027"/>
    <n v="1"/>
    <n v="11"/>
    <m/>
    <n v="1"/>
    <n v="3"/>
    <m/>
    <m/>
    <m/>
    <m/>
    <m/>
    <m/>
    <m/>
    <m/>
    <m/>
    <m/>
  </r>
  <r>
    <x v="3"/>
    <x v="2"/>
    <s v="S12000020"/>
    <n v="10"/>
    <n v="42"/>
    <n v="15"/>
    <n v="2"/>
    <n v="45"/>
    <n v="44"/>
    <n v="2"/>
    <m/>
    <n v="3"/>
    <n v="21"/>
    <n v="5"/>
    <n v="3"/>
    <n v="14"/>
    <n v="9"/>
    <n v="1"/>
  </r>
  <r>
    <x v="3"/>
    <x v="27"/>
    <s v="S12000023"/>
    <m/>
    <n v="9"/>
    <m/>
    <m/>
    <n v="3"/>
    <m/>
    <m/>
    <m/>
    <m/>
    <m/>
    <m/>
    <m/>
    <n v="1"/>
    <m/>
    <m/>
  </r>
  <r>
    <x v="3"/>
    <x v="28"/>
    <s v="S12000039"/>
    <n v="4"/>
    <n v="18"/>
    <n v="21"/>
    <m/>
    <n v="16"/>
    <n v="2"/>
    <m/>
    <n v="1"/>
    <n v="6"/>
    <n v="7"/>
    <n v="10"/>
    <n v="2"/>
    <n v="10"/>
    <n v="11"/>
    <n v="1"/>
  </r>
  <r>
    <x v="3"/>
    <x v="16"/>
    <s v="S12000040"/>
    <n v="5"/>
    <n v="56"/>
    <n v="3"/>
    <n v="1"/>
    <n v="8"/>
    <m/>
    <m/>
    <n v="3"/>
    <n v="14"/>
    <n v="16"/>
    <n v="21"/>
    <n v="15"/>
    <n v="14"/>
    <n v="5"/>
    <n v="3"/>
  </r>
  <r>
    <x v="4"/>
    <x v="17"/>
    <s v="S12000041"/>
    <n v="6"/>
    <n v="39"/>
    <n v="6"/>
    <m/>
    <n v="14"/>
    <n v="6"/>
    <n v="1"/>
    <n v="5"/>
    <n v="17"/>
    <n v="4"/>
    <n v="3"/>
    <n v="13"/>
    <n v="2"/>
    <n v="3"/>
    <n v="7"/>
  </r>
  <r>
    <x v="4"/>
    <x v="21"/>
    <s v="S12000011"/>
    <n v="1"/>
    <n v="15"/>
    <m/>
    <m/>
    <n v="6"/>
    <n v="1"/>
    <n v="1"/>
    <n v="1"/>
    <n v="2"/>
    <n v="2"/>
    <n v="1"/>
    <n v="3"/>
    <n v="2"/>
    <m/>
    <n v="1"/>
  </r>
  <r>
    <x v="4"/>
    <x v="19"/>
    <s v="S12000019"/>
    <n v="3"/>
    <n v="19"/>
    <n v="17"/>
    <n v="2"/>
    <n v="13"/>
    <n v="2"/>
    <n v="2"/>
    <n v="2"/>
    <n v="20"/>
    <n v="12"/>
    <n v="22"/>
    <n v="3"/>
    <n v="6"/>
    <n v="4"/>
    <n v="11"/>
  </r>
  <r>
    <x v="4"/>
    <x v="23"/>
    <s v="S12000044"/>
    <n v="9"/>
    <n v="58"/>
    <n v="24"/>
    <m/>
    <n v="29"/>
    <n v="3"/>
    <m/>
    <n v="1"/>
    <n v="24"/>
    <n v="17"/>
    <n v="41"/>
    <n v="28"/>
    <n v="17"/>
    <n v="35"/>
    <n v="21"/>
  </r>
  <r>
    <x v="0"/>
    <x v="29"/>
    <s v="S12000005"/>
    <m/>
    <n v="22"/>
    <n v="2"/>
    <m/>
    <n v="5"/>
    <n v="4"/>
    <m/>
    <m/>
    <n v="1"/>
    <n v="3"/>
    <n v="2"/>
    <n v="1"/>
    <n v="1"/>
    <n v="3"/>
    <m/>
  </r>
  <r>
    <x v="0"/>
    <x v="8"/>
    <s v="S12000046"/>
    <n v="41"/>
    <n v="102"/>
    <n v="475"/>
    <n v="15"/>
    <n v="83"/>
    <n v="1"/>
    <n v="11"/>
    <n v="6"/>
    <n v="98"/>
    <n v="27"/>
    <n v="93"/>
    <n v="31"/>
    <n v="54"/>
    <n v="63"/>
    <n v="22"/>
  </r>
  <r>
    <x v="1"/>
    <x v="10"/>
    <s v="S12000026"/>
    <n v="16"/>
    <n v="39"/>
    <n v="37"/>
    <n v="1"/>
    <n v="55"/>
    <n v="35"/>
    <m/>
    <n v="6"/>
    <n v="20"/>
    <n v="16"/>
    <n v="20"/>
    <n v="12"/>
    <n v="10"/>
    <n v="13"/>
    <n v="10"/>
  </r>
  <r>
    <x v="2"/>
    <x v="17"/>
    <s v="S12000041"/>
    <n v="1"/>
    <n v="35"/>
    <n v="9"/>
    <m/>
    <n v="12"/>
    <n v="11"/>
    <m/>
    <m/>
    <n v="8"/>
    <n v="1"/>
    <n v="6"/>
    <n v="7"/>
    <n v="2"/>
    <n v="2"/>
    <n v="5"/>
  </r>
  <r>
    <x v="2"/>
    <x v="15"/>
    <s v="S12000021"/>
    <n v="5"/>
    <n v="72"/>
    <n v="6"/>
    <n v="3"/>
    <n v="20"/>
    <n v="47"/>
    <m/>
    <n v="1"/>
    <n v="9"/>
    <n v="9"/>
    <n v="11"/>
    <n v="16"/>
    <n v="22"/>
    <n v="5"/>
    <n v="4"/>
  </r>
  <r>
    <x v="2"/>
    <x v="10"/>
    <s v="S12000026"/>
    <n v="18"/>
    <n v="32"/>
    <n v="39"/>
    <m/>
    <n v="53"/>
    <n v="26"/>
    <n v="1"/>
    <n v="6"/>
    <n v="29"/>
    <n v="19"/>
    <n v="31"/>
    <n v="8"/>
    <n v="9"/>
    <n v="11"/>
    <n v="3"/>
  </r>
  <r>
    <x v="3"/>
    <x v="18"/>
    <s v="S12000045"/>
    <n v="1"/>
    <n v="32"/>
    <n v="22"/>
    <m/>
    <n v="7"/>
    <n v="1"/>
    <m/>
    <n v="3"/>
    <n v="4"/>
    <n v="4"/>
    <n v="6"/>
    <n v="5"/>
    <n v="1"/>
    <n v="3"/>
    <n v="3"/>
  </r>
  <r>
    <x v="3"/>
    <x v="21"/>
    <s v="S12000011"/>
    <n v="1"/>
    <n v="16"/>
    <n v="2"/>
    <m/>
    <n v="8"/>
    <m/>
    <m/>
    <m/>
    <m/>
    <n v="1"/>
    <n v="1"/>
    <m/>
    <n v="1"/>
    <m/>
    <m/>
  </r>
  <r>
    <x v="3"/>
    <x v="1"/>
    <s v="S12000017"/>
    <n v="12"/>
    <n v="79"/>
    <n v="60"/>
    <n v="27"/>
    <n v="82"/>
    <n v="10"/>
    <m/>
    <n v="1"/>
    <n v="4"/>
    <n v="2"/>
    <n v="1"/>
    <n v="4"/>
    <n v="2"/>
    <m/>
    <n v="2"/>
  </r>
  <r>
    <x v="3"/>
    <x v="14"/>
    <s v="S12000013"/>
    <n v="4"/>
    <n v="11"/>
    <m/>
    <m/>
    <n v="5"/>
    <n v="2"/>
    <m/>
    <m/>
    <m/>
    <m/>
    <n v="1"/>
    <m/>
    <m/>
    <m/>
    <m/>
  </r>
  <r>
    <x v="3"/>
    <x v="6"/>
    <s v="S12000038"/>
    <n v="3"/>
    <n v="56"/>
    <n v="6"/>
    <m/>
    <n v="16"/>
    <m/>
    <n v="2"/>
    <m/>
    <n v="4"/>
    <n v="1"/>
    <n v="1"/>
    <m/>
    <n v="1"/>
    <n v="1"/>
    <m/>
  </r>
  <r>
    <x v="4"/>
    <x v="4"/>
    <s v="S12000036"/>
    <n v="66"/>
    <n v="120"/>
    <n v="142"/>
    <n v="21"/>
    <n v="112"/>
    <n v="23"/>
    <n v="2"/>
    <n v="5"/>
    <n v="85"/>
    <n v="16"/>
    <n v="26"/>
    <n v="40"/>
    <n v="7"/>
    <n v="41"/>
    <n v="8"/>
  </r>
  <r>
    <x v="4"/>
    <x v="5"/>
    <s v="S12000008"/>
    <n v="3"/>
    <n v="57"/>
    <n v="7"/>
    <m/>
    <n v="24"/>
    <n v="8"/>
    <m/>
    <m/>
    <n v="9"/>
    <n v="8"/>
    <n v="11"/>
    <n v="6"/>
    <n v="7"/>
    <n v="3"/>
    <n v="2"/>
  </r>
  <r>
    <x v="4"/>
    <x v="3"/>
    <s v="S12000029"/>
    <n v="26"/>
    <n v="98"/>
    <n v="52"/>
    <m/>
    <n v="31"/>
    <n v="2"/>
    <m/>
    <m/>
    <n v="5"/>
    <n v="1"/>
    <n v="8"/>
    <n v="10"/>
    <n v="6"/>
    <n v="9"/>
    <n v="4"/>
  </r>
  <r>
    <x v="5"/>
    <x v="12"/>
    <s v="S12000033"/>
    <n v="15"/>
    <n v="70"/>
    <n v="231"/>
    <m/>
    <n v="44"/>
    <n v="17"/>
    <n v="2"/>
    <n v="1"/>
    <n v="7"/>
    <n v="6"/>
    <n v="13"/>
    <n v="9"/>
    <n v="8"/>
    <n v="6"/>
    <n v="4"/>
  </r>
  <r>
    <x v="5"/>
    <x v="17"/>
    <s v="S12000041"/>
    <n v="7"/>
    <n v="38"/>
    <n v="7"/>
    <m/>
    <n v="2"/>
    <n v="6"/>
    <m/>
    <n v="7"/>
    <n v="10"/>
    <n v="8"/>
    <n v="10"/>
    <n v="9"/>
    <n v="8"/>
    <n v="2"/>
    <n v="9"/>
  </r>
  <r>
    <x v="5"/>
    <x v="28"/>
    <s v="S12000039"/>
    <n v="6"/>
    <n v="19"/>
    <n v="21"/>
    <m/>
    <n v="20"/>
    <n v="3"/>
    <m/>
    <n v="2"/>
    <n v="12"/>
    <n v="1"/>
    <n v="13"/>
    <n v="7"/>
    <n v="15"/>
    <n v="5"/>
    <n v="4"/>
  </r>
  <r>
    <x v="6"/>
    <x v="4"/>
    <s v="S12000036"/>
    <n v="22"/>
    <n v="90"/>
    <n v="175"/>
    <n v="3"/>
    <n v="10"/>
    <n v="11"/>
    <m/>
    <n v="2"/>
    <n v="20"/>
    <n v="5"/>
    <n v="8"/>
    <n v="8"/>
    <n v="2"/>
    <n v="6"/>
    <m/>
  </r>
  <r>
    <x v="6"/>
    <x v="7"/>
    <s v="S12000010"/>
    <n v="3"/>
    <n v="23"/>
    <n v="5"/>
    <m/>
    <n v="2"/>
    <m/>
    <m/>
    <m/>
    <n v="3"/>
    <n v="2"/>
    <n v="1"/>
    <n v="3"/>
    <n v="2"/>
    <m/>
    <n v="1"/>
  </r>
  <r>
    <x v="6"/>
    <x v="21"/>
    <s v="S12000011"/>
    <m/>
    <n v="13"/>
    <n v="1"/>
    <m/>
    <m/>
    <m/>
    <m/>
    <m/>
    <m/>
    <n v="2"/>
    <n v="2"/>
    <m/>
    <m/>
    <m/>
    <n v="1"/>
  </r>
  <r>
    <x v="0"/>
    <x v="5"/>
    <s v="S12000008"/>
    <n v="10"/>
    <n v="30"/>
    <n v="19"/>
    <m/>
    <n v="22"/>
    <m/>
    <m/>
    <m/>
    <n v="11"/>
    <n v="5"/>
    <n v="21"/>
    <n v="11"/>
    <n v="13"/>
    <n v="7"/>
    <n v="4"/>
  </r>
  <r>
    <x v="0"/>
    <x v="23"/>
    <s v="S12000044"/>
    <n v="7"/>
    <n v="39"/>
    <n v="55"/>
    <m/>
    <n v="20"/>
    <n v="2"/>
    <m/>
    <n v="5"/>
    <n v="35"/>
    <n v="3"/>
    <n v="42"/>
    <n v="9"/>
    <n v="26"/>
    <n v="42"/>
    <n v="16"/>
  </r>
  <r>
    <x v="1"/>
    <x v="25"/>
    <s v="S12000035"/>
    <n v="11"/>
    <n v="32"/>
    <n v="19"/>
    <n v="12"/>
    <n v="176"/>
    <n v="30"/>
    <n v="1"/>
    <n v="2"/>
    <n v="3"/>
    <n v="10"/>
    <n v="18"/>
    <n v="6"/>
    <n v="11"/>
    <n v="6"/>
    <n v="4"/>
  </r>
  <r>
    <x v="1"/>
    <x v="19"/>
    <s v="S12000019"/>
    <n v="3"/>
    <n v="16"/>
    <n v="23"/>
    <n v="3"/>
    <n v="6"/>
    <n v="1"/>
    <m/>
    <n v="1"/>
    <n v="6"/>
    <n v="12"/>
    <n v="16"/>
    <n v="4"/>
    <n v="4"/>
    <n v="1"/>
    <n v="2"/>
  </r>
  <r>
    <x v="1"/>
    <x v="14"/>
    <s v="S12000013"/>
    <n v="1"/>
    <n v="4"/>
    <m/>
    <n v="2"/>
    <n v="1"/>
    <m/>
    <m/>
    <m/>
    <m/>
    <m/>
    <n v="1"/>
    <m/>
    <m/>
    <m/>
    <m/>
  </r>
  <r>
    <x v="1"/>
    <x v="30"/>
    <s v="S12000028"/>
    <n v="19"/>
    <n v="58"/>
    <n v="29"/>
    <n v="3"/>
    <n v="48"/>
    <n v="15"/>
    <m/>
    <m/>
    <n v="15"/>
    <n v="4"/>
    <n v="26"/>
    <n v="9"/>
    <n v="45"/>
    <n v="9"/>
    <n v="8"/>
  </r>
  <r>
    <x v="2"/>
    <x v="12"/>
    <s v="S12000033"/>
    <n v="21"/>
    <n v="103"/>
    <n v="219"/>
    <n v="2"/>
    <n v="50"/>
    <n v="4"/>
    <m/>
    <n v="1"/>
    <n v="10"/>
    <n v="4"/>
    <n v="6"/>
    <n v="6"/>
    <n v="2"/>
    <n v="5"/>
    <n v="2"/>
  </r>
  <r>
    <x v="2"/>
    <x v="1"/>
    <s v="S12000017"/>
    <n v="18"/>
    <n v="93"/>
    <n v="47"/>
    <n v="10"/>
    <n v="67"/>
    <n v="9"/>
    <m/>
    <m/>
    <n v="8"/>
    <n v="1"/>
    <n v="8"/>
    <n v="1"/>
    <n v="4"/>
    <n v="1"/>
    <n v="1"/>
  </r>
  <r>
    <x v="2"/>
    <x v="14"/>
    <s v="S12000013"/>
    <n v="2"/>
    <n v="7"/>
    <n v="2"/>
    <n v="1"/>
    <n v="8"/>
    <n v="1"/>
    <m/>
    <m/>
    <m/>
    <m/>
    <m/>
    <m/>
    <m/>
    <m/>
    <m/>
  </r>
  <r>
    <x v="2"/>
    <x v="16"/>
    <s v="S12000040"/>
    <n v="10"/>
    <n v="47"/>
    <n v="2"/>
    <n v="1"/>
    <n v="16"/>
    <n v="1"/>
    <n v="2"/>
    <n v="4"/>
    <n v="22"/>
    <n v="15"/>
    <n v="12"/>
    <n v="11"/>
    <n v="18"/>
    <n v="11"/>
    <n v="5"/>
  </r>
  <r>
    <x v="3"/>
    <x v="0"/>
    <s v="S12000006"/>
    <n v="18"/>
    <n v="88"/>
    <n v="39"/>
    <n v="8"/>
    <n v="86"/>
    <n v="7"/>
    <m/>
    <n v="12"/>
    <n v="15"/>
    <n v="10"/>
    <n v="35"/>
    <n v="15"/>
    <n v="30"/>
    <n v="9"/>
    <n v="7"/>
  </r>
  <r>
    <x v="3"/>
    <x v="22"/>
    <s v="S12000018"/>
    <m/>
    <n v="35"/>
    <n v="10"/>
    <m/>
    <n v="6"/>
    <n v="1"/>
    <n v="1"/>
    <n v="1"/>
    <n v="3"/>
    <n v="1"/>
    <n v="1"/>
    <n v="1"/>
    <n v="3"/>
    <n v="1"/>
    <n v="1"/>
  </r>
  <r>
    <x v="3"/>
    <x v="15"/>
    <s v="S12000021"/>
    <n v="2"/>
    <n v="40"/>
    <n v="3"/>
    <m/>
    <n v="29"/>
    <n v="4"/>
    <n v="1"/>
    <m/>
    <n v="7"/>
    <n v="1"/>
    <n v="8"/>
    <n v="2"/>
    <n v="1"/>
    <n v="3"/>
    <n v="1"/>
  </r>
  <r>
    <x v="3"/>
    <x v="23"/>
    <s v="S12000044"/>
    <n v="10"/>
    <n v="59"/>
    <n v="24"/>
    <m/>
    <n v="27"/>
    <n v="5"/>
    <m/>
    <n v="4"/>
    <n v="26"/>
    <n v="6"/>
    <n v="81"/>
    <n v="18"/>
    <n v="24"/>
    <n v="40"/>
    <n v="27"/>
  </r>
  <r>
    <x v="3"/>
    <x v="13"/>
    <s v="S12000024"/>
    <n v="58"/>
    <n v="80"/>
    <n v="6"/>
    <n v="9"/>
    <n v="70"/>
    <n v="36"/>
    <m/>
    <n v="1"/>
    <n v="4"/>
    <n v="2"/>
    <n v="5"/>
    <n v="14"/>
    <n v="3"/>
    <n v="4"/>
    <n v="1"/>
  </r>
  <r>
    <x v="4"/>
    <x v="20"/>
    <s v="S12000034"/>
    <n v="26"/>
    <n v="88"/>
    <n v="48"/>
    <n v="7"/>
    <n v="73"/>
    <n v="48"/>
    <n v="3"/>
    <n v="3"/>
    <n v="13"/>
    <n v="8"/>
    <n v="13"/>
    <n v="4"/>
    <n v="21"/>
    <n v="13"/>
    <n v="5"/>
  </r>
  <r>
    <x v="5"/>
    <x v="29"/>
    <s v="S12000005"/>
    <n v="4"/>
    <n v="22"/>
    <n v="3"/>
    <m/>
    <m/>
    <m/>
    <m/>
    <m/>
    <m/>
    <n v="8"/>
    <n v="1"/>
    <n v="4"/>
    <n v="3"/>
    <n v="4"/>
    <m/>
  </r>
  <r>
    <x v="5"/>
    <x v="26"/>
    <s v="S12000042"/>
    <n v="3"/>
    <n v="35"/>
    <n v="336"/>
    <n v="1"/>
    <n v="17"/>
    <n v="1"/>
    <m/>
    <n v="2"/>
    <n v="12"/>
    <n v="1"/>
    <n v="4"/>
    <n v="7"/>
    <n v="4"/>
    <m/>
    <n v="1"/>
  </r>
  <r>
    <x v="5"/>
    <x v="8"/>
    <s v="S12000046"/>
    <n v="25"/>
    <n v="86"/>
    <n v="646"/>
    <n v="6"/>
    <n v="74"/>
    <n v="5"/>
    <n v="4"/>
    <n v="3"/>
    <n v="42"/>
    <n v="17"/>
    <n v="58"/>
    <n v="23"/>
    <n v="10"/>
    <n v="27"/>
    <n v="12"/>
  </r>
  <r>
    <x v="5"/>
    <x v="10"/>
    <s v="S12000026"/>
    <n v="18"/>
    <n v="32"/>
    <n v="16"/>
    <m/>
    <n v="8"/>
    <n v="2"/>
    <m/>
    <m/>
    <n v="4"/>
    <n v="11"/>
    <n v="1"/>
    <n v="6"/>
    <n v="5"/>
    <m/>
    <n v="1"/>
  </r>
  <r>
    <x v="6"/>
    <x v="0"/>
    <s v="S12000006"/>
    <n v="8"/>
    <n v="69"/>
    <n v="34"/>
    <m/>
    <n v="3"/>
    <n v="1"/>
    <m/>
    <m/>
    <n v="1"/>
    <n v="1"/>
    <n v="4"/>
    <n v="2"/>
    <m/>
    <n v="1"/>
    <m/>
  </r>
  <r>
    <x v="6"/>
    <x v="8"/>
    <s v="S12000049"/>
    <n v="10"/>
    <n v="108"/>
    <n v="222"/>
    <n v="6"/>
    <n v="30"/>
    <n v="4"/>
    <n v="5"/>
    <n v="1"/>
    <n v="10"/>
    <n v="7"/>
    <n v="30"/>
    <n v="11"/>
    <n v="7"/>
    <n v="5"/>
    <n v="14"/>
  </r>
  <r>
    <x v="6"/>
    <x v="1"/>
    <s v="S12000017"/>
    <n v="18"/>
    <n v="56"/>
    <n v="16"/>
    <m/>
    <n v="13"/>
    <n v="2"/>
    <m/>
    <n v="1"/>
    <n v="1"/>
    <n v="1"/>
    <n v="2"/>
    <n v="2"/>
    <n v="4"/>
    <n v="2"/>
    <n v="2"/>
  </r>
  <r>
    <x v="6"/>
    <x v="15"/>
    <s v="S12000021"/>
    <m/>
    <n v="66"/>
    <m/>
    <m/>
    <n v="10"/>
    <n v="2"/>
    <m/>
    <m/>
    <n v="2"/>
    <m/>
    <n v="6"/>
    <n v="1"/>
    <n v="1"/>
    <m/>
    <n v="1"/>
  </r>
  <r>
    <x v="6"/>
    <x v="13"/>
    <s v="S12000024"/>
    <m/>
    <n v="3"/>
    <m/>
    <m/>
    <m/>
    <m/>
    <m/>
    <m/>
    <m/>
    <n v="1"/>
    <m/>
    <m/>
    <m/>
    <m/>
    <m/>
  </r>
  <r>
    <x v="6"/>
    <x v="10"/>
    <s v="S12000026"/>
    <n v="16"/>
    <n v="34"/>
    <n v="5"/>
    <m/>
    <n v="3"/>
    <m/>
    <m/>
    <m/>
    <n v="1"/>
    <n v="2"/>
    <n v="2"/>
    <m/>
    <n v="1"/>
    <m/>
    <n v="2"/>
  </r>
  <r>
    <x v="6"/>
    <x v="3"/>
    <s v="S12000029"/>
    <n v="9"/>
    <n v="83"/>
    <n v="23"/>
    <m/>
    <n v="7"/>
    <m/>
    <m/>
    <m/>
    <n v="1"/>
    <n v="1"/>
    <n v="5"/>
    <n v="1"/>
    <n v="6"/>
    <n v="5"/>
    <n v="5"/>
  </r>
  <r>
    <x v="0"/>
    <x v="12"/>
    <s v="S12000033"/>
    <n v="4"/>
    <n v="71"/>
    <n v="164"/>
    <n v="2"/>
    <n v="72"/>
    <n v="3"/>
    <n v="4"/>
    <m/>
    <n v="27"/>
    <n v="1"/>
    <n v="6"/>
    <n v="6"/>
    <n v="1"/>
    <n v="2"/>
    <n v="6"/>
  </r>
  <r>
    <x v="0"/>
    <x v="4"/>
    <s v="S12000036"/>
    <n v="40"/>
    <n v="127"/>
    <n v="134"/>
    <n v="69"/>
    <n v="105"/>
    <n v="42"/>
    <n v="3"/>
    <n v="7"/>
    <n v="127"/>
    <n v="28"/>
    <n v="89"/>
    <n v="108"/>
    <n v="15"/>
    <n v="43"/>
    <n v="19"/>
  </r>
  <r>
    <x v="0"/>
    <x v="26"/>
    <s v="S12000042"/>
    <n v="37"/>
    <n v="40"/>
    <n v="315"/>
    <n v="1"/>
    <n v="34"/>
    <n v="2"/>
    <m/>
    <m/>
    <n v="23"/>
    <n v="1"/>
    <n v="3"/>
    <n v="3"/>
    <m/>
    <n v="1"/>
    <m/>
  </r>
  <r>
    <x v="0"/>
    <x v="21"/>
    <s v="S12000011"/>
    <n v="1"/>
    <n v="14"/>
    <n v="14"/>
    <m/>
    <n v="7"/>
    <n v="2"/>
    <n v="1"/>
    <n v="3"/>
    <n v="18"/>
    <n v="7"/>
    <n v="25"/>
    <n v="8"/>
    <m/>
    <n v="11"/>
    <n v="8"/>
  </r>
  <r>
    <x v="0"/>
    <x v="9"/>
    <s v="S12000015"/>
    <n v="13"/>
    <n v="118"/>
    <n v="222"/>
    <n v="1"/>
    <n v="57"/>
    <n v="3"/>
    <n v="2"/>
    <n v="4"/>
    <n v="11"/>
    <n v="3"/>
    <n v="13"/>
    <n v="22"/>
    <n v="14"/>
    <n v="10"/>
    <n v="5"/>
  </r>
  <r>
    <x v="1"/>
    <x v="9"/>
    <s v="S12000015"/>
    <n v="18"/>
    <n v="137"/>
    <n v="272"/>
    <n v="1"/>
    <n v="61"/>
    <n v="6"/>
    <n v="2"/>
    <n v="4"/>
    <n v="9"/>
    <n v="12"/>
    <n v="31"/>
    <n v="18"/>
    <n v="23"/>
    <n v="12"/>
    <n v="12"/>
  </r>
  <r>
    <x v="1"/>
    <x v="2"/>
    <s v="S12000020"/>
    <n v="11"/>
    <n v="38"/>
    <n v="13"/>
    <n v="4"/>
    <n v="38"/>
    <n v="28"/>
    <m/>
    <n v="2"/>
    <n v="2"/>
    <n v="2"/>
    <n v="2"/>
    <n v="3"/>
    <n v="43"/>
    <n v="7"/>
    <m/>
  </r>
  <r>
    <x v="1"/>
    <x v="15"/>
    <s v="S12000021"/>
    <n v="5"/>
    <n v="72"/>
    <n v="6"/>
    <n v="4"/>
    <n v="36"/>
    <n v="30"/>
    <m/>
    <n v="1"/>
    <n v="4"/>
    <n v="5"/>
    <n v="39"/>
    <n v="13"/>
    <n v="34"/>
    <n v="4"/>
    <n v="10"/>
  </r>
  <r>
    <x v="1"/>
    <x v="27"/>
    <s v="S12000023"/>
    <n v="1"/>
    <n v="14"/>
    <n v="6"/>
    <n v="1"/>
    <n v="9"/>
    <n v="1"/>
    <m/>
    <m/>
    <m/>
    <m/>
    <m/>
    <m/>
    <m/>
    <m/>
    <m/>
  </r>
  <r>
    <x v="1"/>
    <x v="28"/>
    <s v="S12000039"/>
    <n v="7"/>
    <n v="26"/>
    <n v="19"/>
    <m/>
    <n v="17"/>
    <n v="2"/>
    <n v="1"/>
    <m/>
    <n v="3"/>
    <n v="5"/>
    <n v="7"/>
    <n v="7"/>
    <n v="117"/>
    <n v="9"/>
    <m/>
  </r>
  <r>
    <x v="2"/>
    <x v="20"/>
    <s v="S12000034"/>
    <n v="25"/>
    <n v="89"/>
    <n v="41"/>
    <n v="2"/>
    <n v="59"/>
    <n v="54"/>
    <m/>
    <m/>
    <n v="12"/>
    <n v="62"/>
    <n v="2"/>
    <n v="3"/>
    <n v="8"/>
    <n v="2"/>
    <n v="3"/>
  </r>
  <r>
    <x v="2"/>
    <x v="29"/>
    <s v="S12000005"/>
    <n v="15"/>
    <n v="19"/>
    <n v="2"/>
    <n v="2"/>
    <n v="2"/>
    <n v="1"/>
    <m/>
    <m/>
    <n v="2"/>
    <n v="10"/>
    <n v="6"/>
    <n v="3"/>
    <m/>
    <n v="6"/>
    <m/>
  </r>
  <r>
    <x v="2"/>
    <x v="0"/>
    <s v="S12000006"/>
    <n v="11"/>
    <n v="76"/>
    <n v="44"/>
    <n v="6"/>
    <n v="110"/>
    <n v="10"/>
    <n v="2"/>
    <n v="7"/>
    <n v="5"/>
    <n v="18"/>
    <n v="18"/>
    <n v="8"/>
    <n v="22"/>
    <n v="19"/>
    <n v="7"/>
  </r>
  <r>
    <x v="2"/>
    <x v="5"/>
    <s v="S12000008"/>
    <n v="6"/>
    <n v="46"/>
    <n v="9"/>
    <m/>
    <n v="24"/>
    <n v="9"/>
    <m/>
    <n v="2"/>
    <n v="4"/>
    <n v="2"/>
    <n v="23"/>
    <n v="7"/>
    <n v="22"/>
    <n v="6"/>
    <n v="4"/>
  </r>
  <r>
    <x v="2"/>
    <x v="30"/>
    <s v="S12000028"/>
    <n v="19"/>
    <n v="51"/>
    <n v="32"/>
    <n v="6"/>
    <n v="59"/>
    <n v="34"/>
    <m/>
    <n v="4"/>
    <n v="15"/>
    <n v="4"/>
    <n v="22"/>
    <n v="12"/>
    <n v="9"/>
    <n v="9"/>
    <n v="34"/>
  </r>
  <r>
    <x v="3"/>
    <x v="12"/>
    <s v="S12000033"/>
    <n v="13"/>
    <n v="46"/>
    <n v="170"/>
    <n v="1"/>
    <n v="35"/>
    <n v="1"/>
    <n v="3"/>
    <n v="1"/>
    <n v="9"/>
    <n v="3"/>
    <n v="12"/>
    <n v="6"/>
    <n v="6"/>
    <n v="5"/>
    <n v="4"/>
  </r>
  <r>
    <x v="3"/>
    <x v="20"/>
    <s v="S12000034"/>
    <n v="15"/>
    <n v="92"/>
    <n v="39"/>
    <m/>
    <n v="72"/>
    <n v="52"/>
    <n v="1"/>
    <n v="6"/>
    <n v="10"/>
    <n v="8"/>
    <n v="10"/>
    <n v="8"/>
    <n v="15"/>
    <n v="11"/>
    <n v="5"/>
  </r>
  <r>
    <x v="3"/>
    <x v="24"/>
    <s v="S12000027"/>
    <n v="1"/>
    <n v="16"/>
    <n v="3"/>
    <m/>
    <m/>
    <m/>
    <m/>
    <m/>
    <n v="1"/>
    <n v="1"/>
    <n v="1"/>
    <m/>
    <m/>
    <m/>
    <m/>
  </r>
  <r>
    <x v="4"/>
    <x v="26"/>
    <s v="S12000042"/>
    <n v="14"/>
    <n v="39"/>
    <n v="280"/>
    <n v="2"/>
    <n v="15"/>
    <m/>
    <m/>
    <m/>
    <n v="10"/>
    <n v="6"/>
    <n v="5"/>
    <n v="4"/>
    <n v="1"/>
    <n v="1"/>
    <n v="4"/>
  </r>
  <r>
    <x v="5"/>
    <x v="20"/>
    <s v="S12000034"/>
    <n v="15"/>
    <n v="81"/>
    <n v="20"/>
    <n v="5"/>
    <n v="44"/>
    <n v="47"/>
    <m/>
    <n v="3"/>
    <n v="8"/>
    <n v="30"/>
    <n v="34"/>
    <n v="9"/>
    <n v="19"/>
    <n v="17"/>
    <n v="19"/>
  </r>
  <r>
    <x v="5"/>
    <x v="21"/>
    <s v="S12000011"/>
    <m/>
    <n v="7"/>
    <n v="2"/>
    <m/>
    <n v="6"/>
    <n v="2"/>
    <m/>
    <m/>
    <m/>
    <n v="5"/>
    <m/>
    <n v="3"/>
    <n v="1"/>
    <n v="2"/>
    <m/>
  </r>
  <r>
    <x v="5"/>
    <x v="13"/>
    <s v="S12000024"/>
    <n v="36"/>
    <n v="71"/>
    <n v="10"/>
    <n v="2"/>
    <n v="67"/>
    <n v="33"/>
    <m/>
    <m/>
    <n v="6"/>
    <n v="6"/>
    <n v="6"/>
    <n v="6"/>
    <n v="2"/>
    <n v="1"/>
    <n v="2"/>
  </r>
  <r>
    <x v="5"/>
    <x v="6"/>
    <s v="S12000038"/>
    <n v="1"/>
    <n v="48"/>
    <n v="5"/>
    <m/>
    <n v="24"/>
    <n v="20"/>
    <n v="1"/>
    <m/>
    <n v="9"/>
    <n v="7"/>
    <n v="11"/>
    <n v="10"/>
    <n v="5"/>
    <n v="3"/>
    <n v="5"/>
  </r>
  <r>
    <x v="5"/>
    <x v="24"/>
    <s v="S12000027"/>
    <m/>
    <n v="11"/>
    <m/>
    <m/>
    <m/>
    <m/>
    <m/>
    <m/>
    <m/>
    <m/>
    <m/>
    <m/>
    <m/>
    <m/>
    <m/>
  </r>
  <r>
    <x v="5"/>
    <x v="3"/>
    <s v="S12000029"/>
    <n v="15"/>
    <n v="61"/>
    <n v="45"/>
    <m/>
    <n v="3"/>
    <n v="2"/>
    <m/>
    <n v="1"/>
    <n v="5"/>
    <n v="1"/>
    <n v="13"/>
    <n v="1"/>
    <n v="5"/>
    <n v="3"/>
    <n v="4"/>
  </r>
  <r>
    <x v="6"/>
    <x v="29"/>
    <s v="S12000005"/>
    <n v="2"/>
    <n v="19"/>
    <m/>
    <n v="4"/>
    <m/>
    <m/>
    <m/>
    <m/>
    <n v="1"/>
    <n v="2"/>
    <n v="1"/>
    <n v="3"/>
    <n v="2"/>
    <n v="1"/>
    <m/>
  </r>
  <r>
    <x v="6"/>
    <x v="31"/>
    <s v="S12000014"/>
    <n v="7"/>
    <n v="39"/>
    <m/>
    <m/>
    <m/>
    <m/>
    <n v="1"/>
    <m/>
    <n v="1"/>
    <n v="3"/>
    <n v="2"/>
    <n v="3"/>
    <n v="4"/>
    <n v="1"/>
    <n v="1"/>
  </r>
  <r>
    <x v="6"/>
    <x v="2"/>
    <s v="S12000020"/>
    <n v="3"/>
    <n v="6"/>
    <n v="2"/>
    <m/>
    <n v="5"/>
    <n v="12"/>
    <m/>
    <m/>
    <m/>
    <n v="4"/>
    <n v="3"/>
    <m/>
    <n v="6"/>
    <m/>
    <n v="1"/>
  </r>
  <r>
    <x v="0"/>
    <x v="7"/>
    <s v="S12000010"/>
    <n v="8"/>
    <n v="22"/>
    <n v="24"/>
    <n v="7"/>
    <n v="6"/>
    <n v="2"/>
    <n v="1"/>
    <n v="1"/>
    <n v="4"/>
    <n v="5"/>
    <n v="6"/>
    <n v="12"/>
    <n v="3"/>
    <n v="1"/>
    <m/>
  </r>
  <r>
    <x v="0"/>
    <x v="22"/>
    <s v="S12000018"/>
    <n v="2"/>
    <n v="40"/>
    <n v="9"/>
    <m/>
    <n v="4"/>
    <m/>
    <n v="1"/>
    <n v="3"/>
    <n v="7"/>
    <n v="13"/>
    <n v="21"/>
    <n v="9"/>
    <n v="7"/>
    <n v="24"/>
    <n v="7"/>
  </r>
  <r>
    <x v="1"/>
    <x v="29"/>
    <s v="S12000005"/>
    <n v="12"/>
    <n v="22"/>
    <n v="3"/>
    <m/>
    <n v="2"/>
    <n v="2"/>
    <m/>
    <n v="1"/>
    <m/>
    <m/>
    <m/>
    <n v="2"/>
    <n v="2"/>
    <n v="5"/>
    <m/>
  </r>
  <r>
    <x v="1"/>
    <x v="26"/>
    <s v="S12000042"/>
    <n v="19"/>
    <n v="38"/>
    <n v="489"/>
    <m/>
    <n v="3"/>
    <m/>
    <m/>
    <n v="1"/>
    <n v="21"/>
    <n v="2"/>
    <n v="7"/>
    <n v="13"/>
    <n v="1"/>
    <n v="1"/>
    <n v="3"/>
  </r>
  <r>
    <x v="1"/>
    <x v="18"/>
    <s v="S12000045"/>
    <n v="7"/>
    <n v="29"/>
    <n v="24"/>
    <m/>
    <n v="5"/>
    <n v="1"/>
    <m/>
    <m/>
    <n v="2"/>
    <n v="5"/>
    <n v="2"/>
    <n v="3"/>
    <n v="7"/>
    <n v="5"/>
    <n v="5"/>
  </r>
  <r>
    <x v="2"/>
    <x v="21"/>
    <s v="S12000011"/>
    <n v="1"/>
    <n v="20"/>
    <n v="9"/>
    <m/>
    <n v="8"/>
    <n v="4"/>
    <m/>
    <n v="2"/>
    <n v="4"/>
    <n v="2"/>
    <n v="10"/>
    <n v="2"/>
    <m/>
    <n v="14"/>
    <n v="4"/>
  </r>
  <r>
    <x v="2"/>
    <x v="22"/>
    <s v="S12000018"/>
    <n v="1"/>
    <n v="37"/>
    <n v="7"/>
    <m/>
    <n v="3"/>
    <n v="2"/>
    <m/>
    <n v="3"/>
    <n v="11"/>
    <n v="3"/>
    <n v="27"/>
    <n v="4"/>
    <n v="9"/>
    <n v="4"/>
    <n v="4"/>
  </r>
  <r>
    <x v="2"/>
    <x v="23"/>
    <s v="S12000044"/>
    <n v="6"/>
    <n v="55"/>
    <n v="22"/>
    <m/>
    <n v="29"/>
    <n v="2"/>
    <n v="2"/>
    <m/>
    <n v="48"/>
    <n v="16"/>
    <n v="86"/>
    <n v="22"/>
    <n v="58"/>
    <n v="61"/>
    <n v="89"/>
  </r>
  <r>
    <x v="2"/>
    <x v="13"/>
    <s v="S12000024"/>
    <n v="57"/>
    <n v="81"/>
    <n v="30"/>
    <n v="4"/>
    <n v="34"/>
    <n v="39"/>
    <m/>
    <n v="2"/>
    <n v="15"/>
    <n v="4"/>
    <n v="3"/>
    <n v="8"/>
    <n v="2"/>
    <n v="5"/>
    <n v="3"/>
  </r>
  <r>
    <x v="2"/>
    <x v="3"/>
    <s v="S12000029"/>
    <n v="12"/>
    <n v="102"/>
    <n v="36"/>
    <n v="1"/>
    <n v="26"/>
    <n v="2"/>
    <n v="1"/>
    <n v="5"/>
    <n v="4"/>
    <n v="4"/>
    <n v="22"/>
    <n v="9"/>
    <n v="12"/>
    <n v="6"/>
    <n v="9"/>
  </r>
  <r>
    <x v="3"/>
    <x v="17"/>
    <s v="S12000041"/>
    <n v="15"/>
    <n v="35"/>
    <n v="4"/>
    <n v="1"/>
    <n v="19"/>
    <n v="16"/>
    <m/>
    <n v="2"/>
    <n v="12"/>
    <m/>
    <n v="3"/>
    <n v="7"/>
    <n v="3"/>
    <m/>
    <n v="2"/>
  </r>
  <r>
    <x v="3"/>
    <x v="29"/>
    <s v="S12000005"/>
    <n v="1"/>
    <n v="19"/>
    <n v="5"/>
    <m/>
    <n v="6"/>
    <n v="1"/>
    <n v="1"/>
    <m/>
    <n v="1"/>
    <n v="23"/>
    <n v="1"/>
    <n v="1"/>
    <n v="3"/>
    <n v="2"/>
    <m/>
  </r>
  <r>
    <x v="3"/>
    <x v="26"/>
    <s v="S12000042"/>
    <n v="9"/>
    <n v="36"/>
    <n v="195"/>
    <n v="1"/>
    <n v="41"/>
    <n v="4"/>
    <n v="2"/>
    <n v="1"/>
    <n v="5"/>
    <n v="1"/>
    <n v="5"/>
    <n v="2"/>
    <n v="2"/>
    <n v="2"/>
    <m/>
  </r>
  <r>
    <x v="3"/>
    <x v="7"/>
    <s v="S12000010"/>
    <n v="5"/>
    <n v="28"/>
    <n v="12"/>
    <n v="2"/>
    <n v="11"/>
    <n v="21"/>
    <m/>
    <n v="1"/>
    <n v="11"/>
    <n v="13"/>
    <n v="2"/>
    <n v="16"/>
    <n v="10"/>
    <n v="8"/>
    <n v="4"/>
  </r>
  <r>
    <x v="4"/>
    <x v="29"/>
    <s v="S12000005"/>
    <n v="5"/>
    <n v="22"/>
    <n v="8"/>
    <n v="2"/>
    <n v="3"/>
    <n v="2"/>
    <m/>
    <m/>
    <n v="1"/>
    <n v="17"/>
    <m/>
    <n v="1"/>
    <n v="7"/>
    <n v="2"/>
    <m/>
  </r>
  <r>
    <x v="4"/>
    <x v="9"/>
    <s v="S12000015"/>
    <n v="29"/>
    <n v="135"/>
    <n v="214"/>
    <m/>
    <n v="85"/>
    <n v="10"/>
    <m/>
    <n v="4"/>
    <n v="12"/>
    <n v="122"/>
    <n v="9"/>
    <n v="12"/>
    <n v="10"/>
    <n v="5"/>
    <n v="10"/>
  </r>
  <r>
    <x v="4"/>
    <x v="1"/>
    <s v="S12000017"/>
    <n v="15"/>
    <n v="81"/>
    <n v="45"/>
    <n v="2"/>
    <n v="25"/>
    <n v="3"/>
    <m/>
    <n v="1"/>
    <n v="5"/>
    <n v="4"/>
    <n v="4"/>
    <n v="3"/>
    <n v="4"/>
    <n v="3"/>
    <n v="1"/>
  </r>
  <r>
    <x v="4"/>
    <x v="15"/>
    <s v="S12000021"/>
    <n v="2"/>
    <n v="100"/>
    <n v="9"/>
    <n v="2"/>
    <n v="31"/>
    <n v="19"/>
    <n v="1"/>
    <m/>
    <n v="3"/>
    <n v="4"/>
    <n v="23"/>
    <n v="3"/>
    <n v="27"/>
    <n v="7"/>
    <n v="13"/>
  </r>
  <r>
    <x v="4"/>
    <x v="27"/>
    <s v="S12000023"/>
    <m/>
    <n v="3"/>
    <m/>
    <m/>
    <n v="5"/>
    <m/>
    <m/>
    <m/>
    <m/>
    <m/>
    <m/>
    <m/>
    <m/>
    <m/>
    <n v="1"/>
  </r>
  <r>
    <x v="5"/>
    <x v="0"/>
    <s v="S12000006"/>
    <n v="7"/>
    <n v="61"/>
    <n v="21"/>
    <n v="6"/>
    <n v="90"/>
    <n v="67"/>
    <m/>
    <n v="4"/>
    <n v="12"/>
    <n v="23"/>
    <n v="20"/>
    <n v="44"/>
    <n v="43"/>
    <n v="30"/>
    <n v="7"/>
  </r>
  <r>
    <x v="5"/>
    <x v="8"/>
    <s v="S12000049"/>
    <m/>
    <m/>
    <m/>
    <m/>
    <m/>
    <m/>
    <m/>
    <m/>
    <m/>
    <m/>
    <m/>
    <m/>
    <m/>
    <m/>
    <n v="1"/>
  </r>
  <r>
    <x v="5"/>
    <x v="1"/>
    <s v="S12000017"/>
    <n v="20"/>
    <n v="95"/>
    <n v="65"/>
    <n v="15"/>
    <n v="236"/>
    <n v="33"/>
    <n v="1"/>
    <m/>
    <n v="11"/>
    <n v="1"/>
    <n v="8"/>
    <n v="3"/>
    <n v="1"/>
    <n v="3"/>
    <n v="1"/>
  </r>
  <r>
    <x v="5"/>
    <x v="27"/>
    <s v="S12000023"/>
    <n v="1"/>
    <n v="12"/>
    <m/>
    <m/>
    <n v="9"/>
    <n v="1"/>
    <m/>
    <m/>
    <m/>
    <m/>
    <m/>
    <m/>
    <m/>
    <m/>
    <m/>
  </r>
  <r>
    <x v="6"/>
    <x v="25"/>
    <s v="S12000035"/>
    <m/>
    <n v="7"/>
    <n v="15"/>
    <n v="6"/>
    <n v="68"/>
    <n v="9"/>
    <n v="2"/>
    <m/>
    <m/>
    <n v="2"/>
    <n v="1"/>
    <n v="4"/>
    <n v="2"/>
    <n v="1"/>
    <n v="2"/>
  </r>
  <r>
    <x v="6"/>
    <x v="18"/>
    <s v="S12000045"/>
    <n v="2"/>
    <n v="22"/>
    <n v="13"/>
    <m/>
    <n v="3"/>
    <n v="1"/>
    <m/>
    <m/>
    <n v="1"/>
    <m/>
    <n v="3"/>
    <m/>
    <m/>
    <m/>
    <m/>
  </r>
  <r>
    <x v="6"/>
    <x v="9"/>
    <s v="S12000015"/>
    <m/>
    <n v="3"/>
    <n v="4"/>
    <m/>
    <m/>
    <m/>
    <m/>
    <m/>
    <m/>
    <n v="1"/>
    <m/>
    <m/>
    <m/>
    <m/>
    <m/>
  </r>
  <r>
    <x v="6"/>
    <x v="22"/>
    <s v="S12000018"/>
    <m/>
    <n v="20"/>
    <n v="4"/>
    <m/>
    <n v="1"/>
    <m/>
    <m/>
    <m/>
    <n v="1"/>
    <m/>
    <m/>
    <n v="1"/>
    <m/>
    <m/>
    <m/>
  </r>
  <r>
    <x v="6"/>
    <x v="14"/>
    <s v="S12000013"/>
    <n v="2"/>
    <n v="9"/>
    <m/>
    <m/>
    <m/>
    <m/>
    <m/>
    <m/>
    <m/>
    <m/>
    <m/>
    <m/>
    <m/>
    <m/>
    <m/>
  </r>
  <r>
    <x v="6"/>
    <x v="23"/>
    <s v="S12000050"/>
    <n v="3"/>
    <n v="40"/>
    <n v="3"/>
    <n v="1"/>
    <n v="13"/>
    <n v="1"/>
    <m/>
    <m/>
    <n v="1"/>
    <n v="2"/>
    <n v="8"/>
    <n v="4"/>
    <n v="10"/>
    <n v="26"/>
    <n v="3"/>
  </r>
  <r>
    <x v="0"/>
    <x v="20"/>
    <s v="S12000034"/>
    <n v="11"/>
    <n v="79"/>
    <n v="48"/>
    <m/>
    <n v="59"/>
    <n v="28"/>
    <m/>
    <m/>
    <n v="14"/>
    <n v="16"/>
    <n v="1"/>
    <n v="1"/>
    <n v="2"/>
    <n v="6"/>
    <n v="2"/>
  </r>
  <r>
    <x v="0"/>
    <x v="17"/>
    <s v="S12000041"/>
    <n v="13"/>
    <n v="38"/>
    <n v="6"/>
    <n v="1"/>
    <n v="27"/>
    <n v="9"/>
    <m/>
    <n v="2"/>
    <n v="34"/>
    <n v="4"/>
    <n v="5"/>
    <n v="20"/>
    <n v="25"/>
    <n v="13"/>
    <n v="9"/>
  </r>
  <r>
    <x v="0"/>
    <x v="25"/>
    <s v="S12000035"/>
    <n v="5"/>
    <n v="27"/>
    <n v="2"/>
    <n v="5"/>
    <n v="101"/>
    <n v="24"/>
    <n v="2"/>
    <n v="2"/>
    <n v="9"/>
    <n v="36"/>
    <n v="13"/>
    <n v="2"/>
    <n v="3"/>
    <n v="4"/>
    <n v="18"/>
  </r>
  <r>
    <x v="0"/>
    <x v="14"/>
    <s v="S12000013"/>
    <n v="2"/>
    <n v="6"/>
    <n v="7"/>
    <m/>
    <n v="2"/>
    <m/>
    <m/>
    <m/>
    <m/>
    <n v="1"/>
    <m/>
    <m/>
    <m/>
    <n v="1"/>
    <m/>
  </r>
  <r>
    <x v="0"/>
    <x v="13"/>
    <s v="S12000024"/>
    <n v="49"/>
    <n v="85"/>
    <n v="32"/>
    <n v="1"/>
    <n v="18"/>
    <n v="30"/>
    <m/>
    <n v="1"/>
    <n v="4"/>
    <n v="3"/>
    <n v="5"/>
    <n v="4"/>
    <n v="3"/>
    <n v="11"/>
    <n v="1"/>
  </r>
  <r>
    <x v="0"/>
    <x v="24"/>
    <s v="S12000027"/>
    <n v="1"/>
    <n v="14"/>
    <n v="6"/>
    <n v="2"/>
    <n v="8"/>
    <m/>
    <m/>
    <m/>
    <m/>
    <m/>
    <m/>
    <m/>
    <m/>
    <n v="1"/>
    <m/>
  </r>
  <r>
    <x v="0"/>
    <x v="30"/>
    <s v="S12000028"/>
    <n v="3"/>
    <n v="46"/>
    <n v="23"/>
    <n v="5"/>
    <n v="39"/>
    <n v="14"/>
    <n v="1"/>
    <n v="1"/>
    <n v="16"/>
    <n v="10"/>
    <n v="36"/>
    <n v="8"/>
    <n v="20"/>
    <n v="15"/>
    <n v="10"/>
  </r>
  <r>
    <x v="0"/>
    <x v="16"/>
    <s v="S12000040"/>
    <n v="9"/>
    <n v="45"/>
    <n v="13"/>
    <n v="4"/>
    <n v="5"/>
    <n v="1"/>
    <m/>
    <n v="16"/>
    <n v="34"/>
    <n v="21"/>
    <n v="30"/>
    <n v="15"/>
    <n v="29"/>
    <n v="13"/>
    <n v="3"/>
  </r>
  <r>
    <x v="1"/>
    <x v="17"/>
    <s v="S12000041"/>
    <n v="8"/>
    <n v="36"/>
    <n v="4"/>
    <m/>
    <n v="12"/>
    <n v="27"/>
    <m/>
    <m/>
    <n v="39"/>
    <n v="7"/>
    <n v="3"/>
    <n v="19"/>
    <n v="8"/>
    <n v="8"/>
    <n v="3"/>
  </r>
  <r>
    <x v="1"/>
    <x v="0"/>
    <s v="S12000006"/>
    <n v="10"/>
    <n v="91"/>
    <n v="27"/>
    <n v="3"/>
    <n v="82"/>
    <n v="7"/>
    <n v="1"/>
    <n v="1"/>
    <n v="9"/>
    <n v="11"/>
    <n v="10"/>
    <n v="15"/>
    <n v="19"/>
    <n v="7"/>
    <n v="3"/>
  </r>
  <r>
    <x v="1"/>
    <x v="31"/>
    <s v="S12000014"/>
    <n v="10"/>
    <n v="45"/>
    <n v="8"/>
    <n v="1"/>
    <n v="18"/>
    <n v="5"/>
    <n v="2"/>
    <n v="4"/>
    <n v="17"/>
    <n v="6"/>
    <n v="16"/>
    <n v="7"/>
    <n v="10"/>
    <n v="8"/>
    <n v="3"/>
  </r>
  <r>
    <x v="1"/>
    <x v="13"/>
    <s v="S12000024"/>
    <n v="65"/>
    <n v="88"/>
    <n v="38"/>
    <m/>
    <n v="11"/>
    <n v="27"/>
    <m/>
    <m/>
    <n v="13"/>
    <n v="2"/>
    <n v="1"/>
    <n v="13"/>
    <n v="6"/>
    <n v="3"/>
    <n v="3"/>
  </r>
  <r>
    <x v="1"/>
    <x v="3"/>
    <s v="S12000029"/>
    <n v="15"/>
    <n v="102"/>
    <n v="59"/>
    <m/>
    <n v="25"/>
    <n v="3"/>
    <m/>
    <n v="1"/>
    <n v="6"/>
    <n v="3"/>
    <n v="5"/>
    <n v="8"/>
    <n v="4"/>
    <n v="16"/>
    <n v="3"/>
  </r>
  <r>
    <x v="2"/>
    <x v="4"/>
    <s v="S12000036"/>
    <n v="27"/>
    <n v="110"/>
    <n v="211"/>
    <n v="30"/>
    <n v="110"/>
    <n v="22"/>
    <n v="2"/>
    <n v="5"/>
    <n v="109"/>
    <n v="24"/>
    <n v="79"/>
    <n v="27"/>
    <n v="1"/>
    <n v="22"/>
    <n v="4"/>
  </r>
  <r>
    <x v="2"/>
    <x v="9"/>
    <s v="S12000015"/>
    <n v="24"/>
    <n v="132"/>
    <n v="202"/>
    <m/>
    <n v="31"/>
    <n v="5"/>
    <n v="6"/>
    <n v="2"/>
    <n v="14"/>
    <n v="7"/>
    <n v="15"/>
    <n v="17"/>
    <n v="11"/>
    <n v="9"/>
    <n v="7"/>
  </r>
  <r>
    <x v="2"/>
    <x v="27"/>
    <s v="S12000023"/>
    <n v="1"/>
    <n v="9"/>
    <n v="2"/>
    <n v="6"/>
    <n v="10"/>
    <n v="1"/>
    <m/>
    <m/>
    <m/>
    <m/>
    <m/>
    <m/>
    <m/>
    <m/>
    <m/>
  </r>
  <r>
    <x v="2"/>
    <x v="6"/>
    <s v="S12000038"/>
    <n v="1"/>
    <n v="56"/>
    <n v="8"/>
    <m/>
    <n v="22"/>
    <m/>
    <m/>
    <n v="2"/>
    <n v="16"/>
    <n v="2"/>
    <n v="25"/>
    <n v="6"/>
    <n v="13"/>
    <n v="9"/>
    <n v="9"/>
  </r>
  <r>
    <x v="2"/>
    <x v="11"/>
    <s v="S12000030"/>
    <n v="16"/>
    <n v="46"/>
    <n v="33"/>
    <n v="4"/>
    <n v="22"/>
    <n v="10"/>
    <m/>
    <m/>
    <n v="5"/>
    <n v="3"/>
    <n v="6"/>
    <n v="3"/>
    <n v="3"/>
    <n v="4"/>
    <n v="5"/>
  </r>
  <r>
    <x v="2"/>
    <x v="28"/>
    <s v="S12000039"/>
    <n v="4"/>
    <n v="24"/>
    <n v="13"/>
    <m/>
    <n v="17"/>
    <n v="6"/>
    <m/>
    <n v="2"/>
    <n v="3"/>
    <n v="3"/>
    <n v="8"/>
    <n v="3"/>
    <n v="31"/>
    <n v="5"/>
    <n v="2"/>
  </r>
  <r>
    <x v="3"/>
    <x v="8"/>
    <s v="S12000046"/>
    <n v="41"/>
    <n v="109"/>
    <n v="831"/>
    <n v="15"/>
    <n v="81"/>
    <n v="4"/>
    <n v="6"/>
    <n v="5"/>
    <n v="25"/>
    <n v="11"/>
    <n v="28"/>
    <n v="9"/>
    <n v="5"/>
    <n v="14"/>
    <n v="3"/>
  </r>
  <r>
    <x v="3"/>
    <x v="3"/>
    <s v="S12000029"/>
    <n v="24"/>
    <n v="115"/>
    <n v="74"/>
    <n v="3"/>
    <n v="37"/>
    <n v="4"/>
    <n v="2"/>
    <n v="1"/>
    <n v="14"/>
    <n v="9"/>
    <n v="14"/>
    <n v="8"/>
    <n v="16"/>
    <n v="7"/>
    <n v="5"/>
  </r>
  <r>
    <x v="4"/>
    <x v="8"/>
    <s v="S12000046"/>
    <n v="68"/>
    <n v="127"/>
    <n v="602"/>
    <n v="13"/>
    <n v="102"/>
    <n v="1"/>
    <n v="7"/>
    <n v="2"/>
    <n v="51"/>
    <n v="18"/>
    <n v="57"/>
    <n v="26"/>
    <n v="10"/>
    <n v="24"/>
    <n v="18"/>
  </r>
  <r>
    <x v="4"/>
    <x v="10"/>
    <s v="S12000026"/>
    <n v="15"/>
    <n v="36"/>
    <n v="31"/>
    <n v="1"/>
    <n v="44"/>
    <n v="23"/>
    <m/>
    <m/>
    <n v="11"/>
    <n v="15"/>
    <n v="11"/>
    <n v="16"/>
    <n v="9"/>
    <n v="3"/>
    <n v="4"/>
  </r>
  <r>
    <x v="4"/>
    <x v="30"/>
    <s v="S12000028"/>
    <n v="8"/>
    <n v="56"/>
    <n v="28"/>
    <n v="3"/>
    <n v="38"/>
    <n v="7"/>
    <m/>
    <n v="2"/>
    <n v="11"/>
    <n v="19"/>
    <n v="13"/>
    <n v="6"/>
    <n v="17"/>
    <n v="11"/>
    <n v="10"/>
  </r>
  <r>
    <x v="4"/>
    <x v="16"/>
    <s v="S12000040"/>
    <n v="11"/>
    <n v="60"/>
    <n v="9"/>
    <m/>
    <n v="15"/>
    <n v="1"/>
    <m/>
    <n v="8"/>
    <n v="8"/>
    <n v="28"/>
    <n v="19"/>
    <n v="17"/>
    <n v="21"/>
    <n v="11"/>
    <n v="5"/>
  </r>
  <r>
    <x v="5"/>
    <x v="25"/>
    <s v="S12000035"/>
    <n v="7"/>
    <n v="28"/>
    <n v="38"/>
    <n v="8"/>
    <n v="107"/>
    <n v="49"/>
    <n v="2"/>
    <n v="3"/>
    <n v="5"/>
    <n v="7"/>
    <n v="8"/>
    <n v="5"/>
    <n v="7"/>
    <n v="6"/>
    <n v="2"/>
  </r>
  <r>
    <x v="5"/>
    <x v="19"/>
    <s v="S12000019"/>
    <n v="3"/>
    <n v="18"/>
    <n v="8"/>
    <m/>
    <n v="5"/>
    <n v="1"/>
    <m/>
    <m/>
    <n v="6"/>
    <n v="12"/>
    <n v="5"/>
    <n v="8"/>
    <m/>
    <n v="4"/>
    <m/>
  </r>
  <r>
    <x v="0"/>
    <x v="31"/>
    <s v="S12000014"/>
    <n v="12"/>
    <n v="52"/>
    <n v="15"/>
    <n v="1"/>
    <n v="20"/>
    <n v="2"/>
    <m/>
    <n v="7"/>
    <n v="27"/>
    <n v="23"/>
    <n v="17"/>
    <n v="17"/>
    <n v="30"/>
    <n v="10"/>
    <n v="10"/>
  </r>
  <r>
    <x v="0"/>
    <x v="27"/>
    <s v="S12000023"/>
    <n v="1"/>
    <n v="10"/>
    <n v="1"/>
    <m/>
    <n v="4"/>
    <m/>
    <m/>
    <m/>
    <m/>
    <m/>
    <m/>
    <m/>
    <m/>
    <m/>
    <m/>
  </r>
  <r>
    <x v="0"/>
    <x v="11"/>
    <s v="S12000030"/>
    <n v="1"/>
    <n v="39"/>
    <n v="105"/>
    <n v="3"/>
    <n v="43"/>
    <n v="19"/>
    <m/>
    <n v="1"/>
    <n v="2"/>
    <n v="1"/>
    <m/>
    <m/>
    <n v="1"/>
    <n v="2"/>
    <m/>
  </r>
  <r>
    <x v="0"/>
    <x v="28"/>
    <s v="S12000039"/>
    <n v="2"/>
    <n v="15"/>
    <n v="9"/>
    <m/>
    <n v="17"/>
    <n v="1"/>
    <m/>
    <n v="1"/>
    <n v="2"/>
    <n v="3"/>
    <n v="6"/>
    <n v="5"/>
    <n v="104"/>
    <n v="7"/>
    <n v="4"/>
  </r>
  <r>
    <x v="1"/>
    <x v="8"/>
    <s v="S12000046"/>
    <n v="69"/>
    <n v="165"/>
    <n v="1115"/>
    <n v="27"/>
    <n v="88"/>
    <n v="6"/>
    <n v="12"/>
    <n v="5"/>
    <n v="139"/>
    <n v="61"/>
    <n v="147"/>
    <n v="33"/>
    <n v="24"/>
    <n v="41"/>
    <n v="24"/>
  </r>
  <r>
    <x v="1"/>
    <x v="11"/>
    <s v="S12000030"/>
    <n v="13"/>
    <n v="40"/>
    <n v="249"/>
    <n v="3"/>
    <n v="16"/>
    <n v="3"/>
    <m/>
    <m/>
    <n v="3"/>
    <n v="3"/>
    <n v="1"/>
    <n v="4"/>
    <n v="1"/>
    <n v="1"/>
    <n v="3"/>
  </r>
  <r>
    <x v="2"/>
    <x v="31"/>
    <s v="S12000014"/>
    <n v="8"/>
    <n v="47"/>
    <n v="9"/>
    <n v="1"/>
    <n v="13"/>
    <n v="2"/>
    <n v="1"/>
    <n v="5"/>
    <n v="9"/>
    <n v="22"/>
    <n v="13"/>
    <n v="2"/>
    <n v="16"/>
    <n v="12"/>
    <m/>
  </r>
  <r>
    <x v="2"/>
    <x v="19"/>
    <s v="S12000019"/>
    <n v="3"/>
    <n v="19"/>
    <n v="21"/>
    <n v="3"/>
    <n v="10"/>
    <m/>
    <m/>
    <m/>
    <n v="3"/>
    <n v="31"/>
    <n v="3"/>
    <m/>
    <n v="3"/>
    <m/>
    <n v="1"/>
  </r>
  <r>
    <x v="3"/>
    <x v="25"/>
    <s v="S12000035"/>
    <n v="5"/>
    <n v="22"/>
    <n v="25"/>
    <n v="4"/>
    <n v="62"/>
    <n v="38"/>
    <m/>
    <m/>
    <n v="4"/>
    <n v="4"/>
    <n v="5"/>
    <n v="5"/>
    <n v="3"/>
    <n v="3"/>
    <n v="5"/>
  </r>
  <r>
    <x v="3"/>
    <x v="5"/>
    <s v="S12000008"/>
    <n v="5"/>
    <n v="59"/>
    <n v="8"/>
    <m/>
    <n v="25"/>
    <n v="7"/>
    <n v="2"/>
    <m/>
    <n v="4"/>
    <n v="15"/>
    <n v="9"/>
    <n v="7"/>
    <n v="10"/>
    <n v="12"/>
    <n v="2"/>
  </r>
  <r>
    <x v="3"/>
    <x v="31"/>
    <s v="S12000014"/>
    <n v="14"/>
    <n v="41"/>
    <n v="5"/>
    <n v="1"/>
    <n v="13"/>
    <m/>
    <m/>
    <n v="4"/>
    <n v="11"/>
    <n v="25"/>
    <n v="11"/>
    <n v="7"/>
    <n v="18"/>
    <n v="6"/>
    <n v="3"/>
  </r>
  <r>
    <x v="3"/>
    <x v="19"/>
    <s v="S12000019"/>
    <n v="3"/>
    <n v="16"/>
    <n v="32"/>
    <n v="3"/>
    <n v="5"/>
    <n v="1"/>
    <n v="2"/>
    <n v="3"/>
    <n v="11"/>
    <n v="2"/>
    <n v="4"/>
    <n v="3"/>
    <n v="4"/>
    <n v="2"/>
    <n v="4"/>
  </r>
  <r>
    <x v="3"/>
    <x v="30"/>
    <s v="S12000028"/>
    <n v="11"/>
    <n v="45"/>
    <n v="32"/>
    <n v="2"/>
    <n v="67"/>
    <n v="38"/>
    <n v="1"/>
    <m/>
    <n v="30"/>
    <n v="28"/>
    <n v="20"/>
    <n v="14"/>
    <n v="3"/>
    <n v="19"/>
    <n v="9"/>
  </r>
  <r>
    <x v="4"/>
    <x v="25"/>
    <s v="S12000035"/>
    <n v="3"/>
    <n v="35"/>
    <n v="34"/>
    <n v="4"/>
    <n v="60"/>
    <n v="40"/>
    <n v="1"/>
    <m/>
    <n v="5"/>
    <n v="2"/>
    <n v="12"/>
    <n v="5"/>
    <n v="8"/>
    <n v="5"/>
    <n v="6"/>
  </r>
  <r>
    <x v="4"/>
    <x v="0"/>
    <s v="S12000006"/>
    <n v="12"/>
    <n v="77"/>
    <n v="32"/>
    <n v="7"/>
    <n v="86"/>
    <n v="16"/>
    <n v="5"/>
    <n v="10"/>
    <n v="17"/>
    <n v="55"/>
    <n v="30"/>
    <n v="29"/>
    <n v="17"/>
    <n v="34"/>
    <n v="13"/>
  </r>
  <r>
    <x v="4"/>
    <x v="18"/>
    <s v="S12000045"/>
    <n v="2"/>
    <n v="26"/>
    <n v="19"/>
    <m/>
    <n v="5"/>
    <n v="1"/>
    <n v="2"/>
    <m/>
    <n v="7"/>
    <n v="4"/>
    <n v="12"/>
    <n v="4"/>
    <m/>
    <n v="2"/>
    <m/>
  </r>
  <r>
    <x v="4"/>
    <x v="7"/>
    <s v="S12000010"/>
    <n v="7"/>
    <n v="29"/>
    <n v="6"/>
    <n v="9"/>
    <n v="30"/>
    <n v="11"/>
    <m/>
    <n v="1"/>
    <n v="7"/>
    <n v="16"/>
    <n v="4"/>
    <n v="13"/>
    <n v="5"/>
    <n v="9"/>
    <n v="2"/>
  </r>
  <r>
    <x v="4"/>
    <x v="31"/>
    <s v="S12000014"/>
    <n v="24"/>
    <n v="46"/>
    <n v="5"/>
    <n v="1"/>
    <n v="11"/>
    <n v="18"/>
    <m/>
    <n v="6"/>
    <n v="19"/>
    <n v="26"/>
    <n v="8"/>
    <n v="9"/>
    <n v="13"/>
    <n v="10"/>
    <n v="5"/>
  </r>
  <r>
    <x v="4"/>
    <x v="22"/>
    <s v="S12000018"/>
    <n v="2"/>
    <n v="35"/>
    <n v="7"/>
    <m/>
    <n v="6"/>
    <m/>
    <n v="1"/>
    <m/>
    <n v="3"/>
    <n v="10"/>
    <n v="3"/>
    <n v="3"/>
    <n v="2"/>
    <n v="2"/>
    <n v="4"/>
  </r>
  <r>
    <x v="4"/>
    <x v="2"/>
    <s v="S12000020"/>
    <n v="8"/>
    <n v="31"/>
    <n v="9"/>
    <n v="1"/>
    <n v="11"/>
    <n v="28"/>
    <m/>
    <n v="1"/>
    <n v="4"/>
    <n v="3"/>
    <n v="14"/>
    <n v="2"/>
    <n v="7"/>
    <n v="8"/>
    <n v="3"/>
  </r>
  <r>
    <x v="4"/>
    <x v="14"/>
    <s v="S12000013"/>
    <n v="2"/>
    <n v="6"/>
    <m/>
    <m/>
    <n v="8"/>
    <m/>
    <m/>
    <m/>
    <n v="1"/>
    <n v="1"/>
    <m/>
    <m/>
    <n v="2"/>
    <n v="1"/>
    <m/>
  </r>
  <r>
    <x v="4"/>
    <x v="6"/>
    <s v="S12000038"/>
    <n v="1"/>
    <n v="58"/>
    <n v="17"/>
    <m/>
    <n v="20"/>
    <n v="14"/>
    <m/>
    <n v="3"/>
    <n v="10"/>
    <n v="4"/>
    <n v="5"/>
    <n v="5"/>
    <n v="16"/>
    <n v="6"/>
    <n v="10"/>
  </r>
  <r>
    <x v="4"/>
    <x v="24"/>
    <s v="S12000027"/>
    <m/>
    <n v="8"/>
    <n v="3"/>
    <m/>
    <n v="2"/>
    <m/>
    <m/>
    <n v="1"/>
    <n v="1"/>
    <m/>
    <m/>
    <m/>
    <m/>
    <m/>
    <n v="1"/>
  </r>
  <r>
    <x v="4"/>
    <x v="28"/>
    <s v="S12000039"/>
    <n v="5"/>
    <n v="16"/>
    <n v="17"/>
    <m/>
    <n v="13"/>
    <n v="1"/>
    <m/>
    <m/>
    <n v="2"/>
    <n v="1"/>
    <n v="6"/>
    <n v="3"/>
    <n v="6"/>
    <n v="4"/>
    <n v="5"/>
  </r>
  <r>
    <x v="5"/>
    <x v="18"/>
    <s v="S12000045"/>
    <n v="4"/>
    <n v="32"/>
    <n v="29"/>
    <m/>
    <n v="6"/>
    <n v="1"/>
    <m/>
    <n v="1"/>
    <n v="8"/>
    <n v="8"/>
    <n v="6"/>
    <n v="1"/>
    <m/>
    <n v="4"/>
    <n v="1"/>
  </r>
  <r>
    <x v="5"/>
    <x v="22"/>
    <s v="S12000018"/>
    <n v="2"/>
    <n v="34"/>
    <n v="8"/>
    <m/>
    <n v="3"/>
    <n v="1"/>
    <m/>
    <m/>
    <m/>
    <n v="1"/>
    <n v="1"/>
    <n v="3"/>
    <m/>
    <n v="1"/>
    <m/>
  </r>
  <r>
    <x v="5"/>
    <x v="23"/>
    <s v="S12000044"/>
    <n v="12"/>
    <n v="50"/>
    <n v="11"/>
    <n v="2"/>
    <n v="26"/>
    <n v="3"/>
    <m/>
    <n v="1"/>
    <n v="11"/>
    <n v="13"/>
    <n v="25"/>
    <n v="11"/>
    <n v="29"/>
    <n v="92"/>
    <n v="20"/>
  </r>
  <r>
    <x v="5"/>
    <x v="30"/>
    <s v="S12000028"/>
    <n v="7"/>
    <n v="44"/>
    <n v="31"/>
    <n v="2"/>
    <n v="40"/>
    <n v="20"/>
    <n v="2"/>
    <m/>
    <n v="7"/>
    <n v="7"/>
    <n v="10"/>
    <n v="10"/>
    <n v="25"/>
    <n v="13"/>
    <n v="7"/>
  </r>
  <r>
    <x v="6"/>
    <x v="16"/>
    <s v="S12000040"/>
    <n v="9"/>
    <n v="46"/>
    <n v="5"/>
    <m/>
    <n v="1"/>
    <m/>
    <m/>
    <m/>
    <n v="1"/>
    <n v="2"/>
    <n v="5"/>
    <n v="2"/>
    <n v="12"/>
    <n v="2"/>
    <n v="1"/>
  </r>
  <r>
    <x v="6"/>
    <x v="27"/>
    <s v="S12000023"/>
    <n v="1"/>
    <n v="5"/>
    <m/>
    <n v="1"/>
    <n v="2"/>
    <m/>
    <m/>
    <m/>
    <m/>
    <m/>
    <m/>
    <m/>
    <m/>
    <m/>
    <m/>
  </r>
  <r>
    <x v="6"/>
    <x v="6"/>
    <s v="S12000038"/>
    <n v="2"/>
    <n v="38"/>
    <n v="7"/>
    <m/>
    <n v="8"/>
    <n v="3"/>
    <n v="1"/>
    <m/>
    <n v="3"/>
    <n v="4"/>
    <n v="2"/>
    <n v="1"/>
    <n v="1"/>
    <m/>
    <n v="2"/>
  </r>
  <r>
    <x v="6"/>
    <x v="30"/>
    <s v="S12000028"/>
    <n v="6"/>
    <n v="47"/>
    <n v="17"/>
    <n v="2"/>
    <n v="15"/>
    <n v="9"/>
    <m/>
    <m/>
    <n v="3"/>
    <n v="7"/>
    <n v="10"/>
    <m/>
    <n v="1"/>
    <m/>
    <n v="5"/>
  </r>
  <r>
    <x v="6"/>
    <x v="19"/>
    <s v="S12000019"/>
    <n v="3"/>
    <n v="20"/>
    <n v="4"/>
    <m/>
    <m/>
    <m/>
    <m/>
    <m/>
    <n v="4"/>
    <m/>
    <n v="1"/>
    <n v="2"/>
    <n v="1"/>
    <m/>
    <n v="2"/>
  </r>
  <r>
    <x v="6"/>
    <x v="23"/>
    <s v="S12000044"/>
    <m/>
    <n v="1"/>
    <m/>
    <m/>
    <n v="1"/>
    <m/>
    <m/>
    <m/>
    <m/>
    <m/>
    <m/>
    <m/>
    <m/>
    <m/>
    <m/>
  </r>
  <r>
    <x v="6"/>
    <x v="11"/>
    <s v="S12000030"/>
    <n v="1"/>
    <n v="49"/>
    <n v="13"/>
    <n v="2"/>
    <n v="2"/>
    <n v="2"/>
    <m/>
    <m/>
    <n v="2"/>
    <n v="2"/>
    <n v="4"/>
    <n v="1"/>
    <n v="1"/>
    <m/>
    <n v="1"/>
  </r>
  <r>
    <x v="6"/>
    <x v="28"/>
    <s v="S12000039"/>
    <n v="1"/>
    <n v="8"/>
    <n v="5"/>
    <m/>
    <n v="2"/>
    <m/>
    <m/>
    <n v="1"/>
    <n v="1"/>
    <n v="7"/>
    <m/>
    <n v="1"/>
    <m/>
    <n v="1"/>
    <n v="1"/>
  </r>
  <r>
    <x v="5"/>
    <x v="11"/>
    <s v="S12000030"/>
    <n v="5"/>
    <n v="46"/>
    <n v="87"/>
    <n v="3"/>
    <n v="25"/>
    <n v="6"/>
    <m/>
    <m/>
    <n v="3"/>
    <n v="10"/>
    <n v="6"/>
    <n v="3"/>
    <n v="3"/>
    <n v="4"/>
    <m/>
  </r>
  <r>
    <x v="6"/>
    <x v="26"/>
    <s v="S12000042"/>
    <n v="14"/>
    <n v="34"/>
    <n v="70"/>
    <n v="1"/>
    <n v="16"/>
    <n v="5"/>
    <m/>
    <m/>
    <n v="3"/>
    <n v="4"/>
    <n v="2"/>
    <n v="1"/>
    <n v="2"/>
    <n v="2"/>
    <n v="1"/>
  </r>
  <r>
    <x v="6"/>
    <x v="9"/>
    <s v="S12000047"/>
    <n v="2"/>
    <n v="120"/>
    <n v="76"/>
    <n v="2"/>
    <n v="2"/>
    <n v="8"/>
    <m/>
    <n v="1"/>
    <n v="2"/>
    <n v="2"/>
    <n v="7"/>
    <n v="6"/>
    <n v="13"/>
    <n v="3"/>
    <m/>
  </r>
  <r>
    <x v="4"/>
    <x v="11"/>
    <s v="S12000030"/>
    <n v="7"/>
    <n v="56"/>
    <n v="37"/>
    <n v="2"/>
    <n v="33"/>
    <n v="4"/>
    <m/>
    <n v="1"/>
    <n v="1"/>
    <n v="36"/>
    <n v="4"/>
    <n v="4"/>
    <n v="3"/>
    <n v="2"/>
    <n v="3"/>
  </r>
  <r>
    <x v="5"/>
    <x v="4"/>
    <s v="S12000036"/>
    <n v="44"/>
    <n v="107"/>
    <n v="91"/>
    <n v="11"/>
    <n v="97"/>
    <n v="84"/>
    <n v="4"/>
    <n v="2"/>
    <n v="52"/>
    <n v="28"/>
    <n v="42"/>
    <n v="31"/>
    <n v="7"/>
    <n v="45"/>
    <n v="3"/>
  </r>
  <r>
    <x v="5"/>
    <x v="5"/>
    <s v="S12000008"/>
    <n v="2"/>
    <n v="54"/>
    <n v="8"/>
    <m/>
    <n v="13"/>
    <n v="11"/>
    <m/>
    <m/>
    <n v="3"/>
    <n v="10"/>
    <n v="6"/>
    <n v="3"/>
    <m/>
    <m/>
    <m/>
  </r>
  <r>
    <x v="5"/>
    <x v="7"/>
    <s v="S12000010"/>
    <n v="5"/>
    <n v="23"/>
    <n v="12"/>
    <m/>
    <n v="4"/>
    <n v="2"/>
    <m/>
    <n v="1"/>
    <n v="10"/>
    <n v="8"/>
    <n v="2"/>
    <n v="7"/>
    <n v="1"/>
    <n v="1"/>
    <n v="2"/>
  </r>
  <r>
    <x v="5"/>
    <x v="31"/>
    <s v="S12000014"/>
    <n v="9"/>
    <n v="41"/>
    <n v="4"/>
    <n v="1"/>
    <n v="19"/>
    <m/>
    <n v="1"/>
    <n v="5"/>
    <n v="22"/>
    <n v="12"/>
    <n v="13"/>
    <n v="14"/>
    <n v="8"/>
    <n v="1"/>
    <m/>
  </r>
  <r>
    <x v="5"/>
    <x v="9"/>
    <s v="S12000015"/>
    <n v="13"/>
    <n v="132"/>
    <n v="156"/>
    <n v="1"/>
    <n v="54"/>
    <n v="17"/>
    <n v="1"/>
    <m/>
    <n v="7"/>
    <n v="10"/>
    <n v="4"/>
    <n v="9"/>
    <n v="7"/>
    <n v="2"/>
    <n v="4"/>
  </r>
  <r>
    <x v="6"/>
    <x v="20"/>
    <s v="S12000034"/>
    <n v="8"/>
    <n v="27"/>
    <n v="6"/>
    <m/>
    <n v="7"/>
    <n v="19"/>
    <m/>
    <m/>
    <n v="4"/>
    <n v="1"/>
    <n v="1"/>
    <n v="3"/>
    <n v="4"/>
    <m/>
    <n v="1"/>
  </r>
  <r>
    <x v="6"/>
    <x v="24"/>
    <s v="S12000027"/>
    <m/>
    <n v="8"/>
    <n v="1"/>
    <m/>
    <n v="1"/>
    <m/>
    <m/>
    <m/>
    <m/>
    <m/>
    <m/>
    <m/>
    <m/>
    <m/>
    <m/>
  </r>
</pivotCacheRecords>
</file>

<file path=xl/pivotCache/pivotCacheRecords34.xml><?xml version="1.0" encoding="utf-8"?>
<pivotCacheRecords xmlns="http://schemas.openxmlformats.org/spreadsheetml/2006/main" xmlns:r="http://schemas.openxmlformats.org/officeDocument/2006/relationships" count="36">
  <r>
    <x v="0"/>
    <x v="0"/>
    <n v="814"/>
    <n v="434"/>
    <m/>
    <n v="26"/>
    <n v="51"/>
  </r>
  <r>
    <x v="0"/>
    <x v="1"/>
    <n v="109"/>
    <n v="134"/>
    <m/>
    <n v="16"/>
    <n v="12"/>
  </r>
  <r>
    <x v="0"/>
    <x v="2"/>
    <n v="789"/>
    <n v="429"/>
    <m/>
    <n v="22"/>
    <n v="54"/>
  </r>
  <r>
    <x v="0"/>
    <x v="3"/>
    <n v="446"/>
    <n v="572"/>
    <m/>
    <n v="17"/>
    <n v="64"/>
  </r>
  <r>
    <x v="0"/>
    <x v="4"/>
    <n v="1"/>
    <n v="22"/>
    <m/>
    <n v="5"/>
    <n v="2"/>
  </r>
  <r>
    <x v="0"/>
    <x v="5"/>
    <n v="585"/>
    <n v="262"/>
    <m/>
    <n v="21"/>
    <n v="25"/>
  </r>
  <r>
    <x v="0"/>
    <x v="6"/>
    <n v="581"/>
    <n v="272"/>
    <m/>
    <n v="15"/>
    <n v="23"/>
  </r>
  <r>
    <x v="0"/>
    <x v="7"/>
    <n v="7"/>
    <n v="47"/>
    <m/>
    <n v="11"/>
    <n v="4"/>
  </r>
  <r>
    <x v="0"/>
    <x v="8"/>
    <n v="213"/>
    <n v="691"/>
    <m/>
    <n v="56"/>
    <n v="97"/>
  </r>
  <r>
    <x v="1"/>
    <x v="0"/>
    <n v="879"/>
    <n v="439"/>
    <n v="3"/>
    <n v="30"/>
    <n v="47"/>
  </r>
  <r>
    <x v="1"/>
    <x v="1"/>
    <n v="99"/>
    <n v="155"/>
    <n v="3"/>
    <n v="19"/>
    <n v="15"/>
  </r>
  <r>
    <x v="1"/>
    <x v="7"/>
    <n v="4"/>
    <n v="52"/>
    <n v="1"/>
    <n v="9"/>
    <n v="1"/>
  </r>
  <r>
    <x v="1"/>
    <x v="4"/>
    <n v="3"/>
    <n v="23"/>
    <m/>
    <n v="4"/>
    <n v="4"/>
  </r>
  <r>
    <x v="1"/>
    <x v="2"/>
    <n v="781"/>
    <n v="401"/>
    <n v="4"/>
    <n v="19"/>
    <n v="54"/>
  </r>
  <r>
    <x v="1"/>
    <x v="5"/>
    <n v="551"/>
    <n v="246"/>
    <n v="2"/>
    <n v="19"/>
    <n v="22"/>
  </r>
  <r>
    <x v="1"/>
    <x v="6"/>
    <n v="589"/>
    <n v="291"/>
    <n v="3"/>
    <n v="18"/>
    <n v="25"/>
  </r>
  <r>
    <x v="1"/>
    <x v="3"/>
    <n v="325"/>
    <n v="580"/>
    <n v="1"/>
    <n v="27"/>
    <n v="53"/>
  </r>
  <r>
    <x v="1"/>
    <x v="8"/>
    <n v="406"/>
    <n v="748"/>
    <n v="1"/>
    <n v="62"/>
    <n v="96"/>
  </r>
  <r>
    <x v="2"/>
    <x v="4"/>
    <n v="4"/>
    <n v="28"/>
    <m/>
    <n v="7"/>
    <n v="4"/>
  </r>
  <r>
    <x v="2"/>
    <x v="1"/>
    <n v="78"/>
    <n v="156"/>
    <n v="4"/>
    <n v="20"/>
    <n v="16"/>
  </r>
  <r>
    <x v="2"/>
    <x v="2"/>
    <n v="784"/>
    <n v="395"/>
    <n v="5"/>
    <n v="23"/>
    <n v="43"/>
  </r>
  <r>
    <x v="2"/>
    <x v="8"/>
    <n v="536"/>
    <n v="801"/>
    <n v="1"/>
    <n v="54"/>
    <n v="97"/>
  </r>
  <r>
    <x v="2"/>
    <x v="6"/>
    <n v="641"/>
    <n v="289"/>
    <n v="5"/>
    <n v="15"/>
    <n v="36"/>
  </r>
  <r>
    <x v="2"/>
    <x v="3"/>
    <n v="330"/>
    <n v="556"/>
    <n v="5"/>
    <n v="26"/>
    <n v="55"/>
  </r>
  <r>
    <x v="2"/>
    <x v="0"/>
    <n v="742"/>
    <n v="432"/>
    <n v="10"/>
    <n v="25"/>
    <n v="41"/>
  </r>
  <r>
    <x v="2"/>
    <x v="5"/>
    <n v="516"/>
    <n v="223"/>
    <n v="3"/>
    <n v="15"/>
    <n v="21"/>
  </r>
  <r>
    <x v="2"/>
    <x v="7"/>
    <n v="5"/>
    <n v="57"/>
    <n v="3"/>
    <n v="3"/>
    <n v="2"/>
  </r>
  <r>
    <x v="3"/>
    <x v="1"/>
    <n v="82"/>
    <n v="155"/>
    <n v="7"/>
    <n v="21"/>
    <n v="14"/>
  </r>
  <r>
    <x v="3"/>
    <x v="6"/>
    <n v="656"/>
    <n v="300"/>
    <n v="5"/>
    <n v="9"/>
    <n v="36"/>
  </r>
  <r>
    <x v="3"/>
    <x v="3"/>
    <n v="287"/>
    <n v="532"/>
    <n v="6"/>
    <n v="39"/>
    <n v="60"/>
  </r>
  <r>
    <x v="3"/>
    <x v="5"/>
    <n v="501"/>
    <n v="212"/>
    <n v="6"/>
    <n v="16"/>
    <n v="23"/>
  </r>
  <r>
    <x v="3"/>
    <x v="4"/>
    <n v="2"/>
    <n v="27"/>
    <m/>
    <n v="3"/>
    <n v="5"/>
  </r>
  <r>
    <x v="3"/>
    <x v="8"/>
    <n v="595"/>
    <n v="791"/>
    <n v="3"/>
    <n v="44"/>
    <n v="78"/>
  </r>
  <r>
    <x v="3"/>
    <x v="0"/>
    <n v="652"/>
    <n v="413"/>
    <n v="13"/>
    <n v="22"/>
    <n v="35"/>
  </r>
  <r>
    <x v="3"/>
    <x v="2"/>
    <n v="807"/>
    <n v="376"/>
    <n v="10"/>
    <n v="23"/>
    <n v="49"/>
  </r>
  <r>
    <x v="3"/>
    <x v="7"/>
    <n v="2"/>
    <n v="66"/>
    <n v="4"/>
    <n v="5"/>
    <n v="3"/>
  </r>
</pivotCacheRecords>
</file>

<file path=xl/pivotCache/pivotCacheRecords35.xml><?xml version="1.0" encoding="utf-8"?>
<pivotCacheRecords xmlns="http://schemas.openxmlformats.org/spreadsheetml/2006/main" xmlns:r="http://schemas.openxmlformats.org/officeDocument/2006/relationships" count="442">
  <r>
    <x v="0"/>
    <x v="0"/>
    <s v="S12000033"/>
    <x v="0"/>
    <n v="174"/>
    <n v="0"/>
    <n v="0"/>
    <n v="24"/>
    <n v="128"/>
    <n v="0"/>
    <n v="0"/>
    <n v="22"/>
  </r>
  <r>
    <x v="0"/>
    <x v="0"/>
    <s v="S12000034"/>
    <x v="1"/>
    <n v="23"/>
    <n v="0"/>
    <n v="0"/>
    <n v="3"/>
    <n v="16"/>
    <n v="0"/>
    <n v="0"/>
    <n v="4"/>
  </r>
  <r>
    <x v="0"/>
    <x v="0"/>
    <s v=""/>
    <x v="2"/>
    <n v="3391.76"/>
    <n v="0"/>
    <n v="0"/>
    <n v="608"/>
    <n v="2354.7600000000002"/>
    <n v="0"/>
    <n v="13"/>
    <n v="416"/>
  </r>
  <r>
    <x v="0"/>
    <x v="0"/>
    <s v="S12000041"/>
    <x v="3"/>
    <n v="35"/>
    <n v="0"/>
    <n v="0"/>
    <n v="0"/>
    <n v="25"/>
    <n v="0"/>
    <n v="1"/>
    <n v="9"/>
  </r>
  <r>
    <x v="0"/>
    <x v="0"/>
    <s v="S12000035"/>
    <x v="4"/>
    <n v="58"/>
    <n v="0"/>
    <n v="0"/>
    <n v="10"/>
    <n v="31"/>
    <n v="0"/>
    <n v="2"/>
    <n v="15"/>
  </r>
  <r>
    <x v="0"/>
    <x v="0"/>
    <s v="S12000036"/>
    <x v="5"/>
    <n v="370"/>
    <n v="0"/>
    <n v="0"/>
    <n v="70"/>
    <n v="275"/>
    <n v="0"/>
    <n v="0"/>
    <n v="25"/>
  </r>
  <r>
    <x v="0"/>
    <x v="0"/>
    <s v="S12000005"/>
    <x v="6"/>
    <n v="43"/>
    <n v="0"/>
    <n v="0"/>
    <n v="9"/>
    <n v="30"/>
    <n v="0"/>
    <n v="0"/>
    <n v="4"/>
  </r>
  <r>
    <x v="0"/>
    <x v="0"/>
    <s v="S12000006"/>
    <x v="7"/>
    <n v="69"/>
    <n v="0"/>
    <n v="0"/>
    <n v="11"/>
    <n v="53"/>
    <n v="0"/>
    <n v="0"/>
    <n v="5"/>
  </r>
  <r>
    <x v="0"/>
    <x v="0"/>
    <s v="S12000042"/>
    <x v="8"/>
    <n v="215"/>
    <n v="0"/>
    <n v="0"/>
    <n v="29"/>
    <n v="162"/>
    <n v="0"/>
    <n v="1"/>
    <n v="23"/>
  </r>
  <r>
    <x v="0"/>
    <x v="0"/>
    <s v="S12000008"/>
    <x v="9"/>
    <n v="59"/>
    <n v="0"/>
    <n v="0"/>
    <n v="11"/>
    <n v="40"/>
    <n v="0"/>
    <n v="0"/>
    <n v="8"/>
  </r>
  <r>
    <x v="0"/>
    <x v="0"/>
    <s v="S12000045"/>
    <x v="10"/>
    <n v="74"/>
    <n v="0"/>
    <n v="0"/>
    <n v="15"/>
    <n v="45"/>
    <n v="0"/>
    <n v="0"/>
    <n v="14"/>
  </r>
  <r>
    <x v="0"/>
    <x v="0"/>
    <s v="S12000010"/>
    <x v="11"/>
    <n v="29"/>
    <n v="0"/>
    <n v="0"/>
    <n v="5"/>
    <n v="21"/>
    <n v="0"/>
    <n v="0"/>
    <n v="3"/>
  </r>
  <r>
    <x v="0"/>
    <x v="0"/>
    <s v="S12000011"/>
    <x v="12"/>
    <n v="59"/>
    <n v="0"/>
    <n v="0"/>
    <n v="14"/>
    <n v="34"/>
    <n v="0"/>
    <n v="0"/>
    <n v="11"/>
  </r>
  <r>
    <x v="0"/>
    <x v="0"/>
    <s v="S12000014"/>
    <x v="13"/>
    <n v="96"/>
    <n v="0"/>
    <n v="0"/>
    <n v="18"/>
    <n v="65"/>
    <n v="0"/>
    <n v="1"/>
    <n v="12"/>
  </r>
  <r>
    <x v="0"/>
    <x v="0"/>
    <s v="S12000047"/>
    <x v="14"/>
    <n v="289"/>
    <n v="0"/>
    <n v="0"/>
    <n v="58"/>
    <n v="208"/>
    <n v="0"/>
    <n v="0"/>
    <n v="23"/>
  </r>
  <r>
    <x v="0"/>
    <x v="0"/>
    <s v="S12000046"/>
    <x v="15"/>
    <n v="560"/>
    <n v="0"/>
    <n v="0"/>
    <n v="119"/>
    <n v="373"/>
    <n v="0"/>
    <n v="0"/>
    <n v="68"/>
  </r>
  <r>
    <x v="0"/>
    <x v="0"/>
    <s v="S12000017"/>
    <x v="16"/>
    <n v="81"/>
    <n v="0"/>
    <n v="0"/>
    <n v="9"/>
    <n v="60"/>
    <n v="0"/>
    <n v="2"/>
    <n v="10"/>
  </r>
  <r>
    <x v="0"/>
    <x v="0"/>
    <s v="S12000018"/>
    <x v="17"/>
    <n v="78"/>
    <n v="0"/>
    <n v="0"/>
    <n v="18"/>
    <n v="49"/>
    <n v="0"/>
    <n v="0"/>
    <n v="11"/>
  </r>
  <r>
    <x v="0"/>
    <x v="0"/>
    <s v="S12000019"/>
    <x v="18"/>
    <n v="35"/>
    <n v="0"/>
    <n v="0"/>
    <n v="4"/>
    <n v="26"/>
    <n v="0"/>
    <n v="0"/>
    <n v="5"/>
  </r>
  <r>
    <x v="0"/>
    <x v="0"/>
    <s v="S12000020"/>
    <x v="19"/>
    <n v="20"/>
    <n v="0"/>
    <n v="0"/>
    <n v="2"/>
    <n v="15"/>
    <n v="0"/>
    <n v="0"/>
    <n v="3"/>
  </r>
  <r>
    <x v="0"/>
    <x v="0"/>
    <s v="S12000013"/>
    <x v="20"/>
    <n v="0"/>
    <n v="0"/>
    <n v="0"/>
    <n v="0"/>
    <n v="0"/>
    <n v="0"/>
    <n v="0"/>
    <n v="0"/>
  </r>
  <r>
    <x v="0"/>
    <x v="0"/>
    <s v="S12000021"/>
    <x v="21"/>
    <n v="76"/>
    <n v="0"/>
    <n v="0"/>
    <n v="13"/>
    <n v="50"/>
    <n v="0"/>
    <n v="0"/>
    <n v="13"/>
  </r>
  <r>
    <x v="0"/>
    <x v="0"/>
    <s v="S12000044"/>
    <x v="22"/>
    <n v="188"/>
    <n v="0"/>
    <n v="0"/>
    <n v="34"/>
    <n v="129"/>
    <n v="0"/>
    <n v="1"/>
    <n v="24"/>
  </r>
  <r>
    <x v="0"/>
    <x v="0"/>
    <s v="S12000023"/>
    <x v="23"/>
    <n v="0"/>
    <n v="0"/>
    <n v="0"/>
    <n v="0"/>
    <n v="0"/>
    <n v="0"/>
    <n v="0"/>
    <n v="0"/>
  </r>
  <r>
    <x v="0"/>
    <x v="0"/>
    <s v="S12000024"/>
    <x v="24"/>
    <n v="88"/>
    <n v="0"/>
    <n v="0"/>
    <n v="14"/>
    <n v="61"/>
    <n v="0"/>
    <n v="2"/>
    <n v="11"/>
  </r>
  <r>
    <x v="0"/>
    <x v="0"/>
    <s v="S12000038"/>
    <x v="25"/>
    <n v="116"/>
    <n v="0"/>
    <n v="0"/>
    <n v="22"/>
    <n v="74"/>
    <n v="0"/>
    <n v="1"/>
    <n v="19"/>
  </r>
  <r>
    <x v="0"/>
    <x v="0"/>
    <s v="S12000026"/>
    <x v="26"/>
    <n v="75"/>
    <n v="0"/>
    <n v="0"/>
    <n v="11"/>
    <n v="54"/>
    <n v="0"/>
    <n v="0"/>
    <n v="10"/>
  </r>
  <r>
    <x v="0"/>
    <x v="0"/>
    <s v="S12000027"/>
    <x v="27"/>
    <n v="0"/>
    <n v="0"/>
    <n v="0"/>
    <n v="0"/>
    <n v="0"/>
    <n v="0"/>
    <n v="0"/>
    <n v="0"/>
  </r>
  <r>
    <x v="0"/>
    <x v="0"/>
    <s v="S12000028"/>
    <x v="28"/>
    <n v="65"/>
    <n v="0"/>
    <n v="0"/>
    <n v="10"/>
    <n v="47"/>
    <n v="0"/>
    <n v="0"/>
    <n v="8"/>
  </r>
  <r>
    <x v="0"/>
    <x v="0"/>
    <s v="S12000029"/>
    <x v="29"/>
    <n v="190"/>
    <n v="0"/>
    <n v="0"/>
    <n v="33"/>
    <n v="129"/>
    <n v="0"/>
    <n v="2"/>
    <n v="26"/>
  </r>
  <r>
    <x v="0"/>
    <x v="0"/>
    <s v="S12000030"/>
    <x v="30"/>
    <n v="61.76"/>
    <n v="0"/>
    <n v="0"/>
    <n v="10"/>
    <n v="41.76"/>
    <n v="0"/>
    <n v="0"/>
    <n v="10"/>
  </r>
  <r>
    <x v="0"/>
    <x v="0"/>
    <s v="S12000039"/>
    <x v="31"/>
    <n v="80"/>
    <n v="0"/>
    <n v="0"/>
    <n v="18"/>
    <n v="52"/>
    <n v="0"/>
    <n v="0"/>
    <n v="10"/>
  </r>
  <r>
    <x v="0"/>
    <x v="0"/>
    <s v="S12000040"/>
    <x v="32"/>
    <n v="85"/>
    <n v="0"/>
    <n v="0"/>
    <n v="14"/>
    <n v="61"/>
    <n v="0"/>
    <n v="0"/>
    <n v="10"/>
  </r>
  <r>
    <x v="0"/>
    <x v="1"/>
    <s v="S39000001"/>
    <x v="0"/>
    <n v="23"/>
    <n v="1"/>
    <n v="0"/>
    <n v="0"/>
    <n v="1"/>
    <n v="7"/>
    <n v="6"/>
    <n v="8"/>
  </r>
  <r>
    <x v="0"/>
    <x v="1"/>
    <s v="S39000002"/>
    <x v="33"/>
    <n v="15"/>
    <n v="1"/>
    <n v="0"/>
    <n v="0"/>
    <n v="0"/>
    <n v="2"/>
    <n v="4"/>
    <n v="8"/>
  </r>
  <r>
    <x v="0"/>
    <x v="1"/>
    <s v=""/>
    <x v="2"/>
    <n v="285"/>
    <n v="17"/>
    <n v="0"/>
    <n v="5"/>
    <n v="15"/>
    <n v="69"/>
    <n v="85"/>
    <n v="94"/>
  </r>
  <r>
    <x v="0"/>
    <x v="1"/>
    <s v="S39000003"/>
    <x v="34"/>
    <n v="22"/>
    <n v="1"/>
    <n v="0"/>
    <n v="1"/>
    <n v="1"/>
    <n v="3"/>
    <n v="6"/>
    <n v="10"/>
  </r>
  <r>
    <x v="0"/>
    <x v="1"/>
    <s v="S39000004"/>
    <x v="7"/>
    <n v="16"/>
    <n v="0"/>
    <n v="0"/>
    <n v="0"/>
    <n v="0"/>
    <n v="2"/>
    <n v="5"/>
    <n v="9"/>
  </r>
  <r>
    <x v="0"/>
    <x v="1"/>
    <s v="S39000018"/>
    <x v="35"/>
    <n v="11"/>
    <n v="1"/>
    <n v="0"/>
    <n v="0"/>
    <n v="0"/>
    <n v="3"/>
    <n v="5"/>
    <n v="2"/>
  </r>
  <r>
    <x v="0"/>
    <x v="1"/>
    <s v="S39000006"/>
    <x v="36"/>
    <n v="21"/>
    <n v="1"/>
    <n v="0"/>
    <n v="0"/>
    <n v="5"/>
    <n v="7"/>
    <n v="0"/>
    <n v="8"/>
  </r>
  <r>
    <x v="0"/>
    <x v="1"/>
    <s v="S39000007"/>
    <x v="37"/>
    <n v="12"/>
    <n v="1"/>
    <n v="0"/>
    <n v="0"/>
    <n v="1"/>
    <n v="3"/>
    <n v="5"/>
    <n v="2"/>
  </r>
  <r>
    <x v="0"/>
    <x v="1"/>
    <s v="S39000008"/>
    <x v="38"/>
    <n v="23"/>
    <n v="1"/>
    <n v="0"/>
    <n v="0"/>
    <n v="0"/>
    <n v="9"/>
    <n v="7"/>
    <n v="6"/>
  </r>
  <r>
    <x v="0"/>
    <x v="1"/>
    <s v="S39000009"/>
    <x v="39"/>
    <n v="26"/>
    <n v="2"/>
    <n v="0"/>
    <n v="3"/>
    <n v="2"/>
    <n v="9"/>
    <n v="3"/>
    <n v="7"/>
  </r>
  <r>
    <x v="0"/>
    <x v="1"/>
    <s v="S39000010"/>
    <x v="40"/>
    <n v="13"/>
    <n v="1"/>
    <n v="0"/>
    <n v="0"/>
    <n v="2"/>
    <n v="2"/>
    <n v="2"/>
    <n v="6"/>
  </r>
  <r>
    <x v="0"/>
    <x v="1"/>
    <s v="S39000019"/>
    <x v="14"/>
    <n v="21"/>
    <n v="1"/>
    <n v="0"/>
    <n v="0"/>
    <n v="0"/>
    <n v="3"/>
    <n v="6"/>
    <n v="11"/>
  </r>
  <r>
    <x v="0"/>
    <x v="1"/>
    <s v="S39000012"/>
    <x v="15"/>
    <n v="28"/>
    <n v="1"/>
    <n v="0"/>
    <n v="0"/>
    <n v="3"/>
    <n v="4"/>
    <n v="10"/>
    <n v="10"/>
  </r>
  <r>
    <x v="0"/>
    <x v="1"/>
    <s v="S39000013"/>
    <x v="41"/>
    <n v="13"/>
    <n v="1"/>
    <n v="0"/>
    <n v="0"/>
    <n v="0"/>
    <n v="4"/>
    <n v="7"/>
    <n v="1"/>
  </r>
  <r>
    <x v="0"/>
    <x v="1"/>
    <s v="S39000014"/>
    <x v="22"/>
    <n v="14"/>
    <n v="1"/>
    <n v="0"/>
    <n v="1"/>
    <n v="0"/>
    <n v="2"/>
    <n v="6"/>
    <n v="4"/>
  </r>
  <r>
    <x v="0"/>
    <x v="1"/>
    <s v="S39000015"/>
    <x v="29"/>
    <n v="10"/>
    <n v="1"/>
    <n v="0"/>
    <n v="0"/>
    <n v="0"/>
    <n v="3"/>
    <n v="4"/>
    <n v="2"/>
  </r>
  <r>
    <x v="0"/>
    <x v="1"/>
    <s v="S39000016"/>
    <x v="42"/>
    <n v="8"/>
    <n v="1"/>
    <n v="0"/>
    <n v="0"/>
    <n v="0"/>
    <n v="3"/>
    <n v="4"/>
    <n v="0"/>
  </r>
  <r>
    <x v="0"/>
    <x v="1"/>
    <s v="S39000017"/>
    <x v="43"/>
    <n v="9"/>
    <n v="1"/>
    <n v="0"/>
    <n v="0"/>
    <n v="0"/>
    <n v="3"/>
    <n v="5"/>
    <n v="0"/>
  </r>
  <r>
    <x v="0"/>
    <x v="2"/>
    <s v=""/>
    <x v="2"/>
    <n v="268"/>
    <n v="6"/>
    <n v="3"/>
    <n v="40"/>
    <n v="4"/>
    <n v="24"/>
    <n v="33"/>
    <n v="158"/>
  </r>
  <r>
    <x v="0"/>
    <x v="2"/>
    <s v="S40000004"/>
    <x v="44"/>
    <n v="80"/>
    <n v="1"/>
    <n v="1"/>
    <n v="8"/>
    <n v="3"/>
    <n v="3"/>
    <n v="15"/>
    <n v="49"/>
  </r>
  <r>
    <x v="0"/>
    <x v="2"/>
    <s v="S40000005"/>
    <x v="45"/>
    <n v="77"/>
    <n v="2"/>
    <n v="1"/>
    <n v="24"/>
    <n v="1"/>
    <n v="9"/>
    <n v="10"/>
    <n v="30"/>
  </r>
  <r>
    <x v="0"/>
    <x v="2"/>
    <s v="S40000003"/>
    <x v="46"/>
    <n v="111"/>
    <n v="3"/>
    <n v="1"/>
    <n v="8"/>
    <n v="0"/>
    <n v="12"/>
    <n v="8"/>
    <n v="79"/>
  </r>
  <r>
    <x v="0"/>
    <x v="3"/>
    <s v="S92000003"/>
    <x v="47"/>
    <n v="56"/>
    <n v="5"/>
    <n v="6"/>
    <n v="7"/>
    <n v="0"/>
    <n v="22"/>
    <n v="5"/>
    <n v="11"/>
  </r>
  <r>
    <x v="0"/>
    <x v="4"/>
    <s v="S92000003"/>
    <x v="47"/>
    <n v="4000.76"/>
    <n v="28"/>
    <n v="9"/>
    <n v="660"/>
    <n v="2373.7600000000002"/>
    <n v="115"/>
    <n v="136"/>
    <n v="679"/>
  </r>
  <r>
    <x v="1"/>
    <x v="0"/>
    <s v="S12000033"/>
    <x v="0"/>
    <n v="173"/>
    <m/>
    <m/>
    <n v="25"/>
    <n v="122"/>
    <m/>
    <n v="0"/>
    <n v="26"/>
  </r>
  <r>
    <x v="1"/>
    <x v="0"/>
    <s v="S12000034"/>
    <x v="1"/>
    <n v="23"/>
    <m/>
    <m/>
    <n v="3"/>
    <n v="18"/>
    <m/>
    <n v="0"/>
    <n v="2"/>
  </r>
  <r>
    <x v="1"/>
    <x v="0"/>
    <s v=""/>
    <x v="2"/>
    <n v="3285"/>
    <m/>
    <m/>
    <n v="592"/>
    <n v="2263"/>
    <m/>
    <n v="14"/>
    <n v="416"/>
  </r>
  <r>
    <x v="1"/>
    <x v="0"/>
    <s v="S12000041"/>
    <x v="3"/>
    <n v="27"/>
    <m/>
    <m/>
    <n v="0"/>
    <n v="22"/>
    <m/>
    <n v="1"/>
    <n v="4"/>
  </r>
  <r>
    <x v="1"/>
    <x v="0"/>
    <s v="S12000035"/>
    <x v="4"/>
    <n v="54"/>
    <m/>
    <m/>
    <n v="10"/>
    <n v="27"/>
    <m/>
    <n v="2"/>
    <n v="15"/>
  </r>
  <r>
    <x v="1"/>
    <x v="0"/>
    <s v="S12000036"/>
    <x v="5"/>
    <n v="348"/>
    <m/>
    <m/>
    <n v="64"/>
    <n v="257"/>
    <m/>
    <n v="1"/>
    <n v="26"/>
  </r>
  <r>
    <x v="1"/>
    <x v="0"/>
    <s v="S12000005"/>
    <x v="6"/>
    <n v="37"/>
    <m/>
    <m/>
    <n v="8"/>
    <n v="25"/>
    <m/>
    <n v="0"/>
    <n v="4"/>
  </r>
  <r>
    <x v="1"/>
    <x v="0"/>
    <s v="S12000006"/>
    <x v="7"/>
    <n v="69"/>
    <m/>
    <m/>
    <n v="11"/>
    <n v="52"/>
    <m/>
    <n v="0"/>
    <n v="6"/>
  </r>
  <r>
    <x v="1"/>
    <x v="0"/>
    <s v="S12000042"/>
    <x v="8"/>
    <n v="207"/>
    <m/>
    <m/>
    <n v="27"/>
    <n v="158"/>
    <m/>
    <n v="1"/>
    <n v="21"/>
  </r>
  <r>
    <x v="1"/>
    <x v="0"/>
    <s v="S12000008"/>
    <x v="9"/>
    <n v="56"/>
    <m/>
    <m/>
    <n v="9"/>
    <n v="39"/>
    <m/>
    <n v="0"/>
    <n v="8"/>
  </r>
  <r>
    <x v="1"/>
    <x v="0"/>
    <s v="S12000045"/>
    <x v="10"/>
    <n v="72"/>
    <m/>
    <m/>
    <n v="14"/>
    <n v="44"/>
    <m/>
    <n v="0"/>
    <n v="14"/>
  </r>
  <r>
    <x v="1"/>
    <x v="0"/>
    <s v="S12000010"/>
    <x v="11"/>
    <n v="28"/>
    <m/>
    <m/>
    <n v="3"/>
    <n v="21"/>
    <m/>
    <n v="0"/>
    <n v="4"/>
  </r>
  <r>
    <x v="1"/>
    <x v="0"/>
    <s v="S12000011"/>
    <x v="12"/>
    <n v="57"/>
    <m/>
    <m/>
    <n v="13"/>
    <n v="35"/>
    <m/>
    <n v="0"/>
    <n v="9"/>
  </r>
  <r>
    <x v="1"/>
    <x v="0"/>
    <s v="S12000014"/>
    <x v="13"/>
    <n v="94"/>
    <m/>
    <m/>
    <n v="17"/>
    <n v="60"/>
    <m/>
    <n v="2"/>
    <n v="15"/>
  </r>
  <r>
    <x v="1"/>
    <x v="0"/>
    <s v="S12000047"/>
    <x v="14"/>
    <n v="288"/>
    <m/>
    <m/>
    <n v="54"/>
    <n v="209"/>
    <m/>
    <n v="0"/>
    <n v="25"/>
  </r>
  <r>
    <x v="1"/>
    <x v="0"/>
    <s v="S12000046"/>
    <x v="15"/>
    <n v="544"/>
    <m/>
    <m/>
    <n v="116"/>
    <n v="362"/>
    <m/>
    <n v="1"/>
    <n v="65"/>
  </r>
  <r>
    <x v="1"/>
    <x v="0"/>
    <s v="S12000017"/>
    <x v="16"/>
    <n v="81"/>
    <m/>
    <m/>
    <n v="11"/>
    <n v="57"/>
    <m/>
    <n v="1"/>
    <n v="12"/>
  </r>
  <r>
    <x v="1"/>
    <x v="0"/>
    <s v="S12000018"/>
    <x v="17"/>
    <n v="77"/>
    <m/>
    <m/>
    <n v="16"/>
    <n v="49"/>
    <m/>
    <n v="0"/>
    <n v="12"/>
  </r>
  <r>
    <x v="1"/>
    <x v="0"/>
    <s v="S12000019"/>
    <x v="18"/>
    <n v="35"/>
    <m/>
    <m/>
    <n v="4"/>
    <n v="26"/>
    <m/>
    <n v="0"/>
    <n v="5"/>
  </r>
  <r>
    <x v="1"/>
    <x v="0"/>
    <s v="S12000020"/>
    <x v="19"/>
    <n v="21"/>
    <m/>
    <m/>
    <n v="3"/>
    <n v="14"/>
    <m/>
    <n v="0"/>
    <n v="4"/>
  </r>
  <r>
    <x v="1"/>
    <x v="0"/>
    <s v="S12000013"/>
    <x v="20"/>
    <n v="0"/>
    <m/>
    <m/>
    <n v="0"/>
    <n v="0"/>
    <m/>
    <n v="0"/>
    <n v="0"/>
  </r>
  <r>
    <x v="1"/>
    <x v="0"/>
    <s v="S12000021"/>
    <x v="21"/>
    <n v="78"/>
    <m/>
    <m/>
    <n v="14"/>
    <n v="50"/>
    <m/>
    <n v="0"/>
    <n v="14"/>
  </r>
  <r>
    <x v="1"/>
    <x v="0"/>
    <s v="S12000044"/>
    <x v="22"/>
    <n v="187"/>
    <m/>
    <m/>
    <n v="37"/>
    <n v="125"/>
    <m/>
    <n v="1"/>
    <n v="24"/>
  </r>
  <r>
    <x v="1"/>
    <x v="0"/>
    <s v="S12000023"/>
    <x v="23"/>
    <n v="0"/>
    <m/>
    <m/>
    <n v="0"/>
    <n v="0"/>
    <m/>
    <n v="0"/>
    <n v="0"/>
  </r>
  <r>
    <x v="1"/>
    <x v="0"/>
    <s v="S12000024"/>
    <x v="24"/>
    <n v="86"/>
    <m/>
    <m/>
    <n v="16"/>
    <n v="58"/>
    <m/>
    <n v="1"/>
    <n v="11"/>
  </r>
  <r>
    <x v="1"/>
    <x v="0"/>
    <s v="S12000038"/>
    <x v="25"/>
    <n v="115"/>
    <m/>
    <m/>
    <n v="23"/>
    <n v="72"/>
    <m/>
    <n v="0"/>
    <n v="20"/>
  </r>
  <r>
    <x v="1"/>
    <x v="0"/>
    <s v="S12000026"/>
    <x v="26"/>
    <n v="73"/>
    <m/>
    <m/>
    <n v="11"/>
    <n v="51"/>
    <m/>
    <n v="0"/>
    <n v="11"/>
  </r>
  <r>
    <x v="1"/>
    <x v="0"/>
    <s v="S12000027"/>
    <x v="27"/>
    <n v="0"/>
    <m/>
    <m/>
    <n v="0"/>
    <n v="0"/>
    <m/>
    <n v="0"/>
    <n v="0"/>
  </r>
  <r>
    <x v="1"/>
    <x v="0"/>
    <s v="S12000028"/>
    <x v="28"/>
    <n v="60"/>
    <m/>
    <m/>
    <n v="9"/>
    <n v="43"/>
    <m/>
    <n v="0"/>
    <n v="8"/>
  </r>
  <r>
    <x v="1"/>
    <x v="0"/>
    <s v="S12000029"/>
    <x v="29"/>
    <n v="187"/>
    <m/>
    <m/>
    <n v="35"/>
    <n v="126"/>
    <m/>
    <n v="2"/>
    <n v="24"/>
  </r>
  <r>
    <x v="1"/>
    <x v="0"/>
    <s v="S12000030"/>
    <x v="30"/>
    <n v="55"/>
    <m/>
    <m/>
    <n v="10"/>
    <n v="37"/>
    <m/>
    <n v="0"/>
    <n v="8"/>
  </r>
  <r>
    <x v="1"/>
    <x v="0"/>
    <s v="S12000039"/>
    <x v="31"/>
    <n v="74"/>
    <m/>
    <m/>
    <n v="20"/>
    <n v="45"/>
    <m/>
    <n v="0"/>
    <n v="9"/>
  </r>
  <r>
    <x v="1"/>
    <x v="0"/>
    <s v="S12000040"/>
    <x v="32"/>
    <n v="79"/>
    <m/>
    <m/>
    <n v="9"/>
    <n v="59"/>
    <m/>
    <n v="1"/>
    <n v="10"/>
  </r>
  <r>
    <x v="1"/>
    <x v="1"/>
    <s v="S39000001"/>
    <x v="0"/>
    <n v="18"/>
    <n v="1"/>
    <m/>
    <n v="0"/>
    <n v="0"/>
    <n v="3"/>
    <n v="7"/>
    <n v="7"/>
  </r>
  <r>
    <x v="1"/>
    <x v="1"/>
    <s v="S39000002"/>
    <x v="33"/>
    <n v="18"/>
    <n v="1"/>
    <m/>
    <n v="0"/>
    <n v="2"/>
    <n v="1"/>
    <n v="4"/>
    <n v="10"/>
  </r>
  <r>
    <x v="1"/>
    <x v="1"/>
    <s v=""/>
    <x v="2"/>
    <n v="270"/>
    <n v="18"/>
    <m/>
    <n v="4"/>
    <n v="14"/>
    <n v="65"/>
    <n v="79"/>
    <n v="90"/>
  </r>
  <r>
    <x v="1"/>
    <x v="1"/>
    <s v="S39000003"/>
    <x v="34"/>
    <n v="21"/>
    <n v="1"/>
    <m/>
    <n v="0"/>
    <n v="1"/>
    <n v="7"/>
    <n v="5"/>
    <n v="7"/>
  </r>
  <r>
    <x v="1"/>
    <x v="1"/>
    <s v="S39000004"/>
    <x v="7"/>
    <n v="18"/>
    <n v="0"/>
    <m/>
    <n v="0"/>
    <n v="1"/>
    <n v="2"/>
    <n v="5"/>
    <n v="10"/>
  </r>
  <r>
    <x v="1"/>
    <x v="1"/>
    <s v="S39000018"/>
    <x v="35"/>
    <n v="12"/>
    <n v="1"/>
    <m/>
    <n v="0"/>
    <n v="0"/>
    <n v="3"/>
    <n v="5"/>
    <n v="3"/>
  </r>
  <r>
    <x v="1"/>
    <x v="1"/>
    <s v="S39000006"/>
    <x v="36"/>
    <n v="20"/>
    <n v="1"/>
    <m/>
    <n v="0"/>
    <n v="0"/>
    <n v="7"/>
    <n v="7"/>
    <n v="5"/>
  </r>
  <r>
    <x v="1"/>
    <x v="1"/>
    <s v="S39000007"/>
    <x v="37"/>
    <n v="17"/>
    <n v="1"/>
    <m/>
    <n v="0"/>
    <n v="4"/>
    <n v="5"/>
    <n v="1"/>
    <n v="6"/>
  </r>
  <r>
    <x v="1"/>
    <x v="1"/>
    <s v="S39000008"/>
    <x v="38"/>
    <n v="12"/>
    <n v="1"/>
    <m/>
    <n v="0"/>
    <n v="0"/>
    <n v="3"/>
    <n v="5"/>
    <n v="3"/>
  </r>
  <r>
    <x v="1"/>
    <x v="1"/>
    <s v="S39000009"/>
    <x v="39"/>
    <n v="24"/>
    <n v="2"/>
    <m/>
    <n v="2"/>
    <n v="2"/>
    <n v="8"/>
    <n v="4"/>
    <n v="6"/>
  </r>
  <r>
    <x v="1"/>
    <x v="1"/>
    <s v="S39000010"/>
    <x v="40"/>
    <n v="13"/>
    <n v="1"/>
    <m/>
    <n v="0"/>
    <n v="1"/>
    <n v="3"/>
    <n v="3"/>
    <n v="5"/>
  </r>
  <r>
    <x v="1"/>
    <x v="1"/>
    <s v="S39000019"/>
    <x v="14"/>
    <n v="21"/>
    <n v="2"/>
    <m/>
    <n v="0"/>
    <n v="0"/>
    <n v="2"/>
    <n v="6"/>
    <n v="11"/>
  </r>
  <r>
    <x v="1"/>
    <x v="1"/>
    <s v="S39000012"/>
    <x v="15"/>
    <n v="25"/>
    <n v="1"/>
    <m/>
    <n v="1"/>
    <n v="2"/>
    <n v="4"/>
    <n v="8"/>
    <n v="9"/>
  </r>
  <r>
    <x v="1"/>
    <x v="1"/>
    <s v="S39000013"/>
    <x v="41"/>
    <n v="13"/>
    <n v="1"/>
    <m/>
    <n v="0"/>
    <n v="0"/>
    <n v="6"/>
    <n v="5"/>
    <n v="1"/>
  </r>
  <r>
    <x v="1"/>
    <x v="1"/>
    <s v="S39000014"/>
    <x v="22"/>
    <n v="16"/>
    <n v="2"/>
    <m/>
    <n v="1"/>
    <n v="1"/>
    <n v="3"/>
    <n v="5"/>
    <n v="4"/>
  </r>
  <r>
    <x v="1"/>
    <x v="1"/>
    <s v="S39000015"/>
    <x v="29"/>
    <n v="10"/>
    <n v="1"/>
    <m/>
    <n v="0"/>
    <n v="0"/>
    <n v="4"/>
    <n v="2"/>
    <n v="3"/>
  </r>
  <r>
    <x v="1"/>
    <x v="1"/>
    <s v="S39000016"/>
    <x v="42"/>
    <n v="5"/>
    <n v="0"/>
    <m/>
    <n v="0"/>
    <n v="0"/>
    <n v="1"/>
    <n v="4"/>
    <n v="0"/>
  </r>
  <r>
    <x v="1"/>
    <x v="1"/>
    <s v="S39000017"/>
    <x v="43"/>
    <n v="7"/>
    <n v="1"/>
    <m/>
    <n v="0"/>
    <n v="0"/>
    <n v="3"/>
    <n v="3"/>
    <n v="0"/>
  </r>
  <r>
    <x v="1"/>
    <x v="2"/>
    <s v=""/>
    <x v="2"/>
    <n v="249"/>
    <n v="4"/>
    <m/>
    <n v="34"/>
    <n v="7"/>
    <n v="26"/>
    <n v="31"/>
    <n v="147"/>
  </r>
  <r>
    <x v="1"/>
    <x v="2"/>
    <s v="S40000004"/>
    <x v="44"/>
    <n v="78"/>
    <n v="1"/>
    <m/>
    <n v="4"/>
    <n v="6"/>
    <n v="4"/>
    <n v="17"/>
    <n v="46"/>
  </r>
  <r>
    <x v="1"/>
    <x v="2"/>
    <s v="S40000005"/>
    <x v="45"/>
    <n v="66"/>
    <n v="1"/>
    <m/>
    <n v="21"/>
    <n v="1"/>
    <n v="7"/>
    <n v="10"/>
    <n v="26"/>
  </r>
  <r>
    <x v="1"/>
    <x v="2"/>
    <s v="S40000003"/>
    <x v="46"/>
    <n v="105"/>
    <n v="2"/>
    <m/>
    <n v="9"/>
    <n v="0"/>
    <n v="15"/>
    <n v="4"/>
    <n v="75"/>
  </r>
  <r>
    <x v="1"/>
    <x v="3"/>
    <s v="S92000003"/>
    <x v="47"/>
    <n v="52"/>
    <n v="11"/>
    <n v="7"/>
    <n v="4"/>
    <n v="1"/>
    <n v="12"/>
    <n v="6"/>
    <n v="11"/>
  </r>
  <r>
    <x v="1"/>
    <x v="4"/>
    <s v="S92000003"/>
    <x v="47"/>
    <n v="3856"/>
    <n v="33"/>
    <n v="7"/>
    <n v="634"/>
    <n v="2285"/>
    <n v="103"/>
    <n v="130"/>
    <n v="664"/>
  </r>
  <r>
    <x v="2"/>
    <x v="0"/>
    <s v="S12000033"/>
    <x v="0"/>
    <n v="142"/>
    <m/>
    <m/>
    <n v="22"/>
    <n v="107"/>
    <m/>
    <n v="0"/>
    <n v="13"/>
  </r>
  <r>
    <x v="2"/>
    <x v="0"/>
    <s v="S12000034"/>
    <x v="1"/>
    <n v="32"/>
    <m/>
    <m/>
    <n v="6"/>
    <n v="22"/>
    <m/>
    <n v="0"/>
    <n v="4"/>
  </r>
  <r>
    <x v="2"/>
    <x v="0"/>
    <s v=""/>
    <x v="2"/>
    <n v="3015.9047619047619"/>
    <n v="0"/>
    <n v="0"/>
    <n v="509.34523809523807"/>
    <n v="2199.9"/>
    <n v="0"/>
    <n v="2"/>
    <n v="304.65952380952382"/>
  </r>
  <r>
    <x v="2"/>
    <x v="0"/>
    <s v="S12000041"/>
    <x v="3"/>
    <n v="36"/>
    <m/>
    <m/>
    <n v="8"/>
    <n v="25"/>
    <m/>
    <n v="0"/>
    <n v="3"/>
  </r>
  <r>
    <x v="2"/>
    <x v="0"/>
    <s v="S12000035"/>
    <x v="4"/>
    <n v="55"/>
    <m/>
    <m/>
    <n v="8"/>
    <n v="37"/>
    <m/>
    <n v="0"/>
    <n v="10"/>
  </r>
  <r>
    <x v="2"/>
    <x v="0"/>
    <s v="S12000036"/>
    <x v="5"/>
    <n v="315"/>
    <m/>
    <m/>
    <n v="48"/>
    <n v="248"/>
    <m/>
    <n v="0"/>
    <n v="19"/>
  </r>
  <r>
    <x v="2"/>
    <x v="0"/>
    <s v="S12000005"/>
    <x v="6"/>
    <n v="26"/>
    <m/>
    <m/>
    <n v="5"/>
    <n v="17"/>
    <m/>
    <n v="0"/>
    <n v="4"/>
  </r>
  <r>
    <x v="2"/>
    <x v="0"/>
    <s v="S12000006"/>
    <x v="7"/>
    <n v="65"/>
    <m/>
    <m/>
    <n v="14"/>
    <n v="48"/>
    <m/>
    <n v="0"/>
    <n v="3"/>
  </r>
  <r>
    <x v="2"/>
    <x v="0"/>
    <s v="S12000042"/>
    <x v="8"/>
    <n v="176"/>
    <m/>
    <m/>
    <n v="26"/>
    <n v="135"/>
    <m/>
    <n v="1"/>
    <n v="14"/>
  </r>
  <r>
    <x v="2"/>
    <x v="0"/>
    <s v="S12000008"/>
    <x v="9"/>
    <n v="53"/>
    <m/>
    <m/>
    <n v="7"/>
    <n v="41"/>
    <m/>
    <n v="0"/>
    <n v="5"/>
  </r>
  <r>
    <x v="2"/>
    <x v="0"/>
    <s v="S12000045"/>
    <x v="10"/>
    <n v="70"/>
    <m/>
    <m/>
    <n v="9"/>
    <n v="46"/>
    <m/>
    <n v="0"/>
    <n v="15"/>
  </r>
  <r>
    <x v="2"/>
    <x v="0"/>
    <s v="S12000010"/>
    <x v="11"/>
    <n v="27"/>
    <m/>
    <m/>
    <n v="4"/>
    <n v="19"/>
    <m/>
    <n v="0"/>
    <n v="4"/>
  </r>
  <r>
    <x v="2"/>
    <x v="0"/>
    <s v="S12000011"/>
    <x v="12"/>
    <n v="53"/>
    <m/>
    <m/>
    <n v="10"/>
    <n v="34"/>
    <m/>
    <n v="0"/>
    <n v="9"/>
  </r>
  <r>
    <x v="2"/>
    <x v="0"/>
    <s v="S12000014"/>
    <x v="13"/>
    <n v="277.07499999999999"/>
    <m/>
    <m/>
    <n v="47"/>
    <n v="210.07499999999999"/>
    <m/>
    <n v="0"/>
    <n v="20"/>
  </r>
  <r>
    <x v="2"/>
    <x v="0"/>
    <s v="S12000047"/>
    <x v="14"/>
    <n v="498.15952380952382"/>
    <m/>
    <m/>
    <n v="98.5"/>
    <n v="350"/>
    <m/>
    <n v="0"/>
    <n v="49.659523809523812"/>
  </r>
  <r>
    <x v="2"/>
    <x v="0"/>
    <s v="S12000046"/>
    <x v="15"/>
    <n v="68"/>
    <m/>
    <m/>
    <n v="11"/>
    <n v="53"/>
    <m/>
    <n v="0"/>
    <n v="4"/>
  </r>
  <r>
    <x v="2"/>
    <x v="0"/>
    <s v="S12000017"/>
    <x v="16"/>
    <n v="70"/>
    <m/>
    <m/>
    <n v="12"/>
    <n v="48"/>
    <m/>
    <n v="1"/>
    <n v="9"/>
  </r>
  <r>
    <x v="2"/>
    <x v="0"/>
    <s v="S12000018"/>
    <x v="17"/>
    <n v="23"/>
    <m/>
    <m/>
    <n v="4"/>
    <n v="16"/>
    <m/>
    <n v="0"/>
    <n v="3"/>
  </r>
  <r>
    <x v="2"/>
    <x v="0"/>
    <s v="S12000019"/>
    <x v="18"/>
    <n v="31"/>
    <m/>
    <m/>
    <n v="5"/>
    <n v="21"/>
    <m/>
    <n v="0"/>
    <n v="5"/>
  </r>
  <r>
    <x v="2"/>
    <x v="0"/>
    <s v="S12000020"/>
    <x v="19"/>
    <n v="0"/>
    <m/>
    <m/>
    <n v="0"/>
    <n v="0"/>
    <m/>
    <n v="0"/>
    <n v="0"/>
  </r>
  <r>
    <x v="2"/>
    <x v="0"/>
    <s v="S12000013"/>
    <x v="20"/>
    <n v="95"/>
    <m/>
    <m/>
    <n v="17"/>
    <n v="66"/>
    <m/>
    <n v="0"/>
    <n v="12"/>
  </r>
  <r>
    <x v="2"/>
    <x v="0"/>
    <s v="S12000021"/>
    <x v="21"/>
    <n v="75.095238095238102"/>
    <m/>
    <m/>
    <n v="13.095238095238095"/>
    <n v="50"/>
    <m/>
    <n v="0"/>
    <n v="12"/>
  </r>
  <r>
    <x v="2"/>
    <x v="0"/>
    <s v="S12000044"/>
    <x v="22"/>
    <n v="179.75"/>
    <m/>
    <m/>
    <n v="27.75"/>
    <n v="136"/>
    <m/>
    <n v="0"/>
    <n v="16"/>
  </r>
  <r>
    <x v="2"/>
    <x v="0"/>
    <s v="S12000023"/>
    <x v="23"/>
    <n v="0"/>
    <m/>
    <m/>
    <n v="0"/>
    <n v="0"/>
    <m/>
    <n v="0"/>
    <n v="0"/>
  </r>
  <r>
    <x v="2"/>
    <x v="0"/>
    <s v="S12000024"/>
    <x v="24"/>
    <n v="72.75"/>
    <m/>
    <m/>
    <n v="13"/>
    <n v="55.75"/>
    <m/>
    <n v="0"/>
    <n v="4"/>
  </r>
  <r>
    <x v="2"/>
    <x v="0"/>
    <s v="S12000038"/>
    <x v="25"/>
    <n v="92"/>
    <m/>
    <m/>
    <n v="15"/>
    <n v="62"/>
    <m/>
    <n v="0"/>
    <n v="15"/>
  </r>
  <r>
    <x v="2"/>
    <x v="0"/>
    <s v="S12000026"/>
    <x v="26"/>
    <n v="69.075000000000003"/>
    <m/>
    <m/>
    <n v="12"/>
    <n v="48.075000000000003"/>
    <m/>
    <n v="0"/>
    <n v="9"/>
  </r>
  <r>
    <x v="2"/>
    <x v="0"/>
    <s v="S12000027"/>
    <x v="27"/>
    <n v="0"/>
    <m/>
    <m/>
    <n v="0"/>
    <n v="0"/>
    <m/>
    <n v="0"/>
    <n v="0"/>
  </r>
  <r>
    <x v="2"/>
    <x v="0"/>
    <s v="S12000028"/>
    <x v="28"/>
    <n v="55"/>
    <m/>
    <m/>
    <n v="10"/>
    <n v="40"/>
    <m/>
    <n v="0"/>
    <n v="5"/>
  </r>
  <r>
    <x v="2"/>
    <x v="0"/>
    <s v="S12000029"/>
    <x v="29"/>
    <n v="178"/>
    <m/>
    <m/>
    <n v="28"/>
    <n v="132"/>
    <m/>
    <n v="0"/>
    <n v="18"/>
  </r>
  <r>
    <x v="2"/>
    <x v="0"/>
    <s v="S12000030"/>
    <x v="30"/>
    <n v="51"/>
    <m/>
    <m/>
    <n v="9"/>
    <n v="40"/>
    <m/>
    <n v="0"/>
    <n v="2"/>
  </r>
  <r>
    <x v="2"/>
    <x v="0"/>
    <s v="S12000039"/>
    <x v="31"/>
    <n v="70"/>
    <m/>
    <m/>
    <n v="11"/>
    <n v="49"/>
    <m/>
    <n v="0"/>
    <n v="10"/>
  </r>
  <r>
    <x v="2"/>
    <x v="0"/>
    <s v="S12000040"/>
    <x v="32"/>
    <n v="61"/>
    <m/>
    <m/>
    <n v="9"/>
    <n v="44"/>
    <m/>
    <n v="0"/>
    <n v="8"/>
  </r>
  <r>
    <x v="2"/>
    <x v="1"/>
    <s v="S39000001"/>
    <x v="0"/>
    <n v="16"/>
    <n v="1"/>
    <m/>
    <n v="0"/>
    <n v="3"/>
    <n v="3"/>
    <n v="2"/>
    <n v="7"/>
  </r>
  <r>
    <x v="2"/>
    <x v="1"/>
    <s v="S39000002"/>
    <x v="33"/>
    <n v="27"/>
    <n v="1"/>
    <m/>
    <n v="7"/>
    <n v="1"/>
    <n v="2"/>
    <n v="6"/>
    <n v="10"/>
  </r>
  <r>
    <x v="2"/>
    <x v="1"/>
    <s v=""/>
    <x v="2"/>
    <n v="393.54523809523812"/>
    <n v="14"/>
    <n v="0"/>
    <n v="50"/>
    <n v="34.885714285714286"/>
    <n v="62"/>
    <n v="91"/>
    <n v="141.65952380952382"/>
  </r>
  <r>
    <x v="2"/>
    <x v="1"/>
    <s v="S39000003"/>
    <x v="34"/>
    <n v="25"/>
    <n v="1"/>
    <m/>
    <n v="2"/>
    <n v="4"/>
    <n v="5"/>
    <n v="7"/>
    <n v="6"/>
  </r>
  <r>
    <x v="2"/>
    <x v="1"/>
    <s v="S39000004"/>
    <x v="7"/>
    <n v="19"/>
    <n v="0"/>
    <m/>
    <n v="0"/>
    <n v="2"/>
    <n v="2"/>
    <n v="5"/>
    <n v="10"/>
  </r>
  <r>
    <x v="2"/>
    <x v="1"/>
    <s v="S39000018"/>
    <x v="35"/>
    <n v="24"/>
    <n v="1"/>
    <m/>
    <n v="0"/>
    <n v="1"/>
    <n v="4"/>
    <n v="10"/>
    <n v="8"/>
  </r>
  <r>
    <x v="2"/>
    <x v="1"/>
    <s v="S39000006"/>
    <x v="36"/>
    <n v="28.885714285714286"/>
    <n v="1"/>
    <m/>
    <n v="4"/>
    <n v="1.8857142857142857"/>
    <n v="6"/>
    <n v="7"/>
    <n v="9"/>
  </r>
  <r>
    <x v="2"/>
    <x v="1"/>
    <s v="S39000007"/>
    <x v="37"/>
    <n v="38"/>
    <n v="1"/>
    <m/>
    <n v="10"/>
    <n v="5"/>
    <n v="5"/>
    <n v="6"/>
    <n v="11"/>
  </r>
  <r>
    <x v="2"/>
    <x v="1"/>
    <s v="S39000008"/>
    <x v="38"/>
    <n v="17"/>
    <n v="1"/>
    <m/>
    <n v="1"/>
    <n v="3"/>
    <n v="2"/>
    <n v="3"/>
    <n v="7"/>
  </r>
  <r>
    <x v="2"/>
    <x v="1"/>
    <s v="S39000009"/>
    <x v="39"/>
    <n v="27"/>
    <n v="0"/>
    <m/>
    <n v="5"/>
    <n v="4"/>
    <n v="7"/>
    <n v="2"/>
    <n v="9"/>
  </r>
  <r>
    <x v="2"/>
    <x v="1"/>
    <s v="S39000010"/>
    <x v="40"/>
    <n v="25"/>
    <n v="1"/>
    <m/>
    <n v="1"/>
    <n v="2"/>
    <n v="2"/>
    <n v="3"/>
    <n v="16"/>
  </r>
  <r>
    <x v="2"/>
    <x v="1"/>
    <s v="S39000019"/>
    <x v="14"/>
    <n v="26"/>
    <n v="1"/>
    <m/>
    <n v="3"/>
    <n v="4"/>
    <n v="2"/>
    <n v="5"/>
    <n v="11"/>
  </r>
  <r>
    <x v="2"/>
    <x v="1"/>
    <s v="S39000012"/>
    <x v="15"/>
    <n v="31.659523809523812"/>
    <n v="1"/>
    <m/>
    <n v="1"/>
    <n v="2"/>
    <n v="5"/>
    <n v="8"/>
    <n v="14.65952380952381"/>
  </r>
  <r>
    <x v="2"/>
    <x v="1"/>
    <s v="S39000013"/>
    <x v="41"/>
    <n v="29"/>
    <n v="1"/>
    <m/>
    <n v="7"/>
    <n v="0"/>
    <n v="6"/>
    <n v="8"/>
    <n v="7"/>
  </r>
  <r>
    <x v="2"/>
    <x v="1"/>
    <s v="S39000014"/>
    <x v="22"/>
    <n v="20"/>
    <n v="1"/>
    <m/>
    <n v="3"/>
    <n v="0"/>
    <n v="3"/>
    <n v="4"/>
    <n v="9"/>
  </r>
  <r>
    <x v="2"/>
    <x v="1"/>
    <s v="S39000015"/>
    <x v="29"/>
    <n v="16"/>
    <n v="1"/>
    <m/>
    <n v="3"/>
    <n v="1"/>
    <n v="3"/>
    <n v="5"/>
    <n v="3"/>
  </r>
  <r>
    <x v="2"/>
    <x v="1"/>
    <s v="S39000016"/>
    <x v="42"/>
    <n v="13"/>
    <n v="0"/>
    <m/>
    <n v="2"/>
    <n v="1"/>
    <n v="2"/>
    <n v="5"/>
    <n v="3"/>
  </r>
  <r>
    <x v="2"/>
    <x v="1"/>
    <s v="S39000017"/>
    <x v="43"/>
    <n v="11"/>
    <n v="1"/>
    <m/>
    <n v="1"/>
    <n v="0"/>
    <n v="3"/>
    <n v="5"/>
    <n v="1"/>
  </r>
  <r>
    <x v="2"/>
    <x v="2"/>
    <s v="S40000004"/>
    <x v="44"/>
    <n v="25"/>
    <n v="1"/>
    <m/>
    <n v="2"/>
    <n v="0"/>
    <n v="2"/>
    <n v="3"/>
    <n v="17"/>
  </r>
  <r>
    <x v="2"/>
    <x v="2"/>
    <s v="S40000005"/>
    <x v="45"/>
    <n v="44"/>
    <n v="1"/>
    <m/>
    <n v="8"/>
    <n v="0"/>
    <n v="2"/>
    <n v="8"/>
    <n v="25"/>
  </r>
  <r>
    <x v="2"/>
    <x v="2"/>
    <s v="S40000003"/>
    <x v="46"/>
    <n v="16"/>
    <n v="1"/>
    <m/>
    <n v="3"/>
    <n v="0"/>
    <n v="5"/>
    <n v="3"/>
    <n v="4"/>
  </r>
  <r>
    <x v="2"/>
    <x v="3"/>
    <s v="S92000003"/>
    <x v="47"/>
    <n v="195"/>
    <n v="18"/>
    <n v="10"/>
    <n v="26"/>
    <n v="16"/>
    <n v="19"/>
    <n v="19"/>
    <n v="93"/>
  </r>
  <r>
    <x v="2"/>
    <x v="5"/>
    <s v=""/>
    <x v="2"/>
    <n v="85"/>
    <n v="3"/>
    <n v="0"/>
    <n v="13"/>
    <n v="0"/>
    <n v="9"/>
    <n v="14"/>
    <n v="46"/>
  </r>
  <r>
    <x v="2"/>
    <x v="4"/>
    <s v="S92000003"/>
    <x v="47"/>
    <n v="3690"/>
    <n v="35"/>
    <n v="4"/>
    <n v="598.34523809523807"/>
    <n v="2250.7857142857142"/>
    <n v="90"/>
    <n v="126"/>
    <n v="585.31904761904764"/>
  </r>
  <r>
    <x v="3"/>
    <x v="0"/>
    <s v="S12000033"/>
    <x v="0"/>
    <n v="155"/>
    <n v="0"/>
    <n v="0"/>
    <n v="26"/>
    <n v="113"/>
    <n v="0"/>
    <n v="0"/>
    <n v="16"/>
  </r>
  <r>
    <x v="3"/>
    <x v="0"/>
    <s v="S12000034"/>
    <x v="1"/>
    <n v="25"/>
    <n v="0"/>
    <n v="0"/>
    <n v="4"/>
    <n v="17"/>
    <n v="0"/>
    <n v="0"/>
    <n v="4"/>
  </r>
  <r>
    <x v="3"/>
    <x v="0"/>
    <s v=""/>
    <x v="2"/>
    <n v="2923"/>
    <n v="0"/>
    <n v="0"/>
    <n v="552"/>
    <n v="2027"/>
    <n v="0"/>
    <n v="1"/>
    <n v="343"/>
  </r>
  <r>
    <x v="3"/>
    <x v="0"/>
    <s v="S12000041"/>
    <x v="3"/>
    <n v="25"/>
    <n v="0"/>
    <n v="0"/>
    <n v="4"/>
    <n v="18"/>
    <n v="0"/>
    <n v="0"/>
    <n v="3"/>
  </r>
  <r>
    <x v="3"/>
    <x v="0"/>
    <s v="S12000035"/>
    <x v="4"/>
    <n v="43"/>
    <n v="0"/>
    <n v="0"/>
    <n v="9"/>
    <n v="24"/>
    <n v="0"/>
    <n v="0"/>
    <n v="10"/>
  </r>
  <r>
    <x v="3"/>
    <x v="0"/>
    <s v="S12000036"/>
    <x v="5"/>
    <n v="313"/>
    <n v="0"/>
    <n v="0"/>
    <n v="60"/>
    <n v="227"/>
    <n v="0"/>
    <n v="0"/>
    <n v="26"/>
  </r>
  <r>
    <x v="3"/>
    <x v="0"/>
    <s v="S12000005"/>
    <x v="6"/>
    <n v="22"/>
    <n v="0"/>
    <n v="0"/>
    <n v="4"/>
    <n v="14"/>
    <n v="0"/>
    <n v="0"/>
    <n v="4"/>
  </r>
  <r>
    <x v="3"/>
    <x v="0"/>
    <s v="S12000006"/>
    <x v="7"/>
    <n v="63"/>
    <n v="0"/>
    <n v="0"/>
    <n v="11"/>
    <n v="48"/>
    <n v="0"/>
    <n v="0"/>
    <n v="4"/>
  </r>
  <r>
    <x v="3"/>
    <x v="0"/>
    <s v="S12000042"/>
    <x v="8"/>
    <n v="192"/>
    <n v="0"/>
    <n v="0"/>
    <n v="30"/>
    <n v="144"/>
    <n v="0"/>
    <n v="0"/>
    <n v="18"/>
  </r>
  <r>
    <x v="3"/>
    <x v="0"/>
    <s v="S12000008"/>
    <x v="9"/>
    <n v="46"/>
    <n v="0"/>
    <n v="0"/>
    <n v="9"/>
    <n v="32"/>
    <n v="0"/>
    <n v="0"/>
    <n v="5"/>
  </r>
  <r>
    <x v="3"/>
    <x v="0"/>
    <s v="S12000045"/>
    <x v="10"/>
    <n v="68"/>
    <n v="0"/>
    <n v="0"/>
    <n v="14"/>
    <n v="39"/>
    <n v="0"/>
    <n v="0"/>
    <n v="15"/>
  </r>
  <r>
    <x v="3"/>
    <x v="0"/>
    <s v="S12000010"/>
    <x v="11"/>
    <n v="27"/>
    <n v="0"/>
    <n v="0"/>
    <n v="4"/>
    <n v="19"/>
    <n v="0"/>
    <n v="0"/>
    <n v="4"/>
  </r>
  <r>
    <x v="3"/>
    <x v="0"/>
    <s v="S12000011"/>
    <x v="12"/>
    <n v="50"/>
    <n v="0"/>
    <n v="0"/>
    <n v="10"/>
    <n v="30"/>
    <n v="0"/>
    <n v="0"/>
    <n v="10"/>
  </r>
  <r>
    <x v="3"/>
    <x v="0"/>
    <s v="S12000014"/>
    <x v="13"/>
    <n v="86"/>
    <n v="0"/>
    <n v="0"/>
    <n v="16"/>
    <n v="57"/>
    <n v="0"/>
    <n v="0"/>
    <n v="13"/>
  </r>
  <r>
    <x v="3"/>
    <x v="0"/>
    <s v="S12000047"/>
    <x v="14"/>
    <n v="270"/>
    <n v="0"/>
    <n v="0"/>
    <n v="48"/>
    <n v="201"/>
    <n v="0"/>
    <n v="0"/>
    <n v="21"/>
  </r>
  <r>
    <x v="3"/>
    <x v="0"/>
    <s v="S12000046"/>
    <x v="15"/>
    <n v="475"/>
    <n v="0"/>
    <n v="0"/>
    <n v="105"/>
    <n v="313"/>
    <n v="0"/>
    <n v="0"/>
    <n v="57"/>
  </r>
  <r>
    <x v="3"/>
    <x v="0"/>
    <s v="S12000017"/>
    <x v="16"/>
    <n v="67"/>
    <n v="0"/>
    <n v="0"/>
    <n v="11"/>
    <n v="52"/>
    <n v="0"/>
    <n v="0"/>
    <n v="4"/>
  </r>
  <r>
    <x v="3"/>
    <x v="0"/>
    <s v="S12000018"/>
    <x v="17"/>
    <n v="68"/>
    <n v="0"/>
    <n v="0"/>
    <n v="13"/>
    <n v="43"/>
    <n v="0"/>
    <n v="1"/>
    <n v="11"/>
  </r>
  <r>
    <x v="3"/>
    <x v="0"/>
    <s v="S12000019"/>
    <x v="18"/>
    <n v="22"/>
    <n v="0"/>
    <n v="0"/>
    <n v="4"/>
    <n v="14"/>
    <n v="0"/>
    <n v="0"/>
    <n v="4"/>
  </r>
  <r>
    <x v="3"/>
    <x v="0"/>
    <s v="S12000020"/>
    <x v="19"/>
    <n v="27"/>
    <n v="0"/>
    <n v="0"/>
    <n v="4"/>
    <n v="19"/>
    <n v="0"/>
    <n v="0"/>
    <n v="4"/>
  </r>
  <r>
    <x v="3"/>
    <x v="0"/>
    <s v="S12000013"/>
    <x v="20"/>
    <n v="0"/>
    <n v="0"/>
    <n v="0"/>
    <n v="0"/>
    <n v="0"/>
    <n v="0"/>
    <n v="0"/>
    <n v="0"/>
  </r>
  <r>
    <x v="3"/>
    <x v="0"/>
    <s v="S12000021"/>
    <x v="21"/>
    <n v="78"/>
    <n v="0"/>
    <n v="0"/>
    <n v="17"/>
    <n v="46"/>
    <n v="0"/>
    <n v="0"/>
    <n v="15"/>
  </r>
  <r>
    <x v="3"/>
    <x v="0"/>
    <s v="S12000044"/>
    <x v="22"/>
    <n v="173"/>
    <n v="0"/>
    <n v="0"/>
    <n v="30"/>
    <n v="123"/>
    <n v="0"/>
    <n v="0"/>
    <n v="20"/>
  </r>
  <r>
    <x v="3"/>
    <x v="0"/>
    <s v="S12000023"/>
    <x v="23"/>
    <n v="0"/>
    <n v="0"/>
    <n v="0"/>
    <n v="0"/>
    <n v="0"/>
    <n v="0"/>
    <n v="0"/>
    <n v="0"/>
  </r>
  <r>
    <x v="3"/>
    <x v="0"/>
    <s v="S12000024"/>
    <x v="24"/>
    <n v="68"/>
    <n v="0"/>
    <n v="0"/>
    <n v="12"/>
    <n v="52"/>
    <n v="0"/>
    <n v="0"/>
    <n v="4"/>
  </r>
  <r>
    <x v="3"/>
    <x v="0"/>
    <s v="S12000038"/>
    <x v="25"/>
    <n v="97"/>
    <n v="0"/>
    <n v="0"/>
    <n v="21"/>
    <n v="60"/>
    <n v="0"/>
    <n v="0"/>
    <n v="16"/>
  </r>
  <r>
    <x v="3"/>
    <x v="0"/>
    <s v="S12000026"/>
    <x v="26"/>
    <n v="56"/>
    <n v="0"/>
    <n v="0"/>
    <n v="8"/>
    <n v="40"/>
    <n v="0"/>
    <n v="0"/>
    <n v="8"/>
  </r>
  <r>
    <x v="3"/>
    <x v="0"/>
    <s v="S12000027"/>
    <x v="27"/>
    <n v="0"/>
    <n v="0"/>
    <n v="0"/>
    <n v="0"/>
    <n v="0"/>
    <n v="0"/>
    <n v="0"/>
    <n v="0"/>
  </r>
  <r>
    <x v="3"/>
    <x v="0"/>
    <s v="S12000028"/>
    <x v="28"/>
    <n v="54"/>
    <n v="0"/>
    <n v="0"/>
    <n v="10"/>
    <n v="39"/>
    <n v="0"/>
    <n v="0"/>
    <n v="5"/>
  </r>
  <r>
    <x v="3"/>
    <x v="0"/>
    <s v="S12000029"/>
    <x v="29"/>
    <n v="171"/>
    <n v="0"/>
    <n v="0"/>
    <n v="34"/>
    <n v="117"/>
    <n v="0"/>
    <n v="0"/>
    <n v="20"/>
  </r>
  <r>
    <x v="3"/>
    <x v="0"/>
    <s v="S12000030"/>
    <x v="30"/>
    <n v="53"/>
    <n v="0"/>
    <n v="0"/>
    <n v="9"/>
    <n v="40"/>
    <n v="0"/>
    <n v="0"/>
    <n v="4"/>
  </r>
  <r>
    <x v="3"/>
    <x v="0"/>
    <s v="S12000039"/>
    <x v="31"/>
    <n v="69"/>
    <n v="0"/>
    <n v="0"/>
    <n v="15"/>
    <n v="44"/>
    <n v="0"/>
    <n v="0"/>
    <n v="10"/>
  </r>
  <r>
    <x v="3"/>
    <x v="0"/>
    <s v="S12000040"/>
    <x v="32"/>
    <n v="60"/>
    <n v="0"/>
    <n v="0"/>
    <n v="10"/>
    <n v="42"/>
    <n v="0"/>
    <n v="0"/>
    <n v="8"/>
  </r>
  <r>
    <x v="3"/>
    <x v="1"/>
    <s v="S39000001"/>
    <x v="0"/>
    <n v="14"/>
    <n v="1"/>
    <n v="0"/>
    <n v="2"/>
    <n v="2"/>
    <n v="1"/>
    <n v="3"/>
    <n v="5"/>
  </r>
  <r>
    <x v="3"/>
    <x v="1"/>
    <s v="S39000002"/>
    <x v="33"/>
    <n v="25"/>
    <n v="1"/>
    <n v="0"/>
    <n v="5"/>
    <n v="0"/>
    <n v="2"/>
    <n v="8"/>
    <n v="9"/>
  </r>
  <r>
    <x v="3"/>
    <x v="1"/>
    <s v=""/>
    <x v="2"/>
    <n v="386"/>
    <n v="16"/>
    <n v="0"/>
    <n v="61"/>
    <n v="27"/>
    <n v="47"/>
    <n v="116"/>
    <n v="119"/>
  </r>
  <r>
    <x v="3"/>
    <x v="1"/>
    <s v="S39000003"/>
    <x v="34"/>
    <n v="26"/>
    <n v="1"/>
    <n v="0"/>
    <n v="4"/>
    <n v="2"/>
    <n v="3"/>
    <n v="9"/>
    <n v="7"/>
  </r>
  <r>
    <x v="3"/>
    <x v="1"/>
    <s v="S39000004"/>
    <x v="7"/>
    <n v="21"/>
    <n v="1"/>
    <n v="0"/>
    <n v="3"/>
    <n v="0"/>
    <n v="2"/>
    <n v="6"/>
    <n v="9"/>
  </r>
  <r>
    <x v="3"/>
    <x v="1"/>
    <s v="S39000018"/>
    <x v="35"/>
    <n v="28"/>
    <n v="1"/>
    <n v="0"/>
    <n v="2"/>
    <n v="2"/>
    <n v="4"/>
    <n v="9"/>
    <n v="10"/>
  </r>
  <r>
    <x v="3"/>
    <x v="1"/>
    <s v="S39000006"/>
    <x v="36"/>
    <n v="29"/>
    <n v="1"/>
    <n v="0"/>
    <n v="5"/>
    <n v="1"/>
    <n v="4"/>
    <n v="9"/>
    <n v="9"/>
  </r>
  <r>
    <x v="3"/>
    <x v="1"/>
    <s v="S39000007"/>
    <x v="37"/>
    <n v="31"/>
    <n v="1"/>
    <n v="0"/>
    <n v="5"/>
    <n v="5"/>
    <n v="4"/>
    <n v="8"/>
    <n v="8"/>
  </r>
  <r>
    <x v="3"/>
    <x v="1"/>
    <s v="S39000008"/>
    <x v="38"/>
    <n v="18"/>
    <n v="1"/>
    <n v="0"/>
    <n v="2"/>
    <n v="1"/>
    <n v="3"/>
    <n v="4"/>
    <n v="7"/>
  </r>
  <r>
    <x v="3"/>
    <x v="1"/>
    <s v="S39000009"/>
    <x v="39"/>
    <n v="27"/>
    <n v="1"/>
    <n v="0"/>
    <n v="2"/>
    <n v="4"/>
    <n v="3"/>
    <n v="6"/>
    <n v="11"/>
  </r>
  <r>
    <x v="3"/>
    <x v="1"/>
    <s v="S39000010"/>
    <x v="40"/>
    <n v="21"/>
    <n v="1"/>
    <n v="0"/>
    <n v="3"/>
    <n v="2"/>
    <n v="2"/>
    <n v="6"/>
    <n v="7"/>
  </r>
  <r>
    <x v="3"/>
    <x v="1"/>
    <s v="S39000019"/>
    <x v="14"/>
    <n v="24"/>
    <n v="1"/>
    <n v="0"/>
    <n v="3"/>
    <n v="3"/>
    <n v="2"/>
    <n v="7"/>
    <n v="8"/>
  </r>
  <r>
    <x v="3"/>
    <x v="1"/>
    <s v="S39000012"/>
    <x v="15"/>
    <n v="25"/>
    <n v="1"/>
    <n v="0"/>
    <n v="3"/>
    <n v="2"/>
    <n v="4"/>
    <n v="9"/>
    <n v="6"/>
  </r>
  <r>
    <x v="3"/>
    <x v="1"/>
    <s v="S39000013"/>
    <x v="41"/>
    <n v="36"/>
    <n v="1"/>
    <n v="0"/>
    <n v="10"/>
    <n v="0"/>
    <n v="4"/>
    <n v="13"/>
    <n v="8"/>
  </r>
  <r>
    <x v="3"/>
    <x v="1"/>
    <s v="S39000014"/>
    <x v="22"/>
    <n v="15"/>
    <n v="1"/>
    <n v="0"/>
    <n v="1"/>
    <n v="1"/>
    <n v="2"/>
    <n v="5"/>
    <n v="5"/>
  </r>
  <r>
    <x v="3"/>
    <x v="1"/>
    <s v="S39000015"/>
    <x v="29"/>
    <n v="15"/>
    <n v="1"/>
    <n v="0"/>
    <n v="2"/>
    <n v="1"/>
    <n v="2"/>
    <n v="5"/>
    <n v="4"/>
  </r>
  <r>
    <x v="3"/>
    <x v="1"/>
    <s v="S39000016"/>
    <x v="42"/>
    <n v="15"/>
    <n v="0"/>
    <n v="0"/>
    <n v="3"/>
    <n v="1"/>
    <n v="2"/>
    <n v="4"/>
    <n v="5"/>
  </r>
  <r>
    <x v="3"/>
    <x v="1"/>
    <s v="S39000017"/>
    <x v="43"/>
    <n v="16"/>
    <n v="1"/>
    <n v="0"/>
    <n v="6"/>
    <n v="0"/>
    <n v="3"/>
    <n v="5"/>
    <n v="1"/>
  </r>
  <r>
    <x v="3"/>
    <x v="2"/>
    <s v=""/>
    <x v="2"/>
    <m/>
    <m/>
    <m/>
    <m/>
    <m/>
    <m/>
    <m/>
    <m/>
  </r>
  <r>
    <x v="3"/>
    <x v="2"/>
    <s v="S40000004"/>
    <x v="44"/>
    <n v="38"/>
    <n v="1"/>
    <n v="0"/>
    <n v="6"/>
    <n v="1"/>
    <n v="5"/>
    <n v="5"/>
    <n v="20"/>
  </r>
  <r>
    <x v="3"/>
    <x v="2"/>
    <s v="S40000005"/>
    <x v="45"/>
    <n v="45"/>
    <n v="1"/>
    <n v="0"/>
    <n v="6"/>
    <n v="1"/>
    <n v="4"/>
    <n v="9"/>
    <n v="24"/>
  </r>
  <r>
    <x v="3"/>
    <x v="2"/>
    <s v="S40000003"/>
    <x v="46"/>
    <n v="68"/>
    <n v="1"/>
    <n v="0"/>
    <n v="10"/>
    <n v="1"/>
    <n v="3"/>
    <n v="11"/>
    <n v="42"/>
  </r>
  <r>
    <x v="3"/>
    <x v="3"/>
    <s v="S92000003"/>
    <x v="47"/>
    <n v="182"/>
    <n v="15"/>
    <n v="4"/>
    <n v="0"/>
    <n v="101"/>
    <n v="11"/>
    <n v="9"/>
    <n v="42"/>
  </r>
  <r>
    <x v="3"/>
    <x v="4"/>
    <s v="S92000003"/>
    <x v="47"/>
    <n v="3644"/>
    <n v="34"/>
    <n v="4"/>
    <n v="635"/>
    <n v="2158"/>
    <n v="70"/>
    <n v="151"/>
    <n v="590"/>
  </r>
  <r>
    <x v="4"/>
    <x v="0"/>
    <s v="S12000033"/>
    <x v="0"/>
    <n v="145"/>
    <m/>
    <m/>
    <n v="33"/>
    <n v="97"/>
    <m/>
    <m/>
    <n v="15"/>
  </r>
  <r>
    <x v="4"/>
    <x v="0"/>
    <s v="S12000034"/>
    <x v="1"/>
    <n v="24"/>
    <m/>
    <m/>
    <n v="5"/>
    <n v="14"/>
    <m/>
    <m/>
    <n v="5"/>
  </r>
  <r>
    <x v="4"/>
    <x v="0"/>
    <s v=""/>
    <x v="2"/>
    <n v="2868"/>
    <m/>
    <m/>
    <n v="588"/>
    <n v="1905"/>
    <m/>
    <m/>
    <n v="375"/>
  </r>
  <r>
    <x v="4"/>
    <x v="0"/>
    <s v="S12000041"/>
    <x v="3"/>
    <n v="28"/>
    <m/>
    <m/>
    <n v="5"/>
    <n v="18"/>
    <m/>
    <m/>
    <n v="5"/>
  </r>
  <r>
    <x v="4"/>
    <x v="0"/>
    <s v="S12000035"/>
    <x v="4"/>
    <n v="50"/>
    <m/>
    <m/>
    <n v="10"/>
    <n v="30"/>
    <m/>
    <m/>
    <n v="10"/>
  </r>
  <r>
    <x v="4"/>
    <x v="0"/>
    <s v="S12000036"/>
    <x v="5"/>
    <n v="293"/>
    <m/>
    <m/>
    <n v="54"/>
    <n v="204"/>
    <m/>
    <m/>
    <n v="35"/>
  </r>
  <r>
    <x v="4"/>
    <x v="0"/>
    <s v="S12000005"/>
    <x v="6"/>
    <n v="25"/>
    <m/>
    <m/>
    <n v="5"/>
    <n v="15"/>
    <m/>
    <m/>
    <n v="5"/>
  </r>
  <r>
    <x v="4"/>
    <x v="0"/>
    <s v="S12000006"/>
    <x v="7"/>
    <n v="54"/>
    <m/>
    <m/>
    <n v="11"/>
    <n v="38"/>
    <m/>
    <m/>
    <n v="5"/>
  </r>
  <r>
    <x v="4"/>
    <x v="0"/>
    <s v="S12000042"/>
    <x v="8"/>
    <n v="178"/>
    <m/>
    <m/>
    <n v="35"/>
    <n v="122"/>
    <m/>
    <m/>
    <n v="21"/>
  </r>
  <r>
    <x v="4"/>
    <x v="0"/>
    <s v="S12000008"/>
    <x v="9"/>
    <n v="49"/>
    <m/>
    <m/>
    <n v="10"/>
    <n v="34"/>
    <m/>
    <m/>
    <n v="5"/>
  </r>
  <r>
    <x v="4"/>
    <x v="0"/>
    <s v="S12000045"/>
    <x v="10"/>
    <n v="78"/>
    <m/>
    <m/>
    <n v="15"/>
    <n v="48"/>
    <m/>
    <m/>
    <n v="15"/>
  </r>
  <r>
    <x v="4"/>
    <x v="0"/>
    <s v="S12000010"/>
    <x v="11"/>
    <n v="23"/>
    <m/>
    <m/>
    <n v="5"/>
    <n v="13"/>
    <m/>
    <m/>
    <n v="5"/>
  </r>
  <r>
    <x v="4"/>
    <x v="0"/>
    <s v="S12000011"/>
    <x v="12"/>
    <n v="51"/>
    <m/>
    <m/>
    <n v="10"/>
    <n v="30"/>
    <m/>
    <m/>
    <n v="11"/>
  </r>
  <r>
    <x v="4"/>
    <x v="0"/>
    <s v="S12000014"/>
    <x v="13"/>
    <n v="87"/>
    <m/>
    <m/>
    <n v="22"/>
    <n v="49"/>
    <m/>
    <m/>
    <n v="16"/>
  </r>
  <r>
    <x v="4"/>
    <x v="0"/>
    <s v="S12000047"/>
    <x v="14"/>
    <n v="254"/>
    <m/>
    <m/>
    <n v="49"/>
    <n v="181"/>
    <m/>
    <m/>
    <n v="24"/>
  </r>
  <r>
    <x v="4"/>
    <x v="0"/>
    <s v="S12000046"/>
    <x v="15"/>
    <n v="489"/>
    <m/>
    <m/>
    <n v="113"/>
    <n v="319"/>
    <m/>
    <m/>
    <n v="57"/>
  </r>
  <r>
    <x v="4"/>
    <x v="0"/>
    <s v="S12000017"/>
    <x v="16"/>
    <n v="68"/>
    <m/>
    <m/>
    <n v="15"/>
    <n v="49"/>
    <m/>
    <m/>
    <n v="4"/>
  </r>
  <r>
    <x v="4"/>
    <x v="0"/>
    <s v="S12000018"/>
    <x v="17"/>
    <n v="72"/>
    <m/>
    <m/>
    <n v="15"/>
    <n v="44"/>
    <m/>
    <m/>
    <n v="13"/>
  </r>
  <r>
    <x v="4"/>
    <x v="0"/>
    <s v="S12000019"/>
    <x v="18"/>
    <n v="28"/>
    <m/>
    <m/>
    <n v="5"/>
    <n v="18"/>
    <m/>
    <m/>
    <n v="5"/>
  </r>
  <r>
    <x v="4"/>
    <x v="0"/>
    <s v="S12000020"/>
    <x v="19"/>
    <n v="29"/>
    <m/>
    <m/>
    <n v="5"/>
    <n v="19"/>
    <m/>
    <m/>
    <n v="5"/>
  </r>
  <r>
    <x v="4"/>
    <x v="0"/>
    <s v="S12000021"/>
    <x v="21"/>
    <n v="76"/>
    <m/>
    <m/>
    <n v="16"/>
    <n v="45"/>
    <m/>
    <m/>
    <n v="15"/>
  </r>
  <r>
    <x v="4"/>
    <x v="0"/>
    <s v="S12000044"/>
    <x v="22"/>
    <n v="163"/>
    <m/>
    <m/>
    <n v="31"/>
    <n v="113"/>
    <m/>
    <m/>
    <n v="19"/>
  </r>
  <r>
    <x v="4"/>
    <x v="0"/>
    <s v="S12000024"/>
    <x v="24"/>
    <n v="69"/>
    <m/>
    <m/>
    <n v="10"/>
    <n v="54"/>
    <m/>
    <m/>
    <n v="5"/>
  </r>
  <r>
    <x v="4"/>
    <x v="0"/>
    <s v="S12000038"/>
    <x v="25"/>
    <n v="94"/>
    <m/>
    <m/>
    <n v="20"/>
    <n v="59"/>
    <m/>
    <m/>
    <n v="15"/>
  </r>
  <r>
    <x v="4"/>
    <x v="0"/>
    <s v="S12000026"/>
    <x v="26"/>
    <n v="51"/>
    <m/>
    <m/>
    <n v="9"/>
    <n v="32"/>
    <m/>
    <m/>
    <n v="10"/>
  </r>
  <r>
    <x v="4"/>
    <x v="0"/>
    <s v="S12000028"/>
    <x v="28"/>
    <n v="50"/>
    <m/>
    <m/>
    <n v="10"/>
    <n v="35"/>
    <m/>
    <m/>
    <n v="5"/>
  </r>
  <r>
    <x v="4"/>
    <x v="0"/>
    <s v="S12000029"/>
    <x v="29"/>
    <n v="166"/>
    <m/>
    <m/>
    <n v="35"/>
    <n v="111"/>
    <m/>
    <m/>
    <n v="20"/>
  </r>
  <r>
    <x v="4"/>
    <x v="0"/>
    <s v="S12000030"/>
    <x v="30"/>
    <n v="48"/>
    <m/>
    <m/>
    <n v="9"/>
    <n v="34"/>
    <m/>
    <m/>
    <n v="5"/>
  </r>
  <r>
    <x v="4"/>
    <x v="0"/>
    <s v="S12000039"/>
    <x v="31"/>
    <n v="68"/>
    <m/>
    <m/>
    <n v="15"/>
    <n v="43"/>
    <m/>
    <m/>
    <n v="10"/>
  </r>
  <r>
    <x v="4"/>
    <x v="0"/>
    <s v="S12000040"/>
    <x v="32"/>
    <n v="58"/>
    <m/>
    <m/>
    <n v="11"/>
    <n v="37"/>
    <m/>
    <m/>
    <n v="10"/>
  </r>
  <r>
    <x v="4"/>
    <x v="1"/>
    <s v="S39000001"/>
    <x v="0"/>
    <n v="15"/>
    <n v="1"/>
    <m/>
    <n v="2"/>
    <n v="2"/>
    <n v="2"/>
    <n v="3"/>
    <n v="5"/>
  </r>
  <r>
    <x v="4"/>
    <x v="1"/>
    <s v="S39000002"/>
    <x v="33"/>
    <n v="25"/>
    <n v="1"/>
    <m/>
    <n v="7"/>
    <m/>
    <n v="2"/>
    <n v="7"/>
    <n v="8"/>
  </r>
  <r>
    <x v="4"/>
    <x v="1"/>
    <s v=""/>
    <x v="2"/>
    <n v="377"/>
    <n v="16"/>
    <m/>
    <n v="63"/>
    <n v="28"/>
    <n v="46"/>
    <n v="115"/>
    <n v="109"/>
  </r>
  <r>
    <x v="4"/>
    <x v="1"/>
    <s v="S39000003"/>
    <x v="34"/>
    <n v="26"/>
    <n v="1"/>
    <m/>
    <n v="6"/>
    <n v="1"/>
    <n v="3"/>
    <n v="9"/>
    <n v="6"/>
  </r>
  <r>
    <x v="4"/>
    <x v="1"/>
    <s v="S39000004"/>
    <x v="7"/>
    <n v="22"/>
    <n v="1"/>
    <m/>
    <n v="4"/>
    <n v="2"/>
    <n v="2"/>
    <n v="6"/>
    <n v="7"/>
  </r>
  <r>
    <x v="4"/>
    <x v="1"/>
    <s v="S39000018"/>
    <x v="35"/>
    <n v="28"/>
    <n v="1"/>
    <m/>
    <n v="3"/>
    <n v="2"/>
    <n v="4"/>
    <n v="9"/>
    <n v="9"/>
  </r>
  <r>
    <x v="4"/>
    <x v="1"/>
    <s v="S39000006"/>
    <x v="36"/>
    <n v="27"/>
    <n v="1"/>
    <m/>
    <n v="5"/>
    <n v="1"/>
    <n v="3"/>
    <n v="9"/>
    <n v="8"/>
  </r>
  <r>
    <x v="4"/>
    <x v="1"/>
    <s v="S39000007"/>
    <x v="37"/>
    <n v="27"/>
    <n v="1"/>
    <m/>
    <n v="3"/>
    <n v="5"/>
    <n v="3"/>
    <n v="7"/>
    <n v="8"/>
  </r>
  <r>
    <x v="4"/>
    <x v="1"/>
    <s v="S39000008"/>
    <x v="38"/>
    <n v="16"/>
    <n v="1"/>
    <m/>
    <n v="2"/>
    <n v="2"/>
    <n v="3"/>
    <n v="4"/>
    <n v="4"/>
  </r>
  <r>
    <x v="4"/>
    <x v="1"/>
    <s v="S39000009"/>
    <x v="39"/>
    <n v="31"/>
    <n v="1"/>
    <m/>
    <n v="6"/>
    <n v="3"/>
    <n v="3"/>
    <n v="7"/>
    <n v="11"/>
  </r>
  <r>
    <x v="4"/>
    <x v="1"/>
    <s v="S39000010"/>
    <x v="40"/>
    <n v="19"/>
    <n v="1"/>
    <m/>
    <n v="3"/>
    <n v="2"/>
    <n v="2"/>
    <n v="5"/>
    <n v="6"/>
  </r>
  <r>
    <x v="4"/>
    <x v="1"/>
    <s v="S39000019"/>
    <x v="14"/>
    <n v="19"/>
    <m/>
    <m/>
    <n v="1"/>
    <n v="4"/>
    <n v="2"/>
    <n v="6"/>
    <n v="6"/>
  </r>
  <r>
    <x v="4"/>
    <x v="1"/>
    <s v="S39000012"/>
    <x v="15"/>
    <n v="22"/>
    <n v="1"/>
    <m/>
    <n v="2"/>
    <n v="1"/>
    <n v="4"/>
    <n v="8"/>
    <n v="6"/>
  </r>
  <r>
    <x v="4"/>
    <x v="1"/>
    <s v="S39000013"/>
    <x v="41"/>
    <n v="32"/>
    <n v="1"/>
    <m/>
    <n v="7"/>
    <n v="1"/>
    <n v="4"/>
    <n v="12"/>
    <n v="7"/>
  </r>
  <r>
    <x v="4"/>
    <x v="1"/>
    <s v="S39000014"/>
    <x v="22"/>
    <n v="17"/>
    <n v="1"/>
    <m/>
    <n v="2"/>
    <n v="1"/>
    <n v="2"/>
    <n v="6"/>
    <n v="5"/>
  </r>
  <r>
    <x v="4"/>
    <x v="1"/>
    <s v="S39000015"/>
    <x v="29"/>
    <n v="16"/>
    <n v="1"/>
    <m/>
    <n v="2"/>
    <n v="1"/>
    <n v="2"/>
    <n v="6"/>
    <n v="4"/>
  </r>
  <r>
    <x v="4"/>
    <x v="1"/>
    <s v="S39000016"/>
    <x v="42"/>
    <n v="18"/>
    <n v="1"/>
    <m/>
    <n v="3"/>
    <n v="1"/>
    <n v="3"/>
    <n v="5"/>
    <n v="5"/>
  </r>
  <r>
    <x v="4"/>
    <x v="1"/>
    <s v="S39000017"/>
    <x v="43"/>
    <n v="18"/>
    <n v="1"/>
    <m/>
    <n v="5"/>
    <m/>
    <n v="2"/>
    <n v="6"/>
    <n v="4"/>
  </r>
  <r>
    <x v="4"/>
    <x v="2"/>
    <s v=""/>
    <x v="2"/>
    <n v="156"/>
    <n v="3"/>
    <m/>
    <n v="38"/>
    <m/>
    <n v="15"/>
    <n v="29"/>
    <n v="71"/>
  </r>
  <r>
    <x v="4"/>
    <x v="2"/>
    <s v="S40000004"/>
    <x v="44"/>
    <n v="37"/>
    <n v="1"/>
    <m/>
    <n v="9"/>
    <m/>
    <n v="5"/>
    <n v="6"/>
    <n v="16"/>
  </r>
  <r>
    <x v="4"/>
    <x v="2"/>
    <s v="S40000005"/>
    <x v="45"/>
    <n v="46"/>
    <n v="1"/>
    <m/>
    <n v="11"/>
    <m/>
    <n v="6"/>
    <n v="10"/>
    <n v="18"/>
  </r>
  <r>
    <x v="4"/>
    <x v="2"/>
    <s v="S40000003"/>
    <x v="46"/>
    <n v="73"/>
    <n v="1"/>
    <m/>
    <n v="18"/>
    <m/>
    <n v="4"/>
    <n v="13"/>
    <n v="37"/>
  </r>
  <r>
    <x v="4"/>
    <x v="3"/>
    <s v="S92000003"/>
    <x v="47"/>
    <n v="143"/>
    <n v="15"/>
    <n v="4"/>
    <m/>
    <n v="55"/>
    <n v="13"/>
    <n v="9"/>
    <n v="47"/>
  </r>
  <r>
    <x v="4"/>
    <x v="4"/>
    <s v="S92000003"/>
    <x v="47"/>
    <n v="3544"/>
    <n v="34"/>
    <n v="4"/>
    <n v="689"/>
    <n v="1988"/>
    <n v="74"/>
    <n v="153"/>
    <n v="602"/>
  </r>
  <r>
    <x v="5"/>
    <x v="0"/>
    <s v="S12000033"/>
    <x v="0"/>
    <m/>
    <m/>
    <m/>
    <n v="35"/>
    <n v="104"/>
    <m/>
    <m/>
    <n v="15"/>
  </r>
  <r>
    <x v="5"/>
    <x v="0"/>
    <s v="S12000034"/>
    <x v="1"/>
    <m/>
    <m/>
    <m/>
    <n v="5"/>
    <n v="20"/>
    <m/>
    <m/>
    <n v="5"/>
  </r>
  <r>
    <x v="5"/>
    <x v="0"/>
    <m/>
    <x v="2"/>
    <m/>
    <m/>
    <m/>
    <n v="592"/>
    <n v="1986"/>
    <m/>
    <m/>
    <n v="377"/>
  </r>
  <r>
    <x v="5"/>
    <x v="0"/>
    <s v="S12000041"/>
    <x v="3"/>
    <m/>
    <m/>
    <m/>
    <n v="5"/>
    <n v="18"/>
    <m/>
    <m/>
    <n v="5"/>
  </r>
  <r>
    <x v="5"/>
    <x v="0"/>
    <s v="S12000035"/>
    <x v="4"/>
    <m/>
    <m/>
    <m/>
    <n v="11"/>
    <n v="33"/>
    <m/>
    <m/>
    <n v="10"/>
  </r>
  <r>
    <x v="5"/>
    <x v="0"/>
    <s v="S12000036"/>
    <x v="5"/>
    <m/>
    <m/>
    <m/>
    <n v="59"/>
    <n v="203"/>
    <m/>
    <m/>
    <n v="35"/>
  </r>
  <r>
    <x v="5"/>
    <x v="0"/>
    <s v="S12000005"/>
    <x v="6"/>
    <m/>
    <m/>
    <m/>
    <n v="5"/>
    <n v="15"/>
    <m/>
    <m/>
    <n v="5"/>
  </r>
  <r>
    <x v="5"/>
    <x v="0"/>
    <s v="S12000006"/>
    <x v="48"/>
    <m/>
    <m/>
    <m/>
    <n v="10"/>
    <n v="38"/>
    <m/>
    <m/>
    <n v="5"/>
  </r>
  <r>
    <x v="5"/>
    <x v="0"/>
    <s v="S12000042"/>
    <x v="8"/>
    <m/>
    <m/>
    <m/>
    <n v="35"/>
    <n v="122"/>
    <m/>
    <m/>
    <n v="20"/>
  </r>
  <r>
    <x v="5"/>
    <x v="0"/>
    <s v="S12000008"/>
    <x v="9"/>
    <m/>
    <m/>
    <m/>
    <n v="10"/>
    <n v="32"/>
    <m/>
    <m/>
    <n v="5"/>
  </r>
  <r>
    <x v="5"/>
    <x v="0"/>
    <s v="S12000045"/>
    <x v="10"/>
    <m/>
    <m/>
    <m/>
    <n v="15"/>
    <n v="47"/>
    <m/>
    <m/>
    <n v="16"/>
  </r>
  <r>
    <x v="5"/>
    <x v="0"/>
    <s v="S12000010"/>
    <x v="11"/>
    <m/>
    <m/>
    <m/>
    <n v="5"/>
    <n v="14"/>
    <m/>
    <m/>
    <n v="5"/>
  </r>
  <r>
    <x v="5"/>
    <x v="0"/>
    <s v="S12000011"/>
    <x v="12"/>
    <m/>
    <m/>
    <m/>
    <n v="10"/>
    <n v="31"/>
    <m/>
    <m/>
    <n v="11"/>
  </r>
  <r>
    <x v="5"/>
    <x v="0"/>
    <s v="S12000014"/>
    <x v="13"/>
    <m/>
    <m/>
    <m/>
    <n v="20"/>
    <n v="53"/>
    <m/>
    <m/>
    <n v="15"/>
  </r>
  <r>
    <x v="5"/>
    <x v="0"/>
    <s v="S12000047"/>
    <x v="14"/>
    <m/>
    <m/>
    <m/>
    <n v="48"/>
    <n v="199"/>
    <m/>
    <m/>
    <n v="27"/>
  </r>
  <r>
    <x v="5"/>
    <x v="0"/>
    <s v="S12000046"/>
    <x v="15"/>
    <m/>
    <m/>
    <m/>
    <n v="110"/>
    <n v="349"/>
    <m/>
    <m/>
    <n v="56"/>
  </r>
  <r>
    <x v="5"/>
    <x v="0"/>
    <s v="S12000017"/>
    <x v="16"/>
    <m/>
    <m/>
    <m/>
    <n v="15"/>
    <n v="50"/>
    <m/>
    <m/>
    <n v="5"/>
  </r>
  <r>
    <x v="5"/>
    <x v="0"/>
    <s v="S12000018"/>
    <x v="17"/>
    <m/>
    <m/>
    <m/>
    <n v="15"/>
    <n v="47"/>
    <m/>
    <m/>
    <n v="10"/>
  </r>
  <r>
    <x v="5"/>
    <x v="0"/>
    <s v="S12000019"/>
    <x v="18"/>
    <m/>
    <m/>
    <m/>
    <n v="4"/>
    <n v="17"/>
    <m/>
    <m/>
    <n v="5"/>
  </r>
  <r>
    <x v="5"/>
    <x v="0"/>
    <s v="S12000020"/>
    <x v="19"/>
    <m/>
    <m/>
    <m/>
    <n v="5"/>
    <n v="20"/>
    <m/>
    <m/>
    <n v="5"/>
  </r>
  <r>
    <x v="5"/>
    <x v="0"/>
    <s v="S12000021"/>
    <x v="21"/>
    <m/>
    <m/>
    <m/>
    <n v="15"/>
    <n v="45"/>
    <m/>
    <m/>
    <n v="16"/>
  </r>
  <r>
    <x v="5"/>
    <x v="0"/>
    <s v="S12000044"/>
    <x v="22"/>
    <m/>
    <m/>
    <m/>
    <n v="35"/>
    <n v="111"/>
    <m/>
    <m/>
    <n v="20"/>
  </r>
  <r>
    <x v="5"/>
    <x v="0"/>
    <s v="S12000024"/>
    <x v="24"/>
    <m/>
    <m/>
    <m/>
    <n v="10"/>
    <n v="54"/>
    <m/>
    <m/>
    <n v="5"/>
  </r>
  <r>
    <x v="5"/>
    <x v="0"/>
    <s v="S12000038"/>
    <x v="25"/>
    <m/>
    <m/>
    <m/>
    <n v="18"/>
    <n v="65"/>
    <m/>
    <m/>
    <n v="16"/>
  </r>
  <r>
    <x v="5"/>
    <x v="0"/>
    <s v="S12000026"/>
    <x v="26"/>
    <m/>
    <m/>
    <m/>
    <n v="10"/>
    <n v="36"/>
    <m/>
    <m/>
    <n v="10"/>
  </r>
  <r>
    <x v="5"/>
    <x v="0"/>
    <s v="S12000028"/>
    <x v="28"/>
    <m/>
    <m/>
    <m/>
    <n v="11"/>
    <n v="34"/>
    <m/>
    <m/>
    <n v="5"/>
  </r>
  <r>
    <x v="5"/>
    <x v="0"/>
    <s v="S12000029"/>
    <x v="29"/>
    <m/>
    <m/>
    <m/>
    <n v="36"/>
    <n v="111"/>
    <m/>
    <m/>
    <n v="20"/>
  </r>
  <r>
    <x v="5"/>
    <x v="0"/>
    <s v="S12000030"/>
    <x v="30"/>
    <m/>
    <m/>
    <m/>
    <n v="10"/>
    <n v="34"/>
    <m/>
    <m/>
    <n v="5"/>
  </r>
  <r>
    <x v="5"/>
    <x v="0"/>
    <s v="S12000039"/>
    <x v="31"/>
    <m/>
    <m/>
    <m/>
    <n v="15"/>
    <n v="48"/>
    <m/>
    <m/>
    <n v="10"/>
  </r>
  <r>
    <x v="5"/>
    <x v="0"/>
    <s v="S12000040"/>
    <x v="32"/>
    <m/>
    <m/>
    <m/>
    <n v="10"/>
    <n v="36"/>
    <m/>
    <m/>
    <n v="10"/>
  </r>
  <r>
    <x v="5"/>
    <x v="1"/>
    <s v="S39000001"/>
    <x v="0"/>
    <m/>
    <n v="1"/>
    <m/>
    <n v="2"/>
    <n v="1"/>
    <n v="2"/>
    <n v="4"/>
    <n v="6"/>
  </r>
  <r>
    <x v="5"/>
    <x v="1"/>
    <s v="S39000002"/>
    <x v="33"/>
    <m/>
    <n v="1"/>
    <m/>
    <n v="6"/>
    <m/>
    <n v="2"/>
    <n v="8"/>
    <n v="8"/>
  </r>
  <r>
    <x v="5"/>
    <x v="1"/>
    <m/>
    <x v="2"/>
    <m/>
    <n v="16"/>
    <m/>
    <n v="54"/>
    <n v="27.93"/>
    <n v="49"/>
    <n v="115"/>
    <n v="124"/>
  </r>
  <r>
    <x v="5"/>
    <x v="1"/>
    <s v="S39000003"/>
    <x v="34"/>
    <m/>
    <n v="1"/>
    <m/>
    <n v="6"/>
    <n v="2"/>
    <n v="3"/>
    <n v="8"/>
    <n v="6"/>
  </r>
  <r>
    <x v="5"/>
    <x v="1"/>
    <s v="S39000004"/>
    <x v="7"/>
    <m/>
    <n v="1"/>
    <m/>
    <n v="4"/>
    <n v="1.83"/>
    <n v="2"/>
    <n v="6"/>
    <n v="7"/>
  </r>
  <r>
    <x v="5"/>
    <x v="1"/>
    <s v="S39000018"/>
    <x v="35"/>
    <m/>
    <n v="1"/>
    <m/>
    <n v="3"/>
    <n v="2"/>
    <n v="4"/>
    <n v="8"/>
    <n v="11"/>
  </r>
  <r>
    <x v="5"/>
    <x v="1"/>
    <s v="S39000006"/>
    <x v="36"/>
    <m/>
    <n v="1"/>
    <m/>
    <n v="2"/>
    <n v="1.6"/>
    <n v="3"/>
    <n v="9"/>
    <n v="8"/>
  </r>
  <r>
    <x v="5"/>
    <x v="1"/>
    <s v="S39000007"/>
    <x v="37"/>
    <m/>
    <n v="1"/>
    <m/>
    <n v="2"/>
    <n v="3"/>
    <n v="3"/>
    <n v="7"/>
    <n v="9"/>
  </r>
  <r>
    <x v="5"/>
    <x v="1"/>
    <s v="S39000008"/>
    <x v="38"/>
    <m/>
    <n v="1"/>
    <m/>
    <m/>
    <n v="2"/>
    <n v="4"/>
    <n v="4"/>
    <n v="3"/>
  </r>
  <r>
    <x v="5"/>
    <x v="1"/>
    <s v="S39000009"/>
    <x v="39"/>
    <m/>
    <n v="1"/>
    <m/>
    <n v="5"/>
    <n v="2.5"/>
    <n v="5"/>
    <n v="4"/>
    <n v="12"/>
  </r>
  <r>
    <x v="5"/>
    <x v="1"/>
    <s v="S39000010"/>
    <x v="40"/>
    <m/>
    <n v="1"/>
    <m/>
    <n v="3"/>
    <n v="2"/>
    <n v="2"/>
    <n v="6"/>
    <n v="6"/>
  </r>
  <r>
    <x v="5"/>
    <x v="1"/>
    <s v="S39000019"/>
    <x v="14"/>
    <m/>
    <m/>
    <m/>
    <m/>
    <n v="4"/>
    <n v="2"/>
    <n v="6"/>
    <n v="6"/>
  </r>
  <r>
    <x v="5"/>
    <x v="1"/>
    <s v="S39000012"/>
    <x v="15"/>
    <m/>
    <n v="1"/>
    <m/>
    <n v="2"/>
    <n v="2"/>
    <n v="4"/>
    <n v="9"/>
    <n v="7"/>
  </r>
  <r>
    <x v="5"/>
    <x v="1"/>
    <s v="S39000013"/>
    <x v="41"/>
    <m/>
    <n v="1"/>
    <m/>
    <n v="9"/>
    <n v="1"/>
    <n v="4"/>
    <n v="14"/>
    <n v="16"/>
  </r>
  <r>
    <x v="5"/>
    <x v="1"/>
    <s v="S39000014"/>
    <x v="22"/>
    <m/>
    <n v="1"/>
    <m/>
    <n v="2"/>
    <n v="1"/>
    <n v="2"/>
    <n v="5"/>
    <n v="6"/>
  </r>
  <r>
    <x v="5"/>
    <x v="1"/>
    <s v="S39000015"/>
    <x v="29"/>
    <m/>
    <n v="1"/>
    <m/>
    <n v="2"/>
    <n v="1"/>
    <n v="2"/>
    <n v="6"/>
    <n v="4"/>
  </r>
  <r>
    <x v="5"/>
    <x v="1"/>
    <s v="S39000016"/>
    <x v="42"/>
    <m/>
    <n v="1"/>
    <m/>
    <n v="3"/>
    <n v="1"/>
    <n v="2"/>
    <n v="6"/>
    <n v="5"/>
  </r>
  <r>
    <x v="5"/>
    <x v="1"/>
    <s v="S39000017"/>
    <x v="43"/>
    <m/>
    <n v="1"/>
    <m/>
    <n v="3"/>
    <m/>
    <n v="3"/>
    <n v="5"/>
    <n v="4"/>
  </r>
  <r>
    <x v="5"/>
    <x v="2"/>
    <m/>
    <x v="2"/>
    <m/>
    <n v="3"/>
    <m/>
    <n v="41"/>
    <m/>
    <n v="14"/>
    <n v="24"/>
    <n v="64"/>
  </r>
  <r>
    <x v="5"/>
    <x v="2"/>
    <s v="S40000004"/>
    <x v="44"/>
    <m/>
    <n v="1"/>
    <m/>
    <n v="8"/>
    <m/>
    <n v="5"/>
    <n v="5"/>
    <n v="18"/>
  </r>
  <r>
    <x v="5"/>
    <x v="2"/>
    <s v="S40000005"/>
    <x v="45"/>
    <m/>
    <n v="1"/>
    <m/>
    <n v="7"/>
    <m/>
    <n v="4"/>
    <n v="7"/>
    <n v="11"/>
  </r>
  <r>
    <x v="5"/>
    <x v="2"/>
    <s v="S40000003"/>
    <x v="46"/>
    <m/>
    <n v="1"/>
    <m/>
    <n v="26"/>
    <m/>
    <n v="5"/>
    <n v="12"/>
    <n v="35"/>
  </r>
  <r>
    <x v="5"/>
    <x v="3"/>
    <s v="S92000003"/>
    <x v="47"/>
    <m/>
    <n v="14"/>
    <n v="4"/>
    <m/>
    <n v="60"/>
    <n v="17"/>
    <n v="8"/>
    <n v="46"/>
  </r>
  <r>
    <x v="5"/>
    <x v="4"/>
    <s v="S92000003"/>
    <x v="47"/>
    <n v="6680.09"/>
    <n v="34"/>
    <n v="4"/>
    <n v="1222.93"/>
    <n v="4254.16"/>
    <n v="84"/>
    <n v="156"/>
    <n v="925"/>
  </r>
  <r>
    <x v="6"/>
    <x v="0"/>
    <s v="S40000005"/>
    <x v="0"/>
    <m/>
    <m/>
    <m/>
    <n v="35"/>
    <n v="105"/>
    <m/>
    <m/>
    <n v="15"/>
  </r>
  <r>
    <x v="6"/>
    <x v="0"/>
    <s v="S40000005"/>
    <x v="1"/>
    <m/>
    <m/>
    <m/>
    <n v="4"/>
    <n v="22"/>
    <m/>
    <m/>
    <n v="6"/>
  </r>
  <r>
    <x v="6"/>
    <x v="0"/>
    <m/>
    <x v="2"/>
    <m/>
    <m/>
    <m/>
    <n v="597"/>
    <n v="1992"/>
    <m/>
    <m/>
    <n v="376"/>
  </r>
  <r>
    <x v="6"/>
    <x v="0"/>
    <s v="S40000005"/>
    <x v="3"/>
    <m/>
    <m/>
    <m/>
    <n v="5"/>
    <n v="17"/>
    <m/>
    <m/>
    <n v="5"/>
  </r>
  <r>
    <x v="6"/>
    <x v="0"/>
    <s v="S40000003"/>
    <x v="4"/>
    <m/>
    <m/>
    <m/>
    <n v="10"/>
    <n v="33"/>
    <m/>
    <m/>
    <n v="10"/>
  </r>
  <r>
    <x v="6"/>
    <x v="0"/>
    <s v="S40000004"/>
    <x v="5"/>
    <m/>
    <m/>
    <m/>
    <n v="56"/>
    <n v="214"/>
    <m/>
    <m/>
    <n v="36"/>
  </r>
  <r>
    <x v="6"/>
    <x v="0"/>
    <s v="S40000004"/>
    <x v="6"/>
    <m/>
    <m/>
    <m/>
    <n v="5"/>
    <n v="15"/>
    <m/>
    <m/>
    <n v="5"/>
  </r>
  <r>
    <x v="6"/>
    <x v="0"/>
    <s v="S40000003"/>
    <x v="48"/>
    <m/>
    <m/>
    <m/>
    <n v="10"/>
    <n v="37"/>
    <m/>
    <m/>
    <n v="5"/>
  </r>
  <r>
    <x v="6"/>
    <x v="0"/>
    <s v="S40000005"/>
    <x v="8"/>
    <m/>
    <m/>
    <m/>
    <n v="36"/>
    <n v="126"/>
    <m/>
    <m/>
    <n v="20"/>
  </r>
  <r>
    <x v="6"/>
    <x v="0"/>
    <s v="S40000003"/>
    <x v="9"/>
    <m/>
    <m/>
    <m/>
    <n v="10"/>
    <n v="34"/>
    <m/>
    <m/>
    <n v="5"/>
  </r>
  <r>
    <x v="6"/>
    <x v="0"/>
    <s v="S40000003"/>
    <x v="10"/>
    <m/>
    <m/>
    <m/>
    <n v="15"/>
    <n v="49"/>
    <m/>
    <m/>
    <n v="15"/>
  </r>
  <r>
    <x v="6"/>
    <x v="0"/>
    <s v="S40000004"/>
    <x v="11"/>
    <m/>
    <m/>
    <m/>
    <n v="5"/>
    <n v="15"/>
    <m/>
    <m/>
    <n v="5"/>
  </r>
  <r>
    <x v="6"/>
    <x v="0"/>
    <s v="S40000003"/>
    <x v="12"/>
    <m/>
    <m/>
    <m/>
    <n v="10"/>
    <n v="30"/>
    <m/>
    <m/>
    <n v="10"/>
  </r>
  <r>
    <x v="6"/>
    <x v="0"/>
    <s v="S40000004"/>
    <x v="13"/>
    <m/>
    <m/>
    <m/>
    <n v="19"/>
    <n v="54"/>
    <m/>
    <m/>
    <n v="15"/>
  </r>
  <r>
    <x v="6"/>
    <x v="0"/>
    <s v="S40000004"/>
    <x v="14"/>
    <m/>
    <m/>
    <m/>
    <n v="51"/>
    <n v="192"/>
    <m/>
    <m/>
    <n v="26"/>
  </r>
  <r>
    <x v="6"/>
    <x v="0"/>
    <s v="S40000003"/>
    <x v="15"/>
    <m/>
    <m/>
    <m/>
    <n v="114"/>
    <n v="346"/>
    <m/>
    <m/>
    <n v="57"/>
  </r>
  <r>
    <x v="6"/>
    <x v="0"/>
    <s v="S40000005"/>
    <x v="16"/>
    <m/>
    <m/>
    <m/>
    <n v="14"/>
    <n v="52"/>
    <m/>
    <m/>
    <n v="5"/>
  </r>
  <r>
    <x v="6"/>
    <x v="0"/>
    <s v="S40000003"/>
    <x v="17"/>
    <m/>
    <m/>
    <m/>
    <n v="15"/>
    <n v="45"/>
    <m/>
    <m/>
    <n v="10"/>
  </r>
  <r>
    <x v="6"/>
    <x v="0"/>
    <s v="S40000004"/>
    <x v="18"/>
    <m/>
    <m/>
    <m/>
    <n v="4"/>
    <n v="17"/>
    <m/>
    <m/>
    <n v="5"/>
  </r>
  <r>
    <x v="6"/>
    <x v="0"/>
    <s v="S40000005"/>
    <x v="19"/>
    <m/>
    <m/>
    <m/>
    <n v="5"/>
    <n v="20"/>
    <m/>
    <m/>
    <n v="5"/>
  </r>
  <r>
    <x v="6"/>
    <x v="0"/>
    <s v="S40000003"/>
    <x v="21"/>
    <m/>
    <m/>
    <m/>
    <n v="15"/>
    <n v="45"/>
    <m/>
    <m/>
    <n v="15"/>
  </r>
  <r>
    <x v="6"/>
    <x v="0"/>
    <s v="S40000003"/>
    <x v="22"/>
    <m/>
    <m/>
    <m/>
    <n v="37"/>
    <n v="105"/>
    <m/>
    <m/>
    <n v="21"/>
  </r>
  <r>
    <x v="6"/>
    <x v="0"/>
    <s v="S40000005"/>
    <x v="24"/>
    <m/>
    <m/>
    <m/>
    <n v="10"/>
    <n v="52"/>
    <m/>
    <m/>
    <n v="5"/>
  </r>
  <r>
    <x v="6"/>
    <x v="0"/>
    <s v="S40000003"/>
    <x v="25"/>
    <m/>
    <m/>
    <m/>
    <n v="21"/>
    <n v="66"/>
    <m/>
    <m/>
    <n v="15"/>
  </r>
  <r>
    <x v="6"/>
    <x v="0"/>
    <s v="S40000004"/>
    <x v="26"/>
    <m/>
    <m/>
    <m/>
    <n v="10"/>
    <n v="33"/>
    <m/>
    <m/>
    <n v="10"/>
  </r>
  <r>
    <x v="6"/>
    <x v="0"/>
    <s v="S40000003"/>
    <x v="28"/>
    <m/>
    <m/>
    <m/>
    <n v="9"/>
    <n v="36"/>
    <m/>
    <m/>
    <n v="5"/>
  </r>
  <r>
    <x v="6"/>
    <x v="0"/>
    <s v="S40000003"/>
    <x v="29"/>
    <m/>
    <m/>
    <m/>
    <n v="37"/>
    <n v="111"/>
    <m/>
    <m/>
    <n v="20"/>
  </r>
  <r>
    <x v="6"/>
    <x v="0"/>
    <s v="S40000004"/>
    <x v="30"/>
    <m/>
    <m/>
    <m/>
    <n v="10"/>
    <n v="36"/>
    <m/>
    <m/>
    <n v="5"/>
  </r>
  <r>
    <x v="6"/>
    <x v="0"/>
    <s v="S40000003"/>
    <x v="31"/>
    <m/>
    <m/>
    <m/>
    <n v="15"/>
    <n v="48"/>
    <m/>
    <m/>
    <n v="10"/>
  </r>
  <r>
    <x v="6"/>
    <x v="0"/>
    <s v="S40000004"/>
    <x v="32"/>
    <m/>
    <m/>
    <m/>
    <n v="10"/>
    <n v="37"/>
    <m/>
    <m/>
    <n v="10"/>
  </r>
  <r>
    <x v="6"/>
    <x v="1"/>
    <s v="S40000005"/>
    <x v="0"/>
    <m/>
    <n v="1"/>
    <m/>
    <n v="2"/>
    <n v="1"/>
    <n v="2"/>
    <n v="3"/>
    <n v="4"/>
  </r>
  <r>
    <x v="6"/>
    <x v="1"/>
    <s v="S40000005"/>
    <x v="33"/>
    <m/>
    <n v="1"/>
    <m/>
    <n v="4"/>
    <n v="1"/>
    <n v="3"/>
    <n v="9"/>
    <n v="7"/>
  </r>
  <r>
    <x v="6"/>
    <x v="1"/>
    <m/>
    <x v="2"/>
    <m/>
    <n v="16"/>
    <m/>
    <n v="58"/>
    <n v="26.93"/>
    <n v="50"/>
    <n v="118"/>
    <n v="113"/>
  </r>
  <r>
    <x v="6"/>
    <x v="1"/>
    <s v="S40000003"/>
    <x v="34"/>
    <m/>
    <n v="1"/>
    <m/>
    <n v="7"/>
    <n v="2"/>
    <n v="3"/>
    <n v="8"/>
    <n v="7"/>
  </r>
  <r>
    <x v="6"/>
    <x v="1"/>
    <s v="S40000003"/>
    <x v="7"/>
    <m/>
    <n v="1"/>
    <m/>
    <n v="3"/>
    <n v="1.83"/>
    <n v="2"/>
    <n v="6"/>
    <n v="8"/>
  </r>
  <r>
    <x v="6"/>
    <x v="1"/>
    <s v="S40000005"/>
    <x v="35"/>
    <m/>
    <n v="1"/>
    <m/>
    <n v="4"/>
    <n v="2"/>
    <n v="4"/>
    <n v="9"/>
    <n v="11"/>
  </r>
  <r>
    <x v="6"/>
    <x v="1"/>
    <s v="S40000003"/>
    <x v="36"/>
    <m/>
    <n v="1"/>
    <m/>
    <n v="5"/>
    <n v="0.6"/>
    <n v="3"/>
    <n v="10"/>
    <n v="8"/>
  </r>
  <r>
    <x v="6"/>
    <x v="1"/>
    <s v="S40000004"/>
    <x v="37"/>
    <m/>
    <n v="1"/>
    <m/>
    <n v="5"/>
    <n v="4"/>
    <n v="3"/>
    <n v="7"/>
    <n v="9"/>
  </r>
  <r>
    <x v="6"/>
    <x v="1"/>
    <s v="S40000003"/>
    <x v="38"/>
    <m/>
    <n v="1"/>
    <m/>
    <m/>
    <n v="1"/>
    <n v="4"/>
    <n v="4"/>
    <n v="3"/>
  </r>
  <r>
    <x v="6"/>
    <x v="1"/>
    <s v="S40000004"/>
    <x v="39"/>
    <m/>
    <n v="1"/>
    <m/>
    <n v="4"/>
    <n v="3.5"/>
    <n v="4"/>
    <n v="5"/>
    <n v="10"/>
  </r>
  <r>
    <x v="6"/>
    <x v="1"/>
    <s v="S40000004"/>
    <x v="40"/>
    <m/>
    <n v="1"/>
    <m/>
    <n v="2"/>
    <n v="2"/>
    <n v="2"/>
    <n v="6"/>
    <n v="6"/>
  </r>
  <r>
    <x v="6"/>
    <x v="1"/>
    <s v="S40000003"/>
    <x v="15"/>
    <m/>
    <n v="1"/>
    <m/>
    <n v="2"/>
    <n v="2"/>
    <n v="5"/>
    <n v="10"/>
    <n v="5"/>
  </r>
  <r>
    <x v="6"/>
    <x v="1"/>
    <s v="S40000005"/>
    <x v="41"/>
    <m/>
    <n v="1"/>
    <m/>
    <n v="8"/>
    <n v="1"/>
    <n v="4"/>
    <n v="13"/>
    <n v="11"/>
  </r>
  <r>
    <x v="6"/>
    <x v="1"/>
    <s v="S40000003"/>
    <x v="22"/>
    <m/>
    <n v="1"/>
    <m/>
    <n v="2"/>
    <n v="1"/>
    <n v="2"/>
    <n v="5"/>
    <n v="5"/>
  </r>
  <r>
    <x v="6"/>
    <x v="1"/>
    <s v="S40000003"/>
    <x v="29"/>
    <m/>
    <n v="1"/>
    <m/>
    <n v="3"/>
    <m/>
    <n v="2"/>
    <n v="6"/>
    <n v="4"/>
  </r>
  <r>
    <x v="6"/>
    <x v="1"/>
    <m/>
    <x v="49"/>
    <m/>
    <n v="1"/>
    <m/>
    <n v="6"/>
    <n v="4"/>
    <n v="4"/>
    <n v="12"/>
    <n v="11"/>
  </r>
  <r>
    <x v="6"/>
    <x v="1"/>
    <s v="S40000005"/>
    <x v="43"/>
    <m/>
    <n v="1"/>
    <m/>
    <n v="1"/>
    <m/>
    <n v="3"/>
    <n v="5"/>
    <n v="4"/>
  </r>
  <r>
    <x v="6"/>
    <x v="2"/>
    <m/>
    <x v="2"/>
    <m/>
    <n v="6"/>
    <m/>
    <n v="33"/>
    <m/>
    <n v="17"/>
    <n v="29"/>
    <n v="112"/>
  </r>
  <r>
    <x v="6"/>
    <x v="2"/>
    <s v="S40000004"/>
    <x v="44"/>
    <m/>
    <n v="1"/>
    <m/>
    <n v="6"/>
    <m/>
    <n v="4"/>
    <n v="8"/>
    <n v="33"/>
  </r>
  <r>
    <x v="6"/>
    <x v="2"/>
    <s v="S40000005"/>
    <x v="45"/>
    <m/>
    <n v="2"/>
    <m/>
    <n v="6"/>
    <m/>
    <n v="3"/>
    <n v="7"/>
    <n v="24"/>
  </r>
  <r>
    <x v="6"/>
    <x v="2"/>
    <s v="S40000003"/>
    <x v="46"/>
    <m/>
    <n v="3"/>
    <m/>
    <n v="21"/>
    <m/>
    <n v="10"/>
    <n v="14"/>
    <n v="55"/>
  </r>
  <r>
    <x v="6"/>
    <x v="3"/>
    <s v="S92000003"/>
    <x v="47"/>
    <m/>
    <n v="9"/>
    <n v="6"/>
    <m/>
    <n v="49"/>
    <n v="13"/>
    <n v="6"/>
    <n v="7"/>
  </r>
  <r>
    <x v="6"/>
    <x v="4"/>
    <s v="S92000003"/>
    <x v="47"/>
    <n v="6670.74"/>
    <n v="32"/>
    <n v="6"/>
    <n v="1204.43"/>
    <n v="4227.0599999999995"/>
    <n v="84"/>
    <n v="161"/>
    <n v="956.25"/>
  </r>
  <r>
    <x v="7"/>
    <x v="0"/>
    <s v="S40000005"/>
    <x v="0"/>
    <m/>
    <m/>
    <m/>
    <n v="35"/>
    <n v="99"/>
    <m/>
    <m/>
    <n v="15"/>
  </r>
  <r>
    <x v="7"/>
    <x v="0"/>
    <s v="S40000005"/>
    <x v="1"/>
    <m/>
    <m/>
    <m/>
    <n v="5"/>
    <n v="19"/>
    <m/>
    <m/>
    <n v="5"/>
  </r>
  <r>
    <x v="7"/>
    <x v="0"/>
    <m/>
    <x v="2"/>
    <m/>
    <m/>
    <m/>
    <n v="596"/>
    <n v="1933.5"/>
    <m/>
    <m/>
    <n v="372"/>
  </r>
  <r>
    <x v="7"/>
    <x v="0"/>
    <s v="S40000005"/>
    <x v="3"/>
    <m/>
    <m/>
    <m/>
    <n v="5"/>
    <n v="17"/>
    <m/>
    <m/>
    <n v="5"/>
  </r>
  <r>
    <x v="7"/>
    <x v="0"/>
    <s v="S40000003"/>
    <x v="4"/>
    <m/>
    <m/>
    <m/>
    <n v="10"/>
    <n v="32"/>
    <m/>
    <m/>
    <n v="10"/>
  </r>
  <r>
    <x v="7"/>
    <x v="0"/>
    <s v="S40000004"/>
    <x v="5"/>
    <m/>
    <m/>
    <m/>
    <n v="58"/>
    <n v="205.5"/>
    <m/>
    <m/>
    <n v="36"/>
  </r>
  <r>
    <x v="7"/>
    <x v="0"/>
    <s v="S40000004"/>
    <x v="6"/>
    <m/>
    <m/>
    <m/>
    <n v="5"/>
    <n v="13"/>
    <m/>
    <m/>
    <n v="6"/>
  </r>
  <r>
    <x v="7"/>
    <x v="0"/>
    <s v="S40000003"/>
    <x v="48"/>
    <m/>
    <m/>
    <m/>
    <n v="10"/>
    <n v="36"/>
    <m/>
    <m/>
    <n v="5"/>
  </r>
  <r>
    <x v="7"/>
    <x v="0"/>
    <s v="S40000005"/>
    <x v="8"/>
    <m/>
    <m/>
    <m/>
    <n v="36"/>
    <n v="127"/>
    <m/>
    <m/>
    <n v="19"/>
  </r>
  <r>
    <x v="7"/>
    <x v="0"/>
    <s v="S40000003"/>
    <x v="9"/>
    <m/>
    <m/>
    <m/>
    <n v="10"/>
    <n v="32"/>
    <m/>
    <m/>
    <n v="5"/>
  </r>
  <r>
    <x v="7"/>
    <x v="0"/>
    <s v="S40000003"/>
    <x v="10"/>
    <m/>
    <m/>
    <m/>
    <n v="14"/>
    <n v="46"/>
    <m/>
    <m/>
    <n v="16"/>
  </r>
  <r>
    <x v="7"/>
    <x v="0"/>
    <s v="S40000004"/>
    <x v="11"/>
    <m/>
    <m/>
    <m/>
    <n v="5"/>
    <n v="16"/>
    <m/>
    <m/>
    <n v="5"/>
  </r>
  <r>
    <x v="7"/>
    <x v="0"/>
    <s v="S40000003"/>
    <x v="12"/>
    <m/>
    <m/>
    <m/>
    <n v="10"/>
    <n v="28"/>
    <m/>
    <m/>
    <n v="10"/>
  </r>
  <r>
    <x v="7"/>
    <x v="0"/>
    <s v="S40000004"/>
    <x v="13"/>
    <m/>
    <m/>
    <m/>
    <n v="20"/>
    <n v="53"/>
    <m/>
    <m/>
    <n v="15"/>
  </r>
  <r>
    <x v="7"/>
    <x v="0"/>
    <s v="S40000004"/>
    <x v="14"/>
    <m/>
    <m/>
    <m/>
    <n v="50"/>
    <n v="179"/>
    <m/>
    <m/>
    <n v="25"/>
  </r>
  <r>
    <x v="7"/>
    <x v="0"/>
    <s v="S40000003"/>
    <x v="15"/>
    <m/>
    <m/>
    <m/>
    <n v="109"/>
    <n v="335"/>
    <m/>
    <m/>
    <n v="55"/>
  </r>
  <r>
    <x v="7"/>
    <x v="0"/>
    <s v="S40000005"/>
    <x v="16"/>
    <m/>
    <m/>
    <m/>
    <n v="15"/>
    <n v="54"/>
    <m/>
    <m/>
    <n v="5"/>
  </r>
  <r>
    <x v="7"/>
    <x v="0"/>
    <s v="S40000003"/>
    <x v="17"/>
    <m/>
    <m/>
    <m/>
    <n v="15"/>
    <n v="45"/>
    <m/>
    <m/>
    <n v="10"/>
  </r>
  <r>
    <x v="7"/>
    <x v="0"/>
    <s v="S40000004"/>
    <x v="18"/>
    <m/>
    <m/>
    <m/>
    <n v="5"/>
    <n v="17"/>
    <m/>
    <m/>
    <n v="5"/>
  </r>
  <r>
    <x v="7"/>
    <x v="0"/>
    <s v="S40000005"/>
    <x v="19"/>
    <m/>
    <m/>
    <m/>
    <n v="5"/>
    <n v="20"/>
    <m/>
    <m/>
    <n v="5"/>
  </r>
  <r>
    <x v="7"/>
    <x v="0"/>
    <s v="S40000003"/>
    <x v="21"/>
    <m/>
    <m/>
    <m/>
    <n v="15"/>
    <n v="45"/>
    <m/>
    <m/>
    <n v="15"/>
  </r>
  <r>
    <x v="7"/>
    <x v="0"/>
    <s v="S40000003"/>
    <x v="22"/>
    <m/>
    <m/>
    <m/>
    <n v="35"/>
    <n v="105"/>
    <m/>
    <m/>
    <n v="20"/>
  </r>
  <r>
    <x v="7"/>
    <x v="0"/>
    <s v="S40000005"/>
    <x v="24"/>
    <m/>
    <m/>
    <m/>
    <n v="10"/>
    <n v="48"/>
    <m/>
    <m/>
    <n v="5"/>
  </r>
  <r>
    <x v="7"/>
    <x v="0"/>
    <s v="S40000003"/>
    <x v="25"/>
    <m/>
    <m/>
    <m/>
    <n v="21"/>
    <n v="64"/>
    <m/>
    <m/>
    <n v="15"/>
  </r>
  <r>
    <x v="7"/>
    <x v="0"/>
    <s v="S40000004"/>
    <x v="26"/>
    <m/>
    <m/>
    <m/>
    <n v="8"/>
    <n v="33"/>
    <m/>
    <m/>
    <n v="10"/>
  </r>
  <r>
    <x v="7"/>
    <x v="0"/>
    <s v="S40000003"/>
    <x v="28"/>
    <m/>
    <m/>
    <m/>
    <n v="10"/>
    <n v="36"/>
    <m/>
    <m/>
    <n v="5"/>
  </r>
  <r>
    <x v="7"/>
    <x v="0"/>
    <s v="S40000003"/>
    <x v="29"/>
    <m/>
    <m/>
    <m/>
    <n v="37"/>
    <n v="111"/>
    <m/>
    <m/>
    <n v="20"/>
  </r>
  <r>
    <x v="7"/>
    <x v="0"/>
    <s v="S40000004"/>
    <x v="30"/>
    <m/>
    <m/>
    <m/>
    <n v="10"/>
    <n v="37"/>
    <m/>
    <m/>
    <n v="5"/>
  </r>
  <r>
    <x v="7"/>
    <x v="0"/>
    <s v="S40000003"/>
    <x v="31"/>
    <m/>
    <m/>
    <m/>
    <n v="17"/>
    <n v="46"/>
    <m/>
    <m/>
    <n v="10"/>
  </r>
  <r>
    <x v="7"/>
    <x v="0"/>
    <s v="S40000004"/>
    <x v="32"/>
    <m/>
    <m/>
    <m/>
    <n v="11"/>
    <n v="35"/>
    <m/>
    <m/>
    <n v="10"/>
  </r>
  <r>
    <x v="7"/>
    <x v="1"/>
    <s v="S40000005"/>
    <x v="0"/>
    <m/>
    <n v="1"/>
    <m/>
    <n v="1"/>
    <n v="1"/>
    <n v="2"/>
    <n v="3"/>
    <n v="4"/>
  </r>
  <r>
    <x v="7"/>
    <x v="1"/>
    <s v="S40000005"/>
    <x v="33"/>
    <m/>
    <n v="1"/>
    <m/>
    <n v="4"/>
    <n v="1"/>
    <n v="3"/>
    <n v="9"/>
    <n v="8"/>
  </r>
  <r>
    <x v="7"/>
    <x v="1"/>
    <m/>
    <x v="2"/>
    <m/>
    <n v="16"/>
    <m/>
    <n v="55"/>
    <n v="24.93"/>
    <n v="49"/>
    <n v="116"/>
    <n v="115"/>
  </r>
  <r>
    <x v="7"/>
    <x v="1"/>
    <s v="S40000003"/>
    <x v="34"/>
    <m/>
    <n v="1"/>
    <m/>
    <n v="6"/>
    <n v="2"/>
    <n v="3"/>
    <n v="7"/>
    <n v="7"/>
  </r>
  <r>
    <x v="7"/>
    <x v="1"/>
    <s v="S40000003"/>
    <x v="7"/>
    <m/>
    <n v="1"/>
    <m/>
    <n v="4"/>
    <n v="1.83"/>
    <n v="2"/>
    <n v="6"/>
    <n v="6"/>
  </r>
  <r>
    <x v="7"/>
    <x v="1"/>
    <s v="S40000005"/>
    <x v="35"/>
    <m/>
    <n v="1"/>
    <m/>
    <n v="4"/>
    <n v="1"/>
    <n v="4"/>
    <n v="8"/>
    <n v="10"/>
  </r>
  <r>
    <x v="7"/>
    <x v="1"/>
    <s v="S40000003"/>
    <x v="36"/>
    <m/>
    <n v="1"/>
    <m/>
    <n v="5"/>
    <n v="0.6"/>
    <n v="3"/>
    <n v="9"/>
    <n v="8"/>
  </r>
  <r>
    <x v="7"/>
    <x v="1"/>
    <s v="S40000004"/>
    <x v="37"/>
    <m/>
    <n v="1"/>
    <m/>
    <n v="3"/>
    <n v="4"/>
    <n v="3"/>
    <n v="7"/>
    <n v="10"/>
  </r>
  <r>
    <x v="7"/>
    <x v="1"/>
    <s v="S40000003"/>
    <x v="38"/>
    <m/>
    <n v="1"/>
    <m/>
    <n v="2"/>
    <n v="1"/>
    <n v="4"/>
    <n v="5"/>
    <n v="4"/>
  </r>
  <r>
    <x v="7"/>
    <x v="1"/>
    <s v="S40000004"/>
    <x v="39"/>
    <m/>
    <n v="1"/>
    <m/>
    <n v="3"/>
    <n v="3.5"/>
    <n v="3"/>
    <n v="7"/>
    <n v="11"/>
  </r>
  <r>
    <x v="7"/>
    <x v="1"/>
    <s v="S40000004"/>
    <x v="40"/>
    <m/>
    <n v="1"/>
    <m/>
    <n v="3"/>
    <n v="2"/>
    <n v="2"/>
    <n v="5"/>
    <n v="6"/>
  </r>
  <r>
    <x v="7"/>
    <x v="1"/>
    <s v="S40000003"/>
    <x v="15"/>
    <m/>
    <n v="1"/>
    <m/>
    <n v="2"/>
    <n v="2"/>
    <n v="5"/>
    <n v="9"/>
    <n v="7"/>
  </r>
  <r>
    <x v="7"/>
    <x v="1"/>
    <s v="S40000005"/>
    <x v="41"/>
    <m/>
    <n v="1"/>
    <m/>
    <n v="7"/>
    <n v="1"/>
    <n v="4"/>
    <n v="12"/>
    <n v="10"/>
  </r>
  <r>
    <x v="7"/>
    <x v="1"/>
    <s v="S40000003"/>
    <x v="22"/>
    <m/>
    <n v="1"/>
    <m/>
    <n v="2"/>
    <m/>
    <n v="2"/>
    <n v="5"/>
    <n v="5"/>
  </r>
  <r>
    <x v="7"/>
    <x v="1"/>
    <s v="S40000003"/>
    <x v="29"/>
    <m/>
    <n v="1"/>
    <m/>
    <n v="3"/>
    <m/>
    <n v="2"/>
    <n v="6"/>
    <n v="4"/>
  </r>
  <r>
    <x v="7"/>
    <x v="1"/>
    <m/>
    <x v="49"/>
    <m/>
    <n v="1"/>
    <m/>
    <n v="6"/>
    <n v="4"/>
    <n v="4"/>
    <n v="11"/>
    <n v="11"/>
  </r>
  <r>
    <x v="7"/>
    <x v="1"/>
    <s v="S40000005"/>
    <x v="43"/>
    <m/>
    <n v="1"/>
    <m/>
    <m/>
    <m/>
    <n v="3"/>
    <n v="7"/>
    <n v="4"/>
  </r>
  <r>
    <x v="7"/>
    <x v="2"/>
    <m/>
    <x v="2"/>
    <m/>
    <n v="6"/>
    <m/>
    <n v="36"/>
    <n v="58"/>
    <n v="9"/>
    <n v="16"/>
    <n v="87"/>
  </r>
  <r>
    <x v="7"/>
    <x v="2"/>
    <s v="S40000004"/>
    <x v="44"/>
    <m/>
    <n v="1"/>
    <m/>
    <n v="6"/>
    <n v="20"/>
    <n v="2"/>
    <n v="5"/>
    <n v="32"/>
  </r>
  <r>
    <x v="7"/>
    <x v="2"/>
    <s v="S40000005"/>
    <x v="45"/>
    <m/>
    <n v="2"/>
    <m/>
    <n v="13"/>
    <n v="13"/>
    <n v="2"/>
    <n v="6"/>
    <n v="19"/>
  </r>
  <r>
    <x v="7"/>
    <x v="2"/>
    <s v="S40000003"/>
    <x v="46"/>
    <m/>
    <n v="3"/>
    <m/>
    <n v="17"/>
    <n v="25"/>
    <n v="5"/>
    <n v="5"/>
    <n v="36"/>
  </r>
  <r>
    <x v="7"/>
    <x v="3"/>
    <s v="S92000003"/>
    <x v="47"/>
    <m/>
    <n v="13"/>
    <n v="5"/>
    <m/>
    <n v="1"/>
    <n v="23"/>
    <n v="20"/>
    <n v="30"/>
  </r>
  <r>
    <x v="7"/>
    <x v="4"/>
    <s v="S92000003"/>
    <x v="47"/>
    <n v="6550.2199999999993"/>
    <n v="36"/>
    <n v="5"/>
    <n v="1210.6799999999998"/>
    <n v="4085.79"/>
    <n v="85"/>
    <n v="162"/>
    <n v="965.75"/>
  </r>
</pivotCacheRecords>
</file>

<file path=xl/pivotCache/pivotCacheRecords36.xml><?xml version="1.0" encoding="utf-8"?>
<pivotCacheRecords xmlns="http://schemas.openxmlformats.org/spreadsheetml/2006/main" xmlns:r="http://schemas.openxmlformats.org/officeDocument/2006/relationships" count="8">
  <r>
    <x v="0"/>
    <x v="0"/>
    <s v="Scotland"/>
    <s v="S92000003"/>
    <n v="212.96"/>
    <n v="0"/>
    <n v="5"/>
    <n v="11"/>
    <n v="51.56"/>
    <n v="51.01"/>
    <n v="94.39"/>
  </r>
  <r>
    <x v="1"/>
    <x v="0"/>
    <s v="Scotland"/>
    <s v="S92000003"/>
    <n v="220.79"/>
    <n v="0"/>
    <n v="5"/>
    <n v="12.85"/>
    <n v="49.46"/>
    <n v="50.79"/>
    <n v="102.69"/>
  </r>
  <r>
    <x v="2"/>
    <x v="0"/>
    <s v="Scotland"/>
    <s v="S92000003"/>
    <n v="195.16952380952381"/>
    <n v="0"/>
    <n v="6"/>
    <n v="6.8333333333333339"/>
    <n v="50.314285714285717"/>
    <n v="43"/>
    <n v="89.021904761904764"/>
  </r>
  <r>
    <x v="3"/>
    <x v="0"/>
    <s v="Scotland"/>
    <s v="S92000003"/>
    <n v="160"/>
    <n v="0"/>
    <n v="5"/>
    <n v="8"/>
    <n v="40"/>
    <n v="30"/>
    <n v="76"/>
  </r>
  <r>
    <x v="4"/>
    <x v="0"/>
    <s v="Scotland"/>
    <s v="S92000003"/>
    <n v="184"/>
    <n v="0"/>
    <n v="5"/>
    <n v="8"/>
    <n v="43"/>
    <n v="27"/>
    <n v="101"/>
  </r>
  <r>
    <x v="5"/>
    <x v="0"/>
    <s v="Scotland"/>
    <s v="S92000003"/>
    <n v="202.33"/>
    <n v="1"/>
    <n v="4"/>
    <n v="9"/>
    <n v="42"/>
    <n v="27"/>
    <n v="119.33000000000001"/>
  </r>
  <r>
    <x v="6"/>
    <x v="0"/>
    <s v="Scotland"/>
    <s v="S92000003"/>
    <n v="183.83"/>
    <n v="1"/>
    <n v="4"/>
    <n v="8"/>
    <n v="45"/>
    <n v="26"/>
    <n v="99.830000000000013"/>
  </r>
  <r>
    <x v="7"/>
    <x v="0"/>
    <s v="Scotland"/>
    <s v="S92000003"/>
    <n v="176.06"/>
    <n v="1"/>
    <n v="4"/>
    <n v="10"/>
    <n v="41"/>
    <n v="30"/>
    <n v="90.06"/>
  </r>
</pivotCacheRecords>
</file>

<file path=xl/pivotCache/pivotCacheRecords37.xml><?xml version="1.0" encoding="utf-8"?>
<pivotCacheRecords xmlns="http://schemas.openxmlformats.org/spreadsheetml/2006/main" xmlns:r="http://schemas.openxmlformats.org/officeDocument/2006/relationships" count="30">
  <r>
    <x v="0"/>
    <s v="S40000004"/>
    <x v="0"/>
    <x v="0"/>
    <m/>
    <n v="6"/>
    <n v="2"/>
    <n v="7"/>
    <n v="44.7"/>
    <n v="36.700000000000003"/>
    <n v="40.699999999999996"/>
    <n v="137.1"/>
  </r>
  <r>
    <x v="0"/>
    <s v="S40000005"/>
    <x v="0"/>
    <x v="1"/>
    <m/>
    <n v="4"/>
    <n v="4.8"/>
    <n v="5.8"/>
    <n v="57"/>
    <n v="15.899999999999999"/>
    <n v="34.200000000000003"/>
    <n v="121.7"/>
  </r>
  <r>
    <x v="0"/>
    <s v="S92000003"/>
    <x v="0"/>
    <x v="2"/>
    <m/>
    <n v="55.7"/>
    <n v="9"/>
    <n v="21.5"/>
    <n v="52.3"/>
    <n v="46.4"/>
    <n v="42.4"/>
    <n v="227.3"/>
  </r>
  <r>
    <x v="0"/>
    <s v="S40000003"/>
    <x v="0"/>
    <x v="3"/>
    <m/>
    <n v="4"/>
    <n v="4"/>
    <n v="8"/>
    <n v="102.4"/>
    <n v="100.5"/>
    <n v="106.3"/>
    <n v="325.2"/>
  </r>
  <r>
    <x v="1"/>
    <s v="S40000004"/>
    <x v="0"/>
    <x v="0"/>
    <m/>
    <n v="3"/>
    <n v="7"/>
    <n v="11"/>
    <n v="46.7"/>
    <n v="36.069999999999986"/>
    <n v="24.580000000000005"/>
    <n v="128.35"/>
  </r>
  <r>
    <x v="1"/>
    <s v="S40000005"/>
    <x v="0"/>
    <x v="1"/>
    <m/>
    <n v="3"/>
    <n v="7"/>
    <n v="5.83"/>
    <n v="62.64"/>
    <n v="15.44"/>
    <n v="21.74"/>
    <n v="115.65"/>
  </r>
  <r>
    <x v="1"/>
    <s v="S92000003"/>
    <x v="0"/>
    <x v="2"/>
    <n v="2"/>
    <n v="34.99"/>
    <n v="12.9"/>
    <n v="25.28"/>
    <n v="109.36000000000001"/>
    <n v="0"/>
    <n v="38.92"/>
    <n v="223.45000000000002"/>
  </r>
  <r>
    <x v="1"/>
    <s v="S40000003"/>
    <x v="0"/>
    <x v="3"/>
    <m/>
    <n v="3"/>
    <n v="9"/>
    <n v="13.36"/>
    <n v="108.52999999999999"/>
    <n v="75.46999999999997"/>
    <n v="67.15000000000002"/>
    <n v="276.51"/>
  </r>
  <r>
    <x v="2"/>
    <s v="S40000004"/>
    <x v="0"/>
    <x v="0"/>
    <m/>
    <n v="3"/>
    <n v="5"/>
    <n v="11.528571428571428"/>
    <n v="33.935714285714283"/>
    <n v="32.164285714285711"/>
    <n v="10.092857142857142"/>
    <n v="95.721428571428561"/>
  </r>
  <r>
    <x v="2"/>
    <s v="S40000005"/>
    <x v="0"/>
    <x v="1"/>
    <m/>
    <n v="3"/>
    <n v="7"/>
    <n v="10.214285714285715"/>
    <n v="59.985714285714288"/>
    <n v="16.166857142857143"/>
    <n v="14.585714285714284"/>
    <n v="110.95257142857143"/>
  </r>
  <r>
    <x v="2"/>
    <s v="S92000003"/>
    <x v="0"/>
    <x v="2"/>
    <n v="3"/>
    <n v="32"/>
    <n v="11.709428571428571"/>
    <n v="34.285714285714285"/>
    <n v="106.63857142857142"/>
    <n v="3.8905714285714286"/>
    <n v="85"/>
    <n v="276.74971428571428"/>
  </r>
  <r>
    <x v="2"/>
    <s v="S92000003"/>
    <x v="1"/>
    <x v="2"/>
    <n v="3"/>
    <n v="40"/>
    <n v="33"/>
    <n v="71"/>
    <n v="304"/>
    <n v="122"/>
    <n v="146"/>
    <n v="719"/>
  </r>
  <r>
    <x v="2"/>
    <s v="S40000003"/>
    <x v="0"/>
    <x v="3"/>
    <m/>
    <n v="2"/>
    <n v="9.6"/>
    <n v="14.685714285714285"/>
    <n v="97.048571428571421"/>
    <n v="61.014285714285712"/>
    <n v="35.368571428571428"/>
    <n v="219.71714285714287"/>
  </r>
  <r>
    <x v="3"/>
    <s v="S40000004"/>
    <x v="0"/>
    <x v="0"/>
    <m/>
    <n v="3"/>
    <n v="5"/>
    <n v="12"/>
    <n v="47"/>
    <n v="29"/>
    <n v="16"/>
    <n v="113"/>
  </r>
  <r>
    <x v="3"/>
    <s v="S40000005"/>
    <x v="0"/>
    <x v="1"/>
    <m/>
    <n v="3"/>
    <n v="7"/>
    <n v="11"/>
    <n v="70"/>
    <n v="11"/>
    <n v="21"/>
    <n v="124"/>
  </r>
  <r>
    <x v="3"/>
    <s v="S92000003"/>
    <x v="0"/>
    <x v="2"/>
    <n v="3"/>
    <n v="34"/>
    <n v="12"/>
    <n v="36"/>
    <n v="100"/>
    <n v="5"/>
    <n v="58"/>
    <n v="250"/>
  </r>
  <r>
    <x v="3"/>
    <s v="S92000003"/>
    <x v="1"/>
    <x v="2"/>
    <n v="3"/>
    <n v="42"/>
    <n v="33"/>
    <n v="74"/>
    <n v="334"/>
    <n v="115"/>
    <n v="140"/>
    <n v="745"/>
  </r>
  <r>
    <x v="3"/>
    <s v="S40000003"/>
    <x v="0"/>
    <x v="3"/>
    <m/>
    <n v="2"/>
    <n v="9"/>
    <n v="14"/>
    <n v="114"/>
    <n v="64"/>
    <n v="43"/>
    <n v="248"/>
  </r>
  <r>
    <x v="4"/>
    <s v="S91999999"/>
    <x v="0"/>
    <x v="2"/>
    <m/>
    <n v="8"/>
    <n v="20"/>
    <n v="35"/>
    <n v="250"/>
    <n v="106"/>
    <n v="79"/>
    <n v="499"/>
  </r>
  <r>
    <x v="4"/>
    <s v="S92000001"/>
    <x v="0"/>
    <x v="2"/>
    <m/>
    <n v="3"/>
    <n v="3"/>
    <n v="10"/>
    <n v="44"/>
    <n v="30"/>
    <n v="16"/>
    <n v="105"/>
  </r>
  <r>
    <x v="4"/>
    <s v="S92000002"/>
    <x v="0"/>
    <x v="2"/>
    <m/>
    <n v="3"/>
    <n v="8"/>
    <n v="10"/>
    <n v="78"/>
    <n v="13"/>
    <n v="20"/>
    <n v="133"/>
  </r>
  <r>
    <x v="4"/>
    <s v="S92000003"/>
    <x v="0"/>
    <x v="2"/>
    <n v="2"/>
    <n v="42"/>
    <n v="11"/>
    <n v="40"/>
    <n v="105"/>
    <n v="4"/>
    <n v="56"/>
    <n v="260"/>
  </r>
  <r>
    <x v="4"/>
    <s v="S92000000"/>
    <x v="0"/>
    <x v="2"/>
    <m/>
    <n v="2"/>
    <n v="9"/>
    <n v="15"/>
    <n v="128"/>
    <n v="63"/>
    <n v="43"/>
    <n v="260"/>
  </r>
  <r>
    <x v="4"/>
    <s v="S92000003"/>
    <x v="1"/>
    <x v="2"/>
    <n v="2"/>
    <n v="50"/>
    <n v="31"/>
    <n v="76"/>
    <n v="355"/>
    <n v="110"/>
    <n v="135"/>
    <n v="759"/>
  </r>
  <r>
    <x v="5"/>
    <s v="S92000003"/>
    <x v="0"/>
    <x v="2"/>
    <n v="3"/>
    <n v="49"/>
    <n v="34"/>
    <n v="80.399999999999991"/>
    <n v="375.55999999999995"/>
    <n v="58.61"/>
    <n v="144.99"/>
    <n v="745.56"/>
  </r>
  <r>
    <x v="5"/>
    <s v="S92000003"/>
    <x v="1"/>
    <x v="2"/>
    <n v="49"/>
    <n v="80.400000000000006"/>
    <n v="58.61"/>
    <n v="34"/>
    <n v="375.56"/>
    <n v="144.99"/>
    <n v="3"/>
    <n v="745.56"/>
  </r>
  <r>
    <x v="6"/>
    <s v="S92000003"/>
    <x v="0"/>
    <x v="2"/>
    <n v="3"/>
    <n v="47"/>
    <n v="32"/>
    <n v="88.61"/>
    <n v="382.5"/>
    <n v="56.949999999999996"/>
    <n v="154.33999999999997"/>
    <n v="764.40000000000009"/>
  </r>
  <r>
    <x v="6"/>
    <s v="S92000003"/>
    <x v="1"/>
    <x v="2"/>
    <n v="47"/>
    <n v="88.61"/>
    <n v="56.95"/>
    <n v="32"/>
    <n v="382.5"/>
    <n v="154.34"/>
    <n v="3"/>
    <n v="764.4"/>
  </r>
  <r>
    <x v="7"/>
    <s v="S92000003"/>
    <x v="0"/>
    <x v="2"/>
    <n v="3"/>
    <n v="49.8"/>
    <n v="30"/>
    <n v="88.43"/>
    <n v="399.88000000000005"/>
    <n v="55.73"/>
    <n v="160.44999999999999"/>
    <n v="787.29000000000019"/>
  </r>
  <r>
    <x v="7"/>
    <s v="S92000003"/>
    <x v="1"/>
    <x v="2"/>
    <n v="49.8"/>
    <n v="88.429999999999993"/>
    <n v="55.730000000000004"/>
    <n v="30"/>
    <n v="399.87999999999994"/>
    <n v="160.44999999999999"/>
    <n v="3"/>
    <n v="787.29"/>
  </r>
</pivotCacheRecords>
</file>

<file path=xl/pivotCache/pivotCacheRecords38.xml><?xml version="1.0" encoding="utf-8"?>
<pivotCacheRecords xmlns="http://schemas.openxmlformats.org/spreadsheetml/2006/main" xmlns:r="http://schemas.openxmlformats.org/officeDocument/2006/relationships" count="257">
  <r>
    <x v="0"/>
    <s v="S12000015"/>
    <n v="3531"/>
    <n v="3068"/>
    <n v="6599"/>
    <n v="3943"/>
    <n v="1691"/>
    <n v="5634"/>
    <n v="171560"/>
    <n v="3.8460000000000001"/>
    <n v="3.2839999999999998"/>
    <n v="162200"/>
    <n v="4.0679999999999996"/>
    <n v="3.4729999999999999"/>
    <x v="0"/>
  </r>
  <r>
    <x v="1"/>
    <s v="S12000017"/>
    <n v="1287"/>
    <n v="2547"/>
    <n v="3834"/>
    <n v="1317"/>
    <n v="724"/>
    <n v="2041"/>
    <n v="113703"/>
    <n v="3.3719999999999999"/>
    <n v="1.7949999999999999"/>
    <n v="104445"/>
    <n v="3.6710000000000003"/>
    <n v="1.954"/>
    <x v="0"/>
  </r>
  <r>
    <x v="2"/>
    <s v="S12000021"/>
    <n v="958"/>
    <n v="660"/>
    <n v="1618"/>
    <n v="972"/>
    <n v="661"/>
    <n v="1633"/>
    <n v="67082"/>
    <n v="2.4119999999999999"/>
    <n v="2.4340000000000002"/>
    <n v="62613"/>
    <n v="2.5840000000000001"/>
    <n v="2.6080000000000001"/>
    <x v="0"/>
  </r>
  <r>
    <x v="3"/>
    <s v="S12000038"/>
    <n v="1045"/>
    <n v="832"/>
    <n v="1877"/>
    <n v="1240"/>
    <n v="486"/>
    <n v="1726"/>
    <n v="83933"/>
    <n v="2.2359999999999998"/>
    <n v="2.056"/>
    <n v="81787"/>
    <n v="2.2949999999999999"/>
    <n v="2.11"/>
    <x v="0"/>
  </r>
  <r>
    <x v="4"/>
    <s v="S12000042"/>
    <n v="698"/>
    <n v="3024"/>
    <n v="3722"/>
    <n v="677"/>
    <n v="308"/>
    <n v="985"/>
    <n v="73575"/>
    <n v="5.0590000000000002"/>
    <n v="1.339"/>
    <n v="69610"/>
    <n v="5.3469999999999995"/>
    <n v="1.415"/>
    <x v="1"/>
  </r>
  <r>
    <x v="5"/>
    <s v="S12000046"/>
    <n v="2493"/>
    <n v="3638"/>
    <n v="6131"/>
    <n v="2836"/>
    <n v="867"/>
    <n v="3703"/>
    <n v="301891"/>
    <n v="2.0310000000000001"/>
    <n v="1.2270000000000001"/>
    <n v="286377"/>
    <n v="2.141"/>
    <n v="1.2929999999999999"/>
    <x v="1"/>
  </r>
  <r>
    <x v="1"/>
    <s v="S12000017"/>
    <n v="962"/>
    <n v="2623"/>
    <n v="3585"/>
    <n v="1042"/>
    <n v="500"/>
    <n v="1542"/>
    <n v="114603"/>
    <n v="3.1280000000000001"/>
    <n v="1.3460000000000001"/>
    <n v="105711"/>
    <n v="3.391"/>
    <n v="1.4590000000000001"/>
    <x v="1"/>
  </r>
  <r>
    <x v="6"/>
    <s v="S12000028"/>
    <n v="608"/>
    <n v="517"/>
    <n v="1125"/>
    <n v="715"/>
    <n v="318"/>
    <n v="1033"/>
    <n v="54489"/>
    <n v="2.0649999999999999"/>
    <n v="1.8959999999999999"/>
    <n v="51874"/>
    <n v="2.169"/>
    <n v="1.9910000000000001"/>
    <x v="1"/>
  </r>
  <r>
    <x v="7"/>
    <s v="S12000030"/>
    <n v="352"/>
    <n v="667"/>
    <n v="1019"/>
    <n v="391"/>
    <n v="166"/>
    <n v="557"/>
    <n v="40320"/>
    <n v="2.5270000000000001"/>
    <n v="1.381"/>
    <n v="38310"/>
    <n v="2.66"/>
    <n v="1.454"/>
    <x v="1"/>
  </r>
  <r>
    <x v="8"/>
    <s v="S12000011"/>
    <n v="587"/>
    <n v="1106"/>
    <n v="1693"/>
    <n v="640"/>
    <n v="250"/>
    <n v="890"/>
    <n v="38061"/>
    <n v="4.4480000000000004"/>
    <n v="2.3380000000000001"/>
    <n v="38270"/>
    <n v="4.4240000000000004"/>
    <n v="2.3260000000000001"/>
    <x v="2"/>
  </r>
  <r>
    <x v="9"/>
    <s v="S12000040"/>
    <n v="1092"/>
    <n v="779"/>
    <n v="1871"/>
    <n v="1051"/>
    <n v="659"/>
    <n v="1710"/>
    <n v="77834"/>
    <n v="2.4039999999999999"/>
    <n v="2.1970000000000001"/>
    <n v="75782"/>
    <n v="2.4689999999999999"/>
    <n v="2.2560000000000002"/>
    <x v="2"/>
  </r>
  <r>
    <x v="4"/>
    <s v="S12000042"/>
    <n v="870"/>
    <n v="3053"/>
    <n v="3923"/>
    <n v="823"/>
    <n v="377"/>
    <n v="1200"/>
    <n v="74026"/>
    <n v="5.2990000000000004"/>
    <n v="1.621"/>
    <n v="69635"/>
    <n v="5.6340000000000003"/>
    <n v="1.7229999999999999"/>
    <x v="3"/>
  </r>
  <r>
    <x v="10"/>
    <s v="S12000008"/>
    <n v="574"/>
    <n v="681"/>
    <n v="1255"/>
    <n v="584"/>
    <n v="364"/>
    <n v="948"/>
    <n v="57873"/>
    <n v="2.169"/>
    <n v="1.6379999999999999"/>
    <n v="54748"/>
    <n v="2.2919999999999998"/>
    <n v="1.732"/>
    <x v="3"/>
  </r>
  <r>
    <x v="11"/>
    <s v="S12000014"/>
    <n v="570"/>
    <n v="980"/>
    <n v="1550"/>
    <n v="612"/>
    <n v="266"/>
    <n v="878"/>
    <n v="73767"/>
    <n v="2.101"/>
    <n v="1.19"/>
    <n v="71072"/>
    <n v="2.181"/>
    <n v="1.2349999999999999"/>
    <x v="3"/>
  </r>
  <r>
    <x v="12"/>
    <s v="S12000019"/>
    <n v="528"/>
    <n v="438"/>
    <n v="966"/>
    <n v="416"/>
    <n v="424"/>
    <n v="840"/>
    <n v="39297"/>
    <n v="2.4580000000000002"/>
    <n v="2.1379999999999999"/>
    <n v="37766"/>
    <n v="2.5579999999999998"/>
    <n v="2.2240000000000002"/>
    <x v="3"/>
  </r>
  <r>
    <x v="13"/>
    <s v="S12000024"/>
    <n v="466"/>
    <n v="1489"/>
    <n v="1955"/>
    <n v="375"/>
    <n v="285"/>
    <n v="660"/>
    <n v="71347"/>
    <n v="2.74"/>
    <n v="0.92500000000000004"/>
    <n v="67101"/>
    <n v="2.9140000000000001"/>
    <n v="0.98399999999999999"/>
    <x v="3"/>
  </r>
  <r>
    <x v="14"/>
    <s v="S12000039"/>
    <n v="558"/>
    <n v="1036"/>
    <n v="1594"/>
    <n v="620"/>
    <n v="238"/>
    <n v="858"/>
    <n v="45104"/>
    <n v="3.5339999999999998"/>
    <n v="1.9020000000000001"/>
    <n v="42657"/>
    <n v="3.7370000000000001"/>
    <n v="2.0110000000000001"/>
    <x v="3"/>
  </r>
  <r>
    <x v="15"/>
    <s v="S12000033"/>
    <n v="478"/>
    <n v="1669"/>
    <n v="2147"/>
    <n v="432"/>
    <n v="260"/>
    <n v="692"/>
    <n v="116821"/>
    <n v="1.8380000000000001"/>
    <n v="0.59199999999999997"/>
    <n v="106802"/>
    <n v="2.0099999999999998"/>
    <n v="0.64800000000000002"/>
    <x v="4"/>
  </r>
  <r>
    <x v="16"/>
    <s v="S12000041"/>
    <n v="469"/>
    <n v="1121"/>
    <n v="1590"/>
    <n v="434"/>
    <n v="216"/>
    <n v="650"/>
    <n v="56135"/>
    <n v="2.8319999999999999"/>
    <n v="1.1579999999999999"/>
    <n v="53627"/>
    <n v="2.9649999999999999"/>
    <n v="1.212"/>
    <x v="4"/>
  </r>
  <r>
    <x v="17"/>
    <s v="S12000018"/>
    <n v="712"/>
    <n v="762"/>
    <n v="1474"/>
    <n v="621"/>
    <n v="402"/>
    <n v="1023"/>
    <n v="38848"/>
    <n v="3.794"/>
    <n v="2.633"/>
    <n v="37651"/>
    <n v="3.915"/>
    <n v="2.7170000000000001"/>
    <x v="4"/>
  </r>
  <r>
    <x v="13"/>
    <s v="S12000024"/>
    <n v="484"/>
    <n v="1014"/>
    <n v="1498"/>
    <n v="451"/>
    <n v="265"/>
    <n v="716"/>
    <n v="71810"/>
    <n v="2.0859999999999999"/>
    <n v="0.997"/>
    <n v="67618"/>
    <n v="2.2149999999999999"/>
    <n v="1.0589999999999999"/>
    <x v="4"/>
  </r>
  <r>
    <x v="18"/>
    <s v="S12000027"/>
    <n v="113"/>
    <n v="212"/>
    <n v="325"/>
    <n v="128"/>
    <n v="76"/>
    <n v="204"/>
    <n v="11180"/>
    <n v="2.907"/>
    <n v="1.825"/>
    <n v="10341"/>
    <n v="3.1429999999999998"/>
    <n v="1.9729999999999999"/>
    <x v="4"/>
  </r>
  <r>
    <x v="16"/>
    <s v="S12000041"/>
    <n v="429"/>
    <n v="1339"/>
    <n v="1768"/>
    <n v="450"/>
    <n v="177"/>
    <n v="627"/>
    <n v="56485"/>
    <n v="3.13"/>
    <n v="1.1100000000000001"/>
    <n v="53888"/>
    <n v="3.2810000000000001"/>
    <n v="1.1639999999999999"/>
    <x v="5"/>
  </r>
  <r>
    <x v="11"/>
    <s v="S12000014"/>
    <n v="533"/>
    <n v="1326"/>
    <n v="1859"/>
    <n v="606"/>
    <n v="192"/>
    <n v="798"/>
    <n v="74826"/>
    <n v="2.484"/>
    <n v="1.0660000000000001"/>
    <n v="72267"/>
    <n v="2.5720000000000001"/>
    <n v="1.1040000000000001"/>
    <x v="5"/>
  </r>
  <r>
    <x v="5"/>
    <s v="S12000046"/>
    <n v="2993"/>
    <n v="7060"/>
    <n v="10053"/>
    <n v="3265"/>
    <n v="886"/>
    <n v="4151"/>
    <n v="311447"/>
    <n v="3.2280000000000002"/>
    <n v="1.333"/>
    <n v="292619"/>
    <n v="3.4359999999999999"/>
    <n v="1.419"/>
    <x v="5"/>
  </r>
  <r>
    <x v="19"/>
    <s v="S12000029"/>
    <n v="1352"/>
    <n v="2193"/>
    <n v="3545"/>
    <n v="1663"/>
    <n v="484"/>
    <n v="2147"/>
    <n v="151352"/>
    <n v="2.3420000000000001"/>
    <n v="1.419"/>
    <n v="146173"/>
    <n v="2.4249999999999998"/>
    <n v="1.4689999999999999"/>
    <x v="5"/>
  </r>
  <r>
    <x v="20"/>
    <s v="S12000005"/>
    <n v="292"/>
    <n v="379"/>
    <n v="671"/>
    <n v="445"/>
    <n v="50"/>
    <n v="495"/>
    <n v="24716"/>
    <n v="2.7149999999999999"/>
    <n v="2.0030000000000001"/>
    <n v="23890"/>
    <n v="2.8090000000000002"/>
    <n v="2.0720000000000001"/>
    <x v="6"/>
  </r>
  <r>
    <x v="4"/>
    <s v="S12000042"/>
    <n v="577"/>
    <n v="2144"/>
    <n v="2721"/>
    <n v="510"/>
    <n v="327"/>
    <n v="837"/>
    <n v="74891"/>
    <n v="3.633"/>
    <n v="1.1179999999999999"/>
    <n v="70685"/>
    <n v="3.8490000000000002"/>
    <n v="1.1839999999999999"/>
    <x v="6"/>
  </r>
  <r>
    <x v="0"/>
    <s v="S12000015"/>
    <n v="2533"/>
    <n v="3908"/>
    <n v="6441"/>
    <n v="2725"/>
    <n v="1258"/>
    <n v="3983"/>
    <n v="178183"/>
    <n v="3.6150000000000002"/>
    <n v="2.2349999999999999"/>
    <n v="169239"/>
    <n v="3.806"/>
    <n v="2.3529999999999998"/>
    <x v="6"/>
  </r>
  <r>
    <x v="1"/>
    <s v="S12000017"/>
    <n v="592"/>
    <n v="2276"/>
    <n v="2868"/>
    <n v="522"/>
    <n v="464"/>
    <n v="986"/>
    <n v="119061"/>
    <n v="2.4089999999999998"/>
    <n v="0.82799999999999996"/>
    <n v="109514"/>
    <n v="2.6189999999999998"/>
    <n v="0.9"/>
    <x v="6"/>
  </r>
  <r>
    <x v="16"/>
    <s v="S12000041"/>
    <n v="201"/>
    <n v="519"/>
    <n v="720"/>
    <n v="177"/>
    <n v="115"/>
    <n v="292"/>
    <n v="57206"/>
    <n v="1.2589999999999999"/>
    <n v="0.51"/>
    <n v="54480"/>
    <n v="1.3220000000000001"/>
    <n v="0.53600000000000003"/>
    <x v="7"/>
  </r>
  <r>
    <x v="21"/>
    <s v="S12000036"/>
    <n v="680"/>
    <n v="756"/>
    <n v="1436"/>
    <n v="700"/>
    <n v="310"/>
    <n v="1010"/>
    <n v="254929"/>
    <n v="0.56299999999999994"/>
    <n v="0.39600000000000002"/>
    <n v="239364"/>
    <n v="0.6"/>
    <n v="0.42199999999999999"/>
    <x v="7"/>
  </r>
  <r>
    <x v="22"/>
    <s v="S12000010"/>
    <n v="125"/>
    <n v="156"/>
    <n v="281"/>
    <n v="163"/>
    <n v="64"/>
    <n v="227"/>
    <n v="49642"/>
    <n v="0.56599999999999995"/>
    <n v="0.45700000000000002"/>
    <n v="47482"/>
    <n v="0.59199999999999997"/>
    <n v="0.47799999999999998"/>
    <x v="7"/>
  </r>
  <r>
    <x v="0"/>
    <s v="S12000015"/>
    <n v="580"/>
    <n v="722"/>
    <n v="1302"/>
    <n v="654"/>
    <n v="327"/>
    <n v="981"/>
    <n v="179232"/>
    <n v="0.72599999999999998"/>
    <n v="0.54700000000000004"/>
    <n v="169886"/>
    <n v="0.76600000000000001"/>
    <n v="0.57699999999999996"/>
    <x v="7"/>
  </r>
  <r>
    <x v="4"/>
    <s v="S12000042"/>
    <n v="1038"/>
    <n v="6335"/>
    <n v="7373"/>
    <n v="936"/>
    <n v="496"/>
    <n v="1432"/>
    <n v="73560"/>
    <n v="10.023"/>
    <n v="1.9470000000000001"/>
    <n v="69500"/>
    <n v="10.609"/>
    <n v="2.06"/>
    <x v="0"/>
  </r>
  <r>
    <x v="23"/>
    <s v="S12000045"/>
    <n v="554"/>
    <n v="307"/>
    <n v="861"/>
    <n v="757"/>
    <n v="209"/>
    <n v="966"/>
    <n v="44864"/>
    <n v="1.919"/>
    <n v="2.153"/>
    <n v="44102"/>
    <n v="1.952"/>
    <n v="2.19"/>
    <x v="0"/>
  </r>
  <r>
    <x v="8"/>
    <s v="S12000011"/>
    <n v="492"/>
    <n v="448"/>
    <n v="940"/>
    <n v="603"/>
    <n v="198"/>
    <n v="801"/>
    <n v="37639"/>
    <n v="2.4969999999999999"/>
    <n v="2.1280000000000001"/>
    <n v="37804"/>
    <n v="2.4870000000000001"/>
    <n v="2.1189999999999998"/>
    <x v="0"/>
  </r>
  <r>
    <x v="24"/>
    <s v="S12000020"/>
    <n v="332"/>
    <n v="299"/>
    <n v="631"/>
    <n v="317"/>
    <n v="264"/>
    <n v="581"/>
    <n v="43495"/>
    <n v="1.4510000000000001"/>
    <n v="1.3360000000000001"/>
    <n v="40839"/>
    <n v="1.5449999999999999"/>
    <n v="1.423"/>
    <x v="0"/>
  </r>
  <r>
    <x v="16"/>
    <s v="S12000041"/>
    <n v="486"/>
    <n v="1357"/>
    <n v="1843"/>
    <n v="498"/>
    <n v="226"/>
    <n v="724"/>
    <n v="55267"/>
    <n v="3.335"/>
    <n v="1.31"/>
    <n v="52692"/>
    <n v="3.4980000000000002"/>
    <n v="1.3740000000000001"/>
    <x v="1"/>
  </r>
  <r>
    <x v="21"/>
    <s v="S12000036"/>
    <n v="2833"/>
    <n v="2754"/>
    <n v="5587"/>
    <n v="2716"/>
    <n v="1169"/>
    <n v="3885"/>
    <n v="239525"/>
    <n v="2.3330000000000002"/>
    <n v="1.6219999999999999"/>
    <n v="229231"/>
    <n v="2.4369999999999998"/>
    <n v="1.6949999999999998"/>
    <x v="1"/>
  </r>
  <r>
    <x v="22"/>
    <s v="S12000010"/>
    <n v="737"/>
    <n v="511"/>
    <n v="1248"/>
    <n v="708"/>
    <n v="526"/>
    <n v="1234"/>
    <n v="45968"/>
    <n v="2.7149999999999999"/>
    <n v="2.6840000000000002"/>
    <n v="43981"/>
    <n v="2.8380000000000001"/>
    <n v="2.806"/>
    <x v="1"/>
  </r>
  <r>
    <x v="8"/>
    <s v="S12000011"/>
    <n v="546"/>
    <n v="689"/>
    <n v="1235"/>
    <n v="549"/>
    <n v="267"/>
    <n v="816"/>
    <n v="37852"/>
    <n v="3.2629999999999999"/>
    <n v="2.1560000000000001"/>
    <n v="38048"/>
    <n v="3.246"/>
    <n v="2.145"/>
    <x v="1"/>
  </r>
  <r>
    <x v="25"/>
    <s v="S12000044"/>
    <n v="1427"/>
    <n v="2067"/>
    <n v="3494"/>
    <n v="1929"/>
    <n v="499"/>
    <n v="2428"/>
    <n v="151424"/>
    <n v="2.3069999999999999"/>
    <n v="1.603"/>
    <n v="148610"/>
    <n v="2.351"/>
    <n v="1.6339999999999999"/>
    <x v="1"/>
  </r>
  <r>
    <x v="18"/>
    <s v="S12000027"/>
    <n v="55"/>
    <n v="168"/>
    <n v="223"/>
    <n v="60"/>
    <n v="42"/>
    <n v="102"/>
    <n v="10950"/>
    <n v="2.0369999999999999"/>
    <n v="0.93200000000000005"/>
    <n v="10166"/>
    <n v="2.194"/>
    <n v="1.0029999999999999"/>
    <x v="1"/>
  </r>
  <r>
    <x v="26"/>
    <s v="S12000034"/>
    <n v="683"/>
    <n v="1249"/>
    <n v="1932"/>
    <n v="648"/>
    <n v="431"/>
    <n v="1079"/>
    <n v="115223"/>
    <n v="1.677"/>
    <n v="0.93600000000000005"/>
    <n v="109631"/>
    <n v="1.762"/>
    <n v="0.98399999999999999"/>
    <x v="2"/>
  </r>
  <r>
    <x v="25"/>
    <s v="S12000044"/>
    <n v="1654"/>
    <n v="2505"/>
    <n v="4159"/>
    <n v="2213"/>
    <n v="542"/>
    <n v="2755"/>
    <n v="152293"/>
    <n v="2.7309999999999999"/>
    <n v="1.8090000000000002"/>
    <n v="149282"/>
    <n v="2.786"/>
    <n v="1.8460000000000001"/>
    <x v="2"/>
  </r>
  <r>
    <x v="27"/>
    <s v="S12000026"/>
    <n v="1347"/>
    <n v="1196"/>
    <n v="2543"/>
    <n v="802"/>
    <n v="1330"/>
    <n v="2132"/>
    <n v="57628"/>
    <n v="4.4130000000000003"/>
    <n v="3.7"/>
    <n v="53351"/>
    <n v="4.7670000000000003"/>
    <n v="3.996"/>
    <x v="2"/>
  </r>
  <r>
    <x v="6"/>
    <s v="S12000028"/>
    <n v="657"/>
    <n v="731"/>
    <n v="1388"/>
    <n v="688"/>
    <n v="380"/>
    <n v="1068"/>
    <n v="54635"/>
    <n v="2.54"/>
    <n v="1.9550000000000001"/>
    <n v="51912"/>
    <n v="2.6739999999999999"/>
    <n v="2.0569999999999999"/>
    <x v="2"/>
  </r>
  <r>
    <x v="28"/>
    <s v="S12000006"/>
    <n v="1262"/>
    <n v="848"/>
    <n v="2110"/>
    <n v="1150"/>
    <n v="642"/>
    <n v="1792"/>
    <n v="74453"/>
    <n v="2.8340000000000001"/>
    <n v="2.407"/>
    <n v="69202"/>
    <n v="3.0489999999999999"/>
    <n v="2.59"/>
    <x v="3"/>
  </r>
  <r>
    <x v="27"/>
    <s v="S12000026"/>
    <n v="1359"/>
    <n v="1477"/>
    <n v="2836"/>
    <n v="832"/>
    <n v="1288"/>
    <n v="2120"/>
    <n v="57940"/>
    <n v="4.8949999999999996"/>
    <n v="3.6589999999999998"/>
    <n v="53787"/>
    <n v="5.2729999999999997"/>
    <n v="3.9409999999999998"/>
    <x v="3"/>
  </r>
  <r>
    <x v="7"/>
    <s v="S12000030"/>
    <n v="336"/>
    <n v="720"/>
    <n v="1056"/>
    <n v="334"/>
    <n v="201"/>
    <n v="535"/>
    <n v="40998"/>
    <n v="2.5760000000000001"/>
    <n v="1.3049999999999999"/>
    <n v="38951"/>
    <n v="2.7109999999999999"/>
    <n v="1.3740000000000001"/>
    <x v="3"/>
  </r>
  <r>
    <x v="21"/>
    <s v="S12000036"/>
    <n v="2302"/>
    <n v="2297"/>
    <n v="4599"/>
    <n v="2309"/>
    <n v="888"/>
    <n v="3197"/>
    <n v="246818"/>
    <n v="1.863"/>
    <n v="1.2949999999999999"/>
    <n v="233369"/>
    <n v="1.9710000000000001"/>
    <n v="1.37"/>
    <x v="4"/>
  </r>
  <r>
    <x v="0"/>
    <s v="S12000015"/>
    <n v="3137"/>
    <n v="3401"/>
    <n v="6538"/>
    <n v="3292"/>
    <n v="1655"/>
    <n v="4947"/>
    <n v="175915"/>
    <n v="3.7170000000000001"/>
    <n v="2.8120000000000003"/>
    <n v="166960"/>
    <n v="3.9159999999999999"/>
    <n v="2.9630000000000001"/>
    <x v="4"/>
  </r>
  <r>
    <x v="24"/>
    <s v="S12000020"/>
    <n v="516"/>
    <n v="1149"/>
    <n v="1665"/>
    <n v="399"/>
    <n v="473"/>
    <n v="872"/>
    <n v="45209"/>
    <n v="3.6829999999999998"/>
    <n v="1.929"/>
    <n v="42554"/>
    <n v="3.9130000000000003"/>
    <n v="2.0489999999999999"/>
    <x v="5"/>
  </r>
  <r>
    <x v="13"/>
    <s v="S12000024"/>
    <n v="385"/>
    <n v="1084"/>
    <n v="1469"/>
    <n v="357"/>
    <n v="249"/>
    <n v="606"/>
    <n v="72441"/>
    <n v="2.028"/>
    <n v="0.83699999999999997"/>
    <n v="68196"/>
    <n v="2.1539999999999999"/>
    <n v="0.88900000000000001"/>
    <x v="5"/>
  </r>
  <r>
    <x v="14"/>
    <s v="S12000039"/>
    <n v="556"/>
    <n v="1008"/>
    <n v="1564"/>
    <n v="642"/>
    <n v="185"/>
    <n v="827"/>
    <n v="45228"/>
    <n v="3.4580000000000002"/>
    <n v="1.829"/>
    <n v="42868"/>
    <n v="3.6480000000000001"/>
    <n v="1.929"/>
    <x v="5"/>
  </r>
  <r>
    <x v="3"/>
    <s v="S12000038"/>
    <n v="774"/>
    <n v="1023"/>
    <n v="1797"/>
    <n v="786"/>
    <n v="396"/>
    <n v="1182"/>
    <n v="88086"/>
    <n v="2.04"/>
    <n v="1.3420000000000001"/>
    <n v="86683"/>
    <n v="2.073"/>
    <n v="1.3639999999999999"/>
    <x v="6"/>
  </r>
  <r>
    <x v="27"/>
    <s v="S12000026"/>
    <n v="869"/>
    <n v="1387"/>
    <n v="2256"/>
    <n v="798"/>
    <n v="632"/>
    <n v="1430"/>
    <n v="58671"/>
    <n v="3.8449999999999998"/>
    <n v="2.4369999999999998"/>
    <n v="54715"/>
    <n v="4.1230000000000002"/>
    <n v="2.6139999999999999"/>
    <x v="6"/>
  </r>
  <r>
    <x v="29"/>
    <s v="S12000035"/>
    <n v="166"/>
    <n v="320"/>
    <n v="486"/>
    <n v="154"/>
    <n v="117"/>
    <n v="271"/>
    <n v="48199"/>
    <n v="1.008"/>
    <n v="0.56200000000000006"/>
    <n v="41839"/>
    <n v="1.1619999999999999"/>
    <n v="0.64800000000000002"/>
    <x v="7"/>
  </r>
  <r>
    <x v="28"/>
    <s v="S12000006"/>
    <n v="142"/>
    <n v="231"/>
    <n v="373"/>
    <n v="124"/>
    <n v="82"/>
    <n v="206"/>
    <n v="75298"/>
    <n v="0.495"/>
    <n v="0.27400000000000002"/>
    <n v="69957"/>
    <n v="0.53300000000000003"/>
    <n v="0.29399999999999998"/>
    <x v="7"/>
  </r>
  <r>
    <x v="10"/>
    <s v="S12000008"/>
    <n v="172"/>
    <n v="316"/>
    <n v="488"/>
    <n v="222"/>
    <n v="77"/>
    <n v="299"/>
    <n v="58821"/>
    <n v="0.83"/>
    <n v="0.50800000000000001"/>
    <n v="55564"/>
    <n v="0.878"/>
    <n v="0.53800000000000003"/>
    <x v="7"/>
  </r>
  <r>
    <x v="24"/>
    <s v="S12000020"/>
    <n v="86"/>
    <n v="260"/>
    <n v="346"/>
    <n v="97"/>
    <n v="61"/>
    <n v="158"/>
    <n v="45838"/>
    <n v="0.755"/>
    <n v="0.34499999999999997"/>
    <n v="43175"/>
    <n v="0.80100000000000005"/>
    <n v="0.36599999999999999"/>
    <x v="7"/>
  </r>
  <r>
    <x v="25"/>
    <s v="S12000044"/>
    <n v="678"/>
    <n v="1190"/>
    <n v="1868"/>
    <n v="858"/>
    <n v="263"/>
    <n v="1121"/>
    <n v="157625"/>
    <n v="1.1850000000000001"/>
    <n v="0.71099999999999997"/>
    <n v="152910"/>
    <n v="1.222"/>
    <n v="0.73299999999999998"/>
    <x v="7"/>
  </r>
  <r>
    <x v="13"/>
    <s v="S12000024"/>
    <n v="166"/>
    <n v="376"/>
    <n v="542"/>
    <n v="186"/>
    <n v="102"/>
    <n v="288"/>
    <n v="73775"/>
    <n v="0.73499999999999999"/>
    <n v="0.39"/>
    <n v="69432"/>
    <n v="0.78100000000000003"/>
    <n v="0.41499999999999998"/>
    <x v="7"/>
  </r>
  <r>
    <x v="28"/>
    <s v="S12000006"/>
    <n v="1064"/>
    <n v="392"/>
    <n v="1456"/>
    <n v="882"/>
    <n v="540"/>
    <n v="1422"/>
    <n v="73555"/>
    <n v="1.9790000000000001"/>
    <n v="1.9330000000000001"/>
    <n v="68682"/>
    <n v="2.12"/>
    <n v="2.0699999999999998"/>
    <x v="0"/>
  </r>
  <r>
    <x v="10"/>
    <s v="S12000008"/>
    <n v="582"/>
    <n v="1242"/>
    <n v="1824"/>
    <n v="662"/>
    <n v="298"/>
    <n v="960"/>
    <n v="57172"/>
    <n v="3.19"/>
    <n v="1.679"/>
    <n v="54453"/>
    <n v="3.35"/>
    <n v="1.7629999999999999"/>
    <x v="0"/>
  </r>
  <r>
    <x v="5"/>
    <s v="S12000046"/>
    <n v="2763"/>
    <n v="3336"/>
    <n v="6099"/>
    <n v="3186"/>
    <n v="954"/>
    <n v="4140"/>
    <n v="301633"/>
    <n v="2.0219999999999998"/>
    <n v="1.373"/>
    <n v="285346"/>
    <n v="2.137"/>
    <n v="1.4510000000000001"/>
    <x v="0"/>
  </r>
  <r>
    <x v="12"/>
    <s v="S12000019"/>
    <n v="569"/>
    <n v="411"/>
    <n v="980"/>
    <n v="405"/>
    <n v="452"/>
    <n v="857"/>
    <n v="37503"/>
    <n v="2.613"/>
    <n v="2.2850000000000001"/>
    <n v="36009"/>
    <n v="2.722"/>
    <n v="2.38"/>
    <x v="0"/>
  </r>
  <r>
    <x v="25"/>
    <s v="S12000044"/>
    <n v="1381"/>
    <n v="1452"/>
    <n v="2833"/>
    <n v="1819"/>
    <n v="538"/>
    <n v="2357"/>
    <n v="150541"/>
    <n v="1.8820000000000001"/>
    <n v="1.5659999999999998"/>
    <n v="147554"/>
    <n v="1.92"/>
    <n v="1.597"/>
    <x v="0"/>
  </r>
  <r>
    <x v="30"/>
    <s v="S12000023"/>
    <n v="115"/>
    <n v="150"/>
    <n v="265"/>
    <n v="183"/>
    <n v="64"/>
    <n v="247"/>
    <n v="10717"/>
    <n v="2.4729999999999999"/>
    <n v="2.3050000000000002"/>
    <n v="9945"/>
    <n v="2.665"/>
    <n v="2.484"/>
    <x v="0"/>
  </r>
  <r>
    <x v="18"/>
    <s v="S12000027"/>
    <n v="73"/>
    <n v="218"/>
    <n v="291"/>
    <n v="69"/>
    <n v="56"/>
    <n v="125"/>
    <n v="10852"/>
    <n v="2.6819999999999999"/>
    <n v="1.1519999999999999"/>
    <n v="10135"/>
    <n v="2.871"/>
    <n v="1.2330000000000001"/>
    <x v="0"/>
  </r>
  <r>
    <x v="7"/>
    <s v="S12000030"/>
    <n v="265"/>
    <n v="607"/>
    <n v="872"/>
    <n v="297"/>
    <n v="113"/>
    <n v="410"/>
    <n v="39965"/>
    <n v="2.1819999999999999"/>
    <n v="1.026"/>
    <n v="38056"/>
    <n v="2.2909999999999999"/>
    <n v="1.077"/>
    <x v="0"/>
  </r>
  <r>
    <x v="9"/>
    <s v="S12000040"/>
    <n v="1381"/>
    <n v="546"/>
    <n v="1927"/>
    <n v="1141"/>
    <n v="1121"/>
    <n v="2262"/>
    <n v="76473"/>
    <n v="2.52"/>
    <n v="2.9580000000000002"/>
    <n v="74335"/>
    <n v="2.5920000000000001"/>
    <n v="3.0430000000000001"/>
    <x v="0"/>
  </r>
  <r>
    <x v="29"/>
    <s v="S12000035"/>
    <n v="498"/>
    <n v="680"/>
    <n v="1178"/>
    <n v="412"/>
    <n v="414"/>
    <n v="826"/>
    <n v="47500"/>
    <n v="2.48"/>
    <n v="1.7389999999999999"/>
    <n v="40857"/>
    <n v="2.883"/>
    <n v="2.0219999999999998"/>
    <x v="1"/>
  </r>
  <r>
    <x v="11"/>
    <s v="S12000014"/>
    <n v="533"/>
    <n v="1084"/>
    <n v="1617"/>
    <n v="573"/>
    <n v="201"/>
    <n v="774"/>
    <n v="72624"/>
    <n v="2.2269999999999999"/>
    <n v="1.0660000000000001"/>
    <n v="69693"/>
    <n v="2.3199999999999998"/>
    <n v="1.111"/>
    <x v="1"/>
  </r>
  <r>
    <x v="27"/>
    <s v="S12000026"/>
    <n v="1229"/>
    <n v="1194"/>
    <n v="2423"/>
    <n v="844"/>
    <n v="1072"/>
    <n v="1916"/>
    <n v="57274"/>
    <n v="4.2309999999999999"/>
    <n v="3.3449999999999998"/>
    <n v="53157"/>
    <n v="4.5579999999999998"/>
    <n v="3.6040000000000001"/>
    <x v="1"/>
  </r>
  <r>
    <x v="3"/>
    <s v="S12000038"/>
    <n v="794"/>
    <n v="944"/>
    <n v="1738"/>
    <n v="865"/>
    <n v="399"/>
    <n v="1264"/>
    <n v="84997"/>
    <n v="2.0449999999999999"/>
    <n v="1.4870000000000001"/>
    <n v="83245"/>
    <n v="2.0880000000000001"/>
    <n v="1.518"/>
    <x v="2"/>
  </r>
  <r>
    <x v="7"/>
    <s v="S12000030"/>
    <n v="358"/>
    <n v="653"/>
    <n v="1011"/>
    <n v="384"/>
    <n v="181"/>
    <n v="565"/>
    <n v="40646"/>
    <n v="2.4870000000000001"/>
    <n v="1.3900000000000001"/>
    <n v="38665"/>
    <n v="2.6150000000000002"/>
    <n v="1.4610000000000001"/>
    <x v="2"/>
  </r>
  <r>
    <x v="14"/>
    <s v="S12000039"/>
    <n v="470"/>
    <n v="934"/>
    <n v="1404"/>
    <n v="586"/>
    <n v="154"/>
    <n v="740"/>
    <n v="45056"/>
    <n v="3.1160000000000001"/>
    <n v="1.6419999999999999"/>
    <n v="42571"/>
    <n v="3.298"/>
    <n v="1.738"/>
    <x v="2"/>
  </r>
  <r>
    <x v="0"/>
    <s v="S12000015"/>
    <n v="3392"/>
    <n v="3061"/>
    <n v="6453"/>
    <n v="3462"/>
    <n v="1853"/>
    <n v="5315"/>
    <n v="174528"/>
    <n v="3.6970000000000001"/>
    <n v="3.0449999999999999"/>
    <n v="165833"/>
    <n v="3.891"/>
    <n v="3.2050000000000001"/>
    <x v="3"/>
  </r>
  <r>
    <x v="9"/>
    <s v="S12000040"/>
    <n v="972"/>
    <n v="766"/>
    <n v="1738"/>
    <n v="837"/>
    <n v="665"/>
    <n v="1502"/>
    <n v="78604"/>
    <n v="2.2109999999999999"/>
    <n v="1.911"/>
    <n v="76630"/>
    <n v="2.2679999999999998"/>
    <n v="1.96"/>
    <x v="3"/>
  </r>
  <r>
    <x v="20"/>
    <s v="S12000005"/>
    <n v="205"/>
    <n v="360"/>
    <n v="565"/>
    <n v="233"/>
    <n v="85"/>
    <n v="318"/>
    <n v="24377"/>
    <n v="2.3180000000000001"/>
    <n v="1.3049999999999999"/>
    <n v="23563"/>
    <n v="2.3980000000000001"/>
    <n v="1.35"/>
    <x v="4"/>
  </r>
  <r>
    <x v="4"/>
    <s v="S12000042"/>
    <n v="661"/>
    <n v="2303"/>
    <n v="2964"/>
    <n v="624"/>
    <n v="289"/>
    <n v="913"/>
    <n v="74354"/>
    <n v="3.9859999999999998"/>
    <n v="1.228"/>
    <n v="70049"/>
    <n v="4.2309999999999999"/>
    <n v="1.3029999999999999"/>
    <x v="4"/>
  </r>
  <r>
    <x v="23"/>
    <s v="S12000045"/>
    <n v="721"/>
    <n v="684"/>
    <n v="1405"/>
    <n v="764"/>
    <n v="348"/>
    <n v="1112"/>
    <n v="46430"/>
    <n v="3.0259999999999998"/>
    <n v="2.395"/>
    <n v="45690"/>
    <n v="3.0750000000000002"/>
    <n v="2.4340000000000002"/>
    <x v="4"/>
  </r>
  <r>
    <x v="5"/>
    <s v="S12000046"/>
    <n v="2973"/>
    <n v="5059"/>
    <n v="8032"/>
    <n v="3089"/>
    <n v="982"/>
    <n v="4071"/>
    <n v="308293"/>
    <n v="2.605"/>
    <n v="1.32"/>
    <n v="291115"/>
    <n v="2.7589999999999999"/>
    <n v="1.3980000000000001"/>
    <x v="4"/>
  </r>
  <r>
    <x v="1"/>
    <s v="S12000017"/>
    <n v="1288"/>
    <n v="3927"/>
    <n v="5215"/>
    <n v="1385"/>
    <n v="742"/>
    <n v="2127"/>
    <n v="117291"/>
    <n v="4.4459999999999997"/>
    <n v="1.8129999999999999"/>
    <n v="108319"/>
    <n v="4.8140000000000001"/>
    <n v="1.964"/>
    <x v="4"/>
  </r>
  <r>
    <x v="6"/>
    <s v="S12000028"/>
    <n v="543"/>
    <n v="765"/>
    <n v="1308"/>
    <n v="559"/>
    <n v="334"/>
    <n v="893"/>
    <n v="55252"/>
    <n v="2.367"/>
    <n v="1.6160000000000001"/>
    <n v="52104"/>
    <n v="2.5099999999999998"/>
    <n v="1.714"/>
    <x v="4"/>
  </r>
  <r>
    <x v="1"/>
    <s v="S12000017"/>
    <n v="813"/>
    <n v="2969"/>
    <n v="3782"/>
    <n v="818"/>
    <n v="537"/>
    <n v="1355"/>
    <n v="118117"/>
    <n v="3.202"/>
    <n v="1.147"/>
    <n v="108878"/>
    <n v="3.4740000000000002"/>
    <n v="1.2450000000000001"/>
    <x v="5"/>
  </r>
  <r>
    <x v="3"/>
    <s v="S12000038"/>
    <n v="848"/>
    <n v="1039"/>
    <n v="1887"/>
    <n v="803"/>
    <n v="475"/>
    <n v="1278"/>
    <n v="87265"/>
    <n v="2.1619999999999999"/>
    <n v="1.4650000000000001"/>
    <n v="85745"/>
    <n v="2.2010000000000001"/>
    <n v="1.49"/>
    <x v="5"/>
  </r>
  <r>
    <x v="26"/>
    <s v="S12000034"/>
    <n v="699"/>
    <n v="1579"/>
    <n v="2278"/>
    <n v="731"/>
    <n v="413"/>
    <n v="1144"/>
    <n v="119196"/>
    <n v="1.911"/>
    <n v="0.96"/>
    <n v="112114"/>
    <n v="2.032"/>
    <n v="1.02"/>
    <x v="6"/>
  </r>
  <r>
    <x v="29"/>
    <s v="S12000035"/>
    <n v="451"/>
    <n v="1072"/>
    <n v="1523"/>
    <n v="389"/>
    <n v="332"/>
    <n v="721"/>
    <n v="48134"/>
    <n v="3.1640000000000001"/>
    <n v="1.498"/>
    <n v="41789"/>
    <n v="3.6440000000000001"/>
    <n v="1.7250000000000001"/>
    <x v="6"/>
  </r>
  <r>
    <x v="23"/>
    <s v="S12000045"/>
    <n v="656"/>
    <n v="662"/>
    <n v="1318"/>
    <n v="758"/>
    <n v="299"/>
    <n v="1057"/>
    <n v="46986"/>
    <n v="2.8050000000000002"/>
    <n v="2.25"/>
    <n v="46228"/>
    <n v="2.851"/>
    <n v="2.286"/>
    <x v="6"/>
  </r>
  <r>
    <x v="17"/>
    <s v="S12000018"/>
    <n v="631"/>
    <n v="773"/>
    <n v="1404"/>
    <n v="603"/>
    <n v="338"/>
    <n v="941"/>
    <n v="38977"/>
    <n v="3.6019999999999999"/>
    <n v="2.4140000000000001"/>
    <n v="37614"/>
    <n v="3.7330000000000001"/>
    <n v="2.5019999999999998"/>
    <x v="6"/>
  </r>
  <r>
    <x v="25"/>
    <s v="S12000044"/>
    <n v="1328"/>
    <n v="2916"/>
    <n v="4244"/>
    <n v="1742"/>
    <n v="411"/>
    <n v="2153"/>
    <n v="156694"/>
    <n v="2.7080000000000002"/>
    <n v="1.3740000000000001"/>
    <n v="152443"/>
    <n v="2.7839999999999998"/>
    <n v="1.4119999999999999"/>
    <x v="6"/>
  </r>
  <r>
    <x v="20"/>
    <s v="S12000005"/>
    <n v="63"/>
    <n v="108"/>
    <n v="171"/>
    <n v="94"/>
    <n v="28"/>
    <n v="122"/>
    <n v="24838"/>
    <n v="0.68799999999999994"/>
    <n v="0.49099999999999999"/>
    <n v="24066"/>
    <n v="0.71099999999999997"/>
    <n v="0.50700000000000001"/>
    <x v="7"/>
  </r>
  <r>
    <x v="2"/>
    <s v="S12000021"/>
    <n v="230"/>
    <n v="322"/>
    <n v="552"/>
    <n v="255"/>
    <n v="150"/>
    <n v="405"/>
    <n v="68843"/>
    <n v="0.80200000000000005"/>
    <n v="0.58799999999999997"/>
    <n v="64415"/>
    <n v="0.85699999999999998"/>
    <n v="0.629"/>
    <x v="7"/>
  </r>
  <r>
    <x v="16"/>
    <s v="S12000041"/>
    <n v="829"/>
    <n v="2850"/>
    <n v="3679"/>
    <n v="723"/>
    <n v="504"/>
    <n v="1227"/>
    <n v="54872"/>
    <n v="6.7050000000000001"/>
    <n v="2.2359999999999998"/>
    <n v="52413"/>
    <n v="7.0190000000000001"/>
    <n v="2.3410000000000002"/>
    <x v="0"/>
  </r>
  <r>
    <x v="13"/>
    <s v="S12000024"/>
    <n v="922"/>
    <n v="3441"/>
    <n v="4363"/>
    <n v="890"/>
    <n v="524"/>
    <n v="1414"/>
    <n v="69923"/>
    <n v="6.24"/>
    <n v="2.0219999999999998"/>
    <n v="65616"/>
    <n v="6.649"/>
    <n v="2.1549999999999998"/>
    <x v="0"/>
  </r>
  <r>
    <x v="27"/>
    <s v="S12000026"/>
    <n v="1252"/>
    <n v="1347"/>
    <n v="2599"/>
    <n v="948"/>
    <n v="1046"/>
    <n v="1994"/>
    <n v="57097"/>
    <n v="4.5519999999999996"/>
    <n v="3.492"/>
    <n v="52934"/>
    <n v="4.91"/>
    <n v="3.7669999999999999"/>
    <x v="0"/>
  </r>
  <r>
    <x v="23"/>
    <s v="S12000045"/>
    <n v="562"/>
    <n v="539"/>
    <n v="1101"/>
    <n v="734"/>
    <n v="214"/>
    <n v="948"/>
    <n v="45281"/>
    <n v="2.431"/>
    <n v="2.0939999999999999"/>
    <n v="44504"/>
    <n v="2.4740000000000002"/>
    <n v="2.13"/>
    <x v="1"/>
  </r>
  <r>
    <x v="24"/>
    <s v="S12000020"/>
    <n v="372"/>
    <n v="356"/>
    <n v="728"/>
    <n v="336"/>
    <n v="293"/>
    <n v="629"/>
    <n v="43788"/>
    <n v="1.663"/>
    <n v="1.4359999999999999"/>
    <n v="41288"/>
    <n v="1.7629999999999999"/>
    <n v="1.5230000000000001"/>
    <x v="1"/>
  </r>
  <r>
    <x v="29"/>
    <s v="S12000035"/>
    <n v="667"/>
    <n v="980"/>
    <n v="1647"/>
    <n v="562"/>
    <n v="512"/>
    <n v="1074"/>
    <n v="47712"/>
    <n v="3.452"/>
    <n v="2.2509999999999999"/>
    <n v="40938"/>
    <n v="4.0229999999999997"/>
    <n v="2.6230000000000002"/>
    <x v="2"/>
  </r>
  <r>
    <x v="4"/>
    <s v="S12000042"/>
    <n v="849"/>
    <n v="3502"/>
    <n v="4351"/>
    <n v="818"/>
    <n v="370"/>
    <n v="1188"/>
    <n v="73689"/>
    <n v="5.9050000000000002"/>
    <n v="1.6120000000000001"/>
    <n v="69534"/>
    <n v="6.2569999999999997"/>
    <n v="1.7090000000000001"/>
    <x v="2"/>
  </r>
  <r>
    <x v="2"/>
    <s v="S12000021"/>
    <n v="932"/>
    <n v="1137"/>
    <n v="2069"/>
    <n v="954"/>
    <n v="531"/>
    <n v="1485"/>
    <n v="67590"/>
    <n v="3.0609999999999999"/>
    <n v="2.1970000000000001"/>
    <n v="63189"/>
    <n v="3.274"/>
    <n v="2.35"/>
    <x v="2"/>
  </r>
  <r>
    <x v="18"/>
    <s v="S12000027"/>
    <n v="100"/>
    <n v="177"/>
    <n v="277"/>
    <n v="101"/>
    <n v="94"/>
    <n v="195"/>
    <n v="11021"/>
    <n v="2.5129999999999999"/>
    <n v="1.7690000000000001"/>
    <n v="10235"/>
    <n v="2.706"/>
    <n v="1.905"/>
    <x v="2"/>
  </r>
  <r>
    <x v="15"/>
    <s v="S12000033"/>
    <n v="466"/>
    <n v="1427"/>
    <n v="1893"/>
    <n v="374"/>
    <n v="299"/>
    <n v="673"/>
    <n v="115080"/>
    <n v="1.645"/>
    <n v="0.58499999999999996"/>
    <n v="106749"/>
    <n v="1.7730000000000001"/>
    <n v="0.63"/>
    <x v="3"/>
  </r>
  <r>
    <x v="26"/>
    <s v="S12000034"/>
    <n v="739"/>
    <n v="1595"/>
    <n v="2334"/>
    <n v="712"/>
    <n v="510"/>
    <n v="1222"/>
    <n v="116421"/>
    <n v="2.0049999999999999"/>
    <n v="1.05"/>
    <n v="110296"/>
    <n v="2.1160000000000001"/>
    <n v="1.1080000000000001"/>
    <x v="3"/>
  </r>
  <r>
    <x v="20"/>
    <s v="S12000005"/>
    <n v="270"/>
    <n v="361"/>
    <n v="631"/>
    <n v="281"/>
    <n v="120"/>
    <n v="401"/>
    <n v="24221"/>
    <n v="2.605"/>
    <n v="1.6560000000000001"/>
    <n v="23401"/>
    <n v="2.6959999999999997"/>
    <n v="1.714"/>
    <x v="3"/>
  </r>
  <r>
    <x v="23"/>
    <s v="S12000045"/>
    <n v="720"/>
    <n v="659"/>
    <n v="1379"/>
    <n v="857"/>
    <n v="291"/>
    <n v="1148"/>
    <n v="46026"/>
    <n v="2.996"/>
    <n v="2.4939999999999998"/>
    <n v="45350"/>
    <n v="3.0409999999999999"/>
    <n v="2.5310000000000001"/>
    <x v="3"/>
  </r>
  <r>
    <x v="25"/>
    <s v="S12000044"/>
    <n v="1400"/>
    <n v="2084"/>
    <n v="3484"/>
    <n v="1722"/>
    <n v="548"/>
    <n v="2270"/>
    <n v="153388"/>
    <n v="2.2709999999999999"/>
    <n v="1.48"/>
    <n v="150364"/>
    <n v="2.3170000000000002"/>
    <n v="1.51"/>
    <x v="3"/>
  </r>
  <r>
    <x v="18"/>
    <s v="S12000027"/>
    <n v="86"/>
    <n v="283"/>
    <n v="369"/>
    <n v="90"/>
    <n v="70"/>
    <n v="160"/>
    <n v="11109"/>
    <n v="3.3220000000000001"/>
    <n v="1.44"/>
    <n v="10283"/>
    <n v="3.5880000000000001"/>
    <n v="1.556"/>
    <x v="3"/>
  </r>
  <r>
    <x v="19"/>
    <s v="S12000029"/>
    <n v="1304"/>
    <n v="2091"/>
    <n v="3395"/>
    <n v="1516"/>
    <n v="593"/>
    <n v="2109"/>
    <n v="148771"/>
    <n v="2.282"/>
    <n v="1.4179999999999999"/>
    <n v="144148"/>
    <n v="2.355"/>
    <n v="1.4630000000000001"/>
    <x v="3"/>
  </r>
  <r>
    <x v="29"/>
    <s v="S12000035"/>
    <n v="650"/>
    <n v="1030"/>
    <n v="1680"/>
    <n v="503"/>
    <n v="462"/>
    <n v="965"/>
    <n v="47884"/>
    <n v="3.508"/>
    <n v="2.0150000000000001"/>
    <n v="41455"/>
    <n v="4.0529999999999999"/>
    <n v="2.3279999999999998"/>
    <x v="4"/>
  </r>
  <r>
    <x v="2"/>
    <s v="S12000021"/>
    <n v="805"/>
    <n v="932"/>
    <n v="1737"/>
    <n v="822"/>
    <n v="457"/>
    <n v="1279"/>
    <n v="67960"/>
    <n v="2.556"/>
    <n v="1.8820000000000001"/>
    <n v="63756"/>
    <n v="2.7240000000000002"/>
    <n v="2.0059999999999998"/>
    <x v="4"/>
  </r>
  <r>
    <x v="7"/>
    <s v="S12000030"/>
    <n v="335"/>
    <n v="625"/>
    <n v="960"/>
    <n v="315"/>
    <n v="213"/>
    <n v="528"/>
    <n v="41250"/>
    <n v="2.327"/>
    <n v="1.28"/>
    <n v="39285"/>
    <n v="2.444"/>
    <n v="1.3439999999999999"/>
    <x v="4"/>
  </r>
  <r>
    <x v="29"/>
    <s v="S12000035"/>
    <n v="531"/>
    <n v="939"/>
    <n v="1470"/>
    <n v="480"/>
    <n v="351"/>
    <n v="831"/>
    <n v="48020"/>
    <n v="3.0609999999999999"/>
    <n v="1.7309999999999999"/>
    <n v="41630"/>
    <n v="3.5310000000000001"/>
    <n v="1.996"/>
    <x v="5"/>
  </r>
  <r>
    <x v="21"/>
    <s v="S12000036"/>
    <n v="1893"/>
    <n v="2567"/>
    <n v="4460"/>
    <n v="1882"/>
    <n v="776"/>
    <n v="2658"/>
    <n v="249810"/>
    <n v="1.7850000000000001"/>
    <n v="1.0640000000000001"/>
    <n v="235771"/>
    <n v="1.8919999999999999"/>
    <n v="1.127"/>
    <x v="5"/>
  </r>
  <r>
    <x v="31"/>
    <s v="S12000013"/>
    <n v="112"/>
    <n v="274"/>
    <n v="386"/>
    <n v="132"/>
    <n v="29"/>
    <n v="161"/>
    <n v="14706"/>
    <n v="2.625"/>
    <n v="1.095"/>
    <n v="12773"/>
    <n v="3.0219999999999998"/>
    <n v="1.26"/>
    <x v="5"/>
  </r>
  <r>
    <x v="18"/>
    <s v="S12000027"/>
    <n v="87"/>
    <n v="209"/>
    <n v="296"/>
    <n v="85"/>
    <n v="74"/>
    <n v="159"/>
    <n v="11270"/>
    <n v="2.6259999999999999"/>
    <n v="1.411"/>
    <n v="10384"/>
    <n v="2.851"/>
    <n v="1.5310000000000001"/>
    <x v="5"/>
  </r>
  <r>
    <x v="16"/>
    <s v="S12000041"/>
    <n v="440"/>
    <n v="1358"/>
    <n v="1798"/>
    <n v="474"/>
    <n v="203"/>
    <n v="677"/>
    <n v="56928"/>
    <n v="3.1579999999999999"/>
    <n v="1.1890000000000001"/>
    <n v="54221"/>
    <n v="3.3159999999999998"/>
    <n v="1.2490000000000001"/>
    <x v="6"/>
  </r>
  <r>
    <x v="18"/>
    <s v="S12000027"/>
    <n v="156"/>
    <n v="407"/>
    <n v="563"/>
    <n v="141"/>
    <n v="112"/>
    <n v="253"/>
    <n v="11305"/>
    <n v="4.9800000000000004"/>
    <n v="2.238"/>
    <n v="10439"/>
    <n v="5.3929999999999998"/>
    <n v="2.4239999999999999"/>
    <x v="6"/>
  </r>
  <r>
    <x v="14"/>
    <s v="S12000039"/>
    <n v="468"/>
    <n v="931"/>
    <n v="1399"/>
    <n v="550"/>
    <n v="172"/>
    <n v="722"/>
    <n v="45357"/>
    <n v="3.0840000000000001"/>
    <n v="1.5920000000000001"/>
    <n v="43030"/>
    <n v="3.2509999999999999"/>
    <n v="1.6779999999999999"/>
    <x v="6"/>
  </r>
  <r>
    <x v="15"/>
    <s v="S12000033"/>
    <n v="130"/>
    <n v="411"/>
    <n v="541"/>
    <n v="135"/>
    <n v="54"/>
    <n v="189"/>
    <n v="120980"/>
    <n v="0.44700000000000001"/>
    <n v="0.156"/>
    <n v="108893"/>
    <n v="0.497"/>
    <n v="0.17399999999999999"/>
    <x v="7"/>
  </r>
  <r>
    <x v="27"/>
    <s v="S12000026"/>
    <n v="268"/>
    <n v="381"/>
    <n v="649"/>
    <n v="253"/>
    <n v="195"/>
    <n v="448"/>
    <n v="58814"/>
    <n v="1.103"/>
    <n v="0.76200000000000001"/>
    <n v="54796"/>
    <n v="1.1839999999999999"/>
    <n v="0.81799999999999995"/>
    <x v="7"/>
  </r>
  <r>
    <x v="14"/>
    <s v="S12000039"/>
    <n v="221"/>
    <n v="356"/>
    <n v="577"/>
    <n v="269"/>
    <n v="66"/>
    <n v="335"/>
    <n v="45148"/>
    <n v="1.278"/>
    <n v="0.74199999999999999"/>
    <n v="43164"/>
    <n v="1.337"/>
    <n v="0.77600000000000002"/>
    <x v="7"/>
  </r>
  <r>
    <x v="1"/>
    <s v="S12000017"/>
    <n v="164"/>
    <n v="632"/>
    <n v="796"/>
    <n v="167"/>
    <n v="167"/>
    <n v="334"/>
    <n v="119918"/>
    <n v="0.66400000000000003"/>
    <n v="0.27900000000000003"/>
    <n v="110084"/>
    <n v="0.72299999999999998"/>
    <n v="0.30299999999999999"/>
    <x v="7"/>
  </r>
  <r>
    <x v="6"/>
    <s v="S12000028"/>
    <n v="131"/>
    <n v="270"/>
    <n v="401"/>
    <n v="197"/>
    <n v="56"/>
    <n v="253"/>
    <n v="55793"/>
    <n v="0.71899999999999997"/>
    <n v="0.45300000000000001"/>
    <n v="52571"/>
    <n v="0.76300000000000001"/>
    <n v="0.48099999999999998"/>
    <x v="7"/>
  </r>
  <r>
    <x v="15"/>
    <s v="S12000033"/>
    <n v="492"/>
    <n v="1898"/>
    <n v="2390"/>
    <n v="419"/>
    <n v="245"/>
    <n v="664"/>
    <n v="112713"/>
    <n v="2.12"/>
    <n v="0.58899999999999997"/>
    <n v="105047"/>
    <n v="2.2749999999999999"/>
    <n v="0.63200000000000001"/>
    <x v="0"/>
  </r>
  <r>
    <x v="26"/>
    <s v="S12000034"/>
    <n v="567"/>
    <n v="789"/>
    <n v="1356"/>
    <n v="497"/>
    <n v="391"/>
    <n v="888"/>
    <n v="112867"/>
    <n v="1.2010000000000001"/>
    <n v="0.78700000000000003"/>
    <n v="107128"/>
    <n v="1.266"/>
    <n v="0.82899999999999996"/>
    <x v="0"/>
  </r>
  <r>
    <x v="20"/>
    <s v="S12000005"/>
    <n v="354"/>
    <n v="518"/>
    <n v="872"/>
    <n v="391"/>
    <n v="151"/>
    <n v="542"/>
    <n v="23894"/>
    <n v="3.649"/>
    <n v="2.2679999999999998"/>
    <n v="22978"/>
    <n v="3.7949999999999999"/>
    <n v="2.359"/>
    <x v="0"/>
  </r>
  <r>
    <x v="31"/>
    <s v="S12000013"/>
    <n v="93"/>
    <n v="199"/>
    <n v="292"/>
    <n v="116"/>
    <n v="30"/>
    <n v="146"/>
    <n v="14520"/>
    <n v="2.0110000000000001"/>
    <n v="1.006"/>
    <n v="12920"/>
    <n v="2.2599999999999998"/>
    <n v="1.1299999999999999"/>
    <x v="1"/>
  </r>
  <r>
    <x v="3"/>
    <s v="S12000038"/>
    <n v="884"/>
    <n v="1268"/>
    <n v="2152"/>
    <n v="1019"/>
    <n v="425"/>
    <n v="1444"/>
    <n v="84442"/>
    <n v="2.548"/>
    <n v="1.71"/>
    <n v="82385"/>
    <n v="2.6120000000000001"/>
    <n v="1.7530000000000001"/>
    <x v="1"/>
  </r>
  <r>
    <x v="15"/>
    <s v="S12000033"/>
    <n v="572"/>
    <n v="2074"/>
    <n v="2646"/>
    <n v="538"/>
    <n v="281"/>
    <n v="819"/>
    <n v="114234"/>
    <n v="2.3159999999999998"/>
    <n v="0.71699999999999997"/>
    <n v="105311"/>
    <n v="2.5129999999999999"/>
    <n v="0.77800000000000002"/>
    <x v="2"/>
  </r>
  <r>
    <x v="24"/>
    <s v="S12000020"/>
    <n v="426"/>
    <n v="479"/>
    <n v="905"/>
    <n v="383"/>
    <n v="384"/>
    <n v="767"/>
    <n v="44096"/>
    <n v="2.052"/>
    <n v="1.7389999999999999"/>
    <n v="41641"/>
    <n v="2.173"/>
    <n v="1.8420000000000001"/>
    <x v="2"/>
  </r>
  <r>
    <x v="13"/>
    <s v="S12000024"/>
    <n v="443"/>
    <n v="1554"/>
    <n v="1997"/>
    <n v="437"/>
    <n v="234"/>
    <n v="671"/>
    <n v="70828"/>
    <n v="2.82"/>
    <n v="0.94699999999999995"/>
    <n v="66545"/>
    <n v="3.0009999999999999"/>
    <n v="1.008"/>
    <x v="2"/>
  </r>
  <r>
    <x v="5"/>
    <s v="S12000046"/>
    <n v="2485"/>
    <n v="3499"/>
    <n v="5984"/>
    <n v="2530"/>
    <n v="949"/>
    <n v="3479"/>
    <n v="306000"/>
    <n v="1.956"/>
    <n v="1.137"/>
    <n v="289399"/>
    <n v="2.0680000000000001"/>
    <n v="1.202"/>
    <x v="3"/>
  </r>
  <r>
    <x v="24"/>
    <s v="S12000020"/>
    <n v="768"/>
    <n v="1016"/>
    <n v="1784"/>
    <n v="709"/>
    <n v="647"/>
    <n v="1356"/>
    <n v="44454"/>
    <n v="4.0129999999999999"/>
    <n v="3.05"/>
    <n v="41961"/>
    <n v="4.2519999999999998"/>
    <n v="3.2320000000000002"/>
    <x v="3"/>
  </r>
  <r>
    <x v="2"/>
    <s v="S12000021"/>
    <n v="905"/>
    <n v="1053"/>
    <n v="1958"/>
    <n v="831"/>
    <n v="575"/>
    <n v="1406"/>
    <n v="67800"/>
    <n v="2.8879999999999999"/>
    <n v="2.0739999999999998"/>
    <n v="63440"/>
    <n v="3.0859999999999999"/>
    <n v="2.2160000000000002"/>
    <x v="3"/>
  </r>
  <r>
    <x v="26"/>
    <s v="S12000034"/>
    <n v="735"/>
    <n v="1405"/>
    <n v="2140"/>
    <n v="828"/>
    <n v="451"/>
    <n v="1279"/>
    <n v="117363"/>
    <n v="1.823"/>
    <n v="1.0900000000000001"/>
    <n v="110941"/>
    <n v="1.929"/>
    <n v="1.153"/>
    <x v="4"/>
  </r>
  <r>
    <x v="22"/>
    <s v="S12000010"/>
    <n v="540"/>
    <n v="494"/>
    <n v="1034"/>
    <n v="544"/>
    <n v="339"/>
    <n v="883"/>
    <n v="47407"/>
    <n v="2.181"/>
    <n v="1.863"/>
    <n v="45301"/>
    <n v="2.2829999999999999"/>
    <n v="1.9489999999999998"/>
    <x v="4"/>
  </r>
  <r>
    <x v="27"/>
    <s v="S12000026"/>
    <n v="1121"/>
    <n v="1263"/>
    <n v="2384"/>
    <n v="779"/>
    <n v="941"/>
    <n v="1720"/>
    <n v="58167"/>
    <n v="4.0990000000000002"/>
    <n v="2.9569999999999999"/>
    <n v="54306"/>
    <n v="4.3899999999999997"/>
    <n v="3.1669999999999998"/>
    <x v="4"/>
  </r>
  <r>
    <x v="19"/>
    <s v="S12000029"/>
    <n v="1336"/>
    <n v="2180"/>
    <n v="3516"/>
    <n v="1607"/>
    <n v="503"/>
    <n v="2110"/>
    <n v="149972"/>
    <n v="2.3439999999999999"/>
    <n v="1.407"/>
    <n v="145182"/>
    <n v="2.4220000000000002"/>
    <n v="1.4530000000000001"/>
    <x v="4"/>
  </r>
  <r>
    <x v="28"/>
    <s v="S12000006"/>
    <n v="1028"/>
    <n v="721"/>
    <n v="1749"/>
    <n v="1107"/>
    <n v="447"/>
    <n v="1554"/>
    <n v="74823"/>
    <n v="2.3380000000000001"/>
    <n v="2.077"/>
    <n v="69586"/>
    <n v="2.5129999999999999"/>
    <n v="2.2330000000000001"/>
    <x v="5"/>
  </r>
  <r>
    <x v="8"/>
    <s v="S12000011"/>
    <n v="445"/>
    <n v="651"/>
    <n v="1096"/>
    <n v="492"/>
    <n v="194"/>
    <n v="686"/>
    <n v="38902"/>
    <n v="2.8170000000000002"/>
    <n v="1.7629999999999999"/>
    <n v="39108"/>
    <n v="2.802"/>
    <n v="1.754"/>
    <x v="5"/>
  </r>
  <r>
    <x v="17"/>
    <s v="S12000018"/>
    <n v="635"/>
    <n v="894"/>
    <n v="1529"/>
    <n v="575"/>
    <n v="360"/>
    <n v="935"/>
    <n v="38985"/>
    <n v="3.9220000000000002"/>
    <n v="2.3980000000000001"/>
    <n v="37640"/>
    <n v="4.0620000000000003"/>
    <n v="2.484"/>
    <x v="5"/>
  </r>
  <r>
    <x v="12"/>
    <s v="S12000019"/>
    <n v="394"/>
    <n v="606"/>
    <n v="1000"/>
    <n v="353"/>
    <n v="267"/>
    <n v="620"/>
    <n v="40612"/>
    <n v="2.4620000000000002"/>
    <n v="1.5270000000000001"/>
    <n v="39122"/>
    <n v="2.556"/>
    <n v="1.585"/>
    <x v="5"/>
  </r>
  <r>
    <x v="27"/>
    <s v="S12000026"/>
    <n v="920"/>
    <n v="1208"/>
    <n v="2128"/>
    <n v="740"/>
    <n v="673"/>
    <n v="1413"/>
    <n v="58425"/>
    <n v="3.6419999999999999"/>
    <n v="2.4180000000000001"/>
    <n v="54413"/>
    <n v="3.911"/>
    <n v="2.597"/>
    <x v="5"/>
  </r>
  <r>
    <x v="9"/>
    <s v="S12000040"/>
    <n v="851"/>
    <n v="1470"/>
    <n v="2321"/>
    <n v="780"/>
    <n v="506"/>
    <n v="1286"/>
    <n v="79854"/>
    <n v="2.907"/>
    <n v="1.6099999999999999"/>
    <n v="77953"/>
    <n v="2.9769999999999999"/>
    <n v="1.65"/>
    <x v="5"/>
  </r>
  <r>
    <x v="5"/>
    <s v="S12000046"/>
    <n v="2529"/>
    <n v="7410"/>
    <n v="9939"/>
    <n v="2783"/>
    <n v="753"/>
    <n v="3536"/>
    <n v="314604"/>
    <n v="3.1589999999999998"/>
    <n v="1.1240000000000001"/>
    <n v="294622"/>
    <n v="3.3730000000000002"/>
    <n v="1.2"/>
    <x v="6"/>
  </r>
  <r>
    <x v="31"/>
    <s v="S12000013"/>
    <n v="67"/>
    <n v="235"/>
    <n v="302"/>
    <n v="69"/>
    <n v="42"/>
    <n v="111"/>
    <n v="14734"/>
    <n v="2.0499999999999998"/>
    <n v="0.753"/>
    <n v="12833"/>
    <n v="2.3529999999999998"/>
    <n v="0.86499999999999999"/>
    <x v="6"/>
  </r>
  <r>
    <x v="30"/>
    <s v="S12000023"/>
    <n v="122"/>
    <n v="237"/>
    <n v="359"/>
    <n v="127"/>
    <n v="84"/>
    <n v="211"/>
    <n v="11322"/>
    <n v="3.1709999999999998"/>
    <n v="1.8639999999999999"/>
    <n v="10589"/>
    <n v="3.39"/>
    <n v="1.9929999999999999"/>
    <x v="6"/>
  </r>
  <r>
    <x v="6"/>
    <s v="S12000028"/>
    <n v="413"/>
    <n v="588"/>
    <n v="1001"/>
    <n v="525"/>
    <n v="185"/>
    <n v="710"/>
    <n v="55668"/>
    <n v="1.798"/>
    <n v="1.2749999999999999"/>
    <n v="52588"/>
    <n v="1.903"/>
    <n v="1.35"/>
    <x v="6"/>
  </r>
  <r>
    <x v="9"/>
    <s v="S12000040"/>
    <n v="658"/>
    <n v="1193"/>
    <n v="1851"/>
    <n v="631"/>
    <n v="327"/>
    <n v="958"/>
    <n v="80911"/>
    <n v="2.2879999999999998"/>
    <n v="1.1839999999999999"/>
    <n v="78966"/>
    <n v="2.3439999999999999"/>
    <n v="1.2130000000000001"/>
    <x v="6"/>
  </r>
  <r>
    <x v="23"/>
    <s v="S12000045"/>
    <n v="229"/>
    <n v="178"/>
    <n v="407"/>
    <n v="238"/>
    <n v="133"/>
    <n v="371"/>
    <n v="47251"/>
    <n v="0.86099999999999999"/>
    <n v="0.78500000000000003"/>
    <n v="46563"/>
    <n v="0.874"/>
    <n v="0.79700000000000004"/>
    <x v="7"/>
  </r>
  <r>
    <x v="5"/>
    <s v="S12000046"/>
    <n v="771"/>
    <n v="1323"/>
    <n v="2094"/>
    <n v="906"/>
    <n v="243"/>
    <n v="1149"/>
    <n v="317193"/>
    <n v="0.66"/>
    <n v="0.36199999999999999"/>
    <n v="295761"/>
    <n v="0.70799999999999996"/>
    <n v="0.38800000000000001"/>
    <x v="7"/>
  </r>
  <r>
    <x v="31"/>
    <s v="S12000013"/>
    <n v="23"/>
    <n v="34"/>
    <n v="57"/>
    <n v="26"/>
    <n v="12"/>
    <n v="38"/>
    <n v="14764"/>
    <n v="0.38600000000000001"/>
    <n v="0.25700000000000001"/>
    <n v="12849"/>
    <n v="0.44400000000000001"/>
    <n v="0.29599999999999999"/>
    <x v="7"/>
  </r>
  <r>
    <x v="6"/>
    <s v="S12000028"/>
    <n v="601"/>
    <n v="462"/>
    <n v="1063"/>
    <n v="577"/>
    <n v="430"/>
    <n v="1007"/>
    <n v="54385"/>
    <n v="1.9550000000000001"/>
    <n v="1.8519999999999999"/>
    <n v="51654"/>
    <n v="2.0579999999999998"/>
    <n v="1.95"/>
    <x v="0"/>
  </r>
  <r>
    <x v="0"/>
    <s v="S12000015"/>
    <n v="3404"/>
    <n v="3462"/>
    <n v="6866"/>
    <n v="3640"/>
    <n v="1737"/>
    <n v="5377"/>
    <n v="172425"/>
    <n v="3.9820000000000002"/>
    <n v="3.1179999999999999"/>
    <n v="163958"/>
    <n v="4.1879999999999997"/>
    <n v="3.2789999999999999"/>
    <x v="1"/>
  </r>
  <r>
    <x v="12"/>
    <s v="S12000019"/>
    <n v="479"/>
    <n v="491"/>
    <n v="970"/>
    <n v="465"/>
    <n v="272"/>
    <n v="737"/>
    <n v="38159"/>
    <n v="2.5419999999999998"/>
    <n v="1.931"/>
    <n v="36602"/>
    <n v="2.65"/>
    <n v="2.0139999999999998"/>
    <x v="1"/>
  </r>
  <r>
    <x v="2"/>
    <s v="S12000021"/>
    <n v="901"/>
    <n v="964"/>
    <n v="1865"/>
    <n v="932"/>
    <n v="551"/>
    <n v="1483"/>
    <n v="67204"/>
    <n v="2.7749999999999999"/>
    <n v="2.2069999999999999"/>
    <n v="62802"/>
    <n v="2.9699999999999998"/>
    <n v="2.3609999999999998"/>
    <x v="1"/>
  </r>
  <r>
    <x v="30"/>
    <s v="S12000023"/>
    <n v="87"/>
    <n v="161"/>
    <n v="248"/>
    <n v="64"/>
    <n v="81"/>
    <n v="145"/>
    <n v="10816"/>
    <n v="2.2930000000000001"/>
    <n v="1.341"/>
    <n v="10042"/>
    <n v="2.4699999999999998"/>
    <n v="1.444"/>
    <x v="1"/>
  </r>
  <r>
    <x v="19"/>
    <s v="S12000029"/>
    <n v="1155"/>
    <n v="1979"/>
    <n v="3134"/>
    <n v="1410"/>
    <n v="474"/>
    <n v="1884"/>
    <n v="146925"/>
    <n v="2.133"/>
    <n v="1.282"/>
    <n v="142286"/>
    <n v="2.2029999999999998"/>
    <n v="1.3240000000000001"/>
    <x v="1"/>
  </r>
  <r>
    <x v="20"/>
    <s v="S12000005"/>
    <n v="243"/>
    <n v="382"/>
    <n v="625"/>
    <n v="229"/>
    <n v="130"/>
    <n v="359"/>
    <n v="24114"/>
    <n v="2.5920000000000001"/>
    <n v="1.4889999999999999"/>
    <n v="23333"/>
    <n v="2.6790000000000003"/>
    <n v="1.5390000000000001"/>
    <x v="2"/>
  </r>
  <r>
    <x v="22"/>
    <s v="S12000010"/>
    <n v="716"/>
    <n v="704"/>
    <n v="1420"/>
    <n v="715"/>
    <n v="505"/>
    <n v="1220"/>
    <n v="46332"/>
    <n v="3.0649999999999999"/>
    <n v="2.633"/>
    <n v="44384"/>
    <n v="3.1989999999999998"/>
    <n v="2.7490000000000001"/>
    <x v="2"/>
  </r>
  <r>
    <x v="11"/>
    <s v="S12000014"/>
    <n v="552"/>
    <n v="1153"/>
    <n v="1705"/>
    <n v="631"/>
    <n v="207"/>
    <n v="838"/>
    <n v="73290"/>
    <n v="2.3260000000000001"/>
    <n v="1.143"/>
    <n v="70431"/>
    <n v="2.4209999999999998"/>
    <n v="1.19"/>
    <x v="2"/>
  </r>
  <r>
    <x v="17"/>
    <s v="S12000018"/>
    <n v="758"/>
    <n v="936"/>
    <n v="1694"/>
    <n v="685"/>
    <n v="396"/>
    <n v="1081"/>
    <n v="38787"/>
    <n v="4.367"/>
    <n v="2.7869999999999999"/>
    <n v="37426"/>
    <n v="4.5259999999999998"/>
    <n v="2.8879999999999999"/>
    <x v="2"/>
  </r>
  <r>
    <x v="12"/>
    <s v="S12000019"/>
    <n v="574"/>
    <n v="527"/>
    <n v="1101"/>
    <n v="474"/>
    <n v="435"/>
    <n v="909"/>
    <n v="38675"/>
    <n v="2.847"/>
    <n v="2.35"/>
    <n v="37069"/>
    <n v="2.9699999999999998"/>
    <n v="2.452"/>
    <x v="2"/>
  </r>
  <r>
    <x v="31"/>
    <s v="S12000013"/>
    <n v="114"/>
    <n v="205"/>
    <n v="319"/>
    <n v="144"/>
    <n v="41"/>
    <n v="185"/>
    <n v="14577"/>
    <n v="2.1880000000000002"/>
    <n v="1.2690000000000001"/>
    <n v="12968"/>
    <n v="2.46"/>
    <n v="1.427"/>
    <x v="2"/>
  </r>
  <r>
    <x v="30"/>
    <s v="S12000023"/>
    <n v="134"/>
    <n v="192"/>
    <n v="326"/>
    <n v="109"/>
    <n v="92"/>
    <n v="201"/>
    <n v="10924"/>
    <n v="2.984"/>
    <n v="1.8399999999999999"/>
    <n v="10146"/>
    <n v="3.2130000000000001"/>
    <n v="1.9809999999999999"/>
    <x v="2"/>
  </r>
  <r>
    <x v="19"/>
    <s v="S12000029"/>
    <n v="1189"/>
    <n v="2143"/>
    <n v="3332"/>
    <n v="1396"/>
    <n v="511"/>
    <n v="1907"/>
    <n v="147849"/>
    <n v="2.254"/>
    <n v="1.29"/>
    <n v="143313"/>
    <n v="2.3250000000000002"/>
    <n v="1.331"/>
    <x v="2"/>
  </r>
  <r>
    <x v="1"/>
    <s v="S12000017"/>
    <n v="1215"/>
    <n v="3439"/>
    <n v="4654"/>
    <n v="1204"/>
    <n v="702"/>
    <n v="1906"/>
    <n v="116453"/>
    <n v="3.996"/>
    <n v="1.637"/>
    <n v="107573"/>
    <n v="4.3259999999999996"/>
    <n v="1.772"/>
    <x v="3"/>
  </r>
  <r>
    <x v="31"/>
    <s v="S12000013"/>
    <n v="94"/>
    <n v="249"/>
    <n v="343"/>
    <n v="95"/>
    <n v="46"/>
    <n v="141"/>
    <n v="14599"/>
    <n v="2.3490000000000002"/>
    <n v="0.96599999999999997"/>
    <n v="12951"/>
    <n v="2.6480000000000001"/>
    <n v="1.089"/>
    <x v="3"/>
  </r>
  <r>
    <x v="6"/>
    <s v="S12000028"/>
    <n v="691"/>
    <n v="784"/>
    <n v="1475"/>
    <n v="697"/>
    <n v="405"/>
    <n v="1102"/>
    <n v="54942"/>
    <n v="2.6850000000000001"/>
    <n v="2.0059999999999998"/>
    <n v="51923"/>
    <n v="2.8410000000000002"/>
    <n v="2.1219999999999999"/>
    <x v="3"/>
  </r>
  <r>
    <x v="10"/>
    <s v="S12000008"/>
    <n v="485"/>
    <n v="664"/>
    <n v="1149"/>
    <n v="538"/>
    <n v="276"/>
    <n v="814"/>
    <n v="58158"/>
    <n v="1.976"/>
    <n v="1.4"/>
    <n v="54873"/>
    <n v="2.0939999999999999"/>
    <n v="1.4830000000000001"/>
    <x v="4"/>
  </r>
  <r>
    <x v="11"/>
    <s v="S12000014"/>
    <n v="512"/>
    <n v="1083"/>
    <n v="1595"/>
    <n v="530"/>
    <n v="280"/>
    <n v="810"/>
    <n v="74361"/>
    <n v="2.145"/>
    <n v="1.089"/>
    <n v="71800"/>
    <n v="2.2210000000000001"/>
    <n v="1.1280000000000001"/>
    <x v="4"/>
  </r>
  <r>
    <x v="25"/>
    <s v="S12000044"/>
    <n v="1327"/>
    <n v="1990"/>
    <n v="3317"/>
    <n v="1744"/>
    <n v="446"/>
    <n v="2190"/>
    <n v="154286"/>
    <n v="2.15"/>
    <n v="1.419"/>
    <n v="151155"/>
    <n v="2.194"/>
    <n v="1.4490000000000001"/>
    <x v="4"/>
  </r>
  <r>
    <x v="3"/>
    <s v="S12000038"/>
    <n v="1137"/>
    <n v="1411"/>
    <n v="2548"/>
    <n v="1077"/>
    <n v="656"/>
    <n v="1733"/>
    <n v="86449"/>
    <n v="2.9470000000000001"/>
    <n v="2.0049999999999999"/>
    <n v="84938"/>
    <n v="3"/>
    <n v="2.04"/>
    <x v="4"/>
  </r>
  <r>
    <x v="14"/>
    <s v="S12000039"/>
    <n v="654"/>
    <n v="1023"/>
    <n v="1677"/>
    <n v="714"/>
    <n v="285"/>
    <n v="999"/>
    <n v="45093"/>
    <n v="3.7189999999999999"/>
    <n v="2.2149999999999999"/>
    <n v="42746"/>
    <n v="3.923"/>
    <n v="2.3370000000000002"/>
    <x v="4"/>
  </r>
  <r>
    <x v="26"/>
    <s v="S12000034"/>
    <n v="564"/>
    <n v="1206"/>
    <n v="1770"/>
    <n v="618"/>
    <n v="336"/>
    <n v="954"/>
    <n v="118197"/>
    <n v="1.4969999999999999"/>
    <n v="0.80700000000000005"/>
    <n v="111156"/>
    <n v="1.5920000000000001"/>
    <n v="0.85799999999999998"/>
    <x v="5"/>
  </r>
  <r>
    <x v="4"/>
    <s v="S12000042"/>
    <n v="692"/>
    <n v="2702"/>
    <n v="3394"/>
    <n v="680"/>
    <n v="318"/>
    <n v="998"/>
    <n v="74531"/>
    <n v="4.5540000000000003"/>
    <n v="1.339"/>
    <n v="70337"/>
    <n v="4.8250000000000002"/>
    <n v="1.419"/>
    <x v="5"/>
  </r>
  <r>
    <x v="2"/>
    <s v="S12000021"/>
    <n v="701"/>
    <n v="879"/>
    <n v="1580"/>
    <n v="725"/>
    <n v="449"/>
    <n v="1174"/>
    <n v="68158"/>
    <n v="2.3180000000000001"/>
    <n v="1.722"/>
    <n v="63935"/>
    <n v="2.4710000000000001"/>
    <n v="1.8359999999999999"/>
    <x v="5"/>
  </r>
  <r>
    <x v="7"/>
    <s v="S12000030"/>
    <n v="323"/>
    <n v="611"/>
    <n v="934"/>
    <n v="329"/>
    <n v="182"/>
    <n v="511"/>
    <n v="41443"/>
    <n v="2.254"/>
    <n v="1.2330000000000001"/>
    <n v="39440"/>
    <n v="2.3679999999999999"/>
    <n v="1.296"/>
    <x v="5"/>
  </r>
  <r>
    <x v="21"/>
    <s v="S12000036"/>
    <n v="1502"/>
    <n v="3441"/>
    <n v="4943"/>
    <n v="1592"/>
    <n v="578"/>
    <n v="2170"/>
    <n v="252731"/>
    <n v="1.956"/>
    <n v="0.85899999999999999"/>
    <n v="238269"/>
    <n v="2.0750000000000002"/>
    <n v="0.91100000000000003"/>
    <x v="6"/>
  </r>
  <r>
    <x v="24"/>
    <s v="S12000020"/>
    <n v="483"/>
    <n v="1205"/>
    <n v="1688"/>
    <n v="500"/>
    <n v="377"/>
    <n v="877"/>
    <n v="45630"/>
    <n v="3.6989999999999998"/>
    <n v="1.9220000000000002"/>
    <n v="42932"/>
    <n v="3.9319999999999999"/>
    <n v="2.0430000000000001"/>
    <x v="6"/>
  </r>
  <r>
    <x v="11"/>
    <s v="S12000014"/>
    <n v="158"/>
    <n v="298"/>
    <n v="456"/>
    <n v="181"/>
    <n v="71"/>
    <n v="252"/>
    <n v="75595"/>
    <n v="0.60299999999999998"/>
    <n v="0.33300000000000002"/>
    <n v="72994"/>
    <n v="0.625"/>
    <n v="0.34499999999999997"/>
    <x v="7"/>
  </r>
  <r>
    <x v="21"/>
    <s v="S12000036"/>
    <n v="2962"/>
    <n v="2362"/>
    <n v="5324"/>
    <n v="2668"/>
    <n v="1393"/>
    <n v="4061"/>
    <n v="237524"/>
    <n v="2.2410000000000001"/>
    <n v="1.71"/>
    <n v="227222"/>
    <n v="2.343"/>
    <n v="1.7869999999999999"/>
    <x v="0"/>
  </r>
  <r>
    <x v="11"/>
    <s v="S12000014"/>
    <n v="552"/>
    <n v="1169"/>
    <n v="1721"/>
    <n v="614"/>
    <n v="186"/>
    <n v="800"/>
    <n v="72128"/>
    <n v="2.3860000000000001"/>
    <n v="1.109"/>
    <n v="69443"/>
    <n v="2.4779999999999998"/>
    <n v="1.1519999999999999"/>
    <x v="0"/>
  </r>
  <r>
    <x v="15"/>
    <s v="S12000033"/>
    <n v="524"/>
    <n v="1951"/>
    <n v="2475"/>
    <n v="469"/>
    <n v="283"/>
    <n v="752"/>
    <n v="113508"/>
    <n v="2.1800000000000002"/>
    <n v="0.66300000000000003"/>
    <n v="105287"/>
    <n v="2.351"/>
    <n v="0.71399999999999997"/>
    <x v="1"/>
  </r>
  <r>
    <x v="26"/>
    <s v="S12000034"/>
    <n v="617"/>
    <n v="831"/>
    <n v="1448"/>
    <n v="609"/>
    <n v="394"/>
    <n v="1003"/>
    <n v="114086"/>
    <n v="1.2690000000000001"/>
    <n v="0.879"/>
    <n v="108381"/>
    <n v="1.3360000000000001"/>
    <n v="0.92500000000000004"/>
    <x v="1"/>
  </r>
  <r>
    <x v="20"/>
    <s v="S12000005"/>
    <n v="273"/>
    <n v="511"/>
    <n v="784"/>
    <n v="314"/>
    <n v="87"/>
    <n v="401"/>
    <n v="23995"/>
    <n v="3.2669999999999999"/>
    <n v="1.671"/>
    <n v="23217"/>
    <n v="3.3769999999999998"/>
    <n v="1.7269999999999999"/>
    <x v="1"/>
  </r>
  <r>
    <x v="28"/>
    <s v="S12000006"/>
    <n v="897"/>
    <n v="629"/>
    <n v="1526"/>
    <n v="765"/>
    <n v="450"/>
    <n v="1215"/>
    <n v="73895"/>
    <n v="2.0649999999999999"/>
    <n v="1.6440000000000001"/>
    <n v="68818"/>
    <n v="2.2170000000000001"/>
    <n v="1.766"/>
    <x v="1"/>
  </r>
  <r>
    <x v="10"/>
    <s v="S12000008"/>
    <n v="467"/>
    <n v="836"/>
    <n v="1303"/>
    <n v="506"/>
    <n v="256"/>
    <n v="762"/>
    <n v="57324"/>
    <n v="2.2730000000000001"/>
    <n v="1.329"/>
    <n v="54401"/>
    <n v="2.395"/>
    <n v="1.401"/>
    <x v="1"/>
  </r>
  <r>
    <x v="17"/>
    <s v="S12000018"/>
    <n v="673"/>
    <n v="631"/>
    <n v="1304"/>
    <n v="636"/>
    <n v="386"/>
    <n v="1022"/>
    <n v="38699"/>
    <n v="3.37"/>
    <n v="2.641"/>
    <n v="37384"/>
    <n v="3.488"/>
    <n v="2.734"/>
    <x v="1"/>
  </r>
  <r>
    <x v="14"/>
    <s v="S12000039"/>
    <n v="402"/>
    <n v="519"/>
    <n v="921"/>
    <n v="471"/>
    <n v="160"/>
    <n v="631"/>
    <n v="44734"/>
    <n v="2.0590000000000002"/>
    <n v="1.411"/>
    <n v="42353"/>
    <n v="2.1749999999999998"/>
    <n v="1.49"/>
    <x v="1"/>
  </r>
  <r>
    <x v="16"/>
    <s v="S12000041"/>
    <n v="485"/>
    <n v="1685"/>
    <n v="2170"/>
    <n v="462"/>
    <n v="262"/>
    <n v="724"/>
    <n v="55619"/>
    <n v="3.9020000000000001"/>
    <n v="1.302"/>
    <n v="53142"/>
    <n v="4.0830000000000002"/>
    <n v="1.3620000000000001"/>
    <x v="2"/>
  </r>
  <r>
    <x v="0"/>
    <s v="S12000015"/>
    <n v="3204"/>
    <n v="3874"/>
    <n v="7078"/>
    <n v="3231"/>
    <n v="1803"/>
    <n v="5034"/>
    <n v="173366"/>
    <n v="4.0830000000000002"/>
    <n v="2.9039999999999999"/>
    <n v="164705"/>
    <n v="4.2969999999999997"/>
    <n v="3.056"/>
    <x v="2"/>
  </r>
  <r>
    <x v="5"/>
    <s v="S12000046"/>
    <n v="2649"/>
    <n v="3737"/>
    <n v="6386"/>
    <n v="2864"/>
    <n v="956"/>
    <n v="3820"/>
    <n v="304013"/>
    <n v="2.101"/>
    <n v="1.2570000000000001"/>
    <n v="287862"/>
    <n v="2.218"/>
    <n v="1.327"/>
    <x v="2"/>
  </r>
  <r>
    <x v="1"/>
    <s v="S12000017"/>
    <n v="1073"/>
    <n v="2605"/>
    <n v="3678"/>
    <n v="1225"/>
    <n v="526"/>
    <n v="1751"/>
    <n v="115538"/>
    <n v="3.1829999999999998"/>
    <n v="1.516"/>
    <n v="106834"/>
    <n v="3.4430000000000001"/>
    <n v="1.639"/>
    <x v="2"/>
  </r>
  <r>
    <x v="21"/>
    <s v="S12000036"/>
    <n v="2671"/>
    <n v="2368"/>
    <n v="5039"/>
    <n v="2446"/>
    <n v="1264"/>
    <n v="3710"/>
    <n v="244131"/>
    <n v="2.0640000000000001"/>
    <n v="1.52"/>
    <n v="231383"/>
    <n v="2.1779999999999999"/>
    <n v="1.603"/>
    <x v="3"/>
  </r>
  <r>
    <x v="8"/>
    <s v="S12000011"/>
    <n v="644"/>
    <n v="916"/>
    <n v="1560"/>
    <n v="686"/>
    <n v="274"/>
    <n v="960"/>
    <n v="38389"/>
    <n v="4.0640000000000001"/>
    <n v="2.5009999999999999"/>
    <n v="38581"/>
    <n v="4.0430000000000001"/>
    <n v="2.488"/>
    <x v="3"/>
  </r>
  <r>
    <x v="30"/>
    <s v="S12000023"/>
    <n v="116"/>
    <n v="272"/>
    <n v="388"/>
    <n v="90"/>
    <n v="90"/>
    <n v="180"/>
    <n v="11063"/>
    <n v="3.5070000000000001"/>
    <n v="1.627"/>
    <n v="10256"/>
    <n v="3.7829999999999999"/>
    <n v="1.7549999999999999"/>
    <x v="3"/>
  </r>
  <r>
    <x v="8"/>
    <s v="S12000011"/>
    <n v="604"/>
    <n v="662"/>
    <n v="1266"/>
    <n v="700"/>
    <n v="194"/>
    <n v="894"/>
    <n v="38677"/>
    <n v="3.2730000000000001"/>
    <n v="2.3109999999999999"/>
    <n v="38899"/>
    <n v="3.2549999999999999"/>
    <n v="2.298"/>
    <x v="4"/>
  </r>
  <r>
    <x v="12"/>
    <s v="S12000019"/>
    <n v="489"/>
    <n v="509"/>
    <n v="998"/>
    <n v="349"/>
    <n v="448"/>
    <n v="797"/>
    <n v="39937"/>
    <n v="2.4990000000000001"/>
    <n v="1.996"/>
    <n v="38557"/>
    <n v="2.5880000000000001"/>
    <n v="2.0670000000000002"/>
    <x v="4"/>
  </r>
  <r>
    <x v="24"/>
    <s v="S12000020"/>
    <n v="609"/>
    <n v="826"/>
    <n v="1435"/>
    <n v="554"/>
    <n v="522"/>
    <n v="1076"/>
    <n v="44838"/>
    <n v="3.2"/>
    <n v="2.4"/>
    <n v="42269"/>
    <n v="3.395"/>
    <n v="2.5460000000000003"/>
    <x v="4"/>
  </r>
  <r>
    <x v="31"/>
    <s v="S12000013"/>
    <n v="125"/>
    <n v="223"/>
    <n v="348"/>
    <n v="171"/>
    <n v="11"/>
    <n v="182"/>
    <n v="14714"/>
    <n v="2.3650000000000002"/>
    <n v="1.2370000000000001"/>
    <n v="12805"/>
    <n v="2.718"/>
    <n v="1.421"/>
    <x v="4"/>
  </r>
  <r>
    <x v="30"/>
    <s v="S12000023"/>
    <n v="126"/>
    <n v="250"/>
    <n v="376"/>
    <n v="88"/>
    <n v="105"/>
    <n v="193"/>
    <n v="11192"/>
    <n v="3.36"/>
    <n v="1.724"/>
    <n v="10385"/>
    <n v="3.621"/>
    <n v="1.8580000000000001"/>
    <x v="4"/>
  </r>
  <r>
    <x v="22"/>
    <s v="S12000010"/>
    <n v="440"/>
    <n v="524"/>
    <n v="964"/>
    <n v="530"/>
    <n v="193"/>
    <n v="723"/>
    <n v="48055"/>
    <n v="2.0059999999999998"/>
    <n v="1.5049999999999999"/>
    <n v="45975"/>
    <n v="2.097"/>
    <n v="1.573"/>
    <x v="5"/>
  </r>
  <r>
    <x v="0"/>
    <s v="S12000015"/>
    <n v="2778"/>
    <n v="3429"/>
    <n v="6207"/>
    <n v="2925"/>
    <n v="1478"/>
    <n v="4403"/>
    <n v="177084"/>
    <n v="3.5049999999999999"/>
    <n v="2.4859999999999998"/>
    <n v="167944"/>
    <n v="3.6959999999999997"/>
    <n v="2.6219999999999999"/>
    <x v="5"/>
  </r>
  <r>
    <x v="30"/>
    <s v="S12000023"/>
    <n v="96"/>
    <n v="194"/>
    <n v="290"/>
    <n v="82"/>
    <n v="85"/>
    <n v="167"/>
    <n v="11261"/>
    <n v="2.5750000000000002"/>
    <n v="1.4830000000000001"/>
    <n v="10506"/>
    <n v="2.76"/>
    <n v="1.5899999999999999"/>
    <x v="5"/>
  </r>
  <r>
    <x v="10"/>
    <s v="S12000008"/>
    <n v="423"/>
    <n v="680"/>
    <n v="1103"/>
    <n v="487"/>
    <n v="216"/>
    <n v="703"/>
    <n v="58628"/>
    <n v="1.881"/>
    <n v="1.1990000000000001"/>
    <n v="55387"/>
    <n v="1.9910000000000001"/>
    <n v="1.2690000000000001"/>
    <x v="6"/>
  </r>
  <r>
    <x v="22"/>
    <s v="S12000010"/>
    <n v="372"/>
    <n v="530"/>
    <n v="902"/>
    <n v="448"/>
    <n v="151"/>
    <n v="599"/>
    <n v="48851"/>
    <n v="1.8460000000000001"/>
    <n v="1.226"/>
    <n v="46771"/>
    <n v="1.929"/>
    <n v="1.2810000000000001"/>
    <x v="6"/>
  </r>
  <r>
    <x v="8"/>
    <s v="S12000011"/>
    <n v="366"/>
    <n v="587"/>
    <n v="953"/>
    <n v="397"/>
    <n v="172"/>
    <n v="569"/>
    <n v="39144"/>
    <n v="2.4350000000000001"/>
    <n v="1.454"/>
    <n v="39345"/>
    <n v="2.4220000000000002"/>
    <n v="1.446"/>
    <x v="6"/>
  </r>
  <r>
    <x v="11"/>
    <s v="S12000014"/>
    <n v="511"/>
    <n v="1174"/>
    <n v="1685"/>
    <n v="590"/>
    <n v="172"/>
    <n v="762"/>
    <n v="75226"/>
    <n v="2.2400000000000002"/>
    <n v="1.0129999999999999"/>
    <n v="72672"/>
    <n v="2.319"/>
    <n v="1.0489999999999999"/>
    <x v="6"/>
  </r>
  <r>
    <x v="12"/>
    <s v="S12000019"/>
    <n v="338"/>
    <n v="669"/>
    <n v="1007"/>
    <n v="303"/>
    <n v="225"/>
    <n v="528"/>
    <n v="41226"/>
    <n v="2.4430000000000001"/>
    <n v="1.2810000000000001"/>
    <n v="39733"/>
    <n v="2.5339999999999998"/>
    <n v="1.329"/>
    <x v="6"/>
  </r>
  <r>
    <x v="13"/>
    <s v="S12000024"/>
    <n v="389"/>
    <n v="1165"/>
    <n v="1554"/>
    <n v="403"/>
    <n v="198"/>
    <n v="601"/>
    <n v="73267"/>
    <n v="2.121"/>
    <n v="0.82"/>
    <n v="69003"/>
    <n v="2.2519999999999998"/>
    <n v="0.871"/>
    <x v="6"/>
  </r>
  <r>
    <x v="4"/>
    <s v="S12000042"/>
    <n v="289"/>
    <n v="641"/>
    <n v="930"/>
    <n v="284"/>
    <n v="166"/>
    <n v="450"/>
    <n v="75027"/>
    <n v="1.24"/>
    <n v="0.6"/>
    <n v="70689"/>
    <n v="1.3160000000000001"/>
    <n v="0.63700000000000001"/>
    <x v="7"/>
  </r>
  <r>
    <x v="12"/>
    <s v="S12000019"/>
    <n v="104"/>
    <n v="201"/>
    <n v="305"/>
    <n v="115"/>
    <n v="58"/>
    <n v="173"/>
    <n v="41657"/>
    <n v="0.73199999999999998"/>
    <n v="0.41499999999999998"/>
    <n v="40137"/>
    <n v="0.76"/>
    <n v="0.43099999999999999"/>
    <x v="7"/>
  </r>
  <r>
    <x v="3"/>
    <s v="S12000038"/>
    <n v="335"/>
    <n v="353"/>
    <n v="688"/>
    <n v="425"/>
    <n v="126"/>
    <n v="551"/>
    <n v="88624"/>
    <n v="0.77600000000000002"/>
    <n v="0.622"/>
    <n v="87241"/>
    <n v="0.78900000000000003"/>
    <n v="0.63200000000000001"/>
    <x v="7"/>
  </r>
  <r>
    <x v="19"/>
    <s v="S12000029"/>
    <n v="580"/>
    <n v="758"/>
    <n v="1338"/>
    <n v="746"/>
    <n v="234"/>
    <n v="980"/>
    <n v="153863"/>
    <n v="0.87"/>
    <n v="0.63700000000000001"/>
    <n v="148483"/>
    <n v="0.90100000000000002"/>
    <n v="0.66"/>
    <x v="7"/>
  </r>
  <r>
    <x v="29"/>
    <s v="S12000035"/>
    <n v="529"/>
    <n v="457"/>
    <n v="986"/>
    <n v="539"/>
    <n v="425"/>
    <n v="964"/>
    <n v="47336"/>
    <n v="2.0830000000000002"/>
    <n v="2.0369999999999999"/>
    <n v="40934"/>
    <n v="2.4089999999999998"/>
    <n v="2.355"/>
    <x v="0"/>
  </r>
  <r>
    <x v="22"/>
    <s v="S12000010"/>
    <n v="649"/>
    <n v="366"/>
    <n v="1015"/>
    <n v="611"/>
    <n v="496"/>
    <n v="1107"/>
    <n v="45613"/>
    <n v="2.2250000000000001"/>
    <n v="2.427"/>
    <n v="43682"/>
    <n v="2.3239999999999998"/>
    <n v="2.5339999999999998"/>
    <x v="0"/>
  </r>
  <r>
    <x v="17"/>
    <s v="S12000018"/>
    <n v="649"/>
    <n v="595"/>
    <n v="1244"/>
    <n v="626"/>
    <n v="354"/>
    <n v="980"/>
    <n v="38791"/>
    <n v="3.2069999999999999"/>
    <n v="2.5259999999999998"/>
    <n v="37337"/>
    <n v="3.3319999999999999"/>
    <n v="2.625"/>
    <x v="0"/>
  </r>
  <r>
    <x v="31"/>
    <s v="S12000013"/>
    <n v="123"/>
    <n v="226"/>
    <n v="349"/>
    <n v="181"/>
    <n v="15"/>
    <n v="196"/>
    <n v="14490"/>
    <n v="2.4089999999999998"/>
    <n v="1.353"/>
    <n v="12924"/>
    <n v="2.7"/>
    <n v="1.5169999999999999"/>
    <x v="0"/>
  </r>
  <r>
    <x v="19"/>
    <s v="S12000029"/>
    <n v="1230"/>
    <n v="1647"/>
    <n v="2877"/>
    <n v="1474"/>
    <n v="585"/>
    <n v="2059"/>
    <n v="146110"/>
    <n v="1.9689999999999999"/>
    <n v="1.409"/>
    <n v="141129"/>
    <n v="2.0390000000000001"/>
    <n v="1.4590000000000001"/>
    <x v="0"/>
  </r>
  <r>
    <x v="14"/>
    <s v="S12000039"/>
    <n v="436"/>
    <n v="496"/>
    <n v="932"/>
    <n v="473"/>
    <n v="195"/>
    <n v="668"/>
    <n v="44880"/>
    <n v="2.077"/>
    <n v="1.488"/>
    <n v="42097"/>
    <n v="2.214"/>
    <n v="1.587"/>
    <x v="0"/>
  </r>
  <r>
    <x v="13"/>
    <s v="S12000024"/>
    <n v="635"/>
    <n v="1787"/>
    <n v="2422"/>
    <n v="628"/>
    <n v="319"/>
    <n v="947"/>
    <n v="70312"/>
    <n v="3.4449999999999998"/>
    <n v="1.347"/>
    <n v="66035"/>
    <n v="3.6680000000000001"/>
    <n v="1.4339999999999999"/>
    <x v="1"/>
  </r>
  <r>
    <x v="9"/>
    <s v="S12000040"/>
    <n v="1103"/>
    <n v="638"/>
    <n v="1741"/>
    <n v="967"/>
    <n v="813"/>
    <n v="1780"/>
    <n v="77186"/>
    <n v="2.2560000000000002"/>
    <n v="2.306"/>
    <n v="75035"/>
    <n v="2.3199999999999998"/>
    <n v="2.3719999999999999"/>
    <x v="1"/>
  </r>
  <r>
    <x v="21"/>
    <s v="S12000036"/>
    <n v="2759"/>
    <n v="2546"/>
    <n v="5305"/>
    <n v="2752"/>
    <n v="1091"/>
    <n v="3843"/>
    <n v="241433"/>
    <n v="2.1970000000000001"/>
    <n v="1.5920000000000001"/>
    <n v="229650"/>
    <n v="2.31"/>
    <n v="1.673"/>
    <x v="2"/>
  </r>
  <r>
    <x v="28"/>
    <s v="S12000006"/>
    <n v="1086"/>
    <n v="1068"/>
    <n v="2154"/>
    <n v="923"/>
    <n v="558"/>
    <n v="1481"/>
    <n v="74190"/>
    <n v="2.903"/>
    <n v="1.996"/>
    <n v="68999"/>
    <n v="3.1219999999999999"/>
    <n v="2.1459999999999999"/>
    <x v="2"/>
  </r>
  <r>
    <x v="10"/>
    <s v="S12000008"/>
    <n v="509"/>
    <n v="828"/>
    <n v="1337"/>
    <n v="543"/>
    <n v="320"/>
    <n v="863"/>
    <n v="57654"/>
    <n v="2.319"/>
    <n v="1.4969999999999999"/>
    <n v="54570"/>
    <n v="2.4500000000000002"/>
    <n v="1.581"/>
    <x v="2"/>
  </r>
  <r>
    <x v="23"/>
    <s v="S12000045"/>
    <n v="662"/>
    <n v="793"/>
    <n v="1455"/>
    <n v="844"/>
    <n v="248"/>
    <n v="1092"/>
    <n v="45678"/>
    <n v="3.1850000000000001"/>
    <n v="2.391"/>
    <n v="45008"/>
    <n v="3.2330000000000001"/>
    <n v="2.4260000000000002"/>
    <x v="2"/>
  </r>
  <r>
    <x v="16"/>
    <s v="S12000041"/>
    <n v="499"/>
    <n v="1528"/>
    <n v="2027"/>
    <n v="450"/>
    <n v="277"/>
    <n v="727"/>
    <n v="55872"/>
    <n v="3.6280000000000001"/>
    <n v="1.3009999999999999"/>
    <n v="53333"/>
    <n v="3.8010000000000002"/>
    <n v="1.363"/>
    <x v="3"/>
  </r>
  <r>
    <x v="29"/>
    <s v="S12000035"/>
    <n v="630"/>
    <n v="925"/>
    <n v="1555"/>
    <n v="481"/>
    <n v="497"/>
    <n v="978"/>
    <n v="47780"/>
    <n v="3.254"/>
    <n v="2.0470000000000002"/>
    <n v="41040"/>
    <n v="3.7890000000000001"/>
    <n v="2.383"/>
    <x v="3"/>
  </r>
  <r>
    <x v="22"/>
    <s v="S12000010"/>
    <n v="596"/>
    <n v="578"/>
    <n v="1174"/>
    <n v="608"/>
    <n v="364"/>
    <n v="972"/>
    <n v="46672"/>
    <n v="2.5150000000000001"/>
    <n v="2.0830000000000002"/>
    <n v="44749"/>
    <n v="2.6240000000000001"/>
    <n v="2.1720000000000002"/>
    <x v="3"/>
  </r>
  <r>
    <x v="17"/>
    <s v="S12000018"/>
    <n v="797"/>
    <n v="1003"/>
    <n v="1800"/>
    <n v="621"/>
    <n v="567"/>
    <n v="1188"/>
    <n v="38835"/>
    <n v="4.6349999999999998"/>
    <n v="3.0590000000000002"/>
    <n v="37586"/>
    <n v="4.7889999999999997"/>
    <n v="3.161"/>
    <x v="3"/>
  </r>
  <r>
    <x v="3"/>
    <s v="S12000038"/>
    <n v="1030"/>
    <n v="1105"/>
    <n v="2135"/>
    <n v="905"/>
    <n v="674"/>
    <n v="1579"/>
    <n v="85724"/>
    <n v="2.4910000000000001"/>
    <n v="1.8420000000000001"/>
    <n v="84025"/>
    <n v="2.5409999999999999"/>
    <n v="1.879"/>
    <x v="3"/>
  </r>
  <r>
    <x v="28"/>
    <s v="S12000006"/>
    <n v="1115"/>
    <n v="835"/>
    <n v="1950"/>
    <n v="1083"/>
    <n v="534"/>
    <n v="1617"/>
    <n v="74687"/>
    <n v="2.6109999999999998"/>
    <n v="2.165"/>
    <n v="69503"/>
    <n v="2.806"/>
    <n v="2.327"/>
    <x v="4"/>
  </r>
  <r>
    <x v="9"/>
    <s v="S12000040"/>
    <n v="963"/>
    <n v="1092"/>
    <n v="2055"/>
    <n v="850"/>
    <n v="604"/>
    <n v="1454"/>
    <n v="79112"/>
    <n v="2.5979999999999999"/>
    <n v="1.8380000000000001"/>
    <n v="77369"/>
    <n v="2.6560000000000001"/>
    <n v="1.879"/>
    <x v="4"/>
  </r>
  <r>
    <x v="15"/>
    <s v="S12000033"/>
    <n v="569"/>
    <n v="2176"/>
    <n v="2745"/>
    <n v="546"/>
    <n v="278"/>
    <n v="824"/>
    <n v="118131"/>
    <n v="2.3239999999999998"/>
    <n v="0.69799999999999995"/>
    <n v="107586"/>
    <n v="2.5510000000000002"/>
    <n v="0.76600000000000001"/>
    <x v="5"/>
  </r>
  <r>
    <x v="20"/>
    <s v="S12000005"/>
    <n v="219"/>
    <n v="372"/>
    <n v="591"/>
    <n v="235"/>
    <n v="82"/>
    <n v="317"/>
    <n v="24524"/>
    <n v="2.41"/>
    <n v="1.2929999999999999"/>
    <n v="23674"/>
    <n v="2.496"/>
    <n v="1.339"/>
    <x v="5"/>
  </r>
  <r>
    <x v="10"/>
    <s v="S12000008"/>
    <n v="421"/>
    <n v="656"/>
    <n v="1077"/>
    <n v="446"/>
    <n v="251"/>
    <n v="697"/>
    <n v="58453"/>
    <n v="1.843"/>
    <n v="1.1919999999999999"/>
    <n v="55107"/>
    <n v="1.954"/>
    <n v="1.2650000000000001"/>
    <x v="5"/>
  </r>
  <r>
    <x v="23"/>
    <s v="S12000045"/>
    <n v="653"/>
    <n v="579"/>
    <n v="1232"/>
    <n v="755"/>
    <n v="285"/>
    <n v="1040"/>
    <n v="46721"/>
    <n v="2.637"/>
    <n v="2.226"/>
    <n v="46023"/>
    <n v="2.677"/>
    <n v="2.2599999999999998"/>
    <x v="5"/>
  </r>
  <r>
    <x v="25"/>
    <s v="S12000044"/>
    <n v="1248"/>
    <n v="2019"/>
    <n v="3267"/>
    <n v="1614"/>
    <n v="428"/>
    <n v="2042"/>
    <n v="155364"/>
    <n v="2.1030000000000002"/>
    <n v="1.3140000000000001"/>
    <n v="151744"/>
    <n v="2.153"/>
    <n v="1.3460000000000001"/>
    <x v="5"/>
  </r>
  <r>
    <x v="6"/>
    <s v="S12000028"/>
    <n v="437"/>
    <n v="687"/>
    <n v="1124"/>
    <n v="531"/>
    <n v="204"/>
    <n v="735"/>
    <n v="55486"/>
    <n v="2.0259999999999998"/>
    <n v="1.325"/>
    <n v="52281"/>
    <n v="2.15"/>
    <n v="1.4060000000000001"/>
    <x v="5"/>
  </r>
  <r>
    <x v="15"/>
    <s v="S12000033"/>
    <n v="392"/>
    <n v="2273"/>
    <n v="2665"/>
    <n v="391"/>
    <n v="199"/>
    <n v="590"/>
    <n v="119523"/>
    <n v="2.23"/>
    <n v="0.49399999999999999"/>
    <n v="108381"/>
    <n v="2.4590000000000001"/>
    <n v="0.54400000000000004"/>
    <x v="6"/>
  </r>
  <r>
    <x v="28"/>
    <s v="S12000006"/>
    <n v="870"/>
    <n v="839"/>
    <n v="1709"/>
    <n v="824"/>
    <n v="438"/>
    <n v="1262"/>
    <n v="75089"/>
    <n v="2.2759999999999998"/>
    <n v="1.681"/>
    <n v="69699"/>
    <n v="2.452"/>
    <n v="1.8109999999999999"/>
    <x v="6"/>
  </r>
  <r>
    <x v="2"/>
    <s v="S12000021"/>
    <n v="716"/>
    <n v="969"/>
    <n v="1685"/>
    <n v="784"/>
    <n v="366"/>
    <n v="1150"/>
    <n v="68496"/>
    <n v="2.46"/>
    <n v="1.679"/>
    <n v="64140"/>
    <n v="2.6269999999999998"/>
    <n v="1.7930000000000001"/>
    <x v="6"/>
  </r>
  <r>
    <x v="19"/>
    <s v="S12000029"/>
    <n v="1364"/>
    <n v="2345"/>
    <n v="3709"/>
    <n v="1628"/>
    <n v="551"/>
    <n v="2179"/>
    <n v="152998"/>
    <n v="2.4239999999999999"/>
    <n v="1.4239999999999999"/>
    <n v="147434"/>
    <n v="2.516"/>
    <n v="1.478"/>
    <x v="6"/>
  </r>
  <r>
    <x v="7"/>
    <s v="S12000030"/>
    <n v="311"/>
    <n v="590"/>
    <n v="901"/>
    <n v="360"/>
    <n v="153"/>
    <n v="513"/>
    <n v="41638"/>
    <n v="2.1640000000000001"/>
    <n v="1.232"/>
    <n v="39654"/>
    <n v="2.2720000000000002"/>
    <n v="1.294"/>
    <x v="6"/>
  </r>
  <r>
    <x v="26"/>
    <s v="S12000034"/>
    <n v="126"/>
    <n v="311"/>
    <n v="437"/>
    <n v="147"/>
    <n v="76"/>
    <n v="223"/>
    <n v="119854"/>
    <n v="0.36499999999999999"/>
    <n v="0.186"/>
    <n v="112713"/>
    <n v="0.38800000000000001"/>
    <n v="0.19800000000000001"/>
    <x v="7"/>
  </r>
  <r>
    <x v="8"/>
    <s v="S12000011"/>
    <n v="205"/>
    <n v="173"/>
    <n v="378"/>
    <n v="222"/>
    <n v="101"/>
    <n v="323"/>
    <n v="39453"/>
    <n v="0.95799999999999996"/>
    <n v="0.81899999999999995"/>
    <n v="39586"/>
    <n v="0.95499999999999996"/>
    <n v="0.81599999999999995"/>
    <x v="7"/>
  </r>
  <r>
    <x v="17"/>
    <s v="S12000018"/>
    <n v="293"/>
    <n v="200"/>
    <n v="493"/>
    <n v="339"/>
    <n v="130"/>
    <n v="469"/>
    <n v="39107"/>
    <n v="1.2610000000000001"/>
    <n v="1.1990000000000001"/>
    <n v="37646"/>
    <n v="1.31"/>
    <n v="1.246"/>
    <x v="7"/>
  </r>
  <r>
    <x v="30"/>
    <s v="S12000023"/>
    <n v="35"/>
    <n v="35"/>
    <n v="70"/>
    <n v="45"/>
    <n v="39"/>
    <n v="84"/>
    <n v="11391"/>
    <n v="0.61499999999999999"/>
    <n v="0.73699999999999999"/>
    <n v="10635"/>
    <n v="0.65800000000000003"/>
    <n v="0.79"/>
    <x v="7"/>
  </r>
  <r>
    <x v="18"/>
    <s v="S12000027"/>
    <n v="17"/>
    <n v="123"/>
    <n v="140"/>
    <n v="8"/>
    <n v="26"/>
    <n v="34"/>
    <n v="11374"/>
    <n v="1.2310000000000001"/>
    <n v="0.29899999999999999"/>
    <n v="10461"/>
    <n v="1.3380000000000001"/>
    <n v="0.32500000000000001"/>
    <x v="7"/>
  </r>
  <r>
    <x v="7"/>
    <s v="S12000030"/>
    <n v="63"/>
    <n v="108"/>
    <n v="171"/>
    <n v="76"/>
    <n v="44"/>
    <n v="120"/>
    <n v="41950"/>
    <n v="0.40799999999999997"/>
    <n v="0.28599999999999998"/>
    <n v="39896"/>
    <n v="0.42899999999999999"/>
    <n v="0.30099999999999999"/>
    <x v="7"/>
  </r>
  <r>
    <x v="9"/>
    <s v="S12000040"/>
    <n v="272"/>
    <n v="410"/>
    <n v="682"/>
    <n v="260"/>
    <n v="158"/>
    <n v="418"/>
    <n v="81723"/>
    <n v="0.83499999999999996"/>
    <n v="0.51100000000000001"/>
    <n v="79892"/>
    <n v="0.85399999999999998"/>
    <n v="0.52300000000000002"/>
    <x v="7"/>
  </r>
  <r>
    <x v="32"/>
    <m/>
    <m/>
    <m/>
    <m/>
    <m/>
    <m/>
    <m/>
    <m/>
    <m/>
    <m/>
    <m/>
    <m/>
    <m/>
    <x v="8"/>
  </r>
</pivotCacheRecords>
</file>

<file path=xl/pivotCache/pivotCacheRecords39.xml><?xml version="1.0" encoding="utf-8"?>
<pivotCacheRecords xmlns="http://schemas.openxmlformats.org/spreadsheetml/2006/main" xmlns:r="http://schemas.openxmlformats.org/officeDocument/2006/relationships" count="256">
  <r>
    <x v="0"/>
    <x v="0"/>
    <s v="S12000033"/>
    <n v="492"/>
    <n v="1898"/>
    <n v="2390"/>
    <n v="419"/>
    <n v="245"/>
    <n v="664"/>
    <n v="112713"/>
    <n v="2.12"/>
    <n v="0.58899999999999997"/>
    <n v="105047"/>
    <n v="2.2749999999999999"/>
    <n v="0.63200000000000001"/>
  </r>
  <r>
    <x v="0"/>
    <x v="1"/>
    <s v="S12000034"/>
    <n v="567"/>
    <n v="789"/>
    <n v="1356"/>
    <n v="497"/>
    <n v="391"/>
    <n v="888"/>
    <n v="112867"/>
    <n v="1.2010000000000001"/>
    <n v="0.78700000000000003"/>
    <n v="107128"/>
    <n v="1.266"/>
    <n v="0.82899999999999996"/>
  </r>
  <r>
    <x v="0"/>
    <x v="2"/>
    <s v="S12000041"/>
    <n v="829"/>
    <n v="2850"/>
    <n v="3679"/>
    <n v="723"/>
    <n v="504"/>
    <n v="1227"/>
    <n v="54872"/>
    <n v="6.7050000000000001"/>
    <n v="2.2359999999999998"/>
    <n v="52413"/>
    <n v="7.0190000000000001"/>
    <n v="2.3410000000000002"/>
  </r>
  <r>
    <x v="0"/>
    <x v="3"/>
    <s v="S12000035"/>
    <n v="529"/>
    <n v="457"/>
    <n v="986"/>
    <n v="539"/>
    <n v="425"/>
    <n v="964"/>
    <n v="47336"/>
    <n v="2.0830000000000002"/>
    <n v="2.0369999999999999"/>
    <n v="40934"/>
    <n v="2.4089999999999998"/>
    <n v="2.355"/>
  </r>
  <r>
    <x v="0"/>
    <x v="4"/>
    <s v="S12000036"/>
    <n v="2962"/>
    <n v="2361"/>
    <n v="5323"/>
    <n v="2668"/>
    <n v="1393"/>
    <n v="4061"/>
    <n v="237524"/>
    <n v="2.2410000000000001"/>
    <n v="1.71"/>
    <n v="227222"/>
    <n v="2.343"/>
    <n v="1.7869999999999999"/>
  </r>
  <r>
    <x v="0"/>
    <x v="5"/>
    <s v="S12000005"/>
    <n v="354"/>
    <n v="518"/>
    <n v="872"/>
    <n v="391"/>
    <n v="151"/>
    <n v="542"/>
    <n v="23894"/>
    <n v="3.649"/>
    <n v="2.2679999999999998"/>
    <n v="22978"/>
    <n v="3.7949999999999999"/>
    <n v="2.359"/>
  </r>
  <r>
    <x v="0"/>
    <x v="6"/>
    <s v="S12000006"/>
    <n v="1064"/>
    <n v="392"/>
    <n v="1456"/>
    <n v="882"/>
    <n v="540"/>
    <n v="1422"/>
    <n v="73555"/>
    <n v="1.9790000000000001"/>
    <n v="1.9330000000000001"/>
    <n v="68682"/>
    <n v="2.12"/>
    <n v="2.0699999999999998"/>
  </r>
  <r>
    <x v="0"/>
    <x v="7"/>
    <s v="S12000042"/>
    <n v="1038"/>
    <n v="6335"/>
    <n v="7373"/>
    <n v="936"/>
    <n v="496"/>
    <n v="1432"/>
    <n v="73560"/>
    <n v="10.023"/>
    <n v="1.9470000000000001"/>
    <n v="69500"/>
    <n v="10.609"/>
    <n v="2.06"/>
  </r>
  <r>
    <x v="0"/>
    <x v="8"/>
    <s v="S12000008"/>
    <n v="582"/>
    <n v="1242"/>
    <n v="1824"/>
    <n v="662"/>
    <n v="298"/>
    <n v="960"/>
    <n v="57172"/>
    <n v="3.19"/>
    <n v="1.679"/>
    <n v="54453"/>
    <n v="3.35"/>
    <n v="1.7629999999999999"/>
  </r>
  <r>
    <x v="0"/>
    <x v="9"/>
    <s v="S12000045"/>
    <n v="554"/>
    <n v="307"/>
    <n v="861"/>
    <n v="757"/>
    <n v="209"/>
    <n v="966"/>
    <n v="44864"/>
    <n v="1.919"/>
    <n v="2.153"/>
    <n v="44102"/>
    <n v="1.952"/>
    <n v="2.19"/>
  </r>
  <r>
    <x v="0"/>
    <x v="10"/>
    <s v="S12000010"/>
    <n v="649"/>
    <n v="366"/>
    <n v="1015"/>
    <n v="611"/>
    <n v="496"/>
    <n v="1107"/>
    <n v="45613"/>
    <n v="2.2250000000000001"/>
    <n v="2.427"/>
    <n v="43682"/>
    <n v="2.3239999999999998"/>
    <n v="2.5339999999999998"/>
  </r>
  <r>
    <x v="0"/>
    <x v="11"/>
    <s v="S12000011"/>
    <n v="492"/>
    <n v="448"/>
    <n v="940"/>
    <n v="603"/>
    <n v="198"/>
    <n v="801"/>
    <n v="37639"/>
    <n v="2.4969999999999999"/>
    <n v="2.1280000000000001"/>
    <n v="37804"/>
    <n v="2.4870000000000001"/>
    <n v="2.1189999999999998"/>
  </r>
  <r>
    <x v="0"/>
    <x v="12"/>
    <s v="S12000014"/>
    <n v="552"/>
    <n v="1169"/>
    <n v="1721"/>
    <n v="614"/>
    <n v="186"/>
    <n v="800"/>
    <n v="72128"/>
    <n v="2.3860000000000001"/>
    <n v="1.109"/>
    <n v="69443"/>
    <n v="2.4779999999999998"/>
    <n v="1.1519999999999999"/>
  </r>
  <r>
    <x v="0"/>
    <x v="13"/>
    <s v="S12000015"/>
    <n v="3531"/>
    <n v="3068"/>
    <n v="6599"/>
    <n v="3943"/>
    <n v="1691"/>
    <n v="5634"/>
    <n v="171560"/>
    <n v="3.8460000000000001"/>
    <n v="3.2839999999999998"/>
    <n v="162200"/>
    <n v="4.0679999999999996"/>
    <n v="3.4729999999999999"/>
  </r>
  <r>
    <x v="0"/>
    <x v="14"/>
    <s v="S12000046"/>
    <n v="2763"/>
    <n v="3336"/>
    <n v="6099"/>
    <n v="3186"/>
    <n v="954"/>
    <n v="4140"/>
    <n v="301633"/>
    <n v="2.0219999999999998"/>
    <n v="1.373"/>
    <n v="285346"/>
    <n v="2.137"/>
    <n v="1.4510000000000001"/>
  </r>
  <r>
    <x v="0"/>
    <x v="15"/>
    <s v="S12000017"/>
    <n v="1287"/>
    <n v="2547"/>
    <n v="3834"/>
    <n v="1317"/>
    <n v="724"/>
    <n v="2041"/>
    <n v="113703"/>
    <n v="3.3719999999999999"/>
    <n v="1.7949999999999999"/>
    <n v="104445"/>
    <n v="3.6710000000000003"/>
    <n v="1.954"/>
  </r>
  <r>
    <x v="0"/>
    <x v="16"/>
    <s v="S12000018"/>
    <n v="649"/>
    <n v="595"/>
    <n v="1244"/>
    <n v="626"/>
    <n v="354"/>
    <n v="980"/>
    <n v="38791"/>
    <n v="3.2069999999999999"/>
    <n v="2.5259999999999998"/>
    <n v="37337"/>
    <n v="3.3319999999999999"/>
    <n v="2.625"/>
  </r>
  <r>
    <x v="0"/>
    <x v="17"/>
    <s v="S12000019"/>
    <n v="569"/>
    <n v="411"/>
    <n v="980"/>
    <n v="405"/>
    <n v="452"/>
    <n v="857"/>
    <n v="37503"/>
    <n v="2.613"/>
    <n v="2.2850000000000001"/>
    <n v="36009"/>
    <n v="2.722"/>
    <n v="2.38"/>
  </r>
  <r>
    <x v="0"/>
    <x v="18"/>
    <s v="S12000020"/>
    <n v="332"/>
    <n v="299"/>
    <n v="631"/>
    <n v="317"/>
    <n v="264"/>
    <n v="581"/>
    <n v="43495"/>
    <n v="1.4510000000000001"/>
    <n v="1.3360000000000001"/>
    <n v="40839"/>
    <n v="1.5449999999999999"/>
    <n v="1.423"/>
  </r>
  <r>
    <x v="0"/>
    <x v="19"/>
    <s v="S12000013"/>
    <n v="123"/>
    <n v="226"/>
    <n v="349"/>
    <n v="181"/>
    <n v="15"/>
    <n v="196"/>
    <n v="14490"/>
    <n v="2.4089999999999998"/>
    <n v="1.353"/>
    <n v="12924"/>
    <n v="2.7"/>
    <n v="1.5169999999999999"/>
  </r>
  <r>
    <x v="0"/>
    <x v="20"/>
    <s v="S12000021"/>
    <n v="958"/>
    <n v="660"/>
    <n v="1618"/>
    <n v="972"/>
    <n v="661"/>
    <n v="1633"/>
    <n v="67082"/>
    <n v="2.4119999999999999"/>
    <n v="2.4340000000000002"/>
    <n v="62613"/>
    <n v="2.5840000000000001"/>
    <n v="2.6080000000000001"/>
  </r>
  <r>
    <x v="0"/>
    <x v="21"/>
    <s v="S12000044"/>
    <n v="1381"/>
    <n v="1452"/>
    <n v="2833"/>
    <n v="1819"/>
    <n v="538"/>
    <n v="2357"/>
    <n v="150541"/>
    <n v="1.8820000000000001"/>
    <n v="1.5659999999999998"/>
    <n v="147554"/>
    <n v="1.92"/>
    <n v="1.597"/>
  </r>
  <r>
    <x v="0"/>
    <x v="22"/>
    <s v="S12000023"/>
    <n v="115"/>
    <n v="150"/>
    <n v="265"/>
    <n v="183"/>
    <n v="64"/>
    <n v="247"/>
    <n v="10717"/>
    <n v="2.4729999999999999"/>
    <n v="2.3050000000000002"/>
    <n v="9945"/>
    <n v="2.665"/>
    <n v="2.484"/>
  </r>
  <r>
    <x v="0"/>
    <x v="23"/>
    <s v="S12000024"/>
    <n v="922"/>
    <n v="3441"/>
    <n v="4363"/>
    <n v="890"/>
    <n v="524"/>
    <n v="1414"/>
    <n v="69923"/>
    <n v="6.24"/>
    <n v="2.0219999999999998"/>
    <n v="65616"/>
    <n v="6.649"/>
    <n v="2.1549999999999998"/>
  </r>
  <r>
    <x v="0"/>
    <x v="24"/>
    <s v="S12000038"/>
    <n v="1045"/>
    <n v="832"/>
    <n v="1877"/>
    <n v="1240"/>
    <n v="486"/>
    <n v="1726"/>
    <n v="83933"/>
    <n v="2.2359999999999998"/>
    <n v="2.056"/>
    <n v="81787"/>
    <n v="2.2949999999999999"/>
    <n v="2.11"/>
  </r>
  <r>
    <x v="0"/>
    <x v="25"/>
    <s v="S12000026"/>
    <n v="1251"/>
    <n v="1347"/>
    <n v="2598"/>
    <n v="947"/>
    <n v="1046"/>
    <n v="1993"/>
    <n v="57097"/>
    <n v="4.55"/>
    <n v="3.4910000000000001"/>
    <n v="52934"/>
    <n v="4.9080000000000004"/>
    <n v="3.7650000000000001"/>
  </r>
  <r>
    <x v="0"/>
    <x v="26"/>
    <s v="S12000027"/>
    <n v="73"/>
    <n v="218"/>
    <n v="291"/>
    <n v="69"/>
    <n v="56"/>
    <n v="125"/>
    <n v="10852"/>
    <n v="2.6819999999999999"/>
    <n v="1.1519999999999999"/>
    <n v="10135"/>
    <n v="2.871"/>
    <n v="1.2330000000000001"/>
  </r>
  <r>
    <x v="0"/>
    <x v="27"/>
    <s v="S12000028"/>
    <n v="601"/>
    <n v="462"/>
    <n v="1063"/>
    <n v="577"/>
    <n v="430"/>
    <n v="1007"/>
    <n v="54385"/>
    <n v="1.9550000000000001"/>
    <n v="1.8519999999999999"/>
    <n v="51654"/>
    <n v="2.0579999999999998"/>
    <n v="1.95"/>
  </r>
  <r>
    <x v="0"/>
    <x v="28"/>
    <s v="S12000029"/>
    <n v="1230"/>
    <n v="1647"/>
    <n v="2877"/>
    <n v="1474"/>
    <n v="585"/>
    <n v="2059"/>
    <n v="146110"/>
    <n v="1.9689999999999999"/>
    <n v="1.409"/>
    <n v="141129"/>
    <n v="2.0390000000000001"/>
    <n v="1.4590000000000001"/>
  </r>
  <r>
    <x v="0"/>
    <x v="29"/>
    <s v="S12000030"/>
    <n v="265"/>
    <n v="607"/>
    <n v="872"/>
    <n v="297"/>
    <n v="113"/>
    <n v="410"/>
    <n v="39965"/>
    <n v="2.1819999999999999"/>
    <n v="1.026"/>
    <n v="38056"/>
    <n v="2.2909999999999999"/>
    <n v="1.077"/>
  </r>
  <r>
    <x v="0"/>
    <x v="30"/>
    <s v="S12000039"/>
    <n v="436"/>
    <n v="496"/>
    <n v="932"/>
    <n v="473"/>
    <n v="195"/>
    <n v="668"/>
    <n v="44880"/>
    <n v="2.077"/>
    <n v="1.488"/>
    <n v="42097"/>
    <n v="2.214"/>
    <n v="1.587"/>
  </r>
  <r>
    <x v="0"/>
    <x v="31"/>
    <s v="S12000040"/>
    <n v="1381"/>
    <n v="546"/>
    <n v="1927"/>
    <n v="1141"/>
    <n v="1121"/>
    <n v="2262"/>
    <n v="76473"/>
    <n v="2.52"/>
    <n v="2.9580000000000002"/>
    <n v="74335"/>
    <n v="2.5920000000000001"/>
    <n v="3.0430000000000001"/>
  </r>
  <r>
    <x v="1"/>
    <x v="0"/>
    <s v="S12000033"/>
    <n v="524"/>
    <n v="1951"/>
    <n v="2475"/>
    <n v="469"/>
    <n v="283"/>
    <n v="752"/>
    <n v="113508"/>
    <n v="2.1800000000000002"/>
    <n v="0.66300000000000003"/>
    <n v="105287"/>
    <n v="2.351"/>
    <n v="0.71399999999999997"/>
  </r>
  <r>
    <x v="1"/>
    <x v="1"/>
    <s v="S12000034"/>
    <n v="617"/>
    <n v="831"/>
    <n v="1448"/>
    <n v="609"/>
    <n v="394"/>
    <n v="1003"/>
    <n v="114086"/>
    <n v="1.2690000000000001"/>
    <n v="0.879"/>
    <n v="108381"/>
    <n v="1.3360000000000001"/>
    <n v="0.92500000000000004"/>
  </r>
  <r>
    <x v="1"/>
    <x v="2"/>
    <s v="S12000041"/>
    <n v="486"/>
    <n v="1357"/>
    <n v="1843"/>
    <n v="498"/>
    <n v="226"/>
    <n v="724"/>
    <n v="55267"/>
    <n v="3.335"/>
    <n v="1.31"/>
    <n v="52692"/>
    <n v="3.4980000000000002"/>
    <n v="1.3740000000000001"/>
  </r>
  <r>
    <x v="1"/>
    <x v="3"/>
    <s v="S12000035"/>
    <n v="498"/>
    <n v="680"/>
    <n v="1178"/>
    <n v="412"/>
    <n v="414"/>
    <n v="826"/>
    <n v="47500"/>
    <n v="2.48"/>
    <n v="1.7389999999999999"/>
    <n v="40857"/>
    <n v="2.883"/>
    <n v="2.0219999999999998"/>
  </r>
  <r>
    <x v="1"/>
    <x v="4"/>
    <s v="S12000036"/>
    <n v="2833"/>
    <n v="2754"/>
    <n v="5587"/>
    <n v="2716"/>
    <n v="1169"/>
    <n v="3885"/>
    <n v="239525"/>
    <n v="2.3330000000000002"/>
    <n v="1.6219999999999999"/>
    <n v="229231"/>
    <n v="2.4369999999999998"/>
    <n v="1.6949999999999998"/>
  </r>
  <r>
    <x v="1"/>
    <x v="5"/>
    <s v="S12000005"/>
    <n v="273"/>
    <n v="511"/>
    <n v="784"/>
    <n v="314"/>
    <n v="87"/>
    <n v="401"/>
    <n v="23995"/>
    <n v="3.2669999999999999"/>
    <n v="1.671"/>
    <n v="23217"/>
    <n v="3.3769999999999998"/>
    <n v="1.7269999999999999"/>
  </r>
  <r>
    <x v="1"/>
    <x v="6"/>
    <s v="S12000006"/>
    <n v="897"/>
    <n v="629"/>
    <n v="1526"/>
    <n v="765"/>
    <n v="450"/>
    <n v="1215"/>
    <n v="73895"/>
    <n v="2.0649999999999999"/>
    <n v="1.6440000000000001"/>
    <n v="68818"/>
    <n v="2.2170000000000001"/>
    <n v="1.766"/>
  </r>
  <r>
    <x v="1"/>
    <x v="7"/>
    <s v="S12000042"/>
    <n v="698"/>
    <n v="3028"/>
    <n v="3726"/>
    <n v="677"/>
    <n v="308"/>
    <n v="985"/>
    <n v="73575"/>
    <n v="5.0640000000000001"/>
    <n v="1.339"/>
    <n v="69610"/>
    <n v="5.3529999999999998"/>
    <n v="1.415"/>
  </r>
  <r>
    <x v="1"/>
    <x v="8"/>
    <s v="S12000008"/>
    <n v="467"/>
    <n v="836"/>
    <n v="1303"/>
    <n v="506"/>
    <n v="256"/>
    <n v="762"/>
    <n v="57324"/>
    <n v="2.2730000000000001"/>
    <n v="1.329"/>
    <n v="54401"/>
    <n v="2.395"/>
    <n v="1.401"/>
  </r>
  <r>
    <x v="1"/>
    <x v="9"/>
    <s v="S12000045"/>
    <n v="562"/>
    <n v="539"/>
    <n v="1101"/>
    <n v="734"/>
    <n v="214"/>
    <n v="948"/>
    <n v="45281"/>
    <n v="2.431"/>
    <n v="2.0939999999999999"/>
    <n v="44504"/>
    <n v="2.4740000000000002"/>
    <n v="2.13"/>
  </r>
  <r>
    <x v="1"/>
    <x v="10"/>
    <s v="S12000010"/>
    <n v="737"/>
    <n v="511"/>
    <n v="1248"/>
    <n v="708"/>
    <n v="526"/>
    <n v="1234"/>
    <n v="45968"/>
    <n v="2.7149999999999999"/>
    <n v="2.6840000000000002"/>
    <n v="43981"/>
    <n v="2.8380000000000001"/>
    <n v="2.806"/>
  </r>
  <r>
    <x v="1"/>
    <x v="11"/>
    <s v="S12000011"/>
    <n v="546"/>
    <n v="689"/>
    <n v="1235"/>
    <n v="549"/>
    <n v="267"/>
    <n v="816"/>
    <n v="37852"/>
    <n v="3.2629999999999999"/>
    <n v="2.1560000000000001"/>
    <n v="38048"/>
    <n v="3.246"/>
    <n v="2.145"/>
  </r>
  <r>
    <x v="1"/>
    <x v="12"/>
    <s v="S12000014"/>
    <n v="533"/>
    <n v="1084"/>
    <n v="1617"/>
    <n v="573"/>
    <n v="201"/>
    <n v="774"/>
    <n v="72624"/>
    <n v="2.2269999999999999"/>
    <n v="1.0660000000000001"/>
    <n v="69693"/>
    <n v="2.3199999999999998"/>
    <n v="1.111"/>
  </r>
  <r>
    <x v="1"/>
    <x v="13"/>
    <s v="S12000015"/>
    <n v="3404"/>
    <n v="3462"/>
    <n v="6866"/>
    <n v="3640"/>
    <n v="1737"/>
    <n v="5377"/>
    <n v="172425"/>
    <n v="3.9820000000000002"/>
    <n v="3.1179999999999999"/>
    <n v="163958"/>
    <n v="4.1879999999999997"/>
    <n v="3.2789999999999999"/>
  </r>
  <r>
    <x v="1"/>
    <x v="14"/>
    <s v="S12000046"/>
    <n v="2493"/>
    <n v="3638"/>
    <n v="6131"/>
    <n v="2836"/>
    <n v="867"/>
    <n v="3703"/>
    <n v="301891"/>
    <n v="2.0310000000000001"/>
    <n v="1.2270000000000001"/>
    <n v="286377"/>
    <n v="2.141"/>
    <n v="1.2929999999999999"/>
  </r>
  <r>
    <x v="1"/>
    <x v="15"/>
    <s v="S12000017"/>
    <n v="962"/>
    <n v="2623"/>
    <n v="3585"/>
    <n v="1042"/>
    <n v="500"/>
    <n v="1542"/>
    <n v="114603"/>
    <n v="3.1280000000000001"/>
    <n v="1.3460000000000001"/>
    <n v="105711"/>
    <n v="3.391"/>
    <n v="1.4590000000000001"/>
  </r>
  <r>
    <x v="1"/>
    <x v="16"/>
    <s v="S12000018"/>
    <n v="673"/>
    <n v="631"/>
    <n v="1304"/>
    <n v="636"/>
    <n v="386"/>
    <n v="1022"/>
    <n v="38699"/>
    <n v="3.37"/>
    <n v="2.641"/>
    <n v="37384"/>
    <n v="3.488"/>
    <n v="2.734"/>
  </r>
  <r>
    <x v="1"/>
    <x v="17"/>
    <s v="S12000019"/>
    <n v="479"/>
    <n v="491"/>
    <n v="970"/>
    <n v="465"/>
    <n v="272"/>
    <n v="737"/>
    <n v="38159"/>
    <n v="2.5419999999999998"/>
    <n v="1.931"/>
    <n v="36602"/>
    <n v="2.65"/>
    <n v="2.0139999999999998"/>
  </r>
  <r>
    <x v="1"/>
    <x v="18"/>
    <s v="S12000020"/>
    <n v="372"/>
    <n v="356"/>
    <n v="728"/>
    <n v="336"/>
    <n v="293"/>
    <n v="629"/>
    <n v="43788"/>
    <n v="1.663"/>
    <n v="1.4359999999999999"/>
    <n v="41288"/>
    <n v="1.7629999999999999"/>
    <n v="1.5230000000000001"/>
  </r>
  <r>
    <x v="1"/>
    <x v="19"/>
    <s v="S12000013"/>
    <n v="93"/>
    <n v="199"/>
    <n v="292"/>
    <n v="116"/>
    <n v="30"/>
    <n v="146"/>
    <n v="14520"/>
    <n v="2.0110000000000001"/>
    <n v="1.006"/>
    <n v="12920"/>
    <n v="2.2599999999999998"/>
    <n v="1.1299999999999999"/>
  </r>
  <r>
    <x v="1"/>
    <x v="20"/>
    <s v="S12000021"/>
    <n v="901"/>
    <n v="964"/>
    <n v="1865"/>
    <n v="932"/>
    <n v="551"/>
    <n v="1483"/>
    <n v="67204"/>
    <n v="2.7749999999999999"/>
    <n v="2.2069999999999999"/>
    <n v="62802"/>
    <n v="2.9699999999999998"/>
    <n v="2.3609999999999998"/>
  </r>
  <r>
    <x v="1"/>
    <x v="21"/>
    <s v="S12000044"/>
    <n v="1427"/>
    <n v="2067"/>
    <n v="3494"/>
    <n v="1929"/>
    <n v="499"/>
    <n v="2428"/>
    <n v="151424"/>
    <n v="2.3069999999999999"/>
    <n v="1.603"/>
    <n v="148610"/>
    <n v="2.351"/>
    <n v="1.6339999999999999"/>
  </r>
  <r>
    <x v="1"/>
    <x v="22"/>
    <s v="S12000023"/>
    <n v="87"/>
    <n v="161"/>
    <n v="248"/>
    <n v="64"/>
    <n v="81"/>
    <n v="145"/>
    <n v="10816"/>
    <n v="2.2930000000000001"/>
    <n v="1.341"/>
    <n v="10042"/>
    <n v="2.4699999999999998"/>
    <n v="1.444"/>
  </r>
  <r>
    <x v="1"/>
    <x v="23"/>
    <s v="S12000024"/>
    <n v="635"/>
    <n v="1787"/>
    <n v="2422"/>
    <n v="628"/>
    <n v="319"/>
    <n v="947"/>
    <n v="70312"/>
    <n v="3.4449999999999998"/>
    <n v="1.347"/>
    <n v="66035"/>
    <n v="3.6680000000000001"/>
    <n v="1.4339999999999999"/>
  </r>
  <r>
    <x v="1"/>
    <x v="24"/>
    <s v="S12000038"/>
    <n v="885"/>
    <n v="1268"/>
    <n v="2153"/>
    <n v="1020"/>
    <n v="425"/>
    <n v="1445"/>
    <n v="84442"/>
    <n v="2.5499999999999998"/>
    <n v="1.7109999999999999"/>
    <n v="82385"/>
    <n v="2.613"/>
    <n v="1.754"/>
  </r>
  <r>
    <x v="1"/>
    <x v="25"/>
    <s v="S12000026"/>
    <n v="1229"/>
    <n v="1194"/>
    <n v="2423"/>
    <n v="844"/>
    <n v="1072"/>
    <n v="1916"/>
    <n v="57274"/>
    <n v="4.2309999999999999"/>
    <n v="3.3449999999999998"/>
    <n v="53157"/>
    <n v="4.5579999999999998"/>
    <n v="3.6040000000000001"/>
  </r>
  <r>
    <x v="1"/>
    <x v="26"/>
    <s v="S12000027"/>
    <n v="55"/>
    <n v="168"/>
    <n v="223"/>
    <n v="60"/>
    <n v="42"/>
    <n v="102"/>
    <n v="10950"/>
    <n v="2.0369999999999999"/>
    <n v="0.93200000000000005"/>
    <n v="10166"/>
    <n v="2.194"/>
    <n v="1.0029999999999999"/>
  </r>
  <r>
    <x v="1"/>
    <x v="27"/>
    <s v="S12000028"/>
    <n v="608"/>
    <n v="517"/>
    <n v="1125"/>
    <n v="715"/>
    <n v="318"/>
    <n v="1033"/>
    <n v="54489"/>
    <n v="2.0649999999999999"/>
    <n v="1.8959999999999999"/>
    <n v="51874"/>
    <n v="2.169"/>
    <n v="1.9910000000000001"/>
  </r>
  <r>
    <x v="1"/>
    <x v="28"/>
    <s v="S12000029"/>
    <n v="1155"/>
    <n v="1979"/>
    <n v="3134"/>
    <n v="1410"/>
    <n v="474"/>
    <n v="1884"/>
    <n v="146925"/>
    <n v="2.133"/>
    <n v="1.282"/>
    <n v="142286"/>
    <n v="2.2029999999999998"/>
    <n v="1.3240000000000001"/>
  </r>
  <r>
    <x v="1"/>
    <x v="29"/>
    <s v="S12000030"/>
    <n v="352"/>
    <n v="667"/>
    <n v="1019"/>
    <n v="391"/>
    <n v="166"/>
    <n v="557"/>
    <n v="40320"/>
    <n v="2.5270000000000001"/>
    <n v="1.381"/>
    <n v="38310"/>
    <n v="2.66"/>
    <n v="1.454"/>
  </r>
  <r>
    <x v="1"/>
    <x v="30"/>
    <s v="S12000039"/>
    <n v="402"/>
    <n v="519"/>
    <n v="921"/>
    <n v="471"/>
    <n v="160"/>
    <n v="631"/>
    <n v="44734"/>
    <n v="2.0590000000000002"/>
    <n v="1.411"/>
    <n v="42353"/>
    <n v="2.1749999999999998"/>
    <n v="1.49"/>
  </r>
  <r>
    <x v="1"/>
    <x v="31"/>
    <s v="S12000040"/>
    <n v="1103"/>
    <n v="638"/>
    <n v="1741"/>
    <n v="967"/>
    <n v="813"/>
    <n v="1780"/>
    <n v="77186"/>
    <n v="2.2560000000000002"/>
    <n v="2.306"/>
    <n v="75035"/>
    <n v="2.3199999999999998"/>
    <n v="2.3719999999999999"/>
  </r>
  <r>
    <x v="2"/>
    <x v="0"/>
    <s v="S12000033"/>
    <n v="572"/>
    <n v="2074"/>
    <n v="2646"/>
    <n v="538"/>
    <n v="281"/>
    <n v="819"/>
    <n v="114234"/>
    <n v="2.3159999999999998"/>
    <n v="0.71699999999999997"/>
    <n v="105311"/>
    <n v="2.5129999999999999"/>
    <n v="0.77800000000000002"/>
  </r>
  <r>
    <x v="2"/>
    <x v="1"/>
    <s v="S12000034"/>
    <n v="683"/>
    <n v="1249"/>
    <n v="1932"/>
    <n v="648"/>
    <n v="431"/>
    <n v="1079"/>
    <n v="115223"/>
    <n v="1.677"/>
    <n v="0.93600000000000005"/>
    <n v="109631"/>
    <n v="1.762"/>
    <n v="0.98399999999999999"/>
  </r>
  <r>
    <x v="2"/>
    <x v="2"/>
    <s v="S12000041"/>
    <n v="485"/>
    <n v="1685"/>
    <n v="2170"/>
    <n v="462"/>
    <n v="262"/>
    <n v="724"/>
    <n v="55619"/>
    <n v="3.9020000000000001"/>
    <n v="1.302"/>
    <n v="53142"/>
    <n v="4.0830000000000002"/>
    <n v="1.3620000000000001"/>
  </r>
  <r>
    <x v="2"/>
    <x v="3"/>
    <s v="S12000035"/>
    <n v="667"/>
    <n v="980"/>
    <n v="1647"/>
    <n v="562"/>
    <n v="512"/>
    <n v="1074"/>
    <n v="47712"/>
    <n v="3.452"/>
    <n v="2.2509999999999999"/>
    <n v="40938"/>
    <n v="4.0229999999999997"/>
    <n v="2.6230000000000002"/>
  </r>
  <r>
    <x v="2"/>
    <x v="4"/>
    <s v="S12000036"/>
    <n v="2759"/>
    <n v="2546"/>
    <n v="5305"/>
    <n v="2752"/>
    <n v="1091"/>
    <n v="3843"/>
    <n v="241433"/>
    <n v="2.1970000000000001"/>
    <n v="1.5920000000000001"/>
    <n v="229650"/>
    <n v="2.31"/>
    <n v="1.673"/>
  </r>
  <r>
    <x v="2"/>
    <x v="5"/>
    <s v="S12000005"/>
    <n v="243"/>
    <n v="382"/>
    <n v="625"/>
    <n v="229"/>
    <n v="130"/>
    <n v="359"/>
    <n v="24114"/>
    <n v="2.5920000000000001"/>
    <n v="1.4889999999999999"/>
    <n v="23333"/>
    <n v="2.6790000000000003"/>
    <n v="1.5390000000000001"/>
  </r>
  <r>
    <x v="2"/>
    <x v="6"/>
    <s v="S12000006"/>
    <n v="1086"/>
    <n v="1068"/>
    <n v="2154"/>
    <n v="923"/>
    <n v="558"/>
    <n v="1481"/>
    <n v="74190"/>
    <n v="2.903"/>
    <n v="1.996"/>
    <n v="68999"/>
    <n v="3.1219999999999999"/>
    <n v="2.1459999999999999"/>
  </r>
  <r>
    <x v="2"/>
    <x v="7"/>
    <s v="S12000042"/>
    <n v="849"/>
    <n v="3502"/>
    <n v="4351"/>
    <n v="818"/>
    <n v="370"/>
    <n v="1188"/>
    <n v="73689"/>
    <n v="5.9050000000000002"/>
    <n v="1.6120000000000001"/>
    <n v="69534"/>
    <n v="6.2569999999999997"/>
    <n v="1.7090000000000001"/>
  </r>
  <r>
    <x v="2"/>
    <x v="8"/>
    <s v="S12000008"/>
    <n v="509"/>
    <n v="829"/>
    <n v="1338"/>
    <n v="543"/>
    <n v="320"/>
    <n v="863"/>
    <n v="57654"/>
    <n v="2.3210000000000002"/>
    <n v="1.4969999999999999"/>
    <n v="54570"/>
    <n v="2.452"/>
    <n v="1.581"/>
  </r>
  <r>
    <x v="2"/>
    <x v="9"/>
    <s v="S12000045"/>
    <n v="662"/>
    <n v="793"/>
    <n v="1455"/>
    <n v="844"/>
    <n v="248"/>
    <n v="1092"/>
    <n v="45678"/>
    <n v="3.1850000000000001"/>
    <n v="2.391"/>
    <n v="45008"/>
    <n v="3.2330000000000001"/>
    <n v="2.4260000000000002"/>
  </r>
  <r>
    <x v="2"/>
    <x v="10"/>
    <s v="S12000010"/>
    <n v="716"/>
    <n v="704"/>
    <n v="1420"/>
    <n v="715"/>
    <n v="505"/>
    <n v="1220"/>
    <n v="46332"/>
    <n v="3.0649999999999999"/>
    <n v="2.633"/>
    <n v="44384"/>
    <n v="3.1989999999999998"/>
    <n v="2.7490000000000001"/>
  </r>
  <r>
    <x v="2"/>
    <x v="11"/>
    <s v="S12000011"/>
    <n v="587"/>
    <n v="1106"/>
    <n v="1693"/>
    <n v="640"/>
    <n v="250"/>
    <n v="890"/>
    <n v="38061"/>
    <n v="4.4480000000000004"/>
    <n v="2.3380000000000001"/>
    <n v="38270"/>
    <n v="4.4240000000000004"/>
    <n v="2.3260000000000001"/>
  </r>
  <r>
    <x v="2"/>
    <x v="12"/>
    <s v="S12000014"/>
    <n v="552"/>
    <n v="1153"/>
    <n v="1705"/>
    <n v="631"/>
    <n v="207"/>
    <n v="838"/>
    <n v="73290"/>
    <n v="2.3260000000000001"/>
    <n v="1.143"/>
    <n v="70431"/>
    <n v="2.4209999999999998"/>
    <n v="1.19"/>
  </r>
  <r>
    <x v="2"/>
    <x v="13"/>
    <s v="S12000015"/>
    <n v="3204"/>
    <n v="3874"/>
    <n v="7078"/>
    <n v="3231"/>
    <n v="1803"/>
    <n v="5034"/>
    <n v="173366"/>
    <n v="4.0830000000000002"/>
    <n v="2.9039999999999999"/>
    <n v="164705"/>
    <n v="4.2969999999999997"/>
    <n v="3.056"/>
  </r>
  <r>
    <x v="2"/>
    <x v="14"/>
    <s v="S12000046"/>
    <n v="2649"/>
    <n v="3737"/>
    <n v="6386"/>
    <n v="2864"/>
    <n v="956"/>
    <n v="3820"/>
    <n v="304013"/>
    <n v="2.101"/>
    <n v="1.2570000000000001"/>
    <n v="287862"/>
    <n v="2.218"/>
    <n v="1.327"/>
  </r>
  <r>
    <x v="2"/>
    <x v="15"/>
    <s v="S12000017"/>
    <n v="1073"/>
    <n v="2605"/>
    <n v="3678"/>
    <n v="1225"/>
    <n v="526"/>
    <n v="1751"/>
    <n v="115538"/>
    <n v="3.1829999999999998"/>
    <n v="1.516"/>
    <n v="106834"/>
    <n v="3.4430000000000001"/>
    <n v="1.639"/>
  </r>
  <r>
    <x v="2"/>
    <x v="16"/>
    <s v="S12000018"/>
    <n v="758"/>
    <n v="936"/>
    <n v="1694"/>
    <n v="685"/>
    <n v="396"/>
    <n v="1081"/>
    <n v="38787"/>
    <n v="4.367"/>
    <n v="2.7869999999999999"/>
    <n v="37426"/>
    <n v="4.5259999999999998"/>
    <n v="2.8879999999999999"/>
  </r>
  <r>
    <x v="2"/>
    <x v="17"/>
    <s v="S12000019"/>
    <n v="574"/>
    <n v="527"/>
    <n v="1101"/>
    <n v="474"/>
    <n v="435"/>
    <n v="909"/>
    <n v="38675"/>
    <n v="2.847"/>
    <n v="2.35"/>
    <n v="37069"/>
    <n v="2.9699999999999998"/>
    <n v="2.452"/>
  </r>
  <r>
    <x v="2"/>
    <x v="18"/>
    <s v="S12000020"/>
    <n v="426"/>
    <n v="479"/>
    <n v="905"/>
    <n v="383"/>
    <n v="384"/>
    <n v="767"/>
    <n v="44096"/>
    <n v="2.052"/>
    <n v="1.7389999999999999"/>
    <n v="41641"/>
    <n v="2.173"/>
    <n v="1.8420000000000001"/>
  </r>
  <r>
    <x v="2"/>
    <x v="19"/>
    <s v="S12000013"/>
    <n v="114"/>
    <n v="205"/>
    <n v="319"/>
    <n v="144"/>
    <n v="41"/>
    <n v="185"/>
    <n v="14577"/>
    <n v="2.1880000000000002"/>
    <n v="1.2690000000000001"/>
    <n v="12968"/>
    <n v="2.46"/>
    <n v="1.427"/>
  </r>
  <r>
    <x v="2"/>
    <x v="20"/>
    <s v="S12000021"/>
    <n v="932"/>
    <n v="1137"/>
    <n v="2069"/>
    <n v="954"/>
    <n v="531"/>
    <n v="1485"/>
    <n v="67590"/>
    <n v="3.0609999999999999"/>
    <n v="2.1970000000000001"/>
    <n v="63189"/>
    <n v="3.274"/>
    <n v="2.35"/>
  </r>
  <r>
    <x v="2"/>
    <x v="21"/>
    <s v="S12000044"/>
    <n v="1654"/>
    <n v="2505"/>
    <n v="4159"/>
    <n v="2213"/>
    <n v="542"/>
    <n v="2755"/>
    <n v="152293"/>
    <n v="2.7309999999999999"/>
    <n v="1.8090000000000002"/>
    <n v="149282"/>
    <n v="2.786"/>
    <n v="1.8460000000000001"/>
  </r>
  <r>
    <x v="2"/>
    <x v="22"/>
    <s v="S12000023"/>
    <n v="134"/>
    <n v="192"/>
    <n v="326"/>
    <n v="109"/>
    <n v="92"/>
    <n v="201"/>
    <n v="10924"/>
    <n v="2.984"/>
    <n v="1.8399999999999999"/>
    <n v="10146"/>
    <n v="3.2130000000000001"/>
    <n v="1.9809999999999999"/>
  </r>
  <r>
    <x v="2"/>
    <x v="23"/>
    <s v="S12000024"/>
    <n v="443"/>
    <n v="1554"/>
    <n v="1997"/>
    <n v="437"/>
    <n v="234"/>
    <n v="671"/>
    <n v="70828"/>
    <n v="2.82"/>
    <n v="0.94699999999999995"/>
    <n v="66545"/>
    <n v="3.0009999999999999"/>
    <n v="1.008"/>
  </r>
  <r>
    <x v="2"/>
    <x v="24"/>
    <s v="S12000038"/>
    <n v="794"/>
    <n v="944"/>
    <n v="1738"/>
    <n v="865"/>
    <n v="399"/>
    <n v="1264"/>
    <n v="84997"/>
    <n v="2.0449999999999999"/>
    <n v="1.4870000000000001"/>
    <n v="83245"/>
    <n v="2.0880000000000001"/>
    <n v="1.518"/>
  </r>
  <r>
    <x v="2"/>
    <x v="25"/>
    <s v="S12000026"/>
    <n v="1347"/>
    <n v="1196"/>
    <n v="2543"/>
    <n v="802"/>
    <n v="1330"/>
    <n v="2132"/>
    <n v="57628"/>
    <n v="4.4130000000000003"/>
    <n v="3.7"/>
    <n v="53351"/>
    <n v="4.7670000000000003"/>
    <n v="3.996"/>
  </r>
  <r>
    <x v="2"/>
    <x v="26"/>
    <s v="S12000027"/>
    <n v="100"/>
    <n v="177"/>
    <n v="277"/>
    <n v="101"/>
    <n v="94"/>
    <n v="195"/>
    <n v="11021"/>
    <n v="2.5129999999999999"/>
    <n v="1.7690000000000001"/>
    <n v="10235"/>
    <n v="2.706"/>
    <n v="1.905"/>
  </r>
  <r>
    <x v="2"/>
    <x v="27"/>
    <s v="S12000028"/>
    <n v="657"/>
    <n v="731"/>
    <n v="1388"/>
    <n v="688"/>
    <n v="380"/>
    <n v="1068"/>
    <n v="54635"/>
    <n v="2.54"/>
    <n v="1.9550000000000001"/>
    <n v="51912"/>
    <n v="2.6739999999999999"/>
    <n v="2.0569999999999999"/>
  </r>
  <r>
    <x v="2"/>
    <x v="28"/>
    <s v="S12000029"/>
    <n v="1189"/>
    <n v="2143"/>
    <n v="3332"/>
    <n v="1396"/>
    <n v="511"/>
    <n v="1907"/>
    <n v="147849"/>
    <n v="2.254"/>
    <n v="1.29"/>
    <n v="143313"/>
    <n v="2.3250000000000002"/>
    <n v="1.331"/>
  </r>
  <r>
    <x v="2"/>
    <x v="29"/>
    <s v="S12000030"/>
    <n v="358"/>
    <n v="653"/>
    <n v="1011"/>
    <n v="384"/>
    <n v="181"/>
    <n v="565"/>
    <n v="40646"/>
    <n v="2.4870000000000001"/>
    <n v="1.3900000000000001"/>
    <n v="38665"/>
    <n v="2.6150000000000002"/>
    <n v="1.4610000000000001"/>
  </r>
  <r>
    <x v="2"/>
    <x v="30"/>
    <s v="S12000039"/>
    <n v="470"/>
    <n v="934"/>
    <n v="1404"/>
    <n v="586"/>
    <n v="154"/>
    <n v="740"/>
    <n v="45056"/>
    <n v="3.1160000000000001"/>
    <n v="1.6419999999999999"/>
    <n v="42571"/>
    <n v="3.298"/>
    <n v="1.738"/>
  </r>
  <r>
    <x v="2"/>
    <x v="31"/>
    <s v="S12000040"/>
    <n v="1092"/>
    <n v="779"/>
    <n v="1871"/>
    <n v="1051"/>
    <n v="659"/>
    <n v="1710"/>
    <n v="77834"/>
    <n v="2.4039999999999999"/>
    <n v="2.1970000000000001"/>
    <n v="75782"/>
    <n v="2.4689999999999999"/>
    <n v="2.2560000000000002"/>
  </r>
  <r>
    <x v="3"/>
    <x v="0"/>
    <s v="S12000033"/>
    <n v="466"/>
    <n v="1427"/>
    <n v="1893"/>
    <n v="374"/>
    <n v="299"/>
    <n v="673"/>
    <n v="115080"/>
    <n v="1.645"/>
    <n v="0.58499999999999996"/>
    <n v="106749"/>
    <n v="1.7730000000000001"/>
    <n v="0.63"/>
  </r>
  <r>
    <x v="3"/>
    <x v="1"/>
    <s v="S12000034"/>
    <n v="739"/>
    <n v="1595"/>
    <n v="2334"/>
    <n v="712"/>
    <n v="510"/>
    <n v="1222"/>
    <n v="116421"/>
    <n v="2.0049999999999999"/>
    <n v="1.05"/>
    <n v="110296"/>
    <n v="2.1160000000000001"/>
    <n v="1.1080000000000001"/>
  </r>
  <r>
    <x v="3"/>
    <x v="2"/>
    <s v="S12000041"/>
    <n v="499"/>
    <n v="1528"/>
    <n v="2027"/>
    <n v="450"/>
    <n v="277"/>
    <n v="727"/>
    <n v="55872"/>
    <n v="3.6280000000000001"/>
    <n v="1.3009999999999999"/>
    <n v="53333"/>
    <n v="3.8010000000000002"/>
    <n v="1.363"/>
  </r>
  <r>
    <x v="3"/>
    <x v="3"/>
    <s v="S12000035"/>
    <n v="630"/>
    <n v="925"/>
    <n v="1555"/>
    <n v="481"/>
    <n v="497"/>
    <n v="978"/>
    <n v="47780"/>
    <n v="3.254"/>
    <n v="2.0470000000000002"/>
    <n v="41040"/>
    <n v="3.7890000000000001"/>
    <n v="2.383"/>
  </r>
  <r>
    <x v="3"/>
    <x v="4"/>
    <s v="S12000036"/>
    <n v="2671"/>
    <n v="2368"/>
    <n v="5039"/>
    <n v="2446"/>
    <n v="1264"/>
    <n v="3710"/>
    <n v="244131"/>
    <n v="2.0640000000000001"/>
    <n v="1.52"/>
    <n v="231383"/>
    <n v="2.1779999999999999"/>
    <n v="1.603"/>
  </r>
  <r>
    <x v="3"/>
    <x v="5"/>
    <s v="S12000005"/>
    <n v="270"/>
    <n v="361"/>
    <n v="631"/>
    <n v="281"/>
    <n v="120"/>
    <n v="401"/>
    <n v="24221"/>
    <n v="2.605"/>
    <n v="1.6560000000000001"/>
    <n v="23401"/>
    <n v="2.6959999999999997"/>
    <n v="1.714"/>
  </r>
  <r>
    <x v="3"/>
    <x v="6"/>
    <s v="S12000006"/>
    <n v="1262"/>
    <n v="848"/>
    <n v="2110"/>
    <n v="1150"/>
    <n v="642"/>
    <n v="1792"/>
    <n v="74453"/>
    <n v="2.8340000000000001"/>
    <n v="2.407"/>
    <n v="69202"/>
    <n v="3.0489999999999999"/>
    <n v="2.59"/>
  </r>
  <r>
    <x v="3"/>
    <x v="7"/>
    <s v="S12000042"/>
    <n v="870"/>
    <n v="3054"/>
    <n v="3924"/>
    <n v="823"/>
    <n v="377"/>
    <n v="1200"/>
    <n v="74026"/>
    <n v="5.3010000000000002"/>
    <n v="1.621"/>
    <n v="69635"/>
    <n v="5.6349999999999998"/>
    <n v="1.7229999999999999"/>
  </r>
  <r>
    <x v="3"/>
    <x v="8"/>
    <s v="S12000008"/>
    <n v="574"/>
    <n v="681"/>
    <n v="1255"/>
    <n v="584"/>
    <n v="364"/>
    <n v="948"/>
    <n v="57873"/>
    <n v="2.169"/>
    <n v="1.6379999999999999"/>
    <n v="54748"/>
    <n v="2.2919999999999998"/>
    <n v="1.732"/>
  </r>
  <r>
    <x v="3"/>
    <x v="9"/>
    <s v="S12000045"/>
    <n v="720"/>
    <n v="659"/>
    <n v="1379"/>
    <n v="857"/>
    <n v="291"/>
    <n v="1148"/>
    <n v="46026"/>
    <n v="2.996"/>
    <n v="2.4939999999999998"/>
    <n v="45350"/>
    <n v="3.0409999999999999"/>
    <n v="2.5310000000000001"/>
  </r>
  <r>
    <x v="3"/>
    <x v="10"/>
    <s v="S12000010"/>
    <n v="596"/>
    <n v="578"/>
    <n v="1174"/>
    <n v="608"/>
    <n v="364"/>
    <n v="972"/>
    <n v="46672"/>
    <n v="2.5150000000000001"/>
    <n v="2.0830000000000002"/>
    <n v="44749"/>
    <n v="2.6240000000000001"/>
    <n v="2.1720000000000002"/>
  </r>
  <r>
    <x v="3"/>
    <x v="11"/>
    <s v="S12000011"/>
    <n v="644"/>
    <n v="916"/>
    <n v="1560"/>
    <n v="686"/>
    <n v="274"/>
    <n v="960"/>
    <n v="38389"/>
    <n v="4.0640000000000001"/>
    <n v="2.5009999999999999"/>
    <n v="38581"/>
    <n v="4.0430000000000001"/>
    <n v="2.488"/>
  </r>
  <r>
    <x v="3"/>
    <x v="12"/>
    <s v="S12000014"/>
    <n v="570"/>
    <n v="980"/>
    <n v="1550"/>
    <n v="612"/>
    <n v="266"/>
    <n v="878"/>
    <n v="73767"/>
    <n v="2.101"/>
    <n v="1.19"/>
    <n v="71072"/>
    <n v="2.181"/>
    <n v="1.2349999999999999"/>
  </r>
  <r>
    <x v="3"/>
    <x v="13"/>
    <s v="S12000015"/>
    <n v="3394"/>
    <n v="3061"/>
    <n v="6455"/>
    <n v="3465"/>
    <n v="1854"/>
    <n v="5319"/>
    <n v="174528"/>
    <n v="3.6989999999999998"/>
    <n v="3.048"/>
    <n v="165833"/>
    <n v="3.8919999999999999"/>
    <n v="3.2069999999999999"/>
  </r>
  <r>
    <x v="3"/>
    <x v="14"/>
    <s v="S12000046"/>
    <n v="2486"/>
    <n v="3499"/>
    <n v="5985"/>
    <n v="2532"/>
    <n v="949"/>
    <n v="3481"/>
    <n v="306000"/>
    <n v="1.956"/>
    <n v="1.1379999999999999"/>
    <n v="289399"/>
    <n v="2.0680000000000001"/>
    <n v="1.2030000000000001"/>
  </r>
  <r>
    <x v="3"/>
    <x v="15"/>
    <s v="S12000017"/>
    <n v="1215"/>
    <n v="3439"/>
    <n v="4654"/>
    <n v="1204"/>
    <n v="702"/>
    <n v="1906"/>
    <n v="116453"/>
    <n v="3.996"/>
    <n v="1.637"/>
    <n v="107573"/>
    <n v="4.3259999999999996"/>
    <n v="1.772"/>
  </r>
  <r>
    <x v="3"/>
    <x v="16"/>
    <s v="S12000018"/>
    <n v="797"/>
    <n v="1003"/>
    <n v="1800"/>
    <n v="621"/>
    <n v="567"/>
    <n v="1188"/>
    <n v="38835"/>
    <n v="4.6349999999999998"/>
    <n v="3.0590000000000002"/>
    <n v="37586"/>
    <n v="4.7889999999999997"/>
    <n v="3.161"/>
  </r>
  <r>
    <x v="3"/>
    <x v="17"/>
    <s v="S12000019"/>
    <n v="528"/>
    <n v="438"/>
    <n v="966"/>
    <n v="416"/>
    <n v="424"/>
    <n v="840"/>
    <n v="39297"/>
    <n v="2.4580000000000002"/>
    <n v="2.1379999999999999"/>
    <n v="37766"/>
    <n v="2.5579999999999998"/>
    <n v="2.2240000000000002"/>
  </r>
  <r>
    <x v="3"/>
    <x v="18"/>
    <s v="S12000020"/>
    <n v="768"/>
    <n v="1016"/>
    <n v="1784"/>
    <n v="709"/>
    <n v="647"/>
    <n v="1356"/>
    <n v="44454"/>
    <n v="4.0129999999999999"/>
    <n v="3.05"/>
    <n v="41961"/>
    <n v="4.2519999999999998"/>
    <n v="3.2320000000000002"/>
  </r>
  <r>
    <x v="3"/>
    <x v="19"/>
    <s v="S12000013"/>
    <n v="94"/>
    <n v="249"/>
    <n v="343"/>
    <n v="95"/>
    <n v="46"/>
    <n v="141"/>
    <n v="14599"/>
    <n v="2.3490000000000002"/>
    <n v="0.96599999999999997"/>
    <n v="12951"/>
    <n v="2.6480000000000001"/>
    <n v="1.089"/>
  </r>
  <r>
    <x v="3"/>
    <x v="20"/>
    <s v="S12000021"/>
    <n v="905"/>
    <n v="1053"/>
    <n v="1958"/>
    <n v="831"/>
    <n v="575"/>
    <n v="1406"/>
    <n v="67800"/>
    <n v="2.8879999999999999"/>
    <n v="2.0739999999999998"/>
    <n v="63440"/>
    <n v="3.0859999999999999"/>
    <n v="2.2160000000000002"/>
  </r>
  <r>
    <x v="3"/>
    <x v="21"/>
    <s v="S12000044"/>
    <n v="1400"/>
    <n v="2084"/>
    <n v="3484"/>
    <n v="1722"/>
    <n v="548"/>
    <n v="2270"/>
    <n v="153388"/>
    <n v="2.2709999999999999"/>
    <n v="1.48"/>
    <n v="150364"/>
    <n v="2.3170000000000002"/>
    <n v="1.51"/>
  </r>
  <r>
    <x v="3"/>
    <x v="22"/>
    <s v="S12000023"/>
    <n v="116"/>
    <n v="272"/>
    <n v="388"/>
    <n v="90"/>
    <n v="90"/>
    <n v="180"/>
    <n v="11063"/>
    <n v="3.5070000000000001"/>
    <n v="1.627"/>
    <n v="10256"/>
    <n v="3.7829999999999999"/>
    <n v="1.7549999999999999"/>
  </r>
  <r>
    <x v="3"/>
    <x v="23"/>
    <s v="S12000024"/>
    <n v="466"/>
    <n v="1489"/>
    <n v="1955"/>
    <n v="375"/>
    <n v="285"/>
    <n v="660"/>
    <n v="71347"/>
    <n v="2.74"/>
    <n v="0.92500000000000004"/>
    <n v="67101"/>
    <n v="2.9140000000000001"/>
    <n v="0.98399999999999999"/>
  </r>
  <r>
    <x v="3"/>
    <x v="24"/>
    <s v="S12000038"/>
    <n v="1030"/>
    <n v="1105"/>
    <n v="2135"/>
    <n v="905"/>
    <n v="674"/>
    <n v="1579"/>
    <n v="85724"/>
    <n v="2.4910000000000001"/>
    <n v="1.8420000000000001"/>
    <n v="84025"/>
    <n v="2.5409999999999999"/>
    <n v="1.879"/>
  </r>
  <r>
    <x v="3"/>
    <x v="25"/>
    <s v="S12000026"/>
    <n v="1359"/>
    <n v="1478"/>
    <n v="2837"/>
    <n v="832"/>
    <n v="1288"/>
    <n v="2120"/>
    <n v="57940"/>
    <n v="4.8959999999999999"/>
    <n v="3.6589999999999998"/>
    <n v="53787"/>
    <n v="5.2750000000000004"/>
    <n v="3.9409999999999998"/>
  </r>
  <r>
    <x v="3"/>
    <x v="26"/>
    <s v="S12000027"/>
    <n v="86"/>
    <n v="283"/>
    <n v="369"/>
    <n v="90"/>
    <n v="70"/>
    <n v="160"/>
    <n v="11109"/>
    <n v="3.3220000000000001"/>
    <n v="1.44"/>
    <n v="10283"/>
    <n v="3.5880000000000001"/>
    <n v="1.556"/>
  </r>
  <r>
    <x v="3"/>
    <x v="27"/>
    <s v="S12000028"/>
    <n v="691"/>
    <n v="784"/>
    <n v="1475"/>
    <n v="697"/>
    <n v="405"/>
    <n v="1102"/>
    <n v="54942"/>
    <n v="2.6850000000000001"/>
    <n v="2.0059999999999998"/>
    <n v="51923"/>
    <n v="2.8410000000000002"/>
    <n v="2.1219999999999999"/>
  </r>
  <r>
    <x v="3"/>
    <x v="28"/>
    <s v="S12000029"/>
    <n v="1304"/>
    <n v="2091"/>
    <n v="3395"/>
    <n v="1516"/>
    <n v="593"/>
    <n v="2109"/>
    <n v="148771"/>
    <n v="2.282"/>
    <n v="1.4179999999999999"/>
    <n v="144148"/>
    <n v="2.355"/>
    <n v="1.4630000000000001"/>
  </r>
  <r>
    <x v="3"/>
    <x v="29"/>
    <s v="S12000030"/>
    <n v="336"/>
    <n v="720"/>
    <n v="1056"/>
    <n v="334"/>
    <n v="201"/>
    <n v="535"/>
    <n v="40998"/>
    <n v="2.5760000000000001"/>
    <n v="1.3049999999999999"/>
    <n v="38951"/>
    <n v="2.7109999999999999"/>
    <n v="1.3740000000000001"/>
  </r>
  <r>
    <x v="3"/>
    <x v="30"/>
    <s v="S12000039"/>
    <n v="558"/>
    <n v="1035"/>
    <n v="1593"/>
    <n v="620"/>
    <n v="238"/>
    <n v="858"/>
    <n v="45104"/>
    <n v="3.532"/>
    <n v="1.9020000000000001"/>
    <n v="42657"/>
    <n v="3.734"/>
    <n v="2.0110000000000001"/>
  </r>
  <r>
    <x v="3"/>
    <x v="31"/>
    <s v="S12000040"/>
    <n v="972"/>
    <n v="766"/>
    <n v="1738"/>
    <n v="837"/>
    <n v="665"/>
    <n v="1502"/>
    <n v="78604"/>
    <n v="2.2109999999999999"/>
    <n v="1.911"/>
    <n v="76630"/>
    <n v="2.2679999999999998"/>
    <n v="1.96"/>
  </r>
  <r>
    <x v="4"/>
    <x v="0"/>
    <s v="S12000033"/>
    <n v="478"/>
    <n v="1669"/>
    <n v="2147"/>
    <n v="432"/>
    <n v="260"/>
    <n v="692"/>
    <n v="116821"/>
    <n v="1.8380000000000001"/>
    <n v="0.59199999999999997"/>
    <n v="106802"/>
    <n v="2.0099999999999998"/>
    <n v="0.64800000000000002"/>
  </r>
  <r>
    <x v="4"/>
    <x v="1"/>
    <s v="S12000034"/>
    <n v="735"/>
    <n v="1405"/>
    <n v="2140"/>
    <n v="828"/>
    <n v="451"/>
    <n v="1279"/>
    <n v="117363"/>
    <n v="1.823"/>
    <n v="1.0900000000000001"/>
    <n v="110941"/>
    <n v="1.929"/>
    <n v="1.153"/>
  </r>
  <r>
    <x v="4"/>
    <x v="2"/>
    <s v="S12000041"/>
    <n v="469"/>
    <n v="1121"/>
    <n v="1590"/>
    <n v="434"/>
    <n v="216"/>
    <n v="650"/>
    <n v="56135"/>
    <n v="2.8319999999999999"/>
    <n v="1.1579999999999999"/>
    <n v="53627"/>
    <n v="2.9649999999999999"/>
    <n v="1.212"/>
  </r>
  <r>
    <x v="4"/>
    <x v="3"/>
    <s v="S12000035"/>
    <n v="650"/>
    <n v="1030"/>
    <n v="1680"/>
    <n v="503"/>
    <n v="462"/>
    <n v="965"/>
    <n v="47884"/>
    <n v="3.508"/>
    <n v="2.0150000000000001"/>
    <n v="41455"/>
    <n v="4.0529999999999999"/>
    <n v="2.3279999999999998"/>
  </r>
  <r>
    <x v="4"/>
    <x v="4"/>
    <s v="S12000036"/>
    <n v="2302"/>
    <n v="2298"/>
    <n v="4600"/>
    <n v="2309"/>
    <n v="888"/>
    <n v="3197"/>
    <n v="246818"/>
    <n v="1.8639999999999999"/>
    <n v="1.2949999999999999"/>
    <n v="233369"/>
    <n v="1.9710000000000001"/>
    <n v="1.37"/>
  </r>
  <r>
    <x v="4"/>
    <x v="5"/>
    <s v="S12000005"/>
    <n v="204"/>
    <n v="360"/>
    <n v="564"/>
    <n v="230"/>
    <n v="85"/>
    <n v="315"/>
    <n v="24377"/>
    <n v="2.3140000000000001"/>
    <n v="1.292"/>
    <n v="23563"/>
    <n v="2.3940000000000001"/>
    <n v="1.337"/>
  </r>
  <r>
    <x v="4"/>
    <x v="6"/>
    <s v="S12000006"/>
    <n v="1115"/>
    <n v="836"/>
    <n v="1951"/>
    <n v="1083"/>
    <n v="534"/>
    <n v="1617"/>
    <n v="74687"/>
    <n v="2.6120000000000001"/>
    <n v="2.165"/>
    <n v="69503"/>
    <n v="2.8069999999999999"/>
    <n v="2.327"/>
  </r>
  <r>
    <x v="4"/>
    <x v="7"/>
    <s v="S12000042"/>
    <n v="662"/>
    <n v="2304"/>
    <n v="2966"/>
    <n v="626"/>
    <n v="289"/>
    <n v="915"/>
    <n v="74354"/>
    <n v="3.9889999999999999"/>
    <n v="1.2310000000000001"/>
    <n v="70049"/>
    <n v="4.234"/>
    <n v="1.306"/>
  </r>
  <r>
    <x v="4"/>
    <x v="8"/>
    <s v="S12000008"/>
    <n v="485"/>
    <n v="664"/>
    <n v="1149"/>
    <n v="538"/>
    <n v="276"/>
    <n v="814"/>
    <n v="58158"/>
    <n v="1.976"/>
    <n v="1.4"/>
    <n v="54873"/>
    <n v="2.0939999999999999"/>
    <n v="1.4830000000000001"/>
  </r>
  <r>
    <x v="4"/>
    <x v="9"/>
    <s v="S12000045"/>
    <n v="721"/>
    <n v="684"/>
    <n v="1405"/>
    <n v="764"/>
    <n v="348"/>
    <n v="1112"/>
    <n v="46430"/>
    <n v="3.0259999999999998"/>
    <n v="2.395"/>
    <n v="45690"/>
    <n v="3.0750000000000002"/>
    <n v="2.4340000000000002"/>
  </r>
  <r>
    <x v="4"/>
    <x v="10"/>
    <s v="S12000010"/>
    <n v="540"/>
    <n v="494"/>
    <n v="1034"/>
    <n v="544"/>
    <n v="339"/>
    <n v="883"/>
    <n v="47407"/>
    <n v="2.181"/>
    <n v="1.863"/>
    <n v="45301"/>
    <n v="2.2829999999999999"/>
    <n v="1.9489999999999998"/>
  </r>
  <r>
    <x v="4"/>
    <x v="11"/>
    <s v="S12000011"/>
    <n v="604"/>
    <n v="662"/>
    <n v="1266"/>
    <n v="700"/>
    <n v="194"/>
    <n v="894"/>
    <n v="38677"/>
    <n v="3.2730000000000001"/>
    <n v="2.3109999999999999"/>
    <n v="38899"/>
    <n v="3.2549999999999999"/>
    <n v="2.298"/>
  </r>
  <r>
    <x v="4"/>
    <x v="12"/>
    <s v="S12000014"/>
    <n v="512"/>
    <n v="1083"/>
    <n v="1595"/>
    <n v="530"/>
    <n v="280"/>
    <n v="810"/>
    <n v="74361"/>
    <n v="2.145"/>
    <n v="1.089"/>
    <n v="71800"/>
    <n v="2.2210000000000001"/>
    <n v="1.1280000000000001"/>
  </r>
  <r>
    <x v="4"/>
    <x v="13"/>
    <s v="S12000015"/>
    <n v="3137"/>
    <n v="3403"/>
    <n v="6540"/>
    <n v="3292"/>
    <n v="1655"/>
    <n v="4947"/>
    <n v="175915"/>
    <n v="3.718"/>
    <n v="2.8120000000000003"/>
    <n v="166960"/>
    <n v="3.9169999999999998"/>
    <n v="2.9630000000000001"/>
  </r>
  <r>
    <x v="4"/>
    <x v="14"/>
    <s v="S12000046"/>
    <n v="2973"/>
    <n v="5059"/>
    <n v="8032"/>
    <n v="3089"/>
    <n v="982"/>
    <n v="4071"/>
    <n v="308293"/>
    <n v="2.605"/>
    <n v="1.32"/>
    <n v="291115"/>
    <n v="2.7589999999999999"/>
    <n v="1.3980000000000001"/>
  </r>
  <r>
    <x v="4"/>
    <x v="15"/>
    <s v="S12000017"/>
    <n v="1288"/>
    <n v="3926"/>
    <n v="5214"/>
    <n v="1385"/>
    <n v="742"/>
    <n v="2127"/>
    <n v="117291"/>
    <n v="4.4450000000000003"/>
    <n v="1.8129999999999999"/>
    <n v="108319"/>
    <n v="4.8140000000000001"/>
    <n v="1.964"/>
  </r>
  <r>
    <x v="4"/>
    <x v="16"/>
    <s v="S12000018"/>
    <n v="712"/>
    <n v="764"/>
    <n v="1476"/>
    <n v="621"/>
    <n v="402"/>
    <n v="1023"/>
    <n v="38848"/>
    <n v="3.7989999999999999"/>
    <n v="2.633"/>
    <n v="37651"/>
    <n v="3.92"/>
    <n v="2.7170000000000001"/>
  </r>
  <r>
    <x v="4"/>
    <x v="17"/>
    <s v="S12000019"/>
    <n v="489"/>
    <n v="509"/>
    <n v="998"/>
    <n v="349"/>
    <n v="448"/>
    <n v="797"/>
    <n v="39937"/>
    <n v="2.4990000000000001"/>
    <n v="1.996"/>
    <n v="38557"/>
    <n v="2.5880000000000001"/>
    <n v="2.0670000000000002"/>
  </r>
  <r>
    <x v="4"/>
    <x v="18"/>
    <s v="S12000020"/>
    <n v="609"/>
    <n v="826"/>
    <n v="1435"/>
    <n v="554"/>
    <n v="522"/>
    <n v="1076"/>
    <n v="44838"/>
    <n v="3.2"/>
    <n v="2.4"/>
    <n v="42269"/>
    <n v="3.395"/>
    <n v="2.5460000000000003"/>
  </r>
  <r>
    <x v="4"/>
    <x v="19"/>
    <s v="S12000013"/>
    <n v="125"/>
    <n v="224"/>
    <n v="349"/>
    <n v="171"/>
    <n v="11"/>
    <n v="182"/>
    <n v="14714"/>
    <n v="2.3719999999999999"/>
    <n v="1.2370000000000001"/>
    <n v="12805"/>
    <n v="2.7250000000000001"/>
    <n v="1.421"/>
  </r>
  <r>
    <x v="4"/>
    <x v="20"/>
    <s v="S12000021"/>
    <n v="805"/>
    <n v="932"/>
    <n v="1737"/>
    <n v="822"/>
    <n v="457"/>
    <n v="1279"/>
    <n v="67960"/>
    <n v="2.556"/>
    <n v="1.8820000000000001"/>
    <n v="63756"/>
    <n v="2.7240000000000002"/>
    <n v="2.0059999999999998"/>
  </r>
  <r>
    <x v="4"/>
    <x v="21"/>
    <s v="S12000044"/>
    <n v="1327"/>
    <n v="1990"/>
    <n v="3317"/>
    <n v="1744"/>
    <n v="446"/>
    <n v="2190"/>
    <n v="154286"/>
    <n v="2.15"/>
    <n v="1.419"/>
    <n v="151155"/>
    <n v="2.194"/>
    <n v="1.4490000000000001"/>
  </r>
  <r>
    <x v="4"/>
    <x v="22"/>
    <s v="S12000023"/>
    <n v="126"/>
    <n v="250"/>
    <n v="376"/>
    <n v="88"/>
    <n v="105"/>
    <n v="193"/>
    <n v="11192"/>
    <n v="3.36"/>
    <n v="1.724"/>
    <n v="10385"/>
    <n v="3.621"/>
    <n v="1.8580000000000001"/>
  </r>
  <r>
    <x v="4"/>
    <x v="23"/>
    <s v="S12000024"/>
    <n v="484"/>
    <n v="1014"/>
    <n v="1498"/>
    <n v="451"/>
    <n v="265"/>
    <n v="716"/>
    <n v="71810"/>
    <n v="2.0859999999999999"/>
    <n v="0.997"/>
    <n v="67618"/>
    <n v="2.2149999999999999"/>
    <n v="1.0589999999999999"/>
  </r>
  <r>
    <x v="4"/>
    <x v="24"/>
    <s v="S12000038"/>
    <n v="1137"/>
    <n v="1411"/>
    <n v="2548"/>
    <n v="1077"/>
    <n v="656"/>
    <n v="1733"/>
    <n v="86449"/>
    <n v="2.9470000000000001"/>
    <n v="2.0049999999999999"/>
    <n v="84938"/>
    <n v="3"/>
    <n v="2.04"/>
  </r>
  <r>
    <x v="4"/>
    <x v="25"/>
    <s v="S12000026"/>
    <n v="1121"/>
    <n v="1263"/>
    <n v="2384"/>
    <n v="779"/>
    <n v="941"/>
    <n v="1720"/>
    <n v="58167"/>
    <n v="4.0990000000000002"/>
    <n v="2.9569999999999999"/>
    <n v="54306"/>
    <n v="4.3899999999999997"/>
    <n v="3.1669999999999998"/>
  </r>
  <r>
    <x v="4"/>
    <x v="26"/>
    <s v="S12000027"/>
    <n v="113"/>
    <n v="212"/>
    <n v="325"/>
    <n v="128"/>
    <n v="76"/>
    <n v="204"/>
    <n v="11180"/>
    <n v="2.907"/>
    <n v="1.825"/>
    <n v="10341"/>
    <n v="3.1429999999999998"/>
    <n v="1.9729999999999999"/>
  </r>
  <r>
    <x v="4"/>
    <x v="27"/>
    <s v="S12000028"/>
    <n v="543"/>
    <n v="765"/>
    <n v="1308"/>
    <n v="559"/>
    <n v="334"/>
    <n v="893"/>
    <n v="55252"/>
    <n v="2.367"/>
    <n v="1.6160000000000001"/>
    <n v="52104"/>
    <n v="2.5099999999999998"/>
    <n v="1.714"/>
  </r>
  <r>
    <x v="4"/>
    <x v="28"/>
    <s v="S12000029"/>
    <n v="1336"/>
    <n v="2180"/>
    <n v="3516"/>
    <n v="1607"/>
    <n v="503"/>
    <n v="2110"/>
    <n v="149972"/>
    <n v="2.3439999999999999"/>
    <n v="1.407"/>
    <n v="145182"/>
    <n v="2.4220000000000002"/>
    <n v="1.4530000000000001"/>
  </r>
  <r>
    <x v="4"/>
    <x v="29"/>
    <s v="S12000030"/>
    <n v="335"/>
    <n v="625"/>
    <n v="960"/>
    <n v="315"/>
    <n v="213"/>
    <n v="528"/>
    <n v="41250"/>
    <n v="2.327"/>
    <n v="1.28"/>
    <n v="39285"/>
    <n v="2.444"/>
    <n v="1.3439999999999999"/>
  </r>
  <r>
    <x v="4"/>
    <x v="30"/>
    <s v="S12000039"/>
    <n v="653"/>
    <n v="1022"/>
    <n v="1675"/>
    <n v="712"/>
    <n v="285"/>
    <n v="997"/>
    <n v="45093"/>
    <n v="3.7149999999999999"/>
    <n v="2.2109999999999999"/>
    <n v="42746"/>
    <n v="3.9180000000000001"/>
    <n v="2.3319999999999999"/>
  </r>
  <r>
    <x v="4"/>
    <x v="31"/>
    <s v="S12000040"/>
    <n v="964"/>
    <n v="1092"/>
    <n v="2056"/>
    <n v="850"/>
    <n v="606"/>
    <n v="1456"/>
    <n v="79112"/>
    <n v="2.5990000000000002"/>
    <n v="1.8399999999999999"/>
    <n v="77369"/>
    <n v="2.657"/>
    <n v="1.8820000000000001"/>
  </r>
  <r>
    <x v="5"/>
    <x v="0"/>
    <s v="S12000033"/>
    <n v="569"/>
    <n v="2176"/>
    <n v="2745"/>
    <n v="546"/>
    <n v="278"/>
    <n v="824"/>
    <n v="118131"/>
    <n v="2.3239999999999998"/>
    <n v="0.69799999999999995"/>
    <n v="107586"/>
    <n v="2.5510000000000002"/>
    <n v="0.76600000000000001"/>
  </r>
  <r>
    <x v="5"/>
    <x v="1"/>
    <s v="S12000034"/>
    <n v="564"/>
    <n v="1206"/>
    <n v="1770"/>
    <n v="618"/>
    <n v="336"/>
    <n v="954"/>
    <n v="118197"/>
    <n v="1.4969999999999999"/>
    <n v="0.80700000000000005"/>
    <n v="111156"/>
    <n v="1.5920000000000001"/>
    <n v="0.85799999999999998"/>
  </r>
  <r>
    <x v="5"/>
    <x v="2"/>
    <s v="S12000041"/>
    <n v="429"/>
    <n v="1339"/>
    <n v="1768"/>
    <n v="450"/>
    <n v="177"/>
    <n v="627"/>
    <n v="56485"/>
    <n v="3.13"/>
    <n v="1.1100000000000001"/>
    <n v="53888"/>
    <n v="3.2810000000000001"/>
    <n v="1.1639999999999999"/>
  </r>
  <r>
    <x v="5"/>
    <x v="3"/>
    <s v="S12000035"/>
    <n v="531"/>
    <n v="939"/>
    <n v="1470"/>
    <n v="480"/>
    <n v="351"/>
    <n v="831"/>
    <n v="48020"/>
    <n v="3.0609999999999999"/>
    <n v="1.7309999999999999"/>
    <n v="41630"/>
    <n v="3.5310000000000001"/>
    <n v="1.996"/>
  </r>
  <r>
    <x v="5"/>
    <x v="4"/>
    <s v="S12000036"/>
    <n v="1893"/>
    <n v="2567"/>
    <n v="4460"/>
    <n v="1882"/>
    <n v="776"/>
    <n v="2658"/>
    <n v="249810"/>
    <n v="1.7850000000000001"/>
    <n v="1.0640000000000001"/>
    <n v="235771"/>
    <n v="1.8919999999999999"/>
    <n v="1.127"/>
  </r>
  <r>
    <x v="5"/>
    <x v="5"/>
    <s v="S12000005"/>
    <n v="219"/>
    <n v="372"/>
    <n v="591"/>
    <n v="235"/>
    <n v="82"/>
    <n v="317"/>
    <n v="24524"/>
    <n v="2.41"/>
    <n v="1.2929999999999999"/>
    <n v="23674"/>
    <n v="2.496"/>
    <n v="1.339"/>
  </r>
  <r>
    <x v="5"/>
    <x v="6"/>
    <s v="S12000006"/>
    <n v="1028"/>
    <n v="721"/>
    <n v="1749"/>
    <n v="1107"/>
    <n v="447"/>
    <n v="1554"/>
    <n v="74823"/>
    <n v="2.3380000000000001"/>
    <n v="2.077"/>
    <n v="69586"/>
    <n v="2.5129999999999999"/>
    <n v="2.2330000000000001"/>
  </r>
  <r>
    <x v="5"/>
    <x v="7"/>
    <s v="S12000042"/>
    <n v="692"/>
    <n v="2702"/>
    <n v="3394"/>
    <n v="680"/>
    <n v="318"/>
    <n v="998"/>
    <n v="74531"/>
    <n v="4.5540000000000003"/>
    <n v="1.339"/>
    <n v="70337"/>
    <n v="4.8250000000000002"/>
    <n v="1.419"/>
  </r>
  <r>
    <x v="5"/>
    <x v="8"/>
    <s v="S12000008"/>
    <n v="421"/>
    <n v="656"/>
    <n v="1077"/>
    <n v="446"/>
    <n v="251"/>
    <n v="697"/>
    <n v="58453"/>
    <n v="1.843"/>
    <n v="1.1919999999999999"/>
    <n v="55107"/>
    <n v="1.954"/>
    <n v="1.2650000000000001"/>
  </r>
  <r>
    <x v="5"/>
    <x v="9"/>
    <s v="S12000045"/>
    <n v="653"/>
    <n v="579"/>
    <n v="1232"/>
    <n v="755"/>
    <n v="285"/>
    <n v="1040"/>
    <n v="46721"/>
    <n v="2.637"/>
    <n v="2.226"/>
    <n v="46023"/>
    <n v="2.677"/>
    <n v="2.2599999999999998"/>
  </r>
  <r>
    <x v="5"/>
    <x v="10"/>
    <s v="S12000010"/>
    <n v="440"/>
    <n v="524"/>
    <n v="964"/>
    <n v="530"/>
    <n v="193"/>
    <n v="723"/>
    <n v="48055"/>
    <n v="2.0059999999999998"/>
    <n v="1.5049999999999999"/>
    <n v="45975"/>
    <n v="2.097"/>
    <n v="1.573"/>
  </r>
  <r>
    <x v="5"/>
    <x v="11"/>
    <s v="S12000011"/>
    <n v="445"/>
    <n v="651"/>
    <n v="1096"/>
    <n v="492"/>
    <n v="194"/>
    <n v="686"/>
    <n v="38902"/>
    <n v="2.8170000000000002"/>
    <n v="1.7629999999999999"/>
    <n v="39108"/>
    <n v="2.802"/>
    <n v="1.754"/>
  </r>
  <r>
    <x v="5"/>
    <x v="12"/>
    <s v="S12000014"/>
    <n v="533"/>
    <n v="1326"/>
    <n v="1859"/>
    <n v="606"/>
    <n v="192"/>
    <n v="798"/>
    <n v="74826"/>
    <n v="2.484"/>
    <n v="1.0660000000000001"/>
    <n v="72267"/>
    <n v="2.5720000000000001"/>
    <n v="1.1040000000000001"/>
  </r>
  <r>
    <x v="5"/>
    <x v="13"/>
    <s v="S12000015"/>
    <n v="2778"/>
    <n v="3429"/>
    <n v="6207"/>
    <n v="2925"/>
    <n v="1478"/>
    <n v="4403"/>
    <n v="177084"/>
    <n v="3.5049999999999999"/>
    <n v="2.4859999999999998"/>
    <n v="167944"/>
    <n v="3.6959999999999997"/>
    <n v="2.6219999999999999"/>
  </r>
  <r>
    <x v="5"/>
    <x v="14"/>
    <s v="S12000046"/>
    <n v="2993"/>
    <n v="7060"/>
    <n v="10053"/>
    <n v="3265"/>
    <n v="886"/>
    <n v="4151"/>
    <n v="311447"/>
    <n v="3.2280000000000002"/>
    <n v="1.333"/>
    <n v="292619"/>
    <n v="3.4359999999999999"/>
    <n v="1.419"/>
  </r>
  <r>
    <x v="5"/>
    <x v="15"/>
    <s v="S12000017"/>
    <n v="813"/>
    <n v="2969"/>
    <n v="3782"/>
    <n v="818"/>
    <n v="537"/>
    <n v="1355"/>
    <n v="118117"/>
    <n v="3.202"/>
    <n v="1.147"/>
    <n v="108878"/>
    <n v="3.4740000000000002"/>
    <n v="1.2450000000000001"/>
  </r>
  <r>
    <x v="5"/>
    <x v="16"/>
    <s v="S12000018"/>
    <n v="635"/>
    <n v="894"/>
    <n v="1529"/>
    <n v="575"/>
    <n v="360"/>
    <n v="935"/>
    <n v="38985"/>
    <n v="3.9220000000000002"/>
    <n v="2.3980000000000001"/>
    <n v="37640"/>
    <n v="4.0620000000000003"/>
    <n v="2.484"/>
  </r>
  <r>
    <x v="5"/>
    <x v="17"/>
    <s v="S12000019"/>
    <n v="394"/>
    <n v="606"/>
    <n v="1000"/>
    <n v="353"/>
    <n v="267"/>
    <n v="620"/>
    <n v="40612"/>
    <n v="2.4620000000000002"/>
    <n v="1.5270000000000001"/>
    <n v="39122"/>
    <n v="2.556"/>
    <n v="1.585"/>
  </r>
  <r>
    <x v="5"/>
    <x v="18"/>
    <s v="S12000020"/>
    <n v="516"/>
    <n v="1149"/>
    <n v="1665"/>
    <n v="399"/>
    <n v="473"/>
    <n v="872"/>
    <n v="45209"/>
    <n v="3.6829999999999998"/>
    <n v="1.929"/>
    <n v="42554"/>
    <n v="3.9130000000000003"/>
    <n v="2.0489999999999999"/>
  </r>
  <r>
    <x v="5"/>
    <x v="19"/>
    <s v="S12000013"/>
    <n v="112"/>
    <n v="274"/>
    <n v="386"/>
    <n v="132"/>
    <n v="29"/>
    <n v="161"/>
    <n v="14706"/>
    <n v="2.625"/>
    <n v="1.095"/>
    <n v="12773"/>
    <n v="3.0219999999999998"/>
    <n v="1.26"/>
  </r>
  <r>
    <x v="5"/>
    <x v="20"/>
    <s v="S12000021"/>
    <n v="701"/>
    <n v="879"/>
    <n v="1580"/>
    <n v="725"/>
    <n v="449"/>
    <n v="1174"/>
    <n v="68158"/>
    <n v="2.3180000000000001"/>
    <n v="1.722"/>
    <n v="63935"/>
    <n v="2.4710000000000001"/>
    <n v="1.8359999999999999"/>
  </r>
  <r>
    <x v="5"/>
    <x v="21"/>
    <s v="S12000044"/>
    <n v="1248"/>
    <n v="2019"/>
    <n v="3267"/>
    <n v="1614"/>
    <n v="428"/>
    <n v="2042"/>
    <n v="155364"/>
    <n v="2.1030000000000002"/>
    <n v="1.3140000000000001"/>
    <n v="151744"/>
    <n v="2.153"/>
    <n v="1.3460000000000001"/>
  </r>
  <r>
    <x v="5"/>
    <x v="22"/>
    <s v="S12000023"/>
    <n v="96"/>
    <n v="194"/>
    <n v="290"/>
    <n v="82"/>
    <n v="85"/>
    <n v="167"/>
    <n v="11261"/>
    <n v="2.5750000000000002"/>
    <n v="1.4830000000000001"/>
    <n v="10506"/>
    <n v="2.76"/>
    <n v="1.5899999999999999"/>
  </r>
  <r>
    <x v="5"/>
    <x v="23"/>
    <s v="S12000024"/>
    <n v="385"/>
    <n v="1084"/>
    <n v="1469"/>
    <n v="357"/>
    <n v="249"/>
    <n v="606"/>
    <n v="72441"/>
    <n v="2.028"/>
    <n v="0.83699999999999997"/>
    <n v="68196"/>
    <n v="2.1539999999999999"/>
    <n v="0.88900000000000001"/>
  </r>
  <r>
    <x v="5"/>
    <x v="24"/>
    <s v="S12000038"/>
    <n v="848"/>
    <n v="1039"/>
    <n v="1887"/>
    <n v="803"/>
    <n v="475"/>
    <n v="1278"/>
    <n v="87265"/>
    <n v="2.1619999999999999"/>
    <n v="1.4650000000000001"/>
    <n v="85745"/>
    <n v="2.2010000000000001"/>
    <n v="1.49"/>
  </r>
  <r>
    <x v="5"/>
    <x v="25"/>
    <s v="S12000026"/>
    <n v="920"/>
    <n v="1208"/>
    <n v="2128"/>
    <n v="740"/>
    <n v="673"/>
    <n v="1413"/>
    <n v="58425"/>
    <n v="3.6419999999999999"/>
    <n v="2.4180000000000001"/>
    <n v="54413"/>
    <n v="3.911"/>
    <n v="2.597"/>
  </r>
  <r>
    <x v="5"/>
    <x v="26"/>
    <s v="S12000027"/>
    <n v="87"/>
    <n v="209"/>
    <n v="296"/>
    <n v="85"/>
    <n v="74"/>
    <n v="159"/>
    <n v="11270"/>
    <n v="2.6259999999999999"/>
    <n v="1.411"/>
    <n v="10384"/>
    <n v="2.851"/>
    <n v="1.5310000000000001"/>
  </r>
  <r>
    <x v="5"/>
    <x v="27"/>
    <s v="S12000028"/>
    <n v="437"/>
    <n v="687"/>
    <n v="1124"/>
    <n v="531"/>
    <n v="204"/>
    <n v="735"/>
    <n v="55486"/>
    <n v="2.0259999999999998"/>
    <n v="1.325"/>
    <n v="52281"/>
    <n v="2.15"/>
    <n v="1.4060000000000001"/>
  </r>
  <r>
    <x v="5"/>
    <x v="28"/>
    <s v="S12000029"/>
    <n v="1352"/>
    <n v="2193"/>
    <n v="3545"/>
    <n v="1663"/>
    <n v="484"/>
    <n v="2147"/>
    <n v="151352"/>
    <n v="2.3420000000000001"/>
    <n v="1.419"/>
    <n v="146173"/>
    <n v="2.4249999999999998"/>
    <n v="1.4689999999999999"/>
  </r>
  <r>
    <x v="5"/>
    <x v="29"/>
    <s v="S12000030"/>
    <n v="323"/>
    <n v="611"/>
    <n v="934"/>
    <n v="329"/>
    <n v="182"/>
    <n v="511"/>
    <n v="41443"/>
    <n v="2.254"/>
    <n v="1.2330000000000001"/>
    <n v="39440"/>
    <n v="2.3679999999999999"/>
    <n v="1.296"/>
  </r>
  <r>
    <x v="5"/>
    <x v="30"/>
    <s v="S12000039"/>
    <n v="556"/>
    <n v="1008"/>
    <n v="1564"/>
    <n v="642"/>
    <n v="185"/>
    <n v="827"/>
    <n v="45228"/>
    <n v="3.4580000000000002"/>
    <n v="1.829"/>
    <n v="42868"/>
    <n v="3.6480000000000001"/>
    <n v="1.929"/>
  </r>
  <r>
    <x v="5"/>
    <x v="31"/>
    <s v="S12000040"/>
    <n v="851"/>
    <n v="1470"/>
    <n v="2321"/>
    <n v="780"/>
    <n v="506"/>
    <n v="1286"/>
    <n v="79854"/>
    <n v="2.907"/>
    <n v="1.6099999999999999"/>
    <n v="77953"/>
    <n v="2.9769999999999999"/>
    <n v="1.65"/>
  </r>
  <r>
    <x v="6"/>
    <x v="0"/>
    <s v="S12000033"/>
    <n v="392"/>
    <n v="2273"/>
    <n v="2665"/>
    <n v="391"/>
    <n v="199"/>
    <n v="590"/>
    <n v="119523"/>
    <n v="2.23"/>
    <n v="0.49399999999999999"/>
    <n v="108381"/>
    <n v="2.4590000000000001"/>
    <n v="0.54400000000000004"/>
  </r>
  <r>
    <x v="6"/>
    <x v="1"/>
    <s v="S12000034"/>
    <n v="699"/>
    <n v="1579"/>
    <n v="2278"/>
    <n v="731"/>
    <n v="413"/>
    <n v="1144"/>
    <n v="119196"/>
    <n v="1.911"/>
    <n v="0.96"/>
    <n v="112114"/>
    <n v="2.032"/>
    <n v="1.02"/>
  </r>
  <r>
    <x v="6"/>
    <x v="2"/>
    <s v="S12000041"/>
    <n v="440"/>
    <n v="1358"/>
    <n v="1798"/>
    <n v="474"/>
    <n v="203"/>
    <n v="677"/>
    <n v="56928"/>
    <n v="3.1579999999999999"/>
    <n v="1.1890000000000001"/>
    <n v="54221"/>
    <n v="3.3159999999999998"/>
    <n v="1.2490000000000001"/>
  </r>
  <r>
    <x v="6"/>
    <x v="3"/>
    <s v="S12000035"/>
    <n v="451"/>
    <n v="1072"/>
    <n v="1523"/>
    <n v="389"/>
    <n v="332"/>
    <n v="721"/>
    <n v="48134"/>
    <n v="3.1640000000000001"/>
    <n v="1.498"/>
    <n v="41789"/>
    <n v="3.6440000000000001"/>
    <n v="1.7250000000000001"/>
  </r>
  <r>
    <x v="6"/>
    <x v="4"/>
    <s v="S12000036"/>
    <n v="1502"/>
    <n v="3441"/>
    <n v="4943"/>
    <n v="1592"/>
    <n v="578"/>
    <n v="2170"/>
    <n v="252731"/>
    <n v="1.956"/>
    <n v="0.85899999999999999"/>
    <n v="238269"/>
    <n v="2.0750000000000002"/>
    <n v="0.91100000000000003"/>
  </r>
  <r>
    <x v="6"/>
    <x v="5"/>
    <s v="S12000005"/>
    <n v="292"/>
    <n v="379"/>
    <n v="671"/>
    <n v="445"/>
    <n v="50"/>
    <n v="495"/>
    <n v="24716"/>
    <n v="2.7149999999999999"/>
    <n v="2.0030000000000001"/>
    <n v="23890"/>
    <n v="2.8090000000000002"/>
    <n v="2.0720000000000001"/>
  </r>
  <r>
    <x v="6"/>
    <x v="6"/>
    <s v="S12000006"/>
    <n v="870"/>
    <n v="839"/>
    <n v="1709"/>
    <n v="824"/>
    <n v="438"/>
    <n v="1262"/>
    <n v="75089"/>
    <n v="2.2759999999999998"/>
    <n v="1.681"/>
    <n v="69699"/>
    <n v="2.452"/>
    <n v="1.8109999999999999"/>
  </r>
  <r>
    <x v="6"/>
    <x v="7"/>
    <s v="S12000042"/>
    <n v="577"/>
    <n v="2144"/>
    <n v="2721"/>
    <n v="510"/>
    <n v="327"/>
    <n v="837"/>
    <n v="74891"/>
    <n v="3.633"/>
    <n v="1.1179999999999999"/>
    <n v="70685"/>
    <n v="3.8490000000000002"/>
    <n v="1.1839999999999999"/>
  </r>
  <r>
    <x v="6"/>
    <x v="8"/>
    <s v="S12000008"/>
    <n v="423"/>
    <n v="680"/>
    <n v="1103"/>
    <n v="487"/>
    <n v="216"/>
    <n v="703"/>
    <n v="58628"/>
    <n v="1.881"/>
    <n v="1.1990000000000001"/>
    <n v="55387"/>
    <n v="1.9910000000000001"/>
    <n v="1.2690000000000001"/>
  </r>
  <r>
    <x v="6"/>
    <x v="9"/>
    <s v="S12000045"/>
    <n v="656"/>
    <n v="662"/>
    <n v="1318"/>
    <n v="758"/>
    <n v="299"/>
    <n v="1057"/>
    <n v="46986"/>
    <n v="2.8050000000000002"/>
    <n v="2.25"/>
    <n v="46228"/>
    <n v="2.851"/>
    <n v="2.286"/>
  </r>
  <r>
    <x v="6"/>
    <x v="10"/>
    <s v="S12000010"/>
    <n v="372"/>
    <n v="530"/>
    <n v="902"/>
    <n v="448"/>
    <n v="151"/>
    <n v="599"/>
    <n v="48851"/>
    <n v="1.8460000000000001"/>
    <n v="1.226"/>
    <n v="46771"/>
    <n v="1.929"/>
    <n v="1.2810000000000001"/>
  </r>
  <r>
    <x v="6"/>
    <x v="11"/>
    <s v="S12000011"/>
    <n v="366"/>
    <n v="587"/>
    <n v="953"/>
    <n v="397"/>
    <n v="172"/>
    <n v="569"/>
    <n v="39144"/>
    <n v="2.4350000000000001"/>
    <n v="1.454"/>
    <n v="39345"/>
    <n v="2.4220000000000002"/>
    <n v="1.446"/>
  </r>
  <r>
    <x v="6"/>
    <x v="12"/>
    <s v="S12000014"/>
    <n v="511"/>
    <n v="1174"/>
    <n v="1685"/>
    <n v="590"/>
    <n v="172"/>
    <n v="762"/>
    <n v="75226"/>
    <n v="2.2400000000000002"/>
    <n v="1.0129999999999999"/>
    <n v="72672"/>
    <n v="2.319"/>
    <n v="1.0489999999999999"/>
  </r>
  <r>
    <x v="6"/>
    <x v="13"/>
    <s v="S12000015"/>
    <n v="2533"/>
    <n v="3908"/>
    <n v="6441"/>
    <n v="2725"/>
    <n v="1258"/>
    <n v="3983"/>
    <n v="178183"/>
    <n v="3.6150000000000002"/>
    <n v="2.2349999999999999"/>
    <n v="169239"/>
    <n v="3.806"/>
    <n v="2.3529999999999998"/>
  </r>
  <r>
    <x v="6"/>
    <x v="14"/>
    <s v="S12000046"/>
    <n v="2529"/>
    <n v="7410"/>
    <n v="9939"/>
    <n v="2783"/>
    <n v="753"/>
    <n v="3536"/>
    <n v="314604"/>
    <n v="3.1589999999999998"/>
    <n v="1.1240000000000001"/>
    <n v="294622"/>
    <n v="3.3730000000000002"/>
    <n v="1.2"/>
  </r>
  <r>
    <x v="6"/>
    <x v="15"/>
    <s v="S12000017"/>
    <n v="592"/>
    <n v="2276"/>
    <n v="2868"/>
    <n v="522"/>
    <n v="464"/>
    <n v="986"/>
    <n v="119061"/>
    <n v="2.4089999999999998"/>
    <n v="0.82799999999999996"/>
    <n v="109514"/>
    <n v="2.6189999999999998"/>
    <n v="0.9"/>
  </r>
  <r>
    <x v="6"/>
    <x v="16"/>
    <s v="S12000018"/>
    <n v="631"/>
    <n v="773"/>
    <n v="1404"/>
    <n v="603"/>
    <n v="338"/>
    <n v="941"/>
    <n v="38977"/>
    <n v="3.6019999999999999"/>
    <n v="2.4140000000000001"/>
    <n v="37614"/>
    <n v="3.7330000000000001"/>
    <n v="2.5019999999999998"/>
  </r>
  <r>
    <x v="6"/>
    <x v="17"/>
    <s v="S12000019"/>
    <n v="338"/>
    <n v="669"/>
    <n v="1007"/>
    <n v="303"/>
    <n v="225"/>
    <n v="528"/>
    <n v="41226"/>
    <n v="2.4430000000000001"/>
    <n v="1.2810000000000001"/>
    <n v="39733"/>
    <n v="2.5339999999999998"/>
    <n v="1.329"/>
  </r>
  <r>
    <x v="6"/>
    <x v="18"/>
    <s v="S12000020"/>
    <n v="483"/>
    <n v="1205"/>
    <n v="1688"/>
    <n v="500"/>
    <n v="377"/>
    <n v="877"/>
    <n v="45630"/>
    <n v="3.6989999999999998"/>
    <n v="1.9220000000000002"/>
    <n v="42932"/>
    <n v="3.9319999999999999"/>
    <n v="2.0430000000000001"/>
  </r>
  <r>
    <x v="6"/>
    <x v="19"/>
    <s v="S12000013"/>
    <n v="67"/>
    <n v="235"/>
    <n v="302"/>
    <n v="69"/>
    <n v="42"/>
    <n v="111"/>
    <n v="14734"/>
    <n v="2.0499999999999998"/>
    <n v="0.753"/>
    <n v="12833"/>
    <n v="2.3529999999999998"/>
    <n v="0.86499999999999999"/>
  </r>
  <r>
    <x v="6"/>
    <x v="20"/>
    <s v="S12000021"/>
    <n v="716"/>
    <n v="969"/>
    <n v="1685"/>
    <n v="784"/>
    <n v="366"/>
    <n v="1150"/>
    <n v="68496"/>
    <n v="2.46"/>
    <n v="1.679"/>
    <n v="64140"/>
    <n v="2.6269999999999998"/>
    <n v="1.7930000000000001"/>
  </r>
  <r>
    <x v="6"/>
    <x v="21"/>
    <s v="S12000044"/>
    <n v="1328"/>
    <n v="2916"/>
    <n v="4244"/>
    <n v="1742"/>
    <n v="411"/>
    <n v="2153"/>
    <n v="156694"/>
    <n v="2.7080000000000002"/>
    <n v="1.3740000000000001"/>
    <n v="152443"/>
    <n v="2.7839999999999998"/>
    <n v="1.4119999999999999"/>
  </r>
  <r>
    <x v="6"/>
    <x v="22"/>
    <s v="S12000023"/>
    <n v="122"/>
    <n v="237"/>
    <n v="359"/>
    <n v="127"/>
    <n v="84"/>
    <n v="211"/>
    <n v="11322"/>
    <n v="3.1709999999999998"/>
    <n v="1.8639999999999999"/>
    <n v="10589"/>
    <n v="3.39"/>
    <n v="1.9929999999999999"/>
  </r>
  <r>
    <x v="6"/>
    <x v="23"/>
    <s v="S12000024"/>
    <n v="389"/>
    <n v="1165"/>
    <n v="1554"/>
    <n v="403"/>
    <n v="198"/>
    <n v="601"/>
    <n v="73267"/>
    <n v="2.121"/>
    <n v="0.82"/>
    <n v="69003"/>
    <n v="2.2519999999999998"/>
    <n v="0.871"/>
  </r>
  <r>
    <x v="6"/>
    <x v="24"/>
    <s v="S12000038"/>
    <n v="774"/>
    <n v="1023"/>
    <n v="1797"/>
    <n v="786"/>
    <n v="396"/>
    <n v="1182"/>
    <n v="88086"/>
    <n v="2.04"/>
    <n v="1.3420000000000001"/>
    <n v="86683"/>
    <n v="2.073"/>
    <n v="1.3639999999999999"/>
  </r>
  <r>
    <x v="6"/>
    <x v="25"/>
    <s v="S12000026"/>
    <n v="869"/>
    <n v="1387"/>
    <n v="2256"/>
    <n v="798"/>
    <n v="632"/>
    <n v="1430"/>
    <n v="58671"/>
    <n v="3.8449999999999998"/>
    <n v="2.4369999999999998"/>
    <n v="54715"/>
    <n v="4.1230000000000002"/>
    <n v="2.6139999999999999"/>
  </r>
  <r>
    <x v="6"/>
    <x v="26"/>
    <s v="S12000027"/>
    <n v="156"/>
    <n v="407"/>
    <n v="563"/>
    <n v="141"/>
    <n v="112"/>
    <n v="253"/>
    <n v="11305"/>
    <n v="4.9800000000000004"/>
    <n v="2.238"/>
    <n v="10439"/>
    <n v="5.3929999999999998"/>
    <n v="2.4239999999999999"/>
  </r>
  <r>
    <x v="6"/>
    <x v="27"/>
    <s v="S12000028"/>
    <n v="413"/>
    <n v="588"/>
    <n v="1001"/>
    <n v="525"/>
    <n v="185"/>
    <n v="710"/>
    <n v="55668"/>
    <n v="1.798"/>
    <n v="1.2749999999999999"/>
    <n v="52588"/>
    <n v="1.903"/>
    <n v="1.35"/>
  </r>
  <r>
    <x v="6"/>
    <x v="28"/>
    <s v="S12000029"/>
    <n v="1364"/>
    <n v="2345"/>
    <n v="3709"/>
    <n v="1628"/>
    <n v="551"/>
    <n v="2179"/>
    <n v="152998"/>
    <n v="2.4239999999999999"/>
    <n v="1.4239999999999999"/>
    <n v="147434"/>
    <n v="2.516"/>
    <n v="1.478"/>
  </r>
  <r>
    <x v="6"/>
    <x v="29"/>
    <s v="S12000030"/>
    <n v="311"/>
    <n v="590"/>
    <n v="901"/>
    <n v="360"/>
    <n v="153"/>
    <n v="513"/>
    <n v="41638"/>
    <n v="2.1640000000000001"/>
    <n v="1.232"/>
    <n v="39654"/>
    <n v="2.2720000000000002"/>
    <n v="1.294"/>
  </r>
  <r>
    <x v="6"/>
    <x v="30"/>
    <s v="S12000039"/>
    <n v="468"/>
    <n v="931"/>
    <n v="1399"/>
    <n v="550"/>
    <n v="172"/>
    <n v="722"/>
    <n v="45357"/>
    <n v="3.0840000000000001"/>
    <n v="1.5920000000000001"/>
    <n v="43030"/>
    <n v="3.2509999999999999"/>
    <n v="1.6779999999999999"/>
  </r>
  <r>
    <x v="6"/>
    <x v="31"/>
    <s v="S12000040"/>
    <n v="658"/>
    <n v="1193"/>
    <n v="1851"/>
    <n v="631"/>
    <n v="327"/>
    <n v="958"/>
    <n v="80911"/>
    <n v="2.2879999999999998"/>
    <n v="1.1839999999999999"/>
    <n v="78966"/>
    <n v="2.3439999999999999"/>
    <n v="1.2130000000000001"/>
  </r>
  <r>
    <x v="7"/>
    <x v="0"/>
    <s v="S12000033"/>
    <n v="130"/>
    <n v="411"/>
    <n v="541"/>
    <n v="135"/>
    <n v="54"/>
    <n v="189"/>
    <n v="120980"/>
    <n v="0.44700000000000001"/>
    <n v="0.156"/>
    <n v="108893"/>
    <n v="0.497"/>
    <n v="0.17399999999999999"/>
  </r>
  <r>
    <x v="7"/>
    <x v="1"/>
    <s v="S12000034"/>
    <n v="126"/>
    <n v="311"/>
    <n v="437"/>
    <n v="147"/>
    <n v="76"/>
    <n v="223"/>
    <n v="119854"/>
    <n v="0.36499999999999999"/>
    <n v="0.186"/>
    <n v="112713"/>
    <n v="0.38800000000000001"/>
    <n v="0.19800000000000001"/>
  </r>
  <r>
    <x v="7"/>
    <x v="2"/>
    <s v="S12000041"/>
    <n v="201"/>
    <n v="519"/>
    <n v="720"/>
    <n v="177"/>
    <n v="115"/>
    <n v="292"/>
    <n v="57206"/>
    <n v="1.2589999999999999"/>
    <n v="0.51"/>
    <n v="54480"/>
    <n v="1.3220000000000001"/>
    <n v="0.53600000000000003"/>
  </r>
  <r>
    <x v="7"/>
    <x v="3"/>
    <s v="S12000035"/>
    <n v="166"/>
    <n v="320"/>
    <n v="486"/>
    <n v="154"/>
    <n v="117"/>
    <n v="271"/>
    <n v="48199"/>
    <n v="1.008"/>
    <n v="0.56200000000000006"/>
    <n v="41839"/>
    <n v="1.1619999999999999"/>
    <n v="0.64800000000000002"/>
  </r>
  <r>
    <x v="7"/>
    <x v="4"/>
    <s v="S12000036"/>
    <n v="680"/>
    <n v="756"/>
    <n v="1436"/>
    <n v="700"/>
    <n v="310"/>
    <n v="1010"/>
    <n v="254929"/>
    <n v="0.56299999999999994"/>
    <n v="0.39600000000000002"/>
    <n v="239364"/>
    <n v="0.6"/>
    <n v="0.42199999999999999"/>
  </r>
  <r>
    <x v="7"/>
    <x v="5"/>
    <s v="S12000005"/>
    <n v="63"/>
    <n v="108"/>
    <n v="171"/>
    <n v="94"/>
    <n v="28"/>
    <n v="122"/>
    <n v="24838"/>
    <n v="0.68799999999999994"/>
    <n v="0.49099999999999999"/>
    <n v="24066"/>
    <n v="0.71099999999999997"/>
    <n v="0.50700000000000001"/>
  </r>
  <r>
    <x v="7"/>
    <x v="6"/>
    <s v="S12000006"/>
    <n v="142"/>
    <n v="231"/>
    <n v="373"/>
    <n v="124"/>
    <n v="82"/>
    <n v="206"/>
    <n v="75298"/>
    <n v="0.495"/>
    <n v="0.27400000000000002"/>
    <n v="69957"/>
    <n v="0.53300000000000003"/>
    <n v="0.29399999999999998"/>
  </r>
  <r>
    <x v="7"/>
    <x v="7"/>
    <s v="S12000042"/>
    <n v="289"/>
    <n v="641"/>
    <n v="930"/>
    <n v="284"/>
    <n v="166"/>
    <n v="450"/>
    <n v="75027"/>
    <n v="1.24"/>
    <n v="0.6"/>
    <n v="70689"/>
    <n v="1.3160000000000001"/>
    <n v="0.63700000000000001"/>
  </r>
  <r>
    <x v="7"/>
    <x v="8"/>
    <s v="S12000008"/>
    <n v="172"/>
    <n v="316"/>
    <n v="488"/>
    <n v="222"/>
    <n v="77"/>
    <n v="299"/>
    <n v="58821"/>
    <n v="0.83"/>
    <n v="0.50800000000000001"/>
    <n v="55564"/>
    <n v="0.878"/>
    <n v="0.53800000000000003"/>
  </r>
  <r>
    <x v="7"/>
    <x v="9"/>
    <s v="S12000045"/>
    <n v="229"/>
    <n v="178"/>
    <n v="407"/>
    <n v="238"/>
    <n v="133"/>
    <n v="371"/>
    <n v="47251"/>
    <n v="0.86099999999999999"/>
    <n v="0.78500000000000003"/>
    <n v="46563"/>
    <n v="0.874"/>
    <n v="0.79700000000000004"/>
  </r>
  <r>
    <x v="7"/>
    <x v="10"/>
    <s v="S12000010"/>
    <n v="125"/>
    <n v="156"/>
    <n v="281"/>
    <n v="163"/>
    <n v="64"/>
    <n v="227"/>
    <n v="49642"/>
    <n v="0.56599999999999995"/>
    <n v="0.45700000000000002"/>
    <n v="47482"/>
    <n v="0.59199999999999997"/>
    <n v="0.47799999999999998"/>
  </r>
  <r>
    <x v="7"/>
    <x v="11"/>
    <s v="S12000011"/>
    <n v="205"/>
    <n v="173"/>
    <n v="378"/>
    <n v="222"/>
    <n v="101"/>
    <n v="323"/>
    <n v="39453"/>
    <n v="0.95799999999999996"/>
    <n v="0.81899999999999995"/>
    <n v="39586"/>
    <n v="0.95499999999999996"/>
    <n v="0.81599999999999995"/>
  </r>
  <r>
    <x v="7"/>
    <x v="12"/>
    <s v="S12000014"/>
    <n v="158"/>
    <n v="298"/>
    <n v="456"/>
    <n v="181"/>
    <n v="71"/>
    <n v="252"/>
    <n v="75595"/>
    <n v="0.60299999999999998"/>
    <n v="0.33300000000000002"/>
    <n v="72994"/>
    <n v="0.625"/>
    <n v="0.34499999999999997"/>
  </r>
  <r>
    <x v="7"/>
    <x v="13"/>
    <s v="S12000015"/>
    <n v="580"/>
    <n v="722"/>
    <n v="1302"/>
    <n v="654"/>
    <n v="327"/>
    <n v="981"/>
    <n v="179232"/>
    <n v="0.72599999999999998"/>
    <n v="0.54700000000000004"/>
    <n v="169886"/>
    <n v="0.76600000000000001"/>
    <n v="0.57699999999999996"/>
  </r>
  <r>
    <x v="7"/>
    <x v="14"/>
    <s v="S12000046"/>
    <n v="771"/>
    <n v="1323"/>
    <n v="2094"/>
    <n v="906"/>
    <n v="243"/>
    <n v="1149"/>
    <n v="317193"/>
    <n v="0.66"/>
    <n v="0.36199999999999999"/>
    <n v="295761"/>
    <n v="0.70799999999999996"/>
    <n v="0.38800000000000001"/>
  </r>
  <r>
    <x v="7"/>
    <x v="15"/>
    <s v="S12000017"/>
    <n v="164"/>
    <n v="632"/>
    <n v="796"/>
    <n v="167"/>
    <n v="167"/>
    <n v="334"/>
    <n v="119918"/>
    <n v="0.66400000000000003"/>
    <n v="0.27900000000000003"/>
    <n v="110084"/>
    <n v="0.72299999999999998"/>
    <n v="0.30299999999999999"/>
  </r>
  <r>
    <x v="7"/>
    <x v="16"/>
    <s v="S12000018"/>
    <n v="293"/>
    <n v="200"/>
    <n v="493"/>
    <n v="339"/>
    <n v="130"/>
    <n v="469"/>
    <n v="39107"/>
    <n v="1.2610000000000001"/>
    <n v="1.1990000000000001"/>
    <n v="37646"/>
    <n v="1.31"/>
    <n v="1.246"/>
  </r>
  <r>
    <x v="7"/>
    <x v="17"/>
    <s v="S12000019"/>
    <n v="104"/>
    <n v="201"/>
    <n v="305"/>
    <n v="115"/>
    <n v="58"/>
    <n v="173"/>
    <n v="41657"/>
    <n v="0.73199999999999998"/>
    <n v="0.41499999999999998"/>
    <n v="40137"/>
    <n v="0.76"/>
    <n v="0.43099999999999999"/>
  </r>
  <r>
    <x v="7"/>
    <x v="18"/>
    <s v="S12000020"/>
    <n v="86"/>
    <n v="260"/>
    <n v="346"/>
    <n v="97"/>
    <n v="61"/>
    <n v="158"/>
    <n v="45838"/>
    <n v="0.755"/>
    <n v="0.34499999999999997"/>
    <n v="43175"/>
    <n v="0.80100000000000005"/>
    <n v="0.36599999999999999"/>
  </r>
  <r>
    <x v="7"/>
    <x v="19"/>
    <s v="S12000013"/>
    <n v="23"/>
    <n v="34"/>
    <n v="57"/>
    <n v="26"/>
    <n v="12"/>
    <n v="38"/>
    <n v="14764"/>
    <n v="0.38600000000000001"/>
    <n v="0.25700000000000001"/>
    <n v="12849"/>
    <n v="0.44400000000000001"/>
    <n v="0.29599999999999999"/>
  </r>
  <r>
    <x v="7"/>
    <x v="20"/>
    <s v="S12000021"/>
    <n v="230"/>
    <n v="322"/>
    <n v="552"/>
    <n v="255"/>
    <n v="150"/>
    <n v="405"/>
    <n v="68843"/>
    <n v="0.80200000000000005"/>
    <n v="0.58799999999999997"/>
    <n v="64415"/>
    <n v="0.85699999999999998"/>
    <n v="0.629"/>
  </r>
  <r>
    <x v="7"/>
    <x v="21"/>
    <s v="S12000044"/>
    <n v="678"/>
    <n v="1190"/>
    <n v="1868"/>
    <n v="858"/>
    <n v="263"/>
    <n v="1121"/>
    <n v="157625"/>
    <n v="1.1850000000000001"/>
    <n v="0.71099999999999997"/>
    <n v="152910"/>
    <n v="1.222"/>
    <n v="0.73299999999999998"/>
  </r>
  <r>
    <x v="7"/>
    <x v="22"/>
    <s v="S12000023"/>
    <n v="35"/>
    <n v="35"/>
    <n v="70"/>
    <n v="45"/>
    <n v="39"/>
    <n v="84"/>
    <n v="11391"/>
    <n v="0.61499999999999999"/>
    <n v="0.73699999999999999"/>
    <n v="10635"/>
    <n v="0.65800000000000003"/>
    <n v="0.79"/>
  </r>
  <r>
    <x v="7"/>
    <x v="23"/>
    <s v="S12000024"/>
    <n v="166"/>
    <n v="376"/>
    <n v="542"/>
    <n v="186"/>
    <n v="102"/>
    <n v="288"/>
    <n v="73775"/>
    <n v="0.73499999999999999"/>
    <n v="0.39"/>
    <n v="69432"/>
    <n v="0.78100000000000003"/>
    <n v="0.41499999999999998"/>
  </r>
  <r>
    <x v="7"/>
    <x v="24"/>
    <s v="S12000038"/>
    <n v="335"/>
    <n v="353"/>
    <n v="688"/>
    <n v="425"/>
    <n v="126"/>
    <n v="551"/>
    <n v="88624"/>
    <n v="0.77600000000000002"/>
    <n v="0.622"/>
    <n v="87241"/>
    <n v="0.78900000000000003"/>
    <n v="0.63200000000000001"/>
  </r>
  <r>
    <x v="7"/>
    <x v="25"/>
    <s v="S12000026"/>
    <n v="268"/>
    <n v="381"/>
    <n v="649"/>
    <n v="253"/>
    <n v="195"/>
    <n v="448"/>
    <n v="58814"/>
    <n v="1.103"/>
    <n v="0.76200000000000001"/>
    <n v="54796"/>
    <n v="1.1839999999999999"/>
    <n v="0.81799999999999995"/>
  </r>
  <r>
    <x v="7"/>
    <x v="26"/>
    <s v="S12000027"/>
    <n v="17"/>
    <n v="123"/>
    <n v="140"/>
    <n v="8"/>
    <n v="26"/>
    <n v="34"/>
    <n v="11374"/>
    <n v="1.2310000000000001"/>
    <n v="0.29899999999999999"/>
    <n v="10461"/>
    <n v="1.3380000000000001"/>
    <n v="0.32500000000000001"/>
  </r>
  <r>
    <x v="7"/>
    <x v="27"/>
    <s v="S12000028"/>
    <n v="131"/>
    <n v="270"/>
    <n v="401"/>
    <n v="197"/>
    <n v="56"/>
    <n v="253"/>
    <n v="55793"/>
    <n v="0.71899999999999997"/>
    <n v="0.45300000000000001"/>
    <n v="52571"/>
    <n v="0.76300000000000001"/>
    <n v="0.48099999999999998"/>
  </r>
  <r>
    <x v="7"/>
    <x v="28"/>
    <s v="S12000029"/>
    <n v="580"/>
    <n v="758"/>
    <n v="1338"/>
    <n v="746"/>
    <n v="234"/>
    <n v="980"/>
    <n v="153863"/>
    <n v="0.87"/>
    <n v="0.63700000000000001"/>
    <n v="148483"/>
    <n v="0.90100000000000002"/>
    <n v="0.66"/>
  </r>
  <r>
    <x v="7"/>
    <x v="29"/>
    <s v="S12000030"/>
    <n v="63"/>
    <n v="108"/>
    <n v="171"/>
    <n v="76"/>
    <n v="44"/>
    <n v="120"/>
    <n v="41950"/>
    <n v="0.40799999999999997"/>
    <n v="0.28599999999999998"/>
    <n v="39896"/>
    <n v="0.42899999999999999"/>
    <n v="0.30099999999999999"/>
  </r>
  <r>
    <x v="7"/>
    <x v="30"/>
    <s v="S12000039"/>
    <n v="221"/>
    <n v="356"/>
    <n v="577"/>
    <n v="269"/>
    <n v="66"/>
    <n v="335"/>
    <n v="45148"/>
    <n v="1.278"/>
    <n v="0.74199999999999999"/>
    <n v="43164"/>
    <n v="1.337"/>
    <n v="0.77600000000000002"/>
  </r>
  <r>
    <x v="7"/>
    <x v="31"/>
    <s v="S12000040"/>
    <n v="272"/>
    <n v="410"/>
    <n v="682"/>
    <n v="260"/>
    <n v="158"/>
    <n v="418"/>
    <n v="81723"/>
    <n v="0.83499999999999996"/>
    <n v="0.51100000000000001"/>
    <n v="79892"/>
    <n v="0.85399999999999998"/>
    <n v="0.52300000000000002"/>
  </r>
</pivotCacheRecords>
</file>

<file path=xl/pivotCache/pivotCacheRecords4.xml><?xml version="1.0" encoding="utf-8"?>
<pivotCacheRecords xmlns="http://schemas.openxmlformats.org/spreadsheetml/2006/main" xmlns:r="http://schemas.openxmlformats.org/officeDocument/2006/relationships" count="73">
  <r>
    <x v="0"/>
    <x v="0"/>
    <x v="0"/>
    <n v="8"/>
  </r>
  <r>
    <x v="0"/>
    <x v="0"/>
    <x v="1"/>
    <n v="56"/>
  </r>
  <r>
    <x v="0"/>
    <x v="0"/>
    <x v="2"/>
    <n v="11"/>
  </r>
  <r>
    <x v="0"/>
    <x v="0"/>
    <x v="3"/>
    <n v="4"/>
  </r>
  <r>
    <x v="0"/>
    <x v="0"/>
    <x v="4"/>
    <n v="26"/>
  </r>
  <r>
    <x v="0"/>
    <x v="1"/>
    <x v="0"/>
    <n v="9"/>
  </r>
  <r>
    <x v="0"/>
    <x v="1"/>
    <x v="1"/>
    <n v="50"/>
  </r>
  <r>
    <x v="0"/>
    <x v="1"/>
    <x v="2"/>
    <n v="12"/>
  </r>
  <r>
    <x v="0"/>
    <x v="1"/>
    <x v="3"/>
    <n v="5"/>
  </r>
  <r>
    <x v="0"/>
    <x v="1"/>
    <x v="4"/>
    <n v="61"/>
  </r>
  <r>
    <x v="0"/>
    <x v="2"/>
    <x v="0"/>
    <n v="7"/>
  </r>
  <r>
    <x v="0"/>
    <x v="2"/>
    <x v="1"/>
    <n v="50"/>
  </r>
  <r>
    <x v="0"/>
    <x v="2"/>
    <x v="2"/>
    <n v="8"/>
  </r>
  <r>
    <x v="0"/>
    <x v="2"/>
    <x v="3"/>
    <n v="3"/>
  </r>
  <r>
    <x v="0"/>
    <x v="2"/>
    <x v="4"/>
    <n v="61"/>
  </r>
  <r>
    <x v="0"/>
    <x v="3"/>
    <x v="0"/>
    <n v="5"/>
  </r>
  <r>
    <x v="0"/>
    <x v="3"/>
    <x v="1"/>
    <n v="30"/>
  </r>
  <r>
    <x v="0"/>
    <x v="3"/>
    <x v="2"/>
    <n v="7"/>
  </r>
  <r>
    <x v="0"/>
    <x v="3"/>
    <x v="3"/>
    <n v="3"/>
  </r>
  <r>
    <x v="0"/>
    <x v="3"/>
    <x v="4"/>
    <n v="25"/>
  </r>
  <r>
    <x v="0"/>
    <x v="4"/>
    <x v="1"/>
    <n v="28"/>
  </r>
  <r>
    <x v="0"/>
    <x v="4"/>
    <x v="2"/>
    <n v="12"/>
  </r>
  <r>
    <x v="0"/>
    <x v="4"/>
    <x v="3"/>
    <n v="2"/>
  </r>
  <r>
    <x v="0"/>
    <x v="4"/>
    <x v="4"/>
    <n v="13"/>
  </r>
  <r>
    <x v="0"/>
    <x v="5"/>
    <x v="1"/>
    <n v="16"/>
  </r>
  <r>
    <x v="0"/>
    <x v="5"/>
    <x v="2"/>
    <n v="13"/>
  </r>
  <r>
    <x v="0"/>
    <x v="5"/>
    <x v="3"/>
    <n v="3"/>
  </r>
  <r>
    <x v="0"/>
    <x v="5"/>
    <x v="4"/>
    <n v="7"/>
  </r>
  <r>
    <x v="0"/>
    <x v="6"/>
    <x v="1"/>
    <n v="11"/>
  </r>
  <r>
    <x v="0"/>
    <x v="6"/>
    <x v="2"/>
    <n v="9"/>
  </r>
  <r>
    <x v="0"/>
    <x v="6"/>
    <x v="3"/>
    <n v="3"/>
  </r>
  <r>
    <x v="0"/>
    <x v="6"/>
    <x v="4"/>
    <n v="1"/>
  </r>
  <r>
    <x v="0"/>
    <x v="7"/>
    <x v="1"/>
    <n v="2"/>
  </r>
  <r>
    <x v="0"/>
    <x v="7"/>
    <x v="2"/>
    <n v="11"/>
  </r>
  <r>
    <x v="0"/>
    <x v="8"/>
    <x v="2"/>
    <n v="6"/>
  </r>
  <r>
    <x v="0"/>
    <x v="9"/>
    <x v="2"/>
    <n v="1"/>
  </r>
  <r>
    <x v="0"/>
    <x v="9"/>
    <x v="3"/>
    <n v="1"/>
  </r>
  <r>
    <x v="0"/>
    <x v="10"/>
    <x v="1"/>
    <n v="4"/>
  </r>
  <r>
    <x v="0"/>
    <x v="10"/>
    <x v="2"/>
    <n v="2"/>
  </r>
  <r>
    <x v="1"/>
    <x v="0"/>
    <x v="1"/>
    <n v="52"/>
  </r>
  <r>
    <x v="1"/>
    <x v="0"/>
    <x v="2"/>
    <n v="6"/>
  </r>
  <r>
    <x v="1"/>
    <x v="0"/>
    <x v="3"/>
    <n v="4"/>
  </r>
  <r>
    <x v="1"/>
    <x v="0"/>
    <x v="4"/>
    <n v="7"/>
  </r>
  <r>
    <x v="1"/>
    <x v="1"/>
    <x v="1"/>
    <n v="43"/>
  </r>
  <r>
    <x v="1"/>
    <x v="1"/>
    <x v="2"/>
    <n v="14"/>
  </r>
  <r>
    <x v="1"/>
    <x v="1"/>
    <x v="3"/>
    <n v="2"/>
  </r>
  <r>
    <x v="1"/>
    <x v="1"/>
    <x v="4"/>
    <n v="41"/>
  </r>
  <r>
    <x v="1"/>
    <x v="2"/>
    <x v="1"/>
    <n v="42"/>
  </r>
  <r>
    <x v="1"/>
    <x v="2"/>
    <x v="2"/>
    <n v="5"/>
  </r>
  <r>
    <x v="1"/>
    <x v="2"/>
    <x v="3"/>
    <n v="6"/>
  </r>
  <r>
    <x v="1"/>
    <x v="2"/>
    <x v="4"/>
    <n v="43"/>
  </r>
  <r>
    <x v="1"/>
    <x v="3"/>
    <x v="1"/>
    <n v="40"/>
  </r>
  <r>
    <x v="1"/>
    <x v="3"/>
    <x v="2"/>
    <n v="10"/>
  </r>
  <r>
    <x v="1"/>
    <x v="3"/>
    <x v="3"/>
    <n v="2"/>
  </r>
  <r>
    <x v="1"/>
    <x v="3"/>
    <x v="4"/>
    <n v="14"/>
  </r>
  <r>
    <x v="1"/>
    <x v="4"/>
    <x v="1"/>
    <n v="11"/>
  </r>
  <r>
    <x v="1"/>
    <x v="4"/>
    <x v="2"/>
    <n v="10"/>
  </r>
  <r>
    <x v="1"/>
    <x v="4"/>
    <x v="3"/>
    <n v="1"/>
  </r>
  <r>
    <x v="1"/>
    <x v="4"/>
    <x v="4"/>
    <n v="9"/>
  </r>
  <r>
    <x v="1"/>
    <x v="5"/>
    <x v="1"/>
    <n v="16"/>
  </r>
  <r>
    <x v="1"/>
    <x v="5"/>
    <x v="2"/>
    <n v="5"/>
  </r>
  <r>
    <x v="1"/>
    <x v="5"/>
    <x v="3"/>
    <n v="3"/>
  </r>
  <r>
    <x v="1"/>
    <x v="5"/>
    <x v="4"/>
    <n v="3"/>
  </r>
  <r>
    <x v="1"/>
    <x v="6"/>
    <x v="1"/>
    <n v="8"/>
  </r>
  <r>
    <x v="1"/>
    <x v="6"/>
    <x v="2"/>
    <n v="7"/>
  </r>
  <r>
    <x v="1"/>
    <x v="6"/>
    <x v="3"/>
    <n v="3"/>
  </r>
  <r>
    <x v="1"/>
    <x v="6"/>
    <x v="4"/>
    <n v="1"/>
  </r>
  <r>
    <x v="1"/>
    <x v="7"/>
    <x v="1"/>
    <n v="3"/>
  </r>
  <r>
    <x v="1"/>
    <x v="7"/>
    <x v="2"/>
    <n v="6"/>
  </r>
  <r>
    <x v="1"/>
    <x v="7"/>
    <x v="4"/>
    <n v="1"/>
  </r>
  <r>
    <x v="1"/>
    <x v="8"/>
    <x v="2"/>
    <n v="1"/>
  </r>
  <r>
    <x v="1"/>
    <x v="10"/>
    <x v="1"/>
    <n v="8"/>
  </r>
  <r>
    <x v="1"/>
    <x v="10"/>
    <x v="2"/>
    <n v="3"/>
  </r>
</pivotCacheRecords>
</file>

<file path=xl/pivotCache/pivotCacheRecords5.xml><?xml version="1.0" encoding="utf-8"?>
<pivotCacheRecords xmlns="http://schemas.openxmlformats.org/spreadsheetml/2006/main" xmlns:r="http://schemas.openxmlformats.org/officeDocument/2006/relationships" count="34">
  <r>
    <s v="2018"/>
    <x v="0"/>
    <x v="0"/>
    <x v="0"/>
    <n v="1.2"/>
  </r>
  <r>
    <s v="2018"/>
    <x v="0"/>
    <x v="0"/>
    <x v="1"/>
    <n v="2.2000000000000002"/>
  </r>
  <r>
    <s v="2018"/>
    <x v="0"/>
    <x v="0"/>
    <x v="2"/>
    <n v="2"/>
  </r>
  <r>
    <s v="2018"/>
    <x v="0"/>
    <x v="0"/>
    <x v="3"/>
    <n v="2.1"/>
  </r>
  <r>
    <s v="2018"/>
    <x v="0"/>
    <x v="0"/>
    <x v="4"/>
    <n v="3.6"/>
  </r>
  <r>
    <s v="2018"/>
    <x v="0"/>
    <x v="1"/>
    <x v="5"/>
    <n v="34.5"/>
  </r>
  <r>
    <s v="2018"/>
    <x v="0"/>
    <x v="1"/>
    <x v="0"/>
    <n v="54.3"/>
  </r>
  <r>
    <s v="2018"/>
    <x v="0"/>
    <x v="1"/>
    <x v="1"/>
    <n v="48.9"/>
  </r>
  <r>
    <s v="2018"/>
    <x v="0"/>
    <x v="1"/>
    <x v="2"/>
    <n v="44.9"/>
  </r>
  <r>
    <s v="2018"/>
    <x v="0"/>
    <x v="1"/>
    <x v="3"/>
    <n v="46.8"/>
  </r>
  <r>
    <s v="2018"/>
    <x v="0"/>
    <x v="1"/>
    <x v="4"/>
    <n v="38.1"/>
  </r>
  <r>
    <s v="2018"/>
    <x v="0"/>
    <x v="2"/>
    <x v="5"/>
    <n v="65.5"/>
  </r>
  <r>
    <s v="2018"/>
    <x v="0"/>
    <x v="2"/>
    <x v="0"/>
    <n v="44.5"/>
  </r>
  <r>
    <s v="2018"/>
    <x v="0"/>
    <x v="2"/>
    <x v="1"/>
    <n v="48.9"/>
  </r>
  <r>
    <s v="2018"/>
    <x v="0"/>
    <x v="2"/>
    <x v="2"/>
    <n v="53.1"/>
  </r>
  <r>
    <s v="2018"/>
    <x v="0"/>
    <x v="2"/>
    <x v="3"/>
    <n v="51.1"/>
  </r>
  <r>
    <s v="2018"/>
    <x v="0"/>
    <x v="2"/>
    <x v="6"/>
    <n v="100"/>
  </r>
  <r>
    <s v="2018"/>
    <x v="0"/>
    <x v="2"/>
    <x v="4"/>
    <n v="58.2"/>
  </r>
  <r>
    <s v="2019"/>
    <x v="1"/>
    <x v="0"/>
    <x v="0"/>
    <n v="0.4"/>
  </r>
  <r>
    <s v="2019"/>
    <x v="1"/>
    <x v="0"/>
    <x v="1"/>
    <n v="4.5"/>
  </r>
  <r>
    <s v="2019"/>
    <x v="1"/>
    <x v="0"/>
    <x v="2"/>
    <n v="1.2"/>
  </r>
  <r>
    <s v="2019"/>
    <x v="1"/>
    <x v="0"/>
    <x v="3"/>
    <n v="1.2"/>
  </r>
  <r>
    <s v="2019"/>
    <x v="1"/>
    <x v="0"/>
    <x v="4"/>
    <n v="0.8"/>
  </r>
  <r>
    <s v="2019"/>
    <x v="1"/>
    <x v="1"/>
    <x v="0"/>
    <n v="8.5"/>
  </r>
  <r>
    <s v="2019"/>
    <x v="1"/>
    <x v="1"/>
    <x v="1"/>
    <n v="23.9"/>
  </r>
  <r>
    <s v="2019"/>
    <x v="1"/>
    <x v="1"/>
    <x v="2"/>
    <n v="10.7"/>
  </r>
  <r>
    <s v="2019"/>
    <x v="1"/>
    <x v="1"/>
    <x v="3"/>
    <n v="11.2"/>
  </r>
  <r>
    <s v="2019"/>
    <x v="1"/>
    <x v="1"/>
    <x v="4"/>
    <n v="9.1999999999999993"/>
  </r>
  <r>
    <s v="2019"/>
    <x v="1"/>
    <x v="2"/>
    <x v="0"/>
    <n v="91"/>
  </r>
  <r>
    <s v="2019"/>
    <x v="1"/>
    <x v="2"/>
    <x v="1"/>
    <n v="71.599999999999994"/>
  </r>
  <r>
    <s v="2019"/>
    <x v="1"/>
    <x v="2"/>
    <x v="2"/>
    <n v="88.1"/>
  </r>
  <r>
    <s v="2019"/>
    <x v="1"/>
    <x v="2"/>
    <x v="3"/>
    <n v="87.5"/>
  </r>
  <r>
    <s v="2019"/>
    <x v="1"/>
    <x v="2"/>
    <x v="6"/>
    <n v="100"/>
  </r>
  <r>
    <s v="2019"/>
    <x v="1"/>
    <x v="2"/>
    <x v="4"/>
    <n v="89.9"/>
  </r>
</pivotCacheRecords>
</file>

<file path=xl/pivotCache/pivotCacheRecords6.xml><?xml version="1.0" encoding="utf-8"?>
<pivotCacheRecords xmlns="http://schemas.openxmlformats.org/spreadsheetml/2006/main" xmlns:r="http://schemas.openxmlformats.org/officeDocument/2006/relationships" count="105">
  <r>
    <x v="0"/>
    <x v="0"/>
    <s v="Licensed Premises"/>
    <n v="14"/>
    <n v="165"/>
    <n v="331"/>
    <n v="83"/>
    <n v="3"/>
    <x v="0"/>
    <n v="596"/>
  </r>
  <r>
    <x v="0"/>
    <x v="1"/>
    <s v="Other Workplace"/>
    <n v="0"/>
    <n v="10"/>
    <n v="127"/>
    <n v="32"/>
    <n v="5"/>
    <x v="0"/>
    <n v="174"/>
  </r>
  <r>
    <x v="1"/>
    <x v="2"/>
    <s v="Shop"/>
    <n v="36"/>
    <n v="197"/>
    <n v="228"/>
    <n v="172"/>
    <n v="6"/>
    <x v="0"/>
    <n v="639"/>
  </r>
  <r>
    <x v="1"/>
    <x v="1"/>
    <s v="Other Workplace"/>
    <n v="0"/>
    <n v="39"/>
    <n v="128"/>
    <n v="26"/>
    <n v="5"/>
    <x v="0"/>
    <n v="198"/>
  </r>
  <r>
    <x v="2"/>
    <x v="3"/>
    <s v="Office"/>
    <n v="4"/>
    <n v="18"/>
    <n v="140"/>
    <n v="55"/>
    <n v="3"/>
    <x v="0"/>
    <n v="220"/>
  </r>
  <r>
    <x v="3"/>
    <x v="4"/>
    <s v="Other Sleeping Accommodation"/>
    <n v="4"/>
    <n v="92"/>
    <n v="199"/>
    <n v="28"/>
    <n v="0"/>
    <x v="0"/>
    <n v="323"/>
  </r>
  <r>
    <x v="3"/>
    <x v="5"/>
    <s v="Public Building"/>
    <n v="1"/>
    <n v="2"/>
    <n v="43"/>
    <n v="14"/>
    <n v="0"/>
    <x v="0"/>
    <n v="60"/>
  </r>
  <r>
    <x v="4"/>
    <x v="1"/>
    <s v="Other Workplace"/>
    <n v="0"/>
    <n v="23"/>
    <n v="51"/>
    <n v="41"/>
    <n v="2"/>
    <x v="0"/>
    <n v="117"/>
  </r>
  <r>
    <x v="5"/>
    <x v="6"/>
    <s v="Hostel"/>
    <n v="2"/>
    <n v="10"/>
    <n v="15"/>
    <n v="8"/>
    <n v="2"/>
    <x v="1"/>
    <n v="37"/>
  </r>
  <r>
    <x v="5"/>
    <x v="1"/>
    <s v="Other Workplace"/>
    <n v="1"/>
    <n v="3"/>
    <n v="20"/>
    <n v="15"/>
    <n v="8"/>
    <x v="2"/>
    <n v="47"/>
  </r>
  <r>
    <x v="0"/>
    <x v="4"/>
    <s v="Other Sleeping Accommodation"/>
    <n v="7"/>
    <n v="86"/>
    <n v="137"/>
    <n v="20"/>
    <n v="1"/>
    <x v="0"/>
    <n v="251"/>
  </r>
  <r>
    <x v="1"/>
    <x v="7"/>
    <s v="Hospital / Prison"/>
    <n v="9"/>
    <n v="24"/>
    <n v="255"/>
    <n v="118"/>
    <n v="45"/>
    <x v="0"/>
    <n v="451"/>
  </r>
  <r>
    <x v="1"/>
    <x v="8"/>
    <s v="Further Education"/>
    <n v="0"/>
    <n v="0"/>
    <n v="21"/>
    <n v="15"/>
    <n v="0"/>
    <x v="0"/>
    <n v="36"/>
  </r>
  <r>
    <x v="6"/>
    <x v="9"/>
    <s v="Care Home"/>
    <n v="67"/>
    <n v="638"/>
    <n v="783"/>
    <n v="219"/>
    <n v="12"/>
    <x v="0"/>
    <n v="1719"/>
  </r>
  <r>
    <x v="2"/>
    <x v="9"/>
    <s v="Care Home"/>
    <n v="72"/>
    <n v="580"/>
    <n v="791"/>
    <n v="201"/>
    <n v="9"/>
    <x v="0"/>
    <n v="1653"/>
  </r>
  <r>
    <x v="2"/>
    <x v="4"/>
    <s v="Other Sleeping Accommodation"/>
    <n v="1"/>
    <n v="81"/>
    <n v="273"/>
    <n v="53"/>
    <n v="0"/>
    <x v="0"/>
    <n v="408"/>
  </r>
  <r>
    <x v="4"/>
    <x v="7"/>
    <s v="Hospital / Prison"/>
    <n v="11"/>
    <n v="19"/>
    <n v="239"/>
    <n v="27"/>
    <n v="2"/>
    <x v="0"/>
    <n v="298"/>
  </r>
  <r>
    <x v="4"/>
    <x v="10"/>
    <s v="HMO"/>
    <n v="69"/>
    <n v="218"/>
    <n v="1510"/>
    <n v="154"/>
    <n v="0"/>
    <x v="0"/>
    <n v="1951"/>
  </r>
  <r>
    <x v="0"/>
    <x v="7"/>
    <s v="Hospital / Prison"/>
    <n v="3"/>
    <n v="14"/>
    <n v="164"/>
    <n v="93"/>
    <n v="60"/>
    <x v="0"/>
    <n v="334"/>
  </r>
  <r>
    <x v="0"/>
    <x v="11"/>
    <s v="Hotel"/>
    <n v="1"/>
    <n v="18"/>
    <n v="517"/>
    <n v="487"/>
    <n v="86"/>
    <x v="0"/>
    <n v="1109"/>
  </r>
  <r>
    <x v="0"/>
    <x v="12"/>
    <s v="School"/>
    <n v="8"/>
    <n v="113"/>
    <n v="114"/>
    <n v="23"/>
    <n v="2"/>
    <x v="0"/>
    <n v="260"/>
  </r>
  <r>
    <x v="1"/>
    <x v="0"/>
    <s v="Licensed Premises"/>
    <n v="17"/>
    <n v="148"/>
    <n v="250"/>
    <n v="74"/>
    <n v="5"/>
    <x v="0"/>
    <n v="494"/>
  </r>
  <r>
    <x v="6"/>
    <x v="3"/>
    <s v="Office"/>
    <n v="5"/>
    <n v="25"/>
    <n v="191"/>
    <n v="46"/>
    <n v="8"/>
    <x v="0"/>
    <n v="275"/>
  </r>
  <r>
    <x v="3"/>
    <x v="7"/>
    <s v="Hospital / Prison"/>
    <n v="7"/>
    <n v="36"/>
    <n v="353"/>
    <n v="70"/>
    <n v="5"/>
    <x v="0"/>
    <n v="471"/>
  </r>
  <r>
    <x v="3"/>
    <x v="10"/>
    <s v="HMO"/>
    <n v="81"/>
    <n v="263"/>
    <n v="1407"/>
    <n v="109"/>
    <n v="2"/>
    <x v="0"/>
    <n v="1862"/>
  </r>
  <r>
    <x v="3"/>
    <x v="0"/>
    <s v="Licensed Premises"/>
    <n v="6"/>
    <n v="36"/>
    <n v="247"/>
    <n v="84"/>
    <n v="1"/>
    <x v="0"/>
    <n v="374"/>
  </r>
  <r>
    <x v="3"/>
    <x v="12"/>
    <s v="School"/>
    <n v="35"/>
    <n v="41"/>
    <n v="325"/>
    <n v="66"/>
    <n v="3"/>
    <x v="0"/>
    <n v="470"/>
  </r>
  <r>
    <x v="5"/>
    <x v="7"/>
    <s v="Hospital / Prison"/>
    <n v="6"/>
    <n v="22"/>
    <n v="176"/>
    <n v="11"/>
    <n v="4"/>
    <x v="3"/>
    <n v="219"/>
  </r>
  <r>
    <x v="5"/>
    <x v="2"/>
    <s v="Shop"/>
    <n v="14"/>
    <n v="46"/>
    <n v="44"/>
    <n v="16"/>
    <n v="1"/>
    <x v="4"/>
    <n v="121"/>
  </r>
  <r>
    <x v="0"/>
    <x v="10"/>
    <s v="HMO"/>
    <n v="45"/>
    <n v="247"/>
    <n v="1599"/>
    <n v="55"/>
    <n v="1"/>
    <x v="0"/>
    <n v="1947"/>
  </r>
  <r>
    <x v="0"/>
    <x v="5"/>
    <s v="Public Building"/>
    <n v="2"/>
    <n v="2"/>
    <n v="27"/>
    <n v="37"/>
    <n v="0"/>
    <x v="0"/>
    <n v="68"/>
  </r>
  <r>
    <x v="0"/>
    <x v="13"/>
    <s v="Other Premises Open to Public"/>
    <n v="3"/>
    <n v="13"/>
    <n v="170"/>
    <n v="165"/>
    <n v="5"/>
    <x v="0"/>
    <n v="356"/>
  </r>
  <r>
    <x v="0"/>
    <x v="3"/>
    <s v="Office"/>
    <n v="17"/>
    <n v="49"/>
    <n v="209"/>
    <n v="68"/>
    <n v="1"/>
    <x v="0"/>
    <n v="344"/>
  </r>
  <r>
    <x v="1"/>
    <x v="6"/>
    <s v="Hostel"/>
    <n v="1"/>
    <n v="5"/>
    <n v="49"/>
    <n v="43"/>
    <n v="21"/>
    <x v="0"/>
    <n v="119"/>
  </r>
  <r>
    <x v="1"/>
    <x v="4"/>
    <s v="Other Sleeping Accommodation"/>
    <n v="29"/>
    <n v="82"/>
    <n v="198"/>
    <n v="41"/>
    <n v="1"/>
    <x v="0"/>
    <n v="351"/>
  </r>
  <r>
    <x v="6"/>
    <x v="2"/>
    <s v="Shop"/>
    <n v="77"/>
    <n v="46"/>
    <n v="346"/>
    <n v="52"/>
    <n v="2"/>
    <x v="0"/>
    <n v="523"/>
  </r>
  <r>
    <x v="6"/>
    <x v="13"/>
    <s v="Other Premises Open to Public"/>
    <n v="6"/>
    <n v="8"/>
    <n v="160"/>
    <n v="59"/>
    <n v="2"/>
    <x v="0"/>
    <n v="235"/>
  </r>
  <r>
    <x v="2"/>
    <x v="14"/>
    <s v="Factory or Warehouse"/>
    <n v="2"/>
    <n v="32"/>
    <n v="150"/>
    <n v="44"/>
    <n v="0"/>
    <x v="0"/>
    <n v="228"/>
  </r>
  <r>
    <x v="2"/>
    <x v="1"/>
    <s v="Other Workplace"/>
    <n v="1"/>
    <n v="19"/>
    <n v="72"/>
    <n v="17"/>
    <n v="4"/>
    <x v="0"/>
    <n v="113"/>
  </r>
  <r>
    <x v="3"/>
    <x v="13"/>
    <s v="Other Premises Open to Public"/>
    <n v="2"/>
    <n v="20"/>
    <n v="196"/>
    <n v="59"/>
    <n v="6"/>
    <x v="0"/>
    <n v="283"/>
  </r>
  <r>
    <x v="3"/>
    <x v="3"/>
    <s v="Office"/>
    <n v="2"/>
    <n v="29"/>
    <n v="170"/>
    <n v="62"/>
    <n v="4"/>
    <x v="0"/>
    <n v="267"/>
  </r>
  <r>
    <x v="4"/>
    <x v="11"/>
    <s v="Hotel"/>
    <n v="1"/>
    <n v="131"/>
    <n v="746"/>
    <n v="191"/>
    <n v="12"/>
    <x v="0"/>
    <n v="1081"/>
  </r>
  <r>
    <x v="4"/>
    <x v="12"/>
    <s v="School"/>
    <n v="23"/>
    <n v="30"/>
    <n v="170"/>
    <n v="44"/>
    <n v="4"/>
    <x v="0"/>
    <n v="271"/>
  </r>
  <r>
    <x v="5"/>
    <x v="10"/>
    <s v="HMO"/>
    <n v="42"/>
    <n v="124"/>
    <n v="577"/>
    <n v="56"/>
    <n v="1"/>
    <x v="5"/>
    <n v="800"/>
  </r>
  <r>
    <x v="5"/>
    <x v="14"/>
    <s v="Factory or Warehouse"/>
    <n v="1"/>
    <n v="17"/>
    <n v="44"/>
    <n v="20"/>
    <n v="0"/>
    <x v="6"/>
    <m/>
  </r>
  <r>
    <x v="0"/>
    <x v="6"/>
    <s v="Hostel"/>
    <n v="0"/>
    <n v="6"/>
    <n v="37"/>
    <n v="83"/>
    <n v="12"/>
    <x v="0"/>
    <n v="138"/>
  </r>
  <r>
    <x v="1"/>
    <x v="12"/>
    <s v="School"/>
    <n v="9"/>
    <n v="53"/>
    <n v="125"/>
    <n v="41"/>
    <n v="0"/>
    <x v="0"/>
    <n v="228"/>
  </r>
  <r>
    <x v="1"/>
    <x v="3"/>
    <s v="Office"/>
    <n v="15"/>
    <n v="35"/>
    <n v="240"/>
    <n v="84"/>
    <n v="5"/>
    <x v="0"/>
    <n v="379"/>
  </r>
  <r>
    <x v="6"/>
    <x v="6"/>
    <s v="Hostel"/>
    <n v="5"/>
    <n v="10"/>
    <n v="83"/>
    <n v="27"/>
    <n v="3"/>
    <x v="0"/>
    <n v="128"/>
  </r>
  <r>
    <x v="6"/>
    <x v="5"/>
    <s v="Public Building"/>
    <n v="0"/>
    <n v="1"/>
    <n v="55"/>
    <n v="10"/>
    <n v="0"/>
    <x v="0"/>
    <n v="66"/>
  </r>
  <r>
    <x v="6"/>
    <x v="12"/>
    <s v="School"/>
    <n v="19"/>
    <n v="38"/>
    <n v="241"/>
    <n v="55"/>
    <n v="10"/>
    <x v="0"/>
    <n v="363"/>
  </r>
  <r>
    <x v="2"/>
    <x v="11"/>
    <s v="Hotel"/>
    <n v="2"/>
    <n v="73"/>
    <n v="819"/>
    <n v="256"/>
    <n v="17"/>
    <x v="0"/>
    <n v="1167"/>
  </r>
  <r>
    <x v="2"/>
    <x v="5"/>
    <s v="Public Building"/>
    <n v="1"/>
    <n v="2"/>
    <n v="42"/>
    <n v="12"/>
    <n v="2"/>
    <x v="0"/>
    <n v="59"/>
  </r>
  <r>
    <x v="2"/>
    <x v="12"/>
    <s v="School"/>
    <n v="24"/>
    <n v="35"/>
    <n v="178"/>
    <n v="29"/>
    <n v="2"/>
    <x v="0"/>
    <n v="268"/>
  </r>
  <r>
    <x v="2"/>
    <x v="13"/>
    <s v="Other Premises Open to Public"/>
    <n v="4"/>
    <n v="6"/>
    <n v="166"/>
    <n v="62"/>
    <n v="2"/>
    <x v="0"/>
    <n v="240"/>
  </r>
  <r>
    <x v="3"/>
    <x v="2"/>
    <s v="Shop"/>
    <n v="18"/>
    <n v="49"/>
    <n v="267"/>
    <n v="45"/>
    <n v="3"/>
    <x v="0"/>
    <n v="382"/>
  </r>
  <r>
    <x v="4"/>
    <x v="5"/>
    <s v="Public Building"/>
    <n v="0"/>
    <n v="3"/>
    <n v="24"/>
    <n v="12"/>
    <n v="0"/>
    <x v="0"/>
    <n v="39"/>
  </r>
  <r>
    <x v="4"/>
    <x v="14"/>
    <s v="Factory or Warehouse"/>
    <n v="3"/>
    <n v="46"/>
    <n v="137"/>
    <n v="53"/>
    <n v="2"/>
    <x v="0"/>
    <n v="241"/>
  </r>
  <r>
    <x v="5"/>
    <x v="4"/>
    <s v="Other Sleeping Accommodation"/>
    <n v="6"/>
    <n v="22"/>
    <n v="75"/>
    <n v="11"/>
    <n v="0"/>
    <x v="3"/>
    <m/>
  </r>
  <r>
    <x v="5"/>
    <x v="5"/>
    <s v="Public Building"/>
    <n v="0"/>
    <n v="0"/>
    <n v="6"/>
    <n v="0"/>
    <n v="0"/>
    <x v="1"/>
    <m/>
  </r>
  <r>
    <x v="0"/>
    <x v="2"/>
    <s v="Shop"/>
    <n v="27"/>
    <n v="259"/>
    <n v="173"/>
    <n v="222"/>
    <n v="2"/>
    <x v="0"/>
    <n v="683"/>
  </r>
  <r>
    <x v="1"/>
    <x v="10"/>
    <s v="HMO"/>
    <n v="141"/>
    <n v="272"/>
    <n v="2548"/>
    <n v="91"/>
    <n v="10"/>
    <x v="0"/>
    <n v="3062"/>
  </r>
  <r>
    <x v="6"/>
    <x v="14"/>
    <s v="Factory or Warehouse"/>
    <n v="0"/>
    <n v="49"/>
    <n v="225"/>
    <n v="52"/>
    <n v="3"/>
    <x v="0"/>
    <n v="329"/>
  </r>
  <r>
    <x v="6"/>
    <x v="1"/>
    <s v="Other Workplace"/>
    <n v="0"/>
    <n v="38"/>
    <n v="145"/>
    <n v="56"/>
    <n v="4"/>
    <x v="0"/>
    <n v="243"/>
  </r>
  <r>
    <x v="2"/>
    <x v="6"/>
    <s v="Hostel"/>
    <n v="6"/>
    <n v="12"/>
    <n v="63"/>
    <n v="21"/>
    <n v="2"/>
    <x v="0"/>
    <n v="104"/>
  </r>
  <r>
    <x v="2"/>
    <x v="0"/>
    <s v="Licensed Premises"/>
    <n v="5"/>
    <n v="35"/>
    <n v="219"/>
    <n v="70"/>
    <n v="3"/>
    <x v="0"/>
    <n v="332"/>
  </r>
  <r>
    <x v="3"/>
    <x v="11"/>
    <s v="Hotel"/>
    <n v="0"/>
    <n v="70"/>
    <n v="734"/>
    <n v="209"/>
    <n v="17"/>
    <x v="0"/>
    <n v="1030"/>
  </r>
  <r>
    <x v="3"/>
    <x v="8"/>
    <s v="Further Education"/>
    <n v="1"/>
    <n v="2"/>
    <n v="23"/>
    <n v="5"/>
    <n v="0"/>
    <x v="0"/>
    <n v="31"/>
  </r>
  <r>
    <x v="4"/>
    <x v="6"/>
    <s v="Hostel"/>
    <n v="6"/>
    <n v="8"/>
    <n v="42"/>
    <n v="13"/>
    <n v="2"/>
    <x v="0"/>
    <n v="71"/>
  </r>
  <r>
    <x v="4"/>
    <x v="8"/>
    <s v="Further Education"/>
    <n v="0"/>
    <n v="5"/>
    <n v="18"/>
    <n v="2"/>
    <n v="0"/>
    <x v="0"/>
    <n v="25"/>
  </r>
  <r>
    <x v="5"/>
    <x v="3"/>
    <s v="Office"/>
    <n v="4"/>
    <n v="9"/>
    <n v="24"/>
    <n v="25"/>
    <n v="0"/>
    <x v="1"/>
    <m/>
  </r>
  <r>
    <x v="0"/>
    <x v="9"/>
    <s v="Care Home"/>
    <n v="51"/>
    <n v="538"/>
    <n v="711"/>
    <n v="191"/>
    <n v="15"/>
    <x v="0"/>
    <n v="1506"/>
  </r>
  <r>
    <x v="0"/>
    <x v="14"/>
    <s v="Factory or Warehouse"/>
    <n v="2"/>
    <n v="113"/>
    <n v="243"/>
    <n v="50"/>
    <n v="4"/>
    <x v="0"/>
    <n v="412"/>
  </r>
  <r>
    <x v="1"/>
    <x v="11"/>
    <s v="Hotel"/>
    <n v="1"/>
    <n v="53"/>
    <n v="815"/>
    <n v="329"/>
    <n v="65"/>
    <x v="0"/>
    <n v="1263"/>
  </r>
  <r>
    <x v="1"/>
    <x v="14"/>
    <s v="Factory or Warehouse"/>
    <n v="1"/>
    <n v="170"/>
    <n v="267"/>
    <n v="44"/>
    <n v="3"/>
    <x v="0"/>
    <n v="485"/>
  </r>
  <r>
    <x v="6"/>
    <x v="7"/>
    <s v="Hospital / Prison"/>
    <n v="8"/>
    <n v="17"/>
    <n v="314"/>
    <n v="51"/>
    <n v="6"/>
    <x v="0"/>
    <n v="396"/>
  </r>
  <r>
    <x v="6"/>
    <x v="10"/>
    <s v="HMO"/>
    <n v="69"/>
    <n v="343"/>
    <n v="2130"/>
    <n v="106"/>
    <n v="2"/>
    <x v="0"/>
    <n v="2650"/>
  </r>
  <r>
    <x v="6"/>
    <x v="11"/>
    <s v="Hotel"/>
    <n v="0"/>
    <n v="57"/>
    <n v="800"/>
    <n v="248"/>
    <n v="33"/>
    <x v="0"/>
    <n v="1138"/>
  </r>
  <r>
    <x v="6"/>
    <x v="4"/>
    <s v="Other Sleeping Accommodation"/>
    <n v="7"/>
    <n v="84"/>
    <n v="245"/>
    <n v="35"/>
    <n v="0"/>
    <x v="0"/>
    <n v="371"/>
  </r>
  <r>
    <x v="2"/>
    <x v="7"/>
    <s v="Hospital / Prison"/>
    <n v="5"/>
    <n v="25"/>
    <n v="262"/>
    <n v="71"/>
    <n v="4"/>
    <x v="0"/>
    <n v="367"/>
  </r>
  <r>
    <x v="2"/>
    <x v="10"/>
    <s v="HMO"/>
    <n v="69"/>
    <n v="246"/>
    <n v="1559"/>
    <n v="203"/>
    <n v="0"/>
    <x v="0"/>
    <n v="2077"/>
  </r>
  <r>
    <x v="2"/>
    <x v="2"/>
    <s v="Shop"/>
    <n v="27"/>
    <n v="48"/>
    <n v="231"/>
    <n v="55"/>
    <n v="1"/>
    <x v="0"/>
    <n v="362"/>
  </r>
  <r>
    <x v="3"/>
    <x v="14"/>
    <s v="Factory or Warehouse"/>
    <n v="0"/>
    <n v="42"/>
    <n v="173"/>
    <n v="51"/>
    <n v="1"/>
    <x v="0"/>
    <n v="267"/>
  </r>
  <r>
    <x v="4"/>
    <x v="4"/>
    <s v="Other Sleeping Accommodation"/>
    <n v="15"/>
    <n v="92"/>
    <n v="335"/>
    <n v="28"/>
    <n v="0"/>
    <x v="0"/>
    <n v="470"/>
  </r>
  <r>
    <x v="4"/>
    <x v="3"/>
    <s v="Office"/>
    <n v="4"/>
    <n v="19"/>
    <n v="168"/>
    <n v="90"/>
    <n v="4"/>
    <x v="0"/>
    <n v="285"/>
  </r>
  <r>
    <x v="5"/>
    <x v="9"/>
    <s v="Care Home"/>
    <n v="86"/>
    <n v="613"/>
    <n v="459"/>
    <n v="168"/>
    <n v="5"/>
    <x v="7"/>
    <n v="1331"/>
  </r>
  <r>
    <x v="5"/>
    <x v="11"/>
    <s v="Hotel"/>
    <n v="1"/>
    <n v="33"/>
    <n v="150"/>
    <n v="39"/>
    <n v="4"/>
    <x v="2"/>
    <n v="227"/>
  </r>
  <r>
    <x v="5"/>
    <x v="0"/>
    <s v="Licensed Premises"/>
    <n v="0"/>
    <n v="10"/>
    <n v="43"/>
    <n v="17"/>
    <n v="1"/>
    <x v="6"/>
    <m/>
  </r>
  <r>
    <x v="5"/>
    <x v="13"/>
    <s v="Other Premises Open to Public"/>
    <n v="2"/>
    <n v="3"/>
    <n v="43"/>
    <n v="11"/>
    <n v="2"/>
    <x v="3"/>
    <n v="61"/>
  </r>
  <r>
    <x v="0"/>
    <x v="8"/>
    <s v="Further Education"/>
    <n v="0"/>
    <n v="0"/>
    <n v="9"/>
    <n v="18"/>
    <n v="1"/>
    <x v="0"/>
    <n v="28"/>
  </r>
  <r>
    <x v="1"/>
    <x v="9"/>
    <s v="Care Home"/>
    <n v="75"/>
    <n v="598"/>
    <n v="822"/>
    <n v="241"/>
    <n v="24"/>
    <x v="0"/>
    <n v="1760"/>
  </r>
  <r>
    <x v="1"/>
    <x v="5"/>
    <s v="Public Building"/>
    <n v="0"/>
    <n v="3"/>
    <n v="22"/>
    <n v="24"/>
    <n v="0"/>
    <x v="0"/>
    <n v="49"/>
  </r>
  <r>
    <x v="1"/>
    <x v="13"/>
    <s v="Other Premises Open to Public"/>
    <n v="4"/>
    <n v="8"/>
    <n v="217"/>
    <n v="84"/>
    <n v="7"/>
    <x v="0"/>
    <n v="320"/>
  </r>
  <r>
    <x v="6"/>
    <x v="8"/>
    <s v="Further Education"/>
    <n v="1"/>
    <n v="0"/>
    <n v="16"/>
    <n v="3"/>
    <n v="1"/>
    <x v="0"/>
    <n v="21"/>
  </r>
  <r>
    <x v="6"/>
    <x v="0"/>
    <s v="Licensed Premises"/>
    <n v="7"/>
    <n v="55"/>
    <n v="327"/>
    <n v="85"/>
    <n v="8"/>
    <x v="0"/>
    <n v="482"/>
  </r>
  <r>
    <x v="2"/>
    <x v="8"/>
    <s v="Further Education"/>
    <n v="1"/>
    <n v="0"/>
    <n v="21"/>
    <n v="14"/>
    <n v="1"/>
    <x v="0"/>
    <n v="37"/>
  </r>
  <r>
    <x v="3"/>
    <x v="9"/>
    <s v="Care Home"/>
    <n v="92"/>
    <n v="668"/>
    <n v="807"/>
    <n v="201"/>
    <n v="7"/>
    <x v="0"/>
    <n v="1775"/>
  </r>
  <r>
    <x v="3"/>
    <x v="6"/>
    <s v="Hostel"/>
    <n v="5"/>
    <n v="10"/>
    <n v="59"/>
    <n v="12"/>
    <n v="2"/>
    <x v="0"/>
    <n v="88"/>
  </r>
  <r>
    <x v="3"/>
    <x v="1"/>
    <s v="Other Workplace"/>
    <n v="0"/>
    <n v="34"/>
    <n v="121"/>
    <n v="33"/>
    <n v="1"/>
    <x v="0"/>
    <n v="189"/>
  </r>
  <r>
    <x v="4"/>
    <x v="9"/>
    <s v="Care Home"/>
    <n v="95"/>
    <n v="634"/>
    <n v="562"/>
    <n v="187"/>
    <n v="8"/>
    <x v="0"/>
    <n v="1486"/>
  </r>
  <r>
    <x v="4"/>
    <x v="0"/>
    <s v="Licensed Premises"/>
    <n v="9"/>
    <n v="38"/>
    <n v="167"/>
    <n v="73"/>
    <n v="2"/>
    <x v="0"/>
    <n v="289"/>
  </r>
  <r>
    <x v="4"/>
    <x v="2"/>
    <s v="Shop"/>
    <n v="61"/>
    <n v="72"/>
    <n v="179"/>
    <n v="46"/>
    <n v="0"/>
    <x v="0"/>
    <n v="358"/>
  </r>
  <r>
    <x v="4"/>
    <x v="13"/>
    <s v="Other Premises Open to Public"/>
    <n v="2"/>
    <n v="8"/>
    <n v="202"/>
    <n v="66"/>
    <n v="1"/>
    <x v="0"/>
    <n v="279"/>
  </r>
  <r>
    <x v="5"/>
    <x v="8"/>
    <s v="Further Education"/>
    <n v="1"/>
    <n v="2"/>
    <n v="6"/>
    <n v="1"/>
    <n v="0"/>
    <x v="1"/>
    <m/>
  </r>
  <r>
    <x v="5"/>
    <x v="12"/>
    <s v="School"/>
    <n v="3"/>
    <n v="14"/>
    <n v="28"/>
    <n v="18"/>
    <n v="3"/>
    <x v="3"/>
    <n v="66"/>
  </r>
</pivotCacheRecords>
</file>

<file path=xl/pivotCache/pivotCacheRecords7.xml><?xml version="1.0" encoding="utf-8"?>
<pivotCacheRecords xmlns="http://schemas.openxmlformats.org/spreadsheetml/2006/main" xmlns:r="http://schemas.openxmlformats.org/officeDocument/2006/relationships" count="33">
  <r>
    <x v="0"/>
    <x v="0"/>
    <n v="3"/>
    <n v="8"/>
    <n v="0"/>
    <n v="2"/>
    <n v="0"/>
    <n v="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1"/>
    <n v="0"/>
    <n v="0"/>
    <n v="0"/>
    <n v="4"/>
    <n v="0"/>
    <n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2"/>
    <n v="4"/>
    <n v="2"/>
    <n v="0"/>
    <n v="1"/>
    <n v="0"/>
    <n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3"/>
    <n v="13"/>
    <n v="144"/>
    <n v="9"/>
    <n v="49"/>
    <n v="32"/>
    <n v="24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4"/>
    <n v="46"/>
    <n v="12"/>
    <n v="1"/>
    <n v="3"/>
    <n v="3"/>
    <n v="6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5"/>
    <n v="110"/>
    <n v="18"/>
    <n v="4"/>
    <n v="12"/>
    <n v="3"/>
    <n v="14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6"/>
    <n v="0"/>
    <n v="0"/>
    <n v="0"/>
    <n v="12"/>
    <n v="0"/>
    <n v="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7"/>
    <n v="8"/>
    <n v="4"/>
    <n v="0"/>
    <n v="1"/>
    <n v="0"/>
    <n v="13"/>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8"/>
    <n v="2"/>
    <n v="0"/>
    <n v="0"/>
    <n v="0"/>
    <n v="0"/>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9"/>
    <n v="0"/>
    <n v="0"/>
    <n v="0"/>
    <n v="47"/>
    <n v="0"/>
    <n v="4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0"/>
    <x v="10"/>
    <n v="0"/>
    <n v="0"/>
    <n v="0"/>
    <n v="17"/>
    <n v="0"/>
    <n v="1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0"/>
    <n v="4"/>
    <n v="2"/>
    <n v="0"/>
    <n v="1"/>
    <n v="0"/>
    <n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1"/>
    <n v="0"/>
    <n v="0"/>
    <n v="0"/>
    <n v="7"/>
    <n v="0"/>
    <n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2"/>
    <n v="2"/>
    <n v="4"/>
    <n v="1"/>
    <n v="0"/>
    <n v="2"/>
    <n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3"/>
    <n v="21"/>
    <n v="163"/>
    <n v="5"/>
    <n v="29"/>
    <n v="18"/>
    <n v="23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4"/>
    <n v="16"/>
    <n v="3"/>
    <n v="0"/>
    <n v="1"/>
    <n v="1"/>
    <n v="2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5"/>
    <n v="152"/>
    <n v="41"/>
    <n v="6"/>
    <n v="14"/>
    <n v="4"/>
    <n v="21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6"/>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7"/>
    <n v="7"/>
    <n v="5"/>
    <n v="1"/>
    <n v="1"/>
    <n v="0"/>
    <n v="1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11"/>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1"/>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0"/>
    <n v="3"/>
    <n v="6"/>
    <n v="2"/>
    <n v="1"/>
    <n v="0"/>
    <n v="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1"/>
    <n v="0"/>
    <n v="0"/>
    <n v="2"/>
    <n v="7"/>
    <n v="0"/>
    <n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2"/>
    <n v="2"/>
    <n v="3"/>
    <n v="0"/>
    <n v="2"/>
    <n v="0"/>
    <n v="7"/>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3"/>
    <n v="8"/>
    <n v="130"/>
    <n v="0"/>
    <n v="20"/>
    <n v="17"/>
    <n v="175"/>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4"/>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5"/>
    <n v="175"/>
    <n v="44"/>
    <n v="5"/>
    <n v="13"/>
    <n v="2"/>
    <n v="23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6"/>
    <n v="0"/>
    <n v="1"/>
    <n v="0"/>
    <n v="0"/>
    <n v="1"/>
    <n v="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7"/>
    <n v="5"/>
    <n v="5"/>
    <n v="1"/>
    <n v="1"/>
    <n v="0"/>
    <n v="12"/>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8"/>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x v="2"/>
    <x v="1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pivotCacheRecords>
</file>

<file path=xl/pivotCache/pivotCacheRecords8.xml><?xml version="1.0" encoding="utf-8"?>
<pivotCacheRecords xmlns="http://schemas.openxmlformats.org/spreadsheetml/2006/main" xmlns:r="http://schemas.openxmlformats.org/officeDocument/2006/relationships" count="32">
  <r>
    <x v="0"/>
    <x v="0"/>
    <n v="285"/>
    <m/>
    <m/>
    <m/>
    <m/>
  </r>
  <r>
    <x v="0"/>
    <x v="1"/>
    <n v="268"/>
    <m/>
    <m/>
    <n v="724"/>
    <m/>
  </r>
  <r>
    <x v="0"/>
    <x v="2"/>
    <n v="56"/>
    <m/>
    <n v="223"/>
    <n v="237"/>
    <m/>
  </r>
  <r>
    <x v="0"/>
    <x v="3"/>
    <n v="3392"/>
    <n v="2940"/>
    <m/>
    <m/>
    <n v="359"/>
  </r>
  <r>
    <x v="1"/>
    <x v="0"/>
    <n v="270"/>
    <m/>
    <m/>
    <m/>
    <m/>
  </r>
  <r>
    <x v="1"/>
    <x v="2"/>
    <n v="50"/>
    <m/>
    <n v="230"/>
    <n v="238"/>
    <m/>
  </r>
  <r>
    <x v="1"/>
    <x v="1"/>
    <n v="251"/>
    <m/>
    <m/>
    <n v="629"/>
    <m/>
  </r>
  <r>
    <x v="1"/>
    <x v="3"/>
    <n v="3285"/>
    <n v="2950"/>
    <m/>
    <m/>
    <n v="378"/>
  </r>
  <r>
    <x v="2"/>
    <x v="3"/>
    <n v="3025"/>
    <n v="2870"/>
    <m/>
    <m/>
    <n v="342"/>
  </r>
  <r>
    <x v="2"/>
    <x v="0"/>
    <n v="385"/>
    <m/>
    <m/>
    <m/>
    <m/>
  </r>
  <r>
    <x v="2"/>
    <x v="1"/>
    <n v="85"/>
    <m/>
    <m/>
    <n v="531"/>
    <m/>
  </r>
  <r>
    <x v="2"/>
    <x v="2"/>
    <n v="195"/>
    <m/>
    <n v="203"/>
    <n v="297"/>
    <m/>
  </r>
  <r>
    <x v="3"/>
    <x v="0"/>
    <n v="389"/>
    <m/>
    <m/>
    <m/>
    <m/>
  </r>
  <r>
    <x v="3"/>
    <x v="3"/>
    <n v="2923"/>
    <n v="2870"/>
    <m/>
    <m/>
    <n v="320"/>
  </r>
  <r>
    <x v="3"/>
    <x v="2"/>
    <n v="182"/>
    <m/>
    <n v="165"/>
    <n v="267"/>
    <m/>
  </r>
  <r>
    <x v="3"/>
    <x v="1"/>
    <n v="151"/>
    <m/>
    <m/>
    <n v="571"/>
    <m/>
  </r>
  <r>
    <x v="4"/>
    <x v="3"/>
    <n v="2867"/>
    <n v="2863"/>
    <m/>
    <m/>
    <n v="336"/>
  </r>
  <r>
    <x v="4"/>
    <x v="0"/>
    <n v="379"/>
    <m/>
    <m/>
    <m/>
    <m/>
  </r>
  <r>
    <x v="4"/>
    <x v="2"/>
    <n v="143"/>
    <m/>
    <n v="189"/>
    <n v="277"/>
    <m/>
  </r>
  <r>
    <x v="4"/>
    <x v="1"/>
    <n v="156"/>
    <m/>
    <m/>
    <n v="569"/>
    <m/>
  </r>
  <r>
    <x v="5"/>
    <x v="1"/>
    <n v="146"/>
    <n v="0"/>
    <n v="0"/>
    <n v="0"/>
    <n v="0"/>
  </r>
  <r>
    <x v="5"/>
    <x v="3"/>
    <n v="2955"/>
    <n v="2935"/>
    <n v="0"/>
    <n v="0"/>
    <n v="321"/>
  </r>
  <r>
    <x v="5"/>
    <x v="0"/>
    <n v="387"/>
    <n v="0"/>
    <n v="0"/>
    <n v="0"/>
    <n v="0"/>
  </r>
  <r>
    <x v="5"/>
    <x v="2"/>
    <n v="149"/>
    <n v="0"/>
    <n v="207"/>
    <n v="792"/>
    <n v="0"/>
  </r>
  <r>
    <x v="6"/>
    <x v="3"/>
    <n v="2966"/>
    <n v="2937"/>
    <n v="0"/>
    <n v="0"/>
    <n v="315"/>
  </r>
  <r>
    <x v="6"/>
    <x v="0"/>
    <n v="383"/>
    <n v="0"/>
    <n v="0"/>
    <n v="0"/>
    <n v="0"/>
  </r>
  <r>
    <x v="6"/>
    <x v="1"/>
    <n v="197"/>
    <n v="0"/>
    <n v="0"/>
    <n v="0"/>
    <n v="0"/>
  </r>
  <r>
    <x v="6"/>
    <x v="2"/>
    <n v="90"/>
    <n v="0"/>
    <n v="188"/>
    <n v="817"/>
    <n v="0"/>
  </r>
  <r>
    <x v="7"/>
    <x v="0"/>
    <n v="377"/>
    <n v="0"/>
    <n v="0"/>
    <n v="0"/>
    <n v="0"/>
  </r>
  <r>
    <x v="7"/>
    <x v="1"/>
    <n v="212"/>
    <n v="0"/>
    <n v="0"/>
    <n v="0"/>
    <n v="0"/>
  </r>
  <r>
    <x v="7"/>
    <x v="2"/>
    <n v="92"/>
    <n v="0"/>
    <n v="182"/>
    <n v="836"/>
    <n v="0"/>
  </r>
  <r>
    <x v="7"/>
    <x v="3"/>
    <n v="2903"/>
    <n v="2872"/>
    <n v="0"/>
    <n v="0"/>
    <n v="303"/>
  </r>
</pivotCacheRecords>
</file>

<file path=xl/pivotCache/pivotCacheRecords9.xml><?xml version="1.0" encoding="utf-8"?>
<pivotCacheRecords xmlns="http://schemas.openxmlformats.org/spreadsheetml/2006/main" xmlns:r="http://schemas.openxmlformats.org/officeDocument/2006/relationships" count="508">
  <r>
    <x v="0"/>
    <x v="0"/>
    <x v="0"/>
    <n v="289"/>
    <x v="0"/>
    <x v="0"/>
    <x v="0"/>
    <x v="0"/>
    <n v="400"/>
  </r>
  <r>
    <x v="0"/>
    <x v="0"/>
    <x v="1"/>
    <n v="35"/>
    <x v="1"/>
    <x v="0"/>
    <x v="0"/>
    <x v="0"/>
    <n v="45"/>
  </r>
  <r>
    <x v="0"/>
    <x v="0"/>
    <x v="2"/>
    <n v="370"/>
    <x v="2"/>
    <x v="0"/>
    <x v="0"/>
    <x v="0"/>
    <n v="382"/>
  </r>
  <r>
    <x v="0"/>
    <x v="0"/>
    <x v="3"/>
    <n v="69"/>
    <x v="3"/>
    <x v="0"/>
    <x v="0"/>
    <x v="1"/>
    <n v="271"/>
  </r>
  <r>
    <x v="0"/>
    <x v="0"/>
    <x v="4"/>
    <n v="74"/>
    <x v="4"/>
    <x v="0"/>
    <x v="0"/>
    <x v="0"/>
    <n v="74"/>
  </r>
  <r>
    <x v="0"/>
    <x v="0"/>
    <x v="5"/>
    <n v="188"/>
    <x v="5"/>
    <x v="0"/>
    <x v="0"/>
    <x v="0"/>
    <n v="216"/>
  </r>
  <r>
    <x v="0"/>
    <x v="0"/>
    <x v="6"/>
    <n v="0"/>
    <x v="6"/>
    <x v="0"/>
    <x v="0"/>
    <x v="0"/>
    <n v="113"/>
  </r>
  <r>
    <x v="0"/>
    <x v="0"/>
    <x v="7"/>
    <n v="58"/>
    <x v="7"/>
    <x v="0"/>
    <x v="0"/>
    <x v="2"/>
    <n v="448"/>
  </r>
  <r>
    <x v="0"/>
    <x v="0"/>
    <x v="8"/>
    <n v="59"/>
    <x v="8"/>
    <x v="0"/>
    <x v="0"/>
    <x v="0"/>
    <n v="136"/>
  </r>
  <r>
    <x v="0"/>
    <x v="0"/>
    <x v="9"/>
    <n v="81"/>
    <x v="9"/>
    <x v="0"/>
    <x v="0"/>
    <x v="3"/>
    <n v="717"/>
  </r>
  <r>
    <x v="0"/>
    <x v="0"/>
    <x v="10"/>
    <n v="88"/>
    <x v="10"/>
    <x v="0"/>
    <x v="0"/>
    <x v="4"/>
    <n v="253"/>
  </r>
  <r>
    <x v="0"/>
    <x v="0"/>
    <x v="11"/>
    <n v="116"/>
    <x v="11"/>
    <x v="0"/>
    <x v="0"/>
    <x v="0"/>
    <n v="130"/>
  </r>
  <r>
    <x v="0"/>
    <x v="0"/>
    <x v="12"/>
    <n v="75"/>
    <x v="12"/>
    <x v="0"/>
    <x v="0"/>
    <x v="0"/>
    <n v="209"/>
  </r>
  <r>
    <x v="0"/>
    <x v="0"/>
    <x v="13"/>
    <n v="65"/>
    <x v="13"/>
    <x v="0"/>
    <x v="0"/>
    <x v="0"/>
    <n v="119"/>
  </r>
  <r>
    <x v="0"/>
    <x v="0"/>
    <x v="14"/>
    <n v="215"/>
    <x v="11"/>
    <x v="0"/>
    <x v="0"/>
    <x v="0"/>
    <n v="229"/>
  </r>
  <r>
    <x v="0"/>
    <x v="0"/>
    <x v="15"/>
    <n v="59"/>
    <x v="4"/>
    <x v="0"/>
    <x v="0"/>
    <x v="0"/>
    <n v="59"/>
  </r>
  <r>
    <x v="0"/>
    <x v="0"/>
    <x v="16"/>
    <n v="85"/>
    <x v="14"/>
    <x v="0"/>
    <x v="0"/>
    <x v="0"/>
    <n v="143"/>
  </r>
  <r>
    <x v="0"/>
    <x v="0"/>
    <x v="17"/>
    <n v="23"/>
    <x v="15"/>
    <x v="0"/>
    <x v="0"/>
    <x v="0"/>
    <n v="320"/>
  </r>
  <r>
    <x v="0"/>
    <x v="0"/>
    <x v="18"/>
    <n v="0"/>
    <x v="16"/>
    <x v="0"/>
    <x v="0"/>
    <x v="0"/>
    <n v="132"/>
  </r>
  <r>
    <x v="0"/>
    <x v="0"/>
    <x v="19"/>
    <n v="76"/>
    <x v="17"/>
    <x v="0"/>
    <x v="0"/>
    <x v="5"/>
    <n v="191"/>
  </r>
  <r>
    <x v="0"/>
    <x v="0"/>
    <x v="20"/>
    <n v="0"/>
    <x v="12"/>
    <x v="0"/>
    <x v="0"/>
    <x v="0"/>
    <n v="134"/>
  </r>
  <r>
    <x v="0"/>
    <x v="0"/>
    <x v="21"/>
    <n v="35"/>
    <x v="18"/>
    <x v="0"/>
    <x v="0"/>
    <x v="0"/>
    <n v="134"/>
  </r>
  <r>
    <x v="0"/>
    <x v="0"/>
    <x v="22"/>
    <n v="43"/>
    <x v="19"/>
    <x v="0"/>
    <x v="0"/>
    <x v="0"/>
    <n v="64"/>
  </r>
  <r>
    <x v="0"/>
    <x v="0"/>
    <x v="23"/>
    <n v="560"/>
    <x v="20"/>
    <x v="0"/>
    <x v="0"/>
    <x v="0"/>
    <n v="562"/>
  </r>
  <r>
    <x v="0"/>
    <x v="0"/>
    <x v="24"/>
    <n v="190"/>
    <x v="21"/>
    <x v="0"/>
    <x v="0"/>
    <x v="6"/>
    <n v="276"/>
  </r>
  <r>
    <x v="0"/>
    <x v="0"/>
    <x v="25"/>
    <n v="62"/>
    <x v="22"/>
    <x v="0"/>
    <x v="0"/>
    <x v="0"/>
    <n v="136"/>
  </r>
  <r>
    <x v="0"/>
    <x v="0"/>
    <x v="26"/>
    <n v="80"/>
    <x v="23"/>
    <x v="0"/>
    <x v="0"/>
    <x v="0"/>
    <n v="98"/>
  </r>
  <r>
    <x v="0"/>
    <x v="0"/>
    <x v="27"/>
    <n v="174"/>
    <x v="24"/>
    <x v="0"/>
    <x v="0"/>
    <x v="0"/>
    <n v="182"/>
  </r>
  <r>
    <x v="0"/>
    <x v="0"/>
    <x v="28"/>
    <n v="29"/>
    <x v="25"/>
    <x v="0"/>
    <x v="0"/>
    <x v="0"/>
    <n v="81"/>
  </r>
  <r>
    <x v="0"/>
    <x v="0"/>
    <x v="29"/>
    <n v="96"/>
    <x v="26"/>
    <x v="0"/>
    <x v="0"/>
    <x v="0"/>
    <n v="161"/>
  </r>
  <r>
    <x v="0"/>
    <x v="0"/>
    <x v="30"/>
    <n v="78"/>
    <x v="27"/>
    <x v="0"/>
    <x v="0"/>
    <x v="0"/>
    <n v="120"/>
  </r>
  <r>
    <x v="0"/>
    <x v="0"/>
    <x v="31"/>
    <n v="20"/>
    <x v="28"/>
    <x v="0"/>
    <x v="0"/>
    <x v="7"/>
    <n v="156"/>
  </r>
  <r>
    <x v="0"/>
    <x v="1"/>
    <x v="32"/>
    <n v="11"/>
    <x v="29"/>
    <x v="0"/>
    <x v="0"/>
    <x v="8"/>
    <n v="11"/>
  </r>
  <r>
    <x v="0"/>
    <x v="1"/>
    <x v="33"/>
    <n v="23"/>
    <x v="29"/>
    <x v="0"/>
    <x v="0"/>
    <x v="8"/>
    <n v="23"/>
  </r>
  <r>
    <x v="0"/>
    <x v="1"/>
    <x v="34"/>
    <n v="21"/>
    <x v="29"/>
    <x v="0"/>
    <x v="0"/>
    <x v="8"/>
    <n v="21"/>
  </r>
  <r>
    <x v="0"/>
    <x v="1"/>
    <x v="0"/>
    <n v="21"/>
    <x v="29"/>
    <x v="0"/>
    <x v="0"/>
    <x v="8"/>
    <n v="21"/>
  </r>
  <r>
    <x v="0"/>
    <x v="1"/>
    <x v="23"/>
    <n v="28"/>
    <x v="29"/>
    <x v="0"/>
    <x v="0"/>
    <x v="8"/>
    <n v="28"/>
  </r>
  <r>
    <x v="0"/>
    <x v="1"/>
    <x v="24"/>
    <n v="10"/>
    <x v="29"/>
    <x v="0"/>
    <x v="0"/>
    <x v="8"/>
    <n v="10"/>
  </r>
  <r>
    <x v="0"/>
    <x v="1"/>
    <x v="27"/>
    <n v="15"/>
    <x v="29"/>
    <x v="0"/>
    <x v="0"/>
    <x v="8"/>
    <n v="15"/>
  </r>
  <r>
    <x v="0"/>
    <x v="1"/>
    <x v="35"/>
    <n v="22"/>
    <x v="29"/>
    <x v="0"/>
    <x v="0"/>
    <x v="8"/>
    <n v="22"/>
  </r>
  <r>
    <x v="0"/>
    <x v="1"/>
    <x v="36"/>
    <n v="9"/>
    <x v="29"/>
    <x v="0"/>
    <x v="0"/>
    <x v="8"/>
    <n v="9"/>
  </r>
  <r>
    <x v="0"/>
    <x v="1"/>
    <x v="37"/>
    <n v="12"/>
    <x v="29"/>
    <x v="0"/>
    <x v="0"/>
    <x v="8"/>
    <n v="12"/>
  </r>
  <r>
    <x v="0"/>
    <x v="1"/>
    <x v="38"/>
    <n v="13"/>
    <x v="29"/>
    <x v="0"/>
    <x v="0"/>
    <x v="8"/>
    <n v="13"/>
  </r>
  <r>
    <x v="0"/>
    <x v="1"/>
    <x v="39"/>
    <n v="13"/>
    <x v="29"/>
    <x v="0"/>
    <x v="0"/>
    <x v="8"/>
    <n v="13"/>
  </r>
  <r>
    <x v="0"/>
    <x v="1"/>
    <x v="40"/>
    <n v="8"/>
    <x v="29"/>
    <x v="0"/>
    <x v="0"/>
    <x v="8"/>
    <n v="8"/>
  </r>
  <r>
    <x v="0"/>
    <x v="1"/>
    <x v="41"/>
    <n v="23"/>
    <x v="29"/>
    <x v="0"/>
    <x v="0"/>
    <x v="8"/>
    <n v="23"/>
  </r>
  <r>
    <x v="0"/>
    <x v="1"/>
    <x v="3"/>
    <n v="16"/>
    <x v="29"/>
    <x v="0"/>
    <x v="0"/>
    <x v="8"/>
    <n v="16"/>
  </r>
  <r>
    <x v="0"/>
    <x v="1"/>
    <x v="42"/>
    <n v="26"/>
    <x v="29"/>
    <x v="0"/>
    <x v="0"/>
    <x v="8"/>
    <n v="26"/>
  </r>
  <r>
    <x v="0"/>
    <x v="1"/>
    <x v="5"/>
    <n v="14"/>
    <x v="29"/>
    <x v="0"/>
    <x v="0"/>
    <x v="8"/>
    <n v="14"/>
  </r>
  <r>
    <x v="0"/>
    <x v="2"/>
    <x v="43"/>
    <n v="80"/>
    <x v="29"/>
    <x v="0"/>
    <x v="1"/>
    <x v="8"/>
    <n v="255"/>
  </r>
  <r>
    <x v="0"/>
    <x v="2"/>
    <x v="44"/>
    <n v="77"/>
    <x v="29"/>
    <x v="0"/>
    <x v="2"/>
    <x v="8"/>
    <n v="210"/>
  </r>
  <r>
    <x v="0"/>
    <x v="2"/>
    <x v="45"/>
    <n v="111"/>
    <x v="29"/>
    <x v="0"/>
    <x v="3"/>
    <x v="8"/>
    <n v="527"/>
  </r>
  <r>
    <x v="0"/>
    <x v="3"/>
    <x v="46"/>
    <n v="56"/>
    <x v="29"/>
    <x v="1"/>
    <x v="4"/>
    <x v="8"/>
    <n v="516"/>
  </r>
  <r>
    <x v="1"/>
    <x v="0"/>
    <x v="7"/>
    <n v="54"/>
    <x v="30"/>
    <x v="0"/>
    <x v="0"/>
    <x v="9"/>
    <n v="454"/>
  </r>
  <r>
    <x v="1"/>
    <x v="0"/>
    <x v="3"/>
    <n v="69"/>
    <x v="31"/>
    <x v="0"/>
    <x v="0"/>
    <x v="10"/>
    <n v="278"/>
  </r>
  <r>
    <x v="1"/>
    <x v="0"/>
    <x v="29"/>
    <n v="94"/>
    <x v="32"/>
    <x v="0"/>
    <x v="0"/>
    <x v="0"/>
    <n v="162"/>
  </r>
  <r>
    <x v="1"/>
    <x v="0"/>
    <x v="9"/>
    <n v="81"/>
    <x v="33"/>
    <x v="0"/>
    <x v="0"/>
    <x v="11"/>
    <n v="698"/>
  </r>
  <r>
    <x v="1"/>
    <x v="0"/>
    <x v="5"/>
    <n v="187"/>
    <x v="34"/>
    <x v="0"/>
    <x v="0"/>
    <x v="0"/>
    <n v="217"/>
  </r>
  <r>
    <x v="1"/>
    <x v="0"/>
    <x v="20"/>
    <n v="0"/>
    <x v="35"/>
    <x v="0"/>
    <x v="0"/>
    <x v="12"/>
    <n v="128"/>
  </r>
  <r>
    <x v="1"/>
    <x v="0"/>
    <x v="16"/>
    <n v="79"/>
    <x v="26"/>
    <x v="0"/>
    <x v="0"/>
    <x v="0"/>
    <n v="144"/>
  </r>
  <r>
    <x v="1"/>
    <x v="0"/>
    <x v="17"/>
    <n v="23"/>
    <x v="36"/>
    <x v="0"/>
    <x v="0"/>
    <x v="0"/>
    <n v="303"/>
  </r>
  <r>
    <x v="1"/>
    <x v="0"/>
    <x v="23"/>
    <n v="544"/>
    <x v="4"/>
    <x v="0"/>
    <x v="0"/>
    <x v="0"/>
    <n v="544"/>
  </r>
  <r>
    <x v="1"/>
    <x v="0"/>
    <x v="30"/>
    <n v="77"/>
    <x v="37"/>
    <x v="0"/>
    <x v="0"/>
    <x v="0"/>
    <n v="117"/>
  </r>
  <r>
    <x v="1"/>
    <x v="0"/>
    <x v="31"/>
    <n v="21"/>
    <x v="38"/>
    <x v="0"/>
    <x v="0"/>
    <x v="4"/>
    <n v="167"/>
  </r>
  <r>
    <x v="1"/>
    <x v="0"/>
    <x v="25"/>
    <n v="55"/>
    <x v="39"/>
    <x v="0"/>
    <x v="0"/>
    <x v="0"/>
    <n v="130"/>
  </r>
  <r>
    <x v="1"/>
    <x v="0"/>
    <x v="2"/>
    <n v="348"/>
    <x v="40"/>
    <x v="0"/>
    <x v="0"/>
    <x v="0"/>
    <n v="361"/>
  </r>
  <r>
    <x v="1"/>
    <x v="0"/>
    <x v="22"/>
    <n v="37"/>
    <x v="41"/>
    <x v="0"/>
    <x v="0"/>
    <x v="0"/>
    <n v="60"/>
  </r>
  <r>
    <x v="1"/>
    <x v="0"/>
    <x v="8"/>
    <n v="56"/>
    <x v="42"/>
    <x v="0"/>
    <x v="0"/>
    <x v="0"/>
    <n v="136"/>
  </r>
  <r>
    <x v="1"/>
    <x v="0"/>
    <x v="12"/>
    <n v="73"/>
    <x v="43"/>
    <x v="0"/>
    <x v="0"/>
    <x v="0"/>
    <n v="224"/>
  </r>
  <r>
    <x v="1"/>
    <x v="0"/>
    <x v="21"/>
    <n v="27"/>
    <x v="44"/>
    <x v="0"/>
    <x v="0"/>
    <x v="0"/>
    <n v="122"/>
  </r>
  <r>
    <x v="1"/>
    <x v="0"/>
    <x v="13"/>
    <n v="60"/>
    <x v="13"/>
    <x v="0"/>
    <x v="0"/>
    <x v="0"/>
    <n v="114"/>
  </r>
  <r>
    <x v="1"/>
    <x v="0"/>
    <x v="26"/>
    <n v="74"/>
    <x v="19"/>
    <x v="0"/>
    <x v="0"/>
    <x v="0"/>
    <n v="95"/>
  </r>
  <r>
    <x v="1"/>
    <x v="0"/>
    <x v="28"/>
    <n v="28"/>
    <x v="45"/>
    <x v="0"/>
    <x v="0"/>
    <x v="0"/>
    <n v="88"/>
  </r>
  <r>
    <x v="1"/>
    <x v="0"/>
    <x v="10"/>
    <n v="86"/>
    <x v="46"/>
    <x v="0"/>
    <x v="0"/>
    <x v="13"/>
    <n v="238"/>
  </r>
  <r>
    <x v="1"/>
    <x v="0"/>
    <x v="14"/>
    <n v="207"/>
    <x v="11"/>
    <x v="0"/>
    <x v="0"/>
    <x v="0"/>
    <n v="221"/>
  </r>
  <r>
    <x v="1"/>
    <x v="0"/>
    <x v="4"/>
    <n v="72"/>
    <x v="4"/>
    <x v="0"/>
    <x v="0"/>
    <x v="0"/>
    <n v="72"/>
  </r>
  <r>
    <x v="1"/>
    <x v="0"/>
    <x v="15"/>
    <n v="57"/>
    <x v="4"/>
    <x v="0"/>
    <x v="0"/>
    <x v="0"/>
    <n v="57"/>
  </r>
  <r>
    <x v="1"/>
    <x v="0"/>
    <x v="18"/>
    <n v="0"/>
    <x v="47"/>
    <x v="0"/>
    <x v="0"/>
    <x v="0"/>
    <n v="147"/>
  </r>
  <r>
    <x v="1"/>
    <x v="0"/>
    <x v="19"/>
    <n v="78"/>
    <x v="48"/>
    <x v="0"/>
    <x v="0"/>
    <x v="14"/>
    <n v="194"/>
  </r>
  <r>
    <x v="1"/>
    <x v="0"/>
    <x v="24"/>
    <n v="187"/>
    <x v="49"/>
    <x v="0"/>
    <x v="0"/>
    <x v="1"/>
    <n v="273"/>
  </r>
  <r>
    <x v="1"/>
    <x v="0"/>
    <x v="27"/>
    <n v="173"/>
    <x v="24"/>
    <x v="0"/>
    <x v="0"/>
    <x v="0"/>
    <n v="181"/>
  </r>
  <r>
    <x v="1"/>
    <x v="0"/>
    <x v="0"/>
    <n v="288"/>
    <x v="50"/>
    <x v="0"/>
    <x v="0"/>
    <x v="0"/>
    <n v="400"/>
  </r>
  <r>
    <x v="1"/>
    <x v="0"/>
    <x v="1"/>
    <n v="35"/>
    <x v="11"/>
    <x v="0"/>
    <x v="0"/>
    <x v="0"/>
    <n v="49"/>
  </r>
  <r>
    <x v="1"/>
    <x v="0"/>
    <x v="6"/>
    <n v="0"/>
    <x v="51"/>
    <x v="0"/>
    <x v="0"/>
    <x v="12"/>
    <n v="110"/>
  </r>
  <r>
    <x v="1"/>
    <x v="0"/>
    <x v="11"/>
    <n v="115"/>
    <x v="11"/>
    <x v="0"/>
    <x v="0"/>
    <x v="0"/>
    <n v="129"/>
  </r>
  <r>
    <x v="1"/>
    <x v="1"/>
    <x v="37"/>
    <n v="12"/>
    <x v="29"/>
    <x v="0"/>
    <x v="0"/>
    <x v="8"/>
    <n v="12"/>
  </r>
  <r>
    <x v="1"/>
    <x v="1"/>
    <x v="38"/>
    <n v="13"/>
    <x v="29"/>
    <x v="0"/>
    <x v="0"/>
    <x v="8"/>
    <n v="13"/>
  </r>
  <r>
    <x v="1"/>
    <x v="1"/>
    <x v="39"/>
    <n v="13"/>
    <x v="29"/>
    <x v="0"/>
    <x v="0"/>
    <x v="8"/>
    <n v="13"/>
  </r>
  <r>
    <x v="1"/>
    <x v="1"/>
    <x v="34"/>
    <n v="17"/>
    <x v="29"/>
    <x v="0"/>
    <x v="0"/>
    <x v="8"/>
    <n v="17"/>
  </r>
  <r>
    <x v="1"/>
    <x v="1"/>
    <x v="32"/>
    <n v="12"/>
    <x v="29"/>
    <x v="0"/>
    <x v="0"/>
    <x v="8"/>
    <n v="12"/>
  </r>
  <r>
    <x v="1"/>
    <x v="1"/>
    <x v="23"/>
    <n v="25"/>
    <x v="29"/>
    <x v="0"/>
    <x v="0"/>
    <x v="8"/>
    <n v="25"/>
  </r>
  <r>
    <x v="1"/>
    <x v="1"/>
    <x v="5"/>
    <n v="16"/>
    <x v="29"/>
    <x v="0"/>
    <x v="0"/>
    <x v="8"/>
    <n v="16"/>
  </r>
  <r>
    <x v="1"/>
    <x v="1"/>
    <x v="35"/>
    <n v="18"/>
    <x v="29"/>
    <x v="0"/>
    <x v="0"/>
    <x v="8"/>
    <n v="18"/>
  </r>
  <r>
    <x v="1"/>
    <x v="1"/>
    <x v="41"/>
    <n v="21"/>
    <x v="29"/>
    <x v="0"/>
    <x v="0"/>
    <x v="8"/>
    <n v="21"/>
  </r>
  <r>
    <x v="1"/>
    <x v="1"/>
    <x v="3"/>
    <n v="18"/>
    <x v="29"/>
    <x v="0"/>
    <x v="0"/>
    <x v="8"/>
    <n v="18"/>
  </r>
  <r>
    <x v="1"/>
    <x v="1"/>
    <x v="33"/>
    <n v="20"/>
    <x v="29"/>
    <x v="0"/>
    <x v="0"/>
    <x v="8"/>
    <n v="20"/>
  </r>
  <r>
    <x v="1"/>
    <x v="1"/>
    <x v="0"/>
    <n v="21"/>
    <x v="29"/>
    <x v="0"/>
    <x v="0"/>
    <x v="8"/>
    <n v="21"/>
  </r>
  <r>
    <x v="1"/>
    <x v="1"/>
    <x v="24"/>
    <n v="10"/>
    <x v="29"/>
    <x v="0"/>
    <x v="0"/>
    <x v="8"/>
    <n v="10"/>
  </r>
  <r>
    <x v="1"/>
    <x v="1"/>
    <x v="27"/>
    <n v="18"/>
    <x v="29"/>
    <x v="0"/>
    <x v="0"/>
    <x v="8"/>
    <n v="18"/>
  </r>
  <r>
    <x v="1"/>
    <x v="1"/>
    <x v="42"/>
    <n v="24"/>
    <x v="29"/>
    <x v="0"/>
    <x v="0"/>
    <x v="8"/>
    <n v="24"/>
  </r>
  <r>
    <x v="1"/>
    <x v="1"/>
    <x v="40"/>
    <n v="5"/>
    <x v="29"/>
    <x v="0"/>
    <x v="0"/>
    <x v="8"/>
    <n v="5"/>
  </r>
  <r>
    <x v="1"/>
    <x v="1"/>
    <x v="36"/>
    <n v="7"/>
    <x v="29"/>
    <x v="0"/>
    <x v="0"/>
    <x v="8"/>
    <n v="7"/>
  </r>
  <r>
    <x v="1"/>
    <x v="2"/>
    <x v="45"/>
    <n v="105"/>
    <x v="29"/>
    <x v="0"/>
    <x v="5"/>
    <x v="8"/>
    <n v="445"/>
  </r>
  <r>
    <x v="1"/>
    <x v="2"/>
    <x v="44"/>
    <n v="67"/>
    <x v="29"/>
    <x v="0"/>
    <x v="6"/>
    <x v="8"/>
    <n v="193"/>
  </r>
  <r>
    <x v="1"/>
    <x v="2"/>
    <x v="43"/>
    <n v="79"/>
    <x v="29"/>
    <x v="0"/>
    <x v="7"/>
    <x v="8"/>
    <n v="242"/>
  </r>
  <r>
    <x v="1"/>
    <x v="3"/>
    <x v="46"/>
    <n v="50"/>
    <x v="29"/>
    <x v="2"/>
    <x v="8"/>
    <x v="8"/>
    <n v="518"/>
  </r>
  <r>
    <x v="2"/>
    <x v="0"/>
    <x v="17"/>
    <n v="32"/>
    <x v="52"/>
    <x v="0"/>
    <x v="0"/>
    <x v="0"/>
    <n v="303"/>
  </r>
  <r>
    <x v="2"/>
    <x v="0"/>
    <x v="3"/>
    <n v="65"/>
    <x v="53"/>
    <x v="0"/>
    <x v="0"/>
    <x v="15"/>
    <n v="260"/>
  </r>
  <r>
    <x v="2"/>
    <x v="0"/>
    <x v="28"/>
    <n v="27"/>
    <x v="54"/>
    <x v="0"/>
    <x v="0"/>
    <x v="0"/>
    <n v="82"/>
  </r>
  <r>
    <x v="2"/>
    <x v="0"/>
    <x v="1"/>
    <n v="23"/>
    <x v="55"/>
    <x v="0"/>
    <x v="0"/>
    <x v="0"/>
    <n v="34"/>
  </r>
  <r>
    <x v="2"/>
    <x v="0"/>
    <x v="24"/>
    <n v="178"/>
    <x v="56"/>
    <x v="0"/>
    <x v="0"/>
    <x v="10"/>
    <n v="252"/>
  </r>
  <r>
    <x v="2"/>
    <x v="0"/>
    <x v="2"/>
    <n v="315"/>
    <x v="2"/>
    <x v="0"/>
    <x v="0"/>
    <x v="0"/>
    <n v="327"/>
  </r>
  <r>
    <x v="2"/>
    <x v="0"/>
    <x v="29"/>
    <n v="95"/>
    <x v="57"/>
    <x v="0"/>
    <x v="0"/>
    <x v="0"/>
    <n v="148"/>
  </r>
  <r>
    <x v="2"/>
    <x v="0"/>
    <x v="16"/>
    <n v="61"/>
    <x v="54"/>
    <x v="0"/>
    <x v="0"/>
    <x v="0"/>
    <n v="116"/>
  </r>
  <r>
    <x v="2"/>
    <x v="0"/>
    <x v="12"/>
    <n v="71"/>
    <x v="47"/>
    <x v="0"/>
    <x v="0"/>
    <x v="0"/>
    <n v="218"/>
  </r>
  <r>
    <x v="2"/>
    <x v="0"/>
    <x v="13"/>
    <n v="55"/>
    <x v="57"/>
    <x v="0"/>
    <x v="0"/>
    <x v="0"/>
    <n v="108"/>
  </r>
  <r>
    <x v="2"/>
    <x v="0"/>
    <x v="23"/>
    <n v="499"/>
    <x v="58"/>
    <x v="0"/>
    <x v="0"/>
    <x v="0"/>
    <n v="505"/>
  </r>
  <r>
    <x v="2"/>
    <x v="0"/>
    <x v="20"/>
    <n v="0"/>
    <x v="59"/>
    <x v="0"/>
    <x v="0"/>
    <x v="0"/>
    <n v="126"/>
  </r>
  <r>
    <x v="2"/>
    <x v="0"/>
    <x v="8"/>
    <n v="53"/>
    <x v="60"/>
    <x v="0"/>
    <x v="0"/>
    <x v="0"/>
    <n v="136"/>
  </r>
  <r>
    <x v="2"/>
    <x v="0"/>
    <x v="10"/>
    <n v="73"/>
    <x v="59"/>
    <x v="0"/>
    <x v="0"/>
    <x v="16"/>
    <n v="222"/>
  </r>
  <r>
    <x v="2"/>
    <x v="0"/>
    <x v="27"/>
    <n v="144"/>
    <x v="41"/>
    <x v="0"/>
    <x v="0"/>
    <x v="0"/>
    <n v="167"/>
  </r>
  <r>
    <x v="2"/>
    <x v="0"/>
    <x v="22"/>
    <n v="26"/>
    <x v="19"/>
    <x v="0"/>
    <x v="0"/>
    <x v="0"/>
    <n v="47"/>
  </r>
  <r>
    <x v="2"/>
    <x v="0"/>
    <x v="14"/>
    <n v="176"/>
    <x v="55"/>
    <x v="0"/>
    <x v="0"/>
    <x v="0"/>
    <n v="187"/>
  </r>
  <r>
    <x v="2"/>
    <x v="0"/>
    <x v="31"/>
    <n v="31"/>
    <x v="61"/>
    <x v="0"/>
    <x v="0"/>
    <x v="17"/>
    <n v="161"/>
  </r>
  <r>
    <x v="2"/>
    <x v="0"/>
    <x v="11"/>
    <n v="92"/>
    <x v="40"/>
    <x v="0"/>
    <x v="0"/>
    <x v="0"/>
    <n v="105"/>
  </r>
  <r>
    <x v="2"/>
    <x v="0"/>
    <x v="7"/>
    <n v="55"/>
    <x v="62"/>
    <x v="0"/>
    <x v="0"/>
    <x v="18"/>
    <n v="438"/>
  </r>
  <r>
    <x v="2"/>
    <x v="0"/>
    <x v="4"/>
    <n v="70"/>
    <x v="63"/>
    <x v="0"/>
    <x v="0"/>
    <x v="0"/>
    <n v="71"/>
  </r>
  <r>
    <x v="2"/>
    <x v="0"/>
    <x v="15"/>
    <n v="53"/>
    <x v="20"/>
    <x v="0"/>
    <x v="0"/>
    <x v="0"/>
    <n v="55"/>
  </r>
  <r>
    <x v="2"/>
    <x v="0"/>
    <x v="30"/>
    <n v="70"/>
    <x v="64"/>
    <x v="0"/>
    <x v="0"/>
    <x v="0"/>
    <n v="111"/>
  </r>
  <r>
    <x v="2"/>
    <x v="0"/>
    <x v="5"/>
    <n v="180"/>
    <x v="65"/>
    <x v="0"/>
    <x v="0"/>
    <x v="0"/>
    <n v="214"/>
  </r>
  <r>
    <x v="2"/>
    <x v="0"/>
    <x v="6"/>
    <n v="0"/>
    <x v="66"/>
    <x v="0"/>
    <x v="0"/>
    <x v="0"/>
    <n v="98"/>
  </r>
  <r>
    <x v="2"/>
    <x v="0"/>
    <x v="26"/>
    <n v="70"/>
    <x v="67"/>
    <x v="0"/>
    <x v="0"/>
    <x v="0"/>
    <n v="89"/>
  </r>
  <r>
    <x v="2"/>
    <x v="0"/>
    <x v="21"/>
    <n v="36"/>
    <x v="66"/>
    <x v="0"/>
    <x v="0"/>
    <x v="0"/>
    <n v="134"/>
  </r>
  <r>
    <x v="2"/>
    <x v="0"/>
    <x v="0"/>
    <n v="278"/>
    <x v="50"/>
    <x v="0"/>
    <x v="0"/>
    <x v="0"/>
    <n v="390"/>
  </r>
  <r>
    <x v="2"/>
    <x v="0"/>
    <x v="9"/>
    <n v="68"/>
    <x v="68"/>
    <x v="0"/>
    <x v="0"/>
    <x v="19"/>
    <n v="661"/>
  </r>
  <r>
    <x v="2"/>
    <x v="0"/>
    <x v="18"/>
    <n v="0"/>
    <x v="10"/>
    <x v="0"/>
    <x v="0"/>
    <x v="0"/>
    <n v="140"/>
  </r>
  <r>
    <x v="2"/>
    <x v="0"/>
    <x v="19"/>
    <n v="78"/>
    <x v="69"/>
    <x v="0"/>
    <x v="0"/>
    <x v="20"/>
    <n v="208"/>
  </r>
  <r>
    <x v="2"/>
    <x v="0"/>
    <x v="25"/>
    <n v="51"/>
    <x v="70"/>
    <x v="0"/>
    <x v="0"/>
    <x v="0"/>
    <n v="124"/>
  </r>
  <r>
    <x v="2"/>
    <x v="1"/>
    <x v="37"/>
    <n v="17"/>
    <x v="29"/>
    <x v="0"/>
    <x v="0"/>
    <x v="8"/>
    <n v="17"/>
  </r>
  <r>
    <x v="2"/>
    <x v="1"/>
    <x v="27"/>
    <n v="16"/>
    <x v="29"/>
    <x v="0"/>
    <x v="0"/>
    <x v="8"/>
    <n v="16"/>
  </r>
  <r>
    <x v="2"/>
    <x v="1"/>
    <x v="23"/>
    <n v="32"/>
    <x v="29"/>
    <x v="0"/>
    <x v="0"/>
    <x v="8"/>
    <n v="32"/>
  </r>
  <r>
    <x v="2"/>
    <x v="1"/>
    <x v="24"/>
    <n v="16"/>
    <x v="29"/>
    <x v="0"/>
    <x v="0"/>
    <x v="8"/>
    <n v="16"/>
  </r>
  <r>
    <x v="2"/>
    <x v="1"/>
    <x v="3"/>
    <n v="19"/>
    <x v="29"/>
    <x v="0"/>
    <x v="0"/>
    <x v="8"/>
    <n v="19"/>
  </r>
  <r>
    <x v="2"/>
    <x v="1"/>
    <x v="32"/>
    <n v="24"/>
    <x v="29"/>
    <x v="0"/>
    <x v="0"/>
    <x v="8"/>
    <n v="24"/>
  </r>
  <r>
    <x v="2"/>
    <x v="1"/>
    <x v="38"/>
    <n v="16"/>
    <x v="29"/>
    <x v="0"/>
    <x v="0"/>
    <x v="8"/>
    <n v="16"/>
  </r>
  <r>
    <x v="2"/>
    <x v="1"/>
    <x v="36"/>
    <n v="11"/>
    <x v="29"/>
    <x v="0"/>
    <x v="0"/>
    <x v="8"/>
    <n v="11"/>
  </r>
  <r>
    <x v="2"/>
    <x v="1"/>
    <x v="41"/>
    <n v="25"/>
    <x v="29"/>
    <x v="0"/>
    <x v="0"/>
    <x v="8"/>
    <n v="25"/>
  </r>
  <r>
    <x v="2"/>
    <x v="1"/>
    <x v="33"/>
    <n v="29"/>
    <x v="29"/>
    <x v="0"/>
    <x v="0"/>
    <x v="8"/>
    <n v="29"/>
  </r>
  <r>
    <x v="2"/>
    <x v="1"/>
    <x v="42"/>
    <n v="27"/>
    <x v="29"/>
    <x v="0"/>
    <x v="0"/>
    <x v="8"/>
    <n v="27"/>
  </r>
  <r>
    <x v="2"/>
    <x v="1"/>
    <x v="35"/>
    <n v="27"/>
    <x v="29"/>
    <x v="0"/>
    <x v="0"/>
    <x v="8"/>
    <n v="27"/>
  </r>
  <r>
    <x v="2"/>
    <x v="1"/>
    <x v="34"/>
    <n v="38"/>
    <x v="29"/>
    <x v="0"/>
    <x v="0"/>
    <x v="8"/>
    <n v="38"/>
  </r>
  <r>
    <x v="2"/>
    <x v="1"/>
    <x v="5"/>
    <n v="20"/>
    <x v="29"/>
    <x v="0"/>
    <x v="0"/>
    <x v="8"/>
    <n v="20"/>
  </r>
  <r>
    <x v="2"/>
    <x v="1"/>
    <x v="40"/>
    <n v="13"/>
    <x v="29"/>
    <x v="0"/>
    <x v="0"/>
    <x v="8"/>
    <n v="13"/>
  </r>
  <r>
    <x v="2"/>
    <x v="1"/>
    <x v="0"/>
    <n v="26"/>
    <x v="29"/>
    <x v="0"/>
    <x v="0"/>
    <x v="8"/>
    <n v="26"/>
  </r>
  <r>
    <x v="2"/>
    <x v="1"/>
    <x v="39"/>
    <n v="29"/>
    <x v="29"/>
    <x v="0"/>
    <x v="0"/>
    <x v="8"/>
    <n v="29"/>
  </r>
  <r>
    <x v="2"/>
    <x v="2"/>
    <x v="44"/>
    <n v="44"/>
    <x v="29"/>
    <x v="0"/>
    <x v="9"/>
    <x v="8"/>
    <n v="165"/>
  </r>
  <r>
    <x v="2"/>
    <x v="2"/>
    <x v="43"/>
    <n v="25"/>
    <x v="29"/>
    <x v="0"/>
    <x v="10"/>
    <x v="8"/>
    <n v="149"/>
  </r>
  <r>
    <x v="2"/>
    <x v="2"/>
    <x v="45"/>
    <n v="16"/>
    <x v="29"/>
    <x v="0"/>
    <x v="11"/>
    <x v="8"/>
    <n v="302"/>
  </r>
  <r>
    <x v="2"/>
    <x v="3"/>
    <x v="46"/>
    <n v="195"/>
    <x v="29"/>
    <x v="3"/>
    <x v="12"/>
    <x v="8"/>
    <n v="695"/>
  </r>
  <r>
    <x v="3"/>
    <x v="0"/>
    <x v="17"/>
    <n v="25"/>
    <x v="71"/>
    <x v="0"/>
    <x v="0"/>
    <x v="0"/>
    <n v="307"/>
  </r>
  <r>
    <x v="3"/>
    <x v="0"/>
    <x v="29"/>
    <n v="86"/>
    <x v="72"/>
    <x v="0"/>
    <x v="0"/>
    <x v="0"/>
    <n v="142"/>
  </r>
  <r>
    <x v="3"/>
    <x v="0"/>
    <x v="6"/>
    <n v="0"/>
    <x v="44"/>
    <x v="0"/>
    <x v="0"/>
    <x v="0"/>
    <n v="95"/>
  </r>
  <r>
    <x v="3"/>
    <x v="0"/>
    <x v="16"/>
    <n v="60"/>
    <x v="73"/>
    <x v="0"/>
    <x v="0"/>
    <x v="0"/>
    <n v="124"/>
  </r>
  <r>
    <x v="3"/>
    <x v="0"/>
    <x v="27"/>
    <n v="155"/>
    <x v="24"/>
    <x v="0"/>
    <x v="0"/>
    <x v="0"/>
    <n v="163"/>
  </r>
  <r>
    <x v="3"/>
    <x v="0"/>
    <x v="30"/>
    <n v="68"/>
    <x v="74"/>
    <x v="0"/>
    <x v="0"/>
    <x v="0"/>
    <n v="107"/>
  </r>
  <r>
    <x v="3"/>
    <x v="0"/>
    <x v="31"/>
    <n v="27"/>
    <x v="75"/>
    <x v="0"/>
    <x v="0"/>
    <x v="1"/>
    <n v="156"/>
  </r>
  <r>
    <x v="3"/>
    <x v="0"/>
    <x v="10"/>
    <n v="68"/>
    <x v="76"/>
    <x v="0"/>
    <x v="0"/>
    <x v="16"/>
    <n v="213"/>
  </r>
  <r>
    <x v="3"/>
    <x v="0"/>
    <x v="25"/>
    <n v="53"/>
    <x v="70"/>
    <x v="0"/>
    <x v="0"/>
    <x v="0"/>
    <n v="126"/>
  </r>
  <r>
    <x v="3"/>
    <x v="0"/>
    <x v="26"/>
    <n v="69"/>
    <x v="77"/>
    <x v="0"/>
    <x v="0"/>
    <x v="0"/>
    <n v="86"/>
  </r>
  <r>
    <x v="3"/>
    <x v="0"/>
    <x v="0"/>
    <n v="270"/>
    <x v="51"/>
    <x v="0"/>
    <x v="0"/>
    <x v="0"/>
    <n v="379"/>
  </r>
  <r>
    <x v="3"/>
    <x v="0"/>
    <x v="1"/>
    <n v="22"/>
    <x v="55"/>
    <x v="0"/>
    <x v="0"/>
    <x v="0"/>
    <n v="33"/>
  </r>
  <r>
    <x v="3"/>
    <x v="0"/>
    <x v="24"/>
    <n v="171"/>
    <x v="22"/>
    <x v="0"/>
    <x v="0"/>
    <x v="10"/>
    <n v="248"/>
  </r>
  <r>
    <x v="3"/>
    <x v="0"/>
    <x v="22"/>
    <n v="22"/>
    <x v="78"/>
    <x v="0"/>
    <x v="0"/>
    <x v="0"/>
    <n v="46"/>
  </r>
  <r>
    <x v="3"/>
    <x v="0"/>
    <x v="3"/>
    <n v="63"/>
    <x v="79"/>
    <x v="0"/>
    <x v="0"/>
    <x v="15"/>
    <n v="270"/>
  </r>
  <r>
    <x v="3"/>
    <x v="0"/>
    <x v="15"/>
    <n v="50"/>
    <x v="4"/>
    <x v="0"/>
    <x v="0"/>
    <x v="0"/>
    <n v="50"/>
  </r>
  <r>
    <x v="3"/>
    <x v="0"/>
    <x v="9"/>
    <n v="67"/>
    <x v="68"/>
    <x v="0"/>
    <x v="0"/>
    <x v="21"/>
    <n v="659"/>
  </r>
  <r>
    <x v="3"/>
    <x v="0"/>
    <x v="11"/>
    <n v="97"/>
    <x v="40"/>
    <x v="0"/>
    <x v="0"/>
    <x v="0"/>
    <n v="110"/>
  </r>
  <r>
    <x v="3"/>
    <x v="0"/>
    <x v="12"/>
    <n v="56"/>
    <x v="80"/>
    <x v="0"/>
    <x v="0"/>
    <x v="0"/>
    <n v="199"/>
  </r>
  <r>
    <x v="3"/>
    <x v="0"/>
    <x v="20"/>
    <n v="0"/>
    <x v="76"/>
    <x v="0"/>
    <x v="0"/>
    <x v="0"/>
    <n v="122"/>
  </r>
  <r>
    <x v="3"/>
    <x v="0"/>
    <x v="14"/>
    <n v="192"/>
    <x v="40"/>
    <x v="0"/>
    <x v="0"/>
    <x v="0"/>
    <n v="205"/>
  </r>
  <r>
    <x v="3"/>
    <x v="0"/>
    <x v="21"/>
    <n v="25"/>
    <x v="17"/>
    <x v="0"/>
    <x v="0"/>
    <x v="0"/>
    <n v="119"/>
  </r>
  <r>
    <x v="3"/>
    <x v="0"/>
    <x v="7"/>
    <n v="43"/>
    <x v="81"/>
    <x v="0"/>
    <x v="0"/>
    <x v="22"/>
    <n v="428"/>
  </r>
  <r>
    <x v="3"/>
    <x v="0"/>
    <x v="8"/>
    <n v="46"/>
    <x v="82"/>
    <x v="0"/>
    <x v="0"/>
    <x v="0"/>
    <n v="127"/>
  </r>
  <r>
    <x v="3"/>
    <x v="0"/>
    <x v="4"/>
    <n v="68"/>
    <x v="4"/>
    <x v="0"/>
    <x v="0"/>
    <x v="0"/>
    <n v="68"/>
  </r>
  <r>
    <x v="3"/>
    <x v="0"/>
    <x v="28"/>
    <n v="27"/>
    <x v="54"/>
    <x v="0"/>
    <x v="0"/>
    <x v="0"/>
    <n v="82"/>
  </r>
  <r>
    <x v="3"/>
    <x v="0"/>
    <x v="23"/>
    <n v="475"/>
    <x v="4"/>
    <x v="0"/>
    <x v="0"/>
    <x v="0"/>
    <n v="475"/>
  </r>
  <r>
    <x v="3"/>
    <x v="0"/>
    <x v="18"/>
    <n v="0"/>
    <x v="83"/>
    <x v="0"/>
    <x v="0"/>
    <x v="0"/>
    <n v="137"/>
  </r>
  <r>
    <x v="3"/>
    <x v="0"/>
    <x v="19"/>
    <n v="78"/>
    <x v="84"/>
    <x v="0"/>
    <x v="0"/>
    <x v="23"/>
    <n v="202"/>
  </r>
  <r>
    <x v="3"/>
    <x v="0"/>
    <x v="5"/>
    <n v="173"/>
    <x v="85"/>
    <x v="0"/>
    <x v="0"/>
    <x v="0"/>
    <n v="208"/>
  </r>
  <r>
    <x v="3"/>
    <x v="0"/>
    <x v="13"/>
    <n v="54"/>
    <x v="86"/>
    <x v="0"/>
    <x v="0"/>
    <x v="0"/>
    <n v="102"/>
  </r>
  <r>
    <x v="3"/>
    <x v="0"/>
    <x v="2"/>
    <n v="313"/>
    <x v="2"/>
    <x v="0"/>
    <x v="0"/>
    <x v="0"/>
    <n v="325"/>
  </r>
  <r>
    <x v="3"/>
    <x v="1"/>
    <x v="35"/>
    <n v="25"/>
    <x v="29"/>
    <x v="0"/>
    <x v="0"/>
    <x v="8"/>
    <n v="25"/>
  </r>
  <r>
    <x v="3"/>
    <x v="1"/>
    <x v="41"/>
    <n v="26"/>
    <x v="29"/>
    <x v="0"/>
    <x v="0"/>
    <x v="8"/>
    <n v="26"/>
  </r>
  <r>
    <x v="3"/>
    <x v="1"/>
    <x v="3"/>
    <n v="22"/>
    <x v="29"/>
    <x v="0"/>
    <x v="0"/>
    <x v="8"/>
    <n v="22"/>
  </r>
  <r>
    <x v="3"/>
    <x v="1"/>
    <x v="37"/>
    <n v="18"/>
    <x v="29"/>
    <x v="0"/>
    <x v="0"/>
    <x v="8"/>
    <n v="18"/>
  </r>
  <r>
    <x v="3"/>
    <x v="1"/>
    <x v="0"/>
    <n v="24"/>
    <x v="29"/>
    <x v="0"/>
    <x v="0"/>
    <x v="8"/>
    <n v="24"/>
  </r>
  <r>
    <x v="3"/>
    <x v="1"/>
    <x v="40"/>
    <n v="15"/>
    <x v="29"/>
    <x v="0"/>
    <x v="0"/>
    <x v="8"/>
    <n v="15"/>
  </r>
  <r>
    <x v="3"/>
    <x v="1"/>
    <x v="33"/>
    <n v="30"/>
    <x v="29"/>
    <x v="0"/>
    <x v="0"/>
    <x v="8"/>
    <n v="30"/>
  </r>
  <r>
    <x v="3"/>
    <x v="1"/>
    <x v="42"/>
    <n v="27"/>
    <x v="29"/>
    <x v="0"/>
    <x v="0"/>
    <x v="8"/>
    <n v="27"/>
  </r>
  <r>
    <x v="3"/>
    <x v="1"/>
    <x v="23"/>
    <n v="25"/>
    <x v="29"/>
    <x v="0"/>
    <x v="0"/>
    <x v="8"/>
    <n v="25"/>
  </r>
  <r>
    <x v="3"/>
    <x v="1"/>
    <x v="39"/>
    <n v="37"/>
    <x v="29"/>
    <x v="0"/>
    <x v="0"/>
    <x v="8"/>
    <n v="37"/>
  </r>
  <r>
    <x v="3"/>
    <x v="1"/>
    <x v="36"/>
    <n v="16"/>
    <x v="29"/>
    <x v="0"/>
    <x v="0"/>
    <x v="8"/>
    <n v="16"/>
  </r>
  <r>
    <x v="3"/>
    <x v="1"/>
    <x v="27"/>
    <n v="14"/>
    <x v="29"/>
    <x v="0"/>
    <x v="0"/>
    <x v="8"/>
    <n v="14"/>
  </r>
  <r>
    <x v="3"/>
    <x v="1"/>
    <x v="32"/>
    <n v="28"/>
    <x v="29"/>
    <x v="0"/>
    <x v="0"/>
    <x v="8"/>
    <n v="28"/>
  </r>
  <r>
    <x v="3"/>
    <x v="1"/>
    <x v="34"/>
    <n v="31"/>
    <x v="29"/>
    <x v="0"/>
    <x v="0"/>
    <x v="8"/>
    <n v="31"/>
  </r>
  <r>
    <x v="3"/>
    <x v="1"/>
    <x v="38"/>
    <n v="21"/>
    <x v="29"/>
    <x v="0"/>
    <x v="0"/>
    <x v="8"/>
    <n v="21"/>
  </r>
  <r>
    <x v="3"/>
    <x v="1"/>
    <x v="24"/>
    <n v="15"/>
    <x v="29"/>
    <x v="0"/>
    <x v="0"/>
    <x v="8"/>
    <n v="15"/>
  </r>
  <r>
    <x v="3"/>
    <x v="1"/>
    <x v="5"/>
    <n v="15"/>
    <x v="29"/>
    <x v="0"/>
    <x v="0"/>
    <x v="8"/>
    <n v="15"/>
  </r>
  <r>
    <x v="3"/>
    <x v="2"/>
    <x v="45"/>
    <n v="68"/>
    <x v="29"/>
    <x v="0"/>
    <x v="13"/>
    <x v="8"/>
    <n v="340"/>
  </r>
  <r>
    <x v="3"/>
    <x v="2"/>
    <x v="43"/>
    <n v="38"/>
    <x v="29"/>
    <x v="0"/>
    <x v="14"/>
    <x v="8"/>
    <n v="202"/>
  </r>
  <r>
    <x v="3"/>
    <x v="2"/>
    <x v="44"/>
    <n v="45"/>
    <x v="29"/>
    <x v="0"/>
    <x v="15"/>
    <x v="8"/>
    <n v="180"/>
  </r>
  <r>
    <x v="3"/>
    <x v="3"/>
    <x v="46"/>
    <n v="182"/>
    <x v="29"/>
    <x v="4"/>
    <x v="16"/>
    <x v="8"/>
    <n v="614"/>
  </r>
  <r>
    <x v="4"/>
    <x v="0"/>
    <x v="22"/>
    <n v="25"/>
    <x v="87"/>
    <x v="5"/>
    <x v="17"/>
    <x v="0"/>
    <n v="47"/>
  </r>
  <r>
    <x v="4"/>
    <x v="0"/>
    <x v="29"/>
    <n v="87"/>
    <x v="13"/>
    <x v="5"/>
    <x v="17"/>
    <x v="0"/>
    <n v="141"/>
  </r>
  <r>
    <x v="4"/>
    <x v="0"/>
    <x v="18"/>
    <n v="0"/>
    <x v="88"/>
    <x v="5"/>
    <x v="17"/>
    <x v="0"/>
    <n v="131"/>
  </r>
  <r>
    <x v="4"/>
    <x v="0"/>
    <x v="5"/>
    <n v="163"/>
    <x v="89"/>
    <x v="5"/>
    <x v="17"/>
    <x v="0"/>
    <n v="200"/>
  </r>
  <r>
    <x v="4"/>
    <x v="0"/>
    <x v="14"/>
    <n v="178"/>
    <x v="40"/>
    <x v="5"/>
    <x v="17"/>
    <x v="0"/>
    <n v="191"/>
  </r>
  <r>
    <x v="4"/>
    <x v="0"/>
    <x v="12"/>
    <n v="51"/>
    <x v="80"/>
    <x v="5"/>
    <x v="17"/>
    <x v="0"/>
    <n v="194"/>
  </r>
  <r>
    <x v="4"/>
    <x v="0"/>
    <x v="2"/>
    <n v="293"/>
    <x v="55"/>
    <x v="5"/>
    <x v="17"/>
    <x v="0"/>
    <n v="304"/>
  </r>
  <r>
    <x v="4"/>
    <x v="0"/>
    <x v="47"/>
    <n v="54"/>
    <x v="90"/>
    <x v="5"/>
    <x v="17"/>
    <x v="1"/>
    <n v="247"/>
  </r>
  <r>
    <x v="4"/>
    <x v="0"/>
    <x v="11"/>
    <n v="94"/>
    <x v="91"/>
    <x v="5"/>
    <x v="17"/>
    <x v="0"/>
    <n v="110"/>
  </r>
  <r>
    <x v="4"/>
    <x v="0"/>
    <x v="24"/>
    <n v="166"/>
    <x v="70"/>
    <x v="5"/>
    <x v="17"/>
    <x v="6"/>
    <n v="241"/>
  </r>
  <r>
    <x v="4"/>
    <x v="0"/>
    <x v="25"/>
    <n v="48"/>
    <x v="22"/>
    <x v="5"/>
    <x v="17"/>
    <x v="0"/>
    <n v="122"/>
  </r>
  <r>
    <x v="4"/>
    <x v="0"/>
    <x v="26"/>
    <n v="68"/>
    <x v="23"/>
    <x v="5"/>
    <x v="17"/>
    <x v="0"/>
    <n v="86"/>
  </r>
  <r>
    <x v="4"/>
    <x v="0"/>
    <x v="7"/>
    <n v="50"/>
    <x v="92"/>
    <x v="5"/>
    <x v="17"/>
    <x v="24"/>
    <n v="438"/>
  </r>
  <r>
    <x v="4"/>
    <x v="0"/>
    <x v="30"/>
    <n v="72"/>
    <x v="27"/>
    <x v="5"/>
    <x v="17"/>
    <x v="0"/>
    <n v="114"/>
  </r>
  <r>
    <x v="4"/>
    <x v="0"/>
    <x v="6"/>
    <n v="0"/>
    <x v="93"/>
    <x v="5"/>
    <x v="17"/>
    <x v="0"/>
    <n v="100"/>
  </r>
  <r>
    <x v="4"/>
    <x v="0"/>
    <x v="16"/>
    <n v="58"/>
    <x v="26"/>
    <x v="5"/>
    <x v="17"/>
    <x v="0"/>
    <n v="123"/>
  </r>
  <r>
    <x v="4"/>
    <x v="0"/>
    <x v="8"/>
    <n v="49"/>
    <x v="49"/>
    <x v="5"/>
    <x v="17"/>
    <x v="0"/>
    <n v="131"/>
  </r>
  <r>
    <x v="4"/>
    <x v="0"/>
    <x v="28"/>
    <n v="23"/>
    <x v="72"/>
    <x v="5"/>
    <x v="17"/>
    <x v="0"/>
    <n v="79"/>
  </r>
  <r>
    <x v="4"/>
    <x v="0"/>
    <x v="20"/>
    <n v="0"/>
    <x v="94"/>
    <x v="5"/>
    <x v="17"/>
    <x v="0"/>
    <n v="118"/>
  </r>
  <r>
    <x v="4"/>
    <x v="0"/>
    <x v="13"/>
    <n v="50"/>
    <x v="95"/>
    <x v="5"/>
    <x v="17"/>
    <x v="0"/>
    <n v="99"/>
  </r>
  <r>
    <x v="4"/>
    <x v="0"/>
    <x v="27"/>
    <n v="145"/>
    <x v="24"/>
    <x v="5"/>
    <x v="17"/>
    <x v="0"/>
    <n v="153"/>
  </r>
  <r>
    <x v="4"/>
    <x v="0"/>
    <x v="15"/>
    <n v="51"/>
    <x v="4"/>
    <x v="5"/>
    <x v="17"/>
    <x v="0"/>
    <n v="51"/>
  </r>
  <r>
    <x v="4"/>
    <x v="0"/>
    <x v="31"/>
    <n v="29"/>
    <x v="96"/>
    <x v="5"/>
    <x v="17"/>
    <x v="0"/>
    <n v="149"/>
  </r>
  <r>
    <x v="4"/>
    <x v="0"/>
    <x v="10"/>
    <n v="69"/>
    <x v="59"/>
    <x v="5"/>
    <x v="17"/>
    <x v="25"/>
    <n v="223"/>
  </r>
  <r>
    <x v="4"/>
    <x v="0"/>
    <x v="17"/>
    <n v="24"/>
    <x v="97"/>
    <x v="5"/>
    <x v="17"/>
    <x v="0"/>
    <n v="299"/>
  </r>
  <r>
    <x v="4"/>
    <x v="0"/>
    <x v="21"/>
    <n v="28"/>
    <x v="98"/>
    <x v="5"/>
    <x v="17"/>
    <x v="0"/>
    <n v="121"/>
  </r>
  <r>
    <x v="4"/>
    <x v="0"/>
    <x v="4"/>
    <n v="78"/>
    <x v="4"/>
    <x v="5"/>
    <x v="17"/>
    <x v="0"/>
    <n v="78"/>
  </r>
  <r>
    <x v="4"/>
    <x v="0"/>
    <x v="0"/>
    <n v="254"/>
    <x v="99"/>
    <x v="5"/>
    <x v="17"/>
    <x v="0"/>
    <n v="369"/>
  </r>
  <r>
    <x v="4"/>
    <x v="0"/>
    <x v="23"/>
    <n v="489"/>
    <x v="4"/>
    <x v="5"/>
    <x v="17"/>
    <x v="0"/>
    <n v="489"/>
  </r>
  <r>
    <x v="4"/>
    <x v="0"/>
    <x v="9"/>
    <n v="68"/>
    <x v="100"/>
    <x v="5"/>
    <x v="17"/>
    <x v="26"/>
    <n v="670"/>
  </r>
  <r>
    <x v="4"/>
    <x v="0"/>
    <x v="1"/>
    <n v="27"/>
    <x v="2"/>
    <x v="5"/>
    <x v="17"/>
    <x v="0"/>
    <n v="39"/>
  </r>
  <r>
    <x v="4"/>
    <x v="0"/>
    <x v="19"/>
    <n v="76"/>
    <x v="84"/>
    <x v="5"/>
    <x v="17"/>
    <x v="16"/>
    <n v="205"/>
  </r>
  <r>
    <x v="4"/>
    <x v="1"/>
    <x v="23"/>
    <n v="22"/>
    <x v="4"/>
    <x v="5"/>
    <x v="17"/>
    <x v="0"/>
    <n v="22"/>
  </r>
  <r>
    <x v="4"/>
    <x v="1"/>
    <x v="36"/>
    <n v="19"/>
    <x v="4"/>
    <x v="5"/>
    <x v="17"/>
    <x v="0"/>
    <n v="19"/>
  </r>
  <r>
    <x v="4"/>
    <x v="1"/>
    <x v="33"/>
    <n v="27"/>
    <x v="4"/>
    <x v="5"/>
    <x v="17"/>
    <x v="0"/>
    <n v="27"/>
  </r>
  <r>
    <x v="4"/>
    <x v="1"/>
    <x v="38"/>
    <n v="19"/>
    <x v="4"/>
    <x v="5"/>
    <x v="17"/>
    <x v="0"/>
    <n v="19"/>
  </r>
  <r>
    <x v="4"/>
    <x v="1"/>
    <x v="0"/>
    <n v="19"/>
    <x v="4"/>
    <x v="5"/>
    <x v="17"/>
    <x v="0"/>
    <n v="19"/>
  </r>
  <r>
    <x v="4"/>
    <x v="1"/>
    <x v="27"/>
    <n v="15"/>
    <x v="4"/>
    <x v="5"/>
    <x v="17"/>
    <x v="0"/>
    <n v="15"/>
  </r>
  <r>
    <x v="4"/>
    <x v="1"/>
    <x v="35"/>
    <n v="25"/>
    <x v="4"/>
    <x v="5"/>
    <x v="17"/>
    <x v="0"/>
    <n v="25"/>
  </r>
  <r>
    <x v="4"/>
    <x v="1"/>
    <x v="41"/>
    <n v="26"/>
    <x v="4"/>
    <x v="5"/>
    <x v="17"/>
    <x v="0"/>
    <n v="26"/>
  </r>
  <r>
    <x v="4"/>
    <x v="1"/>
    <x v="39"/>
    <n v="32"/>
    <x v="4"/>
    <x v="5"/>
    <x v="17"/>
    <x v="0"/>
    <n v="32"/>
  </r>
  <r>
    <x v="4"/>
    <x v="1"/>
    <x v="5"/>
    <n v="17"/>
    <x v="4"/>
    <x v="5"/>
    <x v="17"/>
    <x v="0"/>
    <n v="17"/>
  </r>
  <r>
    <x v="4"/>
    <x v="1"/>
    <x v="24"/>
    <n v="16"/>
    <x v="4"/>
    <x v="5"/>
    <x v="17"/>
    <x v="0"/>
    <n v="16"/>
  </r>
  <r>
    <x v="4"/>
    <x v="1"/>
    <x v="34"/>
    <n v="27"/>
    <x v="4"/>
    <x v="5"/>
    <x v="17"/>
    <x v="0"/>
    <n v="27"/>
  </r>
  <r>
    <x v="4"/>
    <x v="1"/>
    <x v="40"/>
    <n v="18"/>
    <x v="4"/>
    <x v="5"/>
    <x v="17"/>
    <x v="0"/>
    <n v="18"/>
  </r>
  <r>
    <x v="4"/>
    <x v="1"/>
    <x v="32"/>
    <n v="28"/>
    <x v="4"/>
    <x v="5"/>
    <x v="17"/>
    <x v="0"/>
    <n v="28"/>
  </r>
  <r>
    <x v="4"/>
    <x v="1"/>
    <x v="42"/>
    <n v="31"/>
    <x v="4"/>
    <x v="5"/>
    <x v="17"/>
    <x v="0"/>
    <n v="31"/>
  </r>
  <r>
    <x v="4"/>
    <x v="1"/>
    <x v="3"/>
    <n v="22"/>
    <x v="4"/>
    <x v="5"/>
    <x v="17"/>
    <x v="0"/>
    <n v="22"/>
  </r>
  <r>
    <x v="4"/>
    <x v="1"/>
    <x v="37"/>
    <n v="16"/>
    <x v="4"/>
    <x v="5"/>
    <x v="17"/>
    <x v="0"/>
    <n v="16"/>
  </r>
  <r>
    <x v="4"/>
    <x v="2"/>
    <x v="43"/>
    <n v="37"/>
    <x v="4"/>
    <x v="5"/>
    <x v="18"/>
    <x v="0"/>
    <n v="165"/>
  </r>
  <r>
    <x v="4"/>
    <x v="2"/>
    <x v="45"/>
    <n v="73"/>
    <x v="4"/>
    <x v="5"/>
    <x v="19"/>
    <x v="0"/>
    <n v="373"/>
  </r>
  <r>
    <x v="4"/>
    <x v="2"/>
    <x v="44"/>
    <n v="46"/>
    <x v="4"/>
    <x v="5"/>
    <x v="20"/>
    <x v="0"/>
    <n v="187"/>
  </r>
  <r>
    <x v="4"/>
    <x v="3"/>
    <x v="46"/>
    <n v="143"/>
    <x v="4"/>
    <x v="6"/>
    <x v="21"/>
    <x v="0"/>
    <n v="609"/>
  </r>
  <r>
    <x v="5"/>
    <x v="4"/>
    <x v="27"/>
    <n v="0"/>
    <x v="4"/>
    <x v="5"/>
    <x v="22"/>
    <x v="0"/>
    <n v="7"/>
  </r>
  <r>
    <x v="5"/>
    <x v="4"/>
    <x v="7"/>
    <n v="0"/>
    <x v="4"/>
    <x v="5"/>
    <x v="23"/>
    <x v="0"/>
    <n v="2"/>
  </r>
  <r>
    <x v="5"/>
    <x v="4"/>
    <x v="47"/>
    <n v="0"/>
    <x v="4"/>
    <x v="5"/>
    <x v="24"/>
    <x v="0"/>
    <n v="1"/>
  </r>
  <r>
    <x v="5"/>
    <x v="4"/>
    <x v="23"/>
    <n v="0"/>
    <x v="4"/>
    <x v="5"/>
    <x v="25"/>
    <x v="0"/>
    <n v="6"/>
  </r>
  <r>
    <x v="5"/>
    <x v="4"/>
    <x v="19"/>
    <n v="0"/>
    <x v="4"/>
    <x v="5"/>
    <x v="24"/>
    <x v="0"/>
    <n v="1"/>
  </r>
  <r>
    <x v="5"/>
    <x v="4"/>
    <x v="13"/>
    <n v="0"/>
    <x v="4"/>
    <x v="5"/>
    <x v="25"/>
    <x v="0"/>
    <n v="6"/>
  </r>
  <r>
    <x v="5"/>
    <x v="4"/>
    <x v="25"/>
    <n v="0"/>
    <x v="4"/>
    <x v="5"/>
    <x v="24"/>
    <x v="0"/>
    <n v="1"/>
  </r>
  <r>
    <x v="5"/>
    <x v="4"/>
    <x v="48"/>
    <n v="0"/>
    <x v="4"/>
    <x v="5"/>
    <x v="26"/>
    <x v="0"/>
    <n v="725"/>
  </r>
  <r>
    <x v="5"/>
    <x v="4"/>
    <x v="27"/>
    <n v="0"/>
    <x v="4"/>
    <x v="5"/>
    <x v="24"/>
    <x v="0"/>
    <n v="1"/>
  </r>
  <r>
    <x v="5"/>
    <x v="4"/>
    <x v="29"/>
    <n v="0"/>
    <x v="4"/>
    <x v="5"/>
    <x v="27"/>
    <x v="0"/>
    <n v="3"/>
  </r>
  <r>
    <x v="5"/>
    <x v="4"/>
    <x v="30"/>
    <n v="0"/>
    <x v="4"/>
    <x v="5"/>
    <x v="24"/>
    <x v="0"/>
    <n v="1"/>
  </r>
  <r>
    <x v="5"/>
    <x v="4"/>
    <x v="11"/>
    <n v="0"/>
    <x v="4"/>
    <x v="5"/>
    <x v="23"/>
    <x v="0"/>
    <n v="2"/>
  </r>
  <r>
    <x v="5"/>
    <x v="4"/>
    <x v="17"/>
    <n v="0"/>
    <x v="4"/>
    <x v="5"/>
    <x v="24"/>
    <x v="0"/>
    <n v="1"/>
  </r>
  <r>
    <x v="5"/>
    <x v="4"/>
    <x v="30"/>
    <n v="0"/>
    <x v="4"/>
    <x v="5"/>
    <x v="24"/>
    <x v="0"/>
    <n v="1"/>
  </r>
  <r>
    <x v="5"/>
    <x v="4"/>
    <x v="18"/>
    <n v="0"/>
    <x v="4"/>
    <x v="5"/>
    <x v="23"/>
    <x v="0"/>
    <n v="2"/>
  </r>
  <r>
    <x v="5"/>
    <x v="4"/>
    <x v="24"/>
    <n v="0"/>
    <x v="4"/>
    <x v="5"/>
    <x v="24"/>
    <x v="0"/>
    <n v="1"/>
  </r>
  <r>
    <x v="5"/>
    <x v="4"/>
    <x v="26"/>
    <n v="0"/>
    <x v="4"/>
    <x v="5"/>
    <x v="23"/>
    <x v="0"/>
    <n v="2"/>
  </r>
  <r>
    <x v="5"/>
    <x v="4"/>
    <x v="2"/>
    <n v="0"/>
    <x v="4"/>
    <x v="5"/>
    <x v="24"/>
    <x v="0"/>
    <n v="1"/>
  </r>
  <r>
    <x v="5"/>
    <x v="4"/>
    <x v="42"/>
    <n v="0"/>
    <x v="4"/>
    <x v="5"/>
    <x v="23"/>
    <x v="0"/>
    <n v="2"/>
  </r>
  <r>
    <x v="5"/>
    <x v="4"/>
    <x v="23"/>
    <n v="0"/>
    <x v="4"/>
    <x v="5"/>
    <x v="27"/>
    <x v="0"/>
    <n v="3"/>
  </r>
  <r>
    <x v="5"/>
    <x v="4"/>
    <x v="9"/>
    <n v="0"/>
    <x v="4"/>
    <x v="5"/>
    <x v="24"/>
    <x v="0"/>
    <n v="1"/>
  </r>
  <r>
    <x v="5"/>
    <x v="4"/>
    <x v="5"/>
    <n v="0"/>
    <x v="4"/>
    <x v="5"/>
    <x v="23"/>
    <x v="0"/>
    <n v="2"/>
  </r>
  <r>
    <x v="5"/>
    <x v="4"/>
    <x v="6"/>
    <n v="0"/>
    <x v="4"/>
    <x v="5"/>
    <x v="24"/>
    <x v="0"/>
    <n v="1"/>
  </r>
  <r>
    <x v="5"/>
    <x v="4"/>
    <x v="11"/>
    <n v="0"/>
    <x v="4"/>
    <x v="5"/>
    <x v="23"/>
    <x v="0"/>
    <n v="2"/>
  </r>
  <r>
    <x v="5"/>
    <x v="4"/>
    <x v="16"/>
    <n v="0"/>
    <x v="4"/>
    <x v="5"/>
    <x v="23"/>
    <x v="0"/>
    <n v="2"/>
  </r>
  <r>
    <x v="5"/>
    <x v="4"/>
    <x v="4"/>
    <n v="0"/>
    <x v="4"/>
    <x v="5"/>
    <x v="24"/>
    <x v="0"/>
    <n v="1"/>
  </r>
  <r>
    <x v="5"/>
    <x v="4"/>
    <x v="15"/>
    <n v="0"/>
    <x v="4"/>
    <x v="5"/>
    <x v="24"/>
    <x v="0"/>
    <n v="1"/>
  </r>
  <r>
    <x v="5"/>
    <x v="4"/>
    <x v="0"/>
    <n v="0"/>
    <x v="4"/>
    <x v="5"/>
    <x v="24"/>
    <x v="0"/>
    <n v="1"/>
  </r>
  <r>
    <x v="5"/>
    <x v="4"/>
    <x v="9"/>
    <n v="0"/>
    <x v="4"/>
    <x v="5"/>
    <x v="27"/>
    <x v="0"/>
    <n v="3"/>
  </r>
  <r>
    <x v="5"/>
    <x v="4"/>
    <x v="20"/>
    <n v="0"/>
    <x v="4"/>
    <x v="5"/>
    <x v="24"/>
    <x v="0"/>
    <n v="1"/>
  </r>
  <r>
    <x v="5"/>
    <x v="4"/>
    <x v="8"/>
    <n v="0"/>
    <x v="4"/>
    <x v="5"/>
    <x v="23"/>
    <x v="0"/>
    <n v="2"/>
  </r>
  <r>
    <x v="5"/>
    <x v="4"/>
    <x v="19"/>
    <n v="0"/>
    <x v="4"/>
    <x v="5"/>
    <x v="25"/>
    <x v="0"/>
    <n v="6"/>
  </r>
  <r>
    <x v="5"/>
    <x v="0"/>
    <x v="47"/>
    <n v="53"/>
    <x v="3"/>
    <x v="5"/>
    <x v="17"/>
    <x v="27"/>
    <n v="257"/>
  </r>
  <r>
    <x v="5"/>
    <x v="0"/>
    <x v="30"/>
    <n v="72"/>
    <x v="101"/>
    <x v="5"/>
    <x v="17"/>
    <x v="0"/>
    <n v="116"/>
  </r>
  <r>
    <x v="5"/>
    <x v="0"/>
    <x v="31"/>
    <n v="30"/>
    <x v="96"/>
    <x v="5"/>
    <x v="17"/>
    <x v="1"/>
    <n v="154"/>
  </r>
  <r>
    <x v="5"/>
    <x v="0"/>
    <x v="19"/>
    <n v="76"/>
    <x v="102"/>
    <x v="5"/>
    <x v="17"/>
    <x v="20"/>
    <n v="205"/>
  </r>
  <r>
    <x v="5"/>
    <x v="0"/>
    <x v="11"/>
    <n v="99"/>
    <x v="77"/>
    <x v="5"/>
    <x v="17"/>
    <x v="0"/>
    <n v="116"/>
  </r>
  <r>
    <x v="5"/>
    <x v="0"/>
    <x v="12"/>
    <n v="56"/>
    <x v="80"/>
    <x v="5"/>
    <x v="17"/>
    <x v="0"/>
    <n v="199"/>
  </r>
  <r>
    <x v="5"/>
    <x v="0"/>
    <x v="15"/>
    <n v="52"/>
    <x v="4"/>
    <x v="5"/>
    <x v="17"/>
    <x v="0"/>
    <n v="52"/>
  </r>
  <r>
    <x v="5"/>
    <x v="0"/>
    <x v="25"/>
    <n v="49"/>
    <x v="39"/>
    <x v="5"/>
    <x v="17"/>
    <x v="0"/>
    <n v="124"/>
  </r>
  <r>
    <x v="5"/>
    <x v="0"/>
    <x v="16"/>
    <n v="56"/>
    <x v="103"/>
    <x v="5"/>
    <x v="17"/>
    <x v="0"/>
    <n v="115"/>
  </r>
  <r>
    <x v="5"/>
    <x v="0"/>
    <x v="27"/>
    <n v="154"/>
    <x v="104"/>
    <x v="5"/>
    <x v="17"/>
    <x v="0"/>
    <n v="163"/>
  </r>
  <r>
    <x v="5"/>
    <x v="0"/>
    <x v="5"/>
    <n v="166"/>
    <x v="85"/>
    <x v="5"/>
    <x v="17"/>
    <x v="0"/>
    <n v="201"/>
  </r>
  <r>
    <x v="5"/>
    <x v="0"/>
    <x v="21"/>
    <n v="28"/>
    <x v="66"/>
    <x v="5"/>
    <x v="17"/>
    <x v="0"/>
    <n v="126"/>
  </r>
  <r>
    <x v="5"/>
    <x v="0"/>
    <x v="2"/>
    <n v="297"/>
    <x v="104"/>
    <x v="5"/>
    <x v="17"/>
    <x v="0"/>
    <n v="306"/>
  </r>
  <r>
    <x v="5"/>
    <x v="0"/>
    <x v="8"/>
    <n v="47"/>
    <x v="8"/>
    <x v="5"/>
    <x v="17"/>
    <x v="0"/>
    <n v="124"/>
  </r>
  <r>
    <x v="5"/>
    <x v="0"/>
    <x v="23"/>
    <n v="515"/>
    <x v="4"/>
    <x v="5"/>
    <x v="17"/>
    <x v="0"/>
    <n v="515"/>
  </r>
  <r>
    <x v="5"/>
    <x v="0"/>
    <x v="10"/>
    <n v="69"/>
    <x v="88"/>
    <x v="5"/>
    <x v="17"/>
    <x v="20"/>
    <n v="222"/>
  </r>
  <r>
    <x v="5"/>
    <x v="0"/>
    <x v="13"/>
    <n v="50"/>
    <x v="14"/>
    <x v="5"/>
    <x v="17"/>
    <x v="0"/>
    <n v="108"/>
  </r>
  <r>
    <x v="5"/>
    <x v="0"/>
    <x v="26"/>
    <n v="73"/>
    <x v="105"/>
    <x v="5"/>
    <x v="17"/>
    <x v="0"/>
    <n v="93"/>
  </r>
  <r>
    <x v="5"/>
    <x v="0"/>
    <x v="7"/>
    <n v="54"/>
    <x v="106"/>
    <x v="5"/>
    <x v="17"/>
    <x v="2"/>
    <n v="433"/>
  </r>
  <r>
    <x v="5"/>
    <x v="0"/>
    <x v="22"/>
    <n v="25"/>
    <x v="105"/>
    <x v="5"/>
    <x v="17"/>
    <x v="0"/>
    <n v="45"/>
  </r>
  <r>
    <x v="5"/>
    <x v="0"/>
    <x v="14"/>
    <n v="177"/>
    <x v="2"/>
    <x v="5"/>
    <x v="17"/>
    <x v="0"/>
    <n v="189"/>
  </r>
  <r>
    <x v="5"/>
    <x v="0"/>
    <x v="0"/>
    <n v="274"/>
    <x v="107"/>
    <x v="5"/>
    <x v="17"/>
    <x v="0"/>
    <n v="390"/>
  </r>
  <r>
    <x v="5"/>
    <x v="0"/>
    <x v="1"/>
    <n v="26"/>
    <x v="40"/>
    <x v="5"/>
    <x v="17"/>
    <x v="0"/>
    <n v="39"/>
  </r>
  <r>
    <x v="5"/>
    <x v="0"/>
    <x v="29"/>
    <n v="88"/>
    <x v="54"/>
    <x v="5"/>
    <x v="17"/>
    <x v="0"/>
    <n v="143"/>
  </r>
  <r>
    <x v="5"/>
    <x v="0"/>
    <x v="9"/>
    <n v="70"/>
    <x v="108"/>
    <x v="5"/>
    <x v="17"/>
    <x v="28"/>
    <n v="684"/>
  </r>
  <r>
    <x v="5"/>
    <x v="0"/>
    <x v="18"/>
    <n v="0"/>
    <x v="16"/>
    <x v="5"/>
    <x v="17"/>
    <x v="0"/>
    <n v="132"/>
  </r>
  <r>
    <x v="5"/>
    <x v="0"/>
    <x v="24"/>
    <n v="167"/>
    <x v="8"/>
    <x v="5"/>
    <x v="17"/>
    <x v="6"/>
    <n v="246"/>
  </r>
  <r>
    <x v="5"/>
    <x v="0"/>
    <x v="17"/>
    <n v="30"/>
    <x v="109"/>
    <x v="5"/>
    <x v="17"/>
    <x v="0"/>
    <n v="314"/>
  </r>
  <r>
    <x v="5"/>
    <x v="0"/>
    <x v="4"/>
    <n v="78"/>
    <x v="4"/>
    <x v="5"/>
    <x v="17"/>
    <x v="0"/>
    <n v="78"/>
  </r>
  <r>
    <x v="5"/>
    <x v="0"/>
    <x v="28"/>
    <n v="24"/>
    <x v="110"/>
    <x v="5"/>
    <x v="17"/>
    <x v="0"/>
    <n v="86"/>
  </r>
  <r>
    <x v="5"/>
    <x v="0"/>
    <x v="6"/>
    <n v="0"/>
    <x v="51"/>
    <x v="5"/>
    <x v="17"/>
    <x v="0"/>
    <n v="109"/>
  </r>
  <r>
    <x v="5"/>
    <x v="0"/>
    <x v="20"/>
    <n v="0"/>
    <x v="35"/>
    <x v="5"/>
    <x v="17"/>
    <x v="0"/>
    <n v="127"/>
  </r>
  <r>
    <x v="5"/>
    <x v="1"/>
    <x v="37"/>
    <n v="14"/>
    <x v="4"/>
    <x v="5"/>
    <x v="17"/>
    <x v="0"/>
    <n v="14"/>
  </r>
  <r>
    <x v="5"/>
    <x v="1"/>
    <x v="23"/>
    <n v="25"/>
    <x v="4"/>
    <x v="5"/>
    <x v="17"/>
    <x v="0"/>
    <n v="25"/>
  </r>
  <r>
    <x v="5"/>
    <x v="1"/>
    <x v="3"/>
    <n v="22"/>
    <x v="4"/>
    <x v="5"/>
    <x v="17"/>
    <x v="0"/>
    <n v="22"/>
  </r>
  <r>
    <x v="5"/>
    <x v="1"/>
    <x v="40"/>
    <n v="18"/>
    <x v="4"/>
    <x v="5"/>
    <x v="17"/>
    <x v="0"/>
    <n v="18"/>
  </r>
  <r>
    <x v="5"/>
    <x v="1"/>
    <x v="27"/>
    <n v="16"/>
    <x v="4"/>
    <x v="5"/>
    <x v="17"/>
    <x v="0"/>
    <n v="16"/>
  </r>
  <r>
    <x v="5"/>
    <x v="1"/>
    <x v="0"/>
    <n v="18"/>
    <x v="4"/>
    <x v="5"/>
    <x v="17"/>
    <x v="0"/>
    <n v="18"/>
  </r>
  <r>
    <x v="5"/>
    <x v="1"/>
    <x v="24"/>
    <n v="16"/>
    <x v="4"/>
    <x v="5"/>
    <x v="17"/>
    <x v="0"/>
    <n v="16"/>
  </r>
  <r>
    <x v="5"/>
    <x v="1"/>
    <x v="35"/>
    <n v="25"/>
    <x v="4"/>
    <x v="5"/>
    <x v="17"/>
    <x v="0"/>
    <n v="25"/>
  </r>
  <r>
    <x v="5"/>
    <x v="1"/>
    <x v="41"/>
    <n v="26"/>
    <x v="4"/>
    <x v="5"/>
    <x v="17"/>
    <x v="0"/>
    <n v="26"/>
  </r>
  <r>
    <x v="5"/>
    <x v="1"/>
    <x v="34"/>
    <n v="25"/>
    <x v="4"/>
    <x v="5"/>
    <x v="17"/>
    <x v="0"/>
    <n v="25"/>
  </r>
  <r>
    <x v="5"/>
    <x v="1"/>
    <x v="36"/>
    <n v="16"/>
    <x v="4"/>
    <x v="5"/>
    <x v="17"/>
    <x v="0"/>
    <n v="16"/>
  </r>
  <r>
    <x v="5"/>
    <x v="1"/>
    <x v="33"/>
    <n v="25"/>
    <x v="4"/>
    <x v="5"/>
    <x v="17"/>
    <x v="0"/>
    <n v="25"/>
  </r>
  <r>
    <x v="5"/>
    <x v="1"/>
    <x v="42"/>
    <n v="30"/>
    <x v="4"/>
    <x v="5"/>
    <x v="17"/>
    <x v="0"/>
    <n v="30"/>
  </r>
  <r>
    <x v="5"/>
    <x v="1"/>
    <x v="39"/>
    <n v="45"/>
    <x v="4"/>
    <x v="5"/>
    <x v="17"/>
    <x v="0"/>
    <n v="45"/>
  </r>
  <r>
    <x v="5"/>
    <x v="1"/>
    <x v="5"/>
    <n v="17"/>
    <x v="4"/>
    <x v="5"/>
    <x v="17"/>
    <x v="0"/>
    <n v="17"/>
  </r>
  <r>
    <x v="5"/>
    <x v="1"/>
    <x v="32"/>
    <n v="29"/>
    <x v="4"/>
    <x v="5"/>
    <x v="17"/>
    <x v="0"/>
    <n v="29"/>
  </r>
  <r>
    <x v="5"/>
    <x v="1"/>
    <x v="38"/>
    <n v="20"/>
    <x v="4"/>
    <x v="5"/>
    <x v="17"/>
    <x v="0"/>
    <n v="20"/>
  </r>
  <r>
    <x v="5"/>
    <x v="2"/>
    <x v="43"/>
    <n v="37"/>
    <x v="4"/>
    <x v="5"/>
    <x v="17"/>
    <x v="0"/>
    <n v="37"/>
  </r>
  <r>
    <x v="5"/>
    <x v="2"/>
    <x v="44"/>
    <n v="30"/>
    <x v="4"/>
    <x v="5"/>
    <x v="17"/>
    <x v="0"/>
    <n v="30"/>
  </r>
  <r>
    <x v="5"/>
    <x v="2"/>
    <x v="45"/>
    <n v="79"/>
    <x v="4"/>
    <x v="5"/>
    <x v="17"/>
    <x v="0"/>
    <n v="79"/>
  </r>
  <r>
    <x v="5"/>
    <x v="3"/>
    <x v="46"/>
    <n v="149"/>
    <x v="4"/>
    <x v="7"/>
    <x v="17"/>
    <x v="0"/>
    <n v="356"/>
  </r>
  <r>
    <x v="6"/>
    <x v="4"/>
    <x v="19"/>
    <n v="0"/>
    <x v="4"/>
    <x v="5"/>
    <x v="28"/>
    <x v="0"/>
    <n v="4"/>
  </r>
  <r>
    <x v="6"/>
    <x v="4"/>
    <x v="24"/>
    <n v="0"/>
    <x v="4"/>
    <x v="5"/>
    <x v="24"/>
    <x v="0"/>
    <n v="1"/>
  </r>
  <r>
    <x v="6"/>
    <x v="4"/>
    <x v="26"/>
    <n v="0"/>
    <x v="4"/>
    <x v="5"/>
    <x v="24"/>
    <x v="0"/>
    <n v="1"/>
  </r>
  <r>
    <x v="6"/>
    <x v="4"/>
    <x v="27"/>
    <n v="0"/>
    <x v="4"/>
    <x v="5"/>
    <x v="22"/>
    <x v="0"/>
    <n v="7"/>
  </r>
  <r>
    <x v="6"/>
    <x v="4"/>
    <x v="7"/>
    <n v="0"/>
    <x v="4"/>
    <x v="5"/>
    <x v="24"/>
    <x v="0"/>
    <n v="1"/>
  </r>
  <r>
    <x v="6"/>
    <x v="4"/>
    <x v="9"/>
    <n v="0"/>
    <x v="4"/>
    <x v="5"/>
    <x v="23"/>
    <x v="0"/>
    <n v="2"/>
  </r>
  <r>
    <x v="6"/>
    <x v="4"/>
    <x v="8"/>
    <n v="0"/>
    <x v="4"/>
    <x v="5"/>
    <x v="23"/>
    <x v="0"/>
    <n v="2"/>
  </r>
  <r>
    <x v="6"/>
    <x v="4"/>
    <x v="5"/>
    <n v="0"/>
    <x v="4"/>
    <x v="5"/>
    <x v="23"/>
    <x v="0"/>
    <n v="2"/>
  </r>
  <r>
    <x v="6"/>
    <x v="4"/>
    <x v="49"/>
    <n v="0"/>
    <x v="4"/>
    <x v="5"/>
    <x v="23"/>
    <x v="0"/>
    <n v="2"/>
  </r>
  <r>
    <x v="6"/>
    <x v="4"/>
    <x v="11"/>
    <n v="0"/>
    <x v="4"/>
    <x v="5"/>
    <x v="23"/>
    <x v="0"/>
    <n v="2"/>
  </r>
  <r>
    <x v="6"/>
    <x v="4"/>
    <x v="20"/>
    <n v="0"/>
    <x v="4"/>
    <x v="5"/>
    <x v="24"/>
    <x v="0"/>
    <n v="1"/>
  </r>
  <r>
    <x v="6"/>
    <x v="4"/>
    <x v="9"/>
    <n v="0"/>
    <x v="4"/>
    <x v="5"/>
    <x v="23"/>
    <x v="0"/>
    <n v="2"/>
  </r>
  <r>
    <x v="6"/>
    <x v="4"/>
    <x v="16"/>
    <n v="0"/>
    <x v="4"/>
    <x v="5"/>
    <x v="23"/>
    <x v="0"/>
    <n v="2"/>
  </r>
  <r>
    <x v="6"/>
    <x v="4"/>
    <x v="29"/>
    <n v="0"/>
    <x v="4"/>
    <x v="5"/>
    <x v="27"/>
    <x v="0"/>
    <n v="3"/>
  </r>
  <r>
    <x v="6"/>
    <x v="4"/>
    <x v="25"/>
    <n v="0"/>
    <x v="4"/>
    <x v="5"/>
    <x v="24"/>
    <x v="0"/>
    <n v="1"/>
  </r>
  <r>
    <x v="6"/>
    <x v="4"/>
    <x v="27"/>
    <n v="0"/>
    <x v="4"/>
    <x v="5"/>
    <x v="24"/>
    <x v="0"/>
    <n v="1"/>
  </r>
  <r>
    <x v="6"/>
    <x v="4"/>
    <x v="17"/>
    <n v="0"/>
    <x v="4"/>
    <x v="5"/>
    <x v="24"/>
    <x v="0"/>
    <n v="1"/>
  </r>
  <r>
    <x v="6"/>
    <x v="4"/>
    <x v="42"/>
    <n v="0"/>
    <x v="4"/>
    <x v="5"/>
    <x v="23"/>
    <x v="0"/>
    <n v="2"/>
  </r>
  <r>
    <x v="6"/>
    <x v="4"/>
    <x v="1"/>
    <n v="0"/>
    <x v="4"/>
    <x v="5"/>
    <x v="24"/>
    <x v="0"/>
    <n v="1"/>
  </r>
  <r>
    <x v="6"/>
    <x v="4"/>
    <x v="48"/>
    <n v="0"/>
    <x v="4"/>
    <x v="5"/>
    <x v="29"/>
    <x v="0"/>
    <n v="754"/>
  </r>
  <r>
    <x v="6"/>
    <x v="4"/>
    <x v="15"/>
    <n v="0"/>
    <x v="4"/>
    <x v="5"/>
    <x v="24"/>
    <x v="0"/>
    <n v="1"/>
  </r>
  <r>
    <x v="6"/>
    <x v="4"/>
    <x v="0"/>
    <n v="0"/>
    <x v="4"/>
    <x v="5"/>
    <x v="23"/>
    <x v="0"/>
    <n v="2"/>
  </r>
  <r>
    <x v="6"/>
    <x v="4"/>
    <x v="23"/>
    <n v="0"/>
    <x v="4"/>
    <x v="5"/>
    <x v="27"/>
    <x v="0"/>
    <n v="3"/>
  </r>
  <r>
    <x v="6"/>
    <x v="4"/>
    <x v="23"/>
    <n v="0"/>
    <x v="4"/>
    <x v="5"/>
    <x v="30"/>
    <x v="0"/>
    <n v="5"/>
  </r>
  <r>
    <x v="6"/>
    <x v="4"/>
    <x v="30"/>
    <n v="0"/>
    <x v="4"/>
    <x v="5"/>
    <x v="24"/>
    <x v="0"/>
    <n v="1"/>
  </r>
  <r>
    <x v="6"/>
    <x v="4"/>
    <x v="30"/>
    <n v="0"/>
    <x v="4"/>
    <x v="5"/>
    <x v="24"/>
    <x v="0"/>
    <n v="1"/>
  </r>
  <r>
    <x v="6"/>
    <x v="4"/>
    <x v="18"/>
    <n v="0"/>
    <x v="4"/>
    <x v="5"/>
    <x v="24"/>
    <x v="0"/>
    <n v="1"/>
  </r>
  <r>
    <x v="6"/>
    <x v="4"/>
    <x v="19"/>
    <n v="0"/>
    <x v="4"/>
    <x v="5"/>
    <x v="27"/>
    <x v="0"/>
    <n v="3"/>
  </r>
  <r>
    <x v="6"/>
    <x v="4"/>
    <x v="6"/>
    <n v="0"/>
    <x v="4"/>
    <x v="5"/>
    <x v="24"/>
    <x v="0"/>
    <n v="1"/>
  </r>
  <r>
    <x v="6"/>
    <x v="4"/>
    <x v="11"/>
    <n v="0"/>
    <x v="4"/>
    <x v="5"/>
    <x v="24"/>
    <x v="0"/>
    <n v="1"/>
  </r>
  <r>
    <x v="6"/>
    <x v="4"/>
    <x v="13"/>
    <n v="0"/>
    <x v="4"/>
    <x v="5"/>
    <x v="25"/>
    <x v="0"/>
    <n v="6"/>
  </r>
  <r>
    <x v="6"/>
    <x v="0"/>
    <x v="19"/>
    <n v="75"/>
    <x v="28"/>
    <x v="5"/>
    <x v="17"/>
    <x v="20"/>
    <n v="201"/>
  </r>
  <r>
    <x v="6"/>
    <x v="0"/>
    <x v="10"/>
    <n v="67"/>
    <x v="88"/>
    <x v="5"/>
    <x v="17"/>
    <x v="5"/>
    <n v="219"/>
  </r>
  <r>
    <x v="6"/>
    <x v="0"/>
    <x v="13"/>
    <n v="50"/>
    <x v="54"/>
    <x v="5"/>
    <x v="17"/>
    <x v="0"/>
    <n v="105"/>
  </r>
  <r>
    <x v="6"/>
    <x v="0"/>
    <x v="27"/>
    <n v="155"/>
    <x v="24"/>
    <x v="5"/>
    <x v="17"/>
    <x v="0"/>
    <n v="163"/>
  </r>
  <r>
    <x v="6"/>
    <x v="0"/>
    <x v="17"/>
    <n v="32"/>
    <x v="111"/>
    <x v="5"/>
    <x v="17"/>
    <x v="0"/>
    <n v="317"/>
  </r>
  <r>
    <x v="6"/>
    <x v="0"/>
    <x v="7"/>
    <n v="53"/>
    <x v="112"/>
    <x v="5"/>
    <x v="17"/>
    <x v="29"/>
    <n v="439"/>
  </r>
  <r>
    <x v="6"/>
    <x v="0"/>
    <x v="47"/>
    <n v="52"/>
    <x v="113"/>
    <x v="5"/>
    <x v="17"/>
    <x v="15"/>
    <n v="249"/>
  </r>
  <r>
    <x v="6"/>
    <x v="0"/>
    <x v="14"/>
    <n v="182"/>
    <x v="2"/>
    <x v="5"/>
    <x v="17"/>
    <x v="0"/>
    <n v="194"/>
  </r>
  <r>
    <x v="6"/>
    <x v="0"/>
    <x v="29"/>
    <n v="88"/>
    <x v="114"/>
    <x v="5"/>
    <x v="17"/>
    <x v="0"/>
    <n v="145"/>
  </r>
  <r>
    <x v="6"/>
    <x v="0"/>
    <x v="12"/>
    <n v="53"/>
    <x v="115"/>
    <x v="5"/>
    <x v="17"/>
    <x v="0"/>
    <n v="201"/>
  </r>
  <r>
    <x v="6"/>
    <x v="0"/>
    <x v="16"/>
    <n v="58"/>
    <x v="26"/>
    <x v="5"/>
    <x v="17"/>
    <x v="0"/>
    <n v="123"/>
  </r>
  <r>
    <x v="6"/>
    <x v="0"/>
    <x v="23"/>
    <n v="517"/>
    <x v="4"/>
    <x v="5"/>
    <x v="17"/>
    <x v="0"/>
    <n v="517"/>
  </r>
  <r>
    <x v="6"/>
    <x v="0"/>
    <x v="6"/>
    <n v="0"/>
    <x v="51"/>
    <x v="5"/>
    <x v="17"/>
    <x v="0"/>
    <n v="109"/>
  </r>
  <r>
    <x v="6"/>
    <x v="0"/>
    <x v="8"/>
    <n v="49"/>
    <x v="42"/>
    <x v="5"/>
    <x v="17"/>
    <x v="0"/>
    <n v="129"/>
  </r>
  <r>
    <x v="6"/>
    <x v="0"/>
    <x v="15"/>
    <n v="50"/>
    <x v="4"/>
    <x v="5"/>
    <x v="17"/>
    <x v="0"/>
    <n v="50"/>
  </r>
  <r>
    <x v="6"/>
    <x v="0"/>
    <x v="30"/>
    <n v="70"/>
    <x v="27"/>
    <x v="5"/>
    <x v="17"/>
    <x v="0"/>
    <n v="112"/>
  </r>
  <r>
    <x v="6"/>
    <x v="0"/>
    <x v="1"/>
    <n v="26"/>
    <x v="40"/>
    <x v="5"/>
    <x v="17"/>
    <x v="0"/>
    <n v="39"/>
  </r>
  <r>
    <x v="6"/>
    <x v="0"/>
    <x v="31"/>
    <n v="30"/>
    <x v="38"/>
    <x v="5"/>
    <x v="17"/>
    <x v="1"/>
    <n v="155"/>
  </r>
  <r>
    <x v="6"/>
    <x v="0"/>
    <x v="26"/>
    <n v="73"/>
    <x v="105"/>
    <x v="5"/>
    <x v="17"/>
    <x v="0"/>
    <n v="93"/>
  </r>
  <r>
    <x v="6"/>
    <x v="0"/>
    <x v="2"/>
    <n v="306"/>
    <x v="24"/>
    <x v="5"/>
    <x v="17"/>
    <x v="0"/>
    <n v="314"/>
  </r>
  <r>
    <x v="6"/>
    <x v="0"/>
    <x v="18"/>
    <n v="0"/>
    <x v="116"/>
    <x v="5"/>
    <x v="17"/>
    <x v="0"/>
    <n v="135"/>
  </r>
  <r>
    <x v="6"/>
    <x v="0"/>
    <x v="11"/>
    <n v="102"/>
    <x v="117"/>
    <x v="5"/>
    <x v="17"/>
    <x v="0"/>
    <n v="117"/>
  </r>
  <r>
    <x v="6"/>
    <x v="0"/>
    <x v="25"/>
    <n v="51"/>
    <x v="39"/>
    <x v="5"/>
    <x v="17"/>
    <x v="0"/>
    <n v="126"/>
  </r>
  <r>
    <x v="6"/>
    <x v="0"/>
    <x v="22"/>
    <n v="25"/>
    <x v="118"/>
    <x v="5"/>
    <x v="17"/>
    <x v="0"/>
    <n v="50"/>
  </r>
  <r>
    <x v="6"/>
    <x v="0"/>
    <x v="4"/>
    <n v="79"/>
    <x v="4"/>
    <x v="5"/>
    <x v="17"/>
    <x v="0"/>
    <n v="79"/>
  </r>
  <r>
    <x v="6"/>
    <x v="0"/>
    <x v="28"/>
    <n v="25"/>
    <x v="26"/>
    <x v="5"/>
    <x v="17"/>
    <x v="0"/>
    <n v="90"/>
  </r>
  <r>
    <x v="6"/>
    <x v="0"/>
    <x v="20"/>
    <n v="0"/>
    <x v="12"/>
    <x v="5"/>
    <x v="17"/>
    <x v="0"/>
    <n v="134"/>
  </r>
  <r>
    <x v="6"/>
    <x v="0"/>
    <x v="21"/>
    <n v="27"/>
    <x v="119"/>
    <x v="5"/>
    <x v="17"/>
    <x v="0"/>
    <n v="130"/>
  </r>
  <r>
    <x v="6"/>
    <x v="0"/>
    <x v="0"/>
    <n v="269"/>
    <x v="6"/>
    <x v="5"/>
    <x v="17"/>
    <x v="0"/>
    <n v="382"/>
  </r>
  <r>
    <x v="6"/>
    <x v="0"/>
    <x v="9"/>
    <n v="71"/>
    <x v="68"/>
    <x v="5"/>
    <x v="17"/>
    <x v="30"/>
    <n v="645"/>
  </r>
  <r>
    <x v="6"/>
    <x v="0"/>
    <x v="5"/>
    <n v="163"/>
    <x v="89"/>
    <x v="5"/>
    <x v="17"/>
    <x v="0"/>
    <n v="200"/>
  </r>
  <r>
    <x v="6"/>
    <x v="0"/>
    <x v="24"/>
    <n v="168"/>
    <x v="120"/>
    <x v="5"/>
    <x v="17"/>
    <x v="6"/>
    <n v="256"/>
  </r>
  <r>
    <x v="6"/>
    <x v="1"/>
    <x v="35"/>
    <n v="25"/>
    <x v="4"/>
    <x v="5"/>
    <x v="17"/>
    <x v="0"/>
    <n v="25"/>
  </r>
  <r>
    <x v="6"/>
    <x v="1"/>
    <x v="34"/>
    <n v="29"/>
    <x v="4"/>
    <x v="5"/>
    <x v="17"/>
    <x v="0"/>
    <n v="29"/>
  </r>
  <r>
    <x v="6"/>
    <x v="1"/>
    <x v="23"/>
    <n v="25"/>
    <x v="4"/>
    <x v="5"/>
    <x v="17"/>
    <x v="0"/>
    <n v="25"/>
  </r>
  <r>
    <x v="6"/>
    <x v="1"/>
    <x v="24"/>
    <n v="16"/>
    <x v="4"/>
    <x v="5"/>
    <x v="17"/>
    <x v="0"/>
    <n v="16"/>
  </r>
  <r>
    <x v="6"/>
    <x v="1"/>
    <x v="32"/>
    <n v="31"/>
    <x v="4"/>
    <x v="5"/>
    <x v="17"/>
    <x v="0"/>
    <n v="31"/>
  </r>
  <r>
    <x v="6"/>
    <x v="1"/>
    <x v="37"/>
    <n v="13"/>
    <x v="4"/>
    <x v="5"/>
    <x v="17"/>
    <x v="0"/>
    <n v="13"/>
  </r>
  <r>
    <x v="6"/>
    <x v="1"/>
    <x v="39"/>
    <n v="38"/>
    <x v="4"/>
    <x v="5"/>
    <x v="17"/>
    <x v="0"/>
    <n v="38"/>
  </r>
  <r>
    <x v="6"/>
    <x v="1"/>
    <x v="50"/>
    <n v="38"/>
    <x v="4"/>
    <x v="5"/>
    <x v="17"/>
    <x v="0"/>
    <n v="38"/>
  </r>
  <r>
    <x v="6"/>
    <x v="1"/>
    <x v="36"/>
    <n v="14"/>
    <x v="4"/>
    <x v="5"/>
    <x v="17"/>
    <x v="0"/>
    <n v="14"/>
  </r>
  <r>
    <x v="6"/>
    <x v="1"/>
    <x v="27"/>
    <n v="13"/>
    <x v="4"/>
    <x v="5"/>
    <x v="17"/>
    <x v="0"/>
    <n v="13"/>
  </r>
  <r>
    <x v="6"/>
    <x v="1"/>
    <x v="33"/>
    <n v="28"/>
    <x v="4"/>
    <x v="5"/>
    <x v="17"/>
    <x v="0"/>
    <n v="28"/>
  </r>
  <r>
    <x v="6"/>
    <x v="1"/>
    <x v="5"/>
    <n v="16"/>
    <x v="4"/>
    <x v="5"/>
    <x v="17"/>
    <x v="0"/>
    <n v="16"/>
  </r>
  <r>
    <x v="6"/>
    <x v="1"/>
    <x v="3"/>
    <n v="22"/>
    <x v="4"/>
    <x v="5"/>
    <x v="17"/>
    <x v="0"/>
    <n v="22"/>
  </r>
  <r>
    <x v="6"/>
    <x v="1"/>
    <x v="42"/>
    <n v="28"/>
    <x v="4"/>
    <x v="5"/>
    <x v="17"/>
    <x v="0"/>
    <n v="28"/>
  </r>
  <r>
    <x v="6"/>
    <x v="1"/>
    <x v="41"/>
    <n v="28"/>
    <x v="4"/>
    <x v="5"/>
    <x v="17"/>
    <x v="0"/>
    <n v="28"/>
  </r>
  <r>
    <x v="6"/>
    <x v="1"/>
    <x v="38"/>
    <n v="19"/>
    <x v="4"/>
    <x v="5"/>
    <x v="17"/>
    <x v="0"/>
    <n v="19"/>
  </r>
  <r>
    <x v="6"/>
    <x v="2"/>
    <x v="43"/>
    <n v="52"/>
    <x v="4"/>
    <x v="5"/>
    <x v="17"/>
    <x v="0"/>
    <n v="52"/>
  </r>
  <r>
    <x v="6"/>
    <x v="2"/>
    <x v="44"/>
    <n v="42"/>
    <x v="4"/>
    <x v="5"/>
    <x v="17"/>
    <x v="0"/>
    <n v="42"/>
  </r>
  <r>
    <x v="6"/>
    <x v="2"/>
    <x v="45"/>
    <n v="103"/>
    <x v="4"/>
    <x v="5"/>
    <x v="17"/>
    <x v="0"/>
    <n v="103"/>
  </r>
  <r>
    <x v="6"/>
    <x v="3"/>
    <x v="46"/>
    <n v="90"/>
    <x v="4"/>
    <x v="8"/>
    <x v="17"/>
    <x v="0"/>
    <n v="278"/>
  </r>
  <r>
    <x v="7"/>
    <x v="4"/>
    <x v="9"/>
    <n v="0"/>
    <x v="4"/>
    <x v="5"/>
    <x v="27"/>
    <x v="0"/>
    <n v="3"/>
  </r>
  <r>
    <x v="7"/>
    <x v="4"/>
    <x v="30"/>
    <n v="0"/>
    <x v="4"/>
    <x v="5"/>
    <x v="23"/>
    <x v="0"/>
    <n v="2"/>
  </r>
  <r>
    <x v="7"/>
    <x v="4"/>
    <x v="11"/>
    <n v="0"/>
    <x v="4"/>
    <x v="5"/>
    <x v="27"/>
    <x v="0"/>
    <n v="3"/>
  </r>
  <r>
    <x v="7"/>
    <x v="4"/>
    <x v="27"/>
    <n v="0"/>
    <x v="4"/>
    <x v="5"/>
    <x v="31"/>
    <x v="0"/>
    <n v="8"/>
  </r>
  <r>
    <x v="7"/>
    <x v="4"/>
    <x v="29"/>
    <n v="0"/>
    <x v="4"/>
    <x v="5"/>
    <x v="27"/>
    <x v="0"/>
    <n v="3"/>
  </r>
  <r>
    <x v="7"/>
    <x v="4"/>
    <x v="1"/>
    <n v="0"/>
    <x v="4"/>
    <x v="5"/>
    <x v="24"/>
    <x v="0"/>
    <n v="1"/>
  </r>
  <r>
    <x v="7"/>
    <x v="4"/>
    <x v="5"/>
    <n v="0"/>
    <x v="4"/>
    <x v="5"/>
    <x v="23"/>
    <x v="0"/>
    <n v="2"/>
  </r>
  <r>
    <x v="7"/>
    <x v="4"/>
    <x v="6"/>
    <n v="0"/>
    <x v="4"/>
    <x v="5"/>
    <x v="24"/>
    <x v="0"/>
    <n v="1"/>
  </r>
  <r>
    <x v="7"/>
    <x v="4"/>
    <x v="49"/>
    <n v="0"/>
    <x v="4"/>
    <x v="5"/>
    <x v="24"/>
    <x v="0"/>
    <n v="1"/>
  </r>
  <r>
    <x v="7"/>
    <x v="4"/>
    <x v="13"/>
    <n v="0"/>
    <x v="4"/>
    <x v="5"/>
    <x v="25"/>
    <x v="0"/>
    <n v="6"/>
  </r>
  <r>
    <x v="7"/>
    <x v="4"/>
    <x v="16"/>
    <n v="0"/>
    <x v="4"/>
    <x v="5"/>
    <x v="23"/>
    <x v="0"/>
    <n v="2"/>
  </r>
  <r>
    <x v="7"/>
    <x v="4"/>
    <x v="15"/>
    <n v="0"/>
    <x v="4"/>
    <x v="5"/>
    <x v="24"/>
    <x v="0"/>
    <n v="1"/>
  </r>
  <r>
    <x v="7"/>
    <x v="4"/>
    <x v="17"/>
    <n v="0"/>
    <x v="4"/>
    <x v="5"/>
    <x v="24"/>
    <x v="0"/>
    <n v="1"/>
  </r>
  <r>
    <x v="7"/>
    <x v="4"/>
    <x v="51"/>
    <n v="0"/>
    <x v="4"/>
    <x v="5"/>
    <x v="24"/>
    <x v="0"/>
    <n v="1"/>
  </r>
  <r>
    <x v="7"/>
    <x v="4"/>
    <x v="23"/>
    <n v="0"/>
    <x v="4"/>
    <x v="5"/>
    <x v="22"/>
    <x v="0"/>
    <n v="7"/>
  </r>
  <r>
    <x v="7"/>
    <x v="4"/>
    <x v="18"/>
    <n v="0"/>
    <x v="4"/>
    <x v="5"/>
    <x v="24"/>
    <x v="0"/>
    <n v="1"/>
  </r>
  <r>
    <x v="7"/>
    <x v="4"/>
    <x v="20"/>
    <n v="0"/>
    <x v="4"/>
    <x v="5"/>
    <x v="24"/>
    <x v="0"/>
    <n v="1"/>
  </r>
  <r>
    <x v="7"/>
    <x v="4"/>
    <x v="0"/>
    <n v="0"/>
    <x v="4"/>
    <x v="5"/>
    <x v="23"/>
    <x v="0"/>
    <n v="2"/>
  </r>
  <r>
    <x v="7"/>
    <x v="4"/>
    <x v="19"/>
    <n v="0"/>
    <x v="4"/>
    <x v="5"/>
    <x v="30"/>
    <x v="0"/>
    <n v="5"/>
  </r>
  <r>
    <x v="7"/>
    <x v="4"/>
    <x v="48"/>
    <n v="0"/>
    <x v="4"/>
    <x v="5"/>
    <x v="32"/>
    <x v="0"/>
    <n v="781"/>
  </r>
  <r>
    <x v="7"/>
    <x v="4"/>
    <x v="8"/>
    <n v="0"/>
    <x v="4"/>
    <x v="5"/>
    <x v="24"/>
    <x v="0"/>
    <n v="1"/>
  </r>
  <r>
    <x v="7"/>
    <x v="4"/>
    <x v="24"/>
    <n v="0"/>
    <x v="4"/>
    <x v="5"/>
    <x v="24"/>
    <x v="0"/>
    <n v="1"/>
  </r>
  <r>
    <x v="7"/>
    <x v="4"/>
    <x v="42"/>
    <n v="0"/>
    <x v="4"/>
    <x v="5"/>
    <x v="23"/>
    <x v="0"/>
    <n v="2"/>
  </r>
  <r>
    <x v="7"/>
    <x v="0"/>
    <x v="27"/>
    <n v="149"/>
    <x v="1"/>
    <x v="5"/>
    <x v="17"/>
    <x v="0"/>
    <n v="159"/>
  </r>
  <r>
    <x v="7"/>
    <x v="0"/>
    <x v="21"/>
    <n v="27"/>
    <x v="28"/>
    <x v="5"/>
    <x v="17"/>
    <x v="0"/>
    <n v="131"/>
  </r>
  <r>
    <x v="7"/>
    <x v="0"/>
    <x v="47"/>
    <n v="51"/>
    <x v="121"/>
    <x v="5"/>
    <x v="17"/>
    <x v="27"/>
    <n v="243"/>
  </r>
  <r>
    <x v="7"/>
    <x v="0"/>
    <x v="29"/>
    <n v="88"/>
    <x v="72"/>
    <x v="5"/>
    <x v="17"/>
    <x v="0"/>
    <n v="144"/>
  </r>
  <r>
    <x v="7"/>
    <x v="0"/>
    <x v="0"/>
    <n v="254"/>
    <x v="51"/>
    <x v="5"/>
    <x v="17"/>
    <x v="0"/>
    <n v="363"/>
  </r>
  <r>
    <x v="7"/>
    <x v="0"/>
    <x v="11"/>
    <n v="100"/>
    <x v="40"/>
    <x v="5"/>
    <x v="17"/>
    <x v="0"/>
    <n v="113"/>
  </r>
  <r>
    <x v="7"/>
    <x v="0"/>
    <x v="16"/>
    <n v="57"/>
    <x v="14"/>
    <x v="5"/>
    <x v="17"/>
    <x v="0"/>
    <n v="115"/>
  </r>
  <r>
    <x v="7"/>
    <x v="0"/>
    <x v="15"/>
    <n v="48"/>
    <x v="4"/>
    <x v="5"/>
    <x v="17"/>
    <x v="0"/>
    <n v="48"/>
  </r>
  <r>
    <x v="7"/>
    <x v="0"/>
    <x v="12"/>
    <n v="51"/>
    <x v="122"/>
    <x v="5"/>
    <x v="17"/>
    <x v="0"/>
    <n v="200"/>
  </r>
  <r>
    <x v="7"/>
    <x v="0"/>
    <x v="24"/>
    <n v="168"/>
    <x v="21"/>
    <x v="5"/>
    <x v="17"/>
    <x v="6"/>
    <n v="254"/>
  </r>
  <r>
    <x v="7"/>
    <x v="0"/>
    <x v="26"/>
    <n v="73"/>
    <x v="87"/>
    <x v="5"/>
    <x v="17"/>
    <x v="0"/>
    <n v="95"/>
  </r>
  <r>
    <x v="7"/>
    <x v="0"/>
    <x v="2"/>
    <n v="300"/>
    <x v="24"/>
    <x v="5"/>
    <x v="17"/>
    <x v="0"/>
    <n v="308"/>
  </r>
  <r>
    <x v="7"/>
    <x v="0"/>
    <x v="22"/>
    <n v="24"/>
    <x v="123"/>
    <x v="5"/>
    <x v="17"/>
    <x v="0"/>
    <n v="51"/>
  </r>
  <r>
    <x v="7"/>
    <x v="0"/>
    <x v="4"/>
    <n v="76"/>
    <x v="4"/>
    <x v="5"/>
    <x v="17"/>
    <x v="0"/>
    <n v="76"/>
  </r>
  <r>
    <x v="7"/>
    <x v="0"/>
    <x v="9"/>
    <n v="74"/>
    <x v="124"/>
    <x v="5"/>
    <x v="17"/>
    <x v="31"/>
    <n v="622"/>
  </r>
  <r>
    <x v="7"/>
    <x v="0"/>
    <x v="31"/>
    <n v="30"/>
    <x v="125"/>
    <x v="5"/>
    <x v="17"/>
    <x v="10"/>
    <n v="147"/>
  </r>
  <r>
    <x v="7"/>
    <x v="0"/>
    <x v="19"/>
    <n v="75"/>
    <x v="93"/>
    <x v="5"/>
    <x v="17"/>
    <x v="20"/>
    <n v="197"/>
  </r>
  <r>
    <x v="7"/>
    <x v="0"/>
    <x v="28"/>
    <n v="26"/>
    <x v="73"/>
    <x v="5"/>
    <x v="17"/>
    <x v="0"/>
    <n v="90"/>
  </r>
  <r>
    <x v="7"/>
    <x v="0"/>
    <x v="23"/>
    <n v="499"/>
    <x v="4"/>
    <x v="5"/>
    <x v="17"/>
    <x v="0"/>
    <n v="499"/>
  </r>
  <r>
    <x v="7"/>
    <x v="0"/>
    <x v="5"/>
    <n v="160"/>
    <x v="126"/>
    <x v="5"/>
    <x v="17"/>
    <x v="0"/>
    <n v="198"/>
  </r>
  <r>
    <x v="7"/>
    <x v="0"/>
    <x v="8"/>
    <n v="47"/>
    <x v="127"/>
    <x v="5"/>
    <x v="17"/>
    <x v="0"/>
    <n v="125"/>
  </r>
  <r>
    <x v="7"/>
    <x v="0"/>
    <x v="18"/>
    <n v="0"/>
    <x v="88"/>
    <x v="5"/>
    <x v="17"/>
    <x v="0"/>
    <n v="131"/>
  </r>
  <r>
    <x v="7"/>
    <x v="0"/>
    <x v="17"/>
    <n v="29"/>
    <x v="128"/>
    <x v="5"/>
    <x v="17"/>
    <x v="0"/>
    <n v="315"/>
  </r>
  <r>
    <x v="7"/>
    <x v="0"/>
    <x v="7"/>
    <n v="52"/>
    <x v="129"/>
    <x v="5"/>
    <x v="17"/>
    <x v="18"/>
    <n v="421"/>
  </r>
  <r>
    <x v="7"/>
    <x v="0"/>
    <x v="14"/>
    <n v="182"/>
    <x v="55"/>
    <x v="5"/>
    <x v="17"/>
    <x v="0"/>
    <n v="193"/>
  </r>
  <r>
    <x v="7"/>
    <x v="0"/>
    <x v="30"/>
    <n v="70"/>
    <x v="101"/>
    <x v="5"/>
    <x v="17"/>
    <x v="0"/>
    <n v="114"/>
  </r>
  <r>
    <x v="7"/>
    <x v="0"/>
    <x v="1"/>
    <n v="27"/>
    <x v="55"/>
    <x v="5"/>
    <x v="17"/>
    <x v="0"/>
    <n v="38"/>
  </r>
  <r>
    <x v="7"/>
    <x v="0"/>
    <x v="6"/>
    <n v="0"/>
    <x v="50"/>
    <x v="5"/>
    <x v="17"/>
    <x v="0"/>
    <n v="112"/>
  </r>
  <r>
    <x v="7"/>
    <x v="0"/>
    <x v="10"/>
    <n v="63"/>
    <x v="130"/>
    <x v="5"/>
    <x v="17"/>
    <x v="5"/>
    <n v="214"/>
  </r>
  <r>
    <x v="7"/>
    <x v="0"/>
    <x v="20"/>
    <n v="0"/>
    <x v="16"/>
    <x v="5"/>
    <x v="17"/>
    <x v="0"/>
    <n v="132"/>
  </r>
  <r>
    <x v="7"/>
    <x v="0"/>
    <x v="13"/>
    <n v="51"/>
    <x v="25"/>
    <x v="5"/>
    <x v="17"/>
    <x v="0"/>
    <n v="103"/>
  </r>
  <r>
    <x v="7"/>
    <x v="0"/>
    <x v="25"/>
    <n v="52"/>
    <x v="39"/>
    <x v="5"/>
    <x v="17"/>
    <x v="0"/>
    <n v="127"/>
  </r>
  <r>
    <x v="7"/>
    <x v="1"/>
    <x v="37"/>
    <n v="17"/>
    <x v="4"/>
    <x v="5"/>
    <x v="17"/>
    <x v="0"/>
    <n v="17"/>
  </r>
  <r>
    <x v="7"/>
    <x v="1"/>
    <x v="5"/>
    <n v="15"/>
    <x v="4"/>
    <x v="5"/>
    <x v="17"/>
    <x v="0"/>
    <n v="15"/>
  </r>
  <r>
    <x v="7"/>
    <x v="1"/>
    <x v="35"/>
    <n v="26"/>
    <x v="4"/>
    <x v="5"/>
    <x v="17"/>
    <x v="0"/>
    <n v="26"/>
  </r>
  <r>
    <x v="7"/>
    <x v="1"/>
    <x v="38"/>
    <n v="19"/>
    <x v="4"/>
    <x v="5"/>
    <x v="17"/>
    <x v="0"/>
    <n v="19"/>
  </r>
  <r>
    <x v="7"/>
    <x v="1"/>
    <x v="23"/>
    <n v="26"/>
    <x v="4"/>
    <x v="5"/>
    <x v="17"/>
    <x v="0"/>
    <n v="26"/>
  </r>
  <r>
    <x v="7"/>
    <x v="1"/>
    <x v="41"/>
    <n v="26"/>
    <x v="4"/>
    <x v="5"/>
    <x v="17"/>
    <x v="0"/>
    <n v="26"/>
  </r>
  <r>
    <x v="7"/>
    <x v="1"/>
    <x v="32"/>
    <n v="28"/>
    <x v="4"/>
    <x v="5"/>
    <x v="17"/>
    <x v="0"/>
    <n v="28"/>
  </r>
  <r>
    <x v="7"/>
    <x v="1"/>
    <x v="33"/>
    <n v="27"/>
    <x v="4"/>
    <x v="5"/>
    <x v="17"/>
    <x v="0"/>
    <n v="27"/>
  </r>
  <r>
    <x v="7"/>
    <x v="1"/>
    <x v="24"/>
    <n v="16"/>
    <x v="4"/>
    <x v="5"/>
    <x v="17"/>
    <x v="0"/>
    <n v="16"/>
  </r>
  <r>
    <x v="7"/>
    <x v="1"/>
    <x v="3"/>
    <n v="21"/>
    <x v="4"/>
    <x v="5"/>
    <x v="17"/>
    <x v="0"/>
    <n v="21"/>
  </r>
  <r>
    <x v="7"/>
    <x v="1"/>
    <x v="34"/>
    <n v="28"/>
    <x v="4"/>
    <x v="5"/>
    <x v="17"/>
    <x v="0"/>
    <n v="28"/>
  </r>
  <r>
    <x v="7"/>
    <x v="1"/>
    <x v="42"/>
    <n v="29"/>
    <x v="4"/>
    <x v="5"/>
    <x v="17"/>
    <x v="0"/>
    <n v="29"/>
  </r>
  <r>
    <x v="7"/>
    <x v="1"/>
    <x v="39"/>
    <n v="35"/>
    <x v="4"/>
    <x v="5"/>
    <x v="17"/>
    <x v="0"/>
    <n v="35"/>
  </r>
  <r>
    <x v="7"/>
    <x v="1"/>
    <x v="27"/>
    <n v="12"/>
    <x v="4"/>
    <x v="5"/>
    <x v="17"/>
    <x v="0"/>
    <n v="12"/>
  </r>
  <r>
    <x v="7"/>
    <x v="1"/>
    <x v="50"/>
    <n v="37"/>
    <x v="4"/>
    <x v="5"/>
    <x v="17"/>
    <x v="0"/>
    <n v="37"/>
  </r>
  <r>
    <x v="7"/>
    <x v="1"/>
    <x v="36"/>
    <n v="15"/>
    <x v="4"/>
    <x v="5"/>
    <x v="17"/>
    <x v="0"/>
    <n v="15"/>
  </r>
  <r>
    <x v="7"/>
    <x v="2"/>
    <x v="44"/>
    <n v="55"/>
    <x v="4"/>
    <x v="5"/>
    <x v="17"/>
    <x v="0"/>
    <n v="55"/>
  </r>
  <r>
    <x v="7"/>
    <x v="2"/>
    <x v="45"/>
    <n v="91"/>
    <x v="4"/>
    <x v="5"/>
    <x v="17"/>
    <x v="0"/>
    <n v="91"/>
  </r>
  <r>
    <x v="7"/>
    <x v="2"/>
    <x v="43"/>
    <n v="66"/>
    <x v="4"/>
    <x v="5"/>
    <x v="17"/>
    <x v="0"/>
    <n v="66"/>
  </r>
  <r>
    <x v="7"/>
    <x v="3"/>
    <x v="46"/>
    <n v="92"/>
    <x v="4"/>
    <x v="9"/>
    <x v="17"/>
    <x v="0"/>
    <n v="2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PivotTable4" cacheId="2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13:B15" firstHeaderRow="1" firstDataRow="1" firstDataCol="1"/>
  <pivotFields count="1">
    <pivotField axis="axisRow" subtotalTop="0" showAll="0">
      <items count="4">
        <item h="1" x="0"/>
        <item h="1" x="1"/>
        <item x="2"/>
        <item t="default"/>
      </items>
    </pivotField>
  </pivotFields>
  <rowFields count="1">
    <field x="0"/>
  </rowFields>
  <rowItems count="2">
    <i>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1" cacheId="3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64" firstHeaderRow="0" firstDataRow="1" firstDataCol="1" rowPageCount="1" colPageCount="1"/>
  <pivotFields count="11">
    <pivotField axis="axisPage" subtotalTop="0" showAll="0">
      <items count="9">
        <item x="0"/>
        <item x="1"/>
        <item x="2"/>
        <item x="3"/>
        <item x="4"/>
        <item x="5"/>
        <item x="6"/>
        <item x="7"/>
        <item t="default"/>
      </items>
    </pivotField>
    <pivotField axis="axisRow" subtotalTop="0" showAll="0">
      <items count="5">
        <item x="0"/>
        <item x="1"/>
        <item x="2"/>
        <item x="3"/>
        <item t="default"/>
      </items>
    </pivotField>
    <pivotField axis="axisRow" subtotalTop="0" showAll="0">
      <items count="50">
        <item x="4"/>
        <item x="37"/>
        <item x="28"/>
        <item x="0"/>
        <item x="43"/>
        <item x="14"/>
        <item x="38"/>
        <item x="1"/>
        <item x="47"/>
        <item x="17"/>
        <item x="35"/>
        <item x="5"/>
        <item x="11"/>
        <item x="44"/>
        <item x="6"/>
        <item x="18"/>
        <item x="36"/>
        <item x="7"/>
        <item x="30"/>
        <item x="8"/>
        <item x="34"/>
        <item x="19"/>
        <item x="23"/>
        <item x="24"/>
        <item x="25"/>
        <item x="31"/>
        <item x="15"/>
        <item x="12"/>
        <item x="39"/>
        <item x="2"/>
        <item x="26"/>
        <item x="29"/>
        <item x="20"/>
        <item x="21"/>
        <item x="22"/>
        <item x="13"/>
        <item x="45"/>
        <item x="16"/>
        <item x="32"/>
        <item x="40"/>
        <item x="3"/>
        <item x="9"/>
        <item x="27"/>
        <item x="46"/>
        <item x="48"/>
        <item x="42"/>
        <item x="41"/>
        <item x="33"/>
        <item x="10"/>
        <item t="default"/>
      </items>
    </pivotField>
    <pivotField subtotalTop="0" showAll="0"/>
    <pivotField dataField="1" subtotalTop="0" showAll="0"/>
    <pivotField dataField="1" subtotalTop="0" showAll="0"/>
    <pivotField dataField="1" showAll="0"/>
    <pivotField dataField="1" subtotalTop="0" showAll="0"/>
    <pivotField dataField="1" subtotalTop="0" showAll="0"/>
    <pivotField dataField="1" subtotalTop="0" showAll="0"/>
    <pivotField dataField="1" subtotalTop="0" showAll="0"/>
  </pivotFields>
  <rowFields count="2">
    <field x="1"/>
    <field x="2"/>
  </rowFields>
  <rowItems count="61">
    <i>
      <x/>
    </i>
    <i r="1">
      <x/>
    </i>
    <i r="1">
      <x v="1"/>
    </i>
    <i r="1">
      <x v="3"/>
    </i>
    <i r="1">
      <x v="4"/>
    </i>
    <i r="1">
      <x v="6"/>
    </i>
    <i r="1">
      <x v="7"/>
    </i>
    <i r="1">
      <x v="8"/>
    </i>
    <i r="1">
      <x v="10"/>
    </i>
    <i r="1">
      <x v="13"/>
    </i>
    <i r="1">
      <x v="15"/>
    </i>
    <i r="1">
      <x v="16"/>
    </i>
    <i r="1">
      <x v="18"/>
    </i>
    <i r="1">
      <x v="21"/>
    </i>
    <i r="1">
      <x v="23"/>
    </i>
    <i r="1">
      <x v="24"/>
    </i>
    <i r="1">
      <x v="25"/>
    </i>
    <i r="1">
      <x v="27"/>
    </i>
    <i r="1">
      <x v="28"/>
    </i>
    <i r="1">
      <x v="29"/>
    </i>
    <i r="1">
      <x v="30"/>
    </i>
    <i r="1">
      <x v="32"/>
    </i>
    <i r="1">
      <x v="33"/>
    </i>
    <i r="1">
      <x v="34"/>
    </i>
    <i r="1">
      <x v="35"/>
    </i>
    <i r="1">
      <x v="36"/>
    </i>
    <i r="1">
      <x v="38"/>
    </i>
    <i r="1">
      <x v="39"/>
    </i>
    <i r="1">
      <x v="40"/>
    </i>
    <i r="1">
      <x v="41"/>
    </i>
    <i r="1">
      <x v="42"/>
    </i>
    <i r="1">
      <x v="46"/>
    </i>
    <i r="1">
      <x v="47"/>
    </i>
    <i t="default">
      <x/>
    </i>
    <i>
      <x v="1"/>
    </i>
    <i r="1">
      <x/>
    </i>
    <i r="1">
      <x v="2"/>
    </i>
    <i r="1">
      <x v="5"/>
    </i>
    <i r="1">
      <x v="9"/>
    </i>
    <i r="1">
      <x v="11"/>
    </i>
    <i r="1">
      <x v="14"/>
    </i>
    <i r="1">
      <x v="17"/>
    </i>
    <i r="1">
      <x v="19"/>
    </i>
    <i r="1">
      <x v="20"/>
    </i>
    <i r="1">
      <x v="22"/>
    </i>
    <i r="1">
      <x v="24"/>
    </i>
    <i r="1">
      <x v="26"/>
    </i>
    <i r="1">
      <x v="33"/>
    </i>
    <i r="1">
      <x v="41"/>
    </i>
    <i r="1">
      <x v="44"/>
    </i>
    <i r="1">
      <x v="48"/>
    </i>
    <i t="default">
      <x v="1"/>
    </i>
    <i>
      <x v="2"/>
    </i>
    <i r="1">
      <x v="12"/>
    </i>
    <i r="1">
      <x v="31"/>
    </i>
    <i r="1">
      <x v="45"/>
    </i>
    <i t="default">
      <x v="2"/>
    </i>
    <i>
      <x v="3"/>
    </i>
    <i r="1">
      <x v="37"/>
    </i>
    <i t="default">
      <x v="3"/>
    </i>
    <i t="grand">
      <x/>
    </i>
  </rowItems>
  <colFields count="1">
    <field x="-2"/>
  </colFields>
  <colItems count="7">
    <i>
      <x/>
    </i>
    <i i="1">
      <x v="1"/>
    </i>
    <i i="2">
      <x v="2"/>
    </i>
    <i i="3">
      <x v="3"/>
    </i>
    <i i="4">
      <x v="4"/>
    </i>
    <i i="5">
      <x v="5"/>
    </i>
    <i i="6">
      <x v="6"/>
    </i>
  </colItems>
  <pageFields count="1">
    <pageField fld="0" item="7" hier="-1"/>
  </pageFields>
  <dataFields count="7">
    <dataField name="Sum of WT" fld="10" baseField="0" baseItem="0"/>
    <dataField name="Sum of RDS" fld="7" baseField="5" baseItem="0"/>
    <dataField name="Sum of RDS Fulltime" fld="6" baseField="2" baseItem="24"/>
    <dataField name="Sum of Control" fld="5" baseField="1" baseItem="0"/>
    <dataField name="Sum of Support" fld="8" baseField="5" baseItem="0"/>
    <dataField name="Sum of Vol" fld="9" baseField="5"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6"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9" firstHeaderRow="0" firstDataRow="1" firstDataCol="1" rowPageCount="1" colPageCount="1"/>
  <pivotFields count="10">
    <pivotField axis="axisPage" subtotalTop="0" showAll="0">
      <items count="9">
        <item x="0"/>
        <item x="1"/>
        <item x="2"/>
        <item x="3"/>
        <item x="4"/>
        <item x="5"/>
        <item x="6"/>
        <item x="7"/>
        <item t="default"/>
      </items>
    </pivotField>
    <pivotField axis="axisRow" subtotalTop="0" showAll="0">
      <items count="6">
        <item x="0"/>
        <item x="3"/>
        <item x="4"/>
        <item x="1"/>
        <item x="2"/>
        <item t="default"/>
      </items>
    </pivotField>
    <pivotField dataField="1" subtotalTop="0" showAll="0">
      <items count="7">
        <item x="3"/>
        <item x="5"/>
        <item x="4"/>
        <item x="2"/>
        <item x="1"/>
        <item x="0"/>
        <item t="default"/>
      </items>
    </pivotField>
    <pivotField dataField="1" subtotalTop="0" showAll="0">
      <items count="8">
        <item x="5"/>
        <item x="1"/>
        <item x="6"/>
        <item x="2"/>
        <item x="4"/>
        <item x="3"/>
        <item x="0"/>
        <item t="default"/>
      </items>
    </pivotField>
    <pivotField dataField="1" subtotalTop="0" showAll="0">
      <items count="12">
        <item x="8"/>
        <item x="0"/>
        <item x="4"/>
        <item x="6"/>
        <item x="7"/>
        <item x="9"/>
        <item x="10"/>
        <item x="5"/>
        <item x="3"/>
        <item x="2"/>
        <item x="1"/>
        <item t="default"/>
      </items>
    </pivotField>
    <pivotField dataField="1" subtotalTop="0" showAll="0">
      <items count="15">
        <item x="5"/>
        <item x="7"/>
        <item x="10"/>
        <item x="12"/>
        <item x="0"/>
        <item x="3"/>
        <item x="6"/>
        <item x="4"/>
        <item x="2"/>
        <item x="11"/>
        <item x="8"/>
        <item x="13"/>
        <item x="9"/>
        <item x="1"/>
        <item t="default"/>
      </items>
    </pivotField>
    <pivotField dataField="1" subtotalTop="0" showAll="0">
      <items count="28">
        <item x="1"/>
        <item x="9"/>
        <item x="18"/>
        <item x="5"/>
        <item x="12"/>
        <item x="19"/>
        <item x="15"/>
        <item x="22"/>
        <item x="4"/>
        <item x="8"/>
        <item x="0"/>
        <item x="24"/>
        <item x="14"/>
        <item x="17"/>
        <item x="11"/>
        <item x="25"/>
        <item x="3"/>
        <item x="7"/>
        <item x="10"/>
        <item x="13"/>
        <item x="16"/>
        <item x="26"/>
        <item x="23"/>
        <item x="21"/>
        <item x="6"/>
        <item x="2"/>
        <item x="20"/>
        <item t="default"/>
      </items>
    </pivotField>
    <pivotField dataField="1" subtotalTop="0" showAll="0">
      <items count="28">
        <item x="23"/>
        <item x="14"/>
        <item x="10"/>
        <item x="17"/>
        <item x="24"/>
        <item x="21"/>
        <item x="11"/>
        <item x="4"/>
        <item x="7"/>
        <item x="0"/>
        <item x="1"/>
        <item x="22"/>
        <item x="26"/>
        <item x="16"/>
        <item x="18"/>
        <item x="3"/>
        <item x="9"/>
        <item x="6"/>
        <item x="13"/>
        <item x="8"/>
        <item x="5"/>
        <item x="12"/>
        <item x="2"/>
        <item x="20"/>
        <item x="25"/>
        <item x="15"/>
        <item x="19"/>
        <item t="default"/>
      </items>
    </pivotField>
    <pivotField dataField="1" subtotalTop="0" showAll="0">
      <items count="32">
        <item x="12"/>
        <item x="8"/>
        <item x="0"/>
        <item x="25"/>
        <item x="16"/>
        <item x="4"/>
        <item x="20"/>
        <item x="28"/>
        <item x="26"/>
        <item x="13"/>
        <item x="19"/>
        <item x="9"/>
        <item x="1"/>
        <item x="5"/>
        <item x="17"/>
        <item x="30"/>
        <item x="15"/>
        <item x="11"/>
        <item x="27"/>
        <item x="23"/>
        <item x="18"/>
        <item x="29"/>
        <item x="7"/>
        <item x="3"/>
        <item x="21"/>
        <item x="24"/>
        <item x="14"/>
        <item x="10"/>
        <item x="6"/>
        <item x="2"/>
        <item x="22"/>
        <item t="default"/>
      </items>
    </pivotField>
    <pivotField subtotalTop="0" showAll="0"/>
  </pivotFields>
  <rowFields count="1">
    <field x="1"/>
  </rowFields>
  <rowItems count="6">
    <i>
      <x/>
    </i>
    <i>
      <x v="1"/>
    </i>
    <i>
      <x v="2"/>
    </i>
    <i>
      <x v="3"/>
    </i>
    <i>
      <x v="4"/>
    </i>
    <i t="grand">
      <x/>
    </i>
  </rowItems>
  <colFields count="1">
    <field x="-2"/>
  </colFields>
  <colItems count="7">
    <i>
      <x/>
    </i>
    <i i="1">
      <x v="1"/>
    </i>
    <i i="2">
      <x v="2"/>
    </i>
    <i i="3">
      <x v="3"/>
    </i>
    <i i="4">
      <x v="4"/>
    </i>
    <i i="5">
      <x v="5"/>
    </i>
    <i i="6">
      <x v="6"/>
    </i>
  </colItems>
  <pageFields count="1">
    <pageField fld="0" item="7" hier="-1"/>
  </pageFields>
  <dataFields count="7">
    <dataField name="Sum of Brigade Manager" fld="2" baseField="1" baseItem="0"/>
    <dataField name="Sum of Area Manager" fld="3" baseField="1" baseItem="0"/>
    <dataField name="Sum of Group Manager" fld="4" baseField="1" baseItem="0"/>
    <dataField name="Sum of Station Manager" fld="5" baseField="1" baseItem="0"/>
    <dataField name="Sum of Watch Manager" fld="6" baseField="1" baseItem="0"/>
    <dataField name="Sum of Crew Manag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7"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8" firstHeaderRow="0" firstDataRow="1" firstDataCol="1" rowPageCount="1" colPageCount="1"/>
  <pivotFields count="9">
    <pivotField axis="axisPage" subtotalTop="0" showAll="0">
      <items count="4">
        <item x="0"/>
        <item x="1"/>
        <item x="2"/>
        <item t="default"/>
      </items>
    </pivotField>
    <pivotField axis="axisRow" subtotalTop="0" showAll="0">
      <items count="5">
        <item x="0"/>
        <item x="1"/>
        <item x="2"/>
        <item x="3"/>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2" hier="-1"/>
  </pageFields>
  <dataFields count="7">
    <dataField name="Sum of Brigade Commander" fld="2" baseField="0" baseItem="0"/>
    <dataField name="Sum of Area Commander" fld="3" baseField="0" baseItem="0"/>
    <dataField name="Sum of Group Commander" fld="4" baseField="0" baseItem="0"/>
    <dataField name="Sum of Station Commander" fld="5" baseField="0" baseItem="0"/>
    <dataField name="Sum of Watch Commander" fld="6" baseField="0" baseItem="0"/>
    <dataField name="Sum of Crew Commander" fld="7" baseField="0" baseItem="0"/>
    <dataField name="Sum of Firefighter"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8"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8" firstHeaderRow="0" firstDataRow="1" firstDataCol="1" rowPageCount="1" colPageCount="1"/>
  <pivotFields count="10">
    <pivotField axis="axisPage" subtotalTop="0" showAll="0">
      <items count="9">
        <item x="0"/>
        <item x="1"/>
        <item x="2"/>
        <item x="3"/>
        <item x="4"/>
        <item x="5"/>
        <item x="6"/>
        <item x="7"/>
        <item t="default"/>
      </items>
    </pivotField>
    <pivotField axis="axisRow" subtotalTop="0" showAll="0">
      <items count="5">
        <item x="0"/>
        <item x="1"/>
        <item x="2"/>
        <item x="3"/>
        <item t="default"/>
      </items>
    </pivotField>
    <pivotField dataField="1" subtotalTop="0" showAll="0">
      <items count="7">
        <item x="1"/>
        <item x="4"/>
        <item x="5"/>
        <item x="2"/>
        <item x="3"/>
        <item x="0"/>
        <item t="default"/>
      </items>
    </pivotField>
    <pivotField dataField="1" subtotalTop="0" showAll="0">
      <items count="14">
        <item x="8"/>
        <item x="5"/>
        <item x="3"/>
        <item x="2"/>
        <item x="11"/>
        <item x="6"/>
        <item x="12"/>
        <item x="7"/>
        <item x="10"/>
        <item x="9"/>
        <item x="1"/>
        <item x="4"/>
        <item x="0"/>
        <item t="default"/>
      </items>
    </pivotField>
    <pivotField dataField="1" subtotalTop="0" showAll="0">
      <items count="21">
        <item x="8"/>
        <item x="11"/>
        <item x="6"/>
        <item x="14"/>
        <item x="16"/>
        <item x="13"/>
        <item x="17"/>
        <item x="9"/>
        <item x="3"/>
        <item x="19"/>
        <item x="2"/>
        <item x="5"/>
        <item x="12"/>
        <item x="10"/>
        <item x="15"/>
        <item x="18"/>
        <item x="7"/>
        <item x="4"/>
        <item x="1"/>
        <item x="0"/>
        <item t="default"/>
      </items>
    </pivotField>
    <pivotField dataField="1" subtotalTop="0" showAll="0">
      <items count="24">
        <item x="11"/>
        <item x="8"/>
        <item x="3"/>
        <item x="7"/>
        <item x="19"/>
        <item x="14"/>
        <item x="0"/>
        <item x="4"/>
        <item x="21"/>
        <item x="10"/>
        <item x="22"/>
        <item x="18"/>
        <item x="13"/>
        <item x="17"/>
        <item x="6"/>
        <item x="2"/>
        <item x="5"/>
        <item x="1"/>
        <item x="9"/>
        <item x="16"/>
        <item x="12"/>
        <item x="20"/>
        <item x="15"/>
        <item t="default"/>
      </items>
    </pivotField>
    <pivotField dataField="1" subtotalTop="0" showAll="0"/>
    <pivotField dataField="1" subtotalTop="0" showAll="0">
      <items count="27">
        <item x="5"/>
        <item x="1"/>
        <item x="3"/>
        <item x="9"/>
        <item x="13"/>
        <item x="10"/>
        <item x="22"/>
        <item x="6"/>
        <item x="25"/>
        <item x="17"/>
        <item x="2"/>
        <item x="19"/>
        <item x="8"/>
        <item x="18"/>
        <item x="24"/>
        <item x="21"/>
        <item x="12"/>
        <item x="16"/>
        <item x="7"/>
        <item x="11"/>
        <item x="15"/>
        <item x="4"/>
        <item x="23"/>
        <item x="20"/>
        <item x="0"/>
        <item x="14"/>
        <item t="default"/>
      </items>
    </pivotField>
    <pivotField dataField="1" subtotalTop="0" showAll="0">
      <items count="27">
        <item x="7"/>
        <item x="13"/>
        <item x="2"/>
        <item x="6"/>
        <item x="5"/>
        <item x="1"/>
        <item x="10"/>
        <item x="24"/>
        <item x="21"/>
        <item x="16"/>
        <item x="12"/>
        <item x="9"/>
        <item x="22"/>
        <item x="17"/>
        <item x="25"/>
        <item x="19"/>
        <item x="14"/>
        <item x="15"/>
        <item x="23"/>
        <item x="18"/>
        <item x="20"/>
        <item x="11"/>
        <item x="8"/>
        <item x="4"/>
        <item x="0"/>
        <item x="3"/>
        <item t="default"/>
      </items>
    </pivotField>
    <pivotField subtotalTop="0" showAll="0"/>
  </pivotFields>
  <rowFields count="1">
    <field x="1"/>
  </rowFields>
  <rowItems count="5">
    <i>
      <x/>
    </i>
    <i>
      <x v="1"/>
    </i>
    <i>
      <x v="2"/>
    </i>
    <i>
      <x v="3"/>
    </i>
    <i t="grand">
      <x/>
    </i>
  </rowItems>
  <colFields count="1">
    <field x="-2"/>
  </colFields>
  <colItems count="7">
    <i>
      <x/>
    </i>
    <i i="1">
      <x v="1"/>
    </i>
    <i i="2">
      <x v="2"/>
    </i>
    <i i="3">
      <x v="3"/>
    </i>
    <i i="4">
      <x v="4"/>
    </i>
    <i i="5">
      <x v="5"/>
    </i>
    <i i="6">
      <x v="6"/>
    </i>
  </colItems>
  <pageFields count="1">
    <pageField fld="0" item="7" hier="-1"/>
  </pageFields>
  <dataFields count="7">
    <dataField name="Sum of Brigade Manager" fld="2" baseField="1" baseItem="0"/>
    <dataField name="Sum of Area Manager" fld="3" baseField="1" baseItem="0"/>
    <dataField name="Sum of Group Manager" fld="4" baseField="1" baseItem="0"/>
    <dataField name="Sum of Station Manager" fld="5" baseField="1" baseItem="0"/>
    <dataField name="Sum of Watch Manager" fld="6" baseField="0" baseItem="0"/>
    <dataField name="Sum of Crew Manager" fld="7" baseField="1" baseItem="0"/>
    <dataField name="Sum of Firefighter"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9"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65" firstHeaderRow="0" firstDataRow="1" firstDataCol="1" rowPageCount="1" colPageCount="1"/>
  <pivotFields count="10">
    <pivotField axis="axisPage" subtotalTop="0" showAll="0">
      <items count="9">
        <item x="0"/>
        <item x="1"/>
        <item x="2"/>
        <item x="3"/>
        <item x="4"/>
        <item x="5"/>
        <item x="6"/>
        <item x="7"/>
        <item t="default"/>
      </items>
    </pivotField>
    <pivotField axis="axisRow" subtotalTop="0" showAll="0">
      <items count="5">
        <item x="0"/>
        <item x="1"/>
        <item x="2"/>
        <item x="3"/>
        <item t="default"/>
      </items>
    </pivotField>
    <pivotField axis="axisRow" subtotalTop="0" showAll="0">
      <items count="101">
        <item x="0"/>
        <item x="1"/>
        <item x="32"/>
        <item x="2"/>
        <item x="3"/>
        <item x="33"/>
        <item x="4"/>
        <item x="5"/>
        <item x="47"/>
        <item x="6"/>
        <item x="7"/>
        <item x="34"/>
        <item x="43"/>
        <item x="8"/>
        <item x="35"/>
        <item x="9"/>
        <item x="10"/>
        <item x="36"/>
        <item x="11"/>
        <item x="37"/>
        <item x="38"/>
        <item x="12"/>
        <item x="39"/>
        <item x="13"/>
        <item x="14"/>
        <item x="15"/>
        <item x="40"/>
        <item x="16"/>
        <item x="17"/>
        <item x="18"/>
        <item x="19"/>
        <item x="44"/>
        <item x="20"/>
        <item x="21"/>
        <item x="22"/>
        <item x="23"/>
        <item x="24"/>
        <item m="1" x="86"/>
        <item m="1" x="71"/>
        <item m="1" x="91"/>
        <item m="1" x="54"/>
        <item m="1" x="89"/>
        <item m="1" x="93"/>
        <item m="1" x="49"/>
        <item m="1" x="80"/>
        <item m="1" x="65"/>
        <item m="1" x="97"/>
        <item m="1" x="78"/>
        <item m="1" x="82"/>
        <item m="1" x="52"/>
        <item m="1" x="70"/>
        <item m="1" x="56"/>
        <item m="1" x="84"/>
        <item m="1" x="88"/>
        <item m="1" x="72"/>
        <item m="1" x="57"/>
        <item m="1" x="92"/>
        <item m="1" x="60"/>
        <item m="1" x="98"/>
        <item m="1" x="74"/>
        <item m="1" x="59"/>
        <item m="1" x="96"/>
        <item m="1" x="63"/>
        <item m="1" x="51"/>
        <item m="1" x="81"/>
        <item m="1" x="66"/>
        <item m="1" x="61"/>
        <item m="1" x="99"/>
        <item m="1" x="79"/>
        <item m="1" x="64"/>
        <item m="1" x="83"/>
        <item m="1" x="68"/>
        <item m="1" x="53"/>
        <item m="1" x="87"/>
        <item m="1" x="67"/>
        <item m="1" x="85"/>
        <item m="1" x="69"/>
        <item m="1" x="55"/>
        <item m="1" x="90"/>
        <item m="1" x="73"/>
        <item m="1" x="58"/>
        <item m="1" x="94"/>
        <item m="1" x="76"/>
        <item m="1" x="95"/>
        <item m="1" x="77"/>
        <item m="1" x="62"/>
        <item m="1" x="75"/>
        <item x="46"/>
        <item x="25"/>
        <item x="26"/>
        <item x="27"/>
        <item x="28"/>
        <item x="29"/>
        <item x="41"/>
        <item x="45"/>
        <item x="30"/>
        <item x="31"/>
        <item x="42"/>
        <item m="1" x="50"/>
        <item x="48"/>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2"/>
  </rowFields>
  <rowItems count="62">
    <i>
      <x/>
    </i>
    <i r="1">
      <x/>
    </i>
    <i r="1">
      <x v="1"/>
    </i>
    <i r="1">
      <x v="3"/>
    </i>
    <i r="1">
      <x v="4"/>
    </i>
    <i r="1">
      <x v="6"/>
    </i>
    <i r="1">
      <x v="7"/>
    </i>
    <i r="1">
      <x v="8"/>
    </i>
    <i r="1">
      <x v="10"/>
    </i>
    <i r="1">
      <x v="13"/>
    </i>
    <i r="1">
      <x v="15"/>
    </i>
    <i r="1">
      <x v="16"/>
    </i>
    <i r="1">
      <x v="18"/>
    </i>
    <i r="1">
      <x v="21"/>
    </i>
    <i r="1">
      <x v="23"/>
    </i>
    <i r="1">
      <x v="24"/>
    </i>
    <i r="1">
      <x v="25"/>
    </i>
    <i r="1">
      <x v="27"/>
    </i>
    <i r="1">
      <x v="28"/>
    </i>
    <i r="1">
      <x v="29"/>
    </i>
    <i r="1">
      <x v="30"/>
    </i>
    <i r="1">
      <x v="32"/>
    </i>
    <i r="1">
      <x v="33"/>
    </i>
    <i r="1">
      <x v="34"/>
    </i>
    <i r="1">
      <x v="35"/>
    </i>
    <i r="1">
      <x v="36"/>
    </i>
    <i r="1">
      <x v="88"/>
    </i>
    <i r="1">
      <x v="89"/>
    </i>
    <i r="1">
      <x v="90"/>
    </i>
    <i r="1">
      <x v="91"/>
    </i>
    <i r="1">
      <x v="92"/>
    </i>
    <i r="1">
      <x v="95"/>
    </i>
    <i r="1">
      <x v="96"/>
    </i>
    <i t="default">
      <x/>
    </i>
    <i>
      <x v="1"/>
    </i>
    <i r="1">
      <x/>
    </i>
    <i r="1">
      <x v="2"/>
    </i>
    <i r="1">
      <x v="5"/>
    </i>
    <i r="1">
      <x v="9"/>
    </i>
    <i r="1">
      <x v="11"/>
    </i>
    <i r="1">
      <x v="14"/>
    </i>
    <i r="1">
      <x v="17"/>
    </i>
    <i r="1">
      <x v="19"/>
    </i>
    <i r="1">
      <x v="20"/>
    </i>
    <i r="1">
      <x v="22"/>
    </i>
    <i r="1">
      <x v="23"/>
    </i>
    <i r="1">
      <x v="24"/>
    </i>
    <i r="1">
      <x v="26"/>
    </i>
    <i r="1">
      <x v="33"/>
    </i>
    <i r="1">
      <x v="91"/>
    </i>
    <i r="1">
      <x v="97"/>
    </i>
    <i r="1">
      <x v="99"/>
    </i>
    <i t="default">
      <x v="1"/>
    </i>
    <i>
      <x v="2"/>
    </i>
    <i r="1">
      <x v="12"/>
    </i>
    <i r="1">
      <x v="31"/>
    </i>
    <i r="1">
      <x v="94"/>
    </i>
    <i t="default">
      <x v="2"/>
    </i>
    <i>
      <x v="3"/>
    </i>
    <i r="1">
      <x v="87"/>
    </i>
    <i t="default">
      <x v="3"/>
    </i>
    <i t="grand">
      <x/>
    </i>
  </rowItems>
  <colFields count="1">
    <field x="-2"/>
  </colFields>
  <colItems count="7">
    <i>
      <x/>
    </i>
    <i i="1">
      <x v="1"/>
    </i>
    <i i="2">
      <x v="2"/>
    </i>
    <i i="3">
      <x v="3"/>
    </i>
    <i i="4">
      <x v="4"/>
    </i>
    <i i="5">
      <x v="5"/>
    </i>
    <i i="6">
      <x v="6"/>
    </i>
  </colItems>
  <pageFields count="1">
    <pageField fld="0" item="7" hier="-1"/>
  </pageFields>
  <dataFields count="7">
    <dataField name="Sum of Brigade Manager" fld="3" baseField="1" baseItem="0"/>
    <dataField name="Sum of Area Manager" fld="4" baseField="1" baseItem="0"/>
    <dataField name="Sum of Group Manager" fld="5" baseField="1" baseItem="0"/>
    <dataField name="Sum of Station Manager" fld="6" baseField="1" baseItem="0"/>
    <dataField name="Sum of Watch Manager" fld="7" baseField="0" baseItem="0"/>
    <dataField name="Sum of Crew Manager" fld="8" baseField="0" baseItem="0"/>
    <dataField name="Sum of Firefighter" fld="9"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11"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36" firstHeaderRow="0" firstDataRow="1" firstDataCol="1" rowPageCount="1" colPageCount="1"/>
  <pivotFields count="7">
    <pivotField axis="axisPage" subtotalTop="0" showAll="0">
      <items count="9">
        <item x="0"/>
        <item x="1"/>
        <item x="2"/>
        <item x="3"/>
        <item x="4"/>
        <item x="5"/>
        <item x="6"/>
        <item x="7"/>
        <item t="default"/>
      </items>
    </pivotField>
    <pivotField subtotalTop="0" showAll="0"/>
    <pivotField axis="axisRow" subtotalTop="0" showAll="0">
      <items count="34">
        <item x="0"/>
        <item x="1"/>
        <item x="2"/>
        <item x="3"/>
        <item x="4"/>
        <item x="5"/>
        <item x="32"/>
        <item x="6"/>
        <item x="7"/>
        <item x="8"/>
        <item x="9"/>
        <item x="10"/>
        <item x="11"/>
        <item x="12"/>
        <item x="13"/>
        <item x="14"/>
        <item x="15"/>
        <item x="16"/>
        <item x="17"/>
        <item x="18"/>
        <item x="19"/>
        <item x="20"/>
        <item x="21"/>
        <item x="22"/>
        <item x="23"/>
        <item x="24"/>
        <item x="25"/>
        <item x="26"/>
        <item x="27"/>
        <item x="28"/>
        <item x="29"/>
        <item x="30"/>
        <item x="31"/>
        <item t="default"/>
      </items>
    </pivotField>
    <pivotField subtotalTop="0" showAll="0"/>
    <pivotField dataField="1" subtotalTop="0" showAll="0"/>
    <pivotField dataField="1" subtotalTop="0" showAll="0"/>
    <pivotField dataField="1" subtotalTop="0" showAll="0"/>
  </pivotFields>
  <rowFields count="1">
    <field x="2"/>
  </rowFields>
  <rowItems count="33">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3">
    <i>
      <x/>
    </i>
    <i i="1">
      <x v="1"/>
    </i>
    <i i="2">
      <x v="2"/>
    </i>
  </colItems>
  <pageFields count="1">
    <pageField fld="0" item="7" hier="-1"/>
  </pageFields>
  <dataFields count="3">
    <dataField name="Sum of Watch Manager" fld="4" baseField="0" baseItem="0"/>
    <dataField name="Sum of Crew Manager" fld="5" baseField="0" baseItem="0"/>
    <dataField name="Sum of Firefight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5" firstHeaderRow="0" firstDataRow="1" firstDataCol="1" rowPageCount="1" colPageCount="1"/>
  <pivotFields count="10">
    <pivotField axis="axisPage" subtotalTop="0" showAll="0">
      <items count="9">
        <item x="0"/>
        <item x="1"/>
        <item x="2"/>
        <item x="3"/>
        <item x="4"/>
        <item x="5"/>
        <item x="6"/>
        <item x="7"/>
        <item t="default"/>
      </items>
    </pivotField>
    <pivotField axis="axisRow" subtotalTop="0" showAll="0">
      <items count="2">
        <item x="0"/>
        <item t="default"/>
      </items>
    </pivotField>
    <pivotField subtotalTop="0" showAll="0">
      <items count="2">
        <item x="0"/>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i>
    <i t="grand">
      <x/>
    </i>
  </rowItems>
  <colFields count="1">
    <field x="-2"/>
  </colFields>
  <colItems count="6">
    <i>
      <x/>
    </i>
    <i i="1">
      <x v="1"/>
    </i>
    <i i="2">
      <x v="2"/>
    </i>
    <i i="3">
      <x v="3"/>
    </i>
    <i i="4">
      <x v="4"/>
    </i>
    <i i="5">
      <x v="5"/>
    </i>
  </colItems>
  <pageFields count="1">
    <pageField fld="0" item="7" hier="-1"/>
  </pageFields>
  <dataFields count="6">
    <dataField name="Sum of Area Manager" fld="4" baseField="0" baseItem="0"/>
    <dataField name="Sum of Group Manager" fld="5" baseField="0" baseItem="0"/>
    <dataField name="Sum of Station Manager" fld="6" baseField="0" baseItem="0"/>
    <dataField name="Sum of Watch Manager" fld="7" baseField="0" baseItem="0"/>
    <dataField name="Sum of Crew Manager" fld="8" baseField="0" baseItem="0"/>
    <dataField name="Sum of Control Operator"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le11" cacheId="2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6" firstHeaderRow="0" firstDataRow="1" firstDataCol="1" rowPageCount="1" colPageCount="1"/>
  <pivotFields count="12">
    <pivotField axis="axisPage" subtotalTop="0" showAll="0">
      <items count="9">
        <item x="0"/>
        <item x="1"/>
        <item x="2"/>
        <item x="3"/>
        <item x="4"/>
        <item x="5"/>
        <item x="6"/>
        <item x="7"/>
        <item t="default"/>
      </items>
    </pivotField>
    <pivotField axis="axisRow" subtotalTop="0" showAll="0">
      <items count="3">
        <item x="1"/>
        <item x="0"/>
        <item t="default"/>
      </items>
    </pivotField>
    <pivotField subtotalTop="0" showAll="0"/>
    <pivotField subtotalTop="0" showAll="0">
      <items count="5">
        <item x="0"/>
        <item x="1"/>
        <item x="2"/>
        <item x="3"/>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
    <i>
      <x/>
    </i>
    <i>
      <x v="1"/>
    </i>
    <i t="grand">
      <x/>
    </i>
  </rowItems>
  <colFields count="1">
    <field x="-2"/>
  </colFields>
  <colItems count="8">
    <i>
      <x/>
    </i>
    <i i="1">
      <x v="1"/>
    </i>
    <i i="2">
      <x v="2"/>
    </i>
    <i i="3">
      <x v="3"/>
    </i>
    <i i="4">
      <x v="4"/>
    </i>
    <i i="5">
      <x v="5"/>
    </i>
    <i i="6">
      <x v="6"/>
    </i>
    <i i="7">
      <x v="7"/>
    </i>
  </colItems>
  <pageFields count="1">
    <pageField fld="0" item="7" hier="-1"/>
  </pageFields>
  <dataFields count="8">
    <dataField name="Sum of Director" fld="4" baseField="1" baseItem="0"/>
    <dataField name="Sum of Service Manager" fld="5" baseField="0" baseItem="0"/>
    <dataField name="Sum of Team Leader" fld="6" baseField="0" baseItem="0"/>
    <dataField name="Sum of Professional" fld="7" baseField="0" baseItem="0"/>
    <dataField name="Sum of Specialist Technical" fld="8" baseField="0" baseItem="0"/>
    <dataField name="Sum of Tech Support" fld="9" baseField="0" baseItem="0"/>
    <dataField name="Sum of Administration" fld="10" baseField="0" baseItem="0"/>
    <dataField name="Sum of Total"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2"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38" firstHeaderRow="0" firstDataRow="1" firstDataCol="1" rowPageCount="1" colPageCount="1"/>
  <pivotFields count="8">
    <pivotField axis="axisPage" subtotalTop="0" showAll="0">
      <items count="10">
        <item x="0"/>
        <item x="1"/>
        <item x="2"/>
        <item x="3"/>
        <item x="4"/>
        <item x="5"/>
        <item x="6"/>
        <item x="7"/>
        <item m="1" x="8"/>
        <item t="default"/>
      </items>
    </pivotField>
    <pivotField axis="axisRow" subtotalTop="0" showAll="0">
      <items count="3">
        <item x="0"/>
        <item m="1" x="1"/>
        <item t="default"/>
      </items>
    </pivotField>
    <pivotField subtotalTop="0" showAll="0"/>
    <pivotField axis="axisRow" subtotalTop="0" showAll="0">
      <items count="35">
        <item x="0"/>
        <item x="1"/>
        <item x="2"/>
        <item x="3"/>
        <item x="4"/>
        <item x="5"/>
        <item m="1" x="33"/>
        <item x="6"/>
        <item x="7"/>
        <item x="8"/>
        <item x="9"/>
        <item x="10"/>
        <item x="11"/>
        <item x="12"/>
        <item x="13"/>
        <item x="14"/>
        <item x="15"/>
        <item x="16"/>
        <item x="17"/>
        <item x="18"/>
        <item x="19"/>
        <item x="20"/>
        <item x="21"/>
        <item x="22"/>
        <item x="23"/>
        <item x="24"/>
        <item x="25"/>
        <item x="26"/>
        <item x="27"/>
        <item x="28"/>
        <item x="29"/>
        <item x="30"/>
        <item x="31"/>
        <item m="1" x="32"/>
        <item t="default"/>
      </items>
    </pivotField>
    <pivotField subtotalTop="0" showAll="0"/>
    <pivotField dataField="1" subtotalTop="0" showAll="0"/>
    <pivotField dataField="1" subtotalTop="0" showAll="0"/>
    <pivotField dataField="1" subtotalTop="0" showAll="0"/>
  </pivotFields>
  <rowFields count="2">
    <field x="1"/>
    <field x="3"/>
  </rowFields>
  <rowItems count="35">
    <i>
      <x/>
    </i>
    <i r="1">
      <x/>
    </i>
    <i r="1">
      <x v="1"/>
    </i>
    <i r="1">
      <x v="2"/>
    </i>
    <i r="1">
      <x v="3"/>
    </i>
    <i r="1">
      <x v="4"/>
    </i>
    <i r="1">
      <x v="5"/>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t="default">
      <x/>
    </i>
    <i t="grand">
      <x/>
    </i>
  </rowItems>
  <colFields count="1">
    <field x="-2"/>
  </colFields>
  <colItems count="3">
    <i>
      <x/>
    </i>
    <i i="1">
      <x v="1"/>
    </i>
    <i i="2">
      <x v="2"/>
    </i>
  </colItems>
  <pageFields count="1">
    <pageField fld="0" item="7" hier="-1"/>
  </pageFields>
  <dataFields count="3">
    <dataField name="Sum of Watch Manager" fld="5" baseField="0" baseItem="0"/>
    <dataField name="Sum of Crew Manager" fld="6" baseField="0" baseItem="0"/>
    <dataField name="Sum of Firefighter"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le3" cacheId="3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67" firstHeaderRow="0" firstDataRow="1" firstDataCol="1" rowPageCount="1" colPageCount="1"/>
  <pivotFields count="12">
    <pivotField axis="axisPage" subtotalTop="0" showAll="0">
      <items count="9">
        <item x="0"/>
        <item x="1"/>
        <item x="2"/>
        <item x="3"/>
        <item x="4"/>
        <item x="5"/>
        <item x="6"/>
        <item x="7"/>
        <item t="default"/>
      </items>
    </pivotField>
    <pivotField axis="axisRow" subtotalTop="0" showAll="0">
      <items count="7">
        <item x="0"/>
        <item x="1"/>
        <item x="2"/>
        <item x="3"/>
        <item x="5"/>
        <item x="4"/>
        <item t="default"/>
      </items>
    </pivotField>
    <pivotField subtotalTop="0" showAll="0"/>
    <pivotField axis="axisRow" subtotalTop="0" showAll="0">
      <items count="51">
        <item x="0"/>
        <item x="1"/>
        <item x="33"/>
        <item x="2"/>
        <item x="3"/>
        <item x="4"/>
        <item x="34"/>
        <item x="5"/>
        <item x="6"/>
        <item x="48"/>
        <item x="7"/>
        <item x="8"/>
        <item x="35"/>
        <item x="44"/>
        <item x="9"/>
        <item x="36"/>
        <item x="10"/>
        <item x="11"/>
        <item x="37"/>
        <item x="12"/>
        <item x="38"/>
        <item x="39"/>
        <item x="13"/>
        <item x="40"/>
        <item x="14"/>
        <item x="15"/>
        <item x="16"/>
        <item x="41"/>
        <item x="17"/>
        <item x="18"/>
        <item x="19"/>
        <item x="20"/>
        <item x="45"/>
        <item x="21"/>
        <item x="22"/>
        <item x="23"/>
        <item x="24"/>
        <item x="25"/>
        <item x="47"/>
        <item x="26"/>
        <item x="27"/>
        <item x="28"/>
        <item x="29"/>
        <item x="30"/>
        <item x="42"/>
        <item x="49"/>
        <item x="46"/>
        <item x="31"/>
        <item x="32"/>
        <item x="43"/>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1"/>
    <field x="3"/>
  </rowFields>
  <rowItems count="64">
    <i>
      <x/>
    </i>
    <i r="1">
      <x/>
    </i>
    <i r="1">
      <x v="1"/>
    </i>
    <i r="1">
      <x v="3"/>
    </i>
    <i r="1">
      <x v="4"/>
    </i>
    <i r="1">
      <x v="5"/>
    </i>
    <i r="1">
      <x v="7"/>
    </i>
    <i r="1">
      <x v="8"/>
    </i>
    <i r="1">
      <x v="9"/>
    </i>
    <i r="1">
      <x v="11"/>
    </i>
    <i r="1">
      <x v="14"/>
    </i>
    <i r="1">
      <x v="16"/>
    </i>
    <i r="1">
      <x v="17"/>
    </i>
    <i r="1">
      <x v="19"/>
    </i>
    <i r="1">
      <x v="22"/>
    </i>
    <i r="1">
      <x v="24"/>
    </i>
    <i r="1">
      <x v="25"/>
    </i>
    <i r="1">
      <x v="26"/>
    </i>
    <i r="1">
      <x v="28"/>
    </i>
    <i r="1">
      <x v="29"/>
    </i>
    <i r="1">
      <x v="30"/>
    </i>
    <i r="1">
      <x v="33"/>
    </i>
    <i r="1">
      <x v="34"/>
    </i>
    <i r="1">
      <x v="36"/>
    </i>
    <i r="1">
      <x v="37"/>
    </i>
    <i r="1">
      <x v="39"/>
    </i>
    <i r="1">
      <x v="41"/>
    </i>
    <i r="1">
      <x v="42"/>
    </i>
    <i r="1">
      <x v="43"/>
    </i>
    <i r="1">
      <x v="47"/>
    </i>
    <i r="1">
      <x v="48"/>
    </i>
    <i t="default">
      <x/>
    </i>
    <i>
      <x v="1"/>
    </i>
    <i r="1">
      <x/>
    </i>
    <i r="1">
      <x v="2"/>
    </i>
    <i r="1">
      <x v="3"/>
    </i>
    <i r="1">
      <x v="6"/>
    </i>
    <i r="1">
      <x v="10"/>
    </i>
    <i r="1">
      <x v="12"/>
    </i>
    <i r="1">
      <x v="15"/>
    </i>
    <i r="1">
      <x v="18"/>
    </i>
    <i r="1">
      <x v="20"/>
    </i>
    <i r="1">
      <x v="21"/>
    </i>
    <i r="1">
      <x v="23"/>
    </i>
    <i r="1">
      <x v="25"/>
    </i>
    <i r="1">
      <x v="27"/>
    </i>
    <i r="1">
      <x v="34"/>
    </i>
    <i r="1">
      <x v="42"/>
    </i>
    <i r="1">
      <x v="45"/>
    </i>
    <i r="1">
      <x v="49"/>
    </i>
    <i t="default">
      <x v="1"/>
    </i>
    <i>
      <x v="2"/>
    </i>
    <i r="1">
      <x v="3"/>
    </i>
    <i r="1">
      <x v="13"/>
    </i>
    <i r="1">
      <x v="32"/>
    </i>
    <i r="1">
      <x v="46"/>
    </i>
    <i t="default">
      <x v="2"/>
    </i>
    <i>
      <x v="3"/>
    </i>
    <i r="1">
      <x v="38"/>
    </i>
    <i t="default">
      <x v="3"/>
    </i>
    <i>
      <x v="5"/>
    </i>
    <i r="1">
      <x v="38"/>
    </i>
    <i t="default">
      <x v="5"/>
    </i>
    <i t="grand">
      <x/>
    </i>
  </rowItems>
  <colFields count="1">
    <field x="-2"/>
  </colFields>
  <colItems count="8">
    <i>
      <x/>
    </i>
    <i i="1">
      <x v="1"/>
    </i>
    <i i="2">
      <x v="2"/>
    </i>
    <i i="3">
      <x v="3"/>
    </i>
    <i i="4">
      <x v="4"/>
    </i>
    <i i="5">
      <x v="5"/>
    </i>
    <i i="6">
      <x v="6"/>
    </i>
    <i i="7">
      <x v="7"/>
    </i>
  </colItems>
  <pageFields count="1">
    <pageField fld="0" item="7" hier="-1"/>
  </pageFields>
  <dataFields count="8">
    <dataField name="Sum of Brigade Manager" fld="6" baseField="3" baseItem="25"/>
    <dataField name="Sum of Area Manager" fld="5" baseField="3" baseItem="25"/>
    <dataField name="Sum of Group Manager" fld="9" baseField="3" baseItem="25"/>
    <dataField name="Sum of Station Manager" fld="10" baseField="3" baseItem="25"/>
    <dataField name="Sum of Watch Manager" fld="11" baseField="3" baseItem="25"/>
    <dataField name="Sum of Crew Manager" fld="7" baseField="3" baseItem="25"/>
    <dataField name="Sum of Firefighter" fld="8" baseField="3" baseItem="25"/>
    <dataField name="Sum of Total" fld="4" baseField="3" baseItem="2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36" firstHeaderRow="0" firstDataRow="1" firstDataCol="1" rowPageCount="1" colPageCount="1"/>
  <pivotFields count="8">
    <pivotField axis="axisPage" subtotalTop="0" showAll="0">
      <items count="4">
        <item x="0"/>
        <item x="1"/>
        <item x="2"/>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items count="9">
        <item x="3"/>
        <item x="4"/>
        <item x="0"/>
        <item x="7"/>
        <item x="5"/>
        <item x="2"/>
        <item x="6"/>
        <item x="1"/>
        <item t="default"/>
      </items>
    </pivotField>
    <pivotField dataField="1" subtotalTop="0" showAll="0">
      <items count="5">
        <item x="1"/>
        <item x="2"/>
        <item x="3"/>
        <item x="0"/>
        <item t="default"/>
      </items>
    </pivotField>
    <pivotField dataField="1" subtotalTop="0" showAll="0">
      <items count="3">
        <item x="1"/>
        <item x="0"/>
        <item t="default"/>
      </items>
    </pivotField>
    <pivotField dataField="1" subtotalTop="0" showAll="0">
      <items count="6">
        <item x="2"/>
        <item x="4"/>
        <item x="3"/>
        <item x="1"/>
        <item x="0"/>
        <item t="default"/>
      </items>
    </pivotField>
    <pivotField dataField="1" subtotalTop="0" showAll="0">
      <items count="17">
        <item x="0"/>
        <item x="7"/>
        <item x="12"/>
        <item x="14"/>
        <item x="2"/>
        <item x="6"/>
        <item x="8"/>
        <item x="15"/>
        <item x="10"/>
        <item x="13"/>
        <item x="3"/>
        <item x="11"/>
        <item x="4"/>
        <item x="1"/>
        <item x="9"/>
        <item x="5"/>
        <item t="default"/>
      </items>
    </pivotField>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6">
    <i>
      <x/>
    </i>
    <i i="1">
      <x v="1"/>
    </i>
    <i i="2">
      <x v="2"/>
    </i>
    <i i="3">
      <x v="3"/>
    </i>
    <i i="4">
      <x v="4"/>
    </i>
    <i i="5">
      <x v="5"/>
    </i>
  </colItems>
  <pageFields count="1">
    <pageField fld="0" item="2" hier="-1"/>
  </pageFields>
  <dataFields count="6">
    <dataField name="Sum of Wholetime" fld="2" baseField="1" baseItem="0"/>
    <dataField name="Sum of Wholetime and Retained" fld="3" baseField="1" baseItem="0"/>
    <dataField name="Sum of Wholetime and Day" fld="4" baseField="1" baseItem="0"/>
    <dataField name="Sum of Retained" fld="6" baseField="1" baseItem="0"/>
    <dataField name="Sum of Volunteer" fld="5" baseField="1" baseItem="0"/>
    <dataField name="Sum of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4" cacheId="2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36" firstHeaderRow="0" firstDataRow="1" firstDataCol="1" rowPageCount="1" colPageCount="1"/>
  <pivotFields count="8">
    <pivotField axis="axisPage" subtotalTop="0" showAll="0">
      <items count="10">
        <item x="0"/>
        <item x="1"/>
        <item x="2"/>
        <item x="3"/>
        <item x="4"/>
        <item x="5"/>
        <item x="6"/>
        <item x="7"/>
        <item m="1" x="8"/>
        <item t="default"/>
      </items>
    </pivotField>
    <pivotField axis="axisRow" subtotalTop="0" showAll="0">
      <items count="3">
        <item x="0"/>
        <item m="1" x="1"/>
        <item t="default"/>
      </items>
    </pivotField>
    <pivotField subtotalTop="0" showAll="0"/>
    <pivotField axis="axisRow" subtotalTop="0" showAll="0">
      <items count="36">
        <item x="0"/>
        <item x="1"/>
        <item x="2"/>
        <item x="3"/>
        <item x="4"/>
        <item x="5"/>
        <item x="6"/>
        <item x="33"/>
        <item x="7"/>
        <item x="8"/>
        <item x="9"/>
        <item x="10"/>
        <item x="11"/>
        <item x="12"/>
        <item x="13"/>
        <item x="14"/>
        <item x="15"/>
        <item x="16"/>
        <item x="17"/>
        <item x="18"/>
        <item x="19"/>
        <item x="20"/>
        <item x="21"/>
        <item x="22"/>
        <item x="23"/>
        <item x="24"/>
        <item x="25"/>
        <item x="26"/>
        <item x="27"/>
        <item x="28"/>
        <item x="29"/>
        <item x="30"/>
        <item x="31"/>
        <item x="32"/>
        <item m="1" x="34"/>
        <item t="default"/>
      </items>
    </pivotField>
    <pivotField dataField="1" subtotalTop="0" showAll="0"/>
    <pivotField dataField="1" subtotalTop="0" showAll="0"/>
    <pivotField dataField="1" subtotalTop="0" showAll="0"/>
    <pivotField dataField="1" subtotalTop="0" showAll="0"/>
  </pivotFields>
  <rowFields count="2">
    <field x="1"/>
    <field x="3"/>
  </rowFields>
  <rowItems count="33">
    <i>
      <x/>
    </i>
    <i r="1">
      <x/>
    </i>
    <i r="1">
      <x v="1"/>
    </i>
    <i r="1">
      <x v="2"/>
    </i>
    <i r="1">
      <x v="3"/>
    </i>
    <i r="1">
      <x v="4"/>
    </i>
    <i r="1">
      <x v="5"/>
    </i>
    <i r="1">
      <x v="6"/>
    </i>
    <i r="1">
      <x v="7"/>
    </i>
    <i r="1">
      <x v="9"/>
    </i>
    <i r="1">
      <x v="10"/>
    </i>
    <i r="1">
      <x v="12"/>
    </i>
    <i r="1">
      <x v="14"/>
    </i>
    <i r="1">
      <x v="15"/>
    </i>
    <i r="1">
      <x v="17"/>
    </i>
    <i r="1">
      <x v="18"/>
    </i>
    <i r="1">
      <x v="19"/>
    </i>
    <i r="1">
      <x v="20"/>
    </i>
    <i r="1">
      <x v="21"/>
    </i>
    <i r="1">
      <x v="22"/>
    </i>
    <i r="1">
      <x v="23"/>
    </i>
    <i r="1">
      <x v="24"/>
    </i>
    <i r="1">
      <x v="25"/>
    </i>
    <i r="1">
      <x v="26"/>
    </i>
    <i r="1">
      <x v="27"/>
    </i>
    <i r="1">
      <x v="28"/>
    </i>
    <i r="1">
      <x v="29"/>
    </i>
    <i r="1">
      <x v="30"/>
    </i>
    <i r="1">
      <x v="31"/>
    </i>
    <i r="1">
      <x v="32"/>
    </i>
    <i r="1">
      <x v="33"/>
    </i>
    <i t="default">
      <x/>
    </i>
    <i t="grand">
      <x/>
    </i>
  </rowItems>
  <colFields count="1">
    <field x="-2"/>
  </colFields>
  <colItems count="4">
    <i>
      <x/>
    </i>
    <i i="1">
      <x v="1"/>
    </i>
    <i i="2">
      <x v="2"/>
    </i>
    <i i="3">
      <x v="3"/>
    </i>
  </colItems>
  <pageFields count="1">
    <pageField fld="0" item="7" hier="-1"/>
  </pageFields>
  <dataFields count="4">
    <dataField name="Sum of Watch Manager" fld="5" baseField="1" baseItem="0"/>
    <dataField name="Sum of Crew Manager" fld="6" baseField="1" baseItem="0"/>
    <dataField name="Sum of Firefighter" fld="7" baseField="1" baseItem="0"/>
    <dataField name="Sum of Total" fld="4" baseField="3"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5" cacheId="3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5" firstHeaderRow="0" firstDataRow="1" firstDataCol="1" rowPageCount="1" colPageCount="1"/>
  <pivotFields count="11">
    <pivotField axis="axisPage" subtotalTop="0" showAll="0">
      <items count="9">
        <item x="0"/>
        <item x="1"/>
        <item x="2"/>
        <item x="3"/>
        <item x="4"/>
        <item x="5"/>
        <item x="6"/>
        <item x="7"/>
        <item t="default"/>
      </items>
    </pivotField>
    <pivotField axis="axisRow" subtotalTop="0" showAll="0">
      <items count="2">
        <item x="0"/>
        <item t="default"/>
      </items>
    </pivotField>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2">
    <i>
      <x/>
    </i>
    <i t="grand">
      <x/>
    </i>
  </rowItems>
  <colFields count="1">
    <field x="-2"/>
  </colFields>
  <colItems count="7">
    <i>
      <x/>
    </i>
    <i i="1">
      <x v="1"/>
    </i>
    <i i="2">
      <x v="2"/>
    </i>
    <i i="3">
      <x v="3"/>
    </i>
    <i i="4">
      <x v="4"/>
    </i>
    <i i="5">
      <x v="5"/>
    </i>
    <i i="6">
      <x v="6"/>
    </i>
  </colItems>
  <pageFields count="1">
    <pageField fld="0" item="7" hier="-1"/>
  </pageFields>
  <dataFields count="7">
    <dataField name="Sum of Area Manager" fld="5" baseField="1" baseItem="0"/>
    <dataField name="Sum of Group Manager" fld="6" baseField="0" baseItem="0"/>
    <dataField name="Sum of Station Manager" fld="7" baseField="0" baseItem="0"/>
    <dataField name="Sum of Watch Manager" fld="8" baseField="0" baseItem="0"/>
    <dataField name="Sum of Crew Manager" fld="9" baseField="0" baseItem="0"/>
    <dataField name="Sum of Control Operator" fld="10" baseField="0" baseItem="0"/>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6" cacheId="3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10" firstHeaderRow="0" firstDataRow="1" firstDataCol="1" rowPageCount="1" colPageCount="1"/>
  <pivotFields count="12">
    <pivotField axis="axisPage" subtotalTop="0" showAll="0">
      <items count="9">
        <item x="0"/>
        <item x="1"/>
        <item x="2"/>
        <item x="3"/>
        <item x="4"/>
        <item x="5"/>
        <item x="6"/>
        <item x="7"/>
        <item t="default"/>
      </items>
    </pivotField>
    <pivotField subtotalTop="0" showAll="0"/>
    <pivotField axis="axisRow" subtotalTop="0" showAll="0">
      <items count="5">
        <item m="1" x="2"/>
        <item m="1" x="3"/>
        <item x="0"/>
        <item x="1"/>
        <item t="default"/>
      </items>
    </pivotField>
    <pivotField axis="axisRow" subtotalTop="0" showAll="0">
      <items count="6">
        <item x="0"/>
        <item x="1"/>
        <item x="2"/>
        <item x="3"/>
        <item m="1" x="4"/>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2">
    <field x="2"/>
    <field x="3"/>
  </rowFields>
  <rowItems count="7">
    <i>
      <x v="2"/>
    </i>
    <i r="1">
      <x v="2"/>
    </i>
    <i t="default">
      <x v="2"/>
    </i>
    <i>
      <x v="3"/>
    </i>
    <i r="1">
      <x v="2"/>
    </i>
    <i t="default">
      <x v="3"/>
    </i>
    <i t="grand">
      <x/>
    </i>
  </rowItems>
  <colFields count="1">
    <field x="-2"/>
  </colFields>
  <colItems count="8">
    <i>
      <x/>
    </i>
    <i i="1">
      <x v="1"/>
    </i>
    <i i="2">
      <x v="2"/>
    </i>
    <i i="3">
      <x v="3"/>
    </i>
    <i i="4">
      <x v="4"/>
    </i>
    <i i="5">
      <x v="5"/>
    </i>
    <i i="6">
      <x v="6"/>
    </i>
    <i i="7">
      <x v="7"/>
    </i>
  </colItems>
  <pageFields count="1">
    <pageField fld="0" item="7" hier="-1"/>
  </pageFields>
  <dataFields count="8">
    <dataField name="Sum of Director" fld="4" baseField="2" baseItem="2"/>
    <dataField name="Sum of Service Manager" fld="5" baseField="2" baseItem="0"/>
    <dataField name="Sum of Team Leader" fld="6" baseField="2" baseItem="0"/>
    <dataField name="Sum of Professional" fld="7" baseField="2" baseItem="0"/>
    <dataField name="Sum of Specialist Technical" fld="8" baseField="2" baseItem="0"/>
    <dataField name="Sum of Tech Support" fld="9" baseField="2" baseItem="0"/>
    <dataField name="Sum of Administration" fld="10" baseField="2" baseItem="0"/>
    <dataField name="Sum of Total"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le7" cacheId="2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10" firstHeaderRow="0" firstDataRow="1" firstDataCol="1" rowPageCount="1" colPageCount="1"/>
  <pivotFields count="5">
    <pivotField axis="axisPage" subtotalTop="0" showAll="0">
      <items count="9">
        <item x="0"/>
        <item x="1"/>
        <item x="2"/>
        <item x="3"/>
        <item x="4"/>
        <item x="5"/>
        <item x="6"/>
        <item x="7"/>
        <item t="default"/>
      </items>
    </pivotField>
    <pivotField axis="axisRow" subtotalTop="0" showAll="0">
      <items count="7">
        <item x="0"/>
        <item x="1"/>
        <item x="5"/>
        <item x="2"/>
        <item x="3"/>
        <item x="4"/>
        <item t="default"/>
      </items>
    </pivotField>
    <pivotField dataField="1" subtotalTop="0" showAll="0"/>
    <pivotField dataField="1" subtotalTop="0" showAll="0"/>
    <pivotField dataField="1" subtotalTop="0" showAll="0"/>
  </pivotFields>
  <rowFields count="1">
    <field x="1"/>
  </rowFields>
  <rowItems count="7">
    <i>
      <x/>
    </i>
    <i>
      <x v="1"/>
    </i>
    <i>
      <x v="2"/>
    </i>
    <i>
      <x v="3"/>
    </i>
    <i>
      <x v="4"/>
    </i>
    <i>
      <x v="5"/>
    </i>
    <i t="grand">
      <x/>
    </i>
  </rowItems>
  <colFields count="1">
    <field x="-2"/>
  </colFields>
  <colItems count="3">
    <i>
      <x/>
    </i>
    <i i="1">
      <x v="1"/>
    </i>
    <i i="2">
      <x v="2"/>
    </i>
  </colItems>
  <pageFields count="1">
    <pageField fld="0" item="7" hier="-1"/>
  </pageFields>
  <dataFields count="3">
    <dataField name="Sum of Female" fld="3" baseField="0" baseItem="0"/>
    <dataField name="Sum of Male" fld="4" baseField="0" baseItem="0"/>
    <dataField name="Sum of Total"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ivotTable1" cacheId="2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43" firstHeaderRow="0" firstDataRow="1" firstDataCol="1" rowPageCount="1" colPageCount="1"/>
  <pivotFields count="6">
    <pivotField axis="axisPage" subtotalTop="0" showAll="0">
      <items count="9">
        <item x="0"/>
        <item x="1"/>
        <item x="2"/>
        <item x="3"/>
        <item x="4"/>
        <item x="7"/>
        <item x="5"/>
        <item x="6"/>
        <item t="default"/>
      </items>
    </pivotField>
    <pivotField axis="axisRow" subtotalTop="0" showAll="0">
      <items count="7">
        <item x="0"/>
        <item x="4"/>
        <item x="5"/>
        <item x="1"/>
        <item x="2"/>
        <item x="3"/>
        <item t="default"/>
      </items>
    </pivotField>
    <pivotField axis="axisRow" subtotalTop="0" showAll="0">
      <items count="17">
        <item x="5"/>
        <item x="4"/>
        <item x="9"/>
        <item x="2"/>
        <item x="8"/>
        <item x="6"/>
        <item x="0"/>
        <item x="13"/>
        <item x="12"/>
        <item x="1"/>
        <item x="10"/>
        <item x="11"/>
        <item x="3"/>
        <item m="1" x="15"/>
        <item x="7"/>
        <item x="14"/>
        <item t="default"/>
      </items>
    </pivotField>
    <pivotField dataField="1" subtotalTop="0" showAll="0"/>
    <pivotField dataField="1" subtotalTop="0" showAll="0"/>
    <pivotField dataField="1" subtotalTop="0" showAll="0"/>
  </pivotFields>
  <rowFields count="2">
    <field x="1"/>
    <field x="2"/>
  </rowFields>
  <rowItems count="40">
    <i>
      <x/>
    </i>
    <i r="1">
      <x v="1"/>
    </i>
    <i r="1">
      <x v="3"/>
    </i>
    <i r="1">
      <x v="5"/>
    </i>
    <i r="1">
      <x v="6"/>
    </i>
    <i r="1">
      <x v="10"/>
    </i>
    <i r="1">
      <x v="14"/>
    </i>
    <i t="default">
      <x/>
    </i>
    <i>
      <x v="1"/>
    </i>
    <i r="1">
      <x v="3"/>
    </i>
    <i r="1">
      <x v="5"/>
    </i>
    <i r="1">
      <x v="14"/>
    </i>
    <i t="default">
      <x v="1"/>
    </i>
    <i>
      <x v="2"/>
    </i>
    <i r="1">
      <x v="14"/>
    </i>
    <i t="default">
      <x v="2"/>
    </i>
    <i>
      <x v="3"/>
    </i>
    <i r="1">
      <x/>
    </i>
    <i r="1">
      <x v="4"/>
    </i>
    <i r="1">
      <x v="7"/>
    </i>
    <i r="1">
      <x v="8"/>
    </i>
    <i r="1">
      <x v="9"/>
    </i>
    <i r="1">
      <x v="11"/>
    </i>
    <i r="1">
      <x v="12"/>
    </i>
    <i t="default">
      <x v="3"/>
    </i>
    <i>
      <x v="4"/>
    </i>
    <i r="1">
      <x v="3"/>
    </i>
    <i r="1">
      <x v="5"/>
    </i>
    <i r="1">
      <x v="14"/>
    </i>
    <i t="default">
      <x v="4"/>
    </i>
    <i>
      <x v="5"/>
    </i>
    <i r="1">
      <x v="1"/>
    </i>
    <i r="1">
      <x v="2"/>
    </i>
    <i r="1">
      <x v="3"/>
    </i>
    <i r="1">
      <x v="5"/>
    </i>
    <i r="1">
      <x v="6"/>
    </i>
    <i r="1">
      <x v="10"/>
    </i>
    <i r="1">
      <x v="14"/>
    </i>
    <i t="default">
      <x v="5"/>
    </i>
    <i t="grand">
      <x/>
    </i>
  </rowItems>
  <colFields count="1">
    <field x="-2"/>
  </colFields>
  <colItems count="3">
    <i>
      <x/>
    </i>
    <i i="1">
      <x v="1"/>
    </i>
    <i i="2">
      <x v="2"/>
    </i>
  </colItems>
  <pageFields count="1">
    <pageField fld="0" item="7" hier="-1"/>
  </pageFields>
  <dataFields count="3">
    <dataField name="Sum of Female" fld="4" baseField="0" baseItem="0"/>
    <dataField name="Sum of Male" fld="5" baseField="0" baseItem="0"/>
    <dataField name="Sum of Total"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le8" cacheId="3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38" firstHeaderRow="0" firstDataRow="1" firstDataCol="1" rowPageCount="1" colPageCount="1"/>
  <pivotFields count="6">
    <pivotField axis="axisPage" subtotalTop="0" showAll="0">
      <items count="8">
        <item x="0"/>
        <item x="1"/>
        <item x="2"/>
        <item x="3"/>
        <item x="4"/>
        <item x="5"/>
        <item x="6"/>
        <item t="default"/>
      </items>
    </pivotField>
    <pivotField axis="axisRow" subtotalTop="0" showAll="0">
      <items count="6">
        <item x="0"/>
        <item x="1"/>
        <item x="4"/>
        <item x="2"/>
        <item x="3"/>
        <item t="default"/>
      </items>
    </pivotField>
    <pivotField axis="axisRow" subtotalTop="0" showAll="0">
      <items count="16">
        <item x="5"/>
        <item x="12"/>
        <item x="13"/>
        <item x="0"/>
        <item x="6"/>
        <item x="1"/>
        <item x="2"/>
        <item x="7"/>
        <item x="8"/>
        <item x="9"/>
        <item x="3"/>
        <item x="10"/>
        <item x="11"/>
        <item x="4"/>
        <item x="14"/>
        <item t="default"/>
      </items>
    </pivotField>
    <pivotField dataField="1" subtotalTop="0" showAll="0"/>
    <pivotField dataField="1" subtotalTop="0" showAll="0"/>
    <pivotField dataField="1" subtotalTop="0" showAll="0"/>
  </pivotFields>
  <rowFields count="2">
    <field x="1"/>
    <field x="2"/>
  </rowFields>
  <rowItems count="35">
    <i>
      <x/>
    </i>
    <i r="1">
      <x v="1"/>
    </i>
    <i r="1">
      <x v="3"/>
    </i>
    <i r="1">
      <x v="5"/>
    </i>
    <i r="1">
      <x v="6"/>
    </i>
    <i r="1">
      <x v="10"/>
    </i>
    <i r="1">
      <x v="13"/>
    </i>
    <i t="default">
      <x/>
    </i>
    <i>
      <x v="1"/>
    </i>
    <i r="1">
      <x v="3"/>
    </i>
    <i r="1">
      <x v="5"/>
    </i>
    <i r="1">
      <x v="13"/>
    </i>
    <i t="default">
      <x v="1"/>
    </i>
    <i>
      <x v="2"/>
    </i>
    <i r="1">
      <x v="13"/>
    </i>
    <i t="default">
      <x v="2"/>
    </i>
    <i>
      <x v="3"/>
    </i>
    <i r="1">
      <x/>
    </i>
    <i r="1">
      <x v="4"/>
    </i>
    <i r="1">
      <x v="7"/>
    </i>
    <i r="1">
      <x v="8"/>
    </i>
    <i r="1">
      <x v="9"/>
    </i>
    <i r="1">
      <x v="11"/>
    </i>
    <i r="1">
      <x v="12"/>
    </i>
    <i t="default">
      <x v="3"/>
    </i>
    <i>
      <x v="4"/>
    </i>
    <i r="1">
      <x v="1"/>
    </i>
    <i r="1">
      <x v="2"/>
    </i>
    <i r="1">
      <x v="3"/>
    </i>
    <i r="1">
      <x v="5"/>
    </i>
    <i r="1">
      <x v="6"/>
    </i>
    <i r="1">
      <x v="10"/>
    </i>
    <i r="1">
      <x v="13"/>
    </i>
    <i t="default">
      <x v="4"/>
    </i>
    <i t="grand">
      <x/>
    </i>
  </rowItems>
  <colFields count="1">
    <field x="-2"/>
  </colFields>
  <colItems count="3">
    <i>
      <x/>
    </i>
    <i i="1">
      <x v="1"/>
    </i>
    <i i="2">
      <x v="2"/>
    </i>
  </colItems>
  <pageFields count="1">
    <pageField fld="0" item="6" hier="-1"/>
  </pageFields>
  <dataFields count="3">
    <dataField name="Sum of Female" fld="4" baseField="1" baseItem="0"/>
    <dataField name="Sum of Male" fld="5" baseField="1" baseItem="0"/>
    <dataField name="Sum of Total" fld="3" baseField="2" baseItem="1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3" cacheId="2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16" firstHeaderRow="0" firstDataRow="1" firstDataCol="1" rowPageCount="1" colPageCount="1"/>
  <pivotFields count="9">
    <pivotField axis="axisPage" subtotalTop="0" showAll="0">
      <items count="9">
        <item x="0"/>
        <item x="1"/>
        <item x="2"/>
        <item x="3"/>
        <item x="4"/>
        <item x="5"/>
        <item x="6"/>
        <item x="7"/>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 axis="axisRow" subtotalTop="0" showAll="0">
      <items count="18">
        <item x="7"/>
        <item x="6"/>
        <item x="8"/>
        <item x="0"/>
        <item x="9"/>
        <item x="10"/>
        <item x="1"/>
        <item x="11"/>
        <item x="2"/>
        <item x="3"/>
        <item x="4"/>
        <item x="12"/>
        <item x="5"/>
        <item x="13"/>
        <item x="14"/>
        <item x="15"/>
        <item x="16"/>
        <item t="default"/>
      </items>
    </pivotField>
  </pivotFields>
  <rowFields count="1">
    <field x="8"/>
  </rowFields>
  <rowItems count="13">
    <i>
      <x/>
    </i>
    <i>
      <x v="2"/>
    </i>
    <i>
      <x v="4"/>
    </i>
    <i>
      <x v="5"/>
    </i>
    <i>
      <x v="7"/>
    </i>
    <i>
      <x v="8"/>
    </i>
    <i>
      <x v="9"/>
    </i>
    <i>
      <x v="10"/>
    </i>
    <i>
      <x v="11"/>
    </i>
    <i>
      <x v="13"/>
    </i>
    <i>
      <x v="14"/>
    </i>
    <i>
      <x v="15"/>
    </i>
    <i t="grand">
      <x/>
    </i>
  </rowItems>
  <colFields count="1">
    <field x="-2"/>
  </colFields>
  <colItems count="6">
    <i>
      <x/>
    </i>
    <i i="1">
      <x v="1"/>
    </i>
    <i i="2">
      <x v="2"/>
    </i>
    <i i="3">
      <x v="3"/>
    </i>
    <i i="4">
      <x v="4"/>
    </i>
    <i i="5">
      <x v="5"/>
    </i>
  </colItems>
  <pageFields count="1">
    <pageField fld="0" item="7" hier="-1"/>
  </pageFields>
  <dataFields count="6">
    <dataField name="Sum of Wholetime Operational" fld="1" baseField="7" baseItem="0"/>
    <dataField name="Sum of Retained Duty System" fld="2" baseField="7" baseItem="0"/>
    <dataField name="Sum of Retained Full-time" fld="3" baseField="7" baseItem="0"/>
    <dataField name="Sum of Control" fld="4" baseField="7" baseItem="0"/>
    <dataField name="Sum of Support Staff" fld="5" baseField="7" baseItem="0"/>
    <dataField name="Sum of Volunteer" fld="6"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ivotTable1"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3" firstHeaderRow="0" firstDataRow="1" firstDataCol="1" rowPageCount="1" colPageCount="1"/>
  <pivotFields count="7">
    <pivotField axis="axisPage" subtotalTop="0" showAll="0">
      <items count="5">
        <item x="0"/>
        <item x="1"/>
        <item x="2"/>
        <item x="3"/>
        <item t="default"/>
      </items>
    </pivotField>
    <pivotField axis="axisRow" subtotalTop="0" showAll="0">
      <items count="12">
        <item x="0"/>
        <item x="2"/>
        <item x="6"/>
        <item x="5"/>
        <item x="1"/>
        <item x="7"/>
        <item x="3"/>
        <item m="1" x="9"/>
        <item m="1" x="10"/>
        <item x="4"/>
        <item x="8"/>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0">
    <i>
      <x/>
    </i>
    <i>
      <x v="1"/>
    </i>
    <i>
      <x v="2"/>
    </i>
    <i>
      <x v="3"/>
    </i>
    <i>
      <x v="4"/>
    </i>
    <i>
      <x v="5"/>
    </i>
    <i>
      <x v="6"/>
    </i>
    <i>
      <x v="9"/>
    </i>
    <i>
      <x v="10"/>
    </i>
    <i t="grand">
      <x/>
    </i>
  </rowItems>
  <colFields count="1">
    <field x="-2"/>
  </colFields>
  <colItems count="5">
    <i>
      <x/>
    </i>
    <i i="1">
      <x v="1"/>
    </i>
    <i i="2">
      <x v="2"/>
    </i>
    <i i="3">
      <x v="3"/>
    </i>
    <i i="4">
      <x v="4"/>
    </i>
  </colItems>
  <pageFields count="1">
    <pageField fld="0" item="3" hier="-1"/>
  </pageFields>
  <dataFields count="5">
    <dataField name="Sum of Wholetime Operational" fld="2" baseField="0" baseItem="0"/>
    <dataField name="Sum of Retained Duty System" fld="3" baseField="0" baseItem="0"/>
    <dataField name="Sum of Retained Full-time" fld="4" baseField="1" baseItem="6"/>
    <dataField name="Sum of Control" fld="5" baseField="0" baseItem="0"/>
    <dataField name="Sum of Voluntee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ivotTable9" cacheId="1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E17" firstHeaderRow="1" firstDataRow="3" firstDataCol="1"/>
  <pivotFields count="5">
    <pivotField name="Year" axis="axisRow" subtotalTop="0" showAll="0">
      <items count="12">
        <item x="0"/>
        <item x="1"/>
        <item x="2"/>
        <item x="3"/>
        <item x="4"/>
        <item x="5"/>
        <item x="6"/>
        <item x="7"/>
        <item x="8"/>
        <item x="9"/>
        <item x="10"/>
        <item t="default"/>
      </items>
    </pivotField>
    <pivotField axis="axisCol" subtotalTop="0" showAll="0">
      <items count="10">
        <item sd="0" x="0"/>
        <item x="1"/>
        <item x="7"/>
        <item x="2"/>
        <item x="3"/>
        <item x="4"/>
        <item x="5"/>
        <item x="6"/>
        <item x="8"/>
        <item t="default"/>
      </items>
    </pivotField>
    <pivotField dataField="1" subtotalTop="0" showAll="0">
      <items count="72">
        <item x="26"/>
        <item x="19"/>
        <item x="33"/>
        <item x="60"/>
        <item x="68"/>
        <item x="52"/>
        <item x="45"/>
        <item x="38"/>
        <item x="14"/>
        <item x="39"/>
        <item x="40"/>
        <item x="54"/>
        <item x="30"/>
        <item x="47"/>
        <item x="23"/>
        <item x="36"/>
        <item x="37"/>
        <item x="16"/>
        <item x="31"/>
        <item x="46"/>
        <item x="34"/>
        <item x="32"/>
        <item x="62"/>
        <item x="35"/>
        <item x="43"/>
        <item x="27"/>
        <item x="69"/>
        <item x="20"/>
        <item x="29"/>
        <item x="66"/>
        <item x="44"/>
        <item x="24"/>
        <item x="53"/>
        <item x="61"/>
        <item x="67"/>
        <item x="17"/>
        <item x="63"/>
        <item x="58"/>
        <item x="42"/>
        <item x="12"/>
        <item x="25"/>
        <item x="59"/>
        <item x="18"/>
        <item x="50"/>
        <item x="5"/>
        <item x="21"/>
        <item x="55"/>
        <item x="51"/>
        <item x="28"/>
        <item x="2"/>
        <item x="41"/>
        <item x="65"/>
        <item x="57"/>
        <item x="22"/>
        <item x="48"/>
        <item x="49"/>
        <item x="15"/>
        <item x="6"/>
        <item x="3"/>
        <item x="4"/>
        <item x="9"/>
        <item x="10"/>
        <item x="8"/>
        <item x="11"/>
        <item x="13"/>
        <item x="1"/>
        <item x="0"/>
        <item x="56"/>
        <item x="64"/>
        <item x="7"/>
        <item x="70"/>
        <item t="default"/>
      </items>
    </pivotField>
    <pivotField dataField="1" subtotalTop="0" showAll="0">
      <items count="43">
        <item x="9"/>
        <item x="1"/>
        <item x="12"/>
        <item x="0"/>
        <item x="5"/>
        <item x="13"/>
        <item x="3"/>
        <item x="18"/>
        <item x="25"/>
        <item x="32"/>
        <item x="40"/>
        <item x="6"/>
        <item x="4"/>
        <item x="11"/>
        <item x="35"/>
        <item x="20"/>
        <item x="2"/>
        <item x="28"/>
        <item x="27"/>
        <item x="34"/>
        <item x="8"/>
        <item x="21"/>
        <item x="16"/>
        <item x="30"/>
        <item x="19"/>
        <item x="14"/>
        <item x="31"/>
        <item x="17"/>
        <item x="10"/>
        <item x="38"/>
        <item x="23"/>
        <item x="39"/>
        <item x="26"/>
        <item x="33"/>
        <item x="24"/>
        <item x="41"/>
        <item x="15"/>
        <item x="29"/>
        <item x="22"/>
        <item x="37"/>
        <item x="36"/>
        <item x="7"/>
        <item t="default"/>
      </items>
    </pivotField>
    <pivotField dataField="1" subtotalTop="0" showAll="0">
      <items count="71">
        <item x="7"/>
        <item x="63"/>
        <item x="55"/>
        <item x="0"/>
        <item x="1"/>
        <item x="11"/>
        <item x="8"/>
        <item x="10"/>
        <item x="9"/>
        <item x="4"/>
        <item x="3"/>
        <item x="6"/>
        <item x="14"/>
        <item x="48"/>
        <item x="47"/>
        <item x="56"/>
        <item x="64"/>
        <item x="20"/>
        <item x="40"/>
        <item x="2"/>
        <item x="50"/>
        <item x="54"/>
        <item x="26"/>
        <item x="49"/>
        <item x="19"/>
        <item x="58"/>
        <item x="16"/>
        <item x="5"/>
        <item x="41"/>
        <item x="57"/>
        <item x="66"/>
        <item x="23"/>
        <item x="62"/>
        <item x="12"/>
        <item x="60"/>
        <item x="52"/>
        <item x="43"/>
        <item x="65"/>
        <item x="68"/>
        <item x="22"/>
        <item x="27"/>
        <item x="18"/>
        <item x="42"/>
        <item x="25"/>
        <item x="34"/>
        <item x="61"/>
        <item x="30"/>
        <item x="45"/>
        <item x="33"/>
        <item x="15"/>
        <item x="29"/>
        <item x="21"/>
        <item x="36"/>
        <item x="46"/>
        <item x="35"/>
        <item x="32"/>
        <item x="53"/>
        <item x="28"/>
        <item x="39"/>
        <item x="38"/>
        <item x="13"/>
        <item x="37"/>
        <item x="44"/>
        <item x="51"/>
        <item x="67"/>
        <item x="59"/>
        <item x="31"/>
        <item x="17"/>
        <item x="24"/>
        <item x="69"/>
        <item t="default"/>
      </items>
    </pivotField>
  </pivotFields>
  <rowFields count="1">
    <field x="0"/>
  </rowFields>
  <rowItems count="12">
    <i>
      <x/>
    </i>
    <i>
      <x v="1"/>
    </i>
    <i>
      <x v="2"/>
    </i>
    <i>
      <x v="3"/>
    </i>
    <i>
      <x v="4"/>
    </i>
    <i>
      <x v="5"/>
    </i>
    <i>
      <x v="6"/>
    </i>
    <i>
      <x v="7"/>
    </i>
    <i>
      <x v="8"/>
    </i>
    <i>
      <x v="9"/>
    </i>
    <i>
      <x v="10"/>
    </i>
    <i t="grand">
      <x/>
    </i>
  </rowItems>
  <colFields count="2">
    <field x="1"/>
    <field x="-2"/>
  </colFields>
  <colItems count="30">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t="grand">
      <x/>
    </i>
    <i t="grand" i="1">
      <x/>
    </i>
    <i t="grand" i="2">
      <x/>
    </i>
  </colItems>
  <dataFields count="3">
    <dataField name="Sum of White" fld="2" baseField="1" baseItem="0"/>
    <dataField name="Sum of Ethnic Minority" fld="3" baseField="1" baseItem="0"/>
    <dataField name="Sum of Not Stated" fld="4"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5:I20" firstHeaderRow="1" firstDataRow="2" firstDataCol="1" rowPageCount="1" colPageCount="1"/>
  <pivotFields count="4">
    <pivotField axis="axisCol" subtotalTop="0" showAll="0">
      <items count="8">
        <item x="4"/>
        <item x="0"/>
        <item x="1"/>
        <item x="2"/>
        <item x="3"/>
        <item x="5"/>
        <item x="6"/>
        <item t="default"/>
      </items>
    </pivotField>
    <pivotField axis="axisRow" showAll="0">
      <items count="4">
        <item x="0"/>
        <item x="1"/>
        <item x="2"/>
        <item t="default"/>
      </items>
    </pivotField>
    <pivotField axis="axisPage" subtotalTop="0" showAll="0">
      <items count="3">
        <item x="0"/>
        <item x="1"/>
        <item t="default"/>
      </items>
    </pivotField>
    <pivotField dataField="1" showAll="0"/>
  </pivotFields>
  <rowFields count="1">
    <field x="1"/>
  </rowFields>
  <rowItems count="4">
    <i>
      <x/>
    </i>
    <i>
      <x v="1"/>
    </i>
    <i>
      <x v="2"/>
    </i>
    <i t="grand">
      <x/>
    </i>
  </rowItems>
  <colFields count="1">
    <field x="0"/>
  </colFields>
  <colItems count="8">
    <i>
      <x/>
    </i>
    <i>
      <x v="1"/>
    </i>
    <i>
      <x v="2"/>
    </i>
    <i>
      <x v="3"/>
    </i>
    <i>
      <x v="4"/>
    </i>
    <i>
      <x v="5"/>
    </i>
    <i>
      <x v="6"/>
    </i>
    <i t="grand">
      <x/>
    </i>
  </colItems>
  <pageFields count="1">
    <pageField fld="2" item="0" hier="-1"/>
  </pageFields>
  <dataFields count="1">
    <dataField name="Sum of Per"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36" firstHeaderRow="0" firstDataRow="1" firstDataCol="1" rowPageCount="1" colPageCount="1"/>
  <pivotFields count="6">
    <pivotField axis="axisPage" subtotalTop="0" showAll="0">
      <items count="8">
        <item x="6"/>
        <item x="5"/>
        <item x="4"/>
        <item x="3"/>
        <item x="0"/>
        <item x="1"/>
        <item x="2"/>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items count="9">
        <item x="1"/>
        <item x="2"/>
        <item x="0"/>
        <item x="4"/>
        <item x="5"/>
        <item x="3"/>
        <item x="6"/>
        <item x="7"/>
        <item t="default"/>
      </items>
    </pivotField>
    <pivotField dataField="1" subtotalTop="0" showAll="0">
      <items count="17">
        <item x="0"/>
        <item x="7"/>
        <item x="12"/>
        <item x="14"/>
        <item x="2"/>
        <item x="6"/>
        <item x="8"/>
        <item x="15"/>
        <item x="10"/>
        <item x="13"/>
        <item x="3"/>
        <item x="11"/>
        <item x="4"/>
        <item x="1"/>
        <item x="9"/>
        <item x="5"/>
        <item t="default"/>
      </items>
    </pivotField>
    <pivotField dataField="1" subtotalTop="0" showAll="0">
      <items count="6">
        <item x="2"/>
        <item x="4"/>
        <item x="3"/>
        <item x="1"/>
        <item x="0"/>
        <item t="default"/>
      </items>
    </pivotField>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4">
    <i>
      <x/>
    </i>
    <i i="1">
      <x v="1"/>
    </i>
    <i i="2">
      <x v="2"/>
    </i>
    <i i="3">
      <x v="3"/>
    </i>
  </colItems>
  <pageFields count="1">
    <pageField fld="0" item="6" hier="-1"/>
  </pageFields>
  <dataFields count="4">
    <dataField name="Sum of Wholetime" fld="2" baseField="1" baseItem="0"/>
    <dataField name="Sum of Retained" fld="3" baseField="1" baseItem="0"/>
    <dataField name="Sum of Volunteer" fld="4" baseField="1" baseItem="0"/>
    <dataField name="Sum of Total"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8" firstHeaderRow="1" firstDataRow="2" firstDataCol="1" rowPageCount="1" colPageCount="1"/>
  <pivotFields count="5">
    <pivotField subtotalTop="0" showAll="0"/>
    <pivotField axis="axisPage" subtotalTop="0" showAll="0">
      <items count="3">
        <item x="0"/>
        <item x="1"/>
        <item t="default"/>
      </items>
    </pivotField>
    <pivotField axis="axisRow" subtotalTop="0" showAll="0">
      <items count="4">
        <item x="0"/>
        <item x="1"/>
        <item x="2"/>
        <item t="default"/>
      </items>
    </pivotField>
    <pivotField axis="axisCol" showAll="0">
      <items count="8">
        <item x="5"/>
        <item x="0"/>
        <item x="1"/>
        <item x="6"/>
        <item x="4"/>
        <item x="2"/>
        <item x="3"/>
        <item t="default"/>
      </items>
    </pivotField>
    <pivotField dataField="1" subtotalTop="0" showAll="0"/>
  </pivotFields>
  <rowFields count="1">
    <field x="2"/>
  </rowFields>
  <rowItems count="4">
    <i>
      <x/>
    </i>
    <i>
      <x v="1"/>
    </i>
    <i>
      <x v="2"/>
    </i>
    <i t="grand">
      <x/>
    </i>
  </rowItems>
  <colFields count="1">
    <field x="3"/>
  </colFields>
  <colItems count="7">
    <i>
      <x v="1"/>
    </i>
    <i>
      <x v="2"/>
    </i>
    <i>
      <x v="3"/>
    </i>
    <i>
      <x v="4"/>
    </i>
    <i>
      <x v="5"/>
    </i>
    <i>
      <x v="6"/>
    </i>
    <i t="grand">
      <x/>
    </i>
  </colItems>
  <pageFields count="1">
    <pageField fld="1" item="1"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PivotTable6"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5:F57" firstHeaderRow="1" firstDataRow="2" firstDataCol="1" rowPageCount="1" colPageCount="1"/>
  <pivotFields count="4">
    <pivotField axis="axisPage" subtotalTop="0" showAll="0">
      <items count="3">
        <item x="0"/>
        <item x="1"/>
        <item t="default"/>
      </items>
    </pivotField>
    <pivotField axis="axisRow" subtotalTop="0" showAll="0">
      <items count="12">
        <item x="0"/>
        <item x="1"/>
        <item x="2"/>
        <item x="3"/>
        <item x="4"/>
        <item x="5"/>
        <item x="6"/>
        <item x="7"/>
        <item x="8"/>
        <item x="9"/>
        <item x="10"/>
        <item t="default"/>
      </items>
    </pivotField>
    <pivotField axis="axisCol" subtotalTop="0" showAll="0">
      <items count="6">
        <item x="0"/>
        <item x="1"/>
        <item x="2"/>
        <item x="3"/>
        <item x="4"/>
        <item t="default"/>
      </items>
    </pivotField>
    <pivotField dataField="1" subtotalTop="0" showAll="0"/>
  </pivotFields>
  <rowFields count="1">
    <field x="1"/>
  </rowFields>
  <rowItems count="11">
    <i>
      <x/>
    </i>
    <i>
      <x v="1"/>
    </i>
    <i>
      <x v="2"/>
    </i>
    <i>
      <x v="3"/>
    </i>
    <i>
      <x v="4"/>
    </i>
    <i>
      <x v="5"/>
    </i>
    <i>
      <x v="6"/>
    </i>
    <i>
      <x v="7"/>
    </i>
    <i>
      <x v="8"/>
    </i>
    <i>
      <x v="10"/>
    </i>
    <i t="grand">
      <x/>
    </i>
  </rowItems>
  <colFields count="1">
    <field x="2"/>
  </colFields>
  <colItems count="5">
    <i>
      <x v="1"/>
    </i>
    <i>
      <x v="2"/>
    </i>
    <i>
      <x v="3"/>
    </i>
    <i>
      <x v="4"/>
    </i>
    <i t="grand">
      <x/>
    </i>
  </colItems>
  <pageFields count="1">
    <pageField fld="0" item="1" hier="-1"/>
  </pageFields>
  <dataFields count="1">
    <dataField name="Sum of Total Of PositionRef"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5:F29" firstHeaderRow="1" firstDataRow="2" firstDataCol="1" rowPageCount="1" colPageCount="1"/>
  <pivotFields count="4">
    <pivotField axis="axisPage" subtotalTop="0" showAll="0">
      <items count="3">
        <item x="0"/>
        <item x="1"/>
        <item t="default"/>
      </items>
    </pivotField>
    <pivotField axis="axisRow" subtotalTop="0" showAll="0">
      <items count="3">
        <item x="0"/>
        <item x="1"/>
        <item t="default"/>
      </items>
    </pivotField>
    <pivotField axis="axisCol" subtotalTop="0" showAll="0">
      <items count="6">
        <item x="0"/>
        <item x="1"/>
        <item x="2"/>
        <item x="3"/>
        <item x="4"/>
        <item t="default"/>
      </items>
    </pivotField>
    <pivotField dataField="1" subtotalTop="0" showAll="0"/>
  </pivotFields>
  <rowFields count="1">
    <field x="1"/>
  </rowFields>
  <rowItems count="3">
    <i>
      <x/>
    </i>
    <i>
      <x v="1"/>
    </i>
    <i t="grand">
      <x/>
    </i>
  </rowItems>
  <colFields count="1">
    <field x="2"/>
  </colFields>
  <colItems count="5">
    <i>
      <x v="1"/>
    </i>
    <i>
      <x v="2"/>
    </i>
    <i>
      <x v="3"/>
    </i>
    <i>
      <x v="4"/>
    </i>
    <i t="grand">
      <x/>
    </i>
  </colItems>
  <pageFields count="1">
    <pageField fld="0" item="1" hier="-1"/>
  </pageFields>
  <dataFields count="1">
    <dataField name="Sum of Total Of PositionRef" fld="3"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PivotTable2"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15" firstHeaderRow="0" firstDataRow="1" firstDataCol="1" rowPageCount="1" colPageCount="1"/>
  <pivotFields count="16384">
    <pivotField axis="axisPage" subtotalTop="0" showAll="0">
      <items count="4">
        <item x="0"/>
        <item x="1"/>
        <item x="2"/>
        <item t="default"/>
      </items>
    </pivotField>
    <pivotField axis="axisRow" subtotalTop="0" showAll="0">
      <items count="13">
        <item x="0"/>
        <item x="1"/>
        <item x="2"/>
        <item x="3"/>
        <item x="4"/>
        <item x="5"/>
        <item x="6"/>
        <item x="7"/>
        <item x="8"/>
        <item x="9"/>
        <item x="10"/>
        <item x="11"/>
        <item t="default"/>
      </items>
    </pivotField>
    <pivotField dataField="1" subtotalTop="0" showAll="0"/>
    <pivotField dataField="1" subtotalTop="0" showAll="0"/>
    <pivotField dataField="1" subtotalTop="0" showAll="0"/>
    <pivotField dataField="1" subtotalTop="0" showAll="0"/>
    <pivotField dataField="1" subtotalTop="0" showAll="0"/>
    <pivotField subtotalTop="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2">
    <i>
      <x/>
    </i>
    <i>
      <x v="1"/>
    </i>
    <i>
      <x v="2"/>
    </i>
    <i>
      <x v="3"/>
    </i>
    <i>
      <x v="4"/>
    </i>
    <i>
      <x v="5"/>
    </i>
    <i>
      <x v="6"/>
    </i>
    <i>
      <x v="7"/>
    </i>
    <i>
      <x v="8"/>
    </i>
    <i>
      <x v="9"/>
    </i>
    <i>
      <x v="10"/>
    </i>
    <i t="grand">
      <x/>
    </i>
  </rowItems>
  <colFields count="1">
    <field x="-2"/>
  </colFields>
  <colItems count="5">
    <i>
      <x/>
    </i>
    <i i="1">
      <x v="1"/>
    </i>
    <i i="2">
      <x v="2"/>
    </i>
    <i i="3">
      <x v="3"/>
    </i>
    <i i="4">
      <x v="4"/>
    </i>
  </colItems>
  <pageFields count="1">
    <pageField fld="0" item="2" hier="-1"/>
  </pageFields>
  <dataFields count="5">
    <dataField name="Sum of Wholetime Operational" fld="2" baseField="0" baseItem="0"/>
    <dataField name="Sum of Retained Duty System" fld="3" baseField="0" baseItem="0"/>
    <dataField name="Sum of Control" fld="4" baseField="0" baseItem="0"/>
    <dataField name="Sum of Support" fld="5" baseField="0" baseItem="0"/>
    <dataField name="Sum of Volunteer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PivotTable2" cacheId="21" applyNumberFormats="0" applyBorderFormats="0" applyFontFormats="0" applyPatternFormats="0" applyAlignmentFormats="0" applyWidthHeightFormats="1" dataCaption="Values" showError="1" updatedVersion="6" minRefreshableVersion="3" useAutoFormatting="1" itemPrintTitles="1" createdVersion="6" indent="0" outline="1" outlineData="1" multipleFieldFilters="0">
  <location ref="A3:H13" firstHeaderRow="1" firstDataRow="2" firstDataCol="1"/>
  <pivotFields count="7">
    <pivotField axis="axisRow" subtotalTop="0" showAll="0">
      <items count="9">
        <item x="0"/>
        <item x="7"/>
        <item x="1"/>
        <item x="4"/>
        <item x="5"/>
        <item x="3"/>
        <item x="6"/>
        <item x="2"/>
        <item t="default"/>
      </items>
    </pivotField>
    <pivotField axis="axisCol" subtotalTop="0" showAll="0">
      <items count="7">
        <item x="0"/>
        <item x="4"/>
        <item x="5"/>
        <item x="1"/>
        <item x="2"/>
        <item x="3"/>
        <item t="default"/>
      </items>
    </pivotField>
    <pivotField subtotalTop="0" showAll="0"/>
    <pivotField subtotalTop="0" showAll="0"/>
    <pivotField dataField="1" subtotalTop="0" showAll="0"/>
    <pivotField subtotalTop="0" showAll="0"/>
    <pivotField subtotalTop="0" showAll="0"/>
  </pivotFields>
  <rowFields count="1">
    <field x="0"/>
  </rowFields>
  <rowItems count="9">
    <i>
      <x/>
    </i>
    <i>
      <x v="1"/>
    </i>
    <i>
      <x v="2"/>
    </i>
    <i>
      <x v="3"/>
    </i>
    <i>
      <x v="4"/>
    </i>
    <i>
      <x v="5"/>
    </i>
    <i>
      <x v="6"/>
    </i>
    <i>
      <x v="7"/>
    </i>
    <i t="grand">
      <x/>
    </i>
  </rowItems>
  <colFields count="1">
    <field x="1"/>
  </colFields>
  <colItems count="7">
    <i>
      <x/>
    </i>
    <i>
      <x v="1"/>
    </i>
    <i>
      <x v="2"/>
    </i>
    <i>
      <x v="3"/>
    </i>
    <i>
      <x v="4"/>
    </i>
    <i>
      <x v="5"/>
    </i>
    <i t="grand">
      <x/>
    </i>
  </colItems>
  <dataFields count="1">
    <dataField name="Sum of pcAlarmsFitted"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PivotTable1" cacheId="3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36" firstHeaderRow="0" firstDataRow="1" firstDataCol="1" rowPageCount="1" colPageCount="1"/>
  <pivotFields count="15">
    <pivotField axis="axisRow" subtotalTop="0" showAll="0">
      <items count="34">
        <item x="15"/>
        <item x="26"/>
        <item x="16"/>
        <item x="29"/>
        <item x="21"/>
        <item x="20"/>
        <item x="28"/>
        <item x="4"/>
        <item x="10"/>
        <item x="23"/>
        <item x="22"/>
        <item x="8"/>
        <item x="11"/>
        <item x="0"/>
        <item x="5"/>
        <item x="1"/>
        <item x="17"/>
        <item x="12"/>
        <item x="24"/>
        <item x="31"/>
        <item x="2"/>
        <item x="25"/>
        <item x="30"/>
        <item x="13"/>
        <item x="3"/>
        <item x="27"/>
        <item x="18"/>
        <item x="6"/>
        <item x="19"/>
        <item x="7"/>
        <item x="14"/>
        <item x="9"/>
        <item x="32"/>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axis="axisPage" subtotalTop="0" multipleItemSelectionAllowed="1" showAll="0">
      <items count="10">
        <item h="1" x="0"/>
        <item h="1" x="1"/>
        <item h="1" x="2"/>
        <item h="1" x="3"/>
        <item h="1" x="4"/>
        <item h="1" x="5"/>
        <item h="1" x="6"/>
        <item x="7"/>
        <item h="1" x="8"/>
        <item t="default"/>
      </items>
    </pivotField>
  </pivotFields>
  <rowFields count="1">
    <field x="0"/>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14" hier="-1"/>
  </pageFields>
  <dataFields count="12">
    <dataField name="Sum of HFSV - alarms installed" fld="2" baseField="0" baseItem="0"/>
    <dataField name="Sum of HFSV - advice only" fld="3" baseField="0" baseItem="0"/>
    <dataField name="Sum of Total HFSV" fld="4" baseField="0" baseItem="0"/>
    <dataField name="Sum of TotalAlarms" fld="7" baseField="0" baseItem="0"/>
    <dataField name="Sum of TotalNewAlarms" fld="5" baseField="0" baseItem="0"/>
    <dataField name="Sum of TotalReplacedAlarms" fld="6" baseField="0" baseItem="0"/>
    <dataField name="Sum of Dwellings" fld="8" baseField="0" baseItem="3"/>
    <dataField name="Sum of VisitsPer100Dwelling" fld="9" baseField="0" baseItem="3"/>
    <dataField name="Sum of AlarmsPer100Dwelling" fld="10" baseField="0" baseItem="3"/>
    <dataField name="Sum of Households" fld="11" baseField="0" baseItem="3"/>
    <dataField name="Sum of VisitsPer100Household" fld="12" baseField="0" baseItem="3"/>
    <dataField name="Sum of AlarmsPer100Household" fld="13" baseField="0" baseItem="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PivotTable1" cacheId="3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M36" firstHeaderRow="0" firstDataRow="1" firstDataCol="1" rowPageCount="1" colPageCount="1"/>
  <pivotFields count="15">
    <pivotField axis="axisPage" subtotalTop="0" showAll="0">
      <items count="9">
        <item x="0"/>
        <item x="1"/>
        <item x="2"/>
        <item x="3"/>
        <item x="4"/>
        <item x="5"/>
        <item x="6"/>
        <item x="7"/>
        <item t="default"/>
      </items>
    </pivotField>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12">
    <i>
      <x/>
    </i>
    <i i="1">
      <x v="1"/>
    </i>
    <i i="2">
      <x v="2"/>
    </i>
    <i i="3">
      <x v="3"/>
    </i>
    <i i="4">
      <x v="4"/>
    </i>
    <i i="5">
      <x v="5"/>
    </i>
    <i i="6">
      <x v="6"/>
    </i>
    <i i="7">
      <x v="7"/>
    </i>
    <i i="8">
      <x v="8"/>
    </i>
    <i i="9">
      <x v="9"/>
    </i>
    <i i="10">
      <x v="10"/>
    </i>
    <i i="11">
      <x v="11"/>
    </i>
  </colItems>
  <pageFields count="1">
    <pageField fld="0" item="7" hier="-1"/>
  </pageFields>
  <dataFields count="12">
    <dataField name="Sum of HFSV - alarms installed" fld="3" baseField="0" baseItem="0"/>
    <dataField name="Sum of HFSV - advice only" fld="4" baseField="0" baseItem="0"/>
    <dataField name="Sum of Total HFSV" fld="5" baseField="0" baseItem="0"/>
    <dataField name="Sum of TotalNewAlarms" fld="6" baseField="0" baseItem="0"/>
    <dataField name="Sum of TotalReplacedAlarms" fld="7" baseField="0" baseItem="0"/>
    <dataField name="Sum of TotalAlarms" fld="8" baseField="0" baseItem="0"/>
    <dataField name="Sum of Dwellings" fld="9" baseField="0" baseItem="0"/>
    <dataField name="Sum of VisitsPer100Dwelling" fld="10" baseField="0" baseItem="0"/>
    <dataField name="Sum of AlarmsPer100Dwelling" fld="11" baseField="0" baseItem="0"/>
    <dataField name="Sum of Households" fld="12" baseField="0" baseItem="0"/>
    <dataField name="Sum of VisitsPer100Household" fld="13" baseField="0" baseItem="0"/>
    <dataField name="Sum of AlarmsPer100Household"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PivotTable2" cacheId="3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P36" firstHeaderRow="0" firstDataRow="1" firstDataCol="1" rowPageCount="1" colPageCount="1"/>
  <pivotFields count="18">
    <pivotField axis="axisPage" subtotalTop="0" showAll="0">
      <items count="8">
        <item x="0"/>
        <item x="1"/>
        <item x="2"/>
        <item x="3"/>
        <item x="4"/>
        <item x="5"/>
        <item x="6"/>
        <item t="default"/>
      </items>
    </pivotField>
    <pivotField axis="axisRow" subtotalTop="0" showAll="0">
      <items count="34">
        <item x="12"/>
        <item x="20"/>
        <item x="17"/>
        <item x="25"/>
        <item x="4"/>
        <item x="29"/>
        <item x="0"/>
        <item x="26"/>
        <item x="5"/>
        <item x="18"/>
        <item x="7"/>
        <item x="21"/>
        <item x="31"/>
        <item x="9"/>
        <item x="8"/>
        <item x="1"/>
        <item x="22"/>
        <item x="19"/>
        <item x="2"/>
        <item m="1" x="32"/>
        <item x="14"/>
        <item x="15"/>
        <item x="23"/>
        <item x="27"/>
        <item x="13"/>
        <item x="6"/>
        <item x="10"/>
        <item x="24"/>
        <item x="30"/>
        <item x="3"/>
        <item x="11"/>
        <item x="28"/>
        <item x="16"/>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i>
    <i>
      <x v="1"/>
    </i>
    <i>
      <x v="2"/>
    </i>
    <i>
      <x v="3"/>
    </i>
    <i>
      <x v="4"/>
    </i>
    <i>
      <x v="5"/>
    </i>
    <i>
      <x v="6"/>
    </i>
    <i>
      <x v="7"/>
    </i>
    <i>
      <x v="8"/>
    </i>
    <i>
      <x v="9"/>
    </i>
    <i>
      <x v="10"/>
    </i>
    <i>
      <x v="11"/>
    </i>
    <i>
      <x v="12"/>
    </i>
    <i>
      <x v="13"/>
    </i>
    <i>
      <x v="14"/>
    </i>
    <i>
      <x v="15"/>
    </i>
    <i>
      <x v="16"/>
    </i>
    <i>
      <x v="17"/>
    </i>
    <i>
      <x v="18"/>
    </i>
    <i>
      <x v="20"/>
    </i>
    <i>
      <x v="21"/>
    </i>
    <i>
      <x v="22"/>
    </i>
    <i>
      <x v="23"/>
    </i>
    <i>
      <x v="24"/>
    </i>
    <i>
      <x v="25"/>
    </i>
    <i>
      <x v="26"/>
    </i>
    <i>
      <x v="27"/>
    </i>
    <i>
      <x v="28"/>
    </i>
    <i>
      <x v="29"/>
    </i>
    <i>
      <x v="30"/>
    </i>
    <i>
      <x v="31"/>
    </i>
    <i>
      <x v="32"/>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1">
    <pageField fld="0" item="6" hier="-1"/>
  </pageFields>
  <dataFields count="15">
    <dataField name="Sum of Hospital / Prison" fld="3" baseField="1" baseItem="0"/>
    <dataField name="Sum of Care Home" fld="4" baseField="1" baseItem="0"/>
    <dataField name="Sum of HMO" fld="5" baseField="1" baseItem="0"/>
    <dataField name="Sum of Hostel" fld="6" baseField="1" baseItem="0"/>
    <dataField name="Sum of Hotel" fld="7" baseField="1" baseItem="0"/>
    <dataField name="Sum of Other Sleeping Accommodation" fld="8" baseField="1" baseItem="0"/>
    <dataField name="Sum of Further Education" fld="9" baseField="1" baseItem="0"/>
    <dataField name="Sum of Public Building" fld="10" baseField="1" baseItem="0"/>
    <dataField name="Sum of Licensed Premises" fld="11" baseField="1" baseItem="0"/>
    <dataField name="Sum of School" fld="12" baseField="1" baseItem="0"/>
    <dataField name="Sum of Shop" fld="13" baseField="1" baseItem="0"/>
    <dataField name="Sum of Other Sleeping Accomm" fld="14" baseField="1" baseItem="0"/>
    <dataField name="Sum of Factory or Warehouse" fld="15" baseField="1" baseItem="0"/>
    <dataField name="Sum of Office" fld="16" baseField="1" baseItem="0"/>
    <dataField name="Sum of Other Workplace" fld="1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PivotTable5" cacheId="2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19" firstHeaderRow="0" firstDataRow="1" firstDataCol="1" rowPageCount="1" colPageCount="1"/>
  <pivotFields count="11">
    <pivotField name="Year" axis="axisPage" subtotalTop="0" showAll="0">
      <items count="8">
        <item x="0"/>
        <item x="1"/>
        <item x="2"/>
        <item x="3"/>
        <item x="4"/>
        <item x="5"/>
        <item x="6"/>
        <item t="default"/>
      </items>
    </pivotField>
    <pivotField axis="axisRow" subtotalTop="0" showAll="0">
      <items count="16">
        <item x="0"/>
        <item x="1"/>
        <item x="2"/>
        <item x="3"/>
        <item x="4"/>
        <item x="5"/>
        <item x="6"/>
        <item x="7"/>
        <item x="8"/>
        <item x="9"/>
        <item x="10"/>
        <item x="11"/>
        <item x="12"/>
        <item x="13"/>
        <item x="14"/>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8">
    <i>
      <x/>
    </i>
    <i i="1">
      <x v="1"/>
    </i>
    <i i="2">
      <x v="2"/>
    </i>
    <i i="3">
      <x v="3"/>
    </i>
    <i i="4">
      <x v="4"/>
    </i>
    <i i="5">
      <x v="5"/>
    </i>
    <i i="6">
      <x v="6"/>
    </i>
    <i i="7">
      <x v="7"/>
    </i>
  </colItems>
  <pageFields count="1">
    <pageField fld="0" item="6" hier="-1"/>
  </pageFields>
  <dataFields count="8">
    <dataField name="Sum of A_Tally" fld="3" baseField="0" baseItem="0"/>
    <dataField name="Sum of A_Hours" fld="4" baseField="2" baseItem="0"/>
    <dataField name="Sum of B_Tally" fld="5" baseField="2" baseItem="0"/>
    <dataField name="Sum of B_Hours" fld="6" baseField="2" baseItem="0"/>
    <dataField name="Sum of Enforcement_Tally" fld="7" baseField="2" baseItem="0"/>
    <dataField name="Sum of Enforcement_Hours" fld="8" baseField="2" baseItem="0"/>
    <dataField name="Sum of Prohibition_Tally" fld="9" baseField="2" baseItem="0"/>
    <dataField name="Sum of Prohibition_Hours" fld="10" baseField="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PivotTable3" cacheId="2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36" firstHeaderRow="0" firstDataRow="1" firstDataCol="1" rowPageCount="1" colPageCount="1"/>
  <pivotFields count="11">
    <pivotField name="Year" axis="axisPage" subtotalTop="0" showAll="0">
      <items count="9">
        <item m="1" x="7"/>
        <item x="0"/>
        <item x="1"/>
        <item x="2"/>
        <item x="3"/>
        <item x="4"/>
        <item x="5"/>
        <item x="6"/>
        <item t="default"/>
      </items>
    </pivotField>
    <pivotField axis="axisRow" subtotalTop="0" showAll="0">
      <items count="34">
        <item m="1" x="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33">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8">
    <i>
      <x/>
    </i>
    <i i="1">
      <x v="1"/>
    </i>
    <i i="2">
      <x v="2"/>
    </i>
    <i i="3">
      <x v="3"/>
    </i>
    <i i="4">
      <x v="4"/>
    </i>
    <i i="5">
      <x v="5"/>
    </i>
    <i i="6">
      <x v="6"/>
    </i>
    <i i="7">
      <x v="7"/>
    </i>
  </colItems>
  <pageFields count="1">
    <pageField fld="0" item="7" hier="-1"/>
  </pageFields>
  <dataFields count="8">
    <dataField name="Sum of A_Tally" fld="3" baseField="1" baseItem="0"/>
    <dataField name="Sum of A_Hours" fld="4" baseField="1" baseItem="0"/>
    <dataField name="Sum of B_Tally" fld="5" baseField="1" baseItem="0"/>
    <dataField name="Sum of B_Hours" fld="6" baseField="1" baseItem="0"/>
    <dataField name="Sum of Enforcement_Tally" fld="7" baseField="1" baseItem="0"/>
    <dataField name="Sum of Enforcement_Hours" fld="8" baseField="1" baseItem="0"/>
    <dataField name="Sum of Prohibition_Tally" fld="9" baseField="1" baseItem="0"/>
    <dataField name="Sum of Prohibition_Hours" fld="10"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0"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36" firstHeaderRow="0" firstDataRow="1" firstDataCol="1" rowPageCount="1" colPageCount="1"/>
  <pivotFields count="10">
    <pivotField axis="axisPage" subtotalTop="0" showAll="0">
      <items count="4">
        <item x="0"/>
        <item x="1"/>
        <item x="2"/>
        <item t="default"/>
      </items>
    </pivotField>
    <pivotField subtotalTop="0" showAll="0"/>
    <pivotField axis="axisRow" subtotalTop="0" showAll="0">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s>
  <rowFields count="1">
    <field x="2"/>
  </rowFields>
  <rowItems count="3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t="grand">
      <x/>
    </i>
  </rowItems>
  <colFields count="1">
    <field x="-2"/>
  </colFields>
  <colItems count="7">
    <i>
      <x/>
    </i>
    <i i="1">
      <x v="1"/>
    </i>
    <i i="2">
      <x v="2"/>
    </i>
    <i i="3">
      <x v="3"/>
    </i>
    <i i="4">
      <x v="4"/>
    </i>
    <i i="5">
      <x v="5"/>
    </i>
    <i i="6">
      <x v="6"/>
    </i>
  </colItems>
  <pageFields count="1">
    <pageField fld="0" item="2" hier="-1"/>
  </pageFields>
  <dataFields count="7">
    <dataField name="Sum of Pumping Appliances" fld="3" baseField="0" baseItem="0"/>
    <dataField name="Sum of Aerial Appliances" fld="4" baseField="0" baseItem="0"/>
    <dataField name="Sum of Vehicles for Rescue Work" fld="6" baseField="0" baseItem="0"/>
    <dataField name="Sum of Small Firefighting Vehicles" fld="7" baseField="0" baseItem="0"/>
    <dataField name="Sum of Other Operational" fld="8" baseField="0" baseItem="0"/>
    <dataField name="Sum of Resilience Appliances" fld="5" baseField="0" baseItem="0"/>
    <dataField name="Sum of Total Appliance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G19" firstHeaderRow="0" firstDataRow="1" firstDataCol="1" rowPageCount="1" colPageCount="1"/>
  <pivotFields count="10">
    <pivotField axis="axisPage" subtotalTop="0" multipleItemSelectionAllowed="1" showAll="0">
      <items count="8">
        <item h="1" x="0"/>
        <item h="1" x="1"/>
        <item h="1" x="6"/>
        <item h="1" x="2"/>
        <item h="1" x="3"/>
        <item h="1" x="4"/>
        <item x="5"/>
        <item t="default"/>
      </items>
    </pivotField>
    <pivotField axis="axisRow" subtotalTop="0" showAll="0">
      <items count="16">
        <item x="7"/>
        <item x="9"/>
        <item x="10"/>
        <item x="6"/>
        <item x="11"/>
        <item x="4"/>
        <item x="8"/>
        <item x="5"/>
        <item x="0"/>
        <item x="12"/>
        <item x="2"/>
        <item x="13"/>
        <item x="14"/>
        <item x="3"/>
        <item x="1"/>
        <item t="default"/>
      </items>
    </pivotField>
    <pivotField subtotalTop="0" showAll="0"/>
    <pivotField dataField="1" subtotalTop="0" showAll="0"/>
    <pivotField dataField="1" subtotalTop="0" showAll="0"/>
    <pivotField dataField="1" subtotalTop="0" showAll="0"/>
    <pivotField dataField="1" subtotalTop="0" showAll="0"/>
    <pivotField dataField="1" subtotalTop="0" showAll="0"/>
    <pivotField dataField="1" showAll="0">
      <items count="9">
        <item x="1"/>
        <item x="3"/>
        <item x="6"/>
        <item x="2"/>
        <item x="4"/>
        <item x="5"/>
        <item x="7"/>
        <item x="0"/>
        <item t="default"/>
      </items>
    </pivotField>
    <pivotField subtotalTop="0"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6">
    <i>
      <x/>
    </i>
    <i i="1">
      <x v="1"/>
    </i>
    <i i="2">
      <x v="2"/>
    </i>
    <i i="3">
      <x v="3"/>
    </i>
    <i i="4">
      <x v="4"/>
    </i>
    <i i="5">
      <x v="5"/>
    </i>
  </colItems>
  <pageFields count="1">
    <pageField fld="0" hier="-1"/>
  </pageFields>
  <dataFields count="6">
    <dataField name="Sum of VL" fld="3" baseField="0" baseItem="0"/>
    <dataField name="Sum of L" fld="4" baseField="0" baseItem="0"/>
    <dataField name="Sum of M" fld="5" baseField="0" baseItem="0"/>
    <dataField name="Sum of H" fld="6" baseField="0" baseItem="0"/>
    <dataField name="Sum of VH" fld="7" baseField="0" baseItem="0"/>
    <dataField name="Sum of Not Known" fld="8"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E65" firstHeaderRow="0" firstDataRow="1" firstDataCol="1" rowPageCount="1" colPageCount="1"/>
  <pivotFields count="7">
    <pivotField axis="axisPage" subtotalTop="0" showAll="0">
      <items count="5">
        <item x="0"/>
        <item x="1"/>
        <item x="2"/>
        <item m="1" x="3"/>
        <item t="default"/>
      </items>
    </pivotField>
    <pivotField axis="axisRow" subtotalTop="0" showAll="0">
      <items count="6">
        <item x="0"/>
        <item x="1"/>
        <item x="2"/>
        <item x="3"/>
        <item m="1" x="4"/>
        <item t="default"/>
      </items>
    </pivotField>
    <pivotField axis="axisRow" subtotalTop="0" showAll="0" sortType="ascending">
      <items count="51">
        <item x="0"/>
        <item x="1"/>
        <item x="32"/>
        <item x="2"/>
        <item x="3"/>
        <item x="33"/>
        <item x="4"/>
        <item x="5"/>
        <item x="6"/>
        <item x="34"/>
        <item x="7"/>
        <item x="35"/>
        <item x="44"/>
        <item x="8"/>
        <item x="36"/>
        <item x="9"/>
        <item x="10"/>
        <item x="37"/>
        <item x="11"/>
        <item x="38"/>
        <item x="39"/>
        <item x="12"/>
        <item x="40"/>
        <item x="13"/>
        <item x="14"/>
        <item x="15"/>
        <item x="41"/>
        <item x="16"/>
        <item x="17"/>
        <item x="18"/>
        <item x="19"/>
        <item x="45"/>
        <item x="20"/>
        <item x="21"/>
        <item x="22"/>
        <item x="23"/>
        <item x="24"/>
        <item x="47"/>
        <item x="25"/>
        <item x="26"/>
        <item x="27"/>
        <item x="28"/>
        <item x="29"/>
        <item x="42"/>
        <item x="48"/>
        <item x="46"/>
        <item x="30"/>
        <item x="31"/>
        <item x="43"/>
        <item m="1" x="49"/>
        <item t="default"/>
      </items>
    </pivotField>
    <pivotField dataField="1" subtotalTop="0" showAll="0"/>
    <pivotField dataField="1" subtotalTop="0" showAll="0"/>
    <pivotField dataField="1" subtotalTop="0" showAll="0"/>
    <pivotField dataField="1" subtotalTop="0" showAll="0"/>
  </pivotFields>
  <rowFields count="2">
    <field x="1"/>
    <field x="2"/>
  </rowFields>
  <rowItems count="62">
    <i>
      <x/>
    </i>
    <i r="1">
      <x/>
    </i>
    <i r="1">
      <x v="1"/>
    </i>
    <i r="1">
      <x v="3"/>
    </i>
    <i r="1">
      <x v="4"/>
    </i>
    <i r="1">
      <x v="6"/>
    </i>
    <i r="1">
      <x v="7"/>
    </i>
    <i r="1">
      <x v="8"/>
    </i>
    <i r="1">
      <x v="10"/>
    </i>
    <i r="1">
      <x v="13"/>
    </i>
    <i r="1">
      <x v="15"/>
    </i>
    <i r="1">
      <x v="16"/>
    </i>
    <i r="1">
      <x v="18"/>
    </i>
    <i r="1">
      <x v="21"/>
    </i>
    <i r="1">
      <x v="23"/>
    </i>
    <i r="1">
      <x v="24"/>
    </i>
    <i r="1">
      <x v="25"/>
    </i>
    <i r="1">
      <x v="27"/>
    </i>
    <i r="1">
      <x v="28"/>
    </i>
    <i r="1">
      <x v="29"/>
    </i>
    <i r="1">
      <x v="30"/>
    </i>
    <i r="1">
      <x v="32"/>
    </i>
    <i r="1">
      <x v="33"/>
    </i>
    <i r="1">
      <x v="34"/>
    </i>
    <i r="1">
      <x v="35"/>
    </i>
    <i r="1">
      <x v="36"/>
    </i>
    <i r="1">
      <x v="38"/>
    </i>
    <i r="1">
      <x v="39"/>
    </i>
    <i r="1">
      <x v="40"/>
    </i>
    <i r="1">
      <x v="41"/>
    </i>
    <i r="1">
      <x v="42"/>
    </i>
    <i r="1">
      <x v="46"/>
    </i>
    <i r="1">
      <x v="47"/>
    </i>
    <i t="default">
      <x/>
    </i>
    <i>
      <x v="1"/>
    </i>
    <i r="1">
      <x/>
    </i>
    <i r="1">
      <x v="2"/>
    </i>
    <i r="1">
      <x v="5"/>
    </i>
    <i r="1">
      <x v="9"/>
    </i>
    <i r="1">
      <x v="11"/>
    </i>
    <i r="1">
      <x v="14"/>
    </i>
    <i r="1">
      <x v="17"/>
    </i>
    <i r="1">
      <x v="19"/>
    </i>
    <i r="1">
      <x v="20"/>
    </i>
    <i r="1">
      <x v="22"/>
    </i>
    <i r="1">
      <x v="23"/>
    </i>
    <i r="1">
      <x v="24"/>
    </i>
    <i r="1">
      <x v="26"/>
    </i>
    <i r="1">
      <x v="33"/>
    </i>
    <i r="1">
      <x v="41"/>
    </i>
    <i r="1">
      <x v="44"/>
    </i>
    <i r="1">
      <x v="48"/>
    </i>
    <i t="default">
      <x v="1"/>
    </i>
    <i>
      <x v="2"/>
    </i>
    <i r="1">
      <x v="12"/>
    </i>
    <i r="1">
      <x v="31"/>
    </i>
    <i r="1">
      <x v="45"/>
    </i>
    <i t="default">
      <x v="2"/>
    </i>
    <i>
      <x v="3"/>
    </i>
    <i r="1">
      <x v="37"/>
    </i>
    <i t="default">
      <x v="3"/>
    </i>
    <i t="grand">
      <x/>
    </i>
  </rowItems>
  <colFields count="1">
    <field x="-2"/>
  </colFields>
  <colItems count="4">
    <i>
      <x/>
    </i>
    <i i="1">
      <x v="1"/>
    </i>
    <i i="2">
      <x v="2"/>
    </i>
    <i i="3">
      <x v="3"/>
    </i>
  </colItems>
  <pageFields count="1">
    <pageField fld="0" item="2" hier="-1"/>
  </pageFields>
  <dataFields count="4">
    <dataField name="Sum of Operational Crewing" fld="3" baseField="0" baseItem="0"/>
    <dataField name="Sum of Incident Command Officers" fld="4" baseField="0" baseItem="0"/>
    <dataField name="Sum of Office Duties" fld="5" baseField="0" baseItem="0"/>
    <dataField name="Sum of Trainees"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0:H46" firstHeaderRow="1" firstDataRow="2" firstDataCol="1" rowPageCount="2" colPageCount="1"/>
  <pivotFields count="5">
    <pivotField axis="axisPage" subtotalTop="0" showAll="0">
      <items count="4">
        <item x="0"/>
        <item x="1"/>
        <item x="2"/>
        <item t="default"/>
      </items>
    </pivotField>
    <pivotField axis="axisPage" subtotalTop="0" showAll="0">
      <items count="4">
        <item x="1"/>
        <item x="0"/>
        <item x="2"/>
        <item t="default"/>
      </items>
    </pivotField>
    <pivotField axis="axisRow" subtotalTop="0" showAll="0">
      <items count="19">
        <item x="0"/>
        <item x="1"/>
        <item m="1" x="17"/>
        <item x="12"/>
        <item x="14"/>
        <item x="13"/>
        <item x="8"/>
        <item x="9"/>
        <item x="15"/>
        <item x="10"/>
        <item x="2"/>
        <item x="4"/>
        <item x="3"/>
        <item x="11"/>
        <item x="5"/>
        <item x="6"/>
        <item x="7"/>
        <item x="16"/>
        <item t="default"/>
      </items>
    </pivotField>
    <pivotField axis="axisCol" subtotalTop="0" showAll="0">
      <items count="8">
        <item x="1"/>
        <item x="5"/>
        <item x="2"/>
        <item x="3"/>
        <item x="4"/>
        <item x="0"/>
        <item x="6"/>
        <item t="default"/>
      </items>
    </pivotField>
    <pivotField dataField="1" subtotalTop="0" showAll="0"/>
  </pivotFields>
  <rowFields count="1">
    <field x="2"/>
  </rowFields>
  <rowItems count="15">
    <i>
      <x/>
    </i>
    <i>
      <x v="1"/>
    </i>
    <i>
      <x v="3"/>
    </i>
    <i>
      <x v="4"/>
    </i>
    <i>
      <x v="7"/>
    </i>
    <i>
      <x v="8"/>
    </i>
    <i>
      <x v="9"/>
    </i>
    <i>
      <x v="10"/>
    </i>
    <i>
      <x v="11"/>
    </i>
    <i>
      <x v="12"/>
    </i>
    <i>
      <x v="13"/>
    </i>
    <i>
      <x v="14"/>
    </i>
    <i>
      <x v="15"/>
    </i>
    <i>
      <x v="16"/>
    </i>
    <i t="grand">
      <x/>
    </i>
  </rowItems>
  <colFields count="1">
    <field x="3"/>
  </colFields>
  <colItems count="7">
    <i>
      <x/>
    </i>
    <i>
      <x v="1"/>
    </i>
    <i>
      <x v="2"/>
    </i>
    <i>
      <x v="3"/>
    </i>
    <i>
      <x v="4"/>
    </i>
    <i>
      <x v="5"/>
    </i>
    <i t="grand">
      <x/>
    </i>
  </colItems>
  <pageFields count="2">
    <pageField fld="0" item="1" hier="-1"/>
    <pageField fld="1" item="0"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H20" firstHeaderRow="1" firstDataRow="2" firstDataCol="1" rowPageCount="2" colPageCount="1"/>
  <pivotFields count="5">
    <pivotField axis="axisPage" subtotalTop="0" showAll="0">
      <items count="4">
        <item x="0"/>
        <item x="1"/>
        <item x="2"/>
        <item t="default"/>
      </items>
    </pivotField>
    <pivotField axis="axisPage" subtotalTop="0" showAll="0">
      <items count="4">
        <item x="1"/>
        <item x="0"/>
        <item x="2"/>
        <item t="default"/>
      </items>
    </pivotField>
    <pivotField axis="axisRow" subtotalTop="0" showAll="0">
      <items count="19">
        <item x="0"/>
        <item x="1"/>
        <item m="1" x="17"/>
        <item x="12"/>
        <item x="14"/>
        <item x="13"/>
        <item x="8"/>
        <item x="9"/>
        <item x="15"/>
        <item x="10"/>
        <item x="2"/>
        <item x="4"/>
        <item x="3"/>
        <item x="11"/>
        <item x="5"/>
        <item x="6"/>
        <item x="7"/>
        <item x="16"/>
        <item t="default"/>
      </items>
    </pivotField>
    <pivotField axis="axisCol" subtotalTop="0" showAll="0">
      <items count="8">
        <item x="1"/>
        <item x="5"/>
        <item x="2"/>
        <item x="3"/>
        <item x="4"/>
        <item x="0"/>
        <item x="6"/>
        <item t="default"/>
      </items>
    </pivotField>
    <pivotField dataField="1" subtotalTop="0" showAll="0"/>
  </pivotFields>
  <rowFields count="1">
    <field x="2"/>
  </rowFields>
  <rowItems count="15">
    <i>
      <x/>
    </i>
    <i>
      <x v="1"/>
    </i>
    <i>
      <x v="3"/>
    </i>
    <i>
      <x v="4"/>
    </i>
    <i>
      <x v="7"/>
    </i>
    <i>
      <x v="8"/>
    </i>
    <i>
      <x v="9"/>
    </i>
    <i>
      <x v="10"/>
    </i>
    <i>
      <x v="11"/>
    </i>
    <i>
      <x v="12"/>
    </i>
    <i>
      <x v="13"/>
    </i>
    <i>
      <x v="14"/>
    </i>
    <i>
      <x v="15"/>
    </i>
    <i>
      <x v="16"/>
    </i>
    <i t="grand">
      <x/>
    </i>
  </rowItems>
  <colFields count="1">
    <field x="3"/>
  </colFields>
  <colItems count="7">
    <i>
      <x/>
    </i>
    <i>
      <x v="1"/>
    </i>
    <i>
      <x v="2"/>
    </i>
    <i>
      <x v="3"/>
    </i>
    <i>
      <x v="4"/>
    </i>
    <i>
      <x v="5"/>
    </i>
    <i t="grand">
      <x/>
    </i>
  </colItems>
  <pageFields count="2">
    <pageField fld="0" item="1" hier="-1"/>
    <pageField fld="1" item="1" hier="-1"/>
  </pageFields>
  <dataFields count="1">
    <dataField name="Sum of Total"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4"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8" firstHeaderRow="0" firstDataRow="1" firstDataCol="1" rowPageCount="1" colPageCount="1"/>
  <pivotFields count="7">
    <pivotField axis="axisPage" subtotalTop="0" showAll="0">
      <items count="9">
        <item x="0"/>
        <item x="1"/>
        <item x="2"/>
        <item x="3"/>
        <item x="4"/>
        <item x="5"/>
        <item x="6"/>
        <item x="7"/>
        <item t="default"/>
      </items>
    </pivotField>
    <pivotField axis="axisRow" subtotalTop="0" showAll="0">
      <items count="7">
        <item m="1" x="5"/>
        <item x="3"/>
        <item x="0"/>
        <item x="1"/>
        <item x="2"/>
        <item m="1" x="4"/>
        <item t="default"/>
      </items>
    </pivotField>
    <pivotField dataField="1" subtotalTop="0" showAll="0"/>
    <pivotField dataField="1" subtotalTop="0" showAll="0"/>
    <pivotField dataField="1" subtotalTop="0" showAll="0"/>
    <pivotField dataField="1" subtotalTop="0" showAll="0"/>
    <pivotField dataField="1" subtotalTop="0" showAll="0"/>
  </pivotFields>
  <rowFields count="1">
    <field x="1"/>
  </rowFields>
  <rowItems count="5">
    <i>
      <x v="1"/>
    </i>
    <i>
      <x v="2"/>
    </i>
    <i>
      <x v="3"/>
    </i>
    <i>
      <x v="4"/>
    </i>
    <i t="grand">
      <x/>
    </i>
  </rowItems>
  <colFields count="1">
    <field x="-2"/>
  </colFields>
  <colItems count="5">
    <i>
      <x/>
    </i>
    <i i="1">
      <x v="1"/>
    </i>
    <i i="2">
      <x v="2"/>
    </i>
    <i i="3">
      <x v="3"/>
    </i>
    <i i="4">
      <x v="4"/>
    </i>
  </colItems>
  <pageFields count="1">
    <pageField fld="0" item="7" hier="-1"/>
  </pageFields>
  <dataFields count="5">
    <dataField name="Sum of Wholetime Operational" fld="2" baseField="1" baseItem="0"/>
    <dataField name="Sum of RDS" fld="3" baseField="1" baseItem="0"/>
    <dataField name="Sum of Control" fld="4" baseField="1" baseItem="0"/>
    <dataField name="Sum of Support" fld="5" baseField="1" baseItem="0"/>
    <dataField name="Sum of Volunteer" fld="6"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5"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98" firstHeaderRow="0" firstDataRow="1" firstDataCol="1" rowPageCount="1" colPageCount="1"/>
  <pivotFields count="9">
    <pivotField axis="axisPage" subtotalTop="0" showAll="0">
      <items count="9">
        <item x="0"/>
        <item x="1"/>
        <item x="2"/>
        <item x="3"/>
        <item x="4"/>
        <item x="5"/>
        <item x="6"/>
        <item x="7"/>
        <item t="default"/>
      </items>
    </pivotField>
    <pivotField axis="axisRow" subtotalTop="0" showAll="0">
      <items count="6">
        <item x="4"/>
        <item x="0"/>
        <item x="1"/>
        <item x="2"/>
        <item x="3"/>
        <item t="default"/>
      </items>
    </pivotField>
    <pivotField axis="axisRow" subtotalTop="0" showAll="0">
      <items count="53">
        <item x="27"/>
        <item x="17"/>
        <item x="35"/>
        <item x="21"/>
        <item x="51"/>
        <item x="7"/>
        <item x="41"/>
        <item x="2"/>
        <item x="22"/>
        <item x="47"/>
        <item x="3"/>
        <item x="14"/>
        <item x="32"/>
        <item x="43"/>
        <item x="8"/>
        <item x="33"/>
        <item x="4"/>
        <item x="28"/>
        <item x="34"/>
        <item x="15"/>
        <item x="37"/>
        <item x="42"/>
        <item x="29"/>
        <item x="38"/>
        <item x="0"/>
        <item x="23"/>
        <item x="9"/>
        <item x="39"/>
        <item x="30"/>
        <item x="1"/>
        <item x="31"/>
        <item x="18"/>
        <item x="44"/>
        <item x="19"/>
        <item x="5"/>
        <item x="6"/>
        <item x="49"/>
        <item x="10"/>
        <item x="11"/>
        <item x="46"/>
        <item x="12"/>
        <item x="20"/>
        <item x="13"/>
        <item x="24"/>
        <item x="25"/>
        <item x="40"/>
        <item x="50"/>
        <item x="45"/>
        <item x="26"/>
        <item x="16"/>
        <item x="36"/>
        <item x="48"/>
        <item t="default"/>
      </items>
    </pivotField>
    <pivotField dataField="1" subtotalTop="0" showAll="0"/>
    <pivotField dataField="1" subtotalTop="0" showAll="0">
      <items count="132">
        <item x="4"/>
        <item x="63"/>
        <item x="20"/>
        <item x="58"/>
        <item x="24"/>
        <item x="104"/>
        <item x="1"/>
        <item x="55"/>
        <item x="2"/>
        <item x="40"/>
        <item x="11"/>
        <item x="117"/>
        <item x="91"/>
        <item x="77"/>
        <item x="23"/>
        <item x="67"/>
        <item x="105"/>
        <item x="19"/>
        <item x="87"/>
        <item x="41"/>
        <item x="78"/>
        <item x="118"/>
        <item x="123"/>
        <item x="5"/>
        <item x="34"/>
        <item x="65"/>
        <item x="85"/>
        <item x="89"/>
        <item x="126"/>
        <item x="74"/>
        <item x="37"/>
        <item x="64"/>
        <item x="27"/>
        <item x="101"/>
        <item x="86"/>
        <item x="95"/>
        <item x="25"/>
        <item x="57"/>
        <item x="13"/>
        <item x="54"/>
        <item x="72"/>
        <item x="114"/>
        <item x="14"/>
        <item x="103"/>
        <item x="45"/>
        <item x="110"/>
        <item x="73"/>
        <item x="26"/>
        <item x="32"/>
        <item x="56"/>
        <item x="70"/>
        <item x="22"/>
        <item x="39"/>
        <item x="8"/>
        <item x="127"/>
        <item x="42"/>
        <item x="82"/>
        <item x="49"/>
        <item x="60"/>
        <item x="21"/>
        <item x="120"/>
        <item x="48"/>
        <item x="98"/>
        <item x="17"/>
        <item x="44"/>
        <item x="66"/>
        <item x="18"/>
        <item x="93"/>
        <item x="119"/>
        <item x="28"/>
        <item x="84"/>
        <item x="102"/>
        <item x="69"/>
        <item x="51"/>
        <item x="61"/>
        <item x="0"/>
        <item x="50"/>
        <item x="6"/>
        <item x="125"/>
        <item x="99"/>
        <item x="107"/>
        <item x="94"/>
        <item x="96"/>
        <item x="38"/>
        <item x="76"/>
        <item x="75"/>
        <item x="59"/>
        <item x="35"/>
        <item x="46"/>
        <item x="130"/>
        <item x="88"/>
        <item x="16"/>
        <item x="12"/>
        <item x="116"/>
        <item x="83"/>
        <item x="10"/>
        <item x="80"/>
        <item x="47"/>
        <item x="115"/>
        <item x="122"/>
        <item x="43"/>
        <item x="129"/>
        <item x="112"/>
        <item x="30"/>
        <item x="106"/>
        <item x="92"/>
        <item x="62"/>
        <item x="81"/>
        <item x="121"/>
        <item x="7"/>
        <item x="90"/>
        <item x="53"/>
        <item x="113"/>
        <item x="3"/>
        <item x="79"/>
        <item x="31"/>
        <item x="52"/>
        <item x="97"/>
        <item x="36"/>
        <item x="71"/>
        <item x="109"/>
        <item x="111"/>
        <item x="128"/>
        <item x="15"/>
        <item x="124"/>
        <item x="68"/>
        <item x="100"/>
        <item x="33"/>
        <item x="108"/>
        <item x="9"/>
        <item x="29"/>
        <item t="default"/>
      </items>
    </pivotField>
    <pivotField dataField="1" subtotalTop="0" showAll="0">
      <items count="11">
        <item x="5"/>
        <item x="4"/>
        <item x="9"/>
        <item x="8"/>
        <item x="6"/>
        <item x="3"/>
        <item x="7"/>
        <item x="1"/>
        <item x="2"/>
        <item x="0"/>
        <item t="default"/>
      </items>
    </pivotField>
    <pivotField dataField="1" subtotalTop="0" showAll="0">
      <items count="34">
        <item x="17"/>
        <item x="24"/>
        <item x="23"/>
        <item x="27"/>
        <item x="28"/>
        <item x="30"/>
        <item x="25"/>
        <item x="22"/>
        <item x="31"/>
        <item x="9"/>
        <item x="10"/>
        <item x="6"/>
        <item x="18"/>
        <item x="2"/>
        <item x="15"/>
        <item x="20"/>
        <item x="7"/>
        <item x="14"/>
        <item x="1"/>
        <item x="4"/>
        <item x="8"/>
        <item x="16"/>
        <item x="13"/>
        <item x="21"/>
        <item x="11"/>
        <item x="12"/>
        <item x="19"/>
        <item x="5"/>
        <item x="3"/>
        <item x="26"/>
        <item x="29"/>
        <item x="32"/>
        <item x="0"/>
        <item t="default"/>
      </items>
    </pivotField>
    <pivotField dataField="1" subtotalTop="0" showAll="0">
      <items count="33">
        <item x="0"/>
        <item x="12"/>
        <item x="6"/>
        <item x="10"/>
        <item x="1"/>
        <item x="15"/>
        <item x="27"/>
        <item x="23"/>
        <item x="17"/>
        <item x="5"/>
        <item x="20"/>
        <item x="16"/>
        <item x="13"/>
        <item x="4"/>
        <item x="14"/>
        <item x="25"/>
        <item x="7"/>
        <item x="31"/>
        <item x="30"/>
        <item x="28"/>
        <item x="26"/>
        <item x="21"/>
        <item x="19"/>
        <item x="11"/>
        <item x="3"/>
        <item x="22"/>
        <item x="18"/>
        <item x="2"/>
        <item x="24"/>
        <item x="29"/>
        <item x="9"/>
        <item x="8"/>
        <item t="default"/>
      </items>
    </pivotField>
    <pivotField subtotalTop="0" showAll="0"/>
  </pivotFields>
  <rowFields count="2">
    <field x="1"/>
    <field x="2"/>
  </rowFields>
  <rowItems count="95">
    <i>
      <x/>
    </i>
    <i r="1">
      <x/>
    </i>
    <i r="1">
      <x v="1"/>
    </i>
    <i r="1">
      <x v="4"/>
    </i>
    <i r="1">
      <x v="5"/>
    </i>
    <i r="1">
      <x v="7"/>
    </i>
    <i r="1">
      <x v="9"/>
    </i>
    <i r="1">
      <x v="14"/>
    </i>
    <i r="1">
      <x v="16"/>
    </i>
    <i r="1">
      <x v="19"/>
    </i>
    <i r="1">
      <x v="21"/>
    </i>
    <i r="1">
      <x v="22"/>
    </i>
    <i r="1">
      <x v="24"/>
    </i>
    <i r="1">
      <x v="25"/>
    </i>
    <i r="1">
      <x v="26"/>
    </i>
    <i r="1">
      <x v="28"/>
    </i>
    <i r="1">
      <x v="29"/>
    </i>
    <i r="1">
      <x v="31"/>
    </i>
    <i r="1">
      <x v="33"/>
    </i>
    <i r="1">
      <x v="34"/>
    </i>
    <i r="1">
      <x v="35"/>
    </i>
    <i r="1">
      <x v="36"/>
    </i>
    <i r="1">
      <x v="38"/>
    </i>
    <i r="1">
      <x v="41"/>
    </i>
    <i r="1">
      <x v="42"/>
    </i>
    <i r="1">
      <x v="43"/>
    </i>
    <i r="1">
      <x v="44"/>
    </i>
    <i r="1">
      <x v="48"/>
    </i>
    <i r="1">
      <x v="49"/>
    </i>
    <i r="1">
      <x v="51"/>
    </i>
    <i t="default">
      <x/>
    </i>
    <i>
      <x v="1"/>
    </i>
    <i r="1">
      <x/>
    </i>
    <i r="1">
      <x v="1"/>
    </i>
    <i r="1">
      <x v="3"/>
    </i>
    <i r="1">
      <x v="5"/>
    </i>
    <i r="1">
      <x v="7"/>
    </i>
    <i r="1">
      <x v="8"/>
    </i>
    <i r="1">
      <x v="9"/>
    </i>
    <i r="1">
      <x v="10"/>
    </i>
    <i r="1">
      <x v="11"/>
    </i>
    <i r="1">
      <x v="14"/>
    </i>
    <i r="1">
      <x v="16"/>
    </i>
    <i r="1">
      <x v="17"/>
    </i>
    <i r="1">
      <x v="19"/>
    </i>
    <i r="1">
      <x v="22"/>
    </i>
    <i r="1">
      <x v="24"/>
    </i>
    <i r="1">
      <x v="25"/>
    </i>
    <i r="1">
      <x v="26"/>
    </i>
    <i r="1">
      <x v="28"/>
    </i>
    <i r="1">
      <x v="29"/>
    </i>
    <i r="1">
      <x v="30"/>
    </i>
    <i r="1">
      <x v="31"/>
    </i>
    <i r="1">
      <x v="33"/>
    </i>
    <i r="1">
      <x v="34"/>
    </i>
    <i r="1">
      <x v="35"/>
    </i>
    <i r="1">
      <x v="37"/>
    </i>
    <i r="1">
      <x v="38"/>
    </i>
    <i r="1">
      <x v="40"/>
    </i>
    <i r="1">
      <x v="41"/>
    </i>
    <i r="1">
      <x v="42"/>
    </i>
    <i r="1">
      <x v="43"/>
    </i>
    <i r="1">
      <x v="44"/>
    </i>
    <i r="1">
      <x v="48"/>
    </i>
    <i r="1">
      <x v="49"/>
    </i>
    <i t="default">
      <x v="1"/>
    </i>
    <i>
      <x v="2"/>
    </i>
    <i r="1">
      <x/>
    </i>
    <i r="1">
      <x v="2"/>
    </i>
    <i r="1">
      <x v="6"/>
    </i>
    <i r="1">
      <x v="10"/>
    </i>
    <i r="1">
      <x v="12"/>
    </i>
    <i r="1">
      <x v="15"/>
    </i>
    <i r="1">
      <x v="18"/>
    </i>
    <i r="1">
      <x v="20"/>
    </i>
    <i r="1">
      <x v="21"/>
    </i>
    <i r="1">
      <x v="23"/>
    </i>
    <i r="1">
      <x v="24"/>
    </i>
    <i r="1">
      <x v="25"/>
    </i>
    <i r="1">
      <x v="27"/>
    </i>
    <i r="1">
      <x v="34"/>
    </i>
    <i r="1">
      <x v="43"/>
    </i>
    <i r="1">
      <x v="45"/>
    </i>
    <i r="1">
      <x v="46"/>
    </i>
    <i r="1">
      <x v="50"/>
    </i>
    <i t="default">
      <x v="2"/>
    </i>
    <i>
      <x v="3"/>
    </i>
    <i r="1">
      <x v="13"/>
    </i>
    <i r="1">
      <x v="32"/>
    </i>
    <i r="1">
      <x v="47"/>
    </i>
    <i t="default">
      <x v="3"/>
    </i>
    <i>
      <x v="4"/>
    </i>
    <i r="1">
      <x v="39"/>
    </i>
    <i t="default">
      <x v="4"/>
    </i>
    <i t="grand">
      <x/>
    </i>
  </rowItems>
  <colFields count="1">
    <field x="-2"/>
  </colFields>
  <colItems count="5">
    <i>
      <x/>
    </i>
    <i i="1">
      <x v="1"/>
    </i>
    <i i="2">
      <x v="2"/>
    </i>
    <i i="3">
      <x v="3"/>
    </i>
    <i i="4">
      <x v="4"/>
    </i>
  </colItems>
  <pageFields count="1">
    <pageField fld="0" hier="-1"/>
  </pageFields>
  <dataFields count="5">
    <dataField name="Sum of Wholetime Operational" fld="3" baseField="0" baseItem="0"/>
    <dataField name="Sum of Retained Duty System" fld="4" baseField="1" baseItem="0"/>
    <dataField name="Sum of Control" fld="5" baseField="1" baseItem="0"/>
    <dataField name="Sum of Support" fld="6" baseField="1" baseItem="0"/>
    <dataField name="Sum of Volunteer" fld="7"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ExternalData_1" connectionId="13" autoFormatId="16" applyNumberFormats="0" applyBorderFormats="0" applyFontFormats="0" applyPatternFormats="0" applyAlignmentFormats="0" applyWidthHeightFormats="0">
  <queryTableRefresh nextId="15">
    <queryTableFields count="14">
      <queryTableField id="1" name="Year" tableColumnId="15"/>
      <queryTableField id="2" name="Pumping Appliances" tableColumnId="2"/>
      <queryTableField id="3" name="Aerial Appliances" tableColumnId="3"/>
      <queryTableField id="4" name="Resilience Appliances" tableColumnId="4"/>
      <queryTableField id="5" name="Fire Boats" tableColumnId="5"/>
      <queryTableField id="6" name="Vehicles for Rescue Work" tableColumnId="6"/>
      <queryTableField id="7" name="Small Firefighting Vehicles" tableColumnId="7"/>
      <queryTableField id="8" name="Other" tableColumnId="8"/>
      <queryTableField id="9" name="Total Appliances" tableColumnId="9"/>
      <queryTableField id="10" name="Officer Response Vehicles" tableColumnId="10"/>
      <queryTableField id="11" name="Reserve Appliances" tableColumnId="11"/>
      <queryTableField id="12" name="Training Appliances" tableColumnId="12"/>
      <queryTableField id="13" name="Other Fleet Vehicles (excl Officer Response Vehicles)" tableColumnId="13"/>
      <queryTableField id="14" name="Total Vehicles (incl boats)" tableColumnId="14"/>
    </queryTableFields>
  </queryTableRefresh>
</queryTable>
</file>

<file path=xl/queryTables/queryTable10.xml><?xml version="1.0" encoding="utf-8"?>
<queryTable xmlns="http://schemas.openxmlformats.org/spreadsheetml/2006/main" name="ExternalData_1" connectionId="40" autoFormatId="16" applyNumberFormats="0" applyBorderFormats="0" applyFontFormats="0" applyPatternFormats="0" applyAlignmentFormats="0" applyWidthHeightFormats="0">
  <queryTableRefresh nextId="10">
    <queryTableFields count="9">
      <queryTableField id="1" name="Year" tableColumnId="10"/>
      <queryTableField id="2" name="ReportingLevel" tableColumnId="2"/>
      <queryTableField id="3" name="lvl" tableColumnId="3"/>
      <queryTableField id="4" name="Wholetime Operational" tableColumnId="4"/>
      <queryTableField id="5" name="Retained Duty System" tableColumnId="5"/>
      <queryTableField id="6" name="Control" tableColumnId="6"/>
      <queryTableField id="7" name="Support" tableColumnId="7"/>
      <queryTableField id="8" name="Volunteer" tableColumnId="8"/>
      <queryTableField id="9" name="Total" tableColumnId="9"/>
    </queryTableFields>
  </queryTableRefresh>
</queryTable>
</file>

<file path=xl/queryTables/queryTable11.xml><?xml version="1.0" encoding="utf-8"?>
<queryTable xmlns="http://schemas.openxmlformats.org/spreadsheetml/2006/main" name="ExternalData_1" connectionId="41" autoFormatId="16" applyNumberFormats="0" applyBorderFormats="0" applyFontFormats="0" applyPatternFormats="0" applyAlignmentFormats="0" applyWidthHeightFormats="0">
  <queryTableRefresh nextId="13">
    <queryTableFields count="11">
      <queryTableField id="1" name="Year" tableColumnId="11"/>
      <queryTableField id="2" name="ReportingLevel" tableColumnId="2"/>
      <queryTableField id="3" name="lvl" tableColumnId="3"/>
      <queryTableField id="4" name="Code" tableColumnId="4"/>
      <queryTableField id="5" name="Total" tableColumnId="5"/>
      <queryTableField id="6" name="Control" tableColumnId="6"/>
      <queryTableField id="11" name="RDS Fulltime" tableColumnId="12"/>
      <queryTableField id="7" name="RDS" tableColumnId="7"/>
      <queryTableField id="8" name="Support" tableColumnId="8"/>
      <queryTableField id="9" name="Vol" tableColumnId="9"/>
      <queryTableField id="10" name="WT" tableColumnId="10"/>
    </queryTableFields>
  </queryTableRefresh>
</queryTable>
</file>

<file path=xl/queryTables/queryTable12.xml><?xml version="1.0" encoding="utf-8"?>
<queryTable xmlns="http://schemas.openxmlformats.org/spreadsheetml/2006/main" name="ExternalData_1" connectionId="34" autoFormatId="16" applyNumberFormats="0" applyBorderFormats="0" applyFontFormats="0" applyPatternFormats="0" applyAlignmentFormats="0" applyWidthHeightFormats="0">
  <queryTableRefresh nextId="11">
    <queryTableFields count="10">
      <queryTableField id="1" name="Year" tableColumnId="11"/>
      <queryTableField id="2" name="Type" tableColumnId="2"/>
      <queryTableField id="3" name="Brigade Manager" tableColumnId="3"/>
      <queryTableField id="4" name="Area Manager" tableColumnId="4"/>
      <queryTableField id="5" name="Group Manager" tableColumnId="5"/>
      <queryTableField id="6" name="Station Manager" tableColumnId="6"/>
      <queryTableField id="7" name="Watch Manager" tableColumnId="7"/>
      <queryTableField id="8" name="Crew Manager" tableColumnId="8"/>
      <queryTableField id="9" name="Firefighter" tableColumnId="9"/>
      <queryTableField id="10" name="Total" tableColumnId="10"/>
    </queryTableFields>
  </queryTableRefresh>
</queryTable>
</file>

<file path=xl/queryTables/queryTable13.xml><?xml version="1.0" encoding="utf-8"?>
<queryTable xmlns="http://schemas.openxmlformats.org/spreadsheetml/2006/main" name="ExternalData_1" connectionId="36" autoFormatId="16" applyNumberFormats="0" applyBorderFormats="0" applyFontFormats="0" applyPatternFormats="0" applyAlignmentFormats="0" applyWidthHeightFormats="0">
  <queryTableRefresh nextId="10">
    <queryTableFields count="9">
      <queryTableField id="1" name="Year" tableColumnId="10"/>
      <queryTableField id="2" name="EmployeeGroup" tableColumnId="2"/>
      <queryTableField id="3" name="Brigade Commander" tableColumnId="3"/>
      <queryTableField id="4" name="Area Commander" tableColumnId="4"/>
      <queryTableField id="5" name="Group Commander" tableColumnId="5"/>
      <queryTableField id="6" name="Station Commander" tableColumnId="6"/>
      <queryTableField id="7" name="Watch Commander" tableColumnId="7"/>
      <queryTableField id="8" name="Crew Commander" tableColumnId="8"/>
      <queryTableField id="9" name="Firefighter" tableColumnId="9"/>
    </queryTableFields>
  </queryTableRefresh>
</queryTable>
</file>

<file path=xl/queryTables/queryTable14.xml><?xml version="1.0" encoding="utf-8"?>
<queryTable xmlns="http://schemas.openxmlformats.org/spreadsheetml/2006/main" name="ExternalData_1" connectionId="35" autoFormatId="16" applyNumberFormats="0" applyBorderFormats="0" applyFontFormats="0" applyPatternFormats="0" applyAlignmentFormats="0" applyWidthHeightFormats="0">
  <queryTableRefresh nextId="11">
    <queryTableFields count="10">
      <queryTableField id="1" name="Year" tableColumnId="11"/>
      <queryTableField id="2" name="ReportingLevel" tableColumnId="2"/>
      <queryTableField id="3" name="Brigade Manager" tableColumnId="3"/>
      <queryTableField id="4" name="Area Manager" tableColumnId="4"/>
      <queryTableField id="5" name="Group Manager" tableColumnId="5"/>
      <queryTableField id="6" name="Station Manager" tableColumnId="6"/>
      <queryTableField id="7" name="Watch Manager" tableColumnId="7"/>
      <queryTableField id="8" name="Crew Manager" tableColumnId="8"/>
      <queryTableField id="9" name="Firefighter" tableColumnId="9"/>
      <queryTableField id="10" name="Total" tableColumnId="10"/>
    </queryTableFields>
  </queryTableRefresh>
</queryTable>
</file>

<file path=xl/queryTables/queryTable15.xml><?xml version="1.0" encoding="utf-8"?>
<queryTable xmlns="http://schemas.openxmlformats.org/spreadsheetml/2006/main" name="ExternalData_1" connectionId="44" autoFormatId="16" applyNumberFormats="0" applyBorderFormats="0" applyFontFormats="0" applyPatternFormats="0" applyAlignmentFormats="0" applyWidthHeightFormats="0">
  <queryTableRefresh nextId="11">
    <queryTableFields count="10">
      <queryTableField id="1" name="Year" tableColumnId="11"/>
      <queryTableField id="2" name="ReportingLevel" tableColumnId="2"/>
      <queryTableField id="3" name="lvl" tableColumnId="3"/>
      <queryTableField id="4" name="Brigade Manager" tableColumnId="4"/>
      <queryTableField id="5" name="Area Manager" tableColumnId="5"/>
      <queryTableField id="6" name="Group Manager" tableColumnId="6"/>
      <queryTableField id="7" name="Station Manager" tableColumnId="7"/>
      <queryTableField id="8" name="Watch Manager" tableColumnId="8"/>
      <queryTableField id="9" name="Crew Manager" tableColumnId="9"/>
      <queryTableField id="10" name="Firefighter" tableColumnId="10"/>
    </queryTableFields>
  </queryTableRefresh>
</queryTable>
</file>

<file path=xl/queryTables/queryTable16.xml><?xml version="1.0" encoding="utf-8"?>
<queryTable xmlns="http://schemas.openxmlformats.org/spreadsheetml/2006/main" name="ExternalData_1" connectionId="33" autoFormatId="16" applyNumberFormats="0" applyBorderFormats="0" applyFontFormats="0" applyPatternFormats="0" applyAlignmentFormats="0" applyWidthHeightFormats="0">
  <queryTableRefresh nextId="8">
    <queryTableFields count="7">
      <queryTableField id="1" name="Year" tableColumnId="8"/>
      <queryTableField id="2" name="ReportingLevel" tableColumnId="2"/>
      <queryTableField id="3" name="Area" tableColumnId="3"/>
      <queryTableField id="4" name="GSS Code" tableColumnId="4"/>
      <queryTableField id="5" name="Watch Manager" tableColumnId="5"/>
      <queryTableField id="6" name="Crew Manager" tableColumnId="6"/>
      <queryTableField id="7" name="Firefighter" tableColumnId="7"/>
    </queryTableFields>
  </queryTableRefresh>
</queryTable>
</file>

<file path=xl/queryTables/queryTable17.xml><?xml version="1.0" encoding="utf-8"?>
<queryTable xmlns="http://schemas.openxmlformats.org/spreadsheetml/2006/main" name="ExternalData_1" connectionId="17" autoFormatId="16" applyNumberFormats="0" applyBorderFormats="0" applyFontFormats="0" applyPatternFormats="0" applyAlignmentFormats="0" applyWidthHeightFormats="0">
  <queryTableRefresh nextId="11">
    <queryTableFields count="10">
      <queryTableField id="1" name="Year" tableColumnId="11"/>
      <queryTableField id="2" name="ReportingLevel" tableColumnId="2"/>
      <queryTableField id="3" name="Area" tableColumnId="3"/>
      <queryTableField id="4" name="GSS Code" tableColumnId="4"/>
      <queryTableField id="5" name="Area Manager" tableColumnId="5"/>
      <queryTableField id="6" name="Group Manager" tableColumnId="6"/>
      <queryTableField id="7" name="Station Manager" tableColumnId="7"/>
      <queryTableField id="8" name="Watch Manager" tableColumnId="8"/>
      <queryTableField id="9" name="Crew Manager" tableColumnId="9"/>
      <queryTableField id="10" name="Control Operator" tableColumnId="10"/>
    </queryTableFields>
  </queryTableRefresh>
</queryTable>
</file>

<file path=xl/queryTables/queryTable18.xml><?xml version="1.0" encoding="utf-8"?>
<queryTable xmlns="http://schemas.openxmlformats.org/spreadsheetml/2006/main" name="ExternalData_1" connectionId="18" autoFormatId="16" applyNumberFormats="0" applyBorderFormats="0" applyFontFormats="0" applyPatternFormats="0" applyAlignmentFormats="0" applyWidthHeightFormats="0">
  <queryTableRefresh nextId="13">
    <queryTableFields count="12">
      <queryTableField id="1" name="Year" tableColumnId="13"/>
      <queryTableField id="2" name="ReportingLevel" tableColumnId="2"/>
      <queryTableField id="3" name="Code" tableColumnId="3"/>
      <queryTableField id="4" name="lvl" tableColumnId="4"/>
      <queryTableField id="5" name="Director" tableColumnId="5"/>
      <queryTableField id="6" name="Service Manager" tableColumnId="6"/>
      <queryTableField id="7" name="Team Leader" tableColumnId="7"/>
      <queryTableField id="8" name="Professional" tableColumnId="8"/>
      <queryTableField id="9" name="Specialist Technical" tableColumnId="9"/>
      <queryTableField id="10" name="Tech Support" tableColumnId="10"/>
      <queryTableField id="11" name="Administration" tableColumnId="11"/>
      <queryTableField id="12" name="Total" tableColumnId="12"/>
    </queryTableFields>
  </queryTableRefresh>
</queryTable>
</file>

<file path=xl/queryTables/queryTable19.xml><?xml version="1.0" encoding="utf-8"?>
<queryTable xmlns="http://schemas.openxmlformats.org/spreadsheetml/2006/main" name="ExternalData_1" connectionId="42" autoFormatId="16" applyNumberFormats="0" applyBorderFormats="0" applyFontFormats="0" applyPatternFormats="0" applyAlignmentFormats="0" applyWidthHeightFormats="0">
  <queryTableRefresh nextId="9">
    <queryTableFields count="8">
      <queryTableField id="1" name="Year" tableColumnId="9"/>
      <queryTableField id="2" name="ReportingLevel" tableColumnId="2"/>
      <queryTableField id="3" name="Code" tableColumnId="3"/>
      <queryTableField id="4" name="lvl" tableColumnId="4"/>
      <queryTableField id="5" name="Total" tableColumnId="5"/>
      <queryTableField id="6" name="Watch Manager" tableColumnId="6"/>
      <queryTableField id="7" name="Crew Manager" tableColumnId="7"/>
      <queryTableField id="8" name="Firefighter" tableColumnId="8"/>
    </queryTableFields>
  </queryTableRefresh>
</queryTable>
</file>

<file path=xl/queryTables/queryTable2.xml><?xml version="1.0" encoding="utf-8"?>
<queryTable xmlns="http://schemas.openxmlformats.org/spreadsheetml/2006/main" name="ExternalData_1" connectionId="12" autoFormatId="16" applyNumberFormats="0" applyBorderFormats="0" applyFontFormats="0" applyPatternFormats="0" applyAlignmentFormats="0" applyWidthHeightFormats="0">
  <queryTableRefresh nextId="11">
    <queryTableFields count="10">
      <queryTableField id="1" name="Year" tableColumnId="11"/>
      <queryTableField id="2" name="LA Code" tableColumnId="2"/>
      <queryTableField id="3" name="Local Authority Area" tableColumnId="3"/>
      <queryTableField id="4" name="Pumping Appliances" tableColumnId="4"/>
      <queryTableField id="5" name="Aerial Appliances" tableColumnId="5"/>
      <queryTableField id="6" name="Resilience Appliances" tableColumnId="6"/>
      <queryTableField id="7" name="Vehicles for Rescue Work" tableColumnId="7"/>
      <queryTableField id="8" name="Small Firefighting Vehicles" tableColumnId="8"/>
      <queryTableField id="9" name="Other Operational" tableColumnId="9"/>
      <queryTableField id="10" name="Total Appliances" tableColumnId="10"/>
    </queryTableFields>
  </queryTableRefresh>
</queryTable>
</file>

<file path=xl/queryTables/queryTable20.xml><?xml version="1.0" encoding="utf-8"?>
<queryTable xmlns="http://schemas.openxmlformats.org/spreadsheetml/2006/main" name="ExternalData_1" connectionId="43" autoFormatId="16" applyNumberFormats="0" applyBorderFormats="0" applyFontFormats="0" applyPatternFormats="0" applyAlignmentFormats="0" applyWidthHeightFormats="0">
  <queryTableRefresh nextId="13">
    <queryTableFields count="12">
      <queryTableField id="1" name="Year" tableColumnId="13"/>
      <queryTableField id="2" name="ReportingLevel" tableColumnId="2"/>
      <queryTableField id="3" name="Code" tableColumnId="3"/>
      <queryTableField id="4" name="lvl" tableColumnId="4"/>
      <queryTableField id="5" name="Total" tableColumnId="5"/>
      <queryTableField id="6" name="Area Manager" tableColumnId="6"/>
      <queryTableField id="7" name="Brigade Manager" tableColumnId="7"/>
      <queryTableField id="8" name="Crew Manager" tableColumnId="8"/>
      <queryTableField id="9" name="Firefighter" tableColumnId="9"/>
      <queryTableField id="10" name="Group Manager" tableColumnId="10"/>
      <queryTableField id="11" name="Station Manager" tableColumnId="11"/>
      <queryTableField id="12" name="Watch Manager" tableColumnId="12"/>
    </queryTableFields>
  </queryTableRefresh>
</queryTable>
</file>

<file path=xl/queryTables/queryTable21.xml><?xml version="1.0" encoding="utf-8"?>
<queryTable xmlns="http://schemas.openxmlformats.org/spreadsheetml/2006/main" name="ExternalData_1" connectionId="32" autoFormatId="16" applyNumberFormats="0" applyBorderFormats="0" applyFontFormats="0" applyPatternFormats="0" applyAlignmentFormats="0" applyWidthHeightFormats="0">
  <queryTableRefresh nextId="9">
    <queryTableFields count="8">
      <queryTableField id="1" name="Year" tableColumnId="9"/>
      <queryTableField id="2" name="ReportingLevel" tableColumnId="2"/>
      <queryTableField id="3" name="Code" tableColumnId="3"/>
      <queryTableField id="4" name="lvl" tableColumnId="4"/>
      <queryTableField id="5" name="Total" tableColumnId="5"/>
      <queryTableField id="6" name="Watch Manager" tableColumnId="6"/>
      <queryTableField id="7" name="Crew Manager" tableColumnId="7"/>
      <queryTableField id="8" name="Firefighter" tableColumnId="8"/>
    </queryTableFields>
  </queryTableRefresh>
</queryTable>
</file>

<file path=xl/queryTables/queryTable22.xml><?xml version="1.0" encoding="utf-8"?>
<queryTable xmlns="http://schemas.openxmlformats.org/spreadsheetml/2006/main" name="ExternalData_1" connectionId="15" autoFormatId="16" applyNumberFormats="0" applyBorderFormats="0" applyFontFormats="0" applyPatternFormats="0" applyAlignmentFormats="0" applyWidthHeightFormats="0">
  <queryTableRefresh nextId="12">
    <queryTableFields count="11">
      <queryTableField id="1" name="Year" tableColumnId="12"/>
      <queryTableField id="2" name="ReportingLevel" tableColumnId="2"/>
      <queryTableField id="3" name="lvl" tableColumnId="3"/>
      <queryTableField id="4" name="Code" tableColumnId="4"/>
      <queryTableField id="5" name="Total" tableColumnId="5"/>
      <queryTableField id="6" name="Area Manager" tableColumnId="6"/>
      <queryTableField id="7" name="Group Manager" tableColumnId="7"/>
      <queryTableField id="8" name="Station Manager" tableColumnId="8"/>
      <queryTableField id="9" name="Watch Manager" tableColumnId="9"/>
      <queryTableField id="10" name="Crew Manager" tableColumnId="10"/>
      <queryTableField id="11" name="Control Operator" tableColumnId="11"/>
    </queryTableFields>
  </queryTableRefresh>
</queryTable>
</file>

<file path=xl/queryTables/queryTable23.xml><?xml version="1.0" encoding="utf-8"?>
<queryTable xmlns="http://schemas.openxmlformats.org/spreadsheetml/2006/main" name="ExternalData_1" connectionId="16" autoFormatId="16" applyNumberFormats="0" applyBorderFormats="0" applyFontFormats="0" applyPatternFormats="0" applyAlignmentFormats="0" applyWidthHeightFormats="0">
  <queryTableRefresh nextId="13">
    <queryTableFields count="12">
      <queryTableField id="1" name="Year" tableColumnId="13"/>
      <queryTableField id="2" name="Code" tableColumnId="2"/>
      <queryTableField id="3" name="ReportingLevel" tableColumnId="3"/>
      <queryTableField id="4" name="lvl" tableColumnId="4"/>
      <queryTableField id="5" name="Director" tableColumnId="5"/>
      <queryTableField id="6" name="Service Manager" tableColumnId="6"/>
      <queryTableField id="7" name="Team Leader" tableColumnId="7"/>
      <queryTableField id="8" name="Professional" tableColumnId="8"/>
      <queryTableField id="9" name="Specialist Technical" tableColumnId="9"/>
      <queryTableField id="10" name="Tech Support" tableColumnId="10"/>
      <queryTableField id="11" name="Administration" tableColumnId="11"/>
      <queryTableField id="12" name="Total" tableColumnId="12"/>
    </queryTableFields>
  </queryTableRefresh>
</queryTable>
</file>

<file path=xl/queryTables/queryTable24.xml><?xml version="1.0" encoding="utf-8"?>
<queryTable xmlns="http://schemas.openxmlformats.org/spreadsheetml/2006/main" name="ExternalData_1" connectionId="29" autoFormatId="16" applyNumberFormats="0" applyBorderFormats="0" applyFontFormats="0" applyPatternFormats="0" applyAlignmentFormats="0" applyWidthHeightFormats="0">
  <queryTableRefresh nextId="14">
    <queryTableFields count="13">
      <queryTableField id="1" name="Year" tableColumnId="14"/>
      <queryTableField id="2" name="WTFemale" tableColumnId="2"/>
      <queryTableField id="3" name="WTMale" tableColumnId="3"/>
      <queryTableField id="4" name="RDSFemale" tableColumnId="4"/>
      <queryTableField id="5" name="RDSMale" tableColumnId="5"/>
      <queryTableField id="6" name="RDS FulltimeFemale" tableColumnId="6"/>
      <queryTableField id="7" name="RDS FulltimeMale" tableColumnId="7"/>
      <queryTableField id="8" name="ControlFemale" tableColumnId="8"/>
      <queryTableField id="9" name="ControlMale" tableColumnId="9"/>
      <queryTableField id="10" name="SupportFemale" tableColumnId="10"/>
      <queryTableField id="11" name="SupportMale" tableColumnId="11"/>
      <queryTableField id="12" name="VolFemale" tableColumnId="12"/>
      <queryTableField id="13" name="VolMale" tableColumnId="13"/>
    </queryTableFields>
  </queryTableRefresh>
</queryTable>
</file>

<file path=xl/queryTables/queryTable25.xml><?xml version="1.0" encoding="utf-8"?>
<queryTable xmlns="http://schemas.openxmlformats.org/spreadsheetml/2006/main" name="ExternalData_1" connectionId="27" autoFormatId="16" applyNumberFormats="0" applyBorderFormats="0" applyFontFormats="0" applyPatternFormats="0" applyAlignmentFormats="0" applyWidthHeightFormats="0">
  <queryTableRefresh nextId="6">
    <queryTableFields count="5">
      <queryTableField id="1" name="Year" tableColumnId="6"/>
      <queryTableField id="2" name="Type" tableColumnId="2"/>
      <queryTableField id="3" name="Total" tableColumnId="3"/>
      <queryTableField id="4" name="Female" tableColumnId="4"/>
      <queryTableField id="5" name="Male" tableColumnId="5"/>
    </queryTableFields>
  </queryTableRefresh>
</queryTable>
</file>

<file path=xl/queryTables/queryTable26.xml><?xml version="1.0" encoding="utf-8"?>
<queryTable xmlns="http://schemas.openxmlformats.org/spreadsheetml/2006/main" name="ExternalData_1" connectionId="28" autoFormatId="16" applyNumberFormats="0" applyBorderFormats="0" applyFontFormats="0" applyPatternFormats="0" applyAlignmentFormats="0" applyWidthHeightFormats="0">
  <queryTableRefresh nextId="7">
    <queryTableFields count="6">
      <queryTableField id="1" name="Year" tableColumnId="7"/>
      <queryTableField id="2" name="Type" tableColumnId="2"/>
      <queryTableField id="3" name="PostConv" tableColumnId="3"/>
      <queryTableField id="4" name="Total" tableColumnId="4"/>
      <queryTableField id="5" name="Female" tableColumnId="5"/>
      <queryTableField id="6" name="Male" tableColumnId="6"/>
    </queryTableFields>
  </queryTableRefresh>
</queryTable>
</file>

<file path=xl/queryTables/queryTable27.xml><?xml version="1.0" encoding="utf-8"?>
<queryTable xmlns="http://schemas.openxmlformats.org/spreadsheetml/2006/main" name="ExternalData_1" connectionId="26" autoFormatId="16" applyNumberFormats="0" applyBorderFormats="0" applyFontFormats="0" applyPatternFormats="0" applyAlignmentFormats="0" applyWidthHeightFormats="0">
  <queryTableRefresh nextId="7">
    <queryTableFields count="6">
      <queryTableField id="1" name="Year" tableColumnId="7"/>
      <queryTableField id="2" name="Type" tableColumnId="2"/>
      <queryTableField id="3" name="PostConv" tableColumnId="3"/>
      <queryTableField id="4" name="Total" tableColumnId="4"/>
      <queryTableField id="5" name="Female" tableColumnId="5"/>
      <queryTableField id="6" name="Male" tableColumnId="6"/>
    </queryTableFields>
  </queryTableRefresh>
</queryTable>
</file>

<file path=xl/queryTables/queryTable28.xml><?xml version="1.0" encoding="utf-8"?>
<queryTable xmlns="http://schemas.openxmlformats.org/spreadsheetml/2006/main" name="ExternalData_1" connectionId="14" autoFormatId="16" applyNumberFormats="0" applyBorderFormats="0" applyFontFormats="0" applyPatternFormats="0" applyAlignmentFormats="0" applyWidthHeightFormats="0">
  <queryTableRefresh nextId="10">
    <queryTableFields count="9">
      <queryTableField id="1" name="Year" tableColumnId="10"/>
      <queryTableField id="2" name="Wholetime Operational" tableColumnId="2"/>
      <queryTableField id="3" name="Retained Duty System" tableColumnId="3"/>
      <queryTableField id="4" name="Retained Full-time" tableColumnId="4"/>
      <queryTableField id="5" name="Control" tableColumnId="5"/>
      <queryTableField id="6" name="Support Staff" tableColumnId="6"/>
      <queryTableField id="7" name="Volunteer" tableColumnId="7"/>
      <queryTableField id="8" name="Attribute" tableColumnId="8"/>
      <queryTableField id="9" name="Value" tableColumnId="9"/>
    </queryTableFields>
  </queryTableRefresh>
</queryTable>
</file>

<file path=xl/queryTables/queryTable29.xml><?xml version="1.0" encoding="utf-8"?>
<queryTable xmlns="http://schemas.openxmlformats.org/spreadsheetml/2006/main" name="ExternalData_1" removeDataOnSave="1" connectionId="37" autoFormatId="16" applyNumberFormats="0" applyBorderFormats="0" applyFontFormats="0" applyPatternFormats="0" applyAlignmentFormats="0" applyWidthHeightFormats="0">
  <queryTableRefresh nextId="8">
    <queryTableFields count="7">
      <queryTableField id="1" name="Year" tableColumnId="8"/>
      <queryTableField id="2" name="Service Length (Years)" tableColumnId="2"/>
      <queryTableField id="3" name="Wholetime Operational" tableColumnId="3"/>
      <queryTableField id="4" name="Retained Duty System" tableColumnId="4"/>
      <queryTableField id="5" name="Retained Full-time" tableColumnId="5"/>
      <queryTableField id="6" name="Control" tableColumnId="6"/>
      <queryTableField id="7" name="Volunteer" tableColumnId="7"/>
    </queryTableFields>
  </queryTableRefresh>
</queryTable>
</file>

<file path=xl/queryTables/queryTable3.xml><?xml version="1.0" encoding="utf-8"?>
<queryTable xmlns="http://schemas.openxmlformats.org/spreadsheetml/2006/main" name="ExternalData_2" connectionId="38" autoFormatId="16" applyNumberFormats="0" applyBorderFormats="0" applyFontFormats="0" applyPatternFormats="0" applyAlignmentFormats="0" applyWidthHeightFormats="0">
  <queryTableRefresh nextId="8" unboundColumnsRight="1">
    <queryTableFields count="7">
      <queryTableField id="1" name="Year" tableColumnId="7"/>
      <queryTableField id="2" name="WholeTime Operational" tableColumnId="2"/>
      <queryTableField id="3" name="Retained Duty System" tableColumnId="3"/>
      <queryTableField id="4" name="Retained Full-time" tableColumnId="4"/>
      <queryTableField id="5" name="Control" tableColumnId="5"/>
      <queryTableField id="6" name="Support" tableColumnId="6"/>
      <queryTableField id="7" dataBound="0" tableColumnId="8"/>
    </queryTableFields>
  </queryTableRefresh>
</queryTable>
</file>

<file path=xl/queryTables/queryTable30.xml><?xml version="1.0" encoding="utf-8"?>
<queryTable xmlns="http://schemas.openxmlformats.org/spreadsheetml/2006/main" name="ExternalData_1" connectionId="25" autoFormatId="16" applyNumberFormats="0" applyBorderFormats="0" applyFontFormats="0" applyPatternFormats="0" applyAlignmentFormats="0" applyWidthHeightFormats="0">
  <queryTableRefresh nextId="6">
    <queryTableFields count="5">
      <queryTableField id="1" name="FisYr" tableColumnId="6"/>
      <queryTableField id="2" name="Type" tableColumnId="2"/>
      <queryTableField id="3" name="White" tableColumnId="3"/>
      <queryTableField id="4" name="Ethnic Minority" tableColumnId="4"/>
      <queryTableField id="5" name="Not Stated" tableColumnId="5"/>
    </queryTableFields>
  </queryTableRefresh>
</queryTable>
</file>

<file path=xl/queryTables/queryTable31.xml><?xml version="1.0" encoding="utf-8"?>
<queryTable xmlns="http://schemas.openxmlformats.org/spreadsheetml/2006/main" name="ExternalData_1" connectionId="21" autoFormatId="16" applyNumberFormats="0" applyBorderFormats="0" applyFontFormats="0" applyPatternFormats="0" applyAlignmentFormats="0" applyWidthHeightFormats="0">
  <queryTableRefresh nextId="10">
    <queryTableFields count="9">
      <queryTableField id="1" name="Year" tableColumnId="10"/>
      <queryTableField id="2" name="Wholetime Operational" tableColumnId="2"/>
      <queryTableField id="3" name="Retained Duty System" tableColumnId="3"/>
      <queryTableField id="4" name="Retained Fulltime" tableColumnId="4"/>
      <queryTableField id="5" name="Control" tableColumnId="5"/>
      <queryTableField id="6" name="Support" tableColumnId="6"/>
      <queryTableField id="7" name="Volunteer" tableColumnId="7"/>
      <queryTableField id="8" name="Total" tableColumnId="8"/>
      <queryTableField id="9" name="Total (excluding volunters)" tableColumnId="9"/>
    </queryTableFields>
  </queryTableRefresh>
</queryTable>
</file>

<file path=xl/queryTables/queryTable32.xml><?xml version="1.0" encoding="utf-8"?>
<queryTable xmlns="http://schemas.openxmlformats.org/spreadsheetml/2006/main" name="ExternalData_2" connectionId="22" autoFormatId="16" applyNumberFormats="0" applyBorderFormats="0" applyFontFormats="0" applyPatternFormats="0" applyAlignmentFormats="0" applyWidthHeightFormats="0">
  <queryTableRefresh nextId="10">
    <queryTableFields count="9">
      <queryTableField id="1" name="Year" tableColumnId="10"/>
      <queryTableField id="2" name="Wholetime Operational" tableColumnId="2"/>
      <queryTableField id="3" name="Retained Duty System" tableColumnId="3"/>
      <queryTableField id="4" name="Retained Fulltime" tableColumnId="4"/>
      <queryTableField id="5" name="Control" tableColumnId="5"/>
      <queryTableField id="6" name="Support" tableColumnId="6"/>
      <queryTableField id="7" name="Volunteer" tableColumnId="7"/>
      <queryTableField id="8" name="Total" tableColumnId="8"/>
      <queryTableField id="9" name="Total (excluding volunters)" tableColumnId="9"/>
    </queryTableFields>
  </queryTableRefresh>
</queryTable>
</file>

<file path=xl/queryTables/queryTable33.xml><?xml version="1.0" encoding="utf-8"?>
<queryTable xmlns="http://schemas.openxmlformats.org/spreadsheetml/2006/main" name="ExternalData_1" connectionId="31" autoFormatId="16" applyNumberFormats="0" applyBorderFormats="0" applyFontFormats="0" applyPatternFormats="0" applyAlignmentFormats="0" applyWidthHeightFormats="0">
  <queryTableRefresh nextId="16385" unboundColumnsRight="16376">
    <queryTableFields count="16384">
      <queryTableField id="1" name="Year" tableColumnId="9"/>
      <queryTableField id="2" name="Reason for Leaving" tableColumnId="2"/>
      <queryTableField id="3" name="Wholetime Operational" tableColumnId="3"/>
      <queryTableField id="4" name="Retained Duty System" tableColumnId="4"/>
      <queryTableField id="5" name="Control" tableColumnId="5"/>
      <queryTableField id="6" name="Support" tableColumnId="6"/>
      <queryTableField id="7" name="Volunteers" tableColumnId="7"/>
      <queryTableField id="8" name="Total" tableColumnId="8"/>
      <queryTableField id="16384" dataBound="0" tableColumnId="10"/>
      <queryTableField id="16383" dataBound="0" tableColumnId="11"/>
      <queryTableField id="16382" dataBound="0" tableColumnId="12"/>
      <queryTableField id="16381" dataBound="0" tableColumnId="13"/>
      <queryTableField id="16380" dataBound="0" tableColumnId="14"/>
      <queryTableField id="16379" dataBound="0" tableColumnId="15"/>
      <queryTableField id="16378" dataBound="0" tableColumnId="16"/>
      <queryTableField id="16377" dataBound="0" tableColumnId="17"/>
      <queryTableField id="16376" dataBound="0" tableColumnId="18"/>
      <queryTableField id="16375" dataBound="0" tableColumnId="19"/>
      <queryTableField id="16374" dataBound="0" tableColumnId="20"/>
      <queryTableField id="16373" dataBound="0" tableColumnId="21"/>
      <queryTableField id="16372" dataBound="0" tableColumnId="22"/>
      <queryTableField id="16371" dataBound="0" tableColumnId="23"/>
      <queryTableField id="16370" dataBound="0" tableColumnId="24"/>
      <queryTableField id="16369" dataBound="0" tableColumnId="25"/>
      <queryTableField id="16368" dataBound="0" tableColumnId="26"/>
      <queryTableField id="16367" dataBound="0" tableColumnId="27"/>
      <queryTableField id="16366" dataBound="0" tableColumnId="28"/>
      <queryTableField id="16365" dataBound="0" tableColumnId="29"/>
      <queryTableField id="16364" dataBound="0" tableColumnId="30"/>
      <queryTableField id="16363" dataBound="0" tableColumnId="31"/>
      <queryTableField id="16362" dataBound="0" tableColumnId="32"/>
      <queryTableField id="16361" dataBound="0" tableColumnId="33"/>
      <queryTableField id="16360" dataBound="0" tableColumnId="34"/>
      <queryTableField id="16359" dataBound="0" tableColumnId="35"/>
      <queryTableField id="16358" dataBound="0" tableColumnId="36"/>
      <queryTableField id="16357" dataBound="0" tableColumnId="37"/>
      <queryTableField id="16356" dataBound="0" tableColumnId="38"/>
      <queryTableField id="16355" dataBound="0" tableColumnId="39"/>
      <queryTableField id="16354" dataBound="0" tableColumnId="40"/>
      <queryTableField id="16353" dataBound="0" tableColumnId="41"/>
      <queryTableField id="16352" dataBound="0" tableColumnId="42"/>
      <queryTableField id="16351" dataBound="0" tableColumnId="43"/>
      <queryTableField id="16350" dataBound="0" tableColumnId="44"/>
      <queryTableField id="16349" dataBound="0" tableColumnId="45"/>
      <queryTableField id="16348" dataBound="0" tableColumnId="46"/>
      <queryTableField id="16347" dataBound="0" tableColumnId="47"/>
      <queryTableField id="16346" dataBound="0" tableColumnId="48"/>
      <queryTableField id="16345" dataBound="0" tableColumnId="49"/>
      <queryTableField id="16344" dataBound="0" tableColumnId="50"/>
      <queryTableField id="16343" dataBound="0" tableColumnId="51"/>
      <queryTableField id="16342" dataBound="0" tableColumnId="52"/>
      <queryTableField id="16341" dataBound="0" tableColumnId="53"/>
      <queryTableField id="16340" dataBound="0" tableColumnId="54"/>
      <queryTableField id="16339" dataBound="0" tableColumnId="55"/>
      <queryTableField id="16338" dataBound="0" tableColumnId="56"/>
      <queryTableField id="16337" dataBound="0" tableColumnId="57"/>
      <queryTableField id="16336" dataBound="0" tableColumnId="58"/>
      <queryTableField id="16335" dataBound="0" tableColumnId="59"/>
      <queryTableField id="16334" dataBound="0" tableColumnId="60"/>
      <queryTableField id="16333" dataBound="0" tableColumnId="61"/>
      <queryTableField id="16332" dataBound="0" tableColumnId="62"/>
      <queryTableField id="16331" dataBound="0" tableColumnId="63"/>
      <queryTableField id="16330" dataBound="0" tableColumnId="64"/>
      <queryTableField id="16329" dataBound="0" tableColumnId="65"/>
      <queryTableField id="16328" dataBound="0" tableColumnId="66"/>
      <queryTableField id="16327" dataBound="0" tableColumnId="67"/>
      <queryTableField id="16326" dataBound="0" tableColumnId="68"/>
      <queryTableField id="16325" dataBound="0" tableColumnId="69"/>
      <queryTableField id="16324" dataBound="0" tableColumnId="70"/>
      <queryTableField id="16323" dataBound="0" tableColumnId="71"/>
      <queryTableField id="16322" dataBound="0" tableColumnId="72"/>
      <queryTableField id="16321" dataBound="0" tableColumnId="73"/>
      <queryTableField id="16320" dataBound="0" tableColumnId="74"/>
      <queryTableField id="16319" dataBound="0" tableColumnId="75"/>
      <queryTableField id="16318" dataBound="0" tableColumnId="76"/>
      <queryTableField id="16317" dataBound="0" tableColumnId="77"/>
      <queryTableField id="16316" dataBound="0" tableColumnId="78"/>
      <queryTableField id="16315" dataBound="0" tableColumnId="79"/>
      <queryTableField id="16314" dataBound="0" tableColumnId="80"/>
      <queryTableField id="16313" dataBound="0" tableColumnId="81"/>
      <queryTableField id="16312" dataBound="0" tableColumnId="82"/>
      <queryTableField id="16311" dataBound="0" tableColumnId="83"/>
      <queryTableField id="16310" dataBound="0" tableColumnId="84"/>
      <queryTableField id="16309" dataBound="0" tableColumnId="85"/>
      <queryTableField id="16308" dataBound="0" tableColumnId="86"/>
      <queryTableField id="16307" dataBound="0" tableColumnId="87"/>
      <queryTableField id="16306" dataBound="0" tableColumnId="88"/>
      <queryTableField id="16305" dataBound="0" tableColumnId="89"/>
      <queryTableField id="16304" dataBound="0" tableColumnId="90"/>
      <queryTableField id="16303" dataBound="0" tableColumnId="91"/>
      <queryTableField id="16302" dataBound="0" tableColumnId="92"/>
      <queryTableField id="16301" dataBound="0" tableColumnId="93"/>
      <queryTableField id="16300" dataBound="0" tableColumnId="94"/>
      <queryTableField id="16299" dataBound="0" tableColumnId="95"/>
      <queryTableField id="16298" dataBound="0" tableColumnId="96"/>
      <queryTableField id="16297" dataBound="0" tableColumnId="97"/>
      <queryTableField id="16296" dataBound="0" tableColumnId="98"/>
      <queryTableField id="16295" dataBound="0" tableColumnId="99"/>
      <queryTableField id="16294" dataBound="0" tableColumnId="100"/>
      <queryTableField id="16293" dataBound="0" tableColumnId="101"/>
      <queryTableField id="16292" dataBound="0" tableColumnId="102"/>
      <queryTableField id="16291" dataBound="0" tableColumnId="103"/>
      <queryTableField id="16290" dataBound="0" tableColumnId="104"/>
      <queryTableField id="16289" dataBound="0" tableColumnId="105"/>
      <queryTableField id="16288" dataBound="0" tableColumnId="106"/>
      <queryTableField id="16287" dataBound="0" tableColumnId="107"/>
      <queryTableField id="16286" dataBound="0" tableColumnId="108"/>
      <queryTableField id="16285" dataBound="0" tableColumnId="109"/>
      <queryTableField id="16284" dataBound="0" tableColumnId="110"/>
      <queryTableField id="16283" dataBound="0" tableColumnId="111"/>
      <queryTableField id="16282" dataBound="0" tableColumnId="112"/>
      <queryTableField id="16281" dataBound="0" tableColumnId="113"/>
      <queryTableField id="16280" dataBound="0" tableColumnId="114"/>
      <queryTableField id="16279" dataBound="0" tableColumnId="115"/>
      <queryTableField id="16278" dataBound="0" tableColumnId="116"/>
      <queryTableField id="16277" dataBound="0" tableColumnId="117"/>
      <queryTableField id="16276" dataBound="0" tableColumnId="118"/>
      <queryTableField id="16275" dataBound="0" tableColumnId="119"/>
      <queryTableField id="16274" dataBound="0" tableColumnId="120"/>
      <queryTableField id="16273" dataBound="0" tableColumnId="121"/>
      <queryTableField id="16272" dataBound="0" tableColumnId="122"/>
      <queryTableField id="16271" dataBound="0" tableColumnId="123"/>
      <queryTableField id="16270" dataBound="0" tableColumnId="124"/>
      <queryTableField id="16269" dataBound="0" tableColumnId="125"/>
      <queryTableField id="16268" dataBound="0" tableColumnId="126"/>
      <queryTableField id="16267" dataBound="0" tableColumnId="127"/>
      <queryTableField id="16266" dataBound="0" tableColumnId="128"/>
      <queryTableField id="16265" dataBound="0" tableColumnId="129"/>
      <queryTableField id="16264" dataBound="0" tableColumnId="130"/>
      <queryTableField id="16263" dataBound="0" tableColumnId="131"/>
      <queryTableField id="16262" dataBound="0" tableColumnId="132"/>
      <queryTableField id="16261" dataBound="0" tableColumnId="133"/>
      <queryTableField id="16260" dataBound="0" tableColumnId="134"/>
      <queryTableField id="16259" dataBound="0" tableColumnId="135"/>
      <queryTableField id="16258" dataBound="0" tableColumnId="136"/>
      <queryTableField id="16257" dataBound="0" tableColumnId="137"/>
      <queryTableField id="16256" dataBound="0" tableColumnId="138"/>
      <queryTableField id="16255" dataBound="0" tableColumnId="139"/>
      <queryTableField id="16254" dataBound="0" tableColumnId="140"/>
      <queryTableField id="16253" dataBound="0" tableColumnId="141"/>
      <queryTableField id="16252" dataBound="0" tableColumnId="142"/>
      <queryTableField id="16251" dataBound="0" tableColumnId="143"/>
      <queryTableField id="16250" dataBound="0" tableColumnId="144"/>
      <queryTableField id="16249" dataBound="0" tableColumnId="145"/>
      <queryTableField id="16248" dataBound="0" tableColumnId="146"/>
      <queryTableField id="16247" dataBound="0" tableColumnId="147"/>
      <queryTableField id="16246" dataBound="0" tableColumnId="148"/>
      <queryTableField id="16245" dataBound="0" tableColumnId="149"/>
      <queryTableField id="16244" dataBound="0" tableColumnId="150"/>
      <queryTableField id="16243" dataBound="0" tableColumnId="151"/>
      <queryTableField id="16242" dataBound="0" tableColumnId="152"/>
      <queryTableField id="16241" dataBound="0" tableColumnId="153"/>
      <queryTableField id="16240" dataBound="0" tableColumnId="154"/>
      <queryTableField id="16239" dataBound="0" tableColumnId="155"/>
      <queryTableField id="16238" dataBound="0" tableColumnId="156"/>
      <queryTableField id="16237" dataBound="0" tableColumnId="157"/>
      <queryTableField id="16236" dataBound="0" tableColumnId="158"/>
      <queryTableField id="16235" dataBound="0" tableColumnId="159"/>
      <queryTableField id="16234" dataBound="0" tableColumnId="160"/>
      <queryTableField id="16233" dataBound="0" tableColumnId="161"/>
      <queryTableField id="16232" dataBound="0" tableColumnId="162"/>
      <queryTableField id="16231" dataBound="0" tableColumnId="163"/>
      <queryTableField id="16230" dataBound="0" tableColumnId="164"/>
      <queryTableField id="16229" dataBound="0" tableColumnId="165"/>
      <queryTableField id="16228" dataBound="0" tableColumnId="166"/>
      <queryTableField id="16227" dataBound="0" tableColumnId="167"/>
      <queryTableField id="16226" dataBound="0" tableColumnId="168"/>
      <queryTableField id="16225" dataBound="0" tableColumnId="169"/>
      <queryTableField id="16224" dataBound="0" tableColumnId="170"/>
      <queryTableField id="16223" dataBound="0" tableColumnId="171"/>
      <queryTableField id="16222" dataBound="0" tableColumnId="172"/>
      <queryTableField id="16221" dataBound="0" tableColumnId="173"/>
      <queryTableField id="16220" dataBound="0" tableColumnId="174"/>
      <queryTableField id="16219" dataBound="0" tableColumnId="175"/>
      <queryTableField id="16218" dataBound="0" tableColumnId="176"/>
      <queryTableField id="16217" dataBound="0" tableColumnId="177"/>
      <queryTableField id="16216" dataBound="0" tableColumnId="178"/>
      <queryTableField id="16215" dataBound="0" tableColumnId="179"/>
      <queryTableField id="16214" dataBound="0" tableColumnId="180"/>
      <queryTableField id="16213" dataBound="0" tableColumnId="181"/>
      <queryTableField id="16212" dataBound="0" tableColumnId="182"/>
      <queryTableField id="16211" dataBound="0" tableColumnId="183"/>
      <queryTableField id="16210" dataBound="0" tableColumnId="184"/>
      <queryTableField id="16209" dataBound="0" tableColumnId="185"/>
      <queryTableField id="16208" dataBound="0" tableColumnId="186"/>
      <queryTableField id="16207" dataBound="0" tableColumnId="187"/>
      <queryTableField id="16206" dataBound="0" tableColumnId="188"/>
      <queryTableField id="16205" dataBound="0" tableColumnId="189"/>
      <queryTableField id="16204" dataBound="0" tableColumnId="190"/>
      <queryTableField id="16203" dataBound="0" tableColumnId="191"/>
      <queryTableField id="16202" dataBound="0" tableColumnId="192"/>
      <queryTableField id="16201" dataBound="0" tableColumnId="193"/>
      <queryTableField id="16200" dataBound="0" tableColumnId="194"/>
      <queryTableField id="16199" dataBound="0" tableColumnId="195"/>
      <queryTableField id="16198" dataBound="0" tableColumnId="196"/>
      <queryTableField id="16197" dataBound="0" tableColumnId="197"/>
      <queryTableField id="16196" dataBound="0" tableColumnId="198"/>
      <queryTableField id="16195" dataBound="0" tableColumnId="199"/>
      <queryTableField id="16194" dataBound="0" tableColumnId="200"/>
      <queryTableField id="16193" dataBound="0" tableColumnId="201"/>
      <queryTableField id="16192" dataBound="0" tableColumnId="202"/>
      <queryTableField id="16191" dataBound="0" tableColumnId="203"/>
      <queryTableField id="16190" dataBound="0" tableColumnId="204"/>
      <queryTableField id="16189" dataBound="0" tableColumnId="205"/>
      <queryTableField id="16188" dataBound="0" tableColumnId="206"/>
      <queryTableField id="16187" dataBound="0" tableColumnId="207"/>
      <queryTableField id="16186" dataBound="0" tableColumnId="208"/>
      <queryTableField id="16185" dataBound="0" tableColumnId="209"/>
      <queryTableField id="16184" dataBound="0" tableColumnId="210"/>
      <queryTableField id="16183" dataBound="0" tableColumnId="211"/>
      <queryTableField id="16182" dataBound="0" tableColumnId="212"/>
      <queryTableField id="16181" dataBound="0" tableColumnId="213"/>
      <queryTableField id="16180" dataBound="0" tableColumnId="214"/>
      <queryTableField id="16179" dataBound="0" tableColumnId="215"/>
      <queryTableField id="16178" dataBound="0" tableColumnId="216"/>
      <queryTableField id="16177" dataBound="0" tableColumnId="217"/>
      <queryTableField id="16176" dataBound="0" tableColumnId="218"/>
      <queryTableField id="16175" dataBound="0" tableColumnId="219"/>
      <queryTableField id="16174" dataBound="0" tableColumnId="220"/>
      <queryTableField id="16173" dataBound="0" tableColumnId="221"/>
      <queryTableField id="16172" dataBound="0" tableColumnId="222"/>
      <queryTableField id="16171" dataBound="0" tableColumnId="223"/>
      <queryTableField id="16170" dataBound="0" tableColumnId="224"/>
      <queryTableField id="16169" dataBound="0" tableColumnId="225"/>
      <queryTableField id="16168" dataBound="0" tableColumnId="226"/>
      <queryTableField id="16167" dataBound="0" tableColumnId="227"/>
      <queryTableField id="16166" dataBound="0" tableColumnId="228"/>
      <queryTableField id="16165" dataBound="0" tableColumnId="229"/>
      <queryTableField id="16164" dataBound="0" tableColumnId="230"/>
      <queryTableField id="16163" dataBound="0" tableColumnId="231"/>
      <queryTableField id="16162" dataBound="0" tableColumnId="232"/>
      <queryTableField id="16161" dataBound="0" tableColumnId="233"/>
      <queryTableField id="16160" dataBound="0" tableColumnId="234"/>
      <queryTableField id="16159" dataBound="0" tableColumnId="235"/>
      <queryTableField id="16158" dataBound="0" tableColumnId="236"/>
      <queryTableField id="16157" dataBound="0" tableColumnId="237"/>
      <queryTableField id="16156" dataBound="0" tableColumnId="238"/>
      <queryTableField id="16155" dataBound="0" tableColumnId="239"/>
      <queryTableField id="16154" dataBound="0" tableColumnId="240"/>
      <queryTableField id="16153" dataBound="0" tableColumnId="241"/>
      <queryTableField id="16152" dataBound="0" tableColumnId="242"/>
      <queryTableField id="16151" dataBound="0" tableColumnId="243"/>
      <queryTableField id="16150" dataBound="0" tableColumnId="244"/>
      <queryTableField id="16149" dataBound="0" tableColumnId="245"/>
      <queryTableField id="16148" dataBound="0" tableColumnId="246"/>
      <queryTableField id="16147" dataBound="0" tableColumnId="247"/>
      <queryTableField id="16146" dataBound="0" tableColumnId="248"/>
      <queryTableField id="16145" dataBound="0" tableColumnId="249"/>
      <queryTableField id="16144" dataBound="0" tableColumnId="250"/>
      <queryTableField id="16143" dataBound="0" tableColumnId="251"/>
      <queryTableField id="16142" dataBound="0" tableColumnId="252"/>
      <queryTableField id="16141" dataBound="0" tableColumnId="253"/>
      <queryTableField id="16140" dataBound="0" tableColumnId="254"/>
      <queryTableField id="16139" dataBound="0" tableColumnId="255"/>
      <queryTableField id="16138" dataBound="0" tableColumnId="256"/>
      <queryTableField id="16137" dataBound="0" tableColumnId="257"/>
      <queryTableField id="16136" dataBound="0" tableColumnId="258"/>
      <queryTableField id="16135" dataBound="0" tableColumnId="259"/>
      <queryTableField id="16134" dataBound="0" tableColumnId="260"/>
      <queryTableField id="16133" dataBound="0" tableColumnId="261"/>
      <queryTableField id="16132" dataBound="0" tableColumnId="262"/>
      <queryTableField id="16131" dataBound="0" tableColumnId="263"/>
      <queryTableField id="16130" dataBound="0" tableColumnId="264"/>
      <queryTableField id="16129" dataBound="0" tableColumnId="265"/>
      <queryTableField id="16128" dataBound="0" tableColumnId="266"/>
      <queryTableField id="16127" dataBound="0" tableColumnId="267"/>
      <queryTableField id="16126" dataBound="0" tableColumnId="268"/>
      <queryTableField id="16125" dataBound="0" tableColumnId="269"/>
      <queryTableField id="16124" dataBound="0" tableColumnId="270"/>
      <queryTableField id="16123" dataBound="0" tableColumnId="271"/>
      <queryTableField id="16122" dataBound="0" tableColumnId="272"/>
      <queryTableField id="16121" dataBound="0" tableColumnId="273"/>
      <queryTableField id="16120" dataBound="0" tableColumnId="274"/>
      <queryTableField id="16119" dataBound="0" tableColumnId="275"/>
      <queryTableField id="16118" dataBound="0" tableColumnId="276"/>
      <queryTableField id="16117" dataBound="0" tableColumnId="277"/>
      <queryTableField id="16116" dataBound="0" tableColumnId="278"/>
      <queryTableField id="16115" dataBound="0" tableColumnId="279"/>
      <queryTableField id="16114" dataBound="0" tableColumnId="280"/>
      <queryTableField id="16113" dataBound="0" tableColumnId="281"/>
      <queryTableField id="16112" dataBound="0" tableColumnId="282"/>
      <queryTableField id="16111" dataBound="0" tableColumnId="283"/>
      <queryTableField id="16110" dataBound="0" tableColumnId="284"/>
      <queryTableField id="16109" dataBound="0" tableColumnId="285"/>
      <queryTableField id="16108" dataBound="0" tableColumnId="286"/>
      <queryTableField id="16107" dataBound="0" tableColumnId="287"/>
      <queryTableField id="16106" dataBound="0" tableColumnId="288"/>
      <queryTableField id="16105" dataBound="0" tableColumnId="289"/>
      <queryTableField id="16104" dataBound="0" tableColumnId="290"/>
      <queryTableField id="16103" dataBound="0" tableColumnId="291"/>
      <queryTableField id="16102" dataBound="0" tableColumnId="292"/>
      <queryTableField id="16101" dataBound="0" tableColumnId="293"/>
      <queryTableField id="16100" dataBound="0" tableColumnId="294"/>
      <queryTableField id="16099" dataBound="0" tableColumnId="295"/>
      <queryTableField id="16098" dataBound="0" tableColumnId="296"/>
      <queryTableField id="16097" dataBound="0" tableColumnId="297"/>
      <queryTableField id="16096" dataBound="0" tableColumnId="298"/>
      <queryTableField id="16095" dataBound="0" tableColumnId="299"/>
      <queryTableField id="16094" dataBound="0" tableColumnId="300"/>
      <queryTableField id="16093" dataBound="0" tableColumnId="301"/>
      <queryTableField id="16092" dataBound="0" tableColumnId="302"/>
      <queryTableField id="16091" dataBound="0" tableColumnId="303"/>
      <queryTableField id="16090" dataBound="0" tableColumnId="304"/>
      <queryTableField id="16089" dataBound="0" tableColumnId="305"/>
      <queryTableField id="16088" dataBound="0" tableColumnId="306"/>
      <queryTableField id="16087" dataBound="0" tableColumnId="307"/>
      <queryTableField id="16086" dataBound="0" tableColumnId="308"/>
      <queryTableField id="16085" dataBound="0" tableColumnId="309"/>
      <queryTableField id="16084" dataBound="0" tableColumnId="310"/>
      <queryTableField id="16083" dataBound="0" tableColumnId="311"/>
      <queryTableField id="16082" dataBound="0" tableColumnId="312"/>
      <queryTableField id="16081" dataBound="0" tableColumnId="313"/>
      <queryTableField id="16080" dataBound="0" tableColumnId="314"/>
      <queryTableField id="16079" dataBound="0" tableColumnId="315"/>
      <queryTableField id="16078" dataBound="0" tableColumnId="316"/>
      <queryTableField id="16077" dataBound="0" tableColumnId="317"/>
      <queryTableField id="16076" dataBound="0" tableColumnId="318"/>
      <queryTableField id="16075" dataBound="0" tableColumnId="319"/>
      <queryTableField id="16074" dataBound="0" tableColumnId="320"/>
      <queryTableField id="16073" dataBound="0" tableColumnId="321"/>
      <queryTableField id="16072" dataBound="0" tableColumnId="322"/>
      <queryTableField id="16071" dataBound="0" tableColumnId="323"/>
      <queryTableField id="16070" dataBound="0" tableColumnId="324"/>
      <queryTableField id="16069" dataBound="0" tableColumnId="325"/>
      <queryTableField id="16068" dataBound="0" tableColumnId="326"/>
      <queryTableField id="16067" dataBound="0" tableColumnId="327"/>
      <queryTableField id="16066" dataBound="0" tableColumnId="328"/>
      <queryTableField id="16065" dataBound="0" tableColumnId="329"/>
      <queryTableField id="16064" dataBound="0" tableColumnId="330"/>
      <queryTableField id="16063" dataBound="0" tableColumnId="331"/>
      <queryTableField id="16062" dataBound="0" tableColumnId="332"/>
      <queryTableField id="16061" dataBound="0" tableColumnId="333"/>
      <queryTableField id="16060" dataBound="0" tableColumnId="334"/>
      <queryTableField id="16059" dataBound="0" tableColumnId="335"/>
      <queryTableField id="16058" dataBound="0" tableColumnId="336"/>
      <queryTableField id="16057" dataBound="0" tableColumnId="337"/>
      <queryTableField id="16056" dataBound="0" tableColumnId="338"/>
      <queryTableField id="16055" dataBound="0" tableColumnId="339"/>
      <queryTableField id="16054" dataBound="0" tableColumnId="340"/>
      <queryTableField id="16053" dataBound="0" tableColumnId="341"/>
      <queryTableField id="16052" dataBound="0" tableColumnId="342"/>
      <queryTableField id="16051" dataBound="0" tableColumnId="343"/>
      <queryTableField id="16050" dataBound="0" tableColumnId="344"/>
      <queryTableField id="16049" dataBound="0" tableColumnId="345"/>
      <queryTableField id="16048" dataBound="0" tableColumnId="346"/>
      <queryTableField id="16047" dataBound="0" tableColumnId="347"/>
      <queryTableField id="16046" dataBound="0" tableColumnId="348"/>
      <queryTableField id="16045" dataBound="0" tableColumnId="349"/>
      <queryTableField id="16044" dataBound="0" tableColumnId="350"/>
      <queryTableField id="16043" dataBound="0" tableColumnId="351"/>
      <queryTableField id="16042" dataBound="0" tableColumnId="352"/>
      <queryTableField id="16041" dataBound="0" tableColumnId="353"/>
      <queryTableField id="16040" dataBound="0" tableColumnId="354"/>
      <queryTableField id="16039" dataBound="0" tableColumnId="355"/>
      <queryTableField id="16038" dataBound="0" tableColumnId="356"/>
      <queryTableField id="16037" dataBound="0" tableColumnId="357"/>
      <queryTableField id="16036" dataBound="0" tableColumnId="358"/>
      <queryTableField id="16035" dataBound="0" tableColumnId="359"/>
      <queryTableField id="16034" dataBound="0" tableColumnId="360"/>
      <queryTableField id="16033" dataBound="0" tableColumnId="361"/>
      <queryTableField id="16032" dataBound="0" tableColumnId="362"/>
      <queryTableField id="16031" dataBound="0" tableColumnId="363"/>
      <queryTableField id="16030" dataBound="0" tableColumnId="364"/>
      <queryTableField id="16029" dataBound="0" tableColumnId="365"/>
      <queryTableField id="16028" dataBound="0" tableColumnId="366"/>
      <queryTableField id="16027" dataBound="0" tableColumnId="367"/>
      <queryTableField id="16026" dataBound="0" tableColumnId="368"/>
      <queryTableField id="16025" dataBound="0" tableColumnId="369"/>
      <queryTableField id="16024" dataBound="0" tableColumnId="370"/>
      <queryTableField id="16023" dataBound="0" tableColumnId="371"/>
      <queryTableField id="16022" dataBound="0" tableColumnId="372"/>
      <queryTableField id="16021" dataBound="0" tableColumnId="373"/>
      <queryTableField id="16020" dataBound="0" tableColumnId="374"/>
      <queryTableField id="16019" dataBound="0" tableColumnId="375"/>
      <queryTableField id="16018" dataBound="0" tableColumnId="376"/>
      <queryTableField id="16017" dataBound="0" tableColumnId="377"/>
      <queryTableField id="16016" dataBound="0" tableColumnId="378"/>
      <queryTableField id="16015" dataBound="0" tableColumnId="379"/>
      <queryTableField id="16014" dataBound="0" tableColumnId="380"/>
      <queryTableField id="16013" dataBound="0" tableColumnId="381"/>
      <queryTableField id="16012" dataBound="0" tableColumnId="382"/>
      <queryTableField id="16011" dataBound="0" tableColumnId="383"/>
      <queryTableField id="16010" dataBound="0" tableColumnId="384"/>
      <queryTableField id="16009" dataBound="0" tableColumnId="385"/>
      <queryTableField id="16008" dataBound="0" tableColumnId="386"/>
      <queryTableField id="16007" dataBound="0" tableColumnId="387"/>
      <queryTableField id="16006" dataBound="0" tableColumnId="388"/>
      <queryTableField id="16005" dataBound="0" tableColumnId="389"/>
      <queryTableField id="16004" dataBound="0" tableColumnId="390"/>
      <queryTableField id="16003" dataBound="0" tableColumnId="391"/>
      <queryTableField id="16002" dataBound="0" tableColumnId="392"/>
      <queryTableField id="16001" dataBound="0" tableColumnId="393"/>
      <queryTableField id="16000" dataBound="0" tableColumnId="394"/>
      <queryTableField id="15999" dataBound="0" tableColumnId="395"/>
      <queryTableField id="15998" dataBound="0" tableColumnId="396"/>
      <queryTableField id="15997" dataBound="0" tableColumnId="397"/>
      <queryTableField id="15996" dataBound="0" tableColumnId="398"/>
      <queryTableField id="15995" dataBound="0" tableColumnId="399"/>
      <queryTableField id="15994" dataBound="0" tableColumnId="400"/>
      <queryTableField id="15993" dataBound="0" tableColumnId="401"/>
      <queryTableField id="15992" dataBound="0" tableColumnId="402"/>
      <queryTableField id="15991" dataBound="0" tableColumnId="403"/>
      <queryTableField id="15990" dataBound="0" tableColumnId="404"/>
      <queryTableField id="15989" dataBound="0" tableColumnId="405"/>
      <queryTableField id="15988" dataBound="0" tableColumnId="406"/>
      <queryTableField id="15987" dataBound="0" tableColumnId="407"/>
      <queryTableField id="15986" dataBound="0" tableColumnId="408"/>
      <queryTableField id="15985" dataBound="0" tableColumnId="409"/>
      <queryTableField id="15984" dataBound="0" tableColumnId="410"/>
      <queryTableField id="15983" dataBound="0" tableColumnId="411"/>
      <queryTableField id="15982" dataBound="0" tableColumnId="412"/>
      <queryTableField id="15981" dataBound="0" tableColumnId="413"/>
      <queryTableField id="15980" dataBound="0" tableColumnId="414"/>
      <queryTableField id="15979" dataBound="0" tableColumnId="415"/>
      <queryTableField id="15978" dataBound="0" tableColumnId="416"/>
      <queryTableField id="15977" dataBound="0" tableColumnId="417"/>
      <queryTableField id="15976" dataBound="0" tableColumnId="418"/>
      <queryTableField id="15975" dataBound="0" tableColumnId="419"/>
      <queryTableField id="15974" dataBound="0" tableColumnId="420"/>
      <queryTableField id="15973" dataBound="0" tableColumnId="421"/>
      <queryTableField id="15972" dataBound="0" tableColumnId="422"/>
      <queryTableField id="15971" dataBound="0" tableColumnId="423"/>
      <queryTableField id="15970" dataBound="0" tableColumnId="424"/>
      <queryTableField id="15969" dataBound="0" tableColumnId="425"/>
      <queryTableField id="15968" dataBound="0" tableColumnId="426"/>
      <queryTableField id="15967" dataBound="0" tableColumnId="427"/>
      <queryTableField id="15966" dataBound="0" tableColumnId="428"/>
      <queryTableField id="15965" dataBound="0" tableColumnId="429"/>
      <queryTableField id="15964" dataBound="0" tableColumnId="430"/>
      <queryTableField id="15963" dataBound="0" tableColumnId="431"/>
      <queryTableField id="15962" dataBound="0" tableColumnId="432"/>
      <queryTableField id="15961" dataBound="0" tableColumnId="433"/>
      <queryTableField id="15960" dataBound="0" tableColumnId="434"/>
      <queryTableField id="15959" dataBound="0" tableColumnId="435"/>
      <queryTableField id="15958" dataBound="0" tableColumnId="436"/>
      <queryTableField id="15957" dataBound="0" tableColumnId="437"/>
      <queryTableField id="15956" dataBound="0" tableColumnId="438"/>
      <queryTableField id="15955" dataBound="0" tableColumnId="439"/>
      <queryTableField id="15954" dataBound="0" tableColumnId="440"/>
      <queryTableField id="15953" dataBound="0" tableColumnId="441"/>
      <queryTableField id="15952" dataBound="0" tableColumnId="442"/>
      <queryTableField id="15951" dataBound="0" tableColumnId="443"/>
      <queryTableField id="15950" dataBound="0" tableColumnId="444"/>
      <queryTableField id="15949" dataBound="0" tableColumnId="445"/>
      <queryTableField id="15948" dataBound="0" tableColumnId="446"/>
      <queryTableField id="15947" dataBound="0" tableColumnId="447"/>
      <queryTableField id="15946" dataBound="0" tableColumnId="448"/>
      <queryTableField id="15945" dataBound="0" tableColumnId="449"/>
      <queryTableField id="15944" dataBound="0" tableColumnId="450"/>
      <queryTableField id="15943" dataBound="0" tableColumnId="451"/>
      <queryTableField id="15942" dataBound="0" tableColumnId="452"/>
      <queryTableField id="15941" dataBound="0" tableColumnId="453"/>
      <queryTableField id="15940" dataBound="0" tableColumnId="454"/>
      <queryTableField id="15939" dataBound="0" tableColumnId="455"/>
      <queryTableField id="15938" dataBound="0" tableColumnId="456"/>
      <queryTableField id="15937" dataBound="0" tableColumnId="457"/>
      <queryTableField id="15936" dataBound="0" tableColumnId="458"/>
      <queryTableField id="15935" dataBound="0" tableColumnId="459"/>
      <queryTableField id="15934" dataBound="0" tableColumnId="460"/>
      <queryTableField id="15933" dataBound="0" tableColumnId="461"/>
      <queryTableField id="15932" dataBound="0" tableColumnId="462"/>
      <queryTableField id="15931" dataBound="0" tableColumnId="463"/>
      <queryTableField id="15930" dataBound="0" tableColumnId="464"/>
      <queryTableField id="15929" dataBound="0" tableColumnId="465"/>
      <queryTableField id="15928" dataBound="0" tableColumnId="466"/>
      <queryTableField id="15927" dataBound="0" tableColumnId="467"/>
      <queryTableField id="15926" dataBound="0" tableColumnId="468"/>
      <queryTableField id="15925" dataBound="0" tableColumnId="469"/>
      <queryTableField id="15924" dataBound="0" tableColumnId="470"/>
      <queryTableField id="15923" dataBound="0" tableColumnId="471"/>
      <queryTableField id="15922" dataBound="0" tableColumnId="472"/>
      <queryTableField id="15921" dataBound="0" tableColumnId="473"/>
      <queryTableField id="15920" dataBound="0" tableColumnId="474"/>
      <queryTableField id="15919" dataBound="0" tableColumnId="475"/>
      <queryTableField id="15918" dataBound="0" tableColumnId="476"/>
      <queryTableField id="15917" dataBound="0" tableColumnId="477"/>
      <queryTableField id="15916" dataBound="0" tableColumnId="478"/>
      <queryTableField id="15915" dataBound="0" tableColumnId="479"/>
      <queryTableField id="15914" dataBound="0" tableColumnId="480"/>
      <queryTableField id="15913" dataBound="0" tableColumnId="481"/>
      <queryTableField id="15912" dataBound="0" tableColumnId="482"/>
      <queryTableField id="15911" dataBound="0" tableColumnId="483"/>
      <queryTableField id="15910" dataBound="0" tableColumnId="484"/>
      <queryTableField id="15909" dataBound="0" tableColumnId="485"/>
      <queryTableField id="15908" dataBound="0" tableColumnId="486"/>
      <queryTableField id="15907" dataBound="0" tableColumnId="487"/>
      <queryTableField id="15906" dataBound="0" tableColumnId="488"/>
      <queryTableField id="15905" dataBound="0" tableColumnId="489"/>
      <queryTableField id="15904" dataBound="0" tableColumnId="490"/>
      <queryTableField id="15903" dataBound="0" tableColumnId="491"/>
      <queryTableField id="15902" dataBound="0" tableColumnId="492"/>
      <queryTableField id="15901" dataBound="0" tableColumnId="493"/>
      <queryTableField id="15900" dataBound="0" tableColumnId="494"/>
      <queryTableField id="15899" dataBound="0" tableColumnId="495"/>
      <queryTableField id="15898" dataBound="0" tableColumnId="496"/>
      <queryTableField id="15897" dataBound="0" tableColumnId="497"/>
      <queryTableField id="15896" dataBound="0" tableColumnId="498"/>
      <queryTableField id="15895" dataBound="0" tableColumnId="499"/>
      <queryTableField id="15894" dataBound="0" tableColumnId="500"/>
      <queryTableField id="15893" dataBound="0" tableColumnId="501"/>
      <queryTableField id="15892" dataBound="0" tableColumnId="502"/>
      <queryTableField id="15891" dataBound="0" tableColumnId="503"/>
      <queryTableField id="15890" dataBound="0" tableColumnId="504"/>
      <queryTableField id="15889" dataBound="0" tableColumnId="505"/>
      <queryTableField id="15888" dataBound="0" tableColumnId="506"/>
      <queryTableField id="15887" dataBound="0" tableColumnId="507"/>
      <queryTableField id="15886" dataBound="0" tableColumnId="508"/>
      <queryTableField id="15885" dataBound="0" tableColumnId="509"/>
      <queryTableField id="15884" dataBound="0" tableColumnId="510"/>
      <queryTableField id="15883" dataBound="0" tableColumnId="511"/>
      <queryTableField id="15882" dataBound="0" tableColumnId="512"/>
      <queryTableField id="15881" dataBound="0" tableColumnId="513"/>
      <queryTableField id="15880" dataBound="0" tableColumnId="514"/>
      <queryTableField id="15879" dataBound="0" tableColumnId="515"/>
      <queryTableField id="15878" dataBound="0" tableColumnId="516"/>
      <queryTableField id="15877" dataBound="0" tableColumnId="517"/>
      <queryTableField id="15876" dataBound="0" tableColumnId="518"/>
      <queryTableField id="15875" dataBound="0" tableColumnId="519"/>
      <queryTableField id="15874" dataBound="0" tableColumnId="520"/>
      <queryTableField id="15873" dataBound="0" tableColumnId="521"/>
      <queryTableField id="15872" dataBound="0" tableColumnId="522"/>
      <queryTableField id="15871" dataBound="0" tableColumnId="523"/>
      <queryTableField id="15870" dataBound="0" tableColumnId="524"/>
      <queryTableField id="15869" dataBound="0" tableColumnId="525"/>
      <queryTableField id="15868" dataBound="0" tableColumnId="526"/>
      <queryTableField id="15867" dataBound="0" tableColumnId="527"/>
      <queryTableField id="15866" dataBound="0" tableColumnId="528"/>
      <queryTableField id="15865" dataBound="0" tableColumnId="529"/>
      <queryTableField id="15864" dataBound="0" tableColumnId="530"/>
      <queryTableField id="15863" dataBound="0" tableColumnId="531"/>
      <queryTableField id="15862" dataBound="0" tableColumnId="532"/>
      <queryTableField id="15861" dataBound="0" tableColumnId="533"/>
      <queryTableField id="15860" dataBound="0" tableColumnId="534"/>
      <queryTableField id="15859" dataBound="0" tableColumnId="535"/>
      <queryTableField id="15858" dataBound="0" tableColumnId="536"/>
      <queryTableField id="15857" dataBound="0" tableColumnId="537"/>
      <queryTableField id="15856" dataBound="0" tableColumnId="538"/>
      <queryTableField id="15855" dataBound="0" tableColumnId="539"/>
      <queryTableField id="15854" dataBound="0" tableColumnId="540"/>
      <queryTableField id="15853" dataBound="0" tableColumnId="541"/>
      <queryTableField id="15852" dataBound="0" tableColumnId="542"/>
      <queryTableField id="15851" dataBound="0" tableColumnId="543"/>
      <queryTableField id="15850" dataBound="0" tableColumnId="544"/>
      <queryTableField id="15849" dataBound="0" tableColumnId="545"/>
      <queryTableField id="15848" dataBound="0" tableColumnId="546"/>
      <queryTableField id="15847" dataBound="0" tableColumnId="547"/>
      <queryTableField id="15846" dataBound="0" tableColumnId="548"/>
      <queryTableField id="15845" dataBound="0" tableColumnId="549"/>
      <queryTableField id="15844" dataBound="0" tableColumnId="550"/>
      <queryTableField id="15843" dataBound="0" tableColumnId="551"/>
      <queryTableField id="15842" dataBound="0" tableColumnId="552"/>
      <queryTableField id="15841" dataBound="0" tableColumnId="553"/>
      <queryTableField id="15840" dataBound="0" tableColumnId="554"/>
      <queryTableField id="15839" dataBound="0" tableColumnId="555"/>
      <queryTableField id="15838" dataBound="0" tableColumnId="556"/>
      <queryTableField id="15837" dataBound="0" tableColumnId="557"/>
      <queryTableField id="15836" dataBound="0" tableColumnId="558"/>
      <queryTableField id="15835" dataBound="0" tableColumnId="559"/>
      <queryTableField id="15834" dataBound="0" tableColumnId="560"/>
      <queryTableField id="15833" dataBound="0" tableColumnId="561"/>
      <queryTableField id="15832" dataBound="0" tableColumnId="562"/>
      <queryTableField id="15831" dataBound="0" tableColumnId="563"/>
      <queryTableField id="15830" dataBound="0" tableColumnId="564"/>
      <queryTableField id="15829" dataBound="0" tableColumnId="565"/>
      <queryTableField id="15828" dataBound="0" tableColumnId="566"/>
      <queryTableField id="15827" dataBound="0" tableColumnId="567"/>
      <queryTableField id="15826" dataBound="0" tableColumnId="568"/>
      <queryTableField id="15825" dataBound="0" tableColumnId="569"/>
      <queryTableField id="15824" dataBound="0" tableColumnId="570"/>
      <queryTableField id="15823" dataBound="0" tableColumnId="571"/>
      <queryTableField id="15822" dataBound="0" tableColumnId="572"/>
      <queryTableField id="15821" dataBound="0" tableColumnId="573"/>
      <queryTableField id="15820" dataBound="0" tableColumnId="574"/>
      <queryTableField id="15819" dataBound="0" tableColumnId="575"/>
      <queryTableField id="15818" dataBound="0" tableColumnId="576"/>
      <queryTableField id="15817" dataBound="0" tableColumnId="577"/>
      <queryTableField id="15816" dataBound="0" tableColumnId="578"/>
      <queryTableField id="15815" dataBound="0" tableColumnId="579"/>
      <queryTableField id="15814" dataBound="0" tableColumnId="580"/>
      <queryTableField id="15813" dataBound="0" tableColumnId="581"/>
      <queryTableField id="15812" dataBound="0" tableColumnId="582"/>
      <queryTableField id="15811" dataBound="0" tableColumnId="583"/>
      <queryTableField id="15810" dataBound="0" tableColumnId="584"/>
      <queryTableField id="15809" dataBound="0" tableColumnId="585"/>
      <queryTableField id="15808" dataBound="0" tableColumnId="586"/>
      <queryTableField id="15807" dataBound="0" tableColumnId="587"/>
      <queryTableField id="15806" dataBound="0" tableColumnId="588"/>
      <queryTableField id="15805" dataBound="0" tableColumnId="589"/>
      <queryTableField id="15804" dataBound="0" tableColumnId="590"/>
      <queryTableField id="15803" dataBound="0" tableColumnId="591"/>
      <queryTableField id="15802" dataBound="0" tableColumnId="592"/>
      <queryTableField id="15801" dataBound="0" tableColumnId="593"/>
      <queryTableField id="15800" dataBound="0" tableColumnId="594"/>
      <queryTableField id="15799" dataBound="0" tableColumnId="595"/>
      <queryTableField id="15798" dataBound="0" tableColumnId="596"/>
      <queryTableField id="15797" dataBound="0" tableColumnId="597"/>
      <queryTableField id="15796" dataBound="0" tableColumnId="598"/>
      <queryTableField id="15795" dataBound="0" tableColumnId="599"/>
      <queryTableField id="15794" dataBound="0" tableColumnId="600"/>
      <queryTableField id="15793" dataBound="0" tableColumnId="601"/>
      <queryTableField id="15792" dataBound="0" tableColumnId="602"/>
      <queryTableField id="15791" dataBound="0" tableColumnId="603"/>
      <queryTableField id="15790" dataBound="0" tableColumnId="604"/>
      <queryTableField id="15789" dataBound="0" tableColumnId="605"/>
      <queryTableField id="15788" dataBound="0" tableColumnId="606"/>
      <queryTableField id="15787" dataBound="0" tableColumnId="607"/>
      <queryTableField id="15786" dataBound="0" tableColumnId="608"/>
      <queryTableField id="15785" dataBound="0" tableColumnId="609"/>
      <queryTableField id="15784" dataBound="0" tableColumnId="610"/>
      <queryTableField id="15783" dataBound="0" tableColumnId="611"/>
      <queryTableField id="15782" dataBound="0" tableColumnId="612"/>
      <queryTableField id="15781" dataBound="0" tableColumnId="613"/>
      <queryTableField id="15780" dataBound="0" tableColumnId="614"/>
      <queryTableField id="15779" dataBound="0" tableColumnId="615"/>
      <queryTableField id="15778" dataBound="0" tableColumnId="616"/>
      <queryTableField id="15777" dataBound="0" tableColumnId="617"/>
      <queryTableField id="15776" dataBound="0" tableColumnId="618"/>
      <queryTableField id="15775" dataBound="0" tableColumnId="619"/>
      <queryTableField id="15774" dataBound="0" tableColumnId="620"/>
      <queryTableField id="15773" dataBound="0" tableColumnId="621"/>
      <queryTableField id="15772" dataBound="0" tableColumnId="622"/>
      <queryTableField id="15771" dataBound="0" tableColumnId="623"/>
      <queryTableField id="15770" dataBound="0" tableColumnId="624"/>
      <queryTableField id="15769" dataBound="0" tableColumnId="625"/>
      <queryTableField id="15768" dataBound="0" tableColumnId="626"/>
      <queryTableField id="15767" dataBound="0" tableColumnId="627"/>
      <queryTableField id="15766" dataBound="0" tableColumnId="628"/>
      <queryTableField id="15765" dataBound="0" tableColumnId="629"/>
      <queryTableField id="15764" dataBound="0" tableColumnId="630"/>
      <queryTableField id="15763" dataBound="0" tableColumnId="631"/>
      <queryTableField id="15762" dataBound="0" tableColumnId="632"/>
      <queryTableField id="15761" dataBound="0" tableColumnId="633"/>
      <queryTableField id="15760" dataBound="0" tableColumnId="634"/>
      <queryTableField id="15759" dataBound="0" tableColumnId="635"/>
      <queryTableField id="15758" dataBound="0" tableColumnId="636"/>
      <queryTableField id="15757" dataBound="0" tableColumnId="637"/>
      <queryTableField id="15756" dataBound="0" tableColumnId="638"/>
      <queryTableField id="15755" dataBound="0" tableColumnId="639"/>
      <queryTableField id="15754" dataBound="0" tableColumnId="640"/>
      <queryTableField id="15753" dataBound="0" tableColumnId="641"/>
      <queryTableField id="15752" dataBound="0" tableColumnId="642"/>
      <queryTableField id="15751" dataBound="0" tableColumnId="643"/>
      <queryTableField id="15750" dataBound="0" tableColumnId="644"/>
      <queryTableField id="15749" dataBound="0" tableColumnId="645"/>
      <queryTableField id="15748" dataBound="0" tableColumnId="646"/>
      <queryTableField id="15747" dataBound="0" tableColumnId="647"/>
      <queryTableField id="15746" dataBound="0" tableColumnId="648"/>
      <queryTableField id="15745" dataBound="0" tableColumnId="649"/>
      <queryTableField id="15744" dataBound="0" tableColumnId="650"/>
      <queryTableField id="15743" dataBound="0" tableColumnId="651"/>
      <queryTableField id="15742" dataBound="0" tableColumnId="652"/>
      <queryTableField id="15741" dataBound="0" tableColumnId="653"/>
      <queryTableField id="15740" dataBound="0" tableColumnId="654"/>
      <queryTableField id="15739" dataBound="0" tableColumnId="655"/>
      <queryTableField id="15738" dataBound="0" tableColumnId="656"/>
      <queryTableField id="15737" dataBound="0" tableColumnId="657"/>
      <queryTableField id="15736" dataBound="0" tableColumnId="658"/>
      <queryTableField id="15735" dataBound="0" tableColumnId="659"/>
      <queryTableField id="15734" dataBound="0" tableColumnId="660"/>
      <queryTableField id="15733" dataBound="0" tableColumnId="661"/>
      <queryTableField id="15732" dataBound="0" tableColumnId="662"/>
      <queryTableField id="15731" dataBound="0" tableColumnId="663"/>
      <queryTableField id="15730" dataBound="0" tableColumnId="664"/>
      <queryTableField id="15729" dataBound="0" tableColumnId="665"/>
      <queryTableField id="15728" dataBound="0" tableColumnId="666"/>
      <queryTableField id="15727" dataBound="0" tableColumnId="667"/>
      <queryTableField id="15726" dataBound="0" tableColumnId="668"/>
      <queryTableField id="15725" dataBound="0" tableColumnId="669"/>
      <queryTableField id="15724" dataBound="0" tableColumnId="670"/>
      <queryTableField id="15723" dataBound="0" tableColumnId="671"/>
      <queryTableField id="15722" dataBound="0" tableColumnId="672"/>
      <queryTableField id="15721" dataBound="0" tableColumnId="673"/>
      <queryTableField id="15720" dataBound="0" tableColumnId="674"/>
      <queryTableField id="15719" dataBound="0" tableColumnId="675"/>
      <queryTableField id="15718" dataBound="0" tableColumnId="676"/>
      <queryTableField id="15717" dataBound="0" tableColumnId="677"/>
      <queryTableField id="15716" dataBound="0" tableColumnId="678"/>
      <queryTableField id="15715" dataBound="0" tableColumnId="679"/>
      <queryTableField id="15714" dataBound="0" tableColumnId="680"/>
      <queryTableField id="15713" dataBound="0" tableColumnId="681"/>
      <queryTableField id="15712" dataBound="0" tableColumnId="682"/>
      <queryTableField id="15711" dataBound="0" tableColumnId="683"/>
      <queryTableField id="15710" dataBound="0" tableColumnId="684"/>
      <queryTableField id="15709" dataBound="0" tableColumnId="685"/>
      <queryTableField id="15708" dataBound="0" tableColumnId="686"/>
      <queryTableField id="15707" dataBound="0" tableColumnId="687"/>
      <queryTableField id="15706" dataBound="0" tableColumnId="688"/>
      <queryTableField id="15705" dataBound="0" tableColumnId="689"/>
      <queryTableField id="15704" dataBound="0" tableColumnId="690"/>
      <queryTableField id="15703" dataBound="0" tableColumnId="691"/>
      <queryTableField id="15702" dataBound="0" tableColumnId="692"/>
      <queryTableField id="15701" dataBound="0" tableColumnId="693"/>
      <queryTableField id="15700" dataBound="0" tableColumnId="694"/>
      <queryTableField id="15699" dataBound="0" tableColumnId="695"/>
      <queryTableField id="15698" dataBound="0" tableColumnId="696"/>
      <queryTableField id="15697" dataBound="0" tableColumnId="697"/>
      <queryTableField id="15696" dataBound="0" tableColumnId="698"/>
      <queryTableField id="15695" dataBound="0" tableColumnId="699"/>
      <queryTableField id="15694" dataBound="0" tableColumnId="700"/>
      <queryTableField id="15693" dataBound="0" tableColumnId="701"/>
      <queryTableField id="15692" dataBound="0" tableColumnId="702"/>
      <queryTableField id="15691" dataBound="0" tableColumnId="703"/>
      <queryTableField id="15690" dataBound="0" tableColumnId="704"/>
      <queryTableField id="15689" dataBound="0" tableColumnId="705"/>
      <queryTableField id="15688" dataBound="0" tableColumnId="706"/>
      <queryTableField id="15687" dataBound="0" tableColumnId="707"/>
      <queryTableField id="15686" dataBound="0" tableColumnId="708"/>
      <queryTableField id="15685" dataBound="0" tableColumnId="709"/>
      <queryTableField id="15684" dataBound="0" tableColumnId="710"/>
      <queryTableField id="15683" dataBound="0" tableColumnId="711"/>
      <queryTableField id="15682" dataBound="0" tableColumnId="712"/>
      <queryTableField id="15681" dataBound="0" tableColumnId="713"/>
      <queryTableField id="15680" dataBound="0" tableColumnId="714"/>
      <queryTableField id="15679" dataBound="0" tableColumnId="715"/>
      <queryTableField id="15678" dataBound="0" tableColumnId="716"/>
      <queryTableField id="15677" dataBound="0" tableColumnId="717"/>
      <queryTableField id="15676" dataBound="0" tableColumnId="718"/>
      <queryTableField id="15675" dataBound="0" tableColumnId="719"/>
      <queryTableField id="15674" dataBound="0" tableColumnId="720"/>
      <queryTableField id="15673" dataBound="0" tableColumnId="721"/>
      <queryTableField id="15672" dataBound="0" tableColumnId="722"/>
      <queryTableField id="15671" dataBound="0" tableColumnId="723"/>
      <queryTableField id="15670" dataBound="0" tableColumnId="724"/>
      <queryTableField id="15669" dataBound="0" tableColumnId="725"/>
      <queryTableField id="15668" dataBound="0" tableColumnId="726"/>
      <queryTableField id="15667" dataBound="0" tableColumnId="727"/>
      <queryTableField id="15666" dataBound="0" tableColumnId="728"/>
      <queryTableField id="15665" dataBound="0" tableColumnId="729"/>
      <queryTableField id="15664" dataBound="0" tableColumnId="730"/>
      <queryTableField id="15663" dataBound="0" tableColumnId="731"/>
      <queryTableField id="15662" dataBound="0" tableColumnId="732"/>
      <queryTableField id="15661" dataBound="0" tableColumnId="733"/>
      <queryTableField id="15660" dataBound="0" tableColumnId="734"/>
      <queryTableField id="15659" dataBound="0" tableColumnId="735"/>
      <queryTableField id="15658" dataBound="0" tableColumnId="736"/>
      <queryTableField id="15657" dataBound="0" tableColumnId="737"/>
      <queryTableField id="15656" dataBound="0" tableColumnId="738"/>
      <queryTableField id="15655" dataBound="0" tableColumnId="739"/>
      <queryTableField id="15654" dataBound="0" tableColumnId="740"/>
      <queryTableField id="15653" dataBound="0" tableColumnId="741"/>
      <queryTableField id="15652" dataBound="0" tableColumnId="742"/>
      <queryTableField id="15651" dataBound="0" tableColumnId="743"/>
      <queryTableField id="15650" dataBound="0" tableColumnId="744"/>
      <queryTableField id="15649" dataBound="0" tableColumnId="745"/>
      <queryTableField id="15648" dataBound="0" tableColumnId="746"/>
      <queryTableField id="15647" dataBound="0" tableColumnId="747"/>
      <queryTableField id="15646" dataBound="0" tableColumnId="748"/>
      <queryTableField id="15645" dataBound="0" tableColumnId="749"/>
      <queryTableField id="15644" dataBound="0" tableColumnId="750"/>
      <queryTableField id="15643" dataBound="0" tableColumnId="751"/>
      <queryTableField id="15642" dataBound="0" tableColumnId="752"/>
      <queryTableField id="15641" dataBound="0" tableColumnId="753"/>
      <queryTableField id="15640" dataBound="0" tableColumnId="754"/>
      <queryTableField id="15639" dataBound="0" tableColumnId="755"/>
      <queryTableField id="15638" dataBound="0" tableColumnId="756"/>
      <queryTableField id="15637" dataBound="0" tableColumnId="757"/>
      <queryTableField id="15636" dataBound="0" tableColumnId="758"/>
      <queryTableField id="15635" dataBound="0" tableColumnId="759"/>
      <queryTableField id="15634" dataBound="0" tableColumnId="760"/>
      <queryTableField id="15633" dataBound="0" tableColumnId="761"/>
      <queryTableField id="15632" dataBound="0" tableColumnId="762"/>
      <queryTableField id="15631" dataBound="0" tableColumnId="763"/>
      <queryTableField id="15630" dataBound="0" tableColumnId="764"/>
      <queryTableField id="15629" dataBound="0" tableColumnId="765"/>
      <queryTableField id="15628" dataBound="0" tableColumnId="766"/>
      <queryTableField id="15627" dataBound="0" tableColumnId="767"/>
      <queryTableField id="15626" dataBound="0" tableColumnId="768"/>
      <queryTableField id="15625" dataBound="0" tableColumnId="769"/>
      <queryTableField id="15624" dataBound="0" tableColumnId="770"/>
      <queryTableField id="15623" dataBound="0" tableColumnId="771"/>
      <queryTableField id="15622" dataBound="0" tableColumnId="772"/>
      <queryTableField id="15621" dataBound="0" tableColumnId="773"/>
      <queryTableField id="15620" dataBound="0" tableColumnId="774"/>
      <queryTableField id="15619" dataBound="0" tableColumnId="775"/>
      <queryTableField id="15618" dataBound="0" tableColumnId="776"/>
      <queryTableField id="15617" dataBound="0" tableColumnId="777"/>
      <queryTableField id="15616" dataBound="0" tableColumnId="778"/>
      <queryTableField id="15615" dataBound="0" tableColumnId="779"/>
      <queryTableField id="15614" dataBound="0" tableColumnId="780"/>
      <queryTableField id="15613" dataBound="0" tableColumnId="781"/>
      <queryTableField id="15612" dataBound="0" tableColumnId="782"/>
      <queryTableField id="15611" dataBound="0" tableColumnId="783"/>
      <queryTableField id="15610" dataBound="0" tableColumnId="784"/>
      <queryTableField id="15609" dataBound="0" tableColumnId="785"/>
      <queryTableField id="15608" dataBound="0" tableColumnId="786"/>
      <queryTableField id="15607" dataBound="0" tableColumnId="787"/>
      <queryTableField id="15606" dataBound="0" tableColumnId="788"/>
      <queryTableField id="15605" dataBound="0" tableColumnId="789"/>
      <queryTableField id="15604" dataBound="0" tableColumnId="790"/>
      <queryTableField id="15603" dataBound="0" tableColumnId="791"/>
      <queryTableField id="15602" dataBound="0" tableColumnId="792"/>
      <queryTableField id="15601" dataBound="0" tableColumnId="793"/>
      <queryTableField id="15600" dataBound="0" tableColumnId="794"/>
      <queryTableField id="15599" dataBound="0" tableColumnId="795"/>
      <queryTableField id="15598" dataBound="0" tableColumnId="796"/>
      <queryTableField id="15597" dataBound="0" tableColumnId="797"/>
      <queryTableField id="15596" dataBound="0" tableColumnId="798"/>
      <queryTableField id="15595" dataBound="0" tableColumnId="799"/>
      <queryTableField id="15594" dataBound="0" tableColumnId="800"/>
      <queryTableField id="15593" dataBound="0" tableColumnId="801"/>
      <queryTableField id="15592" dataBound="0" tableColumnId="802"/>
      <queryTableField id="15591" dataBound="0" tableColumnId="803"/>
      <queryTableField id="15590" dataBound="0" tableColumnId="804"/>
      <queryTableField id="15589" dataBound="0" tableColumnId="805"/>
      <queryTableField id="15588" dataBound="0" tableColumnId="806"/>
      <queryTableField id="15587" dataBound="0" tableColumnId="807"/>
      <queryTableField id="15586" dataBound="0" tableColumnId="808"/>
      <queryTableField id="15585" dataBound="0" tableColumnId="809"/>
      <queryTableField id="15584" dataBound="0" tableColumnId="810"/>
      <queryTableField id="15583" dataBound="0" tableColumnId="811"/>
      <queryTableField id="15582" dataBound="0" tableColumnId="812"/>
      <queryTableField id="15581" dataBound="0" tableColumnId="813"/>
      <queryTableField id="15580" dataBound="0" tableColumnId="814"/>
      <queryTableField id="15579" dataBound="0" tableColumnId="815"/>
      <queryTableField id="15578" dataBound="0" tableColumnId="816"/>
      <queryTableField id="15577" dataBound="0" tableColumnId="817"/>
      <queryTableField id="15576" dataBound="0" tableColumnId="818"/>
      <queryTableField id="15575" dataBound="0" tableColumnId="819"/>
      <queryTableField id="15574" dataBound="0" tableColumnId="820"/>
      <queryTableField id="15573" dataBound="0" tableColumnId="821"/>
      <queryTableField id="15572" dataBound="0" tableColumnId="822"/>
      <queryTableField id="15571" dataBound="0" tableColumnId="823"/>
      <queryTableField id="15570" dataBound="0" tableColumnId="824"/>
      <queryTableField id="15569" dataBound="0" tableColumnId="825"/>
      <queryTableField id="15568" dataBound="0" tableColumnId="826"/>
      <queryTableField id="15567" dataBound="0" tableColumnId="827"/>
      <queryTableField id="15566" dataBound="0" tableColumnId="828"/>
      <queryTableField id="15565" dataBound="0" tableColumnId="829"/>
      <queryTableField id="15564" dataBound="0" tableColumnId="830"/>
      <queryTableField id="15563" dataBound="0" tableColumnId="831"/>
      <queryTableField id="15562" dataBound="0" tableColumnId="832"/>
      <queryTableField id="15561" dataBound="0" tableColumnId="833"/>
      <queryTableField id="15560" dataBound="0" tableColumnId="834"/>
      <queryTableField id="15559" dataBound="0" tableColumnId="835"/>
      <queryTableField id="15558" dataBound="0" tableColumnId="836"/>
      <queryTableField id="15557" dataBound="0" tableColumnId="837"/>
      <queryTableField id="15556" dataBound="0" tableColumnId="838"/>
      <queryTableField id="15555" dataBound="0" tableColumnId="839"/>
      <queryTableField id="15554" dataBound="0" tableColumnId="840"/>
      <queryTableField id="15553" dataBound="0" tableColumnId="841"/>
      <queryTableField id="15552" dataBound="0" tableColumnId="842"/>
      <queryTableField id="15551" dataBound="0" tableColumnId="843"/>
      <queryTableField id="15550" dataBound="0" tableColumnId="844"/>
      <queryTableField id="15549" dataBound="0" tableColumnId="845"/>
      <queryTableField id="15548" dataBound="0" tableColumnId="846"/>
      <queryTableField id="15547" dataBound="0" tableColumnId="847"/>
      <queryTableField id="15546" dataBound="0" tableColumnId="848"/>
      <queryTableField id="15545" dataBound="0" tableColumnId="849"/>
      <queryTableField id="15544" dataBound="0" tableColumnId="850"/>
      <queryTableField id="15543" dataBound="0" tableColumnId="851"/>
      <queryTableField id="15542" dataBound="0" tableColumnId="852"/>
      <queryTableField id="15541" dataBound="0" tableColumnId="853"/>
      <queryTableField id="15540" dataBound="0" tableColumnId="854"/>
      <queryTableField id="15539" dataBound="0" tableColumnId="855"/>
      <queryTableField id="15538" dataBound="0" tableColumnId="856"/>
      <queryTableField id="15537" dataBound="0" tableColumnId="857"/>
      <queryTableField id="15536" dataBound="0" tableColumnId="858"/>
      <queryTableField id="15535" dataBound="0" tableColumnId="859"/>
      <queryTableField id="15534" dataBound="0" tableColumnId="860"/>
      <queryTableField id="15533" dataBound="0" tableColumnId="861"/>
      <queryTableField id="15532" dataBound="0" tableColumnId="862"/>
      <queryTableField id="15531" dataBound="0" tableColumnId="863"/>
      <queryTableField id="15530" dataBound="0" tableColumnId="864"/>
      <queryTableField id="15529" dataBound="0" tableColumnId="865"/>
      <queryTableField id="15528" dataBound="0" tableColumnId="866"/>
      <queryTableField id="15527" dataBound="0" tableColumnId="867"/>
      <queryTableField id="15526" dataBound="0" tableColumnId="868"/>
      <queryTableField id="15525" dataBound="0" tableColumnId="869"/>
      <queryTableField id="15524" dataBound="0" tableColumnId="870"/>
      <queryTableField id="15523" dataBound="0" tableColumnId="871"/>
      <queryTableField id="15522" dataBound="0" tableColumnId="872"/>
      <queryTableField id="15521" dataBound="0" tableColumnId="873"/>
      <queryTableField id="15520" dataBound="0" tableColumnId="874"/>
      <queryTableField id="15519" dataBound="0" tableColumnId="875"/>
      <queryTableField id="15518" dataBound="0" tableColumnId="876"/>
      <queryTableField id="15517" dataBound="0" tableColumnId="877"/>
      <queryTableField id="15516" dataBound="0" tableColumnId="878"/>
      <queryTableField id="15515" dataBound="0" tableColumnId="879"/>
      <queryTableField id="15514" dataBound="0" tableColumnId="880"/>
      <queryTableField id="15513" dataBound="0" tableColumnId="881"/>
      <queryTableField id="15512" dataBound="0" tableColumnId="882"/>
      <queryTableField id="15511" dataBound="0" tableColumnId="883"/>
      <queryTableField id="15510" dataBound="0" tableColumnId="884"/>
      <queryTableField id="15509" dataBound="0" tableColumnId="885"/>
      <queryTableField id="15508" dataBound="0" tableColumnId="886"/>
      <queryTableField id="15507" dataBound="0" tableColumnId="887"/>
      <queryTableField id="15506" dataBound="0" tableColumnId="888"/>
      <queryTableField id="15505" dataBound="0" tableColumnId="889"/>
      <queryTableField id="15504" dataBound="0" tableColumnId="890"/>
      <queryTableField id="15503" dataBound="0" tableColumnId="891"/>
      <queryTableField id="15502" dataBound="0" tableColumnId="892"/>
      <queryTableField id="15501" dataBound="0" tableColumnId="893"/>
      <queryTableField id="15500" dataBound="0" tableColumnId="894"/>
      <queryTableField id="15499" dataBound="0" tableColumnId="895"/>
      <queryTableField id="15498" dataBound="0" tableColumnId="896"/>
      <queryTableField id="15497" dataBound="0" tableColumnId="897"/>
      <queryTableField id="15496" dataBound="0" tableColumnId="898"/>
      <queryTableField id="15495" dataBound="0" tableColumnId="899"/>
      <queryTableField id="15494" dataBound="0" tableColumnId="900"/>
      <queryTableField id="15493" dataBound="0" tableColumnId="901"/>
      <queryTableField id="15492" dataBound="0" tableColumnId="902"/>
      <queryTableField id="15491" dataBound="0" tableColumnId="903"/>
      <queryTableField id="15490" dataBound="0" tableColumnId="904"/>
      <queryTableField id="15489" dataBound="0" tableColumnId="905"/>
      <queryTableField id="15488" dataBound="0" tableColumnId="906"/>
      <queryTableField id="15487" dataBound="0" tableColumnId="907"/>
      <queryTableField id="15486" dataBound="0" tableColumnId="908"/>
      <queryTableField id="15485" dataBound="0" tableColumnId="909"/>
      <queryTableField id="15484" dataBound="0" tableColumnId="910"/>
      <queryTableField id="15483" dataBound="0" tableColumnId="911"/>
      <queryTableField id="15482" dataBound="0" tableColumnId="912"/>
      <queryTableField id="15481" dataBound="0" tableColumnId="913"/>
      <queryTableField id="15480" dataBound="0" tableColumnId="914"/>
      <queryTableField id="15479" dataBound="0" tableColumnId="915"/>
      <queryTableField id="15478" dataBound="0" tableColumnId="916"/>
      <queryTableField id="15477" dataBound="0" tableColumnId="917"/>
      <queryTableField id="15476" dataBound="0" tableColumnId="918"/>
      <queryTableField id="15475" dataBound="0" tableColumnId="919"/>
      <queryTableField id="15474" dataBound="0" tableColumnId="920"/>
      <queryTableField id="15473" dataBound="0" tableColumnId="921"/>
      <queryTableField id="15472" dataBound="0" tableColumnId="922"/>
      <queryTableField id="15471" dataBound="0" tableColumnId="923"/>
      <queryTableField id="15470" dataBound="0" tableColumnId="924"/>
      <queryTableField id="15469" dataBound="0" tableColumnId="925"/>
      <queryTableField id="15468" dataBound="0" tableColumnId="926"/>
      <queryTableField id="15467" dataBound="0" tableColumnId="927"/>
      <queryTableField id="15466" dataBound="0" tableColumnId="928"/>
      <queryTableField id="15465" dataBound="0" tableColumnId="929"/>
      <queryTableField id="15464" dataBound="0" tableColumnId="930"/>
      <queryTableField id="15463" dataBound="0" tableColumnId="931"/>
      <queryTableField id="15462" dataBound="0" tableColumnId="932"/>
      <queryTableField id="15461" dataBound="0" tableColumnId="933"/>
      <queryTableField id="15460" dataBound="0" tableColumnId="934"/>
      <queryTableField id="15459" dataBound="0" tableColumnId="935"/>
      <queryTableField id="15458" dataBound="0" tableColumnId="936"/>
      <queryTableField id="15457" dataBound="0" tableColumnId="937"/>
      <queryTableField id="15456" dataBound="0" tableColumnId="938"/>
      <queryTableField id="15455" dataBound="0" tableColumnId="939"/>
      <queryTableField id="15454" dataBound="0" tableColumnId="940"/>
      <queryTableField id="15453" dataBound="0" tableColumnId="941"/>
      <queryTableField id="15452" dataBound="0" tableColumnId="942"/>
      <queryTableField id="15451" dataBound="0" tableColumnId="943"/>
      <queryTableField id="15450" dataBound="0" tableColumnId="944"/>
      <queryTableField id="15449" dataBound="0" tableColumnId="945"/>
      <queryTableField id="15448" dataBound="0" tableColumnId="946"/>
      <queryTableField id="15447" dataBound="0" tableColumnId="947"/>
      <queryTableField id="15446" dataBound="0" tableColumnId="948"/>
      <queryTableField id="15445" dataBound="0" tableColumnId="949"/>
      <queryTableField id="15444" dataBound="0" tableColumnId="950"/>
      <queryTableField id="15443" dataBound="0" tableColumnId="951"/>
      <queryTableField id="15442" dataBound="0" tableColumnId="952"/>
      <queryTableField id="15441" dataBound="0" tableColumnId="953"/>
      <queryTableField id="15440" dataBound="0" tableColumnId="954"/>
      <queryTableField id="15439" dataBound="0" tableColumnId="955"/>
      <queryTableField id="15438" dataBound="0" tableColumnId="956"/>
      <queryTableField id="15437" dataBound="0" tableColumnId="957"/>
      <queryTableField id="15436" dataBound="0" tableColumnId="958"/>
      <queryTableField id="15435" dataBound="0" tableColumnId="959"/>
      <queryTableField id="15434" dataBound="0" tableColumnId="960"/>
      <queryTableField id="15433" dataBound="0" tableColumnId="961"/>
      <queryTableField id="15432" dataBound="0" tableColumnId="962"/>
      <queryTableField id="15431" dataBound="0" tableColumnId="963"/>
      <queryTableField id="15430" dataBound="0" tableColumnId="964"/>
      <queryTableField id="15429" dataBound="0" tableColumnId="965"/>
      <queryTableField id="15428" dataBound="0" tableColumnId="966"/>
      <queryTableField id="15427" dataBound="0" tableColumnId="967"/>
      <queryTableField id="15426" dataBound="0" tableColumnId="968"/>
      <queryTableField id="15425" dataBound="0" tableColumnId="969"/>
      <queryTableField id="15424" dataBound="0" tableColumnId="970"/>
      <queryTableField id="15423" dataBound="0" tableColumnId="971"/>
      <queryTableField id="15422" dataBound="0" tableColumnId="972"/>
      <queryTableField id="15421" dataBound="0" tableColumnId="973"/>
      <queryTableField id="15420" dataBound="0" tableColumnId="974"/>
      <queryTableField id="15419" dataBound="0" tableColumnId="975"/>
      <queryTableField id="15418" dataBound="0" tableColumnId="976"/>
      <queryTableField id="15417" dataBound="0" tableColumnId="977"/>
      <queryTableField id="15416" dataBound="0" tableColumnId="978"/>
      <queryTableField id="15415" dataBound="0" tableColumnId="979"/>
      <queryTableField id="15414" dataBound="0" tableColumnId="980"/>
      <queryTableField id="15413" dataBound="0" tableColumnId="981"/>
      <queryTableField id="15412" dataBound="0" tableColumnId="982"/>
      <queryTableField id="15411" dataBound="0" tableColumnId="983"/>
      <queryTableField id="15410" dataBound="0" tableColumnId="984"/>
      <queryTableField id="15409" dataBound="0" tableColumnId="985"/>
      <queryTableField id="15408" dataBound="0" tableColumnId="986"/>
      <queryTableField id="15407" dataBound="0" tableColumnId="987"/>
      <queryTableField id="15406" dataBound="0" tableColumnId="988"/>
      <queryTableField id="15405" dataBound="0" tableColumnId="989"/>
      <queryTableField id="15404" dataBound="0" tableColumnId="990"/>
      <queryTableField id="15403" dataBound="0" tableColumnId="991"/>
      <queryTableField id="15402" dataBound="0" tableColumnId="992"/>
      <queryTableField id="15401" dataBound="0" tableColumnId="993"/>
      <queryTableField id="15400" dataBound="0" tableColumnId="994"/>
      <queryTableField id="15399" dataBound="0" tableColumnId="995"/>
      <queryTableField id="15398" dataBound="0" tableColumnId="996"/>
      <queryTableField id="15397" dataBound="0" tableColumnId="997"/>
      <queryTableField id="15396" dataBound="0" tableColumnId="998"/>
      <queryTableField id="15395" dataBound="0" tableColumnId="999"/>
      <queryTableField id="15394" dataBound="0" tableColumnId="1000"/>
      <queryTableField id="15393" dataBound="0" tableColumnId="1001"/>
      <queryTableField id="15392" dataBound="0" tableColumnId="1002"/>
      <queryTableField id="15391" dataBound="0" tableColumnId="1003"/>
      <queryTableField id="15390" dataBound="0" tableColumnId="1004"/>
      <queryTableField id="15389" dataBound="0" tableColumnId="1005"/>
      <queryTableField id="15388" dataBound="0" tableColumnId="1006"/>
      <queryTableField id="15387" dataBound="0" tableColumnId="1007"/>
      <queryTableField id="15386" dataBound="0" tableColumnId="1008"/>
      <queryTableField id="15385" dataBound="0" tableColumnId="1009"/>
      <queryTableField id="15384" dataBound="0" tableColumnId="1010"/>
      <queryTableField id="15383" dataBound="0" tableColumnId="1011"/>
      <queryTableField id="15382" dataBound="0" tableColumnId="1012"/>
      <queryTableField id="15381" dataBound="0" tableColumnId="1013"/>
      <queryTableField id="15380" dataBound="0" tableColumnId="1014"/>
      <queryTableField id="15379" dataBound="0" tableColumnId="1015"/>
      <queryTableField id="15378" dataBound="0" tableColumnId="1016"/>
      <queryTableField id="15377" dataBound="0" tableColumnId="1017"/>
      <queryTableField id="15376" dataBound="0" tableColumnId="1018"/>
      <queryTableField id="15375" dataBound="0" tableColumnId="1019"/>
      <queryTableField id="15374" dataBound="0" tableColumnId="1020"/>
      <queryTableField id="15373" dataBound="0" tableColumnId="1021"/>
      <queryTableField id="15372" dataBound="0" tableColumnId="1022"/>
      <queryTableField id="15371" dataBound="0" tableColumnId="1023"/>
      <queryTableField id="15370" dataBound="0" tableColumnId="1024"/>
      <queryTableField id="15369" dataBound="0" tableColumnId="1025"/>
      <queryTableField id="15368" dataBound="0" tableColumnId="1026"/>
      <queryTableField id="15367" dataBound="0" tableColumnId="1027"/>
      <queryTableField id="15366" dataBound="0" tableColumnId="1028"/>
      <queryTableField id="15365" dataBound="0" tableColumnId="1029"/>
      <queryTableField id="15364" dataBound="0" tableColumnId="1030"/>
      <queryTableField id="15363" dataBound="0" tableColumnId="1031"/>
      <queryTableField id="15362" dataBound="0" tableColumnId="1032"/>
      <queryTableField id="15361" dataBound="0" tableColumnId="1033"/>
      <queryTableField id="15360" dataBound="0" tableColumnId="1034"/>
      <queryTableField id="15359" dataBound="0" tableColumnId="1035"/>
      <queryTableField id="15358" dataBound="0" tableColumnId="1036"/>
      <queryTableField id="15357" dataBound="0" tableColumnId="1037"/>
      <queryTableField id="15356" dataBound="0" tableColumnId="1038"/>
      <queryTableField id="15355" dataBound="0" tableColumnId="1039"/>
      <queryTableField id="15354" dataBound="0" tableColumnId="1040"/>
      <queryTableField id="15353" dataBound="0" tableColumnId="1041"/>
      <queryTableField id="15352" dataBound="0" tableColumnId="1042"/>
      <queryTableField id="15351" dataBound="0" tableColumnId="1043"/>
      <queryTableField id="15350" dataBound="0" tableColumnId="1044"/>
      <queryTableField id="15349" dataBound="0" tableColumnId="1045"/>
      <queryTableField id="15348" dataBound="0" tableColumnId="1046"/>
      <queryTableField id="15347" dataBound="0" tableColumnId="1047"/>
      <queryTableField id="15346" dataBound="0" tableColumnId="1048"/>
      <queryTableField id="15345" dataBound="0" tableColumnId="1049"/>
      <queryTableField id="15344" dataBound="0" tableColumnId="1050"/>
      <queryTableField id="15343" dataBound="0" tableColumnId="1051"/>
      <queryTableField id="15342" dataBound="0" tableColumnId="1052"/>
      <queryTableField id="15341" dataBound="0" tableColumnId="1053"/>
      <queryTableField id="15340" dataBound="0" tableColumnId="1054"/>
      <queryTableField id="15339" dataBound="0" tableColumnId="1055"/>
      <queryTableField id="15338" dataBound="0" tableColumnId="1056"/>
      <queryTableField id="15337" dataBound="0" tableColumnId="1057"/>
      <queryTableField id="15336" dataBound="0" tableColumnId="1058"/>
      <queryTableField id="15335" dataBound="0" tableColumnId="1059"/>
      <queryTableField id="15334" dataBound="0" tableColumnId="1060"/>
      <queryTableField id="15333" dataBound="0" tableColumnId="1061"/>
      <queryTableField id="15332" dataBound="0" tableColumnId="1062"/>
      <queryTableField id="15331" dataBound="0" tableColumnId="1063"/>
      <queryTableField id="15330" dataBound="0" tableColumnId="1064"/>
      <queryTableField id="15329" dataBound="0" tableColumnId="1065"/>
      <queryTableField id="15328" dataBound="0" tableColumnId="1066"/>
      <queryTableField id="15327" dataBound="0" tableColumnId="1067"/>
      <queryTableField id="15326" dataBound="0" tableColumnId="1068"/>
      <queryTableField id="15325" dataBound="0" tableColumnId="1069"/>
      <queryTableField id="15324" dataBound="0" tableColumnId="1070"/>
      <queryTableField id="15323" dataBound="0" tableColumnId="1071"/>
      <queryTableField id="15322" dataBound="0" tableColumnId="1072"/>
      <queryTableField id="15321" dataBound="0" tableColumnId="1073"/>
      <queryTableField id="15320" dataBound="0" tableColumnId="1074"/>
      <queryTableField id="15319" dataBound="0" tableColumnId="1075"/>
      <queryTableField id="15318" dataBound="0" tableColumnId="1076"/>
      <queryTableField id="15317" dataBound="0" tableColumnId="1077"/>
      <queryTableField id="15316" dataBound="0" tableColumnId="1078"/>
      <queryTableField id="15315" dataBound="0" tableColumnId="1079"/>
      <queryTableField id="15314" dataBound="0" tableColumnId="1080"/>
      <queryTableField id="15313" dataBound="0" tableColumnId="1081"/>
      <queryTableField id="15312" dataBound="0" tableColumnId="1082"/>
      <queryTableField id="15311" dataBound="0" tableColumnId="1083"/>
      <queryTableField id="15310" dataBound="0" tableColumnId="1084"/>
      <queryTableField id="15309" dataBound="0" tableColumnId="1085"/>
      <queryTableField id="15308" dataBound="0" tableColumnId="1086"/>
      <queryTableField id="15307" dataBound="0" tableColumnId="1087"/>
      <queryTableField id="15306" dataBound="0" tableColumnId="1088"/>
      <queryTableField id="15305" dataBound="0" tableColumnId="1089"/>
      <queryTableField id="15304" dataBound="0" tableColumnId="1090"/>
      <queryTableField id="15303" dataBound="0" tableColumnId="1091"/>
      <queryTableField id="15302" dataBound="0" tableColumnId="1092"/>
      <queryTableField id="15301" dataBound="0" tableColumnId="1093"/>
      <queryTableField id="15300" dataBound="0" tableColumnId="1094"/>
      <queryTableField id="15299" dataBound="0" tableColumnId="1095"/>
      <queryTableField id="15298" dataBound="0" tableColumnId="1096"/>
      <queryTableField id="15297" dataBound="0" tableColumnId="1097"/>
      <queryTableField id="15296" dataBound="0" tableColumnId="1098"/>
      <queryTableField id="15295" dataBound="0" tableColumnId="1099"/>
      <queryTableField id="15294" dataBound="0" tableColumnId="1100"/>
      <queryTableField id="15293" dataBound="0" tableColumnId="1101"/>
      <queryTableField id="15292" dataBound="0" tableColumnId="1102"/>
      <queryTableField id="15291" dataBound="0" tableColumnId="1103"/>
      <queryTableField id="15290" dataBound="0" tableColumnId="1104"/>
      <queryTableField id="15289" dataBound="0" tableColumnId="1105"/>
      <queryTableField id="15288" dataBound="0" tableColumnId="1106"/>
      <queryTableField id="15287" dataBound="0" tableColumnId="1107"/>
      <queryTableField id="15286" dataBound="0" tableColumnId="1108"/>
      <queryTableField id="15285" dataBound="0" tableColumnId="1109"/>
      <queryTableField id="15284" dataBound="0" tableColumnId="1110"/>
      <queryTableField id="15283" dataBound="0" tableColumnId="1111"/>
      <queryTableField id="15282" dataBound="0" tableColumnId="1112"/>
      <queryTableField id="15281" dataBound="0" tableColumnId="1113"/>
      <queryTableField id="15280" dataBound="0" tableColumnId="1114"/>
      <queryTableField id="15279" dataBound="0" tableColumnId="1115"/>
      <queryTableField id="15278" dataBound="0" tableColumnId="1116"/>
      <queryTableField id="15277" dataBound="0" tableColumnId="1117"/>
      <queryTableField id="15276" dataBound="0" tableColumnId="1118"/>
      <queryTableField id="15275" dataBound="0" tableColumnId="1119"/>
      <queryTableField id="15274" dataBound="0" tableColumnId="1120"/>
      <queryTableField id="15273" dataBound="0" tableColumnId="1121"/>
      <queryTableField id="15272" dataBound="0" tableColumnId="1122"/>
      <queryTableField id="15271" dataBound="0" tableColumnId="1123"/>
      <queryTableField id="15270" dataBound="0" tableColumnId="1124"/>
      <queryTableField id="15269" dataBound="0" tableColumnId="1125"/>
      <queryTableField id="15268" dataBound="0" tableColumnId="1126"/>
      <queryTableField id="15267" dataBound="0" tableColumnId="1127"/>
      <queryTableField id="15266" dataBound="0" tableColumnId="1128"/>
      <queryTableField id="15265" dataBound="0" tableColumnId="1129"/>
      <queryTableField id="15264" dataBound="0" tableColumnId="1130"/>
      <queryTableField id="15263" dataBound="0" tableColumnId="1131"/>
      <queryTableField id="15262" dataBound="0" tableColumnId="1132"/>
      <queryTableField id="15261" dataBound="0" tableColumnId="1133"/>
      <queryTableField id="15260" dataBound="0" tableColumnId="1134"/>
      <queryTableField id="15259" dataBound="0" tableColumnId="1135"/>
      <queryTableField id="15258" dataBound="0" tableColumnId="1136"/>
      <queryTableField id="15257" dataBound="0" tableColumnId="1137"/>
      <queryTableField id="15256" dataBound="0" tableColumnId="1138"/>
      <queryTableField id="15255" dataBound="0" tableColumnId="1139"/>
      <queryTableField id="15254" dataBound="0" tableColumnId="1140"/>
      <queryTableField id="15253" dataBound="0" tableColumnId="1141"/>
      <queryTableField id="15252" dataBound="0" tableColumnId="1142"/>
      <queryTableField id="15251" dataBound="0" tableColumnId="1143"/>
      <queryTableField id="15250" dataBound="0" tableColumnId="1144"/>
      <queryTableField id="15249" dataBound="0" tableColumnId="1145"/>
      <queryTableField id="15248" dataBound="0" tableColumnId="1146"/>
      <queryTableField id="15247" dataBound="0" tableColumnId="1147"/>
      <queryTableField id="15246" dataBound="0" tableColumnId="1148"/>
      <queryTableField id="15245" dataBound="0" tableColumnId="1149"/>
      <queryTableField id="15244" dataBound="0" tableColumnId="1150"/>
      <queryTableField id="15243" dataBound="0" tableColumnId="1151"/>
      <queryTableField id="15242" dataBound="0" tableColumnId="1152"/>
      <queryTableField id="15241" dataBound="0" tableColumnId="1153"/>
      <queryTableField id="15240" dataBound="0" tableColumnId="1154"/>
      <queryTableField id="15239" dataBound="0" tableColumnId="1155"/>
      <queryTableField id="15238" dataBound="0" tableColumnId="1156"/>
      <queryTableField id="15237" dataBound="0" tableColumnId="1157"/>
      <queryTableField id="15236" dataBound="0" tableColumnId="1158"/>
      <queryTableField id="15235" dataBound="0" tableColumnId="1159"/>
      <queryTableField id="15234" dataBound="0" tableColumnId="1160"/>
      <queryTableField id="15233" dataBound="0" tableColumnId="1161"/>
      <queryTableField id="15232" dataBound="0" tableColumnId="1162"/>
      <queryTableField id="15231" dataBound="0" tableColumnId="1163"/>
      <queryTableField id="15230" dataBound="0" tableColumnId="1164"/>
      <queryTableField id="15229" dataBound="0" tableColumnId="1165"/>
      <queryTableField id="15228" dataBound="0" tableColumnId="1166"/>
      <queryTableField id="15227" dataBound="0" tableColumnId="1167"/>
      <queryTableField id="15226" dataBound="0" tableColumnId="1168"/>
      <queryTableField id="15225" dataBound="0" tableColumnId="1169"/>
      <queryTableField id="15224" dataBound="0" tableColumnId="1170"/>
      <queryTableField id="15223" dataBound="0" tableColumnId="1171"/>
      <queryTableField id="15222" dataBound="0" tableColumnId="1172"/>
      <queryTableField id="15221" dataBound="0" tableColumnId="1173"/>
      <queryTableField id="15220" dataBound="0" tableColumnId="1174"/>
      <queryTableField id="15219" dataBound="0" tableColumnId="1175"/>
      <queryTableField id="15218" dataBound="0" tableColumnId="1176"/>
      <queryTableField id="15217" dataBound="0" tableColumnId="1177"/>
      <queryTableField id="15216" dataBound="0" tableColumnId="1178"/>
      <queryTableField id="15215" dataBound="0" tableColumnId="1179"/>
      <queryTableField id="15214" dataBound="0" tableColumnId="1180"/>
      <queryTableField id="15213" dataBound="0" tableColumnId="1181"/>
      <queryTableField id="15212" dataBound="0" tableColumnId="1182"/>
      <queryTableField id="15211" dataBound="0" tableColumnId="1183"/>
      <queryTableField id="15210" dataBound="0" tableColumnId="1184"/>
      <queryTableField id="15209" dataBound="0" tableColumnId="1185"/>
      <queryTableField id="15208" dataBound="0" tableColumnId="1186"/>
      <queryTableField id="15207" dataBound="0" tableColumnId="1187"/>
      <queryTableField id="15206" dataBound="0" tableColumnId="1188"/>
      <queryTableField id="15205" dataBound="0" tableColumnId="1189"/>
      <queryTableField id="15204" dataBound="0" tableColumnId="1190"/>
      <queryTableField id="15203" dataBound="0" tableColumnId="1191"/>
      <queryTableField id="15202" dataBound="0" tableColumnId="1192"/>
      <queryTableField id="15201" dataBound="0" tableColumnId="1193"/>
      <queryTableField id="15200" dataBound="0" tableColumnId="1194"/>
      <queryTableField id="15199" dataBound="0" tableColumnId="1195"/>
      <queryTableField id="15198" dataBound="0" tableColumnId="1196"/>
      <queryTableField id="15197" dataBound="0" tableColumnId="1197"/>
      <queryTableField id="15196" dataBound="0" tableColumnId="1198"/>
      <queryTableField id="15195" dataBound="0" tableColumnId="1199"/>
      <queryTableField id="15194" dataBound="0" tableColumnId="1200"/>
      <queryTableField id="15193" dataBound="0" tableColumnId="1201"/>
      <queryTableField id="15192" dataBound="0" tableColumnId="1202"/>
      <queryTableField id="15191" dataBound="0" tableColumnId="1203"/>
      <queryTableField id="15190" dataBound="0" tableColumnId="1204"/>
      <queryTableField id="15189" dataBound="0" tableColumnId="1205"/>
      <queryTableField id="15188" dataBound="0" tableColumnId="1206"/>
      <queryTableField id="15187" dataBound="0" tableColumnId="1207"/>
      <queryTableField id="15186" dataBound="0" tableColumnId="1208"/>
      <queryTableField id="15185" dataBound="0" tableColumnId="1209"/>
      <queryTableField id="15184" dataBound="0" tableColumnId="1210"/>
      <queryTableField id="15183" dataBound="0" tableColumnId="1211"/>
      <queryTableField id="15182" dataBound="0" tableColumnId="1212"/>
      <queryTableField id="15181" dataBound="0" tableColumnId="1213"/>
      <queryTableField id="15180" dataBound="0" tableColumnId="1214"/>
      <queryTableField id="15179" dataBound="0" tableColumnId="1215"/>
      <queryTableField id="15178" dataBound="0" tableColumnId="1216"/>
      <queryTableField id="15177" dataBound="0" tableColumnId="1217"/>
      <queryTableField id="15176" dataBound="0" tableColumnId="1218"/>
      <queryTableField id="15175" dataBound="0" tableColumnId="1219"/>
      <queryTableField id="15174" dataBound="0" tableColumnId="1220"/>
      <queryTableField id="15173" dataBound="0" tableColumnId="1221"/>
      <queryTableField id="15172" dataBound="0" tableColumnId="1222"/>
      <queryTableField id="15171" dataBound="0" tableColumnId="1223"/>
      <queryTableField id="15170" dataBound="0" tableColumnId="1224"/>
      <queryTableField id="15169" dataBound="0" tableColumnId="1225"/>
      <queryTableField id="15168" dataBound="0" tableColumnId="1226"/>
      <queryTableField id="15167" dataBound="0" tableColumnId="1227"/>
      <queryTableField id="15166" dataBound="0" tableColumnId="1228"/>
      <queryTableField id="15165" dataBound="0" tableColumnId="1229"/>
      <queryTableField id="15164" dataBound="0" tableColumnId="1230"/>
      <queryTableField id="15163" dataBound="0" tableColumnId="1231"/>
      <queryTableField id="15162" dataBound="0" tableColumnId="1232"/>
      <queryTableField id="15161" dataBound="0" tableColumnId="1233"/>
      <queryTableField id="15160" dataBound="0" tableColumnId="1234"/>
      <queryTableField id="15159" dataBound="0" tableColumnId="1235"/>
      <queryTableField id="15158" dataBound="0" tableColumnId="1236"/>
      <queryTableField id="15157" dataBound="0" tableColumnId="1237"/>
      <queryTableField id="15156" dataBound="0" tableColumnId="1238"/>
      <queryTableField id="15155" dataBound="0" tableColumnId="1239"/>
      <queryTableField id="15154" dataBound="0" tableColumnId="1240"/>
      <queryTableField id="15153" dataBound="0" tableColumnId="1241"/>
      <queryTableField id="15152" dataBound="0" tableColumnId="1242"/>
      <queryTableField id="15151" dataBound="0" tableColumnId="1243"/>
      <queryTableField id="15150" dataBound="0" tableColumnId="1244"/>
      <queryTableField id="15149" dataBound="0" tableColumnId="1245"/>
      <queryTableField id="15148" dataBound="0" tableColumnId="1246"/>
      <queryTableField id="15147" dataBound="0" tableColumnId="1247"/>
      <queryTableField id="15146" dataBound="0" tableColumnId="1248"/>
      <queryTableField id="15145" dataBound="0" tableColumnId="1249"/>
      <queryTableField id="15144" dataBound="0" tableColumnId="1250"/>
      <queryTableField id="15143" dataBound="0" tableColumnId="1251"/>
      <queryTableField id="15142" dataBound="0" tableColumnId="1252"/>
      <queryTableField id="15141" dataBound="0" tableColumnId="1253"/>
      <queryTableField id="15140" dataBound="0" tableColumnId="1254"/>
      <queryTableField id="15139" dataBound="0" tableColumnId="1255"/>
      <queryTableField id="15138" dataBound="0" tableColumnId="1256"/>
      <queryTableField id="15137" dataBound="0" tableColumnId="1257"/>
      <queryTableField id="15136" dataBound="0" tableColumnId="1258"/>
      <queryTableField id="15135" dataBound="0" tableColumnId="1259"/>
      <queryTableField id="15134" dataBound="0" tableColumnId="1260"/>
      <queryTableField id="15133" dataBound="0" tableColumnId="1261"/>
      <queryTableField id="15132" dataBound="0" tableColumnId="1262"/>
      <queryTableField id="15131" dataBound="0" tableColumnId="1263"/>
      <queryTableField id="15130" dataBound="0" tableColumnId="1264"/>
      <queryTableField id="15129" dataBound="0" tableColumnId="1265"/>
      <queryTableField id="15128" dataBound="0" tableColumnId="1266"/>
      <queryTableField id="15127" dataBound="0" tableColumnId="1267"/>
      <queryTableField id="15126" dataBound="0" tableColumnId="1268"/>
      <queryTableField id="15125" dataBound="0" tableColumnId="1269"/>
      <queryTableField id="15124" dataBound="0" tableColumnId="1270"/>
      <queryTableField id="15123" dataBound="0" tableColumnId="1271"/>
      <queryTableField id="15122" dataBound="0" tableColumnId="1272"/>
      <queryTableField id="15121" dataBound="0" tableColumnId="1273"/>
      <queryTableField id="15120" dataBound="0" tableColumnId="1274"/>
      <queryTableField id="15119" dataBound="0" tableColumnId="1275"/>
      <queryTableField id="15118" dataBound="0" tableColumnId="1276"/>
      <queryTableField id="15117" dataBound="0" tableColumnId="1277"/>
      <queryTableField id="15116" dataBound="0" tableColumnId="1278"/>
      <queryTableField id="15115" dataBound="0" tableColumnId="1279"/>
      <queryTableField id="15114" dataBound="0" tableColumnId="1280"/>
      <queryTableField id="15113" dataBound="0" tableColumnId="1281"/>
      <queryTableField id="15112" dataBound="0" tableColumnId="1282"/>
      <queryTableField id="15111" dataBound="0" tableColumnId="1283"/>
      <queryTableField id="15110" dataBound="0" tableColumnId="1284"/>
      <queryTableField id="15109" dataBound="0" tableColumnId="1285"/>
      <queryTableField id="15108" dataBound="0" tableColumnId="1286"/>
      <queryTableField id="15107" dataBound="0" tableColumnId="1287"/>
      <queryTableField id="15106" dataBound="0" tableColumnId="1288"/>
      <queryTableField id="15105" dataBound="0" tableColumnId="1289"/>
      <queryTableField id="15104" dataBound="0" tableColumnId="1290"/>
      <queryTableField id="15103" dataBound="0" tableColumnId="1291"/>
      <queryTableField id="15102" dataBound="0" tableColumnId="1292"/>
      <queryTableField id="15101" dataBound="0" tableColumnId="1293"/>
      <queryTableField id="15100" dataBound="0" tableColumnId="1294"/>
      <queryTableField id="15099" dataBound="0" tableColumnId="1295"/>
      <queryTableField id="15098" dataBound="0" tableColumnId="1296"/>
      <queryTableField id="15097" dataBound="0" tableColumnId="1297"/>
      <queryTableField id="15096" dataBound="0" tableColumnId="1298"/>
      <queryTableField id="15095" dataBound="0" tableColumnId="1299"/>
      <queryTableField id="15094" dataBound="0" tableColumnId="1300"/>
      <queryTableField id="15093" dataBound="0" tableColumnId="1301"/>
      <queryTableField id="15092" dataBound="0" tableColumnId="1302"/>
      <queryTableField id="15091" dataBound="0" tableColumnId="1303"/>
      <queryTableField id="15090" dataBound="0" tableColumnId="1304"/>
      <queryTableField id="15089" dataBound="0" tableColumnId="1305"/>
      <queryTableField id="15088" dataBound="0" tableColumnId="1306"/>
      <queryTableField id="15087" dataBound="0" tableColumnId="1307"/>
      <queryTableField id="15086" dataBound="0" tableColumnId="1308"/>
      <queryTableField id="15085" dataBound="0" tableColumnId="1309"/>
      <queryTableField id="15084" dataBound="0" tableColumnId="1310"/>
      <queryTableField id="15083" dataBound="0" tableColumnId="1311"/>
      <queryTableField id="15082" dataBound="0" tableColumnId="1312"/>
      <queryTableField id="15081" dataBound="0" tableColumnId="1313"/>
      <queryTableField id="15080" dataBound="0" tableColumnId="1314"/>
      <queryTableField id="15079" dataBound="0" tableColumnId="1315"/>
      <queryTableField id="15078" dataBound="0" tableColumnId="1316"/>
      <queryTableField id="15077" dataBound="0" tableColumnId="1317"/>
      <queryTableField id="15076" dataBound="0" tableColumnId="1318"/>
      <queryTableField id="15075" dataBound="0" tableColumnId="1319"/>
      <queryTableField id="15074" dataBound="0" tableColumnId="1320"/>
      <queryTableField id="15073" dataBound="0" tableColumnId="1321"/>
      <queryTableField id="15072" dataBound="0" tableColumnId="1322"/>
      <queryTableField id="15071" dataBound="0" tableColumnId="1323"/>
      <queryTableField id="15070" dataBound="0" tableColumnId="1324"/>
      <queryTableField id="15069" dataBound="0" tableColumnId="1325"/>
      <queryTableField id="15068" dataBound="0" tableColumnId="1326"/>
      <queryTableField id="15067" dataBound="0" tableColumnId="1327"/>
      <queryTableField id="15066" dataBound="0" tableColumnId="1328"/>
      <queryTableField id="15065" dataBound="0" tableColumnId="1329"/>
      <queryTableField id="15064" dataBound="0" tableColumnId="1330"/>
      <queryTableField id="15063" dataBound="0" tableColumnId="1331"/>
      <queryTableField id="15062" dataBound="0" tableColumnId="1332"/>
      <queryTableField id="15061" dataBound="0" tableColumnId="1333"/>
      <queryTableField id="15060" dataBound="0" tableColumnId="1334"/>
      <queryTableField id="15059" dataBound="0" tableColumnId="1335"/>
      <queryTableField id="15058" dataBound="0" tableColumnId="1336"/>
      <queryTableField id="15057" dataBound="0" tableColumnId="1337"/>
      <queryTableField id="15056" dataBound="0" tableColumnId="1338"/>
      <queryTableField id="15055" dataBound="0" tableColumnId="1339"/>
      <queryTableField id="15054" dataBound="0" tableColumnId="1340"/>
      <queryTableField id="15053" dataBound="0" tableColumnId="1341"/>
      <queryTableField id="15052" dataBound="0" tableColumnId="1342"/>
      <queryTableField id="15051" dataBound="0" tableColumnId="1343"/>
      <queryTableField id="15050" dataBound="0" tableColumnId="1344"/>
      <queryTableField id="15049" dataBound="0" tableColumnId="1345"/>
      <queryTableField id="15048" dataBound="0" tableColumnId="1346"/>
      <queryTableField id="15047" dataBound="0" tableColumnId="1347"/>
      <queryTableField id="15046" dataBound="0" tableColumnId="1348"/>
      <queryTableField id="15045" dataBound="0" tableColumnId="1349"/>
      <queryTableField id="15044" dataBound="0" tableColumnId="1350"/>
      <queryTableField id="15043" dataBound="0" tableColumnId="1351"/>
      <queryTableField id="15042" dataBound="0" tableColumnId="1352"/>
      <queryTableField id="15041" dataBound="0" tableColumnId="1353"/>
      <queryTableField id="15040" dataBound="0" tableColumnId="1354"/>
      <queryTableField id="15039" dataBound="0" tableColumnId="1355"/>
      <queryTableField id="15038" dataBound="0" tableColumnId="1356"/>
      <queryTableField id="15037" dataBound="0" tableColumnId="1357"/>
      <queryTableField id="15036" dataBound="0" tableColumnId="1358"/>
      <queryTableField id="15035" dataBound="0" tableColumnId="1359"/>
      <queryTableField id="15034" dataBound="0" tableColumnId="1360"/>
      <queryTableField id="15033" dataBound="0" tableColumnId="1361"/>
      <queryTableField id="15032" dataBound="0" tableColumnId="1362"/>
      <queryTableField id="15031" dataBound="0" tableColumnId="1363"/>
      <queryTableField id="15030" dataBound="0" tableColumnId="1364"/>
      <queryTableField id="15029" dataBound="0" tableColumnId="1365"/>
      <queryTableField id="15028" dataBound="0" tableColumnId="1366"/>
      <queryTableField id="15027" dataBound="0" tableColumnId="1367"/>
      <queryTableField id="15026" dataBound="0" tableColumnId="1368"/>
      <queryTableField id="15025" dataBound="0" tableColumnId="1369"/>
      <queryTableField id="15024" dataBound="0" tableColumnId="1370"/>
      <queryTableField id="15023" dataBound="0" tableColumnId="1371"/>
      <queryTableField id="15022" dataBound="0" tableColumnId="1372"/>
      <queryTableField id="15021" dataBound="0" tableColumnId="1373"/>
      <queryTableField id="15020" dataBound="0" tableColumnId="1374"/>
      <queryTableField id="15019" dataBound="0" tableColumnId="1375"/>
      <queryTableField id="15018" dataBound="0" tableColumnId="1376"/>
      <queryTableField id="15017" dataBound="0" tableColumnId="1377"/>
      <queryTableField id="15016" dataBound="0" tableColumnId="1378"/>
      <queryTableField id="15015" dataBound="0" tableColumnId="1379"/>
      <queryTableField id="15014" dataBound="0" tableColumnId="1380"/>
      <queryTableField id="15013" dataBound="0" tableColumnId="1381"/>
      <queryTableField id="15012" dataBound="0" tableColumnId="1382"/>
      <queryTableField id="15011" dataBound="0" tableColumnId="1383"/>
      <queryTableField id="15010" dataBound="0" tableColumnId="1384"/>
      <queryTableField id="15009" dataBound="0" tableColumnId="1385"/>
      <queryTableField id="15008" dataBound="0" tableColumnId="1386"/>
      <queryTableField id="15007" dataBound="0" tableColumnId="1387"/>
      <queryTableField id="15006" dataBound="0" tableColumnId="1388"/>
      <queryTableField id="15005" dataBound="0" tableColumnId="1389"/>
      <queryTableField id="15004" dataBound="0" tableColumnId="1390"/>
      <queryTableField id="15003" dataBound="0" tableColumnId="1391"/>
      <queryTableField id="15002" dataBound="0" tableColumnId="1392"/>
      <queryTableField id="15001" dataBound="0" tableColumnId="1393"/>
      <queryTableField id="15000" dataBound="0" tableColumnId="1394"/>
      <queryTableField id="14999" dataBound="0" tableColumnId="1395"/>
      <queryTableField id="14998" dataBound="0" tableColumnId="1396"/>
      <queryTableField id="14997" dataBound="0" tableColumnId="1397"/>
      <queryTableField id="14996" dataBound="0" tableColumnId="1398"/>
      <queryTableField id="14995" dataBound="0" tableColumnId="1399"/>
      <queryTableField id="14994" dataBound="0" tableColumnId="1400"/>
      <queryTableField id="14993" dataBound="0" tableColumnId="1401"/>
      <queryTableField id="14992" dataBound="0" tableColumnId="1402"/>
      <queryTableField id="14991" dataBound="0" tableColumnId="1403"/>
      <queryTableField id="14990" dataBound="0" tableColumnId="1404"/>
      <queryTableField id="14989" dataBound="0" tableColumnId="1405"/>
      <queryTableField id="14988" dataBound="0" tableColumnId="1406"/>
      <queryTableField id="14987" dataBound="0" tableColumnId="1407"/>
      <queryTableField id="14986" dataBound="0" tableColumnId="1408"/>
      <queryTableField id="14985" dataBound="0" tableColumnId="1409"/>
      <queryTableField id="14984" dataBound="0" tableColumnId="1410"/>
      <queryTableField id="14983" dataBound="0" tableColumnId="1411"/>
      <queryTableField id="14982" dataBound="0" tableColumnId="1412"/>
      <queryTableField id="14981" dataBound="0" tableColumnId="1413"/>
      <queryTableField id="14980" dataBound="0" tableColumnId="1414"/>
      <queryTableField id="14979" dataBound="0" tableColumnId="1415"/>
      <queryTableField id="14978" dataBound="0" tableColumnId="1416"/>
      <queryTableField id="14977" dataBound="0" tableColumnId="1417"/>
      <queryTableField id="14976" dataBound="0" tableColumnId="1418"/>
      <queryTableField id="14975" dataBound="0" tableColumnId="1419"/>
      <queryTableField id="14974" dataBound="0" tableColumnId="1420"/>
      <queryTableField id="14973" dataBound="0" tableColumnId="1421"/>
      <queryTableField id="14972" dataBound="0" tableColumnId="1422"/>
      <queryTableField id="14971" dataBound="0" tableColumnId="1423"/>
      <queryTableField id="14970" dataBound="0" tableColumnId="1424"/>
      <queryTableField id="14969" dataBound="0" tableColumnId="1425"/>
      <queryTableField id="14968" dataBound="0" tableColumnId="1426"/>
      <queryTableField id="14967" dataBound="0" tableColumnId="1427"/>
      <queryTableField id="14966" dataBound="0" tableColumnId="1428"/>
      <queryTableField id="14965" dataBound="0" tableColumnId="1429"/>
      <queryTableField id="14964" dataBound="0" tableColumnId="1430"/>
      <queryTableField id="14963" dataBound="0" tableColumnId="1431"/>
      <queryTableField id="14962" dataBound="0" tableColumnId="1432"/>
      <queryTableField id="14961" dataBound="0" tableColumnId="1433"/>
      <queryTableField id="14960" dataBound="0" tableColumnId="1434"/>
      <queryTableField id="14959" dataBound="0" tableColumnId="1435"/>
      <queryTableField id="14958" dataBound="0" tableColumnId="1436"/>
      <queryTableField id="14957" dataBound="0" tableColumnId="1437"/>
      <queryTableField id="14956" dataBound="0" tableColumnId="1438"/>
      <queryTableField id="14955" dataBound="0" tableColumnId="1439"/>
      <queryTableField id="14954" dataBound="0" tableColumnId="1440"/>
      <queryTableField id="14953" dataBound="0" tableColumnId="1441"/>
      <queryTableField id="14952" dataBound="0" tableColumnId="1442"/>
      <queryTableField id="14951" dataBound="0" tableColumnId="1443"/>
      <queryTableField id="14950" dataBound="0" tableColumnId="1444"/>
      <queryTableField id="14949" dataBound="0" tableColumnId="1445"/>
      <queryTableField id="14948" dataBound="0" tableColumnId="1446"/>
      <queryTableField id="14947" dataBound="0" tableColumnId="1447"/>
      <queryTableField id="14946" dataBound="0" tableColumnId="1448"/>
      <queryTableField id="14945" dataBound="0" tableColumnId="1449"/>
      <queryTableField id="14944" dataBound="0" tableColumnId="1450"/>
      <queryTableField id="14943" dataBound="0" tableColumnId="1451"/>
      <queryTableField id="14942" dataBound="0" tableColumnId="1452"/>
      <queryTableField id="14941" dataBound="0" tableColumnId="1453"/>
      <queryTableField id="14940" dataBound="0" tableColumnId="1454"/>
      <queryTableField id="14939" dataBound="0" tableColumnId="1455"/>
      <queryTableField id="14938" dataBound="0" tableColumnId="1456"/>
      <queryTableField id="14937" dataBound="0" tableColumnId="1457"/>
      <queryTableField id="14936" dataBound="0" tableColumnId="1458"/>
      <queryTableField id="14935" dataBound="0" tableColumnId="1459"/>
      <queryTableField id="14934" dataBound="0" tableColumnId="1460"/>
      <queryTableField id="14933" dataBound="0" tableColumnId="1461"/>
      <queryTableField id="14932" dataBound="0" tableColumnId="1462"/>
      <queryTableField id="14931" dataBound="0" tableColumnId="1463"/>
      <queryTableField id="14930" dataBound="0" tableColumnId="1464"/>
      <queryTableField id="14929" dataBound="0" tableColumnId="1465"/>
      <queryTableField id="14928" dataBound="0" tableColumnId="1466"/>
      <queryTableField id="14927" dataBound="0" tableColumnId="1467"/>
      <queryTableField id="14926" dataBound="0" tableColumnId="1468"/>
      <queryTableField id="14925" dataBound="0" tableColumnId="1469"/>
      <queryTableField id="14924" dataBound="0" tableColumnId="1470"/>
      <queryTableField id="14923" dataBound="0" tableColumnId="1471"/>
      <queryTableField id="14922" dataBound="0" tableColumnId="1472"/>
      <queryTableField id="14921" dataBound="0" tableColumnId="1473"/>
      <queryTableField id="14920" dataBound="0" tableColumnId="1474"/>
      <queryTableField id="14919" dataBound="0" tableColumnId="1475"/>
      <queryTableField id="14918" dataBound="0" tableColumnId="1476"/>
      <queryTableField id="14917" dataBound="0" tableColumnId="1477"/>
      <queryTableField id="14916" dataBound="0" tableColumnId="1478"/>
      <queryTableField id="14915" dataBound="0" tableColumnId="1479"/>
      <queryTableField id="14914" dataBound="0" tableColumnId="1480"/>
      <queryTableField id="14913" dataBound="0" tableColumnId="1481"/>
      <queryTableField id="14912" dataBound="0" tableColumnId="1482"/>
      <queryTableField id="14911" dataBound="0" tableColumnId="1483"/>
      <queryTableField id="14910" dataBound="0" tableColumnId="1484"/>
      <queryTableField id="14909" dataBound="0" tableColumnId="1485"/>
      <queryTableField id="14908" dataBound="0" tableColumnId="1486"/>
      <queryTableField id="14907" dataBound="0" tableColumnId="1487"/>
      <queryTableField id="14906" dataBound="0" tableColumnId="1488"/>
      <queryTableField id="14905" dataBound="0" tableColumnId="1489"/>
      <queryTableField id="14904" dataBound="0" tableColumnId="1490"/>
      <queryTableField id="14903" dataBound="0" tableColumnId="1491"/>
      <queryTableField id="14902" dataBound="0" tableColumnId="1492"/>
      <queryTableField id="14901" dataBound="0" tableColumnId="1493"/>
      <queryTableField id="14900" dataBound="0" tableColumnId="1494"/>
      <queryTableField id="14899" dataBound="0" tableColumnId="1495"/>
      <queryTableField id="14898" dataBound="0" tableColumnId="1496"/>
      <queryTableField id="14897" dataBound="0" tableColumnId="1497"/>
      <queryTableField id="14896" dataBound="0" tableColumnId="1498"/>
      <queryTableField id="14895" dataBound="0" tableColumnId="1499"/>
      <queryTableField id="14894" dataBound="0" tableColumnId="1500"/>
      <queryTableField id="14893" dataBound="0" tableColumnId="1501"/>
      <queryTableField id="14892" dataBound="0" tableColumnId="1502"/>
      <queryTableField id="14891" dataBound="0" tableColumnId="1503"/>
      <queryTableField id="14890" dataBound="0" tableColumnId="1504"/>
      <queryTableField id="14889" dataBound="0" tableColumnId="1505"/>
      <queryTableField id="14888" dataBound="0" tableColumnId="1506"/>
      <queryTableField id="14887" dataBound="0" tableColumnId="1507"/>
      <queryTableField id="14886" dataBound="0" tableColumnId="1508"/>
      <queryTableField id="14885" dataBound="0" tableColumnId="1509"/>
      <queryTableField id="14884" dataBound="0" tableColumnId="1510"/>
      <queryTableField id="14883" dataBound="0" tableColumnId="1511"/>
      <queryTableField id="14882" dataBound="0" tableColumnId="1512"/>
      <queryTableField id="14881" dataBound="0" tableColumnId="1513"/>
      <queryTableField id="14880" dataBound="0" tableColumnId="1514"/>
      <queryTableField id="14879" dataBound="0" tableColumnId="1515"/>
      <queryTableField id="14878" dataBound="0" tableColumnId="1516"/>
      <queryTableField id="14877" dataBound="0" tableColumnId="1517"/>
      <queryTableField id="14876" dataBound="0" tableColumnId="1518"/>
      <queryTableField id="14875" dataBound="0" tableColumnId="1519"/>
      <queryTableField id="14874" dataBound="0" tableColumnId="1520"/>
      <queryTableField id="14873" dataBound="0" tableColumnId="1521"/>
      <queryTableField id="14872" dataBound="0" tableColumnId="1522"/>
      <queryTableField id="14871" dataBound="0" tableColumnId="1523"/>
      <queryTableField id="14870" dataBound="0" tableColumnId="1524"/>
      <queryTableField id="14869" dataBound="0" tableColumnId="1525"/>
      <queryTableField id="14868" dataBound="0" tableColumnId="1526"/>
      <queryTableField id="14867" dataBound="0" tableColumnId="1527"/>
      <queryTableField id="14866" dataBound="0" tableColumnId="1528"/>
      <queryTableField id="14865" dataBound="0" tableColumnId="1529"/>
      <queryTableField id="14864" dataBound="0" tableColumnId="1530"/>
      <queryTableField id="14863" dataBound="0" tableColumnId="1531"/>
      <queryTableField id="14862" dataBound="0" tableColumnId="1532"/>
      <queryTableField id="14861" dataBound="0" tableColumnId="1533"/>
      <queryTableField id="14860" dataBound="0" tableColumnId="1534"/>
      <queryTableField id="14859" dataBound="0" tableColumnId="1535"/>
      <queryTableField id="14858" dataBound="0" tableColumnId="1536"/>
      <queryTableField id="14857" dataBound="0" tableColumnId="1537"/>
      <queryTableField id="14856" dataBound="0" tableColumnId="1538"/>
      <queryTableField id="14855" dataBound="0" tableColumnId="1539"/>
      <queryTableField id="14854" dataBound="0" tableColumnId="1540"/>
      <queryTableField id="14853" dataBound="0" tableColumnId="1541"/>
      <queryTableField id="14852" dataBound="0" tableColumnId="1542"/>
      <queryTableField id="14851" dataBound="0" tableColumnId="1543"/>
      <queryTableField id="14850" dataBound="0" tableColumnId="1544"/>
      <queryTableField id="14849" dataBound="0" tableColumnId="1545"/>
      <queryTableField id="14848" dataBound="0" tableColumnId="1546"/>
      <queryTableField id="14847" dataBound="0" tableColumnId="1547"/>
      <queryTableField id="14846" dataBound="0" tableColumnId="1548"/>
      <queryTableField id="14845" dataBound="0" tableColumnId="1549"/>
      <queryTableField id="14844" dataBound="0" tableColumnId="1550"/>
      <queryTableField id="14843" dataBound="0" tableColumnId="1551"/>
      <queryTableField id="14842" dataBound="0" tableColumnId="1552"/>
      <queryTableField id="14841" dataBound="0" tableColumnId="1553"/>
      <queryTableField id="14840" dataBound="0" tableColumnId="1554"/>
      <queryTableField id="14839" dataBound="0" tableColumnId="1555"/>
      <queryTableField id="14838" dataBound="0" tableColumnId="1556"/>
      <queryTableField id="14837" dataBound="0" tableColumnId="1557"/>
      <queryTableField id="14836" dataBound="0" tableColumnId="1558"/>
      <queryTableField id="14835" dataBound="0" tableColumnId="1559"/>
      <queryTableField id="14834" dataBound="0" tableColumnId="1560"/>
      <queryTableField id="14833" dataBound="0" tableColumnId="1561"/>
      <queryTableField id="14832" dataBound="0" tableColumnId="1562"/>
      <queryTableField id="14831" dataBound="0" tableColumnId="1563"/>
      <queryTableField id="14830" dataBound="0" tableColumnId="1564"/>
      <queryTableField id="14829" dataBound="0" tableColumnId="1565"/>
      <queryTableField id="14828" dataBound="0" tableColumnId="1566"/>
      <queryTableField id="14827" dataBound="0" tableColumnId="1567"/>
      <queryTableField id="14826" dataBound="0" tableColumnId="1568"/>
      <queryTableField id="14825" dataBound="0" tableColumnId="1569"/>
      <queryTableField id="14824" dataBound="0" tableColumnId="1570"/>
      <queryTableField id="14823" dataBound="0" tableColumnId="1571"/>
      <queryTableField id="14822" dataBound="0" tableColumnId="1572"/>
      <queryTableField id="14821" dataBound="0" tableColumnId="1573"/>
      <queryTableField id="14820" dataBound="0" tableColumnId="1574"/>
      <queryTableField id="14819" dataBound="0" tableColumnId="1575"/>
      <queryTableField id="14818" dataBound="0" tableColumnId="1576"/>
      <queryTableField id="14817" dataBound="0" tableColumnId="1577"/>
      <queryTableField id="14816" dataBound="0" tableColumnId="1578"/>
      <queryTableField id="14815" dataBound="0" tableColumnId="1579"/>
      <queryTableField id="14814" dataBound="0" tableColumnId="1580"/>
      <queryTableField id="14813" dataBound="0" tableColumnId="1581"/>
      <queryTableField id="14812" dataBound="0" tableColumnId="1582"/>
      <queryTableField id="14811" dataBound="0" tableColumnId="1583"/>
      <queryTableField id="14810" dataBound="0" tableColumnId="1584"/>
      <queryTableField id="14809" dataBound="0" tableColumnId="1585"/>
      <queryTableField id="14808" dataBound="0" tableColumnId="1586"/>
      <queryTableField id="14807" dataBound="0" tableColumnId="1587"/>
      <queryTableField id="14806" dataBound="0" tableColumnId="1588"/>
      <queryTableField id="14805" dataBound="0" tableColumnId="1589"/>
      <queryTableField id="14804" dataBound="0" tableColumnId="1590"/>
      <queryTableField id="14803" dataBound="0" tableColumnId="1591"/>
      <queryTableField id="14802" dataBound="0" tableColumnId="1592"/>
      <queryTableField id="14801" dataBound="0" tableColumnId="1593"/>
      <queryTableField id="14800" dataBound="0" tableColumnId="1594"/>
      <queryTableField id="14799" dataBound="0" tableColumnId="1595"/>
      <queryTableField id="14798" dataBound="0" tableColumnId="1596"/>
      <queryTableField id="14797" dataBound="0" tableColumnId="1597"/>
      <queryTableField id="14796" dataBound="0" tableColumnId="1598"/>
      <queryTableField id="14795" dataBound="0" tableColumnId="1599"/>
      <queryTableField id="14794" dataBound="0" tableColumnId="1600"/>
      <queryTableField id="14793" dataBound="0" tableColumnId="1601"/>
      <queryTableField id="14792" dataBound="0" tableColumnId="1602"/>
      <queryTableField id="14791" dataBound="0" tableColumnId="1603"/>
      <queryTableField id="14790" dataBound="0" tableColumnId="1604"/>
      <queryTableField id="14789" dataBound="0" tableColumnId="1605"/>
      <queryTableField id="14788" dataBound="0" tableColumnId="1606"/>
      <queryTableField id="14787" dataBound="0" tableColumnId="1607"/>
      <queryTableField id="14786" dataBound="0" tableColumnId="1608"/>
      <queryTableField id="14785" dataBound="0" tableColumnId="1609"/>
      <queryTableField id="14784" dataBound="0" tableColumnId="1610"/>
      <queryTableField id="14783" dataBound="0" tableColumnId="1611"/>
      <queryTableField id="14782" dataBound="0" tableColumnId="1612"/>
      <queryTableField id="14781" dataBound="0" tableColumnId="1613"/>
      <queryTableField id="14780" dataBound="0" tableColumnId="1614"/>
      <queryTableField id="14779" dataBound="0" tableColumnId="1615"/>
      <queryTableField id="14778" dataBound="0" tableColumnId="1616"/>
      <queryTableField id="14777" dataBound="0" tableColumnId="1617"/>
      <queryTableField id="14776" dataBound="0" tableColumnId="1618"/>
      <queryTableField id="14775" dataBound="0" tableColumnId="1619"/>
      <queryTableField id="14774" dataBound="0" tableColumnId="1620"/>
      <queryTableField id="14773" dataBound="0" tableColumnId="1621"/>
      <queryTableField id="14772" dataBound="0" tableColumnId="1622"/>
      <queryTableField id="14771" dataBound="0" tableColumnId="1623"/>
      <queryTableField id="14770" dataBound="0" tableColumnId="1624"/>
      <queryTableField id="14769" dataBound="0" tableColumnId="1625"/>
      <queryTableField id="14768" dataBound="0" tableColumnId="1626"/>
      <queryTableField id="14767" dataBound="0" tableColumnId="1627"/>
      <queryTableField id="14766" dataBound="0" tableColumnId="1628"/>
      <queryTableField id="14765" dataBound="0" tableColumnId="1629"/>
      <queryTableField id="14764" dataBound="0" tableColumnId="1630"/>
      <queryTableField id="14763" dataBound="0" tableColumnId="1631"/>
      <queryTableField id="14762" dataBound="0" tableColumnId="1632"/>
      <queryTableField id="14761" dataBound="0" tableColumnId="1633"/>
      <queryTableField id="14760" dataBound="0" tableColumnId="1634"/>
      <queryTableField id="14759" dataBound="0" tableColumnId="1635"/>
      <queryTableField id="14758" dataBound="0" tableColumnId="1636"/>
      <queryTableField id="14757" dataBound="0" tableColumnId="1637"/>
      <queryTableField id="14756" dataBound="0" tableColumnId="1638"/>
      <queryTableField id="14755" dataBound="0" tableColumnId="1639"/>
      <queryTableField id="14754" dataBound="0" tableColumnId="1640"/>
      <queryTableField id="14753" dataBound="0" tableColumnId="1641"/>
      <queryTableField id="14752" dataBound="0" tableColumnId="1642"/>
      <queryTableField id="14751" dataBound="0" tableColumnId="1643"/>
      <queryTableField id="14750" dataBound="0" tableColumnId="1644"/>
      <queryTableField id="14749" dataBound="0" tableColumnId="1645"/>
      <queryTableField id="14748" dataBound="0" tableColumnId="1646"/>
      <queryTableField id="14747" dataBound="0" tableColumnId="1647"/>
      <queryTableField id="14746" dataBound="0" tableColumnId="1648"/>
      <queryTableField id="14745" dataBound="0" tableColumnId="1649"/>
      <queryTableField id="14744" dataBound="0" tableColumnId="1650"/>
      <queryTableField id="14743" dataBound="0" tableColumnId="1651"/>
      <queryTableField id="14742" dataBound="0" tableColumnId="1652"/>
      <queryTableField id="14741" dataBound="0" tableColumnId="1653"/>
      <queryTableField id="14740" dataBound="0" tableColumnId="1654"/>
      <queryTableField id="14739" dataBound="0" tableColumnId="1655"/>
      <queryTableField id="14738" dataBound="0" tableColumnId="1656"/>
      <queryTableField id="14737" dataBound="0" tableColumnId="1657"/>
      <queryTableField id="14736" dataBound="0" tableColumnId="1658"/>
      <queryTableField id="14735" dataBound="0" tableColumnId="1659"/>
      <queryTableField id="14734" dataBound="0" tableColumnId="1660"/>
      <queryTableField id="14733" dataBound="0" tableColumnId="1661"/>
      <queryTableField id="14732" dataBound="0" tableColumnId="1662"/>
      <queryTableField id="14731" dataBound="0" tableColumnId="1663"/>
      <queryTableField id="14730" dataBound="0" tableColumnId="1664"/>
      <queryTableField id="14729" dataBound="0" tableColumnId="1665"/>
      <queryTableField id="14728" dataBound="0" tableColumnId="1666"/>
      <queryTableField id="14727" dataBound="0" tableColumnId="1667"/>
      <queryTableField id="14726" dataBound="0" tableColumnId="1668"/>
      <queryTableField id="14725" dataBound="0" tableColumnId="1669"/>
      <queryTableField id="14724" dataBound="0" tableColumnId="1670"/>
      <queryTableField id="14723" dataBound="0" tableColumnId="1671"/>
      <queryTableField id="14722" dataBound="0" tableColumnId="1672"/>
      <queryTableField id="14721" dataBound="0" tableColumnId="1673"/>
      <queryTableField id="14720" dataBound="0" tableColumnId="1674"/>
      <queryTableField id="14719" dataBound="0" tableColumnId="1675"/>
      <queryTableField id="14718" dataBound="0" tableColumnId="1676"/>
      <queryTableField id="14717" dataBound="0" tableColumnId="1677"/>
      <queryTableField id="14716" dataBound="0" tableColumnId="1678"/>
      <queryTableField id="14715" dataBound="0" tableColumnId="1679"/>
      <queryTableField id="14714" dataBound="0" tableColumnId="1680"/>
      <queryTableField id="14713" dataBound="0" tableColumnId="1681"/>
      <queryTableField id="14712" dataBound="0" tableColumnId="1682"/>
      <queryTableField id="14711" dataBound="0" tableColumnId="1683"/>
      <queryTableField id="14710" dataBound="0" tableColumnId="1684"/>
      <queryTableField id="14709" dataBound="0" tableColumnId="1685"/>
      <queryTableField id="14708" dataBound="0" tableColumnId="1686"/>
      <queryTableField id="14707" dataBound="0" tableColumnId="1687"/>
      <queryTableField id="14706" dataBound="0" tableColumnId="1688"/>
      <queryTableField id="14705" dataBound="0" tableColumnId="1689"/>
      <queryTableField id="14704" dataBound="0" tableColumnId="1690"/>
      <queryTableField id="14703" dataBound="0" tableColumnId="1691"/>
      <queryTableField id="14702" dataBound="0" tableColumnId="1692"/>
      <queryTableField id="14701" dataBound="0" tableColumnId="1693"/>
      <queryTableField id="14700" dataBound="0" tableColumnId="1694"/>
      <queryTableField id="14699" dataBound="0" tableColumnId="1695"/>
      <queryTableField id="14698" dataBound="0" tableColumnId="1696"/>
      <queryTableField id="14697" dataBound="0" tableColumnId="1697"/>
      <queryTableField id="14696" dataBound="0" tableColumnId="1698"/>
      <queryTableField id="14695" dataBound="0" tableColumnId="1699"/>
      <queryTableField id="14694" dataBound="0" tableColumnId="1700"/>
      <queryTableField id="14693" dataBound="0" tableColumnId="1701"/>
      <queryTableField id="14692" dataBound="0" tableColumnId="1702"/>
      <queryTableField id="14691" dataBound="0" tableColumnId="1703"/>
      <queryTableField id="14690" dataBound="0" tableColumnId="1704"/>
      <queryTableField id="14689" dataBound="0" tableColumnId="1705"/>
      <queryTableField id="14688" dataBound="0" tableColumnId="1706"/>
      <queryTableField id="14687" dataBound="0" tableColumnId="1707"/>
      <queryTableField id="14686" dataBound="0" tableColumnId="1708"/>
      <queryTableField id="14685" dataBound="0" tableColumnId="1709"/>
      <queryTableField id="14684" dataBound="0" tableColumnId="1710"/>
      <queryTableField id="14683" dataBound="0" tableColumnId="1711"/>
      <queryTableField id="14682" dataBound="0" tableColumnId="1712"/>
      <queryTableField id="14681" dataBound="0" tableColumnId="1713"/>
      <queryTableField id="14680" dataBound="0" tableColumnId="1714"/>
      <queryTableField id="14679" dataBound="0" tableColumnId="1715"/>
      <queryTableField id="14678" dataBound="0" tableColumnId="1716"/>
      <queryTableField id="14677" dataBound="0" tableColumnId="1717"/>
      <queryTableField id="14676" dataBound="0" tableColumnId="1718"/>
      <queryTableField id="14675" dataBound="0" tableColumnId="1719"/>
      <queryTableField id="14674" dataBound="0" tableColumnId="1720"/>
      <queryTableField id="14673" dataBound="0" tableColumnId="1721"/>
      <queryTableField id="14672" dataBound="0" tableColumnId="1722"/>
      <queryTableField id="14671" dataBound="0" tableColumnId="1723"/>
      <queryTableField id="14670" dataBound="0" tableColumnId="1724"/>
      <queryTableField id="14669" dataBound="0" tableColumnId="1725"/>
      <queryTableField id="14668" dataBound="0" tableColumnId="1726"/>
      <queryTableField id="14667" dataBound="0" tableColumnId="1727"/>
      <queryTableField id="14666" dataBound="0" tableColumnId="1728"/>
      <queryTableField id="14665" dataBound="0" tableColumnId="1729"/>
      <queryTableField id="14664" dataBound="0" tableColumnId="1730"/>
      <queryTableField id="14663" dataBound="0" tableColumnId="1731"/>
      <queryTableField id="14662" dataBound="0" tableColumnId="1732"/>
      <queryTableField id="14661" dataBound="0" tableColumnId="1733"/>
      <queryTableField id="14660" dataBound="0" tableColumnId="1734"/>
      <queryTableField id="14659" dataBound="0" tableColumnId="1735"/>
      <queryTableField id="14658" dataBound="0" tableColumnId="1736"/>
      <queryTableField id="14657" dataBound="0" tableColumnId="1737"/>
      <queryTableField id="14656" dataBound="0" tableColumnId="1738"/>
      <queryTableField id="14655" dataBound="0" tableColumnId="1739"/>
      <queryTableField id="14654" dataBound="0" tableColumnId="1740"/>
      <queryTableField id="14653" dataBound="0" tableColumnId="1741"/>
      <queryTableField id="14652" dataBound="0" tableColumnId="1742"/>
      <queryTableField id="14651" dataBound="0" tableColumnId="1743"/>
      <queryTableField id="14650" dataBound="0" tableColumnId="1744"/>
      <queryTableField id="14649" dataBound="0" tableColumnId="1745"/>
      <queryTableField id="14648" dataBound="0" tableColumnId="1746"/>
      <queryTableField id="14647" dataBound="0" tableColumnId="1747"/>
      <queryTableField id="14646" dataBound="0" tableColumnId="1748"/>
      <queryTableField id="14645" dataBound="0" tableColumnId="1749"/>
      <queryTableField id="14644" dataBound="0" tableColumnId="1750"/>
      <queryTableField id="14643" dataBound="0" tableColumnId="1751"/>
      <queryTableField id="14642" dataBound="0" tableColumnId="1752"/>
      <queryTableField id="14641" dataBound="0" tableColumnId="1753"/>
      <queryTableField id="14640" dataBound="0" tableColumnId="1754"/>
      <queryTableField id="14639" dataBound="0" tableColumnId="1755"/>
      <queryTableField id="14638" dataBound="0" tableColumnId="1756"/>
      <queryTableField id="14637" dataBound="0" tableColumnId="1757"/>
      <queryTableField id="14636" dataBound="0" tableColumnId="1758"/>
      <queryTableField id="14635" dataBound="0" tableColumnId="1759"/>
      <queryTableField id="14634" dataBound="0" tableColumnId="1760"/>
      <queryTableField id="14633" dataBound="0" tableColumnId="1761"/>
      <queryTableField id="14632" dataBound="0" tableColumnId="1762"/>
      <queryTableField id="14631" dataBound="0" tableColumnId="1763"/>
      <queryTableField id="14630" dataBound="0" tableColumnId="1764"/>
      <queryTableField id="14629" dataBound="0" tableColumnId="1765"/>
      <queryTableField id="14628" dataBound="0" tableColumnId="1766"/>
      <queryTableField id="14627" dataBound="0" tableColumnId="1767"/>
      <queryTableField id="14626" dataBound="0" tableColumnId="1768"/>
      <queryTableField id="14625" dataBound="0" tableColumnId="1769"/>
      <queryTableField id="14624" dataBound="0" tableColumnId="1770"/>
      <queryTableField id="14623" dataBound="0" tableColumnId="1771"/>
      <queryTableField id="14622" dataBound="0" tableColumnId="1772"/>
      <queryTableField id="14621" dataBound="0" tableColumnId="1773"/>
      <queryTableField id="14620" dataBound="0" tableColumnId="1774"/>
      <queryTableField id="14619" dataBound="0" tableColumnId="1775"/>
      <queryTableField id="14618" dataBound="0" tableColumnId="1776"/>
      <queryTableField id="14617" dataBound="0" tableColumnId="1777"/>
      <queryTableField id="14616" dataBound="0" tableColumnId="1778"/>
      <queryTableField id="14615" dataBound="0" tableColumnId="1779"/>
      <queryTableField id="14614" dataBound="0" tableColumnId="1780"/>
      <queryTableField id="14613" dataBound="0" tableColumnId="1781"/>
      <queryTableField id="14612" dataBound="0" tableColumnId="1782"/>
      <queryTableField id="14611" dataBound="0" tableColumnId="1783"/>
      <queryTableField id="14610" dataBound="0" tableColumnId="1784"/>
      <queryTableField id="14609" dataBound="0" tableColumnId="1785"/>
      <queryTableField id="14608" dataBound="0" tableColumnId="1786"/>
      <queryTableField id="14607" dataBound="0" tableColumnId="1787"/>
      <queryTableField id="14606" dataBound="0" tableColumnId="1788"/>
      <queryTableField id="14605" dataBound="0" tableColumnId="1789"/>
      <queryTableField id="14604" dataBound="0" tableColumnId="1790"/>
      <queryTableField id="14603" dataBound="0" tableColumnId="1791"/>
      <queryTableField id="14602" dataBound="0" tableColumnId="1792"/>
      <queryTableField id="14601" dataBound="0" tableColumnId="1793"/>
      <queryTableField id="14600" dataBound="0" tableColumnId="1794"/>
      <queryTableField id="14599" dataBound="0" tableColumnId="1795"/>
      <queryTableField id="14598" dataBound="0" tableColumnId="1796"/>
      <queryTableField id="14597" dataBound="0" tableColumnId="1797"/>
      <queryTableField id="14596" dataBound="0" tableColumnId="1798"/>
      <queryTableField id="14595" dataBound="0" tableColumnId="1799"/>
      <queryTableField id="14594" dataBound="0" tableColumnId="1800"/>
      <queryTableField id="14593" dataBound="0" tableColumnId="1801"/>
      <queryTableField id="14592" dataBound="0" tableColumnId="1802"/>
      <queryTableField id="14591" dataBound="0" tableColumnId="1803"/>
      <queryTableField id="14590" dataBound="0" tableColumnId="1804"/>
      <queryTableField id="14589" dataBound="0" tableColumnId="1805"/>
      <queryTableField id="14588" dataBound="0" tableColumnId="1806"/>
      <queryTableField id="14587" dataBound="0" tableColumnId="1807"/>
      <queryTableField id="14586" dataBound="0" tableColumnId="1808"/>
      <queryTableField id="14585" dataBound="0" tableColumnId="1809"/>
      <queryTableField id="14584" dataBound="0" tableColumnId="1810"/>
      <queryTableField id="14583" dataBound="0" tableColumnId="1811"/>
      <queryTableField id="14582" dataBound="0" tableColumnId="1812"/>
      <queryTableField id="14581" dataBound="0" tableColumnId="1813"/>
      <queryTableField id="14580" dataBound="0" tableColumnId="1814"/>
      <queryTableField id="14579" dataBound="0" tableColumnId="1815"/>
      <queryTableField id="14578" dataBound="0" tableColumnId="1816"/>
      <queryTableField id="14577" dataBound="0" tableColumnId="1817"/>
      <queryTableField id="14576" dataBound="0" tableColumnId="1818"/>
      <queryTableField id="14575" dataBound="0" tableColumnId="1819"/>
      <queryTableField id="14574" dataBound="0" tableColumnId="1820"/>
      <queryTableField id="14573" dataBound="0" tableColumnId="1821"/>
      <queryTableField id="14572" dataBound="0" tableColumnId="1822"/>
      <queryTableField id="14571" dataBound="0" tableColumnId="1823"/>
      <queryTableField id="14570" dataBound="0" tableColumnId="1824"/>
      <queryTableField id="14569" dataBound="0" tableColumnId="1825"/>
      <queryTableField id="14568" dataBound="0" tableColumnId="1826"/>
      <queryTableField id="14567" dataBound="0" tableColumnId="1827"/>
      <queryTableField id="14566" dataBound="0" tableColumnId="1828"/>
      <queryTableField id="14565" dataBound="0" tableColumnId="1829"/>
      <queryTableField id="14564" dataBound="0" tableColumnId="1830"/>
      <queryTableField id="14563" dataBound="0" tableColumnId="1831"/>
      <queryTableField id="14562" dataBound="0" tableColumnId="1832"/>
      <queryTableField id="14561" dataBound="0" tableColumnId="1833"/>
      <queryTableField id="14560" dataBound="0" tableColumnId="1834"/>
      <queryTableField id="14559" dataBound="0" tableColumnId="1835"/>
      <queryTableField id="14558" dataBound="0" tableColumnId="1836"/>
      <queryTableField id="14557" dataBound="0" tableColumnId="1837"/>
      <queryTableField id="14556" dataBound="0" tableColumnId="1838"/>
      <queryTableField id="14555" dataBound="0" tableColumnId="1839"/>
      <queryTableField id="14554" dataBound="0" tableColumnId="1840"/>
      <queryTableField id="14553" dataBound="0" tableColumnId="1841"/>
      <queryTableField id="14552" dataBound="0" tableColumnId="1842"/>
      <queryTableField id="14551" dataBound="0" tableColumnId="1843"/>
      <queryTableField id="14550" dataBound="0" tableColumnId="1844"/>
      <queryTableField id="14549" dataBound="0" tableColumnId="1845"/>
      <queryTableField id="14548" dataBound="0" tableColumnId="1846"/>
      <queryTableField id="14547" dataBound="0" tableColumnId="1847"/>
      <queryTableField id="14546" dataBound="0" tableColumnId="1848"/>
      <queryTableField id="14545" dataBound="0" tableColumnId="1849"/>
      <queryTableField id="14544" dataBound="0" tableColumnId="1850"/>
      <queryTableField id="14543" dataBound="0" tableColumnId="1851"/>
      <queryTableField id="14542" dataBound="0" tableColumnId="1852"/>
      <queryTableField id="14541" dataBound="0" tableColumnId="1853"/>
      <queryTableField id="14540" dataBound="0" tableColumnId="1854"/>
      <queryTableField id="14539" dataBound="0" tableColumnId="1855"/>
      <queryTableField id="14538" dataBound="0" tableColumnId="1856"/>
      <queryTableField id="14537" dataBound="0" tableColumnId="1857"/>
      <queryTableField id="14536" dataBound="0" tableColumnId="1858"/>
      <queryTableField id="14535" dataBound="0" tableColumnId="1859"/>
      <queryTableField id="14534" dataBound="0" tableColumnId="1860"/>
      <queryTableField id="14533" dataBound="0" tableColumnId="1861"/>
      <queryTableField id="14532" dataBound="0" tableColumnId="1862"/>
      <queryTableField id="14531" dataBound="0" tableColumnId="1863"/>
      <queryTableField id="14530" dataBound="0" tableColumnId="1864"/>
      <queryTableField id="14529" dataBound="0" tableColumnId="1865"/>
      <queryTableField id="14528" dataBound="0" tableColumnId="1866"/>
      <queryTableField id="14527" dataBound="0" tableColumnId="1867"/>
      <queryTableField id="14526" dataBound="0" tableColumnId="1868"/>
      <queryTableField id="14525" dataBound="0" tableColumnId="1869"/>
      <queryTableField id="14524" dataBound="0" tableColumnId="1870"/>
      <queryTableField id="14523" dataBound="0" tableColumnId="1871"/>
      <queryTableField id="14522" dataBound="0" tableColumnId="1872"/>
      <queryTableField id="14521" dataBound="0" tableColumnId="1873"/>
      <queryTableField id="14520" dataBound="0" tableColumnId="1874"/>
      <queryTableField id="14519" dataBound="0" tableColumnId="1875"/>
      <queryTableField id="14518" dataBound="0" tableColumnId="1876"/>
      <queryTableField id="14517" dataBound="0" tableColumnId="1877"/>
      <queryTableField id="14516" dataBound="0" tableColumnId="1878"/>
      <queryTableField id="14515" dataBound="0" tableColumnId="1879"/>
      <queryTableField id="14514" dataBound="0" tableColumnId="1880"/>
      <queryTableField id="14513" dataBound="0" tableColumnId="1881"/>
      <queryTableField id="14512" dataBound="0" tableColumnId="1882"/>
      <queryTableField id="14511" dataBound="0" tableColumnId="1883"/>
      <queryTableField id="14510" dataBound="0" tableColumnId="1884"/>
      <queryTableField id="14509" dataBound="0" tableColumnId="1885"/>
      <queryTableField id="14508" dataBound="0" tableColumnId="1886"/>
      <queryTableField id="14507" dataBound="0" tableColumnId="1887"/>
      <queryTableField id="14506" dataBound="0" tableColumnId="1888"/>
      <queryTableField id="14505" dataBound="0" tableColumnId="1889"/>
      <queryTableField id="14504" dataBound="0" tableColumnId="1890"/>
      <queryTableField id="14503" dataBound="0" tableColumnId="1891"/>
      <queryTableField id="14502" dataBound="0" tableColumnId="1892"/>
      <queryTableField id="14501" dataBound="0" tableColumnId="1893"/>
      <queryTableField id="14500" dataBound="0" tableColumnId="1894"/>
      <queryTableField id="14499" dataBound="0" tableColumnId="1895"/>
      <queryTableField id="14498" dataBound="0" tableColumnId="1896"/>
      <queryTableField id="14497" dataBound="0" tableColumnId="1897"/>
      <queryTableField id="14496" dataBound="0" tableColumnId="1898"/>
      <queryTableField id="14495" dataBound="0" tableColumnId="1899"/>
      <queryTableField id="14494" dataBound="0" tableColumnId="1900"/>
      <queryTableField id="14493" dataBound="0" tableColumnId="1901"/>
      <queryTableField id="14492" dataBound="0" tableColumnId="1902"/>
      <queryTableField id="14491" dataBound="0" tableColumnId="1903"/>
      <queryTableField id="14490" dataBound="0" tableColumnId="1904"/>
      <queryTableField id="14489" dataBound="0" tableColumnId="1905"/>
      <queryTableField id="14488" dataBound="0" tableColumnId="1906"/>
      <queryTableField id="14487" dataBound="0" tableColumnId="1907"/>
      <queryTableField id="14486" dataBound="0" tableColumnId="1908"/>
      <queryTableField id="14485" dataBound="0" tableColumnId="1909"/>
      <queryTableField id="14484" dataBound="0" tableColumnId="1910"/>
      <queryTableField id="14483" dataBound="0" tableColumnId="1911"/>
      <queryTableField id="14482" dataBound="0" tableColumnId="1912"/>
      <queryTableField id="14481" dataBound="0" tableColumnId="1913"/>
      <queryTableField id="14480" dataBound="0" tableColumnId="1914"/>
      <queryTableField id="14479" dataBound="0" tableColumnId="1915"/>
      <queryTableField id="14478" dataBound="0" tableColumnId="1916"/>
      <queryTableField id="14477" dataBound="0" tableColumnId="1917"/>
      <queryTableField id="14476" dataBound="0" tableColumnId="1918"/>
      <queryTableField id="14475" dataBound="0" tableColumnId="1919"/>
      <queryTableField id="14474" dataBound="0" tableColumnId="1920"/>
      <queryTableField id="14473" dataBound="0" tableColumnId="1921"/>
      <queryTableField id="14472" dataBound="0" tableColumnId="1922"/>
      <queryTableField id="14471" dataBound="0" tableColumnId="1923"/>
      <queryTableField id="14470" dataBound="0" tableColumnId="1924"/>
      <queryTableField id="14469" dataBound="0" tableColumnId="1925"/>
      <queryTableField id="14468" dataBound="0" tableColumnId="1926"/>
      <queryTableField id="14467" dataBound="0" tableColumnId="1927"/>
      <queryTableField id="14466" dataBound="0" tableColumnId="1928"/>
      <queryTableField id="14465" dataBound="0" tableColumnId="1929"/>
      <queryTableField id="14464" dataBound="0" tableColumnId="1930"/>
      <queryTableField id="14463" dataBound="0" tableColumnId="1931"/>
      <queryTableField id="14462" dataBound="0" tableColumnId="1932"/>
      <queryTableField id="14461" dataBound="0" tableColumnId="1933"/>
      <queryTableField id="14460" dataBound="0" tableColumnId="1934"/>
      <queryTableField id="14459" dataBound="0" tableColumnId="1935"/>
      <queryTableField id="14458" dataBound="0" tableColumnId="1936"/>
      <queryTableField id="14457" dataBound="0" tableColumnId="1937"/>
      <queryTableField id="14456" dataBound="0" tableColumnId="1938"/>
      <queryTableField id="14455" dataBound="0" tableColumnId="1939"/>
      <queryTableField id="14454" dataBound="0" tableColumnId="1940"/>
      <queryTableField id="14453" dataBound="0" tableColumnId="1941"/>
      <queryTableField id="14452" dataBound="0" tableColumnId="1942"/>
      <queryTableField id="14451" dataBound="0" tableColumnId="1943"/>
      <queryTableField id="14450" dataBound="0" tableColumnId="1944"/>
      <queryTableField id="14449" dataBound="0" tableColumnId="1945"/>
      <queryTableField id="14448" dataBound="0" tableColumnId="1946"/>
      <queryTableField id="14447" dataBound="0" tableColumnId="1947"/>
      <queryTableField id="14446" dataBound="0" tableColumnId="1948"/>
      <queryTableField id="14445" dataBound="0" tableColumnId="1949"/>
      <queryTableField id="14444" dataBound="0" tableColumnId="1950"/>
      <queryTableField id="14443" dataBound="0" tableColumnId="1951"/>
      <queryTableField id="14442" dataBound="0" tableColumnId="1952"/>
      <queryTableField id="14441" dataBound="0" tableColumnId="1953"/>
      <queryTableField id="14440" dataBound="0" tableColumnId="1954"/>
      <queryTableField id="14439" dataBound="0" tableColumnId="1955"/>
      <queryTableField id="14438" dataBound="0" tableColumnId="1956"/>
      <queryTableField id="14437" dataBound="0" tableColumnId="1957"/>
      <queryTableField id="14436" dataBound="0" tableColumnId="1958"/>
      <queryTableField id="14435" dataBound="0" tableColumnId="1959"/>
      <queryTableField id="14434" dataBound="0" tableColumnId="1960"/>
      <queryTableField id="14433" dataBound="0" tableColumnId="1961"/>
      <queryTableField id="14432" dataBound="0" tableColumnId="1962"/>
      <queryTableField id="14431" dataBound="0" tableColumnId="1963"/>
      <queryTableField id="14430" dataBound="0" tableColumnId="1964"/>
      <queryTableField id="14429" dataBound="0" tableColumnId="1965"/>
      <queryTableField id="14428" dataBound="0" tableColumnId="1966"/>
      <queryTableField id="14427" dataBound="0" tableColumnId="1967"/>
      <queryTableField id="14426" dataBound="0" tableColumnId="1968"/>
      <queryTableField id="14425" dataBound="0" tableColumnId="1969"/>
      <queryTableField id="14424" dataBound="0" tableColumnId="1970"/>
      <queryTableField id="14423" dataBound="0" tableColumnId="1971"/>
      <queryTableField id="14422" dataBound="0" tableColumnId="1972"/>
      <queryTableField id="14421" dataBound="0" tableColumnId="1973"/>
      <queryTableField id="14420" dataBound="0" tableColumnId="1974"/>
      <queryTableField id="14419" dataBound="0" tableColumnId="1975"/>
      <queryTableField id="14418" dataBound="0" tableColumnId="1976"/>
      <queryTableField id="14417" dataBound="0" tableColumnId="1977"/>
      <queryTableField id="14416" dataBound="0" tableColumnId="1978"/>
      <queryTableField id="14415" dataBound="0" tableColumnId="1979"/>
      <queryTableField id="14414" dataBound="0" tableColumnId="1980"/>
      <queryTableField id="14413" dataBound="0" tableColumnId="1981"/>
      <queryTableField id="14412" dataBound="0" tableColumnId="1982"/>
      <queryTableField id="14411" dataBound="0" tableColumnId="1983"/>
      <queryTableField id="14410" dataBound="0" tableColumnId="1984"/>
      <queryTableField id="14409" dataBound="0" tableColumnId="1985"/>
      <queryTableField id="14408" dataBound="0" tableColumnId="1986"/>
      <queryTableField id="14407" dataBound="0" tableColumnId="1987"/>
      <queryTableField id="14406" dataBound="0" tableColumnId="1988"/>
      <queryTableField id="14405" dataBound="0" tableColumnId="1989"/>
      <queryTableField id="14404" dataBound="0" tableColumnId="1990"/>
      <queryTableField id="14403" dataBound="0" tableColumnId="1991"/>
      <queryTableField id="14402" dataBound="0" tableColumnId="1992"/>
      <queryTableField id="14401" dataBound="0" tableColumnId="1993"/>
      <queryTableField id="14400" dataBound="0" tableColumnId="1994"/>
      <queryTableField id="14399" dataBound="0" tableColumnId="1995"/>
      <queryTableField id="14398" dataBound="0" tableColumnId="1996"/>
      <queryTableField id="14397" dataBound="0" tableColumnId="1997"/>
      <queryTableField id="14396" dataBound="0" tableColumnId="1998"/>
      <queryTableField id="14395" dataBound="0" tableColumnId="1999"/>
      <queryTableField id="14394" dataBound="0" tableColumnId="2000"/>
      <queryTableField id="14393" dataBound="0" tableColumnId="2001"/>
      <queryTableField id="14392" dataBound="0" tableColumnId="2002"/>
      <queryTableField id="14391" dataBound="0" tableColumnId="2003"/>
      <queryTableField id="14390" dataBound="0" tableColumnId="2004"/>
      <queryTableField id="14389" dataBound="0" tableColumnId="2005"/>
      <queryTableField id="14388" dataBound="0" tableColumnId="2006"/>
      <queryTableField id="14387" dataBound="0" tableColumnId="2007"/>
      <queryTableField id="14386" dataBound="0" tableColumnId="2008"/>
      <queryTableField id="14385" dataBound="0" tableColumnId="2009"/>
      <queryTableField id="14384" dataBound="0" tableColumnId="2010"/>
      <queryTableField id="14383" dataBound="0" tableColumnId="2011"/>
      <queryTableField id="14382" dataBound="0" tableColumnId="2012"/>
      <queryTableField id="14381" dataBound="0" tableColumnId="2013"/>
      <queryTableField id="14380" dataBound="0" tableColumnId="2014"/>
      <queryTableField id="14379" dataBound="0" tableColumnId="2015"/>
      <queryTableField id="14378" dataBound="0" tableColumnId="2016"/>
      <queryTableField id="14377" dataBound="0" tableColumnId="2017"/>
      <queryTableField id="14376" dataBound="0" tableColumnId="2018"/>
      <queryTableField id="14375" dataBound="0" tableColumnId="2019"/>
      <queryTableField id="14374" dataBound="0" tableColumnId="2020"/>
      <queryTableField id="14373" dataBound="0" tableColumnId="2021"/>
      <queryTableField id="14372" dataBound="0" tableColumnId="2022"/>
      <queryTableField id="14371" dataBound="0" tableColumnId="2023"/>
      <queryTableField id="14370" dataBound="0" tableColumnId="2024"/>
      <queryTableField id="14369" dataBound="0" tableColumnId="2025"/>
      <queryTableField id="14368" dataBound="0" tableColumnId="2026"/>
      <queryTableField id="14367" dataBound="0" tableColumnId="2027"/>
      <queryTableField id="14366" dataBound="0" tableColumnId="2028"/>
      <queryTableField id="14365" dataBound="0" tableColumnId="2029"/>
      <queryTableField id="14364" dataBound="0" tableColumnId="2030"/>
      <queryTableField id="14363" dataBound="0" tableColumnId="2031"/>
      <queryTableField id="14362" dataBound="0" tableColumnId="2032"/>
      <queryTableField id="14361" dataBound="0" tableColumnId="2033"/>
      <queryTableField id="14360" dataBound="0" tableColumnId="2034"/>
      <queryTableField id="14359" dataBound="0" tableColumnId="2035"/>
      <queryTableField id="14358" dataBound="0" tableColumnId="2036"/>
      <queryTableField id="14357" dataBound="0" tableColumnId="2037"/>
      <queryTableField id="14356" dataBound="0" tableColumnId="2038"/>
      <queryTableField id="14355" dataBound="0" tableColumnId="2039"/>
      <queryTableField id="14354" dataBound="0" tableColumnId="2040"/>
      <queryTableField id="14353" dataBound="0" tableColumnId="2041"/>
      <queryTableField id="14352" dataBound="0" tableColumnId="2042"/>
      <queryTableField id="14351" dataBound="0" tableColumnId="2043"/>
      <queryTableField id="14350" dataBound="0" tableColumnId="2044"/>
      <queryTableField id="14349" dataBound="0" tableColumnId="2045"/>
      <queryTableField id="14348" dataBound="0" tableColumnId="2046"/>
      <queryTableField id="14347" dataBound="0" tableColumnId="2047"/>
      <queryTableField id="14346" dataBound="0" tableColumnId="2048"/>
      <queryTableField id="14345" dataBound="0" tableColumnId="2049"/>
      <queryTableField id="14344" dataBound="0" tableColumnId="2050"/>
      <queryTableField id="14343" dataBound="0" tableColumnId="2051"/>
      <queryTableField id="14342" dataBound="0" tableColumnId="2052"/>
      <queryTableField id="14341" dataBound="0" tableColumnId="2053"/>
      <queryTableField id="14340" dataBound="0" tableColumnId="2054"/>
      <queryTableField id="14339" dataBound="0" tableColumnId="2055"/>
      <queryTableField id="14338" dataBound="0" tableColumnId="2056"/>
      <queryTableField id="14337" dataBound="0" tableColumnId="2057"/>
      <queryTableField id="14336" dataBound="0" tableColumnId="2058"/>
      <queryTableField id="14335" dataBound="0" tableColumnId="2059"/>
      <queryTableField id="14334" dataBound="0" tableColumnId="2060"/>
      <queryTableField id="14333" dataBound="0" tableColumnId="2061"/>
      <queryTableField id="14332" dataBound="0" tableColumnId="2062"/>
      <queryTableField id="14331" dataBound="0" tableColumnId="2063"/>
      <queryTableField id="14330" dataBound="0" tableColumnId="2064"/>
      <queryTableField id="14329" dataBound="0" tableColumnId="2065"/>
      <queryTableField id="14328" dataBound="0" tableColumnId="2066"/>
      <queryTableField id="14327" dataBound="0" tableColumnId="2067"/>
      <queryTableField id="14326" dataBound="0" tableColumnId="2068"/>
      <queryTableField id="14325" dataBound="0" tableColumnId="2069"/>
      <queryTableField id="14324" dataBound="0" tableColumnId="2070"/>
      <queryTableField id="14323" dataBound="0" tableColumnId="2071"/>
      <queryTableField id="14322" dataBound="0" tableColumnId="2072"/>
      <queryTableField id="14321" dataBound="0" tableColumnId="2073"/>
      <queryTableField id="14320" dataBound="0" tableColumnId="2074"/>
      <queryTableField id="14319" dataBound="0" tableColumnId="2075"/>
      <queryTableField id="14318" dataBound="0" tableColumnId="2076"/>
      <queryTableField id="14317" dataBound="0" tableColumnId="2077"/>
      <queryTableField id="14316" dataBound="0" tableColumnId="2078"/>
      <queryTableField id="14315" dataBound="0" tableColumnId="2079"/>
      <queryTableField id="14314" dataBound="0" tableColumnId="2080"/>
      <queryTableField id="14313" dataBound="0" tableColumnId="2081"/>
      <queryTableField id="14312" dataBound="0" tableColumnId="2082"/>
      <queryTableField id="14311" dataBound="0" tableColumnId="2083"/>
      <queryTableField id="14310" dataBound="0" tableColumnId="2084"/>
      <queryTableField id="14309" dataBound="0" tableColumnId="2085"/>
      <queryTableField id="14308" dataBound="0" tableColumnId="2086"/>
      <queryTableField id="14307" dataBound="0" tableColumnId="2087"/>
      <queryTableField id="14306" dataBound="0" tableColumnId="2088"/>
      <queryTableField id="14305" dataBound="0" tableColumnId="2089"/>
      <queryTableField id="14304" dataBound="0" tableColumnId="2090"/>
      <queryTableField id="14303" dataBound="0" tableColumnId="2091"/>
      <queryTableField id="14302" dataBound="0" tableColumnId="2092"/>
      <queryTableField id="14301" dataBound="0" tableColumnId="2093"/>
      <queryTableField id="14300" dataBound="0" tableColumnId="2094"/>
      <queryTableField id="14299" dataBound="0" tableColumnId="2095"/>
      <queryTableField id="14298" dataBound="0" tableColumnId="2096"/>
      <queryTableField id="14297" dataBound="0" tableColumnId="2097"/>
      <queryTableField id="14296" dataBound="0" tableColumnId="2098"/>
      <queryTableField id="14295" dataBound="0" tableColumnId="2099"/>
      <queryTableField id="14294" dataBound="0" tableColumnId="2100"/>
      <queryTableField id="14293" dataBound="0" tableColumnId="2101"/>
      <queryTableField id="14292" dataBound="0" tableColumnId="2102"/>
      <queryTableField id="14291" dataBound="0" tableColumnId="2103"/>
      <queryTableField id="14290" dataBound="0" tableColumnId="2104"/>
      <queryTableField id="14289" dataBound="0" tableColumnId="2105"/>
      <queryTableField id="14288" dataBound="0" tableColumnId="2106"/>
      <queryTableField id="14287" dataBound="0" tableColumnId="2107"/>
      <queryTableField id="14286" dataBound="0" tableColumnId="2108"/>
      <queryTableField id="14285" dataBound="0" tableColumnId="2109"/>
      <queryTableField id="14284" dataBound="0" tableColumnId="2110"/>
      <queryTableField id="14283" dataBound="0" tableColumnId="2111"/>
      <queryTableField id="14282" dataBound="0" tableColumnId="2112"/>
      <queryTableField id="14281" dataBound="0" tableColumnId="2113"/>
      <queryTableField id="14280" dataBound="0" tableColumnId="2114"/>
      <queryTableField id="14279" dataBound="0" tableColumnId="2115"/>
      <queryTableField id="14278" dataBound="0" tableColumnId="2116"/>
      <queryTableField id="14277" dataBound="0" tableColumnId="2117"/>
      <queryTableField id="14276" dataBound="0" tableColumnId="2118"/>
      <queryTableField id="14275" dataBound="0" tableColumnId="2119"/>
      <queryTableField id="14274" dataBound="0" tableColumnId="2120"/>
      <queryTableField id="14273" dataBound="0" tableColumnId="2121"/>
      <queryTableField id="14272" dataBound="0" tableColumnId="2122"/>
      <queryTableField id="14271" dataBound="0" tableColumnId="2123"/>
      <queryTableField id="14270" dataBound="0" tableColumnId="2124"/>
      <queryTableField id="14269" dataBound="0" tableColumnId="2125"/>
      <queryTableField id="14268" dataBound="0" tableColumnId="2126"/>
      <queryTableField id="14267" dataBound="0" tableColumnId="2127"/>
      <queryTableField id="14266" dataBound="0" tableColumnId="2128"/>
      <queryTableField id="14265" dataBound="0" tableColumnId="2129"/>
      <queryTableField id="14264" dataBound="0" tableColumnId="2130"/>
      <queryTableField id="14263" dataBound="0" tableColumnId="2131"/>
      <queryTableField id="14262" dataBound="0" tableColumnId="2132"/>
      <queryTableField id="14261" dataBound="0" tableColumnId="2133"/>
      <queryTableField id="14260" dataBound="0" tableColumnId="2134"/>
      <queryTableField id="14259" dataBound="0" tableColumnId="2135"/>
      <queryTableField id="14258" dataBound="0" tableColumnId="2136"/>
      <queryTableField id="14257" dataBound="0" tableColumnId="2137"/>
      <queryTableField id="14256" dataBound="0" tableColumnId="2138"/>
      <queryTableField id="14255" dataBound="0" tableColumnId="2139"/>
      <queryTableField id="14254" dataBound="0" tableColumnId="2140"/>
      <queryTableField id="14253" dataBound="0" tableColumnId="2141"/>
      <queryTableField id="14252" dataBound="0" tableColumnId="2142"/>
      <queryTableField id="14251" dataBound="0" tableColumnId="2143"/>
      <queryTableField id="14250" dataBound="0" tableColumnId="2144"/>
      <queryTableField id="14249" dataBound="0" tableColumnId="2145"/>
      <queryTableField id="14248" dataBound="0" tableColumnId="2146"/>
      <queryTableField id="14247" dataBound="0" tableColumnId="2147"/>
      <queryTableField id="14246" dataBound="0" tableColumnId="2148"/>
      <queryTableField id="14245" dataBound="0" tableColumnId="2149"/>
      <queryTableField id="14244" dataBound="0" tableColumnId="2150"/>
      <queryTableField id="14243" dataBound="0" tableColumnId="2151"/>
      <queryTableField id="14242" dataBound="0" tableColumnId="2152"/>
      <queryTableField id="14241" dataBound="0" tableColumnId="2153"/>
      <queryTableField id="14240" dataBound="0" tableColumnId="2154"/>
      <queryTableField id="14239" dataBound="0" tableColumnId="2155"/>
      <queryTableField id="14238" dataBound="0" tableColumnId="2156"/>
      <queryTableField id="14237" dataBound="0" tableColumnId="2157"/>
      <queryTableField id="14236" dataBound="0" tableColumnId="2158"/>
      <queryTableField id="14235" dataBound="0" tableColumnId="2159"/>
      <queryTableField id="14234" dataBound="0" tableColumnId="2160"/>
      <queryTableField id="14233" dataBound="0" tableColumnId="2161"/>
      <queryTableField id="14232" dataBound="0" tableColumnId="2162"/>
      <queryTableField id="14231" dataBound="0" tableColumnId="2163"/>
      <queryTableField id="14230" dataBound="0" tableColumnId="2164"/>
      <queryTableField id="14229" dataBound="0" tableColumnId="2165"/>
      <queryTableField id="14228" dataBound="0" tableColumnId="2166"/>
      <queryTableField id="14227" dataBound="0" tableColumnId="2167"/>
      <queryTableField id="14226" dataBound="0" tableColumnId="2168"/>
      <queryTableField id="14225" dataBound="0" tableColumnId="2169"/>
      <queryTableField id="14224" dataBound="0" tableColumnId="2170"/>
      <queryTableField id="14223" dataBound="0" tableColumnId="2171"/>
      <queryTableField id="14222" dataBound="0" tableColumnId="2172"/>
      <queryTableField id="14221" dataBound="0" tableColumnId="2173"/>
      <queryTableField id="14220" dataBound="0" tableColumnId="2174"/>
      <queryTableField id="14219" dataBound="0" tableColumnId="2175"/>
      <queryTableField id="14218" dataBound="0" tableColumnId="2176"/>
      <queryTableField id="14217" dataBound="0" tableColumnId="2177"/>
      <queryTableField id="14216" dataBound="0" tableColumnId="2178"/>
      <queryTableField id="14215" dataBound="0" tableColumnId="2179"/>
      <queryTableField id="14214" dataBound="0" tableColumnId="2180"/>
      <queryTableField id="14213" dataBound="0" tableColumnId="2181"/>
      <queryTableField id="14212" dataBound="0" tableColumnId="2182"/>
      <queryTableField id="14211" dataBound="0" tableColumnId="2183"/>
      <queryTableField id="14210" dataBound="0" tableColumnId="2184"/>
      <queryTableField id="14209" dataBound="0" tableColumnId="2185"/>
      <queryTableField id="14208" dataBound="0" tableColumnId="2186"/>
      <queryTableField id="14207" dataBound="0" tableColumnId="2187"/>
      <queryTableField id="14206" dataBound="0" tableColumnId="2188"/>
      <queryTableField id="14205" dataBound="0" tableColumnId="2189"/>
      <queryTableField id="14204" dataBound="0" tableColumnId="2190"/>
      <queryTableField id="14203" dataBound="0" tableColumnId="2191"/>
      <queryTableField id="14202" dataBound="0" tableColumnId="2192"/>
      <queryTableField id="14201" dataBound="0" tableColumnId="2193"/>
      <queryTableField id="14200" dataBound="0" tableColumnId="2194"/>
      <queryTableField id="14199" dataBound="0" tableColumnId="2195"/>
      <queryTableField id="14198" dataBound="0" tableColumnId="2196"/>
      <queryTableField id="14197" dataBound="0" tableColumnId="2197"/>
      <queryTableField id="14196" dataBound="0" tableColumnId="2198"/>
      <queryTableField id="14195" dataBound="0" tableColumnId="2199"/>
      <queryTableField id="14194" dataBound="0" tableColumnId="2200"/>
      <queryTableField id="14193" dataBound="0" tableColumnId="2201"/>
      <queryTableField id="14192" dataBound="0" tableColumnId="2202"/>
      <queryTableField id="14191" dataBound="0" tableColumnId="2203"/>
      <queryTableField id="14190" dataBound="0" tableColumnId="2204"/>
      <queryTableField id="14189" dataBound="0" tableColumnId="2205"/>
      <queryTableField id="14188" dataBound="0" tableColumnId="2206"/>
      <queryTableField id="14187" dataBound="0" tableColumnId="2207"/>
      <queryTableField id="14186" dataBound="0" tableColumnId="2208"/>
      <queryTableField id="14185" dataBound="0" tableColumnId="2209"/>
      <queryTableField id="14184" dataBound="0" tableColumnId="2210"/>
      <queryTableField id="14183" dataBound="0" tableColumnId="2211"/>
      <queryTableField id="14182" dataBound="0" tableColumnId="2212"/>
      <queryTableField id="14181" dataBound="0" tableColumnId="2213"/>
      <queryTableField id="14180" dataBound="0" tableColumnId="2214"/>
      <queryTableField id="14179" dataBound="0" tableColumnId="2215"/>
      <queryTableField id="14178" dataBound="0" tableColumnId="2216"/>
      <queryTableField id="14177" dataBound="0" tableColumnId="2217"/>
      <queryTableField id="14176" dataBound="0" tableColumnId="2218"/>
      <queryTableField id="14175" dataBound="0" tableColumnId="2219"/>
      <queryTableField id="14174" dataBound="0" tableColumnId="2220"/>
      <queryTableField id="14173" dataBound="0" tableColumnId="2221"/>
      <queryTableField id="14172" dataBound="0" tableColumnId="2222"/>
      <queryTableField id="14171" dataBound="0" tableColumnId="2223"/>
      <queryTableField id="14170" dataBound="0" tableColumnId="2224"/>
      <queryTableField id="14169" dataBound="0" tableColumnId="2225"/>
      <queryTableField id="14168" dataBound="0" tableColumnId="2226"/>
      <queryTableField id="14167" dataBound="0" tableColumnId="2227"/>
      <queryTableField id="14166" dataBound="0" tableColumnId="2228"/>
      <queryTableField id="14165" dataBound="0" tableColumnId="2229"/>
      <queryTableField id="14164" dataBound="0" tableColumnId="2230"/>
      <queryTableField id="14163" dataBound="0" tableColumnId="2231"/>
      <queryTableField id="14162" dataBound="0" tableColumnId="2232"/>
      <queryTableField id="14161" dataBound="0" tableColumnId="2233"/>
      <queryTableField id="14160" dataBound="0" tableColumnId="2234"/>
      <queryTableField id="14159" dataBound="0" tableColumnId="2235"/>
      <queryTableField id="14158" dataBound="0" tableColumnId="2236"/>
      <queryTableField id="14157" dataBound="0" tableColumnId="2237"/>
      <queryTableField id="14156" dataBound="0" tableColumnId="2238"/>
      <queryTableField id="14155" dataBound="0" tableColumnId="2239"/>
      <queryTableField id="14154" dataBound="0" tableColumnId="2240"/>
      <queryTableField id="14153" dataBound="0" tableColumnId="2241"/>
      <queryTableField id="14152" dataBound="0" tableColumnId="2242"/>
      <queryTableField id="14151" dataBound="0" tableColumnId="2243"/>
      <queryTableField id="14150" dataBound="0" tableColumnId="2244"/>
      <queryTableField id="14149" dataBound="0" tableColumnId="2245"/>
      <queryTableField id="14148" dataBound="0" tableColumnId="2246"/>
      <queryTableField id="14147" dataBound="0" tableColumnId="2247"/>
      <queryTableField id="14146" dataBound="0" tableColumnId="2248"/>
      <queryTableField id="14145" dataBound="0" tableColumnId="2249"/>
      <queryTableField id="14144" dataBound="0" tableColumnId="2250"/>
      <queryTableField id="14143" dataBound="0" tableColumnId="2251"/>
      <queryTableField id="14142" dataBound="0" tableColumnId="2252"/>
      <queryTableField id="14141" dataBound="0" tableColumnId="2253"/>
      <queryTableField id="14140" dataBound="0" tableColumnId="2254"/>
      <queryTableField id="14139" dataBound="0" tableColumnId="2255"/>
      <queryTableField id="14138" dataBound="0" tableColumnId="2256"/>
      <queryTableField id="14137" dataBound="0" tableColumnId="2257"/>
      <queryTableField id="14136" dataBound="0" tableColumnId="2258"/>
      <queryTableField id="14135" dataBound="0" tableColumnId="2259"/>
      <queryTableField id="14134" dataBound="0" tableColumnId="2260"/>
      <queryTableField id="14133" dataBound="0" tableColumnId="2261"/>
      <queryTableField id="14132" dataBound="0" tableColumnId="2262"/>
      <queryTableField id="14131" dataBound="0" tableColumnId="2263"/>
      <queryTableField id="14130" dataBound="0" tableColumnId="2264"/>
      <queryTableField id="14129" dataBound="0" tableColumnId="2265"/>
      <queryTableField id="14128" dataBound="0" tableColumnId="2266"/>
      <queryTableField id="14127" dataBound="0" tableColumnId="2267"/>
      <queryTableField id="14126" dataBound="0" tableColumnId="2268"/>
      <queryTableField id="14125" dataBound="0" tableColumnId="2269"/>
      <queryTableField id="14124" dataBound="0" tableColumnId="2270"/>
      <queryTableField id="14123" dataBound="0" tableColumnId="2271"/>
      <queryTableField id="14122" dataBound="0" tableColumnId="2272"/>
      <queryTableField id="14121" dataBound="0" tableColumnId="2273"/>
      <queryTableField id="14120" dataBound="0" tableColumnId="2274"/>
      <queryTableField id="14119" dataBound="0" tableColumnId="2275"/>
      <queryTableField id="14118" dataBound="0" tableColumnId="2276"/>
      <queryTableField id="14117" dataBound="0" tableColumnId="2277"/>
      <queryTableField id="14116" dataBound="0" tableColumnId="2278"/>
      <queryTableField id="14115" dataBound="0" tableColumnId="2279"/>
      <queryTableField id="14114" dataBound="0" tableColumnId="2280"/>
      <queryTableField id="14113" dataBound="0" tableColumnId="2281"/>
      <queryTableField id="14112" dataBound="0" tableColumnId="2282"/>
      <queryTableField id="14111" dataBound="0" tableColumnId="2283"/>
      <queryTableField id="14110" dataBound="0" tableColumnId="2284"/>
      <queryTableField id="14109" dataBound="0" tableColumnId="2285"/>
      <queryTableField id="14108" dataBound="0" tableColumnId="2286"/>
      <queryTableField id="14107" dataBound="0" tableColumnId="2287"/>
      <queryTableField id="14106" dataBound="0" tableColumnId="2288"/>
      <queryTableField id="14105" dataBound="0" tableColumnId="2289"/>
      <queryTableField id="14104" dataBound="0" tableColumnId="2290"/>
      <queryTableField id="14103" dataBound="0" tableColumnId="2291"/>
      <queryTableField id="14102" dataBound="0" tableColumnId="2292"/>
      <queryTableField id="14101" dataBound="0" tableColumnId="2293"/>
      <queryTableField id="14100" dataBound="0" tableColumnId="2294"/>
      <queryTableField id="14099" dataBound="0" tableColumnId="2295"/>
      <queryTableField id="14098" dataBound="0" tableColumnId="2296"/>
      <queryTableField id="14097" dataBound="0" tableColumnId="2297"/>
      <queryTableField id="14096" dataBound="0" tableColumnId="2298"/>
      <queryTableField id="14095" dataBound="0" tableColumnId="2299"/>
      <queryTableField id="14094" dataBound="0" tableColumnId="2300"/>
      <queryTableField id="14093" dataBound="0" tableColumnId="2301"/>
      <queryTableField id="14092" dataBound="0" tableColumnId="2302"/>
      <queryTableField id="14091" dataBound="0" tableColumnId="2303"/>
      <queryTableField id="14090" dataBound="0" tableColumnId="2304"/>
      <queryTableField id="14089" dataBound="0" tableColumnId="2305"/>
      <queryTableField id="14088" dataBound="0" tableColumnId="2306"/>
      <queryTableField id="14087" dataBound="0" tableColumnId="2307"/>
      <queryTableField id="14086" dataBound="0" tableColumnId="2308"/>
      <queryTableField id="14085" dataBound="0" tableColumnId="2309"/>
      <queryTableField id="14084" dataBound="0" tableColumnId="2310"/>
      <queryTableField id="14083" dataBound="0" tableColumnId="2311"/>
      <queryTableField id="14082" dataBound="0" tableColumnId="2312"/>
      <queryTableField id="14081" dataBound="0" tableColumnId="2313"/>
      <queryTableField id="14080" dataBound="0" tableColumnId="2314"/>
      <queryTableField id="14079" dataBound="0" tableColumnId="2315"/>
      <queryTableField id="14078" dataBound="0" tableColumnId="2316"/>
      <queryTableField id="14077" dataBound="0" tableColumnId="2317"/>
      <queryTableField id="14076" dataBound="0" tableColumnId="2318"/>
      <queryTableField id="14075" dataBound="0" tableColumnId="2319"/>
      <queryTableField id="14074" dataBound="0" tableColumnId="2320"/>
      <queryTableField id="14073" dataBound="0" tableColumnId="2321"/>
      <queryTableField id="14072" dataBound="0" tableColumnId="2322"/>
      <queryTableField id="14071" dataBound="0" tableColumnId="2323"/>
      <queryTableField id="14070" dataBound="0" tableColumnId="2324"/>
      <queryTableField id="14069" dataBound="0" tableColumnId="2325"/>
      <queryTableField id="14068" dataBound="0" tableColumnId="2326"/>
      <queryTableField id="14067" dataBound="0" tableColumnId="2327"/>
      <queryTableField id="14066" dataBound="0" tableColumnId="2328"/>
      <queryTableField id="14065" dataBound="0" tableColumnId="2329"/>
      <queryTableField id="14064" dataBound="0" tableColumnId="2330"/>
      <queryTableField id="14063" dataBound="0" tableColumnId="2331"/>
      <queryTableField id="14062" dataBound="0" tableColumnId="2332"/>
      <queryTableField id="14061" dataBound="0" tableColumnId="2333"/>
      <queryTableField id="14060" dataBound="0" tableColumnId="2334"/>
      <queryTableField id="14059" dataBound="0" tableColumnId="2335"/>
      <queryTableField id="14058" dataBound="0" tableColumnId="2336"/>
      <queryTableField id="14057" dataBound="0" tableColumnId="2337"/>
      <queryTableField id="14056" dataBound="0" tableColumnId="2338"/>
      <queryTableField id="14055" dataBound="0" tableColumnId="2339"/>
      <queryTableField id="14054" dataBound="0" tableColumnId="2340"/>
      <queryTableField id="14053" dataBound="0" tableColumnId="2341"/>
      <queryTableField id="14052" dataBound="0" tableColumnId="2342"/>
      <queryTableField id="14051" dataBound="0" tableColumnId="2343"/>
      <queryTableField id="14050" dataBound="0" tableColumnId="2344"/>
      <queryTableField id="14049" dataBound="0" tableColumnId="2345"/>
      <queryTableField id="14048" dataBound="0" tableColumnId="2346"/>
      <queryTableField id="14047" dataBound="0" tableColumnId="2347"/>
      <queryTableField id="14046" dataBound="0" tableColumnId="2348"/>
      <queryTableField id="14045" dataBound="0" tableColumnId="2349"/>
      <queryTableField id="14044" dataBound="0" tableColumnId="2350"/>
      <queryTableField id="14043" dataBound="0" tableColumnId="2351"/>
      <queryTableField id="14042" dataBound="0" tableColumnId="2352"/>
      <queryTableField id="14041" dataBound="0" tableColumnId="2353"/>
      <queryTableField id="14040" dataBound="0" tableColumnId="2354"/>
      <queryTableField id="14039" dataBound="0" tableColumnId="2355"/>
      <queryTableField id="14038" dataBound="0" tableColumnId="2356"/>
      <queryTableField id="14037" dataBound="0" tableColumnId="2357"/>
      <queryTableField id="14036" dataBound="0" tableColumnId="2358"/>
      <queryTableField id="14035" dataBound="0" tableColumnId="2359"/>
      <queryTableField id="14034" dataBound="0" tableColumnId="2360"/>
      <queryTableField id="14033" dataBound="0" tableColumnId="2361"/>
      <queryTableField id="14032" dataBound="0" tableColumnId="2362"/>
      <queryTableField id="14031" dataBound="0" tableColumnId="2363"/>
      <queryTableField id="14030" dataBound="0" tableColumnId="2364"/>
      <queryTableField id="14029" dataBound="0" tableColumnId="2365"/>
      <queryTableField id="14028" dataBound="0" tableColumnId="2366"/>
      <queryTableField id="14027" dataBound="0" tableColumnId="2367"/>
      <queryTableField id="14026" dataBound="0" tableColumnId="2368"/>
      <queryTableField id="14025" dataBound="0" tableColumnId="2369"/>
      <queryTableField id="14024" dataBound="0" tableColumnId="2370"/>
      <queryTableField id="14023" dataBound="0" tableColumnId="2371"/>
      <queryTableField id="14022" dataBound="0" tableColumnId="2372"/>
      <queryTableField id="14021" dataBound="0" tableColumnId="2373"/>
      <queryTableField id="14020" dataBound="0" tableColumnId="2374"/>
      <queryTableField id="14019" dataBound="0" tableColumnId="2375"/>
      <queryTableField id="14018" dataBound="0" tableColumnId="2376"/>
      <queryTableField id="14017" dataBound="0" tableColumnId="2377"/>
      <queryTableField id="14016" dataBound="0" tableColumnId="2378"/>
      <queryTableField id="14015" dataBound="0" tableColumnId="2379"/>
      <queryTableField id="14014" dataBound="0" tableColumnId="2380"/>
      <queryTableField id="14013" dataBound="0" tableColumnId="2381"/>
      <queryTableField id="14012" dataBound="0" tableColumnId="2382"/>
      <queryTableField id="14011" dataBound="0" tableColumnId="2383"/>
      <queryTableField id="14010" dataBound="0" tableColumnId="2384"/>
      <queryTableField id="14009" dataBound="0" tableColumnId="2385"/>
      <queryTableField id="14008" dataBound="0" tableColumnId="2386"/>
      <queryTableField id="14007" dataBound="0" tableColumnId="2387"/>
      <queryTableField id="14006" dataBound="0" tableColumnId="2388"/>
      <queryTableField id="14005" dataBound="0" tableColumnId="2389"/>
      <queryTableField id="14004" dataBound="0" tableColumnId="2390"/>
      <queryTableField id="14003" dataBound="0" tableColumnId="2391"/>
      <queryTableField id="14002" dataBound="0" tableColumnId="2392"/>
      <queryTableField id="14001" dataBound="0" tableColumnId="2393"/>
      <queryTableField id="14000" dataBound="0" tableColumnId="2394"/>
      <queryTableField id="13999" dataBound="0" tableColumnId="2395"/>
      <queryTableField id="13998" dataBound="0" tableColumnId="2396"/>
      <queryTableField id="13997" dataBound="0" tableColumnId="2397"/>
      <queryTableField id="13996" dataBound="0" tableColumnId="2398"/>
      <queryTableField id="13995" dataBound="0" tableColumnId="2399"/>
      <queryTableField id="13994" dataBound="0" tableColumnId="2400"/>
      <queryTableField id="13993" dataBound="0" tableColumnId="2401"/>
      <queryTableField id="13992" dataBound="0" tableColumnId="2402"/>
      <queryTableField id="13991" dataBound="0" tableColumnId="2403"/>
      <queryTableField id="13990" dataBound="0" tableColumnId="2404"/>
      <queryTableField id="13989" dataBound="0" tableColumnId="2405"/>
      <queryTableField id="13988" dataBound="0" tableColumnId="2406"/>
      <queryTableField id="13987" dataBound="0" tableColumnId="2407"/>
      <queryTableField id="13986" dataBound="0" tableColumnId="2408"/>
      <queryTableField id="13985" dataBound="0" tableColumnId="2409"/>
      <queryTableField id="13984" dataBound="0" tableColumnId="2410"/>
      <queryTableField id="13983" dataBound="0" tableColumnId="2411"/>
      <queryTableField id="13982" dataBound="0" tableColumnId="2412"/>
      <queryTableField id="13981" dataBound="0" tableColumnId="2413"/>
      <queryTableField id="13980" dataBound="0" tableColumnId="2414"/>
      <queryTableField id="13979" dataBound="0" tableColumnId="2415"/>
      <queryTableField id="13978" dataBound="0" tableColumnId="2416"/>
      <queryTableField id="13977" dataBound="0" tableColumnId="2417"/>
      <queryTableField id="13976" dataBound="0" tableColumnId="2418"/>
      <queryTableField id="13975" dataBound="0" tableColumnId="2419"/>
      <queryTableField id="13974" dataBound="0" tableColumnId="2420"/>
      <queryTableField id="13973" dataBound="0" tableColumnId="2421"/>
      <queryTableField id="13972" dataBound="0" tableColumnId="2422"/>
      <queryTableField id="13971" dataBound="0" tableColumnId="2423"/>
      <queryTableField id="13970" dataBound="0" tableColumnId="2424"/>
      <queryTableField id="13969" dataBound="0" tableColumnId="2425"/>
      <queryTableField id="13968" dataBound="0" tableColumnId="2426"/>
      <queryTableField id="13967" dataBound="0" tableColumnId="2427"/>
      <queryTableField id="13966" dataBound="0" tableColumnId="2428"/>
      <queryTableField id="13965" dataBound="0" tableColumnId="2429"/>
      <queryTableField id="13964" dataBound="0" tableColumnId="2430"/>
      <queryTableField id="13963" dataBound="0" tableColumnId="2431"/>
      <queryTableField id="13962" dataBound="0" tableColumnId="2432"/>
      <queryTableField id="13961" dataBound="0" tableColumnId="2433"/>
      <queryTableField id="13960" dataBound="0" tableColumnId="2434"/>
      <queryTableField id="13959" dataBound="0" tableColumnId="2435"/>
      <queryTableField id="13958" dataBound="0" tableColumnId="2436"/>
      <queryTableField id="13957" dataBound="0" tableColumnId="2437"/>
      <queryTableField id="13956" dataBound="0" tableColumnId="2438"/>
      <queryTableField id="13955" dataBound="0" tableColumnId="2439"/>
      <queryTableField id="13954" dataBound="0" tableColumnId="2440"/>
      <queryTableField id="13953" dataBound="0" tableColumnId="2441"/>
      <queryTableField id="13952" dataBound="0" tableColumnId="2442"/>
      <queryTableField id="13951" dataBound="0" tableColumnId="2443"/>
      <queryTableField id="13950" dataBound="0" tableColumnId="2444"/>
      <queryTableField id="13949" dataBound="0" tableColumnId="2445"/>
      <queryTableField id="13948" dataBound="0" tableColumnId="2446"/>
      <queryTableField id="13947" dataBound="0" tableColumnId="2447"/>
      <queryTableField id="13946" dataBound="0" tableColumnId="2448"/>
      <queryTableField id="13945" dataBound="0" tableColumnId="2449"/>
      <queryTableField id="13944" dataBound="0" tableColumnId="2450"/>
      <queryTableField id="13943" dataBound="0" tableColumnId="2451"/>
      <queryTableField id="13942" dataBound="0" tableColumnId="2452"/>
      <queryTableField id="13941" dataBound="0" tableColumnId="2453"/>
      <queryTableField id="13940" dataBound="0" tableColumnId="2454"/>
      <queryTableField id="13939" dataBound="0" tableColumnId="2455"/>
      <queryTableField id="13938" dataBound="0" tableColumnId="2456"/>
      <queryTableField id="13937" dataBound="0" tableColumnId="2457"/>
      <queryTableField id="13936" dataBound="0" tableColumnId="2458"/>
      <queryTableField id="13935" dataBound="0" tableColumnId="2459"/>
      <queryTableField id="13934" dataBound="0" tableColumnId="2460"/>
      <queryTableField id="13933" dataBound="0" tableColumnId="2461"/>
      <queryTableField id="13932" dataBound="0" tableColumnId="2462"/>
      <queryTableField id="13931" dataBound="0" tableColumnId="2463"/>
      <queryTableField id="13930" dataBound="0" tableColumnId="2464"/>
      <queryTableField id="13929" dataBound="0" tableColumnId="2465"/>
      <queryTableField id="13928" dataBound="0" tableColumnId="2466"/>
      <queryTableField id="13927" dataBound="0" tableColumnId="2467"/>
      <queryTableField id="13926" dataBound="0" tableColumnId="2468"/>
      <queryTableField id="13925" dataBound="0" tableColumnId="2469"/>
      <queryTableField id="13924" dataBound="0" tableColumnId="2470"/>
      <queryTableField id="13923" dataBound="0" tableColumnId="2471"/>
      <queryTableField id="13922" dataBound="0" tableColumnId="2472"/>
      <queryTableField id="13921" dataBound="0" tableColumnId="2473"/>
      <queryTableField id="13920" dataBound="0" tableColumnId="2474"/>
      <queryTableField id="13919" dataBound="0" tableColumnId="2475"/>
      <queryTableField id="13918" dataBound="0" tableColumnId="2476"/>
      <queryTableField id="13917" dataBound="0" tableColumnId="2477"/>
      <queryTableField id="13916" dataBound="0" tableColumnId="2478"/>
      <queryTableField id="13915" dataBound="0" tableColumnId="2479"/>
      <queryTableField id="13914" dataBound="0" tableColumnId="2480"/>
      <queryTableField id="13913" dataBound="0" tableColumnId="2481"/>
      <queryTableField id="13912" dataBound="0" tableColumnId="2482"/>
      <queryTableField id="13911" dataBound="0" tableColumnId="2483"/>
      <queryTableField id="13910" dataBound="0" tableColumnId="2484"/>
      <queryTableField id="13909" dataBound="0" tableColumnId="2485"/>
      <queryTableField id="13908" dataBound="0" tableColumnId="2486"/>
      <queryTableField id="13907" dataBound="0" tableColumnId="2487"/>
      <queryTableField id="13906" dataBound="0" tableColumnId="2488"/>
      <queryTableField id="13905" dataBound="0" tableColumnId="2489"/>
      <queryTableField id="13904" dataBound="0" tableColumnId="2490"/>
      <queryTableField id="13903" dataBound="0" tableColumnId="2491"/>
      <queryTableField id="13902" dataBound="0" tableColumnId="2492"/>
      <queryTableField id="13901" dataBound="0" tableColumnId="2493"/>
      <queryTableField id="13900" dataBound="0" tableColumnId="2494"/>
      <queryTableField id="13899" dataBound="0" tableColumnId="2495"/>
      <queryTableField id="13898" dataBound="0" tableColumnId="2496"/>
      <queryTableField id="13897" dataBound="0" tableColumnId="2497"/>
      <queryTableField id="13896" dataBound="0" tableColumnId="2498"/>
      <queryTableField id="13895" dataBound="0" tableColumnId="2499"/>
      <queryTableField id="13894" dataBound="0" tableColumnId="2500"/>
      <queryTableField id="13893" dataBound="0" tableColumnId="2501"/>
      <queryTableField id="13892" dataBound="0" tableColumnId="2502"/>
      <queryTableField id="13891" dataBound="0" tableColumnId="2503"/>
      <queryTableField id="13890" dataBound="0" tableColumnId="2504"/>
      <queryTableField id="13889" dataBound="0" tableColumnId="2505"/>
      <queryTableField id="13888" dataBound="0" tableColumnId="2506"/>
      <queryTableField id="13887" dataBound="0" tableColumnId="2507"/>
      <queryTableField id="13886" dataBound="0" tableColumnId="2508"/>
      <queryTableField id="13885" dataBound="0" tableColumnId="2509"/>
      <queryTableField id="13884" dataBound="0" tableColumnId="2510"/>
      <queryTableField id="13883" dataBound="0" tableColumnId="2511"/>
      <queryTableField id="13882" dataBound="0" tableColumnId="2512"/>
      <queryTableField id="13881" dataBound="0" tableColumnId="2513"/>
      <queryTableField id="13880" dataBound="0" tableColumnId="2514"/>
      <queryTableField id="13879" dataBound="0" tableColumnId="2515"/>
      <queryTableField id="13878" dataBound="0" tableColumnId="2516"/>
      <queryTableField id="13877" dataBound="0" tableColumnId="2517"/>
      <queryTableField id="13876" dataBound="0" tableColumnId="2518"/>
      <queryTableField id="13875" dataBound="0" tableColumnId="2519"/>
      <queryTableField id="13874" dataBound="0" tableColumnId="2520"/>
      <queryTableField id="13873" dataBound="0" tableColumnId="2521"/>
      <queryTableField id="13872" dataBound="0" tableColumnId="2522"/>
      <queryTableField id="13871" dataBound="0" tableColumnId="2523"/>
      <queryTableField id="13870" dataBound="0" tableColumnId="2524"/>
      <queryTableField id="13869" dataBound="0" tableColumnId="2525"/>
      <queryTableField id="13868" dataBound="0" tableColumnId="2526"/>
      <queryTableField id="13867" dataBound="0" tableColumnId="2527"/>
      <queryTableField id="13866" dataBound="0" tableColumnId="2528"/>
      <queryTableField id="13865" dataBound="0" tableColumnId="2529"/>
      <queryTableField id="13864" dataBound="0" tableColumnId="2530"/>
      <queryTableField id="13863" dataBound="0" tableColumnId="2531"/>
      <queryTableField id="13862" dataBound="0" tableColumnId="2532"/>
      <queryTableField id="13861" dataBound="0" tableColumnId="2533"/>
      <queryTableField id="13860" dataBound="0" tableColumnId="2534"/>
      <queryTableField id="13859" dataBound="0" tableColumnId="2535"/>
      <queryTableField id="13858" dataBound="0" tableColumnId="2536"/>
      <queryTableField id="13857" dataBound="0" tableColumnId="2537"/>
      <queryTableField id="13856" dataBound="0" tableColumnId="2538"/>
      <queryTableField id="13855" dataBound="0" tableColumnId="2539"/>
      <queryTableField id="13854" dataBound="0" tableColumnId="2540"/>
      <queryTableField id="13853" dataBound="0" tableColumnId="2541"/>
      <queryTableField id="13852" dataBound="0" tableColumnId="2542"/>
      <queryTableField id="13851" dataBound="0" tableColumnId="2543"/>
      <queryTableField id="13850" dataBound="0" tableColumnId="2544"/>
      <queryTableField id="13849" dataBound="0" tableColumnId="2545"/>
      <queryTableField id="13848" dataBound="0" tableColumnId="2546"/>
      <queryTableField id="13847" dataBound="0" tableColumnId="2547"/>
      <queryTableField id="13846" dataBound="0" tableColumnId="2548"/>
      <queryTableField id="13845" dataBound="0" tableColumnId="2549"/>
      <queryTableField id="13844" dataBound="0" tableColumnId="2550"/>
      <queryTableField id="13843" dataBound="0" tableColumnId="2551"/>
      <queryTableField id="13842" dataBound="0" tableColumnId="2552"/>
      <queryTableField id="13841" dataBound="0" tableColumnId="2553"/>
      <queryTableField id="13840" dataBound="0" tableColumnId="2554"/>
      <queryTableField id="13839" dataBound="0" tableColumnId="2555"/>
      <queryTableField id="13838" dataBound="0" tableColumnId="2556"/>
      <queryTableField id="13837" dataBound="0" tableColumnId="2557"/>
      <queryTableField id="13836" dataBound="0" tableColumnId="2558"/>
      <queryTableField id="13835" dataBound="0" tableColumnId="2559"/>
      <queryTableField id="13834" dataBound="0" tableColumnId="2560"/>
      <queryTableField id="13833" dataBound="0" tableColumnId="2561"/>
      <queryTableField id="13832" dataBound="0" tableColumnId="2562"/>
      <queryTableField id="13831" dataBound="0" tableColumnId="2563"/>
      <queryTableField id="13830" dataBound="0" tableColumnId="2564"/>
      <queryTableField id="13829" dataBound="0" tableColumnId="2565"/>
      <queryTableField id="13828" dataBound="0" tableColumnId="2566"/>
      <queryTableField id="13827" dataBound="0" tableColumnId="2567"/>
      <queryTableField id="13826" dataBound="0" tableColumnId="2568"/>
      <queryTableField id="13825" dataBound="0" tableColumnId="2569"/>
      <queryTableField id="13824" dataBound="0" tableColumnId="2570"/>
      <queryTableField id="13823" dataBound="0" tableColumnId="2571"/>
      <queryTableField id="13822" dataBound="0" tableColumnId="2572"/>
      <queryTableField id="13821" dataBound="0" tableColumnId="2573"/>
      <queryTableField id="13820" dataBound="0" tableColumnId="2574"/>
      <queryTableField id="13819" dataBound="0" tableColumnId="2575"/>
      <queryTableField id="13818" dataBound="0" tableColumnId="2576"/>
      <queryTableField id="13817" dataBound="0" tableColumnId="2577"/>
      <queryTableField id="13816" dataBound="0" tableColumnId="2578"/>
      <queryTableField id="13815" dataBound="0" tableColumnId="2579"/>
      <queryTableField id="13814" dataBound="0" tableColumnId="2580"/>
      <queryTableField id="13813" dataBound="0" tableColumnId="2581"/>
      <queryTableField id="13812" dataBound="0" tableColumnId="2582"/>
      <queryTableField id="13811" dataBound="0" tableColumnId="2583"/>
      <queryTableField id="13810" dataBound="0" tableColumnId="2584"/>
      <queryTableField id="13809" dataBound="0" tableColumnId="2585"/>
      <queryTableField id="13808" dataBound="0" tableColumnId="2586"/>
      <queryTableField id="13807" dataBound="0" tableColumnId="2587"/>
      <queryTableField id="13806" dataBound="0" tableColumnId="2588"/>
      <queryTableField id="13805" dataBound="0" tableColumnId="2589"/>
      <queryTableField id="13804" dataBound="0" tableColumnId="2590"/>
      <queryTableField id="13803" dataBound="0" tableColumnId="2591"/>
      <queryTableField id="13802" dataBound="0" tableColumnId="2592"/>
      <queryTableField id="13801" dataBound="0" tableColumnId="2593"/>
      <queryTableField id="13800" dataBound="0" tableColumnId="2594"/>
      <queryTableField id="13799" dataBound="0" tableColumnId="2595"/>
      <queryTableField id="13798" dataBound="0" tableColumnId="2596"/>
      <queryTableField id="13797" dataBound="0" tableColumnId="2597"/>
      <queryTableField id="13796" dataBound="0" tableColumnId="2598"/>
      <queryTableField id="13795" dataBound="0" tableColumnId="2599"/>
      <queryTableField id="13794" dataBound="0" tableColumnId="2600"/>
      <queryTableField id="13793" dataBound="0" tableColumnId="2601"/>
      <queryTableField id="13792" dataBound="0" tableColumnId="2602"/>
      <queryTableField id="13791" dataBound="0" tableColumnId="2603"/>
      <queryTableField id="13790" dataBound="0" tableColumnId="2604"/>
      <queryTableField id="13789" dataBound="0" tableColumnId="2605"/>
      <queryTableField id="13788" dataBound="0" tableColumnId="2606"/>
      <queryTableField id="13787" dataBound="0" tableColumnId="2607"/>
      <queryTableField id="13786" dataBound="0" tableColumnId="2608"/>
      <queryTableField id="13785" dataBound="0" tableColumnId="2609"/>
      <queryTableField id="13784" dataBound="0" tableColumnId="2610"/>
      <queryTableField id="13783" dataBound="0" tableColumnId="2611"/>
      <queryTableField id="13782" dataBound="0" tableColumnId="2612"/>
      <queryTableField id="13781" dataBound="0" tableColumnId="2613"/>
      <queryTableField id="13780" dataBound="0" tableColumnId="2614"/>
      <queryTableField id="13779" dataBound="0" tableColumnId="2615"/>
      <queryTableField id="13778" dataBound="0" tableColumnId="2616"/>
      <queryTableField id="13777" dataBound="0" tableColumnId="2617"/>
      <queryTableField id="13776" dataBound="0" tableColumnId="2618"/>
      <queryTableField id="13775" dataBound="0" tableColumnId="2619"/>
      <queryTableField id="13774" dataBound="0" tableColumnId="2620"/>
      <queryTableField id="13773" dataBound="0" tableColumnId="2621"/>
      <queryTableField id="13772" dataBound="0" tableColumnId="2622"/>
      <queryTableField id="13771" dataBound="0" tableColumnId="2623"/>
      <queryTableField id="13770" dataBound="0" tableColumnId="2624"/>
      <queryTableField id="13769" dataBound="0" tableColumnId="2625"/>
      <queryTableField id="13768" dataBound="0" tableColumnId="2626"/>
      <queryTableField id="13767" dataBound="0" tableColumnId="2627"/>
      <queryTableField id="13766" dataBound="0" tableColumnId="2628"/>
      <queryTableField id="13765" dataBound="0" tableColumnId="2629"/>
      <queryTableField id="13764" dataBound="0" tableColumnId="2630"/>
      <queryTableField id="13763" dataBound="0" tableColumnId="2631"/>
      <queryTableField id="13762" dataBound="0" tableColumnId="2632"/>
      <queryTableField id="13761" dataBound="0" tableColumnId="2633"/>
      <queryTableField id="13760" dataBound="0" tableColumnId="2634"/>
      <queryTableField id="13759" dataBound="0" tableColumnId="2635"/>
      <queryTableField id="13758" dataBound="0" tableColumnId="2636"/>
      <queryTableField id="13757" dataBound="0" tableColumnId="2637"/>
      <queryTableField id="13756" dataBound="0" tableColumnId="2638"/>
      <queryTableField id="13755" dataBound="0" tableColumnId="2639"/>
      <queryTableField id="13754" dataBound="0" tableColumnId="2640"/>
      <queryTableField id="13753" dataBound="0" tableColumnId="2641"/>
      <queryTableField id="13752" dataBound="0" tableColumnId="2642"/>
      <queryTableField id="13751" dataBound="0" tableColumnId="2643"/>
      <queryTableField id="13750" dataBound="0" tableColumnId="2644"/>
      <queryTableField id="13749" dataBound="0" tableColumnId="2645"/>
      <queryTableField id="13748" dataBound="0" tableColumnId="2646"/>
      <queryTableField id="13747" dataBound="0" tableColumnId="2647"/>
      <queryTableField id="13746" dataBound="0" tableColumnId="2648"/>
      <queryTableField id="13745" dataBound="0" tableColumnId="2649"/>
      <queryTableField id="13744" dataBound="0" tableColumnId="2650"/>
      <queryTableField id="13743" dataBound="0" tableColumnId="2651"/>
      <queryTableField id="13742" dataBound="0" tableColumnId="2652"/>
      <queryTableField id="13741" dataBound="0" tableColumnId="2653"/>
      <queryTableField id="13740" dataBound="0" tableColumnId="2654"/>
      <queryTableField id="13739" dataBound="0" tableColumnId="2655"/>
      <queryTableField id="13738" dataBound="0" tableColumnId="2656"/>
      <queryTableField id="13737" dataBound="0" tableColumnId="2657"/>
      <queryTableField id="13736" dataBound="0" tableColumnId="2658"/>
      <queryTableField id="13735" dataBound="0" tableColumnId="2659"/>
      <queryTableField id="13734" dataBound="0" tableColumnId="2660"/>
      <queryTableField id="13733" dataBound="0" tableColumnId="2661"/>
      <queryTableField id="13732" dataBound="0" tableColumnId="2662"/>
      <queryTableField id="13731" dataBound="0" tableColumnId="2663"/>
      <queryTableField id="13730" dataBound="0" tableColumnId="2664"/>
      <queryTableField id="13729" dataBound="0" tableColumnId="2665"/>
      <queryTableField id="13728" dataBound="0" tableColumnId="2666"/>
      <queryTableField id="13727" dataBound="0" tableColumnId="2667"/>
      <queryTableField id="13726" dataBound="0" tableColumnId="2668"/>
      <queryTableField id="13725" dataBound="0" tableColumnId="2669"/>
      <queryTableField id="13724" dataBound="0" tableColumnId="2670"/>
      <queryTableField id="13723" dataBound="0" tableColumnId="2671"/>
      <queryTableField id="13722" dataBound="0" tableColumnId="2672"/>
      <queryTableField id="13721" dataBound="0" tableColumnId="2673"/>
      <queryTableField id="13720" dataBound="0" tableColumnId="2674"/>
      <queryTableField id="13719" dataBound="0" tableColumnId="2675"/>
      <queryTableField id="13718" dataBound="0" tableColumnId="2676"/>
      <queryTableField id="13717" dataBound="0" tableColumnId="2677"/>
      <queryTableField id="13716" dataBound="0" tableColumnId="2678"/>
      <queryTableField id="13715" dataBound="0" tableColumnId="2679"/>
      <queryTableField id="13714" dataBound="0" tableColumnId="2680"/>
      <queryTableField id="13713" dataBound="0" tableColumnId="2681"/>
      <queryTableField id="13712" dataBound="0" tableColumnId="2682"/>
      <queryTableField id="13711" dataBound="0" tableColumnId="2683"/>
      <queryTableField id="13710" dataBound="0" tableColumnId="2684"/>
      <queryTableField id="13709" dataBound="0" tableColumnId="2685"/>
      <queryTableField id="13708" dataBound="0" tableColumnId="2686"/>
      <queryTableField id="13707" dataBound="0" tableColumnId="2687"/>
      <queryTableField id="13706" dataBound="0" tableColumnId="2688"/>
      <queryTableField id="13705" dataBound="0" tableColumnId="2689"/>
      <queryTableField id="13704" dataBound="0" tableColumnId="2690"/>
      <queryTableField id="13703" dataBound="0" tableColumnId="2691"/>
      <queryTableField id="13702" dataBound="0" tableColumnId="2692"/>
      <queryTableField id="13701" dataBound="0" tableColumnId="2693"/>
      <queryTableField id="13700" dataBound="0" tableColumnId="2694"/>
      <queryTableField id="13699" dataBound="0" tableColumnId="2695"/>
      <queryTableField id="13698" dataBound="0" tableColumnId="2696"/>
      <queryTableField id="13697" dataBound="0" tableColumnId="2697"/>
      <queryTableField id="13696" dataBound="0" tableColumnId="2698"/>
      <queryTableField id="13695" dataBound="0" tableColumnId="2699"/>
      <queryTableField id="13694" dataBound="0" tableColumnId="2700"/>
      <queryTableField id="13693" dataBound="0" tableColumnId="2701"/>
      <queryTableField id="13692" dataBound="0" tableColumnId="2702"/>
      <queryTableField id="13691" dataBound="0" tableColumnId="2703"/>
      <queryTableField id="13690" dataBound="0" tableColumnId="2704"/>
      <queryTableField id="13689" dataBound="0" tableColumnId="2705"/>
      <queryTableField id="13688" dataBound="0" tableColumnId="2706"/>
      <queryTableField id="13687" dataBound="0" tableColumnId="2707"/>
      <queryTableField id="13686" dataBound="0" tableColumnId="2708"/>
      <queryTableField id="13685" dataBound="0" tableColumnId="2709"/>
      <queryTableField id="13684" dataBound="0" tableColumnId="2710"/>
      <queryTableField id="13683" dataBound="0" tableColumnId="2711"/>
      <queryTableField id="13682" dataBound="0" tableColumnId="2712"/>
      <queryTableField id="13681" dataBound="0" tableColumnId="2713"/>
      <queryTableField id="13680" dataBound="0" tableColumnId="2714"/>
      <queryTableField id="13679" dataBound="0" tableColumnId="2715"/>
      <queryTableField id="13678" dataBound="0" tableColumnId="2716"/>
      <queryTableField id="13677" dataBound="0" tableColumnId="2717"/>
      <queryTableField id="13676" dataBound="0" tableColumnId="2718"/>
      <queryTableField id="13675" dataBound="0" tableColumnId="2719"/>
      <queryTableField id="13674" dataBound="0" tableColumnId="2720"/>
      <queryTableField id="13673" dataBound="0" tableColumnId="2721"/>
      <queryTableField id="13672" dataBound="0" tableColumnId="2722"/>
      <queryTableField id="13671" dataBound="0" tableColumnId="2723"/>
      <queryTableField id="13670" dataBound="0" tableColumnId="2724"/>
      <queryTableField id="13669" dataBound="0" tableColumnId="2725"/>
      <queryTableField id="13668" dataBound="0" tableColumnId="2726"/>
      <queryTableField id="13667" dataBound="0" tableColumnId="2727"/>
      <queryTableField id="13666" dataBound="0" tableColumnId="2728"/>
      <queryTableField id="13665" dataBound="0" tableColumnId="2729"/>
      <queryTableField id="13664" dataBound="0" tableColumnId="2730"/>
      <queryTableField id="13663" dataBound="0" tableColumnId="2731"/>
      <queryTableField id="13662" dataBound="0" tableColumnId="2732"/>
      <queryTableField id="13661" dataBound="0" tableColumnId="2733"/>
      <queryTableField id="13660" dataBound="0" tableColumnId="2734"/>
      <queryTableField id="13659" dataBound="0" tableColumnId="2735"/>
      <queryTableField id="13658" dataBound="0" tableColumnId="2736"/>
      <queryTableField id="13657" dataBound="0" tableColumnId="2737"/>
      <queryTableField id="13656" dataBound="0" tableColumnId="2738"/>
      <queryTableField id="13655" dataBound="0" tableColumnId="2739"/>
      <queryTableField id="13654" dataBound="0" tableColumnId="2740"/>
      <queryTableField id="13653" dataBound="0" tableColumnId="2741"/>
      <queryTableField id="13652" dataBound="0" tableColumnId="2742"/>
      <queryTableField id="13651" dataBound="0" tableColumnId="2743"/>
      <queryTableField id="13650" dataBound="0" tableColumnId="2744"/>
      <queryTableField id="13649" dataBound="0" tableColumnId="2745"/>
      <queryTableField id="13648" dataBound="0" tableColumnId="2746"/>
      <queryTableField id="13647" dataBound="0" tableColumnId="2747"/>
      <queryTableField id="13646" dataBound="0" tableColumnId="2748"/>
      <queryTableField id="13645" dataBound="0" tableColumnId="2749"/>
      <queryTableField id="13644" dataBound="0" tableColumnId="2750"/>
      <queryTableField id="13643" dataBound="0" tableColumnId="2751"/>
      <queryTableField id="13642" dataBound="0" tableColumnId="2752"/>
      <queryTableField id="13641" dataBound="0" tableColumnId="2753"/>
      <queryTableField id="13640" dataBound="0" tableColumnId="2754"/>
      <queryTableField id="13639" dataBound="0" tableColumnId="2755"/>
      <queryTableField id="13638" dataBound="0" tableColumnId="2756"/>
      <queryTableField id="13637" dataBound="0" tableColumnId="2757"/>
      <queryTableField id="13636" dataBound="0" tableColumnId="2758"/>
      <queryTableField id="13635" dataBound="0" tableColumnId="2759"/>
      <queryTableField id="13634" dataBound="0" tableColumnId="2760"/>
      <queryTableField id="13633" dataBound="0" tableColumnId="2761"/>
      <queryTableField id="13632" dataBound="0" tableColumnId="2762"/>
      <queryTableField id="13631" dataBound="0" tableColumnId="2763"/>
      <queryTableField id="13630" dataBound="0" tableColumnId="2764"/>
      <queryTableField id="13629" dataBound="0" tableColumnId="2765"/>
      <queryTableField id="13628" dataBound="0" tableColumnId="2766"/>
      <queryTableField id="13627" dataBound="0" tableColumnId="2767"/>
      <queryTableField id="13626" dataBound="0" tableColumnId="2768"/>
      <queryTableField id="13625" dataBound="0" tableColumnId="2769"/>
      <queryTableField id="13624" dataBound="0" tableColumnId="2770"/>
      <queryTableField id="13623" dataBound="0" tableColumnId="2771"/>
      <queryTableField id="13622" dataBound="0" tableColumnId="2772"/>
      <queryTableField id="13621" dataBound="0" tableColumnId="2773"/>
      <queryTableField id="13620" dataBound="0" tableColumnId="2774"/>
      <queryTableField id="13619" dataBound="0" tableColumnId="2775"/>
      <queryTableField id="13618" dataBound="0" tableColumnId="2776"/>
      <queryTableField id="13617" dataBound="0" tableColumnId="2777"/>
      <queryTableField id="13616" dataBound="0" tableColumnId="2778"/>
      <queryTableField id="13615" dataBound="0" tableColumnId="2779"/>
      <queryTableField id="13614" dataBound="0" tableColumnId="2780"/>
      <queryTableField id="13613" dataBound="0" tableColumnId="2781"/>
      <queryTableField id="13612" dataBound="0" tableColumnId="2782"/>
      <queryTableField id="13611" dataBound="0" tableColumnId="2783"/>
      <queryTableField id="13610" dataBound="0" tableColumnId="2784"/>
      <queryTableField id="13609" dataBound="0" tableColumnId="2785"/>
      <queryTableField id="13608" dataBound="0" tableColumnId="2786"/>
      <queryTableField id="13607" dataBound="0" tableColumnId="2787"/>
      <queryTableField id="13606" dataBound="0" tableColumnId="2788"/>
      <queryTableField id="13605" dataBound="0" tableColumnId="2789"/>
      <queryTableField id="13604" dataBound="0" tableColumnId="2790"/>
      <queryTableField id="13603" dataBound="0" tableColumnId="2791"/>
      <queryTableField id="13602" dataBound="0" tableColumnId="2792"/>
      <queryTableField id="13601" dataBound="0" tableColumnId="2793"/>
      <queryTableField id="13600" dataBound="0" tableColumnId="2794"/>
      <queryTableField id="13599" dataBound="0" tableColumnId="2795"/>
      <queryTableField id="13598" dataBound="0" tableColumnId="2796"/>
      <queryTableField id="13597" dataBound="0" tableColumnId="2797"/>
      <queryTableField id="13596" dataBound="0" tableColumnId="2798"/>
      <queryTableField id="13595" dataBound="0" tableColumnId="2799"/>
      <queryTableField id="13594" dataBound="0" tableColumnId="2800"/>
      <queryTableField id="13593" dataBound="0" tableColumnId="2801"/>
      <queryTableField id="13592" dataBound="0" tableColumnId="2802"/>
      <queryTableField id="13591" dataBound="0" tableColumnId="2803"/>
      <queryTableField id="13590" dataBound="0" tableColumnId="2804"/>
      <queryTableField id="13589" dataBound="0" tableColumnId="2805"/>
      <queryTableField id="13588" dataBound="0" tableColumnId="2806"/>
      <queryTableField id="13587" dataBound="0" tableColumnId="2807"/>
      <queryTableField id="13586" dataBound="0" tableColumnId="2808"/>
      <queryTableField id="13585" dataBound="0" tableColumnId="2809"/>
      <queryTableField id="13584" dataBound="0" tableColumnId="2810"/>
      <queryTableField id="13583" dataBound="0" tableColumnId="2811"/>
      <queryTableField id="13582" dataBound="0" tableColumnId="2812"/>
      <queryTableField id="13581" dataBound="0" tableColumnId="2813"/>
      <queryTableField id="13580" dataBound="0" tableColumnId="2814"/>
      <queryTableField id="13579" dataBound="0" tableColumnId="2815"/>
      <queryTableField id="13578" dataBound="0" tableColumnId="2816"/>
      <queryTableField id="13577" dataBound="0" tableColumnId="2817"/>
      <queryTableField id="13576" dataBound="0" tableColumnId="2818"/>
      <queryTableField id="13575" dataBound="0" tableColumnId="2819"/>
      <queryTableField id="13574" dataBound="0" tableColumnId="2820"/>
      <queryTableField id="13573" dataBound="0" tableColumnId="2821"/>
      <queryTableField id="13572" dataBound="0" tableColumnId="2822"/>
      <queryTableField id="13571" dataBound="0" tableColumnId="2823"/>
      <queryTableField id="13570" dataBound="0" tableColumnId="2824"/>
      <queryTableField id="13569" dataBound="0" tableColumnId="2825"/>
      <queryTableField id="13568" dataBound="0" tableColumnId="2826"/>
      <queryTableField id="13567" dataBound="0" tableColumnId="2827"/>
      <queryTableField id="13566" dataBound="0" tableColumnId="2828"/>
      <queryTableField id="13565" dataBound="0" tableColumnId="2829"/>
      <queryTableField id="13564" dataBound="0" tableColumnId="2830"/>
      <queryTableField id="13563" dataBound="0" tableColumnId="2831"/>
      <queryTableField id="13562" dataBound="0" tableColumnId="2832"/>
      <queryTableField id="13561" dataBound="0" tableColumnId="2833"/>
      <queryTableField id="13560" dataBound="0" tableColumnId="2834"/>
      <queryTableField id="13559" dataBound="0" tableColumnId="2835"/>
      <queryTableField id="13558" dataBound="0" tableColumnId="2836"/>
      <queryTableField id="13557" dataBound="0" tableColumnId="2837"/>
      <queryTableField id="13556" dataBound="0" tableColumnId="2838"/>
      <queryTableField id="13555" dataBound="0" tableColumnId="2839"/>
      <queryTableField id="13554" dataBound="0" tableColumnId="2840"/>
      <queryTableField id="13553" dataBound="0" tableColumnId="2841"/>
      <queryTableField id="13552" dataBound="0" tableColumnId="2842"/>
      <queryTableField id="13551" dataBound="0" tableColumnId="2843"/>
      <queryTableField id="13550" dataBound="0" tableColumnId="2844"/>
      <queryTableField id="13549" dataBound="0" tableColumnId="2845"/>
      <queryTableField id="13548" dataBound="0" tableColumnId="2846"/>
      <queryTableField id="13547" dataBound="0" tableColumnId="2847"/>
      <queryTableField id="13546" dataBound="0" tableColumnId="2848"/>
      <queryTableField id="13545" dataBound="0" tableColumnId="2849"/>
      <queryTableField id="13544" dataBound="0" tableColumnId="2850"/>
      <queryTableField id="13543" dataBound="0" tableColumnId="2851"/>
      <queryTableField id="13542" dataBound="0" tableColumnId="2852"/>
      <queryTableField id="13541" dataBound="0" tableColumnId="2853"/>
      <queryTableField id="13540" dataBound="0" tableColumnId="2854"/>
      <queryTableField id="13539" dataBound="0" tableColumnId="2855"/>
      <queryTableField id="13538" dataBound="0" tableColumnId="2856"/>
      <queryTableField id="13537" dataBound="0" tableColumnId="2857"/>
      <queryTableField id="13536" dataBound="0" tableColumnId="2858"/>
      <queryTableField id="13535" dataBound="0" tableColumnId="2859"/>
      <queryTableField id="13534" dataBound="0" tableColumnId="2860"/>
      <queryTableField id="13533" dataBound="0" tableColumnId="2861"/>
      <queryTableField id="13532" dataBound="0" tableColumnId="2862"/>
      <queryTableField id="13531" dataBound="0" tableColumnId="2863"/>
      <queryTableField id="13530" dataBound="0" tableColumnId="2864"/>
      <queryTableField id="13529" dataBound="0" tableColumnId="2865"/>
      <queryTableField id="13528" dataBound="0" tableColumnId="2866"/>
      <queryTableField id="13527" dataBound="0" tableColumnId="2867"/>
      <queryTableField id="13526" dataBound="0" tableColumnId="2868"/>
      <queryTableField id="13525" dataBound="0" tableColumnId="2869"/>
      <queryTableField id="13524" dataBound="0" tableColumnId="2870"/>
      <queryTableField id="13523" dataBound="0" tableColumnId="2871"/>
      <queryTableField id="13522" dataBound="0" tableColumnId="2872"/>
      <queryTableField id="13521" dataBound="0" tableColumnId="2873"/>
      <queryTableField id="13520" dataBound="0" tableColumnId="2874"/>
      <queryTableField id="13519" dataBound="0" tableColumnId="2875"/>
      <queryTableField id="13518" dataBound="0" tableColumnId="2876"/>
      <queryTableField id="13517" dataBound="0" tableColumnId="2877"/>
      <queryTableField id="13516" dataBound="0" tableColumnId="2878"/>
      <queryTableField id="13515" dataBound="0" tableColumnId="2879"/>
      <queryTableField id="13514" dataBound="0" tableColumnId="2880"/>
      <queryTableField id="13513" dataBound="0" tableColumnId="2881"/>
      <queryTableField id="13512" dataBound="0" tableColumnId="2882"/>
      <queryTableField id="13511" dataBound="0" tableColumnId="2883"/>
      <queryTableField id="13510" dataBound="0" tableColumnId="2884"/>
      <queryTableField id="13509" dataBound="0" tableColumnId="2885"/>
      <queryTableField id="13508" dataBound="0" tableColumnId="2886"/>
      <queryTableField id="13507" dataBound="0" tableColumnId="2887"/>
      <queryTableField id="13506" dataBound="0" tableColumnId="2888"/>
      <queryTableField id="13505" dataBound="0" tableColumnId="2889"/>
      <queryTableField id="13504" dataBound="0" tableColumnId="2890"/>
      <queryTableField id="13503" dataBound="0" tableColumnId="2891"/>
      <queryTableField id="13502" dataBound="0" tableColumnId="2892"/>
      <queryTableField id="13501" dataBound="0" tableColumnId="2893"/>
      <queryTableField id="13500" dataBound="0" tableColumnId="2894"/>
      <queryTableField id="13499" dataBound="0" tableColumnId="2895"/>
      <queryTableField id="13498" dataBound="0" tableColumnId="2896"/>
      <queryTableField id="13497" dataBound="0" tableColumnId="2897"/>
      <queryTableField id="13496" dataBound="0" tableColumnId="2898"/>
      <queryTableField id="13495" dataBound="0" tableColumnId="2899"/>
      <queryTableField id="13494" dataBound="0" tableColumnId="2900"/>
      <queryTableField id="13493" dataBound="0" tableColumnId="2901"/>
      <queryTableField id="13492" dataBound="0" tableColumnId="2902"/>
      <queryTableField id="13491" dataBound="0" tableColumnId="2903"/>
      <queryTableField id="13490" dataBound="0" tableColumnId="2904"/>
      <queryTableField id="13489" dataBound="0" tableColumnId="2905"/>
      <queryTableField id="13488" dataBound="0" tableColumnId="2906"/>
      <queryTableField id="13487" dataBound="0" tableColumnId="2907"/>
      <queryTableField id="13486" dataBound="0" tableColumnId="2908"/>
      <queryTableField id="13485" dataBound="0" tableColumnId="2909"/>
      <queryTableField id="13484" dataBound="0" tableColumnId="2910"/>
      <queryTableField id="13483" dataBound="0" tableColumnId="2911"/>
      <queryTableField id="13482" dataBound="0" tableColumnId="2912"/>
      <queryTableField id="13481" dataBound="0" tableColumnId="2913"/>
      <queryTableField id="13480" dataBound="0" tableColumnId="2914"/>
      <queryTableField id="13479" dataBound="0" tableColumnId="2915"/>
      <queryTableField id="13478" dataBound="0" tableColumnId="2916"/>
      <queryTableField id="13477" dataBound="0" tableColumnId="2917"/>
      <queryTableField id="13476" dataBound="0" tableColumnId="2918"/>
      <queryTableField id="13475" dataBound="0" tableColumnId="2919"/>
      <queryTableField id="13474" dataBound="0" tableColumnId="2920"/>
      <queryTableField id="13473" dataBound="0" tableColumnId="2921"/>
      <queryTableField id="13472" dataBound="0" tableColumnId="2922"/>
      <queryTableField id="13471" dataBound="0" tableColumnId="2923"/>
      <queryTableField id="13470" dataBound="0" tableColumnId="2924"/>
      <queryTableField id="13469" dataBound="0" tableColumnId="2925"/>
      <queryTableField id="13468" dataBound="0" tableColumnId="2926"/>
      <queryTableField id="13467" dataBound="0" tableColumnId="2927"/>
      <queryTableField id="13466" dataBound="0" tableColumnId="2928"/>
      <queryTableField id="13465" dataBound="0" tableColumnId="2929"/>
      <queryTableField id="13464" dataBound="0" tableColumnId="2930"/>
      <queryTableField id="13463" dataBound="0" tableColumnId="2931"/>
      <queryTableField id="13462" dataBound="0" tableColumnId="2932"/>
      <queryTableField id="13461" dataBound="0" tableColumnId="2933"/>
      <queryTableField id="13460" dataBound="0" tableColumnId="2934"/>
      <queryTableField id="13459" dataBound="0" tableColumnId="2935"/>
      <queryTableField id="13458" dataBound="0" tableColumnId="2936"/>
      <queryTableField id="13457" dataBound="0" tableColumnId="2937"/>
      <queryTableField id="13456" dataBound="0" tableColumnId="2938"/>
      <queryTableField id="13455" dataBound="0" tableColumnId="2939"/>
      <queryTableField id="13454" dataBound="0" tableColumnId="2940"/>
      <queryTableField id="13453" dataBound="0" tableColumnId="2941"/>
      <queryTableField id="13452" dataBound="0" tableColumnId="2942"/>
      <queryTableField id="13451" dataBound="0" tableColumnId="2943"/>
      <queryTableField id="13450" dataBound="0" tableColumnId="2944"/>
      <queryTableField id="13449" dataBound="0" tableColumnId="2945"/>
      <queryTableField id="13448" dataBound="0" tableColumnId="2946"/>
      <queryTableField id="13447" dataBound="0" tableColumnId="2947"/>
      <queryTableField id="13446" dataBound="0" tableColumnId="2948"/>
      <queryTableField id="13445" dataBound="0" tableColumnId="2949"/>
      <queryTableField id="13444" dataBound="0" tableColumnId="2950"/>
      <queryTableField id="13443" dataBound="0" tableColumnId="2951"/>
      <queryTableField id="13442" dataBound="0" tableColumnId="2952"/>
      <queryTableField id="13441" dataBound="0" tableColumnId="2953"/>
      <queryTableField id="13440" dataBound="0" tableColumnId="2954"/>
      <queryTableField id="13439" dataBound="0" tableColumnId="2955"/>
      <queryTableField id="13438" dataBound="0" tableColumnId="2956"/>
      <queryTableField id="13437" dataBound="0" tableColumnId="2957"/>
      <queryTableField id="13436" dataBound="0" tableColumnId="2958"/>
      <queryTableField id="13435" dataBound="0" tableColumnId="2959"/>
      <queryTableField id="13434" dataBound="0" tableColumnId="2960"/>
      <queryTableField id="13433" dataBound="0" tableColumnId="2961"/>
      <queryTableField id="13432" dataBound="0" tableColumnId="2962"/>
      <queryTableField id="13431" dataBound="0" tableColumnId="2963"/>
      <queryTableField id="13430" dataBound="0" tableColumnId="2964"/>
      <queryTableField id="13429" dataBound="0" tableColumnId="2965"/>
      <queryTableField id="13428" dataBound="0" tableColumnId="2966"/>
      <queryTableField id="13427" dataBound="0" tableColumnId="2967"/>
      <queryTableField id="13426" dataBound="0" tableColumnId="2968"/>
      <queryTableField id="13425" dataBound="0" tableColumnId="2969"/>
      <queryTableField id="13424" dataBound="0" tableColumnId="2970"/>
      <queryTableField id="13423" dataBound="0" tableColumnId="2971"/>
      <queryTableField id="13422" dataBound="0" tableColumnId="2972"/>
      <queryTableField id="13421" dataBound="0" tableColumnId="2973"/>
      <queryTableField id="13420" dataBound="0" tableColumnId="2974"/>
      <queryTableField id="13419" dataBound="0" tableColumnId="2975"/>
      <queryTableField id="13418" dataBound="0" tableColumnId="2976"/>
      <queryTableField id="13417" dataBound="0" tableColumnId="2977"/>
      <queryTableField id="13416" dataBound="0" tableColumnId="2978"/>
      <queryTableField id="13415" dataBound="0" tableColumnId="2979"/>
      <queryTableField id="13414" dataBound="0" tableColumnId="2980"/>
      <queryTableField id="13413" dataBound="0" tableColumnId="2981"/>
      <queryTableField id="13412" dataBound="0" tableColumnId="2982"/>
      <queryTableField id="13411" dataBound="0" tableColumnId="2983"/>
      <queryTableField id="13410" dataBound="0" tableColumnId="2984"/>
      <queryTableField id="13409" dataBound="0" tableColumnId="2985"/>
      <queryTableField id="13408" dataBound="0" tableColumnId="2986"/>
      <queryTableField id="13407" dataBound="0" tableColumnId="2987"/>
      <queryTableField id="13406" dataBound="0" tableColumnId="2988"/>
      <queryTableField id="13405" dataBound="0" tableColumnId="2989"/>
      <queryTableField id="13404" dataBound="0" tableColumnId="2990"/>
      <queryTableField id="13403" dataBound="0" tableColumnId="2991"/>
      <queryTableField id="13402" dataBound="0" tableColumnId="2992"/>
      <queryTableField id="13401" dataBound="0" tableColumnId="2993"/>
      <queryTableField id="13400" dataBound="0" tableColumnId="2994"/>
      <queryTableField id="13399" dataBound="0" tableColumnId="2995"/>
      <queryTableField id="13398" dataBound="0" tableColumnId="2996"/>
      <queryTableField id="13397" dataBound="0" tableColumnId="2997"/>
      <queryTableField id="13396" dataBound="0" tableColumnId="2998"/>
      <queryTableField id="13395" dataBound="0" tableColumnId="2999"/>
      <queryTableField id="13394" dataBound="0" tableColumnId="3000"/>
      <queryTableField id="13393" dataBound="0" tableColumnId="3001"/>
      <queryTableField id="13392" dataBound="0" tableColumnId="3002"/>
      <queryTableField id="13391" dataBound="0" tableColumnId="3003"/>
      <queryTableField id="13390" dataBound="0" tableColumnId="3004"/>
      <queryTableField id="13389" dataBound="0" tableColumnId="3005"/>
      <queryTableField id="13388" dataBound="0" tableColumnId="3006"/>
      <queryTableField id="13387" dataBound="0" tableColumnId="3007"/>
      <queryTableField id="13386" dataBound="0" tableColumnId="3008"/>
      <queryTableField id="13385" dataBound="0" tableColumnId="3009"/>
      <queryTableField id="13384" dataBound="0" tableColumnId="3010"/>
      <queryTableField id="13383" dataBound="0" tableColumnId="3011"/>
      <queryTableField id="13382" dataBound="0" tableColumnId="3012"/>
      <queryTableField id="13381" dataBound="0" tableColumnId="3013"/>
      <queryTableField id="13380" dataBound="0" tableColumnId="3014"/>
      <queryTableField id="13379" dataBound="0" tableColumnId="3015"/>
      <queryTableField id="13378" dataBound="0" tableColumnId="3016"/>
      <queryTableField id="13377" dataBound="0" tableColumnId="3017"/>
      <queryTableField id="13376" dataBound="0" tableColumnId="3018"/>
      <queryTableField id="13375" dataBound="0" tableColumnId="3019"/>
      <queryTableField id="13374" dataBound="0" tableColumnId="3020"/>
      <queryTableField id="13373" dataBound="0" tableColumnId="3021"/>
      <queryTableField id="13372" dataBound="0" tableColumnId="3022"/>
      <queryTableField id="13371" dataBound="0" tableColumnId="3023"/>
      <queryTableField id="13370" dataBound="0" tableColumnId="3024"/>
      <queryTableField id="13369" dataBound="0" tableColumnId="3025"/>
      <queryTableField id="13368" dataBound="0" tableColumnId="3026"/>
      <queryTableField id="13367" dataBound="0" tableColumnId="3027"/>
      <queryTableField id="13366" dataBound="0" tableColumnId="3028"/>
      <queryTableField id="13365" dataBound="0" tableColumnId="3029"/>
      <queryTableField id="13364" dataBound="0" tableColumnId="3030"/>
      <queryTableField id="13363" dataBound="0" tableColumnId="3031"/>
      <queryTableField id="13362" dataBound="0" tableColumnId="3032"/>
      <queryTableField id="13361" dataBound="0" tableColumnId="3033"/>
      <queryTableField id="13360" dataBound="0" tableColumnId="3034"/>
      <queryTableField id="13359" dataBound="0" tableColumnId="3035"/>
      <queryTableField id="13358" dataBound="0" tableColumnId="3036"/>
      <queryTableField id="13357" dataBound="0" tableColumnId="3037"/>
      <queryTableField id="13356" dataBound="0" tableColumnId="3038"/>
      <queryTableField id="13355" dataBound="0" tableColumnId="3039"/>
      <queryTableField id="13354" dataBound="0" tableColumnId="3040"/>
      <queryTableField id="13353" dataBound="0" tableColumnId="3041"/>
      <queryTableField id="13352" dataBound="0" tableColumnId="3042"/>
      <queryTableField id="13351" dataBound="0" tableColumnId="3043"/>
      <queryTableField id="13350" dataBound="0" tableColumnId="3044"/>
      <queryTableField id="13349" dataBound="0" tableColumnId="3045"/>
      <queryTableField id="13348" dataBound="0" tableColumnId="3046"/>
      <queryTableField id="13347" dataBound="0" tableColumnId="3047"/>
      <queryTableField id="13346" dataBound="0" tableColumnId="3048"/>
      <queryTableField id="13345" dataBound="0" tableColumnId="3049"/>
      <queryTableField id="13344" dataBound="0" tableColumnId="3050"/>
      <queryTableField id="13343" dataBound="0" tableColumnId="3051"/>
      <queryTableField id="13342" dataBound="0" tableColumnId="3052"/>
      <queryTableField id="13341" dataBound="0" tableColumnId="3053"/>
      <queryTableField id="13340" dataBound="0" tableColumnId="3054"/>
      <queryTableField id="13339" dataBound="0" tableColumnId="3055"/>
      <queryTableField id="13338" dataBound="0" tableColumnId="3056"/>
      <queryTableField id="13337" dataBound="0" tableColumnId="3057"/>
      <queryTableField id="13336" dataBound="0" tableColumnId="3058"/>
      <queryTableField id="13335" dataBound="0" tableColumnId="3059"/>
      <queryTableField id="13334" dataBound="0" tableColumnId="3060"/>
      <queryTableField id="13333" dataBound="0" tableColumnId="3061"/>
      <queryTableField id="13332" dataBound="0" tableColumnId="3062"/>
      <queryTableField id="13331" dataBound="0" tableColumnId="3063"/>
      <queryTableField id="13330" dataBound="0" tableColumnId="3064"/>
      <queryTableField id="13329" dataBound="0" tableColumnId="3065"/>
      <queryTableField id="13328" dataBound="0" tableColumnId="3066"/>
      <queryTableField id="13327" dataBound="0" tableColumnId="3067"/>
      <queryTableField id="13326" dataBound="0" tableColumnId="3068"/>
      <queryTableField id="13325" dataBound="0" tableColumnId="3069"/>
      <queryTableField id="13324" dataBound="0" tableColumnId="3070"/>
      <queryTableField id="13323" dataBound="0" tableColumnId="3071"/>
      <queryTableField id="13322" dataBound="0" tableColumnId="3072"/>
      <queryTableField id="13321" dataBound="0" tableColumnId="3073"/>
      <queryTableField id="13320" dataBound="0" tableColumnId="3074"/>
      <queryTableField id="13319" dataBound="0" tableColumnId="3075"/>
      <queryTableField id="13318" dataBound="0" tableColumnId="3076"/>
      <queryTableField id="13317" dataBound="0" tableColumnId="3077"/>
      <queryTableField id="13316" dataBound="0" tableColumnId="3078"/>
      <queryTableField id="13315" dataBound="0" tableColumnId="3079"/>
      <queryTableField id="13314" dataBound="0" tableColumnId="3080"/>
      <queryTableField id="13313" dataBound="0" tableColumnId="3081"/>
      <queryTableField id="13312" dataBound="0" tableColumnId="3082"/>
      <queryTableField id="13311" dataBound="0" tableColumnId="3083"/>
      <queryTableField id="13310" dataBound="0" tableColumnId="3084"/>
      <queryTableField id="13309" dataBound="0" tableColumnId="3085"/>
      <queryTableField id="13308" dataBound="0" tableColumnId="3086"/>
      <queryTableField id="13307" dataBound="0" tableColumnId="3087"/>
      <queryTableField id="13306" dataBound="0" tableColumnId="3088"/>
      <queryTableField id="13305" dataBound="0" tableColumnId="3089"/>
      <queryTableField id="13304" dataBound="0" tableColumnId="3090"/>
      <queryTableField id="13303" dataBound="0" tableColumnId="3091"/>
      <queryTableField id="13302" dataBound="0" tableColumnId="3092"/>
      <queryTableField id="13301" dataBound="0" tableColumnId="3093"/>
      <queryTableField id="13300" dataBound="0" tableColumnId="3094"/>
      <queryTableField id="13299" dataBound="0" tableColumnId="3095"/>
      <queryTableField id="13298" dataBound="0" tableColumnId="3096"/>
      <queryTableField id="13297" dataBound="0" tableColumnId="3097"/>
      <queryTableField id="13296" dataBound="0" tableColumnId="3098"/>
      <queryTableField id="13295" dataBound="0" tableColumnId="3099"/>
      <queryTableField id="13294" dataBound="0" tableColumnId="3100"/>
      <queryTableField id="13293" dataBound="0" tableColumnId="3101"/>
      <queryTableField id="13292" dataBound="0" tableColumnId="3102"/>
      <queryTableField id="13291" dataBound="0" tableColumnId="3103"/>
      <queryTableField id="13290" dataBound="0" tableColumnId="3104"/>
      <queryTableField id="13289" dataBound="0" tableColumnId="3105"/>
      <queryTableField id="13288" dataBound="0" tableColumnId="3106"/>
      <queryTableField id="13287" dataBound="0" tableColumnId="3107"/>
      <queryTableField id="13286" dataBound="0" tableColumnId="3108"/>
      <queryTableField id="13285" dataBound="0" tableColumnId="3109"/>
      <queryTableField id="13284" dataBound="0" tableColumnId="3110"/>
      <queryTableField id="13283" dataBound="0" tableColumnId="3111"/>
      <queryTableField id="13282" dataBound="0" tableColumnId="3112"/>
      <queryTableField id="13281" dataBound="0" tableColumnId="3113"/>
      <queryTableField id="13280" dataBound="0" tableColumnId="3114"/>
      <queryTableField id="13279" dataBound="0" tableColumnId="3115"/>
      <queryTableField id="13278" dataBound="0" tableColumnId="3116"/>
      <queryTableField id="13277" dataBound="0" tableColumnId="3117"/>
      <queryTableField id="13276" dataBound="0" tableColumnId="3118"/>
      <queryTableField id="13275" dataBound="0" tableColumnId="3119"/>
      <queryTableField id="13274" dataBound="0" tableColumnId="3120"/>
      <queryTableField id="13273" dataBound="0" tableColumnId="3121"/>
      <queryTableField id="13272" dataBound="0" tableColumnId="3122"/>
      <queryTableField id="13271" dataBound="0" tableColumnId="3123"/>
      <queryTableField id="13270" dataBound="0" tableColumnId="3124"/>
      <queryTableField id="13269" dataBound="0" tableColumnId="3125"/>
      <queryTableField id="13268" dataBound="0" tableColumnId="3126"/>
      <queryTableField id="13267" dataBound="0" tableColumnId="3127"/>
      <queryTableField id="13266" dataBound="0" tableColumnId="3128"/>
      <queryTableField id="13265" dataBound="0" tableColumnId="3129"/>
      <queryTableField id="13264" dataBound="0" tableColumnId="3130"/>
      <queryTableField id="13263" dataBound="0" tableColumnId="3131"/>
      <queryTableField id="13262" dataBound="0" tableColumnId="3132"/>
      <queryTableField id="13261" dataBound="0" tableColumnId="3133"/>
      <queryTableField id="13260" dataBound="0" tableColumnId="3134"/>
      <queryTableField id="13259" dataBound="0" tableColumnId="3135"/>
      <queryTableField id="13258" dataBound="0" tableColumnId="3136"/>
      <queryTableField id="13257" dataBound="0" tableColumnId="3137"/>
      <queryTableField id="13256" dataBound="0" tableColumnId="3138"/>
      <queryTableField id="13255" dataBound="0" tableColumnId="3139"/>
      <queryTableField id="13254" dataBound="0" tableColumnId="3140"/>
      <queryTableField id="13253" dataBound="0" tableColumnId="3141"/>
      <queryTableField id="13252" dataBound="0" tableColumnId="3142"/>
      <queryTableField id="13251" dataBound="0" tableColumnId="3143"/>
      <queryTableField id="13250" dataBound="0" tableColumnId="3144"/>
      <queryTableField id="13249" dataBound="0" tableColumnId="3145"/>
      <queryTableField id="13248" dataBound="0" tableColumnId="3146"/>
      <queryTableField id="13247" dataBound="0" tableColumnId="3147"/>
      <queryTableField id="13246" dataBound="0" tableColumnId="3148"/>
      <queryTableField id="13245" dataBound="0" tableColumnId="3149"/>
      <queryTableField id="13244" dataBound="0" tableColumnId="3150"/>
      <queryTableField id="13243" dataBound="0" tableColumnId="3151"/>
      <queryTableField id="13242" dataBound="0" tableColumnId="3152"/>
      <queryTableField id="13241" dataBound="0" tableColumnId="3153"/>
      <queryTableField id="13240" dataBound="0" tableColumnId="3154"/>
      <queryTableField id="13239" dataBound="0" tableColumnId="3155"/>
      <queryTableField id="13238" dataBound="0" tableColumnId="3156"/>
      <queryTableField id="13237" dataBound="0" tableColumnId="3157"/>
      <queryTableField id="13236" dataBound="0" tableColumnId="3158"/>
      <queryTableField id="13235" dataBound="0" tableColumnId="3159"/>
      <queryTableField id="13234" dataBound="0" tableColumnId="3160"/>
      <queryTableField id="13233" dataBound="0" tableColumnId="3161"/>
      <queryTableField id="13232" dataBound="0" tableColumnId="3162"/>
      <queryTableField id="13231" dataBound="0" tableColumnId="3163"/>
      <queryTableField id="13230" dataBound="0" tableColumnId="3164"/>
      <queryTableField id="13229" dataBound="0" tableColumnId="3165"/>
      <queryTableField id="13228" dataBound="0" tableColumnId="3166"/>
      <queryTableField id="13227" dataBound="0" tableColumnId="3167"/>
      <queryTableField id="13226" dataBound="0" tableColumnId="3168"/>
      <queryTableField id="13225" dataBound="0" tableColumnId="3169"/>
      <queryTableField id="13224" dataBound="0" tableColumnId="3170"/>
      <queryTableField id="13223" dataBound="0" tableColumnId="3171"/>
      <queryTableField id="13222" dataBound="0" tableColumnId="3172"/>
      <queryTableField id="13221" dataBound="0" tableColumnId="3173"/>
      <queryTableField id="13220" dataBound="0" tableColumnId="3174"/>
      <queryTableField id="13219" dataBound="0" tableColumnId="3175"/>
      <queryTableField id="13218" dataBound="0" tableColumnId="3176"/>
      <queryTableField id="13217" dataBound="0" tableColumnId="3177"/>
      <queryTableField id="13216" dataBound="0" tableColumnId="3178"/>
      <queryTableField id="13215" dataBound="0" tableColumnId="3179"/>
      <queryTableField id="13214" dataBound="0" tableColumnId="3180"/>
      <queryTableField id="13213" dataBound="0" tableColumnId="3181"/>
      <queryTableField id="13212" dataBound="0" tableColumnId="3182"/>
      <queryTableField id="13211" dataBound="0" tableColumnId="3183"/>
      <queryTableField id="13210" dataBound="0" tableColumnId="3184"/>
      <queryTableField id="13209" dataBound="0" tableColumnId="3185"/>
      <queryTableField id="13208" dataBound="0" tableColumnId="3186"/>
      <queryTableField id="13207" dataBound="0" tableColumnId="3187"/>
      <queryTableField id="13206" dataBound="0" tableColumnId="3188"/>
      <queryTableField id="13205" dataBound="0" tableColumnId="3189"/>
      <queryTableField id="13204" dataBound="0" tableColumnId="3190"/>
      <queryTableField id="13203" dataBound="0" tableColumnId="3191"/>
      <queryTableField id="13202" dataBound="0" tableColumnId="3192"/>
      <queryTableField id="13201" dataBound="0" tableColumnId="3193"/>
      <queryTableField id="13200" dataBound="0" tableColumnId="3194"/>
      <queryTableField id="13199" dataBound="0" tableColumnId="3195"/>
      <queryTableField id="13198" dataBound="0" tableColumnId="3196"/>
      <queryTableField id="13197" dataBound="0" tableColumnId="3197"/>
      <queryTableField id="13196" dataBound="0" tableColumnId="3198"/>
      <queryTableField id="13195" dataBound="0" tableColumnId="3199"/>
      <queryTableField id="13194" dataBound="0" tableColumnId="3200"/>
      <queryTableField id="13193" dataBound="0" tableColumnId="3201"/>
      <queryTableField id="13192" dataBound="0" tableColumnId="3202"/>
      <queryTableField id="13191" dataBound="0" tableColumnId="3203"/>
      <queryTableField id="13190" dataBound="0" tableColumnId="3204"/>
      <queryTableField id="13189" dataBound="0" tableColumnId="3205"/>
      <queryTableField id="13188" dataBound="0" tableColumnId="3206"/>
      <queryTableField id="13187" dataBound="0" tableColumnId="3207"/>
      <queryTableField id="13186" dataBound="0" tableColumnId="3208"/>
      <queryTableField id="13185" dataBound="0" tableColumnId="3209"/>
      <queryTableField id="13184" dataBound="0" tableColumnId="3210"/>
      <queryTableField id="13183" dataBound="0" tableColumnId="3211"/>
      <queryTableField id="13182" dataBound="0" tableColumnId="3212"/>
      <queryTableField id="13181" dataBound="0" tableColumnId="3213"/>
      <queryTableField id="13180" dataBound="0" tableColumnId="3214"/>
      <queryTableField id="13179" dataBound="0" tableColumnId="3215"/>
      <queryTableField id="13178" dataBound="0" tableColumnId="3216"/>
      <queryTableField id="13177" dataBound="0" tableColumnId="3217"/>
      <queryTableField id="13176" dataBound="0" tableColumnId="3218"/>
      <queryTableField id="13175" dataBound="0" tableColumnId="3219"/>
      <queryTableField id="13174" dataBound="0" tableColumnId="3220"/>
      <queryTableField id="13173" dataBound="0" tableColumnId="3221"/>
      <queryTableField id="13172" dataBound="0" tableColumnId="3222"/>
      <queryTableField id="13171" dataBound="0" tableColumnId="3223"/>
      <queryTableField id="13170" dataBound="0" tableColumnId="3224"/>
      <queryTableField id="13169" dataBound="0" tableColumnId="3225"/>
      <queryTableField id="13168" dataBound="0" tableColumnId="3226"/>
      <queryTableField id="13167" dataBound="0" tableColumnId="3227"/>
      <queryTableField id="13166" dataBound="0" tableColumnId="3228"/>
      <queryTableField id="13165" dataBound="0" tableColumnId="3229"/>
      <queryTableField id="13164" dataBound="0" tableColumnId="3230"/>
      <queryTableField id="13163" dataBound="0" tableColumnId="3231"/>
      <queryTableField id="13162" dataBound="0" tableColumnId="3232"/>
      <queryTableField id="13161" dataBound="0" tableColumnId="3233"/>
      <queryTableField id="13160" dataBound="0" tableColumnId="3234"/>
      <queryTableField id="13159" dataBound="0" tableColumnId="3235"/>
      <queryTableField id="13158" dataBound="0" tableColumnId="3236"/>
      <queryTableField id="13157" dataBound="0" tableColumnId="3237"/>
      <queryTableField id="13156" dataBound="0" tableColumnId="3238"/>
      <queryTableField id="13155" dataBound="0" tableColumnId="3239"/>
      <queryTableField id="13154" dataBound="0" tableColumnId="3240"/>
      <queryTableField id="13153" dataBound="0" tableColumnId="3241"/>
      <queryTableField id="13152" dataBound="0" tableColumnId="3242"/>
      <queryTableField id="13151" dataBound="0" tableColumnId="3243"/>
      <queryTableField id="13150" dataBound="0" tableColumnId="3244"/>
      <queryTableField id="13149" dataBound="0" tableColumnId="3245"/>
      <queryTableField id="13148" dataBound="0" tableColumnId="3246"/>
      <queryTableField id="13147" dataBound="0" tableColumnId="3247"/>
      <queryTableField id="13146" dataBound="0" tableColumnId="3248"/>
      <queryTableField id="13145" dataBound="0" tableColumnId="3249"/>
      <queryTableField id="13144" dataBound="0" tableColumnId="3250"/>
      <queryTableField id="13143" dataBound="0" tableColumnId="3251"/>
      <queryTableField id="13142" dataBound="0" tableColumnId="3252"/>
      <queryTableField id="13141" dataBound="0" tableColumnId="3253"/>
      <queryTableField id="13140" dataBound="0" tableColumnId="3254"/>
      <queryTableField id="13139" dataBound="0" tableColumnId="3255"/>
      <queryTableField id="13138" dataBound="0" tableColumnId="3256"/>
      <queryTableField id="13137" dataBound="0" tableColumnId="3257"/>
      <queryTableField id="13136" dataBound="0" tableColumnId="3258"/>
      <queryTableField id="13135" dataBound="0" tableColumnId="3259"/>
      <queryTableField id="13134" dataBound="0" tableColumnId="3260"/>
      <queryTableField id="13133" dataBound="0" tableColumnId="3261"/>
      <queryTableField id="13132" dataBound="0" tableColumnId="3262"/>
      <queryTableField id="13131" dataBound="0" tableColumnId="3263"/>
      <queryTableField id="13130" dataBound="0" tableColumnId="3264"/>
      <queryTableField id="13129" dataBound="0" tableColumnId="3265"/>
      <queryTableField id="13128" dataBound="0" tableColumnId="3266"/>
      <queryTableField id="13127" dataBound="0" tableColumnId="3267"/>
      <queryTableField id="13126" dataBound="0" tableColumnId="3268"/>
      <queryTableField id="13125" dataBound="0" tableColumnId="3269"/>
      <queryTableField id="13124" dataBound="0" tableColumnId="3270"/>
      <queryTableField id="13123" dataBound="0" tableColumnId="3271"/>
      <queryTableField id="13122" dataBound="0" tableColumnId="3272"/>
      <queryTableField id="13121" dataBound="0" tableColumnId="3273"/>
      <queryTableField id="13120" dataBound="0" tableColumnId="3274"/>
      <queryTableField id="13119" dataBound="0" tableColumnId="3275"/>
      <queryTableField id="13118" dataBound="0" tableColumnId="3276"/>
      <queryTableField id="13117" dataBound="0" tableColumnId="3277"/>
      <queryTableField id="13116" dataBound="0" tableColumnId="3278"/>
      <queryTableField id="13115" dataBound="0" tableColumnId="3279"/>
      <queryTableField id="13114" dataBound="0" tableColumnId="3280"/>
      <queryTableField id="13113" dataBound="0" tableColumnId="3281"/>
      <queryTableField id="13112" dataBound="0" tableColumnId="3282"/>
      <queryTableField id="13111" dataBound="0" tableColumnId="3283"/>
      <queryTableField id="13110" dataBound="0" tableColumnId="3284"/>
      <queryTableField id="13109" dataBound="0" tableColumnId="3285"/>
      <queryTableField id="13108" dataBound="0" tableColumnId="3286"/>
      <queryTableField id="13107" dataBound="0" tableColumnId="3287"/>
      <queryTableField id="13106" dataBound="0" tableColumnId="3288"/>
      <queryTableField id="13105" dataBound="0" tableColumnId="3289"/>
      <queryTableField id="13104" dataBound="0" tableColumnId="3290"/>
      <queryTableField id="13103" dataBound="0" tableColumnId="3291"/>
      <queryTableField id="13102" dataBound="0" tableColumnId="3292"/>
      <queryTableField id="13101" dataBound="0" tableColumnId="3293"/>
      <queryTableField id="13100" dataBound="0" tableColumnId="3294"/>
      <queryTableField id="13099" dataBound="0" tableColumnId="3295"/>
      <queryTableField id="13098" dataBound="0" tableColumnId="3296"/>
      <queryTableField id="13097" dataBound="0" tableColumnId="3297"/>
      <queryTableField id="13096" dataBound="0" tableColumnId="3298"/>
      <queryTableField id="13095" dataBound="0" tableColumnId="3299"/>
      <queryTableField id="13094" dataBound="0" tableColumnId="3300"/>
      <queryTableField id="13093" dataBound="0" tableColumnId="3301"/>
      <queryTableField id="13092" dataBound="0" tableColumnId="3302"/>
      <queryTableField id="13091" dataBound="0" tableColumnId="3303"/>
      <queryTableField id="13090" dataBound="0" tableColumnId="3304"/>
      <queryTableField id="13089" dataBound="0" tableColumnId="3305"/>
      <queryTableField id="13088" dataBound="0" tableColumnId="3306"/>
      <queryTableField id="13087" dataBound="0" tableColumnId="3307"/>
      <queryTableField id="13086" dataBound="0" tableColumnId="3308"/>
      <queryTableField id="13085" dataBound="0" tableColumnId="3309"/>
      <queryTableField id="13084" dataBound="0" tableColumnId="3310"/>
      <queryTableField id="13083" dataBound="0" tableColumnId="3311"/>
      <queryTableField id="13082" dataBound="0" tableColumnId="3312"/>
      <queryTableField id="13081" dataBound="0" tableColumnId="3313"/>
      <queryTableField id="13080" dataBound="0" tableColumnId="3314"/>
      <queryTableField id="13079" dataBound="0" tableColumnId="3315"/>
      <queryTableField id="13078" dataBound="0" tableColumnId="3316"/>
      <queryTableField id="13077" dataBound="0" tableColumnId="3317"/>
      <queryTableField id="13076" dataBound="0" tableColumnId="3318"/>
      <queryTableField id="13075" dataBound="0" tableColumnId="3319"/>
      <queryTableField id="13074" dataBound="0" tableColumnId="3320"/>
      <queryTableField id="13073" dataBound="0" tableColumnId="3321"/>
      <queryTableField id="13072" dataBound="0" tableColumnId="3322"/>
      <queryTableField id="13071" dataBound="0" tableColumnId="3323"/>
      <queryTableField id="13070" dataBound="0" tableColumnId="3324"/>
      <queryTableField id="13069" dataBound="0" tableColumnId="3325"/>
      <queryTableField id="13068" dataBound="0" tableColumnId="3326"/>
      <queryTableField id="13067" dataBound="0" tableColumnId="3327"/>
      <queryTableField id="13066" dataBound="0" tableColumnId="3328"/>
      <queryTableField id="13065" dataBound="0" tableColumnId="3329"/>
      <queryTableField id="13064" dataBound="0" tableColumnId="3330"/>
      <queryTableField id="13063" dataBound="0" tableColumnId="3331"/>
      <queryTableField id="13062" dataBound="0" tableColumnId="3332"/>
      <queryTableField id="13061" dataBound="0" tableColumnId="3333"/>
      <queryTableField id="13060" dataBound="0" tableColumnId="3334"/>
      <queryTableField id="13059" dataBound="0" tableColumnId="3335"/>
      <queryTableField id="13058" dataBound="0" tableColumnId="3336"/>
      <queryTableField id="13057" dataBound="0" tableColumnId="3337"/>
      <queryTableField id="13056" dataBound="0" tableColumnId="3338"/>
      <queryTableField id="13055" dataBound="0" tableColumnId="3339"/>
      <queryTableField id="13054" dataBound="0" tableColumnId="3340"/>
      <queryTableField id="13053" dataBound="0" tableColumnId="3341"/>
      <queryTableField id="13052" dataBound="0" tableColumnId="3342"/>
      <queryTableField id="13051" dataBound="0" tableColumnId="3343"/>
      <queryTableField id="13050" dataBound="0" tableColumnId="3344"/>
      <queryTableField id="13049" dataBound="0" tableColumnId="3345"/>
      <queryTableField id="13048" dataBound="0" tableColumnId="3346"/>
      <queryTableField id="13047" dataBound="0" tableColumnId="3347"/>
      <queryTableField id="13046" dataBound="0" tableColumnId="3348"/>
      <queryTableField id="13045" dataBound="0" tableColumnId="3349"/>
      <queryTableField id="13044" dataBound="0" tableColumnId="3350"/>
      <queryTableField id="13043" dataBound="0" tableColumnId="3351"/>
      <queryTableField id="13042" dataBound="0" tableColumnId="3352"/>
      <queryTableField id="13041" dataBound="0" tableColumnId="3353"/>
      <queryTableField id="13040" dataBound="0" tableColumnId="3354"/>
      <queryTableField id="13039" dataBound="0" tableColumnId="3355"/>
      <queryTableField id="13038" dataBound="0" tableColumnId="3356"/>
      <queryTableField id="13037" dataBound="0" tableColumnId="3357"/>
      <queryTableField id="13036" dataBound="0" tableColumnId="3358"/>
      <queryTableField id="13035" dataBound="0" tableColumnId="3359"/>
      <queryTableField id="13034" dataBound="0" tableColumnId="3360"/>
      <queryTableField id="13033" dataBound="0" tableColumnId="3361"/>
      <queryTableField id="13032" dataBound="0" tableColumnId="3362"/>
      <queryTableField id="13031" dataBound="0" tableColumnId="3363"/>
      <queryTableField id="13030" dataBound="0" tableColumnId="3364"/>
      <queryTableField id="13029" dataBound="0" tableColumnId="3365"/>
      <queryTableField id="13028" dataBound="0" tableColumnId="3366"/>
      <queryTableField id="13027" dataBound="0" tableColumnId="3367"/>
      <queryTableField id="13026" dataBound="0" tableColumnId="3368"/>
      <queryTableField id="13025" dataBound="0" tableColumnId="3369"/>
      <queryTableField id="13024" dataBound="0" tableColumnId="3370"/>
      <queryTableField id="13023" dataBound="0" tableColumnId="3371"/>
      <queryTableField id="13022" dataBound="0" tableColumnId="3372"/>
      <queryTableField id="13021" dataBound="0" tableColumnId="3373"/>
      <queryTableField id="13020" dataBound="0" tableColumnId="3374"/>
      <queryTableField id="13019" dataBound="0" tableColumnId="3375"/>
      <queryTableField id="13018" dataBound="0" tableColumnId="3376"/>
      <queryTableField id="13017" dataBound="0" tableColumnId="3377"/>
      <queryTableField id="13016" dataBound="0" tableColumnId="3378"/>
      <queryTableField id="13015" dataBound="0" tableColumnId="3379"/>
      <queryTableField id="13014" dataBound="0" tableColumnId="3380"/>
      <queryTableField id="13013" dataBound="0" tableColumnId="3381"/>
      <queryTableField id="13012" dataBound="0" tableColumnId="3382"/>
      <queryTableField id="13011" dataBound="0" tableColumnId="3383"/>
      <queryTableField id="13010" dataBound="0" tableColumnId="3384"/>
      <queryTableField id="13009" dataBound="0" tableColumnId="3385"/>
      <queryTableField id="13008" dataBound="0" tableColumnId="3386"/>
      <queryTableField id="13007" dataBound="0" tableColumnId="3387"/>
      <queryTableField id="13006" dataBound="0" tableColumnId="3388"/>
      <queryTableField id="13005" dataBound="0" tableColumnId="3389"/>
      <queryTableField id="13004" dataBound="0" tableColumnId="3390"/>
      <queryTableField id="13003" dataBound="0" tableColumnId="3391"/>
      <queryTableField id="13002" dataBound="0" tableColumnId="3392"/>
      <queryTableField id="13001" dataBound="0" tableColumnId="3393"/>
      <queryTableField id="13000" dataBound="0" tableColumnId="3394"/>
      <queryTableField id="12999" dataBound="0" tableColumnId="3395"/>
      <queryTableField id="12998" dataBound="0" tableColumnId="3396"/>
      <queryTableField id="12997" dataBound="0" tableColumnId="3397"/>
      <queryTableField id="12996" dataBound="0" tableColumnId="3398"/>
      <queryTableField id="12995" dataBound="0" tableColumnId="3399"/>
      <queryTableField id="12994" dataBound="0" tableColumnId="3400"/>
      <queryTableField id="12993" dataBound="0" tableColumnId="3401"/>
      <queryTableField id="12992" dataBound="0" tableColumnId="3402"/>
      <queryTableField id="12991" dataBound="0" tableColumnId="3403"/>
      <queryTableField id="12990" dataBound="0" tableColumnId="3404"/>
      <queryTableField id="12989" dataBound="0" tableColumnId="3405"/>
      <queryTableField id="12988" dataBound="0" tableColumnId="3406"/>
      <queryTableField id="12987" dataBound="0" tableColumnId="3407"/>
      <queryTableField id="12986" dataBound="0" tableColumnId="3408"/>
      <queryTableField id="12985" dataBound="0" tableColumnId="3409"/>
      <queryTableField id="12984" dataBound="0" tableColumnId="3410"/>
      <queryTableField id="12983" dataBound="0" tableColumnId="3411"/>
      <queryTableField id="12982" dataBound="0" tableColumnId="3412"/>
      <queryTableField id="12981" dataBound="0" tableColumnId="3413"/>
      <queryTableField id="12980" dataBound="0" tableColumnId="3414"/>
      <queryTableField id="12979" dataBound="0" tableColumnId="3415"/>
      <queryTableField id="12978" dataBound="0" tableColumnId="3416"/>
      <queryTableField id="12977" dataBound="0" tableColumnId="3417"/>
      <queryTableField id="12976" dataBound="0" tableColumnId="3418"/>
      <queryTableField id="12975" dataBound="0" tableColumnId="3419"/>
      <queryTableField id="12974" dataBound="0" tableColumnId="3420"/>
      <queryTableField id="12973" dataBound="0" tableColumnId="3421"/>
      <queryTableField id="12972" dataBound="0" tableColumnId="3422"/>
      <queryTableField id="12971" dataBound="0" tableColumnId="3423"/>
      <queryTableField id="12970" dataBound="0" tableColumnId="3424"/>
      <queryTableField id="12969" dataBound="0" tableColumnId="3425"/>
      <queryTableField id="12968" dataBound="0" tableColumnId="3426"/>
      <queryTableField id="12967" dataBound="0" tableColumnId="3427"/>
      <queryTableField id="12966" dataBound="0" tableColumnId="3428"/>
      <queryTableField id="12965" dataBound="0" tableColumnId="3429"/>
      <queryTableField id="12964" dataBound="0" tableColumnId="3430"/>
      <queryTableField id="12963" dataBound="0" tableColumnId="3431"/>
      <queryTableField id="12962" dataBound="0" tableColumnId="3432"/>
      <queryTableField id="12961" dataBound="0" tableColumnId="3433"/>
      <queryTableField id="12960" dataBound="0" tableColumnId="3434"/>
      <queryTableField id="12959" dataBound="0" tableColumnId="3435"/>
      <queryTableField id="12958" dataBound="0" tableColumnId="3436"/>
      <queryTableField id="12957" dataBound="0" tableColumnId="3437"/>
      <queryTableField id="12956" dataBound="0" tableColumnId="3438"/>
      <queryTableField id="12955" dataBound="0" tableColumnId="3439"/>
      <queryTableField id="12954" dataBound="0" tableColumnId="3440"/>
      <queryTableField id="12953" dataBound="0" tableColumnId="3441"/>
      <queryTableField id="12952" dataBound="0" tableColumnId="3442"/>
      <queryTableField id="12951" dataBound="0" tableColumnId="3443"/>
      <queryTableField id="12950" dataBound="0" tableColumnId="3444"/>
      <queryTableField id="12949" dataBound="0" tableColumnId="3445"/>
      <queryTableField id="12948" dataBound="0" tableColumnId="3446"/>
      <queryTableField id="12947" dataBound="0" tableColumnId="3447"/>
      <queryTableField id="12946" dataBound="0" tableColumnId="3448"/>
      <queryTableField id="12945" dataBound="0" tableColumnId="3449"/>
      <queryTableField id="12944" dataBound="0" tableColumnId="3450"/>
      <queryTableField id="12943" dataBound="0" tableColumnId="3451"/>
      <queryTableField id="12942" dataBound="0" tableColumnId="3452"/>
      <queryTableField id="12941" dataBound="0" tableColumnId="3453"/>
      <queryTableField id="12940" dataBound="0" tableColumnId="3454"/>
      <queryTableField id="12939" dataBound="0" tableColumnId="3455"/>
      <queryTableField id="12938" dataBound="0" tableColumnId="3456"/>
      <queryTableField id="12937" dataBound="0" tableColumnId="3457"/>
      <queryTableField id="12936" dataBound="0" tableColumnId="3458"/>
      <queryTableField id="12935" dataBound="0" tableColumnId="3459"/>
      <queryTableField id="12934" dataBound="0" tableColumnId="3460"/>
      <queryTableField id="12933" dataBound="0" tableColumnId="3461"/>
      <queryTableField id="12932" dataBound="0" tableColumnId="3462"/>
      <queryTableField id="12931" dataBound="0" tableColumnId="3463"/>
      <queryTableField id="12930" dataBound="0" tableColumnId="3464"/>
      <queryTableField id="12929" dataBound="0" tableColumnId="3465"/>
      <queryTableField id="12928" dataBound="0" tableColumnId="3466"/>
      <queryTableField id="12927" dataBound="0" tableColumnId="3467"/>
      <queryTableField id="12926" dataBound="0" tableColumnId="3468"/>
      <queryTableField id="12925" dataBound="0" tableColumnId="3469"/>
      <queryTableField id="12924" dataBound="0" tableColumnId="3470"/>
      <queryTableField id="12923" dataBound="0" tableColumnId="3471"/>
      <queryTableField id="12922" dataBound="0" tableColumnId="3472"/>
      <queryTableField id="12921" dataBound="0" tableColumnId="3473"/>
      <queryTableField id="12920" dataBound="0" tableColumnId="3474"/>
      <queryTableField id="12919" dataBound="0" tableColumnId="3475"/>
      <queryTableField id="12918" dataBound="0" tableColumnId="3476"/>
      <queryTableField id="12917" dataBound="0" tableColumnId="3477"/>
      <queryTableField id="12916" dataBound="0" tableColumnId="3478"/>
      <queryTableField id="12915" dataBound="0" tableColumnId="3479"/>
      <queryTableField id="12914" dataBound="0" tableColumnId="3480"/>
      <queryTableField id="12913" dataBound="0" tableColumnId="3481"/>
      <queryTableField id="12912" dataBound="0" tableColumnId="3482"/>
      <queryTableField id="12911" dataBound="0" tableColumnId="3483"/>
      <queryTableField id="12910" dataBound="0" tableColumnId="3484"/>
      <queryTableField id="12909" dataBound="0" tableColumnId="3485"/>
      <queryTableField id="12908" dataBound="0" tableColumnId="3486"/>
      <queryTableField id="12907" dataBound="0" tableColumnId="3487"/>
      <queryTableField id="12906" dataBound="0" tableColumnId="3488"/>
      <queryTableField id="12905" dataBound="0" tableColumnId="3489"/>
      <queryTableField id="12904" dataBound="0" tableColumnId="3490"/>
      <queryTableField id="12903" dataBound="0" tableColumnId="3491"/>
      <queryTableField id="12902" dataBound="0" tableColumnId="3492"/>
      <queryTableField id="12901" dataBound="0" tableColumnId="3493"/>
      <queryTableField id="12900" dataBound="0" tableColumnId="3494"/>
      <queryTableField id="12899" dataBound="0" tableColumnId="3495"/>
      <queryTableField id="12898" dataBound="0" tableColumnId="3496"/>
      <queryTableField id="12897" dataBound="0" tableColumnId="3497"/>
      <queryTableField id="12896" dataBound="0" tableColumnId="3498"/>
      <queryTableField id="12895" dataBound="0" tableColumnId="3499"/>
      <queryTableField id="12894" dataBound="0" tableColumnId="3500"/>
      <queryTableField id="12893" dataBound="0" tableColumnId="3501"/>
      <queryTableField id="12892" dataBound="0" tableColumnId="3502"/>
      <queryTableField id="12891" dataBound="0" tableColumnId="3503"/>
      <queryTableField id="12890" dataBound="0" tableColumnId="3504"/>
      <queryTableField id="12889" dataBound="0" tableColumnId="3505"/>
      <queryTableField id="12888" dataBound="0" tableColumnId="3506"/>
      <queryTableField id="12887" dataBound="0" tableColumnId="3507"/>
      <queryTableField id="12886" dataBound="0" tableColumnId="3508"/>
      <queryTableField id="12885" dataBound="0" tableColumnId="3509"/>
      <queryTableField id="12884" dataBound="0" tableColumnId="3510"/>
      <queryTableField id="12883" dataBound="0" tableColumnId="3511"/>
      <queryTableField id="12882" dataBound="0" tableColumnId="3512"/>
      <queryTableField id="12881" dataBound="0" tableColumnId="3513"/>
      <queryTableField id="12880" dataBound="0" tableColumnId="3514"/>
      <queryTableField id="12879" dataBound="0" tableColumnId="3515"/>
      <queryTableField id="12878" dataBound="0" tableColumnId="3516"/>
      <queryTableField id="12877" dataBound="0" tableColumnId="3517"/>
      <queryTableField id="12876" dataBound="0" tableColumnId="3518"/>
      <queryTableField id="12875" dataBound="0" tableColumnId="3519"/>
      <queryTableField id="12874" dataBound="0" tableColumnId="3520"/>
      <queryTableField id="12873" dataBound="0" tableColumnId="3521"/>
      <queryTableField id="12872" dataBound="0" tableColumnId="3522"/>
      <queryTableField id="12871" dataBound="0" tableColumnId="3523"/>
      <queryTableField id="12870" dataBound="0" tableColumnId="3524"/>
      <queryTableField id="12869" dataBound="0" tableColumnId="3525"/>
      <queryTableField id="12868" dataBound="0" tableColumnId="3526"/>
      <queryTableField id="12867" dataBound="0" tableColumnId="3527"/>
      <queryTableField id="12866" dataBound="0" tableColumnId="3528"/>
      <queryTableField id="12865" dataBound="0" tableColumnId="3529"/>
      <queryTableField id="12864" dataBound="0" tableColumnId="3530"/>
      <queryTableField id="12863" dataBound="0" tableColumnId="3531"/>
      <queryTableField id="12862" dataBound="0" tableColumnId="3532"/>
      <queryTableField id="12861" dataBound="0" tableColumnId="3533"/>
      <queryTableField id="12860" dataBound="0" tableColumnId="3534"/>
      <queryTableField id="12859" dataBound="0" tableColumnId="3535"/>
      <queryTableField id="12858" dataBound="0" tableColumnId="3536"/>
      <queryTableField id="12857" dataBound="0" tableColumnId="3537"/>
      <queryTableField id="12856" dataBound="0" tableColumnId="3538"/>
      <queryTableField id="12855" dataBound="0" tableColumnId="3539"/>
      <queryTableField id="12854" dataBound="0" tableColumnId="3540"/>
      <queryTableField id="12853" dataBound="0" tableColumnId="3541"/>
      <queryTableField id="12852" dataBound="0" tableColumnId="3542"/>
      <queryTableField id="12851" dataBound="0" tableColumnId="3543"/>
      <queryTableField id="12850" dataBound="0" tableColumnId="3544"/>
      <queryTableField id="12849" dataBound="0" tableColumnId="3545"/>
      <queryTableField id="12848" dataBound="0" tableColumnId="3546"/>
      <queryTableField id="12847" dataBound="0" tableColumnId="3547"/>
      <queryTableField id="12846" dataBound="0" tableColumnId="3548"/>
      <queryTableField id="12845" dataBound="0" tableColumnId="3549"/>
      <queryTableField id="12844" dataBound="0" tableColumnId="3550"/>
      <queryTableField id="12843" dataBound="0" tableColumnId="3551"/>
      <queryTableField id="12842" dataBound="0" tableColumnId="3552"/>
      <queryTableField id="12841" dataBound="0" tableColumnId="3553"/>
      <queryTableField id="12840" dataBound="0" tableColumnId="3554"/>
      <queryTableField id="12839" dataBound="0" tableColumnId="3555"/>
      <queryTableField id="12838" dataBound="0" tableColumnId="3556"/>
      <queryTableField id="12837" dataBound="0" tableColumnId="3557"/>
      <queryTableField id="12836" dataBound="0" tableColumnId="3558"/>
      <queryTableField id="12835" dataBound="0" tableColumnId="3559"/>
      <queryTableField id="12834" dataBound="0" tableColumnId="3560"/>
      <queryTableField id="12833" dataBound="0" tableColumnId="3561"/>
      <queryTableField id="12832" dataBound="0" tableColumnId="3562"/>
      <queryTableField id="12831" dataBound="0" tableColumnId="3563"/>
      <queryTableField id="12830" dataBound="0" tableColumnId="3564"/>
      <queryTableField id="12829" dataBound="0" tableColumnId="3565"/>
      <queryTableField id="12828" dataBound="0" tableColumnId="3566"/>
      <queryTableField id="12827" dataBound="0" tableColumnId="3567"/>
      <queryTableField id="12826" dataBound="0" tableColumnId="3568"/>
      <queryTableField id="12825" dataBound="0" tableColumnId="3569"/>
      <queryTableField id="12824" dataBound="0" tableColumnId="3570"/>
      <queryTableField id="12823" dataBound="0" tableColumnId="3571"/>
      <queryTableField id="12822" dataBound="0" tableColumnId="3572"/>
      <queryTableField id="12821" dataBound="0" tableColumnId="3573"/>
      <queryTableField id="12820" dataBound="0" tableColumnId="3574"/>
      <queryTableField id="12819" dataBound="0" tableColumnId="3575"/>
      <queryTableField id="12818" dataBound="0" tableColumnId="3576"/>
      <queryTableField id="12817" dataBound="0" tableColumnId="3577"/>
      <queryTableField id="12816" dataBound="0" tableColumnId="3578"/>
      <queryTableField id="12815" dataBound="0" tableColumnId="3579"/>
      <queryTableField id="12814" dataBound="0" tableColumnId="3580"/>
      <queryTableField id="12813" dataBound="0" tableColumnId="3581"/>
      <queryTableField id="12812" dataBound="0" tableColumnId="3582"/>
      <queryTableField id="12811" dataBound="0" tableColumnId="3583"/>
      <queryTableField id="12810" dataBound="0" tableColumnId="3584"/>
      <queryTableField id="12809" dataBound="0" tableColumnId="3585"/>
      <queryTableField id="12808" dataBound="0" tableColumnId="3586"/>
      <queryTableField id="12807" dataBound="0" tableColumnId="3587"/>
      <queryTableField id="12806" dataBound="0" tableColumnId="3588"/>
      <queryTableField id="12805" dataBound="0" tableColumnId="3589"/>
      <queryTableField id="12804" dataBound="0" tableColumnId="3590"/>
      <queryTableField id="12803" dataBound="0" tableColumnId="3591"/>
      <queryTableField id="12802" dataBound="0" tableColumnId="3592"/>
      <queryTableField id="12801" dataBound="0" tableColumnId="3593"/>
      <queryTableField id="12800" dataBound="0" tableColumnId="3594"/>
      <queryTableField id="12799" dataBound="0" tableColumnId="3595"/>
      <queryTableField id="12798" dataBound="0" tableColumnId="3596"/>
      <queryTableField id="12797" dataBound="0" tableColumnId="3597"/>
      <queryTableField id="12796" dataBound="0" tableColumnId="3598"/>
      <queryTableField id="12795" dataBound="0" tableColumnId="3599"/>
      <queryTableField id="12794" dataBound="0" tableColumnId="3600"/>
      <queryTableField id="12793" dataBound="0" tableColumnId="3601"/>
      <queryTableField id="12792" dataBound="0" tableColumnId="3602"/>
      <queryTableField id="12791" dataBound="0" tableColumnId="3603"/>
      <queryTableField id="12790" dataBound="0" tableColumnId="3604"/>
      <queryTableField id="12789" dataBound="0" tableColumnId="3605"/>
      <queryTableField id="12788" dataBound="0" tableColumnId="3606"/>
      <queryTableField id="12787" dataBound="0" tableColumnId="3607"/>
      <queryTableField id="12786" dataBound="0" tableColumnId="3608"/>
      <queryTableField id="12785" dataBound="0" tableColumnId="3609"/>
      <queryTableField id="12784" dataBound="0" tableColumnId="3610"/>
      <queryTableField id="12783" dataBound="0" tableColumnId="3611"/>
      <queryTableField id="12782" dataBound="0" tableColumnId="3612"/>
      <queryTableField id="12781" dataBound="0" tableColumnId="3613"/>
      <queryTableField id="12780" dataBound="0" tableColumnId="3614"/>
      <queryTableField id="12779" dataBound="0" tableColumnId="3615"/>
      <queryTableField id="12778" dataBound="0" tableColumnId="3616"/>
      <queryTableField id="12777" dataBound="0" tableColumnId="3617"/>
      <queryTableField id="12776" dataBound="0" tableColumnId="3618"/>
      <queryTableField id="12775" dataBound="0" tableColumnId="3619"/>
      <queryTableField id="12774" dataBound="0" tableColumnId="3620"/>
      <queryTableField id="12773" dataBound="0" tableColumnId="3621"/>
      <queryTableField id="12772" dataBound="0" tableColumnId="3622"/>
      <queryTableField id="12771" dataBound="0" tableColumnId="3623"/>
      <queryTableField id="12770" dataBound="0" tableColumnId="3624"/>
      <queryTableField id="12769" dataBound="0" tableColumnId="3625"/>
      <queryTableField id="12768" dataBound="0" tableColumnId="3626"/>
      <queryTableField id="12767" dataBound="0" tableColumnId="3627"/>
      <queryTableField id="12766" dataBound="0" tableColumnId="3628"/>
      <queryTableField id="12765" dataBound="0" tableColumnId="3629"/>
      <queryTableField id="12764" dataBound="0" tableColumnId="3630"/>
      <queryTableField id="12763" dataBound="0" tableColumnId="3631"/>
      <queryTableField id="12762" dataBound="0" tableColumnId="3632"/>
      <queryTableField id="12761" dataBound="0" tableColumnId="3633"/>
      <queryTableField id="12760" dataBound="0" tableColumnId="3634"/>
      <queryTableField id="12759" dataBound="0" tableColumnId="3635"/>
      <queryTableField id="12758" dataBound="0" tableColumnId="3636"/>
      <queryTableField id="12757" dataBound="0" tableColumnId="3637"/>
      <queryTableField id="12756" dataBound="0" tableColumnId="3638"/>
      <queryTableField id="12755" dataBound="0" tableColumnId="3639"/>
      <queryTableField id="12754" dataBound="0" tableColumnId="3640"/>
      <queryTableField id="12753" dataBound="0" tableColumnId="3641"/>
      <queryTableField id="12752" dataBound="0" tableColumnId="3642"/>
      <queryTableField id="12751" dataBound="0" tableColumnId="3643"/>
      <queryTableField id="12750" dataBound="0" tableColumnId="3644"/>
      <queryTableField id="12749" dataBound="0" tableColumnId="3645"/>
      <queryTableField id="12748" dataBound="0" tableColumnId="3646"/>
      <queryTableField id="12747" dataBound="0" tableColumnId="3647"/>
      <queryTableField id="12746" dataBound="0" tableColumnId="3648"/>
      <queryTableField id="12745" dataBound="0" tableColumnId="3649"/>
      <queryTableField id="12744" dataBound="0" tableColumnId="3650"/>
      <queryTableField id="12743" dataBound="0" tableColumnId="3651"/>
      <queryTableField id="12742" dataBound="0" tableColumnId="3652"/>
      <queryTableField id="12741" dataBound="0" tableColumnId="3653"/>
      <queryTableField id="12740" dataBound="0" tableColumnId="3654"/>
      <queryTableField id="12739" dataBound="0" tableColumnId="3655"/>
      <queryTableField id="12738" dataBound="0" tableColumnId="3656"/>
      <queryTableField id="12737" dataBound="0" tableColumnId="3657"/>
      <queryTableField id="12736" dataBound="0" tableColumnId="3658"/>
      <queryTableField id="12735" dataBound="0" tableColumnId="3659"/>
      <queryTableField id="12734" dataBound="0" tableColumnId="3660"/>
      <queryTableField id="12733" dataBound="0" tableColumnId="3661"/>
      <queryTableField id="12732" dataBound="0" tableColumnId="3662"/>
      <queryTableField id="12731" dataBound="0" tableColumnId="3663"/>
      <queryTableField id="12730" dataBound="0" tableColumnId="3664"/>
      <queryTableField id="12729" dataBound="0" tableColumnId="3665"/>
      <queryTableField id="12728" dataBound="0" tableColumnId="3666"/>
      <queryTableField id="12727" dataBound="0" tableColumnId="3667"/>
      <queryTableField id="12726" dataBound="0" tableColumnId="3668"/>
      <queryTableField id="12725" dataBound="0" tableColumnId="3669"/>
      <queryTableField id="12724" dataBound="0" tableColumnId="3670"/>
      <queryTableField id="12723" dataBound="0" tableColumnId="3671"/>
      <queryTableField id="12722" dataBound="0" tableColumnId="3672"/>
      <queryTableField id="12721" dataBound="0" tableColumnId="3673"/>
      <queryTableField id="12720" dataBound="0" tableColumnId="3674"/>
      <queryTableField id="12719" dataBound="0" tableColumnId="3675"/>
      <queryTableField id="12718" dataBound="0" tableColumnId="3676"/>
      <queryTableField id="12717" dataBound="0" tableColumnId="3677"/>
      <queryTableField id="12716" dataBound="0" tableColumnId="3678"/>
      <queryTableField id="12715" dataBound="0" tableColumnId="3679"/>
      <queryTableField id="12714" dataBound="0" tableColumnId="3680"/>
      <queryTableField id="12713" dataBound="0" tableColumnId="3681"/>
      <queryTableField id="12712" dataBound="0" tableColumnId="3682"/>
      <queryTableField id="12711" dataBound="0" tableColumnId="3683"/>
      <queryTableField id="12710" dataBound="0" tableColumnId="3684"/>
      <queryTableField id="12709" dataBound="0" tableColumnId="3685"/>
      <queryTableField id="12708" dataBound="0" tableColumnId="3686"/>
      <queryTableField id="12707" dataBound="0" tableColumnId="3687"/>
      <queryTableField id="12706" dataBound="0" tableColumnId="3688"/>
      <queryTableField id="12705" dataBound="0" tableColumnId="3689"/>
      <queryTableField id="12704" dataBound="0" tableColumnId="3690"/>
      <queryTableField id="12703" dataBound="0" tableColumnId="3691"/>
      <queryTableField id="12702" dataBound="0" tableColumnId="3692"/>
      <queryTableField id="12701" dataBound="0" tableColumnId="3693"/>
      <queryTableField id="12700" dataBound="0" tableColumnId="3694"/>
      <queryTableField id="12699" dataBound="0" tableColumnId="3695"/>
      <queryTableField id="12698" dataBound="0" tableColumnId="3696"/>
      <queryTableField id="12697" dataBound="0" tableColumnId="3697"/>
      <queryTableField id="12696" dataBound="0" tableColumnId="3698"/>
      <queryTableField id="12695" dataBound="0" tableColumnId="3699"/>
      <queryTableField id="12694" dataBound="0" tableColumnId="3700"/>
      <queryTableField id="12693" dataBound="0" tableColumnId="3701"/>
      <queryTableField id="12692" dataBound="0" tableColumnId="3702"/>
      <queryTableField id="12691" dataBound="0" tableColumnId="3703"/>
      <queryTableField id="12690" dataBound="0" tableColumnId="3704"/>
      <queryTableField id="12689" dataBound="0" tableColumnId="3705"/>
      <queryTableField id="12688" dataBound="0" tableColumnId="3706"/>
      <queryTableField id="12687" dataBound="0" tableColumnId="3707"/>
      <queryTableField id="12686" dataBound="0" tableColumnId="3708"/>
      <queryTableField id="12685" dataBound="0" tableColumnId="3709"/>
      <queryTableField id="12684" dataBound="0" tableColumnId="3710"/>
      <queryTableField id="12683" dataBound="0" tableColumnId="3711"/>
      <queryTableField id="12682" dataBound="0" tableColumnId="3712"/>
      <queryTableField id="12681" dataBound="0" tableColumnId="3713"/>
      <queryTableField id="12680" dataBound="0" tableColumnId="3714"/>
      <queryTableField id="12679" dataBound="0" tableColumnId="3715"/>
      <queryTableField id="12678" dataBound="0" tableColumnId="3716"/>
      <queryTableField id="12677" dataBound="0" tableColumnId="3717"/>
      <queryTableField id="12676" dataBound="0" tableColumnId="3718"/>
      <queryTableField id="12675" dataBound="0" tableColumnId="3719"/>
      <queryTableField id="12674" dataBound="0" tableColumnId="3720"/>
      <queryTableField id="12673" dataBound="0" tableColumnId="3721"/>
      <queryTableField id="12672" dataBound="0" tableColumnId="3722"/>
      <queryTableField id="12671" dataBound="0" tableColumnId="3723"/>
      <queryTableField id="12670" dataBound="0" tableColumnId="3724"/>
      <queryTableField id="12669" dataBound="0" tableColumnId="3725"/>
      <queryTableField id="12668" dataBound="0" tableColumnId="3726"/>
      <queryTableField id="12667" dataBound="0" tableColumnId="3727"/>
      <queryTableField id="12666" dataBound="0" tableColumnId="3728"/>
      <queryTableField id="12665" dataBound="0" tableColumnId="3729"/>
      <queryTableField id="12664" dataBound="0" tableColumnId="3730"/>
      <queryTableField id="12663" dataBound="0" tableColumnId="3731"/>
      <queryTableField id="12662" dataBound="0" tableColumnId="3732"/>
      <queryTableField id="12661" dataBound="0" tableColumnId="3733"/>
      <queryTableField id="12660" dataBound="0" tableColumnId="3734"/>
      <queryTableField id="12659" dataBound="0" tableColumnId="3735"/>
      <queryTableField id="12658" dataBound="0" tableColumnId="3736"/>
      <queryTableField id="12657" dataBound="0" tableColumnId="3737"/>
      <queryTableField id="12656" dataBound="0" tableColumnId="3738"/>
      <queryTableField id="12655" dataBound="0" tableColumnId="3739"/>
      <queryTableField id="12654" dataBound="0" tableColumnId="3740"/>
      <queryTableField id="12653" dataBound="0" tableColumnId="3741"/>
      <queryTableField id="12652" dataBound="0" tableColumnId="3742"/>
      <queryTableField id="12651" dataBound="0" tableColumnId="3743"/>
      <queryTableField id="12650" dataBound="0" tableColumnId="3744"/>
      <queryTableField id="12649" dataBound="0" tableColumnId="3745"/>
      <queryTableField id="12648" dataBound="0" tableColumnId="3746"/>
      <queryTableField id="12647" dataBound="0" tableColumnId="3747"/>
      <queryTableField id="12646" dataBound="0" tableColumnId="3748"/>
      <queryTableField id="12645" dataBound="0" tableColumnId="3749"/>
      <queryTableField id="12644" dataBound="0" tableColumnId="3750"/>
      <queryTableField id="12643" dataBound="0" tableColumnId="3751"/>
      <queryTableField id="12642" dataBound="0" tableColumnId="3752"/>
      <queryTableField id="12641" dataBound="0" tableColumnId="3753"/>
      <queryTableField id="12640" dataBound="0" tableColumnId="3754"/>
      <queryTableField id="12639" dataBound="0" tableColumnId="3755"/>
      <queryTableField id="12638" dataBound="0" tableColumnId="3756"/>
      <queryTableField id="12637" dataBound="0" tableColumnId="3757"/>
      <queryTableField id="12636" dataBound="0" tableColumnId="3758"/>
      <queryTableField id="12635" dataBound="0" tableColumnId="3759"/>
      <queryTableField id="12634" dataBound="0" tableColumnId="3760"/>
      <queryTableField id="12633" dataBound="0" tableColumnId="3761"/>
      <queryTableField id="12632" dataBound="0" tableColumnId="3762"/>
      <queryTableField id="12631" dataBound="0" tableColumnId="3763"/>
      <queryTableField id="12630" dataBound="0" tableColumnId="3764"/>
      <queryTableField id="12629" dataBound="0" tableColumnId="3765"/>
      <queryTableField id="12628" dataBound="0" tableColumnId="3766"/>
      <queryTableField id="12627" dataBound="0" tableColumnId="3767"/>
      <queryTableField id="12626" dataBound="0" tableColumnId="3768"/>
      <queryTableField id="12625" dataBound="0" tableColumnId="3769"/>
      <queryTableField id="12624" dataBound="0" tableColumnId="3770"/>
      <queryTableField id="12623" dataBound="0" tableColumnId="3771"/>
      <queryTableField id="12622" dataBound="0" tableColumnId="3772"/>
      <queryTableField id="12621" dataBound="0" tableColumnId="3773"/>
      <queryTableField id="12620" dataBound="0" tableColumnId="3774"/>
      <queryTableField id="12619" dataBound="0" tableColumnId="3775"/>
      <queryTableField id="12618" dataBound="0" tableColumnId="3776"/>
      <queryTableField id="12617" dataBound="0" tableColumnId="3777"/>
      <queryTableField id="12616" dataBound="0" tableColumnId="3778"/>
      <queryTableField id="12615" dataBound="0" tableColumnId="3779"/>
      <queryTableField id="12614" dataBound="0" tableColumnId="3780"/>
      <queryTableField id="12613" dataBound="0" tableColumnId="3781"/>
      <queryTableField id="12612" dataBound="0" tableColumnId="3782"/>
      <queryTableField id="12611" dataBound="0" tableColumnId="3783"/>
      <queryTableField id="12610" dataBound="0" tableColumnId="3784"/>
      <queryTableField id="12609" dataBound="0" tableColumnId="3785"/>
      <queryTableField id="12608" dataBound="0" tableColumnId="3786"/>
      <queryTableField id="12607" dataBound="0" tableColumnId="3787"/>
      <queryTableField id="12606" dataBound="0" tableColumnId="3788"/>
      <queryTableField id="12605" dataBound="0" tableColumnId="3789"/>
      <queryTableField id="12604" dataBound="0" tableColumnId="3790"/>
      <queryTableField id="12603" dataBound="0" tableColumnId="3791"/>
      <queryTableField id="12602" dataBound="0" tableColumnId="3792"/>
      <queryTableField id="12601" dataBound="0" tableColumnId="3793"/>
      <queryTableField id="12600" dataBound="0" tableColumnId="3794"/>
      <queryTableField id="12599" dataBound="0" tableColumnId="3795"/>
      <queryTableField id="12598" dataBound="0" tableColumnId="3796"/>
      <queryTableField id="12597" dataBound="0" tableColumnId="3797"/>
      <queryTableField id="12596" dataBound="0" tableColumnId="3798"/>
      <queryTableField id="12595" dataBound="0" tableColumnId="3799"/>
      <queryTableField id="12594" dataBound="0" tableColumnId="3800"/>
      <queryTableField id="12593" dataBound="0" tableColumnId="3801"/>
      <queryTableField id="12592" dataBound="0" tableColumnId="3802"/>
      <queryTableField id="12591" dataBound="0" tableColumnId="3803"/>
      <queryTableField id="12590" dataBound="0" tableColumnId="3804"/>
      <queryTableField id="12589" dataBound="0" tableColumnId="3805"/>
      <queryTableField id="12588" dataBound="0" tableColumnId="3806"/>
      <queryTableField id="12587" dataBound="0" tableColumnId="3807"/>
      <queryTableField id="12586" dataBound="0" tableColumnId="3808"/>
      <queryTableField id="12585" dataBound="0" tableColumnId="3809"/>
      <queryTableField id="12584" dataBound="0" tableColumnId="3810"/>
      <queryTableField id="12583" dataBound="0" tableColumnId="3811"/>
      <queryTableField id="12582" dataBound="0" tableColumnId="3812"/>
      <queryTableField id="12581" dataBound="0" tableColumnId="3813"/>
      <queryTableField id="12580" dataBound="0" tableColumnId="3814"/>
      <queryTableField id="12579" dataBound="0" tableColumnId="3815"/>
      <queryTableField id="12578" dataBound="0" tableColumnId="3816"/>
      <queryTableField id="12577" dataBound="0" tableColumnId="3817"/>
      <queryTableField id="12576" dataBound="0" tableColumnId="3818"/>
      <queryTableField id="12575" dataBound="0" tableColumnId="3819"/>
      <queryTableField id="12574" dataBound="0" tableColumnId="3820"/>
      <queryTableField id="12573" dataBound="0" tableColumnId="3821"/>
      <queryTableField id="12572" dataBound="0" tableColumnId="3822"/>
      <queryTableField id="12571" dataBound="0" tableColumnId="3823"/>
      <queryTableField id="12570" dataBound="0" tableColumnId="3824"/>
      <queryTableField id="12569" dataBound="0" tableColumnId="3825"/>
      <queryTableField id="12568" dataBound="0" tableColumnId="3826"/>
      <queryTableField id="12567" dataBound="0" tableColumnId="3827"/>
      <queryTableField id="12566" dataBound="0" tableColumnId="3828"/>
      <queryTableField id="12565" dataBound="0" tableColumnId="3829"/>
      <queryTableField id="12564" dataBound="0" tableColumnId="3830"/>
      <queryTableField id="12563" dataBound="0" tableColumnId="3831"/>
      <queryTableField id="12562" dataBound="0" tableColumnId="3832"/>
      <queryTableField id="12561" dataBound="0" tableColumnId="3833"/>
      <queryTableField id="12560" dataBound="0" tableColumnId="3834"/>
      <queryTableField id="12559" dataBound="0" tableColumnId="3835"/>
      <queryTableField id="12558" dataBound="0" tableColumnId="3836"/>
      <queryTableField id="12557" dataBound="0" tableColumnId="3837"/>
      <queryTableField id="12556" dataBound="0" tableColumnId="3838"/>
      <queryTableField id="12555" dataBound="0" tableColumnId="3839"/>
      <queryTableField id="12554" dataBound="0" tableColumnId="3840"/>
      <queryTableField id="12553" dataBound="0" tableColumnId="3841"/>
      <queryTableField id="12552" dataBound="0" tableColumnId="3842"/>
      <queryTableField id="12551" dataBound="0" tableColumnId="3843"/>
      <queryTableField id="12550" dataBound="0" tableColumnId="3844"/>
      <queryTableField id="12549" dataBound="0" tableColumnId="3845"/>
      <queryTableField id="12548" dataBound="0" tableColumnId="3846"/>
      <queryTableField id="12547" dataBound="0" tableColumnId="3847"/>
      <queryTableField id="12546" dataBound="0" tableColumnId="3848"/>
      <queryTableField id="12545" dataBound="0" tableColumnId="3849"/>
      <queryTableField id="12544" dataBound="0" tableColumnId="3850"/>
      <queryTableField id="12543" dataBound="0" tableColumnId="3851"/>
      <queryTableField id="12542" dataBound="0" tableColumnId="3852"/>
      <queryTableField id="12541" dataBound="0" tableColumnId="3853"/>
      <queryTableField id="12540" dataBound="0" tableColumnId="3854"/>
      <queryTableField id="12539" dataBound="0" tableColumnId="3855"/>
      <queryTableField id="12538" dataBound="0" tableColumnId="3856"/>
      <queryTableField id="12537" dataBound="0" tableColumnId="3857"/>
      <queryTableField id="12536" dataBound="0" tableColumnId="3858"/>
      <queryTableField id="12535" dataBound="0" tableColumnId="3859"/>
      <queryTableField id="12534" dataBound="0" tableColumnId="3860"/>
      <queryTableField id="12533" dataBound="0" tableColumnId="3861"/>
      <queryTableField id="12532" dataBound="0" tableColumnId="3862"/>
      <queryTableField id="12531" dataBound="0" tableColumnId="3863"/>
      <queryTableField id="12530" dataBound="0" tableColumnId="3864"/>
      <queryTableField id="12529" dataBound="0" tableColumnId="3865"/>
      <queryTableField id="12528" dataBound="0" tableColumnId="3866"/>
      <queryTableField id="12527" dataBound="0" tableColumnId="3867"/>
      <queryTableField id="12526" dataBound="0" tableColumnId="3868"/>
      <queryTableField id="12525" dataBound="0" tableColumnId="3869"/>
      <queryTableField id="12524" dataBound="0" tableColumnId="3870"/>
      <queryTableField id="12523" dataBound="0" tableColumnId="3871"/>
      <queryTableField id="12522" dataBound="0" tableColumnId="3872"/>
      <queryTableField id="12521" dataBound="0" tableColumnId="3873"/>
      <queryTableField id="12520" dataBound="0" tableColumnId="3874"/>
      <queryTableField id="12519" dataBound="0" tableColumnId="3875"/>
      <queryTableField id="12518" dataBound="0" tableColumnId="3876"/>
      <queryTableField id="12517" dataBound="0" tableColumnId="3877"/>
      <queryTableField id="12516" dataBound="0" tableColumnId="3878"/>
      <queryTableField id="12515" dataBound="0" tableColumnId="3879"/>
      <queryTableField id="12514" dataBound="0" tableColumnId="3880"/>
      <queryTableField id="12513" dataBound="0" tableColumnId="3881"/>
      <queryTableField id="12512" dataBound="0" tableColumnId="3882"/>
      <queryTableField id="12511" dataBound="0" tableColumnId="3883"/>
      <queryTableField id="12510" dataBound="0" tableColumnId="3884"/>
      <queryTableField id="12509" dataBound="0" tableColumnId="3885"/>
      <queryTableField id="12508" dataBound="0" tableColumnId="3886"/>
      <queryTableField id="12507" dataBound="0" tableColumnId="3887"/>
      <queryTableField id="12506" dataBound="0" tableColumnId="3888"/>
      <queryTableField id="12505" dataBound="0" tableColumnId="3889"/>
      <queryTableField id="12504" dataBound="0" tableColumnId="3890"/>
      <queryTableField id="12503" dataBound="0" tableColumnId="3891"/>
      <queryTableField id="12502" dataBound="0" tableColumnId="3892"/>
      <queryTableField id="12501" dataBound="0" tableColumnId="3893"/>
      <queryTableField id="12500" dataBound="0" tableColumnId="3894"/>
      <queryTableField id="12499" dataBound="0" tableColumnId="3895"/>
      <queryTableField id="12498" dataBound="0" tableColumnId="3896"/>
      <queryTableField id="12497" dataBound="0" tableColumnId="3897"/>
      <queryTableField id="12496" dataBound="0" tableColumnId="3898"/>
      <queryTableField id="12495" dataBound="0" tableColumnId="3899"/>
      <queryTableField id="12494" dataBound="0" tableColumnId="3900"/>
      <queryTableField id="12493" dataBound="0" tableColumnId="3901"/>
      <queryTableField id="12492" dataBound="0" tableColumnId="3902"/>
      <queryTableField id="12491" dataBound="0" tableColumnId="3903"/>
      <queryTableField id="12490" dataBound="0" tableColumnId="3904"/>
      <queryTableField id="12489" dataBound="0" tableColumnId="3905"/>
      <queryTableField id="12488" dataBound="0" tableColumnId="3906"/>
      <queryTableField id="12487" dataBound="0" tableColumnId="3907"/>
      <queryTableField id="12486" dataBound="0" tableColumnId="3908"/>
      <queryTableField id="12485" dataBound="0" tableColumnId="3909"/>
      <queryTableField id="12484" dataBound="0" tableColumnId="3910"/>
      <queryTableField id="12483" dataBound="0" tableColumnId="3911"/>
      <queryTableField id="12482" dataBound="0" tableColumnId="3912"/>
      <queryTableField id="12481" dataBound="0" tableColumnId="3913"/>
      <queryTableField id="12480" dataBound="0" tableColumnId="3914"/>
      <queryTableField id="12479" dataBound="0" tableColumnId="3915"/>
      <queryTableField id="12478" dataBound="0" tableColumnId="3916"/>
      <queryTableField id="12477" dataBound="0" tableColumnId="3917"/>
      <queryTableField id="12476" dataBound="0" tableColumnId="3918"/>
      <queryTableField id="12475" dataBound="0" tableColumnId="3919"/>
      <queryTableField id="12474" dataBound="0" tableColumnId="3920"/>
      <queryTableField id="12473" dataBound="0" tableColumnId="3921"/>
      <queryTableField id="12472" dataBound="0" tableColumnId="3922"/>
      <queryTableField id="12471" dataBound="0" tableColumnId="3923"/>
      <queryTableField id="12470" dataBound="0" tableColumnId="3924"/>
      <queryTableField id="12469" dataBound="0" tableColumnId="3925"/>
      <queryTableField id="12468" dataBound="0" tableColumnId="3926"/>
      <queryTableField id="12467" dataBound="0" tableColumnId="3927"/>
      <queryTableField id="12466" dataBound="0" tableColumnId="3928"/>
      <queryTableField id="12465" dataBound="0" tableColumnId="3929"/>
      <queryTableField id="12464" dataBound="0" tableColumnId="3930"/>
      <queryTableField id="12463" dataBound="0" tableColumnId="3931"/>
      <queryTableField id="12462" dataBound="0" tableColumnId="3932"/>
      <queryTableField id="12461" dataBound="0" tableColumnId="3933"/>
      <queryTableField id="12460" dataBound="0" tableColumnId="3934"/>
      <queryTableField id="12459" dataBound="0" tableColumnId="3935"/>
      <queryTableField id="12458" dataBound="0" tableColumnId="3936"/>
      <queryTableField id="12457" dataBound="0" tableColumnId="3937"/>
      <queryTableField id="12456" dataBound="0" tableColumnId="3938"/>
      <queryTableField id="12455" dataBound="0" tableColumnId="3939"/>
      <queryTableField id="12454" dataBound="0" tableColumnId="3940"/>
      <queryTableField id="12453" dataBound="0" tableColumnId="3941"/>
      <queryTableField id="12452" dataBound="0" tableColumnId="3942"/>
      <queryTableField id="12451" dataBound="0" tableColumnId="3943"/>
      <queryTableField id="12450" dataBound="0" tableColumnId="3944"/>
      <queryTableField id="12449" dataBound="0" tableColumnId="3945"/>
      <queryTableField id="12448" dataBound="0" tableColumnId="3946"/>
      <queryTableField id="12447" dataBound="0" tableColumnId="3947"/>
      <queryTableField id="12446" dataBound="0" tableColumnId="3948"/>
      <queryTableField id="12445" dataBound="0" tableColumnId="3949"/>
      <queryTableField id="12444" dataBound="0" tableColumnId="3950"/>
      <queryTableField id="12443" dataBound="0" tableColumnId="3951"/>
      <queryTableField id="12442" dataBound="0" tableColumnId="3952"/>
      <queryTableField id="12441" dataBound="0" tableColumnId="3953"/>
      <queryTableField id="12440" dataBound="0" tableColumnId="3954"/>
      <queryTableField id="12439" dataBound="0" tableColumnId="3955"/>
      <queryTableField id="12438" dataBound="0" tableColumnId="3956"/>
      <queryTableField id="12437" dataBound="0" tableColumnId="3957"/>
      <queryTableField id="12436" dataBound="0" tableColumnId="3958"/>
      <queryTableField id="12435" dataBound="0" tableColumnId="3959"/>
      <queryTableField id="12434" dataBound="0" tableColumnId="3960"/>
      <queryTableField id="12433" dataBound="0" tableColumnId="3961"/>
      <queryTableField id="12432" dataBound="0" tableColumnId="3962"/>
      <queryTableField id="12431" dataBound="0" tableColumnId="3963"/>
      <queryTableField id="12430" dataBound="0" tableColumnId="3964"/>
      <queryTableField id="12429" dataBound="0" tableColumnId="3965"/>
      <queryTableField id="12428" dataBound="0" tableColumnId="3966"/>
      <queryTableField id="12427" dataBound="0" tableColumnId="3967"/>
      <queryTableField id="12426" dataBound="0" tableColumnId="3968"/>
      <queryTableField id="12425" dataBound="0" tableColumnId="3969"/>
      <queryTableField id="12424" dataBound="0" tableColumnId="3970"/>
      <queryTableField id="12423" dataBound="0" tableColumnId="3971"/>
      <queryTableField id="12422" dataBound="0" tableColumnId="3972"/>
      <queryTableField id="12421" dataBound="0" tableColumnId="3973"/>
      <queryTableField id="12420" dataBound="0" tableColumnId="3974"/>
      <queryTableField id="12419" dataBound="0" tableColumnId="3975"/>
      <queryTableField id="12418" dataBound="0" tableColumnId="3976"/>
      <queryTableField id="12417" dataBound="0" tableColumnId="3977"/>
      <queryTableField id="12416" dataBound="0" tableColumnId="3978"/>
      <queryTableField id="12415" dataBound="0" tableColumnId="3979"/>
      <queryTableField id="12414" dataBound="0" tableColumnId="3980"/>
      <queryTableField id="12413" dataBound="0" tableColumnId="3981"/>
      <queryTableField id="12412" dataBound="0" tableColumnId="3982"/>
      <queryTableField id="12411" dataBound="0" tableColumnId="3983"/>
      <queryTableField id="12410" dataBound="0" tableColumnId="3984"/>
      <queryTableField id="12409" dataBound="0" tableColumnId="3985"/>
      <queryTableField id="12408" dataBound="0" tableColumnId="3986"/>
      <queryTableField id="12407" dataBound="0" tableColumnId="3987"/>
      <queryTableField id="12406" dataBound="0" tableColumnId="3988"/>
      <queryTableField id="12405" dataBound="0" tableColumnId="3989"/>
      <queryTableField id="12404" dataBound="0" tableColumnId="3990"/>
      <queryTableField id="12403" dataBound="0" tableColumnId="3991"/>
      <queryTableField id="12402" dataBound="0" tableColumnId="3992"/>
      <queryTableField id="12401" dataBound="0" tableColumnId="3993"/>
      <queryTableField id="12400" dataBound="0" tableColumnId="3994"/>
      <queryTableField id="12399" dataBound="0" tableColumnId="3995"/>
      <queryTableField id="12398" dataBound="0" tableColumnId="3996"/>
      <queryTableField id="12397" dataBound="0" tableColumnId="3997"/>
      <queryTableField id="12396" dataBound="0" tableColumnId="3998"/>
      <queryTableField id="12395" dataBound="0" tableColumnId="3999"/>
      <queryTableField id="12394" dataBound="0" tableColumnId="4000"/>
      <queryTableField id="12393" dataBound="0" tableColumnId="4001"/>
      <queryTableField id="12392" dataBound="0" tableColumnId="4002"/>
      <queryTableField id="12391" dataBound="0" tableColumnId="4003"/>
      <queryTableField id="12390" dataBound="0" tableColumnId="4004"/>
      <queryTableField id="12389" dataBound="0" tableColumnId="4005"/>
      <queryTableField id="12388" dataBound="0" tableColumnId="4006"/>
      <queryTableField id="12387" dataBound="0" tableColumnId="4007"/>
      <queryTableField id="12386" dataBound="0" tableColumnId="4008"/>
      <queryTableField id="12385" dataBound="0" tableColumnId="4009"/>
      <queryTableField id="12384" dataBound="0" tableColumnId="4010"/>
      <queryTableField id="12383" dataBound="0" tableColumnId="4011"/>
      <queryTableField id="12382" dataBound="0" tableColumnId="4012"/>
      <queryTableField id="12381" dataBound="0" tableColumnId="4013"/>
      <queryTableField id="12380" dataBound="0" tableColumnId="4014"/>
      <queryTableField id="12379" dataBound="0" tableColumnId="4015"/>
      <queryTableField id="12378" dataBound="0" tableColumnId="4016"/>
      <queryTableField id="12377" dataBound="0" tableColumnId="4017"/>
      <queryTableField id="12376" dataBound="0" tableColumnId="4018"/>
      <queryTableField id="12375" dataBound="0" tableColumnId="4019"/>
      <queryTableField id="12374" dataBound="0" tableColumnId="4020"/>
      <queryTableField id="12373" dataBound="0" tableColumnId="4021"/>
      <queryTableField id="12372" dataBound="0" tableColumnId="4022"/>
      <queryTableField id="12371" dataBound="0" tableColumnId="4023"/>
      <queryTableField id="12370" dataBound="0" tableColumnId="4024"/>
      <queryTableField id="12369" dataBound="0" tableColumnId="4025"/>
      <queryTableField id="12368" dataBound="0" tableColumnId="4026"/>
      <queryTableField id="12367" dataBound="0" tableColumnId="4027"/>
      <queryTableField id="12366" dataBound="0" tableColumnId="4028"/>
      <queryTableField id="12365" dataBound="0" tableColumnId="4029"/>
      <queryTableField id="12364" dataBound="0" tableColumnId="4030"/>
      <queryTableField id="12363" dataBound="0" tableColumnId="4031"/>
      <queryTableField id="12362" dataBound="0" tableColumnId="4032"/>
      <queryTableField id="12361" dataBound="0" tableColumnId="4033"/>
      <queryTableField id="12360" dataBound="0" tableColumnId="4034"/>
      <queryTableField id="12359" dataBound="0" tableColumnId="4035"/>
      <queryTableField id="12358" dataBound="0" tableColumnId="4036"/>
      <queryTableField id="12357" dataBound="0" tableColumnId="4037"/>
      <queryTableField id="12356" dataBound="0" tableColumnId="4038"/>
      <queryTableField id="12355" dataBound="0" tableColumnId="4039"/>
      <queryTableField id="12354" dataBound="0" tableColumnId="4040"/>
      <queryTableField id="12353" dataBound="0" tableColumnId="4041"/>
      <queryTableField id="12352" dataBound="0" tableColumnId="4042"/>
      <queryTableField id="12351" dataBound="0" tableColumnId="4043"/>
      <queryTableField id="12350" dataBound="0" tableColumnId="4044"/>
      <queryTableField id="12349" dataBound="0" tableColumnId="4045"/>
      <queryTableField id="12348" dataBound="0" tableColumnId="4046"/>
      <queryTableField id="12347" dataBound="0" tableColumnId="4047"/>
      <queryTableField id="12346" dataBound="0" tableColumnId="4048"/>
      <queryTableField id="12345" dataBound="0" tableColumnId="4049"/>
      <queryTableField id="12344" dataBound="0" tableColumnId="4050"/>
      <queryTableField id="12343" dataBound="0" tableColumnId="4051"/>
      <queryTableField id="12342" dataBound="0" tableColumnId="4052"/>
      <queryTableField id="12341" dataBound="0" tableColumnId="4053"/>
      <queryTableField id="12340" dataBound="0" tableColumnId="4054"/>
      <queryTableField id="12339" dataBound="0" tableColumnId="4055"/>
      <queryTableField id="12338" dataBound="0" tableColumnId="4056"/>
      <queryTableField id="12337" dataBound="0" tableColumnId="4057"/>
      <queryTableField id="12336" dataBound="0" tableColumnId="4058"/>
      <queryTableField id="12335" dataBound="0" tableColumnId="4059"/>
      <queryTableField id="12334" dataBound="0" tableColumnId="4060"/>
      <queryTableField id="12333" dataBound="0" tableColumnId="4061"/>
      <queryTableField id="12332" dataBound="0" tableColumnId="4062"/>
      <queryTableField id="12331" dataBound="0" tableColumnId="4063"/>
      <queryTableField id="12330" dataBound="0" tableColumnId="4064"/>
      <queryTableField id="12329" dataBound="0" tableColumnId="4065"/>
      <queryTableField id="12328" dataBound="0" tableColumnId="4066"/>
      <queryTableField id="12327" dataBound="0" tableColumnId="4067"/>
      <queryTableField id="12326" dataBound="0" tableColumnId="4068"/>
      <queryTableField id="12325" dataBound="0" tableColumnId="4069"/>
      <queryTableField id="12324" dataBound="0" tableColumnId="4070"/>
      <queryTableField id="12323" dataBound="0" tableColumnId="4071"/>
      <queryTableField id="12322" dataBound="0" tableColumnId="4072"/>
      <queryTableField id="12321" dataBound="0" tableColumnId="4073"/>
      <queryTableField id="12320" dataBound="0" tableColumnId="4074"/>
      <queryTableField id="12319" dataBound="0" tableColumnId="4075"/>
      <queryTableField id="12318" dataBound="0" tableColumnId="4076"/>
      <queryTableField id="12317" dataBound="0" tableColumnId="4077"/>
      <queryTableField id="12316" dataBound="0" tableColumnId="4078"/>
      <queryTableField id="12315" dataBound="0" tableColumnId="4079"/>
      <queryTableField id="12314" dataBound="0" tableColumnId="4080"/>
      <queryTableField id="12313" dataBound="0" tableColumnId="4081"/>
      <queryTableField id="12312" dataBound="0" tableColumnId="4082"/>
      <queryTableField id="12311" dataBound="0" tableColumnId="4083"/>
      <queryTableField id="12310" dataBound="0" tableColumnId="4084"/>
      <queryTableField id="12309" dataBound="0" tableColumnId="4085"/>
      <queryTableField id="12308" dataBound="0" tableColumnId="4086"/>
      <queryTableField id="12307" dataBound="0" tableColumnId="4087"/>
      <queryTableField id="12306" dataBound="0" tableColumnId="4088"/>
      <queryTableField id="12305" dataBound="0" tableColumnId="4089"/>
      <queryTableField id="12304" dataBound="0" tableColumnId="4090"/>
      <queryTableField id="12303" dataBound="0" tableColumnId="4091"/>
      <queryTableField id="12302" dataBound="0" tableColumnId="4092"/>
      <queryTableField id="12301" dataBound="0" tableColumnId="4093"/>
      <queryTableField id="12300" dataBound="0" tableColumnId="4094"/>
      <queryTableField id="12299" dataBound="0" tableColumnId="4095"/>
      <queryTableField id="12298" dataBound="0" tableColumnId="4096"/>
      <queryTableField id="12297" dataBound="0" tableColumnId="4097"/>
      <queryTableField id="12296" dataBound="0" tableColumnId="4098"/>
      <queryTableField id="12295" dataBound="0" tableColumnId="4099"/>
      <queryTableField id="12294" dataBound="0" tableColumnId="4100"/>
      <queryTableField id="12293" dataBound="0" tableColumnId="4101"/>
      <queryTableField id="12292" dataBound="0" tableColumnId="4102"/>
      <queryTableField id="12291" dataBound="0" tableColumnId="4103"/>
      <queryTableField id="12290" dataBound="0" tableColumnId="4104"/>
      <queryTableField id="12289" dataBound="0" tableColumnId="4105"/>
      <queryTableField id="12288" dataBound="0" tableColumnId="4106"/>
      <queryTableField id="12287" dataBound="0" tableColumnId="4107"/>
      <queryTableField id="12286" dataBound="0" tableColumnId="4108"/>
      <queryTableField id="12285" dataBound="0" tableColumnId="4109"/>
      <queryTableField id="12284" dataBound="0" tableColumnId="4110"/>
      <queryTableField id="12283" dataBound="0" tableColumnId="4111"/>
      <queryTableField id="12282" dataBound="0" tableColumnId="4112"/>
      <queryTableField id="12281" dataBound="0" tableColumnId="4113"/>
      <queryTableField id="12280" dataBound="0" tableColumnId="4114"/>
      <queryTableField id="12279" dataBound="0" tableColumnId="4115"/>
      <queryTableField id="12278" dataBound="0" tableColumnId="4116"/>
      <queryTableField id="12277" dataBound="0" tableColumnId="4117"/>
      <queryTableField id="12276" dataBound="0" tableColumnId="4118"/>
      <queryTableField id="12275" dataBound="0" tableColumnId="4119"/>
      <queryTableField id="12274" dataBound="0" tableColumnId="4120"/>
      <queryTableField id="12273" dataBound="0" tableColumnId="4121"/>
      <queryTableField id="12272" dataBound="0" tableColumnId="4122"/>
      <queryTableField id="12271" dataBound="0" tableColumnId="4123"/>
      <queryTableField id="12270" dataBound="0" tableColumnId="4124"/>
      <queryTableField id="12269" dataBound="0" tableColumnId="4125"/>
      <queryTableField id="12268" dataBound="0" tableColumnId="4126"/>
      <queryTableField id="12267" dataBound="0" tableColumnId="4127"/>
      <queryTableField id="12266" dataBound="0" tableColumnId="4128"/>
      <queryTableField id="12265" dataBound="0" tableColumnId="4129"/>
      <queryTableField id="12264" dataBound="0" tableColumnId="4130"/>
      <queryTableField id="12263" dataBound="0" tableColumnId="4131"/>
      <queryTableField id="12262" dataBound="0" tableColumnId="4132"/>
      <queryTableField id="12261" dataBound="0" tableColumnId="4133"/>
      <queryTableField id="12260" dataBound="0" tableColumnId="4134"/>
      <queryTableField id="12259" dataBound="0" tableColumnId="4135"/>
      <queryTableField id="12258" dataBound="0" tableColumnId="4136"/>
      <queryTableField id="12257" dataBound="0" tableColumnId="4137"/>
      <queryTableField id="12256" dataBound="0" tableColumnId="4138"/>
      <queryTableField id="12255" dataBound="0" tableColumnId="4139"/>
      <queryTableField id="12254" dataBound="0" tableColumnId="4140"/>
      <queryTableField id="12253" dataBound="0" tableColumnId="4141"/>
      <queryTableField id="12252" dataBound="0" tableColumnId="4142"/>
      <queryTableField id="12251" dataBound="0" tableColumnId="4143"/>
      <queryTableField id="12250" dataBound="0" tableColumnId="4144"/>
      <queryTableField id="12249" dataBound="0" tableColumnId="4145"/>
      <queryTableField id="12248" dataBound="0" tableColumnId="4146"/>
      <queryTableField id="12247" dataBound="0" tableColumnId="4147"/>
      <queryTableField id="12246" dataBound="0" tableColumnId="4148"/>
      <queryTableField id="12245" dataBound="0" tableColumnId="4149"/>
      <queryTableField id="12244" dataBound="0" tableColumnId="4150"/>
      <queryTableField id="12243" dataBound="0" tableColumnId="4151"/>
      <queryTableField id="12242" dataBound="0" tableColumnId="4152"/>
      <queryTableField id="12241" dataBound="0" tableColumnId="4153"/>
      <queryTableField id="12240" dataBound="0" tableColumnId="4154"/>
      <queryTableField id="12239" dataBound="0" tableColumnId="4155"/>
      <queryTableField id="12238" dataBound="0" tableColumnId="4156"/>
      <queryTableField id="12237" dataBound="0" tableColumnId="4157"/>
      <queryTableField id="12236" dataBound="0" tableColumnId="4158"/>
      <queryTableField id="12235" dataBound="0" tableColumnId="4159"/>
      <queryTableField id="12234" dataBound="0" tableColumnId="4160"/>
      <queryTableField id="12233" dataBound="0" tableColumnId="4161"/>
      <queryTableField id="12232" dataBound="0" tableColumnId="4162"/>
      <queryTableField id="12231" dataBound="0" tableColumnId="4163"/>
      <queryTableField id="12230" dataBound="0" tableColumnId="4164"/>
      <queryTableField id="12229" dataBound="0" tableColumnId="4165"/>
      <queryTableField id="12228" dataBound="0" tableColumnId="4166"/>
      <queryTableField id="12227" dataBound="0" tableColumnId="4167"/>
      <queryTableField id="12226" dataBound="0" tableColumnId="4168"/>
      <queryTableField id="12225" dataBound="0" tableColumnId="4169"/>
      <queryTableField id="12224" dataBound="0" tableColumnId="4170"/>
      <queryTableField id="12223" dataBound="0" tableColumnId="4171"/>
      <queryTableField id="12222" dataBound="0" tableColumnId="4172"/>
      <queryTableField id="12221" dataBound="0" tableColumnId="4173"/>
      <queryTableField id="12220" dataBound="0" tableColumnId="4174"/>
      <queryTableField id="12219" dataBound="0" tableColumnId="4175"/>
      <queryTableField id="12218" dataBound="0" tableColumnId="4176"/>
      <queryTableField id="12217" dataBound="0" tableColumnId="4177"/>
      <queryTableField id="12216" dataBound="0" tableColumnId="4178"/>
      <queryTableField id="12215" dataBound="0" tableColumnId="4179"/>
      <queryTableField id="12214" dataBound="0" tableColumnId="4180"/>
      <queryTableField id="12213" dataBound="0" tableColumnId="4181"/>
      <queryTableField id="12212" dataBound="0" tableColumnId="4182"/>
      <queryTableField id="12211" dataBound="0" tableColumnId="4183"/>
      <queryTableField id="12210" dataBound="0" tableColumnId="4184"/>
      <queryTableField id="12209" dataBound="0" tableColumnId="4185"/>
      <queryTableField id="12208" dataBound="0" tableColumnId="4186"/>
      <queryTableField id="12207" dataBound="0" tableColumnId="4187"/>
      <queryTableField id="12206" dataBound="0" tableColumnId="4188"/>
      <queryTableField id="12205" dataBound="0" tableColumnId="4189"/>
      <queryTableField id="12204" dataBound="0" tableColumnId="4190"/>
      <queryTableField id="12203" dataBound="0" tableColumnId="4191"/>
      <queryTableField id="12202" dataBound="0" tableColumnId="4192"/>
      <queryTableField id="12201" dataBound="0" tableColumnId="4193"/>
      <queryTableField id="12200" dataBound="0" tableColumnId="4194"/>
      <queryTableField id="12199" dataBound="0" tableColumnId="4195"/>
      <queryTableField id="12198" dataBound="0" tableColumnId="4196"/>
      <queryTableField id="12197" dataBound="0" tableColumnId="4197"/>
      <queryTableField id="12196" dataBound="0" tableColumnId="4198"/>
      <queryTableField id="12195" dataBound="0" tableColumnId="4199"/>
      <queryTableField id="12194" dataBound="0" tableColumnId="4200"/>
      <queryTableField id="12193" dataBound="0" tableColumnId="4201"/>
      <queryTableField id="12192" dataBound="0" tableColumnId="4202"/>
      <queryTableField id="12191" dataBound="0" tableColumnId="4203"/>
      <queryTableField id="12190" dataBound="0" tableColumnId="4204"/>
      <queryTableField id="12189" dataBound="0" tableColumnId="4205"/>
      <queryTableField id="12188" dataBound="0" tableColumnId="4206"/>
      <queryTableField id="12187" dataBound="0" tableColumnId="4207"/>
      <queryTableField id="12186" dataBound="0" tableColumnId="4208"/>
      <queryTableField id="12185" dataBound="0" tableColumnId="4209"/>
      <queryTableField id="12184" dataBound="0" tableColumnId="4210"/>
      <queryTableField id="12183" dataBound="0" tableColumnId="4211"/>
      <queryTableField id="12182" dataBound="0" tableColumnId="4212"/>
      <queryTableField id="12181" dataBound="0" tableColumnId="4213"/>
      <queryTableField id="12180" dataBound="0" tableColumnId="4214"/>
      <queryTableField id="12179" dataBound="0" tableColumnId="4215"/>
      <queryTableField id="12178" dataBound="0" tableColumnId="4216"/>
      <queryTableField id="12177" dataBound="0" tableColumnId="4217"/>
      <queryTableField id="12176" dataBound="0" tableColumnId="4218"/>
      <queryTableField id="12175" dataBound="0" tableColumnId="4219"/>
      <queryTableField id="12174" dataBound="0" tableColumnId="4220"/>
      <queryTableField id="12173" dataBound="0" tableColumnId="4221"/>
      <queryTableField id="12172" dataBound="0" tableColumnId="4222"/>
      <queryTableField id="12171" dataBound="0" tableColumnId="4223"/>
      <queryTableField id="12170" dataBound="0" tableColumnId="4224"/>
      <queryTableField id="12169" dataBound="0" tableColumnId="4225"/>
      <queryTableField id="12168" dataBound="0" tableColumnId="4226"/>
      <queryTableField id="12167" dataBound="0" tableColumnId="4227"/>
      <queryTableField id="12166" dataBound="0" tableColumnId="4228"/>
      <queryTableField id="12165" dataBound="0" tableColumnId="4229"/>
      <queryTableField id="12164" dataBound="0" tableColumnId="4230"/>
      <queryTableField id="12163" dataBound="0" tableColumnId="4231"/>
      <queryTableField id="12162" dataBound="0" tableColumnId="4232"/>
      <queryTableField id="12161" dataBound="0" tableColumnId="4233"/>
      <queryTableField id="12160" dataBound="0" tableColumnId="4234"/>
      <queryTableField id="12159" dataBound="0" tableColumnId="4235"/>
      <queryTableField id="12158" dataBound="0" tableColumnId="4236"/>
      <queryTableField id="12157" dataBound="0" tableColumnId="4237"/>
      <queryTableField id="12156" dataBound="0" tableColumnId="4238"/>
      <queryTableField id="12155" dataBound="0" tableColumnId="4239"/>
      <queryTableField id="12154" dataBound="0" tableColumnId="4240"/>
      <queryTableField id="12153" dataBound="0" tableColumnId="4241"/>
      <queryTableField id="12152" dataBound="0" tableColumnId="4242"/>
      <queryTableField id="12151" dataBound="0" tableColumnId="4243"/>
      <queryTableField id="12150" dataBound="0" tableColumnId="4244"/>
      <queryTableField id="12149" dataBound="0" tableColumnId="4245"/>
      <queryTableField id="12148" dataBound="0" tableColumnId="4246"/>
      <queryTableField id="12147" dataBound="0" tableColumnId="4247"/>
      <queryTableField id="12146" dataBound="0" tableColumnId="4248"/>
      <queryTableField id="12145" dataBound="0" tableColumnId="4249"/>
      <queryTableField id="12144" dataBound="0" tableColumnId="4250"/>
      <queryTableField id="12143" dataBound="0" tableColumnId="4251"/>
      <queryTableField id="12142" dataBound="0" tableColumnId="4252"/>
      <queryTableField id="12141" dataBound="0" tableColumnId="4253"/>
      <queryTableField id="12140" dataBound="0" tableColumnId="4254"/>
      <queryTableField id="12139" dataBound="0" tableColumnId="4255"/>
      <queryTableField id="12138" dataBound="0" tableColumnId="4256"/>
      <queryTableField id="12137" dataBound="0" tableColumnId="4257"/>
      <queryTableField id="12136" dataBound="0" tableColumnId="4258"/>
      <queryTableField id="12135" dataBound="0" tableColumnId="4259"/>
      <queryTableField id="12134" dataBound="0" tableColumnId="4260"/>
      <queryTableField id="12133" dataBound="0" tableColumnId="4261"/>
      <queryTableField id="12132" dataBound="0" tableColumnId="4262"/>
      <queryTableField id="12131" dataBound="0" tableColumnId="4263"/>
      <queryTableField id="12130" dataBound="0" tableColumnId="4264"/>
      <queryTableField id="12129" dataBound="0" tableColumnId="4265"/>
      <queryTableField id="12128" dataBound="0" tableColumnId="4266"/>
      <queryTableField id="12127" dataBound="0" tableColumnId="4267"/>
      <queryTableField id="12126" dataBound="0" tableColumnId="4268"/>
      <queryTableField id="12125" dataBound="0" tableColumnId="4269"/>
      <queryTableField id="12124" dataBound="0" tableColumnId="4270"/>
      <queryTableField id="12123" dataBound="0" tableColumnId="4271"/>
      <queryTableField id="12122" dataBound="0" tableColumnId="4272"/>
      <queryTableField id="12121" dataBound="0" tableColumnId="4273"/>
      <queryTableField id="12120" dataBound="0" tableColumnId="4274"/>
      <queryTableField id="12119" dataBound="0" tableColumnId="4275"/>
      <queryTableField id="12118" dataBound="0" tableColumnId="4276"/>
      <queryTableField id="12117" dataBound="0" tableColumnId="4277"/>
      <queryTableField id="12116" dataBound="0" tableColumnId="4278"/>
      <queryTableField id="12115" dataBound="0" tableColumnId="4279"/>
      <queryTableField id="12114" dataBound="0" tableColumnId="4280"/>
      <queryTableField id="12113" dataBound="0" tableColumnId="4281"/>
      <queryTableField id="12112" dataBound="0" tableColumnId="4282"/>
      <queryTableField id="12111" dataBound="0" tableColumnId="4283"/>
      <queryTableField id="12110" dataBound="0" tableColumnId="4284"/>
      <queryTableField id="12109" dataBound="0" tableColumnId="4285"/>
      <queryTableField id="12108" dataBound="0" tableColumnId="4286"/>
      <queryTableField id="12107" dataBound="0" tableColumnId="4287"/>
      <queryTableField id="12106" dataBound="0" tableColumnId="4288"/>
      <queryTableField id="12105" dataBound="0" tableColumnId="4289"/>
      <queryTableField id="12104" dataBound="0" tableColumnId="4290"/>
      <queryTableField id="12103" dataBound="0" tableColumnId="4291"/>
      <queryTableField id="12102" dataBound="0" tableColumnId="4292"/>
      <queryTableField id="12101" dataBound="0" tableColumnId="4293"/>
      <queryTableField id="12100" dataBound="0" tableColumnId="4294"/>
      <queryTableField id="12099" dataBound="0" tableColumnId="4295"/>
      <queryTableField id="12098" dataBound="0" tableColumnId="4296"/>
      <queryTableField id="12097" dataBound="0" tableColumnId="4297"/>
      <queryTableField id="12096" dataBound="0" tableColumnId="4298"/>
      <queryTableField id="12095" dataBound="0" tableColumnId="4299"/>
      <queryTableField id="12094" dataBound="0" tableColumnId="4300"/>
      <queryTableField id="12093" dataBound="0" tableColumnId="4301"/>
      <queryTableField id="12092" dataBound="0" tableColumnId="4302"/>
      <queryTableField id="12091" dataBound="0" tableColumnId="4303"/>
      <queryTableField id="12090" dataBound="0" tableColumnId="4304"/>
      <queryTableField id="12089" dataBound="0" tableColumnId="4305"/>
      <queryTableField id="12088" dataBound="0" tableColumnId="4306"/>
      <queryTableField id="12087" dataBound="0" tableColumnId="4307"/>
      <queryTableField id="12086" dataBound="0" tableColumnId="4308"/>
      <queryTableField id="12085" dataBound="0" tableColumnId="4309"/>
      <queryTableField id="12084" dataBound="0" tableColumnId="4310"/>
      <queryTableField id="12083" dataBound="0" tableColumnId="4311"/>
      <queryTableField id="12082" dataBound="0" tableColumnId="4312"/>
      <queryTableField id="12081" dataBound="0" tableColumnId="4313"/>
      <queryTableField id="12080" dataBound="0" tableColumnId="4314"/>
      <queryTableField id="12079" dataBound="0" tableColumnId="4315"/>
      <queryTableField id="12078" dataBound="0" tableColumnId="4316"/>
      <queryTableField id="12077" dataBound="0" tableColumnId="4317"/>
      <queryTableField id="12076" dataBound="0" tableColumnId="4318"/>
      <queryTableField id="12075" dataBound="0" tableColumnId="4319"/>
      <queryTableField id="12074" dataBound="0" tableColumnId="4320"/>
      <queryTableField id="12073" dataBound="0" tableColumnId="4321"/>
      <queryTableField id="12072" dataBound="0" tableColumnId="4322"/>
      <queryTableField id="12071" dataBound="0" tableColumnId="4323"/>
      <queryTableField id="12070" dataBound="0" tableColumnId="4324"/>
      <queryTableField id="12069" dataBound="0" tableColumnId="4325"/>
      <queryTableField id="12068" dataBound="0" tableColumnId="4326"/>
      <queryTableField id="12067" dataBound="0" tableColumnId="4327"/>
      <queryTableField id="12066" dataBound="0" tableColumnId="4328"/>
      <queryTableField id="12065" dataBound="0" tableColumnId="4329"/>
      <queryTableField id="12064" dataBound="0" tableColumnId="4330"/>
      <queryTableField id="12063" dataBound="0" tableColumnId="4331"/>
      <queryTableField id="12062" dataBound="0" tableColumnId="4332"/>
      <queryTableField id="12061" dataBound="0" tableColumnId="4333"/>
      <queryTableField id="12060" dataBound="0" tableColumnId="4334"/>
      <queryTableField id="12059" dataBound="0" tableColumnId="4335"/>
      <queryTableField id="12058" dataBound="0" tableColumnId="4336"/>
      <queryTableField id="12057" dataBound="0" tableColumnId="4337"/>
      <queryTableField id="12056" dataBound="0" tableColumnId="4338"/>
      <queryTableField id="12055" dataBound="0" tableColumnId="4339"/>
      <queryTableField id="12054" dataBound="0" tableColumnId="4340"/>
      <queryTableField id="12053" dataBound="0" tableColumnId="4341"/>
      <queryTableField id="12052" dataBound="0" tableColumnId="4342"/>
      <queryTableField id="12051" dataBound="0" tableColumnId="4343"/>
      <queryTableField id="12050" dataBound="0" tableColumnId="4344"/>
      <queryTableField id="12049" dataBound="0" tableColumnId="4345"/>
      <queryTableField id="12048" dataBound="0" tableColumnId="4346"/>
      <queryTableField id="12047" dataBound="0" tableColumnId="4347"/>
      <queryTableField id="12046" dataBound="0" tableColumnId="4348"/>
      <queryTableField id="12045" dataBound="0" tableColumnId="4349"/>
      <queryTableField id="12044" dataBound="0" tableColumnId="4350"/>
      <queryTableField id="12043" dataBound="0" tableColumnId="4351"/>
      <queryTableField id="12042" dataBound="0" tableColumnId="4352"/>
      <queryTableField id="12041" dataBound="0" tableColumnId="4353"/>
      <queryTableField id="12040" dataBound="0" tableColumnId="4354"/>
      <queryTableField id="12039" dataBound="0" tableColumnId="4355"/>
      <queryTableField id="12038" dataBound="0" tableColumnId="4356"/>
      <queryTableField id="12037" dataBound="0" tableColumnId="4357"/>
      <queryTableField id="12036" dataBound="0" tableColumnId="4358"/>
      <queryTableField id="12035" dataBound="0" tableColumnId="4359"/>
      <queryTableField id="12034" dataBound="0" tableColumnId="4360"/>
      <queryTableField id="12033" dataBound="0" tableColumnId="4361"/>
      <queryTableField id="12032" dataBound="0" tableColumnId="4362"/>
      <queryTableField id="12031" dataBound="0" tableColumnId="4363"/>
      <queryTableField id="12030" dataBound="0" tableColumnId="4364"/>
      <queryTableField id="12029" dataBound="0" tableColumnId="4365"/>
      <queryTableField id="12028" dataBound="0" tableColumnId="4366"/>
      <queryTableField id="12027" dataBound="0" tableColumnId="4367"/>
      <queryTableField id="12026" dataBound="0" tableColumnId="4368"/>
      <queryTableField id="12025" dataBound="0" tableColumnId="4369"/>
      <queryTableField id="12024" dataBound="0" tableColumnId="4370"/>
      <queryTableField id="12023" dataBound="0" tableColumnId="4371"/>
      <queryTableField id="12022" dataBound="0" tableColumnId="4372"/>
      <queryTableField id="12021" dataBound="0" tableColumnId="4373"/>
      <queryTableField id="12020" dataBound="0" tableColumnId="4374"/>
      <queryTableField id="12019" dataBound="0" tableColumnId="4375"/>
      <queryTableField id="12018" dataBound="0" tableColumnId="4376"/>
      <queryTableField id="12017" dataBound="0" tableColumnId="4377"/>
      <queryTableField id="12016" dataBound="0" tableColumnId="4378"/>
      <queryTableField id="12015" dataBound="0" tableColumnId="4379"/>
      <queryTableField id="12014" dataBound="0" tableColumnId="4380"/>
      <queryTableField id="12013" dataBound="0" tableColumnId="4381"/>
      <queryTableField id="12012" dataBound="0" tableColumnId="4382"/>
      <queryTableField id="12011" dataBound="0" tableColumnId="4383"/>
      <queryTableField id="12010" dataBound="0" tableColumnId="4384"/>
      <queryTableField id="12009" dataBound="0" tableColumnId="4385"/>
      <queryTableField id="12008" dataBound="0" tableColumnId="4386"/>
      <queryTableField id="12007" dataBound="0" tableColumnId="4387"/>
      <queryTableField id="12006" dataBound="0" tableColumnId="4388"/>
      <queryTableField id="12005" dataBound="0" tableColumnId="4389"/>
      <queryTableField id="12004" dataBound="0" tableColumnId="4390"/>
      <queryTableField id="12003" dataBound="0" tableColumnId="4391"/>
      <queryTableField id="12002" dataBound="0" tableColumnId="4392"/>
      <queryTableField id="12001" dataBound="0" tableColumnId="4393"/>
      <queryTableField id="12000" dataBound="0" tableColumnId="4394"/>
      <queryTableField id="11999" dataBound="0" tableColumnId="4395"/>
      <queryTableField id="11998" dataBound="0" tableColumnId="4396"/>
      <queryTableField id="11997" dataBound="0" tableColumnId="4397"/>
      <queryTableField id="11996" dataBound="0" tableColumnId="4398"/>
      <queryTableField id="11995" dataBound="0" tableColumnId="4399"/>
      <queryTableField id="11994" dataBound="0" tableColumnId="4400"/>
      <queryTableField id="11993" dataBound="0" tableColumnId="4401"/>
      <queryTableField id="11992" dataBound="0" tableColumnId="4402"/>
      <queryTableField id="11991" dataBound="0" tableColumnId="4403"/>
      <queryTableField id="11990" dataBound="0" tableColumnId="4404"/>
      <queryTableField id="11989" dataBound="0" tableColumnId="4405"/>
      <queryTableField id="11988" dataBound="0" tableColumnId="4406"/>
      <queryTableField id="11987" dataBound="0" tableColumnId="4407"/>
      <queryTableField id="11986" dataBound="0" tableColumnId="4408"/>
      <queryTableField id="11985" dataBound="0" tableColumnId="4409"/>
      <queryTableField id="11984" dataBound="0" tableColumnId="4410"/>
      <queryTableField id="11983" dataBound="0" tableColumnId="4411"/>
      <queryTableField id="11982" dataBound="0" tableColumnId="4412"/>
      <queryTableField id="11981" dataBound="0" tableColumnId="4413"/>
      <queryTableField id="11980" dataBound="0" tableColumnId="4414"/>
      <queryTableField id="11979" dataBound="0" tableColumnId="4415"/>
      <queryTableField id="11978" dataBound="0" tableColumnId="4416"/>
      <queryTableField id="11977" dataBound="0" tableColumnId="4417"/>
      <queryTableField id="11976" dataBound="0" tableColumnId="4418"/>
      <queryTableField id="11975" dataBound="0" tableColumnId="4419"/>
      <queryTableField id="11974" dataBound="0" tableColumnId="4420"/>
      <queryTableField id="11973" dataBound="0" tableColumnId="4421"/>
      <queryTableField id="11972" dataBound="0" tableColumnId="4422"/>
      <queryTableField id="11971" dataBound="0" tableColumnId="4423"/>
      <queryTableField id="11970" dataBound="0" tableColumnId="4424"/>
      <queryTableField id="11969" dataBound="0" tableColumnId="4425"/>
      <queryTableField id="11968" dataBound="0" tableColumnId="4426"/>
      <queryTableField id="11967" dataBound="0" tableColumnId="4427"/>
      <queryTableField id="11966" dataBound="0" tableColumnId="4428"/>
      <queryTableField id="11965" dataBound="0" tableColumnId="4429"/>
      <queryTableField id="11964" dataBound="0" tableColumnId="4430"/>
      <queryTableField id="11963" dataBound="0" tableColumnId="4431"/>
      <queryTableField id="11962" dataBound="0" tableColumnId="4432"/>
      <queryTableField id="11961" dataBound="0" tableColumnId="4433"/>
      <queryTableField id="11960" dataBound="0" tableColumnId="4434"/>
      <queryTableField id="11959" dataBound="0" tableColumnId="4435"/>
      <queryTableField id="11958" dataBound="0" tableColumnId="4436"/>
      <queryTableField id="11957" dataBound="0" tableColumnId="4437"/>
      <queryTableField id="11956" dataBound="0" tableColumnId="4438"/>
      <queryTableField id="11955" dataBound="0" tableColumnId="4439"/>
      <queryTableField id="11954" dataBound="0" tableColumnId="4440"/>
      <queryTableField id="11953" dataBound="0" tableColumnId="4441"/>
      <queryTableField id="11952" dataBound="0" tableColumnId="4442"/>
      <queryTableField id="11951" dataBound="0" tableColumnId="4443"/>
      <queryTableField id="11950" dataBound="0" tableColumnId="4444"/>
      <queryTableField id="11949" dataBound="0" tableColumnId="4445"/>
      <queryTableField id="11948" dataBound="0" tableColumnId="4446"/>
      <queryTableField id="11947" dataBound="0" tableColumnId="4447"/>
      <queryTableField id="11946" dataBound="0" tableColumnId="4448"/>
      <queryTableField id="11945" dataBound="0" tableColumnId="4449"/>
      <queryTableField id="11944" dataBound="0" tableColumnId="4450"/>
      <queryTableField id="11943" dataBound="0" tableColumnId="4451"/>
      <queryTableField id="11942" dataBound="0" tableColumnId="4452"/>
      <queryTableField id="11941" dataBound="0" tableColumnId="4453"/>
      <queryTableField id="11940" dataBound="0" tableColumnId="4454"/>
      <queryTableField id="11939" dataBound="0" tableColumnId="4455"/>
      <queryTableField id="11938" dataBound="0" tableColumnId="4456"/>
      <queryTableField id="11937" dataBound="0" tableColumnId="4457"/>
      <queryTableField id="11936" dataBound="0" tableColumnId="4458"/>
      <queryTableField id="11935" dataBound="0" tableColumnId="4459"/>
      <queryTableField id="11934" dataBound="0" tableColumnId="4460"/>
      <queryTableField id="11933" dataBound="0" tableColumnId="4461"/>
      <queryTableField id="11932" dataBound="0" tableColumnId="4462"/>
      <queryTableField id="11931" dataBound="0" tableColumnId="4463"/>
      <queryTableField id="11930" dataBound="0" tableColumnId="4464"/>
      <queryTableField id="11929" dataBound="0" tableColumnId="4465"/>
      <queryTableField id="11928" dataBound="0" tableColumnId="4466"/>
      <queryTableField id="11927" dataBound="0" tableColumnId="4467"/>
      <queryTableField id="11926" dataBound="0" tableColumnId="4468"/>
      <queryTableField id="11925" dataBound="0" tableColumnId="4469"/>
      <queryTableField id="11924" dataBound="0" tableColumnId="4470"/>
      <queryTableField id="11923" dataBound="0" tableColumnId="4471"/>
      <queryTableField id="11922" dataBound="0" tableColumnId="4472"/>
      <queryTableField id="11921" dataBound="0" tableColumnId="4473"/>
      <queryTableField id="11920" dataBound="0" tableColumnId="4474"/>
      <queryTableField id="11919" dataBound="0" tableColumnId="4475"/>
      <queryTableField id="11918" dataBound="0" tableColumnId="4476"/>
      <queryTableField id="11917" dataBound="0" tableColumnId="4477"/>
      <queryTableField id="11916" dataBound="0" tableColumnId="4478"/>
      <queryTableField id="11915" dataBound="0" tableColumnId="4479"/>
      <queryTableField id="11914" dataBound="0" tableColumnId="4480"/>
      <queryTableField id="11913" dataBound="0" tableColumnId="4481"/>
      <queryTableField id="11912" dataBound="0" tableColumnId="4482"/>
      <queryTableField id="11911" dataBound="0" tableColumnId="4483"/>
      <queryTableField id="11910" dataBound="0" tableColumnId="4484"/>
      <queryTableField id="11909" dataBound="0" tableColumnId="4485"/>
      <queryTableField id="11908" dataBound="0" tableColumnId="4486"/>
      <queryTableField id="11907" dataBound="0" tableColumnId="4487"/>
      <queryTableField id="11906" dataBound="0" tableColumnId="4488"/>
      <queryTableField id="11905" dataBound="0" tableColumnId="4489"/>
      <queryTableField id="11904" dataBound="0" tableColumnId="4490"/>
      <queryTableField id="11903" dataBound="0" tableColumnId="4491"/>
      <queryTableField id="11902" dataBound="0" tableColumnId="4492"/>
      <queryTableField id="11901" dataBound="0" tableColumnId="4493"/>
      <queryTableField id="11900" dataBound="0" tableColumnId="4494"/>
      <queryTableField id="11899" dataBound="0" tableColumnId="4495"/>
      <queryTableField id="11898" dataBound="0" tableColumnId="4496"/>
      <queryTableField id="11897" dataBound="0" tableColumnId="4497"/>
      <queryTableField id="11896" dataBound="0" tableColumnId="4498"/>
      <queryTableField id="11895" dataBound="0" tableColumnId="4499"/>
      <queryTableField id="11894" dataBound="0" tableColumnId="4500"/>
      <queryTableField id="11893" dataBound="0" tableColumnId="4501"/>
      <queryTableField id="11892" dataBound="0" tableColumnId="4502"/>
      <queryTableField id="11891" dataBound="0" tableColumnId="4503"/>
      <queryTableField id="11890" dataBound="0" tableColumnId="4504"/>
      <queryTableField id="11889" dataBound="0" tableColumnId="4505"/>
      <queryTableField id="11888" dataBound="0" tableColumnId="4506"/>
      <queryTableField id="11887" dataBound="0" tableColumnId="4507"/>
      <queryTableField id="11886" dataBound="0" tableColumnId="4508"/>
      <queryTableField id="11885" dataBound="0" tableColumnId="4509"/>
      <queryTableField id="11884" dataBound="0" tableColumnId="4510"/>
      <queryTableField id="11883" dataBound="0" tableColumnId="4511"/>
      <queryTableField id="11882" dataBound="0" tableColumnId="4512"/>
      <queryTableField id="11881" dataBound="0" tableColumnId="4513"/>
      <queryTableField id="11880" dataBound="0" tableColumnId="4514"/>
      <queryTableField id="11879" dataBound="0" tableColumnId="4515"/>
      <queryTableField id="11878" dataBound="0" tableColumnId="4516"/>
      <queryTableField id="11877" dataBound="0" tableColumnId="4517"/>
      <queryTableField id="11876" dataBound="0" tableColumnId="4518"/>
      <queryTableField id="11875" dataBound="0" tableColumnId="4519"/>
      <queryTableField id="11874" dataBound="0" tableColumnId="4520"/>
      <queryTableField id="11873" dataBound="0" tableColumnId="4521"/>
      <queryTableField id="11872" dataBound="0" tableColumnId="4522"/>
      <queryTableField id="11871" dataBound="0" tableColumnId="4523"/>
      <queryTableField id="11870" dataBound="0" tableColumnId="4524"/>
      <queryTableField id="11869" dataBound="0" tableColumnId="4525"/>
      <queryTableField id="11868" dataBound="0" tableColumnId="4526"/>
      <queryTableField id="11867" dataBound="0" tableColumnId="4527"/>
      <queryTableField id="11866" dataBound="0" tableColumnId="4528"/>
      <queryTableField id="11865" dataBound="0" tableColumnId="4529"/>
      <queryTableField id="11864" dataBound="0" tableColumnId="4530"/>
      <queryTableField id="11863" dataBound="0" tableColumnId="4531"/>
      <queryTableField id="11862" dataBound="0" tableColumnId="4532"/>
      <queryTableField id="11861" dataBound="0" tableColumnId="4533"/>
      <queryTableField id="11860" dataBound="0" tableColumnId="4534"/>
      <queryTableField id="11859" dataBound="0" tableColumnId="4535"/>
      <queryTableField id="11858" dataBound="0" tableColumnId="4536"/>
      <queryTableField id="11857" dataBound="0" tableColumnId="4537"/>
      <queryTableField id="11856" dataBound="0" tableColumnId="4538"/>
      <queryTableField id="11855" dataBound="0" tableColumnId="4539"/>
      <queryTableField id="11854" dataBound="0" tableColumnId="4540"/>
      <queryTableField id="11853" dataBound="0" tableColumnId="4541"/>
      <queryTableField id="11852" dataBound="0" tableColumnId="4542"/>
      <queryTableField id="11851" dataBound="0" tableColumnId="4543"/>
      <queryTableField id="11850" dataBound="0" tableColumnId="4544"/>
      <queryTableField id="11849" dataBound="0" tableColumnId="4545"/>
      <queryTableField id="11848" dataBound="0" tableColumnId="4546"/>
      <queryTableField id="11847" dataBound="0" tableColumnId="4547"/>
      <queryTableField id="11846" dataBound="0" tableColumnId="4548"/>
      <queryTableField id="11845" dataBound="0" tableColumnId="4549"/>
      <queryTableField id="11844" dataBound="0" tableColumnId="4550"/>
      <queryTableField id="11843" dataBound="0" tableColumnId="4551"/>
      <queryTableField id="11842" dataBound="0" tableColumnId="4552"/>
      <queryTableField id="11841" dataBound="0" tableColumnId="4553"/>
      <queryTableField id="11840" dataBound="0" tableColumnId="4554"/>
      <queryTableField id="11839" dataBound="0" tableColumnId="4555"/>
      <queryTableField id="11838" dataBound="0" tableColumnId="4556"/>
      <queryTableField id="11837" dataBound="0" tableColumnId="4557"/>
      <queryTableField id="11836" dataBound="0" tableColumnId="4558"/>
      <queryTableField id="11835" dataBound="0" tableColumnId="4559"/>
      <queryTableField id="11834" dataBound="0" tableColumnId="4560"/>
      <queryTableField id="11833" dataBound="0" tableColumnId="4561"/>
      <queryTableField id="11832" dataBound="0" tableColumnId="4562"/>
      <queryTableField id="11831" dataBound="0" tableColumnId="4563"/>
      <queryTableField id="11830" dataBound="0" tableColumnId="4564"/>
      <queryTableField id="11829" dataBound="0" tableColumnId="4565"/>
      <queryTableField id="11828" dataBound="0" tableColumnId="4566"/>
      <queryTableField id="11827" dataBound="0" tableColumnId="4567"/>
      <queryTableField id="11826" dataBound="0" tableColumnId="4568"/>
      <queryTableField id="11825" dataBound="0" tableColumnId="4569"/>
      <queryTableField id="11824" dataBound="0" tableColumnId="4570"/>
      <queryTableField id="11823" dataBound="0" tableColumnId="4571"/>
      <queryTableField id="11822" dataBound="0" tableColumnId="4572"/>
      <queryTableField id="11821" dataBound="0" tableColumnId="4573"/>
      <queryTableField id="11820" dataBound="0" tableColumnId="4574"/>
      <queryTableField id="11819" dataBound="0" tableColumnId="4575"/>
      <queryTableField id="11818" dataBound="0" tableColumnId="4576"/>
      <queryTableField id="11817" dataBound="0" tableColumnId="4577"/>
      <queryTableField id="11816" dataBound="0" tableColumnId="4578"/>
      <queryTableField id="11815" dataBound="0" tableColumnId="4579"/>
      <queryTableField id="11814" dataBound="0" tableColumnId="4580"/>
      <queryTableField id="11813" dataBound="0" tableColumnId="4581"/>
      <queryTableField id="11812" dataBound="0" tableColumnId="4582"/>
      <queryTableField id="11811" dataBound="0" tableColumnId="4583"/>
      <queryTableField id="11810" dataBound="0" tableColumnId="4584"/>
      <queryTableField id="11809" dataBound="0" tableColumnId="4585"/>
      <queryTableField id="11808" dataBound="0" tableColumnId="4586"/>
      <queryTableField id="11807" dataBound="0" tableColumnId="4587"/>
      <queryTableField id="11806" dataBound="0" tableColumnId="4588"/>
      <queryTableField id="11805" dataBound="0" tableColumnId="4589"/>
      <queryTableField id="11804" dataBound="0" tableColumnId="4590"/>
      <queryTableField id="11803" dataBound="0" tableColumnId="4591"/>
      <queryTableField id="11802" dataBound="0" tableColumnId="4592"/>
      <queryTableField id="11801" dataBound="0" tableColumnId="4593"/>
      <queryTableField id="11800" dataBound="0" tableColumnId="4594"/>
      <queryTableField id="11799" dataBound="0" tableColumnId="4595"/>
      <queryTableField id="11798" dataBound="0" tableColumnId="4596"/>
      <queryTableField id="11797" dataBound="0" tableColumnId="4597"/>
      <queryTableField id="11796" dataBound="0" tableColumnId="4598"/>
      <queryTableField id="11795" dataBound="0" tableColumnId="4599"/>
      <queryTableField id="11794" dataBound="0" tableColumnId="4600"/>
      <queryTableField id="11793" dataBound="0" tableColumnId="4601"/>
      <queryTableField id="11792" dataBound="0" tableColumnId="4602"/>
      <queryTableField id="11791" dataBound="0" tableColumnId="4603"/>
      <queryTableField id="11790" dataBound="0" tableColumnId="4604"/>
      <queryTableField id="11789" dataBound="0" tableColumnId="4605"/>
      <queryTableField id="11788" dataBound="0" tableColumnId="4606"/>
      <queryTableField id="11787" dataBound="0" tableColumnId="4607"/>
      <queryTableField id="11786" dataBound="0" tableColumnId="4608"/>
      <queryTableField id="11785" dataBound="0" tableColumnId="4609"/>
      <queryTableField id="11784" dataBound="0" tableColumnId="4610"/>
      <queryTableField id="11783" dataBound="0" tableColumnId="4611"/>
      <queryTableField id="11782" dataBound="0" tableColumnId="4612"/>
      <queryTableField id="11781" dataBound="0" tableColumnId="4613"/>
      <queryTableField id="11780" dataBound="0" tableColumnId="4614"/>
      <queryTableField id="11779" dataBound="0" tableColumnId="4615"/>
      <queryTableField id="11778" dataBound="0" tableColumnId="4616"/>
      <queryTableField id="11777" dataBound="0" tableColumnId="4617"/>
      <queryTableField id="11776" dataBound="0" tableColumnId="4618"/>
      <queryTableField id="11775" dataBound="0" tableColumnId="4619"/>
      <queryTableField id="11774" dataBound="0" tableColumnId="4620"/>
      <queryTableField id="11773" dataBound="0" tableColumnId="4621"/>
      <queryTableField id="11772" dataBound="0" tableColumnId="4622"/>
      <queryTableField id="11771" dataBound="0" tableColumnId="4623"/>
      <queryTableField id="11770" dataBound="0" tableColumnId="4624"/>
      <queryTableField id="11769" dataBound="0" tableColumnId="4625"/>
      <queryTableField id="11768" dataBound="0" tableColumnId="4626"/>
      <queryTableField id="11767" dataBound="0" tableColumnId="4627"/>
      <queryTableField id="11766" dataBound="0" tableColumnId="4628"/>
      <queryTableField id="11765" dataBound="0" tableColumnId="4629"/>
      <queryTableField id="11764" dataBound="0" tableColumnId="4630"/>
      <queryTableField id="11763" dataBound="0" tableColumnId="4631"/>
      <queryTableField id="11762" dataBound="0" tableColumnId="4632"/>
      <queryTableField id="11761" dataBound="0" tableColumnId="4633"/>
      <queryTableField id="11760" dataBound="0" tableColumnId="4634"/>
      <queryTableField id="11759" dataBound="0" tableColumnId="4635"/>
      <queryTableField id="11758" dataBound="0" tableColumnId="4636"/>
      <queryTableField id="11757" dataBound="0" tableColumnId="4637"/>
      <queryTableField id="11756" dataBound="0" tableColumnId="4638"/>
      <queryTableField id="11755" dataBound="0" tableColumnId="4639"/>
      <queryTableField id="11754" dataBound="0" tableColumnId="4640"/>
      <queryTableField id="11753" dataBound="0" tableColumnId="4641"/>
      <queryTableField id="11752" dataBound="0" tableColumnId="4642"/>
      <queryTableField id="11751" dataBound="0" tableColumnId="4643"/>
      <queryTableField id="11750" dataBound="0" tableColumnId="4644"/>
      <queryTableField id="11749" dataBound="0" tableColumnId="4645"/>
      <queryTableField id="11748" dataBound="0" tableColumnId="4646"/>
      <queryTableField id="11747" dataBound="0" tableColumnId="4647"/>
      <queryTableField id="11746" dataBound="0" tableColumnId="4648"/>
      <queryTableField id="11745" dataBound="0" tableColumnId="4649"/>
      <queryTableField id="11744" dataBound="0" tableColumnId="4650"/>
      <queryTableField id="11743" dataBound="0" tableColumnId="4651"/>
      <queryTableField id="11742" dataBound="0" tableColumnId="4652"/>
      <queryTableField id="11741" dataBound="0" tableColumnId="4653"/>
      <queryTableField id="11740" dataBound="0" tableColumnId="4654"/>
      <queryTableField id="11739" dataBound="0" tableColumnId="4655"/>
      <queryTableField id="11738" dataBound="0" tableColumnId="4656"/>
      <queryTableField id="11737" dataBound="0" tableColumnId="4657"/>
      <queryTableField id="11736" dataBound="0" tableColumnId="4658"/>
      <queryTableField id="11735" dataBound="0" tableColumnId="4659"/>
      <queryTableField id="11734" dataBound="0" tableColumnId="4660"/>
      <queryTableField id="11733" dataBound="0" tableColumnId="4661"/>
      <queryTableField id="11732" dataBound="0" tableColumnId="4662"/>
      <queryTableField id="11731" dataBound="0" tableColumnId="4663"/>
      <queryTableField id="11730" dataBound="0" tableColumnId="4664"/>
      <queryTableField id="11729" dataBound="0" tableColumnId="4665"/>
      <queryTableField id="11728" dataBound="0" tableColumnId="4666"/>
      <queryTableField id="11727" dataBound="0" tableColumnId="4667"/>
      <queryTableField id="11726" dataBound="0" tableColumnId="4668"/>
      <queryTableField id="11725" dataBound="0" tableColumnId="4669"/>
      <queryTableField id="11724" dataBound="0" tableColumnId="4670"/>
      <queryTableField id="11723" dataBound="0" tableColumnId="4671"/>
      <queryTableField id="11722" dataBound="0" tableColumnId="4672"/>
      <queryTableField id="11721" dataBound="0" tableColumnId="4673"/>
      <queryTableField id="11720" dataBound="0" tableColumnId="4674"/>
      <queryTableField id="11719" dataBound="0" tableColumnId="4675"/>
      <queryTableField id="11718" dataBound="0" tableColumnId="4676"/>
      <queryTableField id="11717" dataBound="0" tableColumnId="4677"/>
      <queryTableField id="11716" dataBound="0" tableColumnId="4678"/>
      <queryTableField id="11715" dataBound="0" tableColumnId="4679"/>
      <queryTableField id="11714" dataBound="0" tableColumnId="4680"/>
      <queryTableField id="11713" dataBound="0" tableColumnId="4681"/>
      <queryTableField id="11712" dataBound="0" tableColumnId="4682"/>
      <queryTableField id="11711" dataBound="0" tableColumnId="4683"/>
      <queryTableField id="11710" dataBound="0" tableColumnId="4684"/>
      <queryTableField id="11709" dataBound="0" tableColumnId="4685"/>
      <queryTableField id="11708" dataBound="0" tableColumnId="4686"/>
      <queryTableField id="11707" dataBound="0" tableColumnId="4687"/>
      <queryTableField id="11706" dataBound="0" tableColumnId="4688"/>
      <queryTableField id="11705" dataBound="0" tableColumnId="4689"/>
      <queryTableField id="11704" dataBound="0" tableColumnId="4690"/>
      <queryTableField id="11703" dataBound="0" tableColumnId="4691"/>
      <queryTableField id="11702" dataBound="0" tableColumnId="4692"/>
      <queryTableField id="11701" dataBound="0" tableColumnId="4693"/>
      <queryTableField id="11700" dataBound="0" tableColumnId="4694"/>
      <queryTableField id="11699" dataBound="0" tableColumnId="4695"/>
      <queryTableField id="11698" dataBound="0" tableColumnId="4696"/>
      <queryTableField id="11697" dataBound="0" tableColumnId="4697"/>
      <queryTableField id="11696" dataBound="0" tableColumnId="4698"/>
      <queryTableField id="11695" dataBound="0" tableColumnId="4699"/>
      <queryTableField id="11694" dataBound="0" tableColumnId="4700"/>
      <queryTableField id="11693" dataBound="0" tableColumnId="4701"/>
      <queryTableField id="11692" dataBound="0" tableColumnId="4702"/>
      <queryTableField id="11691" dataBound="0" tableColumnId="4703"/>
      <queryTableField id="11690" dataBound="0" tableColumnId="4704"/>
      <queryTableField id="11689" dataBound="0" tableColumnId="4705"/>
      <queryTableField id="11688" dataBound="0" tableColumnId="4706"/>
      <queryTableField id="11687" dataBound="0" tableColumnId="4707"/>
      <queryTableField id="11686" dataBound="0" tableColumnId="4708"/>
      <queryTableField id="11685" dataBound="0" tableColumnId="4709"/>
      <queryTableField id="11684" dataBound="0" tableColumnId="4710"/>
      <queryTableField id="11683" dataBound="0" tableColumnId="4711"/>
      <queryTableField id="11682" dataBound="0" tableColumnId="4712"/>
      <queryTableField id="11681" dataBound="0" tableColumnId="4713"/>
      <queryTableField id="11680" dataBound="0" tableColumnId="4714"/>
      <queryTableField id="11679" dataBound="0" tableColumnId="4715"/>
      <queryTableField id="11678" dataBound="0" tableColumnId="4716"/>
      <queryTableField id="11677" dataBound="0" tableColumnId="4717"/>
      <queryTableField id="11676" dataBound="0" tableColumnId="4718"/>
      <queryTableField id="11675" dataBound="0" tableColumnId="4719"/>
      <queryTableField id="11674" dataBound="0" tableColumnId="4720"/>
      <queryTableField id="11673" dataBound="0" tableColumnId="4721"/>
      <queryTableField id="11672" dataBound="0" tableColumnId="4722"/>
      <queryTableField id="11671" dataBound="0" tableColumnId="4723"/>
      <queryTableField id="11670" dataBound="0" tableColumnId="4724"/>
      <queryTableField id="11669" dataBound="0" tableColumnId="4725"/>
      <queryTableField id="11668" dataBound="0" tableColumnId="4726"/>
      <queryTableField id="11667" dataBound="0" tableColumnId="4727"/>
      <queryTableField id="11666" dataBound="0" tableColumnId="4728"/>
      <queryTableField id="11665" dataBound="0" tableColumnId="4729"/>
      <queryTableField id="11664" dataBound="0" tableColumnId="4730"/>
      <queryTableField id="11663" dataBound="0" tableColumnId="4731"/>
      <queryTableField id="11662" dataBound="0" tableColumnId="4732"/>
      <queryTableField id="11661" dataBound="0" tableColumnId="4733"/>
      <queryTableField id="11660" dataBound="0" tableColumnId="4734"/>
      <queryTableField id="11659" dataBound="0" tableColumnId="4735"/>
      <queryTableField id="11658" dataBound="0" tableColumnId="4736"/>
      <queryTableField id="11657" dataBound="0" tableColumnId="4737"/>
      <queryTableField id="11656" dataBound="0" tableColumnId="4738"/>
      <queryTableField id="11655" dataBound="0" tableColumnId="4739"/>
      <queryTableField id="11654" dataBound="0" tableColumnId="4740"/>
      <queryTableField id="11653" dataBound="0" tableColumnId="4741"/>
      <queryTableField id="11652" dataBound="0" tableColumnId="4742"/>
      <queryTableField id="11651" dataBound="0" tableColumnId="4743"/>
      <queryTableField id="11650" dataBound="0" tableColumnId="4744"/>
      <queryTableField id="11649" dataBound="0" tableColumnId="4745"/>
      <queryTableField id="11648" dataBound="0" tableColumnId="4746"/>
      <queryTableField id="11647" dataBound="0" tableColumnId="4747"/>
      <queryTableField id="11646" dataBound="0" tableColumnId="4748"/>
      <queryTableField id="11645" dataBound="0" tableColumnId="4749"/>
      <queryTableField id="11644" dataBound="0" tableColumnId="4750"/>
      <queryTableField id="11643" dataBound="0" tableColumnId="4751"/>
      <queryTableField id="11642" dataBound="0" tableColumnId="4752"/>
      <queryTableField id="11641" dataBound="0" tableColumnId="4753"/>
      <queryTableField id="11640" dataBound="0" tableColumnId="4754"/>
      <queryTableField id="11639" dataBound="0" tableColumnId="4755"/>
      <queryTableField id="11638" dataBound="0" tableColumnId="4756"/>
      <queryTableField id="11637" dataBound="0" tableColumnId="4757"/>
      <queryTableField id="11636" dataBound="0" tableColumnId="4758"/>
      <queryTableField id="11635" dataBound="0" tableColumnId="4759"/>
      <queryTableField id="11634" dataBound="0" tableColumnId="4760"/>
      <queryTableField id="11633" dataBound="0" tableColumnId="4761"/>
      <queryTableField id="11632" dataBound="0" tableColumnId="4762"/>
      <queryTableField id="11631" dataBound="0" tableColumnId="4763"/>
      <queryTableField id="11630" dataBound="0" tableColumnId="4764"/>
      <queryTableField id="11629" dataBound="0" tableColumnId="4765"/>
      <queryTableField id="11628" dataBound="0" tableColumnId="4766"/>
      <queryTableField id="11627" dataBound="0" tableColumnId="4767"/>
      <queryTableField id="11626" dataBound="0" tableColumnId="4768"/>
      <queryTableField id="11625" dataBound="0" tableColumnId="4769"/>
      <queryTableField id="11624" dataBound="0" tableColumnId="4770"/>
      <queryTableField id="11623" dataBound="0" tableColumnId="4771"/>
      <queryTableField id="11622" dataBound="0" tableColumnId="4772"/>
      <queryTableField id="11621" dataBound="0" tableColumnId="4773"/>
      <queryTableField id="11620" dataBound="0" tableColumnId="4774"/>
      <queryTableField id="11619" dataBound="0" tableColumnId="4775"/>
      <queryTableField id="11618" dataBound="0" tableColumnId="4776"/>
      <queryTableField id="11617" dataBound="0" tableColumnId="4777"/>
      <queryTableField id="11616" dataBound="0" tableColumnId="4778"/>
      <queryTableField id="11615" dataBound="0" tableColumnId="4779"/>
      <queryTableField id="11614" dataBound="0" tableColumnId="4780"/>
      <queryTableField id="11613" dataBound="0" tableColumnId="4781"/>
      <queryTableField id="11612" dataBound="0" tableColumnId="4782"/>
      <queryTableField id="11611" dataBound="0" tableColumnId="4783"/>
      <queryTableField id="11610" dataBound="0" tableColumnId="4784"/>
      <queryTableField id="11609" dataBound="0" tableColumnId="4785"/>
      <queryTableField id="11608" dataBound="0" tableColumnId="4786"/>
      <queryTableField id="11607" dataBound="0" tableColumnId="4787"/>
      <queryTableField id="11606" dataBound="0" tableColumnId="4788"/>
      <queryTableField id="11605" dataBound="0" tableColumnId="4789"/>
      <queryTableField id="11604" dataBound="0" tableColumnId="4790"/>
      <queryTableField id="11603" dataBound="0" tableColumnId="4791"/>
      <queryTableField id="11602" dataBound="0" tableColumnId="4792"/>
      <queryTableField id="11601" dataBound="0" tableColumnId="4793"/>
      <queryTableField id="11600" dataBound="0" tableColumnId="4794"/>
      <queryTableField id="11599" dataBound="0" tableColumnId="4795"/>
      <queryTableField id="11598" dataBound="0" tableColumnId="4796"/>
      <queryTableField id="11597" dataBound="0" tableColumnId="4797"/>
      <queryTableField id="11596" dataBound="0" tableColumnId="4798"/>
      <queryTableField id="11595" dataBound="0" tableColumnId="4799"/>
      <queryTableField id="11594" dataBound="0" tableColumnId="4800"/>
      <queryTableField id="11593" dataBound="0" tableColumnId="4801"/>
      <queryTableField id="11592" dataBound="0" tableColumnId="4802"/>
      <queryTableField id="11591" dataBound="0" tableColumnId="4803"/>
      <queryTableField id="11590" dataBound="0" tableColumnId="4804"/>
      <queryTableField id="11589" dataBound="0" tableColumnId="4805"/>
      <queryTableField id="11588" dataBound="0" tableColumnId="4806"/>
      <queryTableField id="11587" dataBound="0" tableColumnId="4807"/>
      <queryTableField id="11586" dataBound="0" tableColumnId="4808"/>
      <queryTableField id="11585" dataBound="0" tableColumnId="4809"/>
      <queryTableField id="11584" dataBound="0" tableColumnId="4810"/>
      <queryTableField id="11583" dataBound="0" tableColumnId="4811"/>
      <queryTableField id="11582" dataBound="0" tableColumnId="4812"/>
      <queryTableField id="11581" dataBound="0" tableColumnId="4813"/>
      <queryTableField id="11580" dataBound="0" tableColumnId="4814"/>
      <queryTableField id="11579" dataBound="0" tableColumnId="4815"/>
      <queryTableField id="11578" dataBound="0" tableColumnId="4816"/>
      <queryTableField id="11577" dataBound="0" tableColumnId="4817"/>
      <queryTableField id="11576" dataBound="0" tableColumnId="4818"/>
      <queryTableField id="11575" dataBound="0" tableColumnId="4819"/>
      <queryTableField id="11574" dataBound="0" tableColumnId="4820"/>
      <queryTableField id="11573" dataBound="0" tableColumnId="4821"/>
      <queryTableField id="11572" dataBound="0" tableColumnId="4822"/>
      <queryTableField id="11571" dataBound="0" tableColumnId="4823"/>
      <queryTableField id="11570" dataBound="0" tableColumnId="4824"/>
      <queryTableField id="11569" dataBound="0" tableColumnId="4825"/>
      <queryTableField id="11568" dataBound="0" tableColumnId="4826"/>
      <queryTableField id="11567" dataBound="0" tableColumnId="4827"/>
      <queryTableField id="11566" dataBound="0" tableColumnId="4828"/>
      <queryTableField id="11565" dataBound="0" tableColumnId="4829"/>
      <queryTableField id="11564" dataBound="0" tableColumnId="4830"/>
      <queryTableField id="11563" dataBound="0" tableColumnId="4831"/>
      <queryTableField id="11562" dataBound="0" tableColumnId="4832"/>
      <queryTableField id="11561" dataBound="0" tableColumnId="4833"/>
      <queryTableField id="11560" dataBound="0" tableColumnId="4834"/>
      <queryTableField id="11559" dataBound="0" tableColumnId="4835"/>
      <queryTableField id="11558" dataBound="0" tableColumnId="4836"/>
      <queryTableField id="11557" dataBound="0" tableColumnId="4837"/>
      <queryTableField id="11556" dataBound="0" tableColumnId="4838"/>
      <queryTableField id="11555" dataBound="0" tableColumnId="4839"/>
      <queryTableField id="11554" dataBound="0" tableColumnId="4840"/>
      <queryTableField id="11553" dataBound="0" tableColumnId="4841"/>
      <queryTableField id="11552" dataBound="0" tableColumnId="4842"/>
      <queryTableField id="11551" dataBound="0" tableColumnId="4843"/>
      <queryTableField id="11550" dataBound="0" tableColumnId="4844"/>
      <queryTableField id="11549" dataBound="0" tableColumnId="4845"/>
      <queryTableField id="11548" dataBound="0" tableColumnId="4846"/>
      <queryTableField id="11547" dataBound="0" tableColumnId="4847"/>
      <queryTableField id="11546" dataBound="0" tableColumnId="4848"/>
      <queryTableField id="11545" dataBound="0" tableColumnId="4849"/>
      <queryTableField id="11544" dataBound="0" tableColumnId="4850"/>
      <queryTableField id="11543" dataBound="0" tableColumnId="4851"/>
      <queryTableField id="11542" dataBound="0" tableColumnId="4852"/>
      <queryTableField id="11541" dataBound="0" tableColumnId="4853"/>
      <queryTableField id="11540" dataBound="0" tableColumnId="4854"/>
      <queryTableField id="11539" dataBound="0" tableColumnId="4855"/>
      <queryTableField id="11538" dataBound="0" tableColumnId="4856"/>
      <queryTableField id="11537" dataBound="0" tableColumnId="4857"/>
      <queryTableField id="11536" dataBound="0" tableColumnId="4858"/>
      <queryTableField id="11535" dataBound="0" tableColumnId="4859"/>
      <queryTableField id="11534" dataBound="0" tableColumnId="4860"/>
      <queryTableField id="11533" dataBound="0" tableColumnId="4861"/>
      <queryTableField id="11532" dataBound="0" tableColumnId="4862"/>
      <queryTableField id="11531" dataBound="0" tableColumnId="4863"/>
      <queryTableField id="11530" dataBound="0" tableColumnId="4864"/>
      <queryTableField id="11529" dataBound="0" tableColumnId="4865"/>
      <queryTableField id="11528" dataBound="0" tableColumnId="4866"/>
      <queryTableField id="11527" dataBound="0" tableColumnId="4867"/>
      <queryTableField id="11526" dataBound="0" tableColumnId="4868"/>
      <queryTableField id="11525" dataBound="0" tableColumnId="4869"/>
      <queryTableField id="11524" dataBound="0" tableColumnId="4870"/>
      <queryTableField id="11523" dataBound="0" tableColumnId="4871"/>
      <queryTableField id="11522" dataBound="0" tableColumnId="4872"/>
      <queryTableField id="11521" dataBound="0" tableColumnId="4873"/>
      <queryTableField id="11520" dataBound="0" tableColumnId="4874"/>
      <queryTableField id="11519" dataBound="0" tableColumnId="4875"/>
      <queryTableField id="11518" dataBound="0" tableColumnId="4876"/>
      <queryTableField id="11517" dataBound="0" tableColumnId="4877"/>
      <queryTableField id="11516" dataBound="0" tableColumnId="4878"/>
      <queryTableField id="11515" dataBound="0" tableColumnId="4879"/>
      <queryTableField id="11514" dataBound="0" tableColumnId="4880"/>
      <queryTableField id="11513" dataBound="0" tableColumnId="4881"/>
      <queryTableField id="11512" dataBound="0" tableColumnId="4882"/>
      <queryTableField id="11511" dataBound="0" tableColumnId="4883"/>
      <queryTableField id="11510" dataBound="0" tableColumnId="4884"/>
      <queryTableField id="11509" dataBound="0" tableColumnId="4885"/>
      <queryTableField id="11508" dataBound="0" tableColumnId="4886"/>
      <queryTableField id="11507" dataBound="0" tableColumnId="4887"/>
      <queryTableField id="11506" dataBound="0" tableColumnId="4888"/>
      <queryTableField id="11505" dataBound="0" tableColumnId="4889"/>
      <queryTableField id="11504" dataBound="0" tableColumnId="4890"/>
      <queryTableField id="11503" dataBound="0" tableColumnId="4891"/>
      <queryTableField id="11502" dataBound="0" tableColumnId="4892"/>
      <queryTableField id="11501" dataBound="0" tableColumnId="4893"/>
      <queryTableField id="11500" dataBound="0" tableColumnId="4894"/>
      <queryTableField id="11499" dataBound="0" tableColumnId="4895"/>
      <queryTableField id="11498" dataBound="0" tableColumnId="4896"/>
      <queryTableField id="11497" dataBound="0" tableColumnId="4897"/>
      <queryTableField id="11496" dataBound="0" tableColumnId="4898"/>
      <queryTableField id="11495" dataBound="0" tableColumnId="4899"/>
      <queryTableField id="11494" dataBound="0" tableColumnId="4900"/>
      <queryTableField id="11493" dataBound="0" tableColumnId="4901"/>
      <queryTableField id="11492" dataBound="0" tableColumnId="4902"/>
      <queryTableField id="11491" dataBound="0" tableColumnId="4903"/>
      <queryTableField id="11490" dataBound="0" tableColumnId="4904"/>
      <queryTableField id="11489" dataBound="0" tableColumnId="4905"/>
      <queryTableField id="11488" dataBound="0" tableColumnId="4906"/>
      <queryTableField id="11487" dataBound="0" tableColumnId="4907"/>
      <queryTableField id="11486" dataBound="0" tableColumnId="4908"/>
      <queryTableField id="11485" dataBound="0" tableColumnId="4909"/>
      <queryTableField id="11484" dataBound="0" tableColumnId="4910"/>
      <queryTableField id="11483" dataBound="0" tableColumnId="4911"/>
      <queryTableField id="11482" dataBound="0" tableColumnId="4912"/>
      <queryTableField id="11481" dataBound="0" tableColumnId="4913"/>
      <queryTableField id="11480" dataBound="0" tableColumnId="4914"/>
      <queryTableField id="11479" dataBound="0" tableColumnId="4915"/>
      <queryTableField id="11478" dataBound="0" tableColumnId="4916"/>
      <queryTableField id="11477" dataBound="0" tableColumnId="4917"/>
      <queryTableField id="11476" dataBound="0" tableColumnId="4918"/>
      <queryTableField id="11475" dataBound="0" tableColumnId="4919"/>
      <queryTableField id="11474" dataBound="0" tableColumnId="4920"/>
      <queryTableField id="11473" dataBound="0" tableColumnId="4921"/>
      <queryTableField id="11472" dataBound="0" tableColumnId="4922"/>
      <queryTableField id="11471" dataBound="0" tableColumnId="4923"/>
      <queryTableField id="11470" dataBound="0" tableColumnId="4924"/>
      <queryTableField id="11469" dataBound="0" tableColumnId="4925"/>
      <queryTableField id="11468" dataBound="0" tableColumnId="4926"/>
      <queryTableField id="11467" dataBound="0" tableColumnId="4927"/>
      <queryTableField id="11466" dataBound="0" tableColumnId="4928"/>
      <queryTableField id="11465" dataBound="0" tableColumnId="4929"/>
      <queryTableField id="11464" dataBound="0" tableColumnId="4930"/>
      <queryTableField id="11463" dataBound="0" tableColumnId="4931"/>
      <queryTableField id="11462" dataBound="0" tableColumnId="4932"/>
      <queryTableField id="11461" dataBound="0" tableColumnId="4933"/>
      <queryTableField id="11460" dataBound="0" tableColumnId="4934"/>
      <queryTableField id="11459" dataBound="0" tableColumnId="4935"/>
      <queryTableField id="11458" dataBound="0" tableColumnId="4936"/>
      <queryTableField id="11457" dataBound="0" tableColumnId="4937"/>
      <queryTableField id="11456" dataBound="0" tableColumnId="4938"/>
      <queryTableField id="11455" dataBound="0" tableColumnId="4939"/>
      <queryTableField id="11454" dataBound="0" tableColumnId="4940"/>
      <queryTableField id="11453" dataBound="0" tableColumnId="4941"/>
      <queryTableField id="11452" dataBound="0" tableColumnId="4942"/>
      <queryTableField id="11451" dataBound="0" tableColumnId="4943"/>
      <queryTableField id="11450" dataBound="0" tableColumnId="4944"/>
      <queryTableField id="11449" dataBound="0" tableColumnId="4945"/>
      <queryTableField id="11448" dataBound="0" tableColumnId="4946"/>
      <queryTableField id="11447" dataBound="0" tableColumnId="4947"/>
      <queryTableField id="11446" dataBound="0" tableColumnId="4948"/>
      <queryTableField id="11445" dataBound="0" tableColumnId="4949"/>
      <queryTableField id="11444" dataBound="0" tableColumnId="4950"/>
      <queryTableField id="11443" dataBound="0" tableColumnId="4951"/>
      <queryTableField id="11442" dataBound="0" tableColumnId="4952"/>
      <queryTableField id="11441" dataBound="0" tableColumnId="4953"/>
      <queryTableField id="11440" dataBound="0" tableColumnId="4954"/>
      <queryTableField id="11439" dataBound="0" tableColumnId="4955"/>
      <queryTableField id="11438" dataBound="0" tableColumnId="4956"/>
      <queryTableField id="11437" dataBound="0" tableColumnId="4957"/>
      <queryTableField id="11436" dataBound="0" tableColumnId="4958"/>
      <queryTableField id="11435" dataBound="0" tableColumnId="4959"/>
      <queryTableField id="11434" dataBound="0" tableColumnId="4960"/>
      <queryTableField id="11433" dataBound="0" tableColumnId="4961"/>
      <queryTableField id="11432" dataBound="0" tableColumnId="4962"/>
      <queryTableField id="11431" dataBound="0" tableColumnId="4963"/>
      <queryTableField id="11430" dataBound="0" tableColumnId="4964"/>
      <queryTableField id="11429" dataBound="0" tableColumnId="4965"/>
      <queryTableField id="11428" dataBound="0" tableColumnId="4966"/>
      <queryTableField id="11427" dataBound="0" tableColumnId="4967"/>
      <queryTableField id="11426" dataBound="0" tableColumnId="4968"/>
      <queryTableField id="11425" dataBound="0" tableColumnId="4969"/>
      <queryTableField id="11424" dataBound="0" tableColumnId="4970"/>
      <queryTableField id="11423" dataBound="0" tableColumnId="4971"/>
      <queryTableField id="11422" dataBound="0" tableColumnId="4972"/>
      <queryTableField id="11421" dataBound="0" tableColumnId="4973"/>
      <queryTableField id="11420" dataBound="0" tableColumnId="4974"/>
      <queryTableField id="11419" dataBound="0" tableColumnId="4975"/>
      <queryTableField id="11418" dataBound="0" tableColumnId="4976"/>
      <queryTableField id="11417" dataBound="0" tableColumnId="4977"/>
      <queryTableField id="11416" dataBound="0" tableColumnId="4978"/>
      <queryTableField id="11415" dataBound="0" tableColumnId="4979"/>
      <queryTableField id="11414" dataBound="0" tableColumnId="4980"/>
      <queryTableField id="11413" dataBound="0" tableColumnId="4981"/>
      <queryTableField id="11412" dataBound="0" tableColumnId="4982"/>
      <queryTableField id="11411" dataBound="0" tableColumnId="4983"/>
      <queryTableField id="11410" dataBound="0" tableColumnId="4984"/>
      <queryTableField id="11409" dataBound="0" tableColumnId="4985"/>
      <queryTableField id="11408" dataBound="0" tableColumnId="4986"/>
      <queryTableField id="11407" dataBound="0" tableColumnId="4987"/>
      <queryTableField id="11406" dataBound="0" tableColumnId="4988"/>
      <queryTableField id="11405" dataBound="0" tableColumnId="4989"/>
      <queryTableField id="11404" dataBound="0" tableColumnId="4990"/>
      <queryTableField id="11403" dataBound="0" tableColumnId="4991"/>
      <queryTableField id="11402" dataBound="0" tableColumnId="4992"/>
      <queryTableField id="11401" dataBound="0" tableColumnId="4993"/>
      <queryTableField id="11400" dataBound="0" tableColumnId="4994"/>
      <queryTableField id="11399" dataBound="0" tableColumnId="4995"/>
      <queryTableField id="11398" dataBound="0" tableColumnId="4996"/>
      <queryTableField id="11397" dataBound="0" tableColumnId="4997"/>
      <queryTableField id="11396" dataBound="0" tableColumnId="4998"/>
      <queryTableField id="11395" dataBound="0" tableColumnId="4999"/>
      <queryTableField id="11394" dataBound="0" tableColumnId="5000"/>
      <queryTableField id="11393" dataBound="0" tableColumnId="5001"/>
      <queryTableField id="11392" dataBound="0" tableColumnId="5002"/>
      <queryTableField id="11391" dataBound="0" tableColumnId="5003"/>
      <queryTableField id="11390" dataBound="0" tableColumnId="5004"/>
      <queryTableField id="11389" dataBound="0" tableColumnId="5005"/>
      <queryTableField id="11388" dataBound="0" tableColumnId="5006"/>
      <queryTableField id="11387" dataBound="0" tableColumnId="5007"/>
      <queryTableField id="11386" dataBound="0" tableColumnId="5008"/>
      <queryTableField id="11385" dataBound="0" tableColumnId="5009"/>
      <queryTableField id="11384" dataBound="0" tableColumnId="5010"/>
      <queryTableField id="11383" dataBound="0" tableColumnId="5011"/>
      <queryTableField id="11382" dataBound="0" tableColumnId="5012"/>
      <queryTableField id="11381" dataBound="0" tableColumnId="5013"/>
      <queryTableField id="11380" dataBound="0" tableColumnId="5014"/>
      <queryTableField id="11379" dataBound="0" tableColumnId="5015"/>
      <queryTableField id="11378" dataBound="0" tableColumnId="5016"/>
      <queryTableField id="11377" dataBound="0" tableColumnId="5017"/>
      <queryTableField id="11376" dataBound="0" tableColumnId="5018"/>
      <queryTableField id="11375" dataBound="0" tableColumnId="5019"/>
      <queryTableField id="11374" dataBound="0" tableColumnId="5020"/>
      <queryTableField id="11373" dataBound="0" tableColumnId="5021"/>
      <queryTableField id="11372" dataBound="0" tableColumnId="5022"/>
      <queryTableField id="11371" dataBound="0" tableColumnId="5023"/>
      <queryTableField id="11370" dataBound="0" tableColumnId="5024"/>
      <queryTableField id="11369" dataBound="0" tableColumnId="5025"/>
      <queryTableField id="11368" dataBound="0" tableColumnId="5026"/>
      <queryTableField id="11367" dataBound="0" tableColumnId="5027"/>
      <queryTableField id="11366" dataBound="0" tableColumnId="5028"/>
      <queryTableField id="11365" dataBound="0" tableColumnId="5029"/>
      <queryTableField id="11364" dataBound="0" tableColumnId="5030"/>
      <queryTableField id="11363" dataBound="0" tableColumnId="5031"/>
      <queryTableField id="11362" dataBound="0" tableColumnId="5032"/>
      <queryTableField id="11361" dataBound="0" tableColumnId="5033"/>
      <queryTableField id="11360" dataBound="0" tableColumnId="5034"/>
      <queryTableField id="11359" dataBound="0" tableColumnId="5035"/>
      <queryTableField id="11358" dataBound="0" tableColumnId="5036"/>
      <queryTableField id="11357" dataBound="0" tableColumnId="5037"/>
      <queryTableField id="11356" dataBound="0" tableColumnId="5038"/>
      <queryTableField id="11355" dataBound="0" tableColumnId="5039"/>
      <queryTableField id="11354" dataBound="0" tableColumnId="5040"/>
      <queryTableField id="11353" dataBound="0" tableColumnId="5041"/>
      <queryTableField id="11352" dataBound="0" tableColumnId="5042"/>
      <queryTableField id="11351" dataBound="0" tableColumnId="5043"/>
      <queryTableField id="11350" dataBound="0" tableColumnId="5044"/>
      <queryTableField id="11349" dataBound="0" tableColumnId="5045"/>
      <queryTableField id="11348" dataBound="0" tableColumnId="5046"/>
      <queryTableField id="11347" dataBound="0" tableColumnId="5047"/>
      <queryTableField id="11346" dataBound="0" tableColumnId="5048"/>
      <queryTableField id="11345" dataBound="0" tableColumnId="5049"/>
      <queryTableField id="11344" dataBound="0" tableColumnId="5050"/>
      <queryTableField id="11343" dataBound="0" tableColumnId="5051"/>
      <queryTableField id="11342" dataBound="0" tableColumnId="5052"/>
      <queryTableField id="11341" dataBound="0" tableColumnId="5053"/>
      <queryTableField id="11340" dataBound="0" tableColumnId="5054"/>
      <queryTableField id="11339" dataBound="0" tableColumnId="5055"/>
      <queryTableField id="11338" dataBound="0" tableColumnId="5056"/>
      <queryTableField id="11337" dataBound="0" tableColumnId="5057"/>
      <queryTableField id="11336" dataBound="0" tableColumnId="5058"/>
      <queryTableField id="11335" dataBound="0" tableColumnId="5059"/>
      <queryTableField id="11334" dataBound="0" tableColumnId="5060"/>
      <queryTableField id="11333" dataBound="0" tableColumnId="5061"/>
      <queryTableField id="11332" dataBound="0" tableColumnId="5062"/>
      <queryTableField id="11331" dataBound="0" tableColumnId="5063"/>
      <queryTableField id="11330" dataBound="0" tableColumnId="5064"/>
      <queryTableField id="11329" dataBound="0" tableColumnId="5065"/>
      <queryTableField id="11328" dataBound="0" tableColumnId="5066"/>
      <queryTableField id="11327" dataBound="0" tableColumnId="5067"/>
      <queryTableField id="11326" dataBound="0" tableColumnId="5068"/>
      <queryTableField id="11325" dataBound="0" tableColumnId="5069"/>
      <queryTableField id="11324" dataBound="0" tableColumnId="5070"/>
      <queryTableField id="11323" dataBound="0" tableColumnId="5071"/>
      <queryTableField id="11322" dataBound="0" tableColumnId="5072"/>
      <queryTableField id="11321" dataBound="0" tableColumnId="5073"/>
      <queryTableField id="11320" dataBound="0" tableColumnId="5074"/>
      <queryTableField id="11319" dataBound="0" tableColumnId="5075"/>
      <queryTableField id="11318" dataBound="0" tableColumnId="5076"/>
      <queryTableField id="11317" dataBound="0" tableColumnId="5077"/>
      <queryTableField id="11316" dataBound="0" tableColumnId="5078"/>
      <queryTableField id="11315" dataBound="0" tableColumnId="5079"/>
      <queryTableField id="11314" dataBound="0" tableColumnId="5080"/>
      <queryTableField id="11313" dataBound="0" tableColumnId="5081"/>
      <queryTableField id="11312" dataBound="0" tableColumnId="5082"/>
      <queryTableField id="11311" dataBound="0" tableColumnId="5083"/>
      <queryTableField id="11310" dataBound="0" tableColumnId="5084"/>
      <queryTableField id="11309" dataBound="0" tableColumnId="5085"/>
      <queryTableField id="11308" dataBound="0" tableColumnId="5086"/>
      <queryTableField id="11307" dataBound="0" tableColumnId="5087"/>
      <queryTableField id="11306" dataBound="0" tableColumnId="5088"/>
      <queryTableField id="11305" dataBound="0" tableColumnId="5089"/>
      <queryTableField id="11304" dataBound="0" tableColumnId="5090"/>
      <queryTableField id="11303" dataBound="0" tableColumnId="5091"/>
      <queryTableField id="11302" dataBound="0" tableColumnId="5092"/>
      <queryTableField id="11301" dataBound="0" tableColumnId="5093"/>
      <queryTableField id="11300" dataBound="0" tableColumnId="5094"/>
      <queryTableField id="11299" dataBound="0" tableColumnId="5095"/>
      <queryTableField id="11298" dataBound="0" tableColumnId="5096"/>
      <queryTableField id="11297" dataBound="0" tableColumnId="5097"/>
      <queryTableField id="11296" dataBound="0" tableColumnId="5098"/>
      <queryTableField id="11295" dataBound="0" tableColumnId="5099"/>
      <queryTableField id="11294" dataBound="0" tableColumnId="5100"/>
      <queryTableField id="11293" dataBound="0" tableColumnId="5101"/>
      <queryTableField id="11292" dataBound="0" tableColumnId="5102"/>
      <queryTableField id="11291" dataBound="0" tableColumnId="5103"/>
      <queryTableField id="11290" dataBound="0" tableColumnId="5104"/>
      <queryTableField id="11289" dataBound="0" tableColumnId="5105"/>
      <queryTableField id="11288" dataBound="0" tableColumnId="5106"/>
      <queryTableField id="11287" dataBound="0" tableColumnId="5107"/>
      <queryTableField id="11286" dataBound="0" tableColumnId="5108"/>
      <queryTableField id="11285" dataBound="0" tableColumnId="5109"/>
      <queryTableField id="11284" dataBound="0" tableColumnId="5110"/>
      <queryTableField id="11283" dataBound="0" tableColumnId="5111"/>
      <queryTableField id="11282" dataBound="0" tableColumnId="5112"/>
      <queryTableField id="11281" dataBound="0" tableColumnId="5113"/>
      <queryTableField id="11280" dataBound="0" tableColumnId="5114"/>
      <queryTableField id="11279" dataBound="0" tableColumnId="5115"/>
      <queryTableField id="11278" dataBound="0" tableColumnId="5116"/>
      <queryTableField id="11277" dataBound="0" tableColumnId="5117"/>
      <queryTableField id="11276" dataBound="0" tableColumnId="5118"/>
      <queryTableField id="11275" dataBound="0" tableColumnId="5119"/>
      <queryTableField id="11274" dataBound="0" tableColumnId="5120"/>
      <queryTableField id="11273" dataBound="0" tableColumnId="5121"/>
      <queryTableField id="11272" dataBound="0" tableColumnId="5122"/>
      <queryTableField id="11271" dataBound="0" tableColumnId="5123"/>
      <queryTableField id="11270" dataBound="0" tableColumnId="5124"/>
      <queryTableField id="11269" dataBound="0" tableColumnId="5125"/>
      <queryTableField id="11268" dataBound="0" tableColumnId="5126"/>
      <queryTableField id="11267" dataBound="0" tableColumnId="5127"/>
      <queryTableField id="11266" dataBound="0" tableColumnId="5128"/>
      <queryTableField id="11265" dataBound="0" tableColumnId="5129"/>
      <queryTableField id="11264" dataBound="0" tableColumnId="5130"/>
      <queryTableField id="11263" dataBound="0" tableColumnId="5131"/>
      <queryTableField id="11262" dataBound="0" tableColumnId="5132"/>
      <queryTableField id="11261" dataBound="0" tableColumnId="5133"/>
      <queryTableField id="11260" dataBound="0" tableColumnId="5134"/>
      <queryTableField id="11259" dataBound="0" tableColumnId="5135"/>
      <queryTableField id="11258" dataBound="0" tableColumnId="5136"/>
      <queryTableField id="11257" dataBound="0" tableColumnId="5137"/>
      <queryTableField id="11256" dataBound="0" tableColumnId="5138"/>
      <queryTableField id="11255" dataBound="0" tableColumnId="5139"/>
      <queryTableField id="11254" dataBound="0" tableColumnId="5140"/>
      <queryTableField id="11253" dataBound="0" tableColumnId="5141"/>
      <queryTableField id="11252" dataBound="0" tableColumnId="5142"/>
      <queryTableField id="11251" dataBound="0" tableColumnId="5143"/>
      <queryTableField id="11250" dataBound="0" tableColumnId="5144"/>
      <queryTableField id="11249" dataBound="0" tableColumnId="5145"/>
      <queryTableField id="11248" dataBound="0" tableColumnId="5146"/>
      <queryTableField id="11247" dataBound="0" tableColumnId="5147"/>
      <queryTableField id="11246" dataBound="0" tableColumnId="5148"/>
      <queryTableField id="11245" dataBound="0" tableColumnId="5149"/>
      <queryTableField id="11244" dataBound="0" tableColumnId="5150"/>
      <queryTableField id="11243" dataBound="0" tableColumnId="5151"/>
      <queryTableField id="11242" dataBound="0" tableColumnId="5152"/>
      <queryTableField id="11241" dataBound="0" tableColumnId="5153"/>
      <queryTableField id="11240" dataBound="0" tableColumnId="5154"/>
      <queryTableField id="11239" dataBound="0" tableColumnId="5155"/>
      <queryTableField id="11238" dataBound="0" tableColumnId="5156"/>
      <queryTableField id="11237" dataBound="0" tableColumnId="5157"/>
      <queryTableField id="11236" dataBound="0" tableColumnId="5158"/>
      <queryTableField id="11235" dataBound="0" tableColumnId="5159"/>
      <queryTableField id="11234" dataBound="0" tableColumnId="5160"/>
      <queryTableField id="11233" dataBound="0" tableColumnId="5161"/>
      <queryTableField id="11232" dataBound="0" tableColumnId="5162"/>
      <queryTableField id="11231" dataBound="0" tableColumnId="5163"/>
      <queryTableField id="11230" dataBound="0" tableColumnId="5164"/>
      <queryTableField id="11229" dataBound="0" tableColumnId="5165"/>
      <queryTableField id="11228" dataBound="0" tableColumnId="5166"/>
      <queryTableField id="11227" dataBound="0" tableColumnId="5167"/>
      <queryTableField id="11226" dataBound="0" tableColumnId="5168"/>
      <queryTableField id="11225" dataBound="0" tableColumnId="5169"/>
      <queryTableField id="11224" dataBound="0" tableColumnId="5170"/>
      <queryTableField id="11223" dataBound="0" tableColumnId="5171"/>
      <queryTableField id="11222" dataBound="0" tableColumnId="5172"/>
      <queryTableField id="11221" dataBound="0" tableColumnId="5173"/>
      <queryTableField id="11220" dataBound="0" tableColumnId="5174"/>
      <queryTableField id="11219" dataBound="0" tableColumnId="5175"/>
      <queryTableField id="11218" dataBound="0" tableColumnId="5176"/>
      <queryTableField id="11217" dataBound="0" tableColumnId="5177"/>
      <queryTableField id="11216" dataBound="0" tableColumnId="5178"/>
      <queryTableField id="11215" dataBound="0" tableColumnId="5179"/>
      <queryTableField id="11214" dataBound="0" tableColumnId="5180"/>
      <queryTableField id="11213" dataBound="0" tableColumnId="5181"/>
      <queryTableField id="11212" dataBound="0" tableColumnId="5182"/>
      <queryTableField id="11211" dataBound="0" tableColumnId="5183"/>
      <queryTableField id="11210" dataBound="0" tableColumnId="5184"/>
      <queryTableField id="11209" dataBound="0" tableColumnId="5185"/>
      <queryTableField id="11208" dataBound="0" tableColumnId="5186"/>
      <queryTableField id="11207" dataBound="0" tableColumnId="5187"/>
      <queryTableField id="11206" dataBound="0" tableColumnId="5188"/>
      <queryTableField id="11205" dataBound="0" tableColumnId="5189"/>
      <queryTableField id="11204" dataBound="0" tableColumnId="5190"/>
      <queryTableField id="11203" dataBound="0" tableColumnId="5191"/>
      <queryTableField id="11202" dataBound="0" tableColumnId="5192"/>
      <queryTableField id="11201" dataBound="0" tableColumnId="5193"/>
      <queryTableField id="11200" dataBound="0" tableColumnId="5194"/>
      <queryTableField id="11199" dataBound="0" tableColumnId="5195"/>
      <queryTableField id="11198" dataBound="0" tableColumnId="5196"/>
      <queryTableField id="11197" dataBound="0" tableColumnId="5197"/>
      <queryTableField id="11196" dataBound="0" tableColumnId="5198"/>
      <queryTableField id="11195" dataBound="0" tableColumnId="5199"/>
      <queryTableField id="11194" dataBound="0" tableColumnId="5200"/>
      <queryTableField id="11193" dataBound="0" tableColumnId="5201"/>
      <queryTableField id="11192" dataBound="0" tableColumnId="5202"/>
      <queryTableField id="11191" dataBound="0" tableColumnId="5203"/>
      <queryTableField id="11190" dataBound="0" tableColumnId="5204"/>
      <queryTableField id="11189" dataBound="0" tableColumnId="5205"/>
      <queryTableField id="11188" dataBound="0" tableColumnId="5206"/>
      <queryTableField id="11187" dataBound="0" tableColumnId="5207"/>
      <queryTableField id="11186" dataBound="0" tableColumnId="5208"/>
      <queryTableField id="11185" dataBound="0" tableColumnId="5209"/>
      <queryTableField id="11184" dataBound="0" tableColumnId="5210"/>
      <queryTableField id="11183" dataBound="0" tableColumnId="5211"/>
      <queryTableField id="11182" dataBound="0" tableColumnId="5212"/>
      <queryTableField id="11181" dataBound="0" tableColumnId="5213"/>
      <queryTableField id="11180" dataBound="0" tableColumnId="5214"/>
      <queryTableField id="11179" dataBound="0" tableColumnId="5215"/>
      <queryTableField id="11178" dataBound="0" tableColumnId="5216"/>
      <queryTableField id="11177" dataBound="0" tableColumnId="5217"/>
      <queryTableField id="11176" dataBound="0" tableColumnId="5218"/>
      <queryTableField id="11175" dataBound="0" tableColumnId="5219"/>
      <queryTableField id="11174" dataBound="0" tableColumnId="5220"/>
      <queryTableField id="11173" dataBound="0" tableColumnId="5221"/>
      <queryTableField id="11172" dataBound="0" tableColumnId="5222"/>
      <queryTableField id="11171" dataBound="0" tableColumnId="5223"/>
      <queryTableField id="11170" dataBound="0" tableColumnId="5224"/>
      <queryTableField id="11169" dataBound="0" tableColumnId="5225"/>
      <queryTableField id="11168" dataBound="0" tableColumnId="5226"/>
      <queryTableField id="11167" dataBound="0" tableColumnId="5227"/>
      <queryTableField id="11166" dataBound="0" tableColumnId="5228"/>
      <queryTableField id="11165" dataBound="0" tableColumnId="5229"/>
      <queryTableField id="11164" dataBound="0" tableColumnId="5230"/>
      <queryTableField id="11163" dataBound="0" tableColumnId="5231"/>
      <queryTableField id="11162" dataBound="0" tableColumnId="5232"/>
      <queryTableField id="11161" dataBound="0" tableColumnId="5233"/>
      <queryTableField id="11160" dataBound="0" tableColumnId="5234"/>
      <queryTableField id="11159" dataBound="0" tableColumnId="5235"/>
      <queryTableField id="11158" dataBound="0" tableColumnId="5236"/>
      <queryTableField id="11157" dataBound="0" tableColumnId="5237"/>
      <queryTableField id="11156" dataBound="0" tableColumnId="5238"/>
      <queryTableField id="11155" dataBound="0" tableColumnId="5239"/>
      <queryTableField id="11154" dataBound="0" tableColumnId="5240"/>
      <queryTableField id="11153" dataBound="0" tableColumnId="5241"/>
      <queryTableField id="11152" dataBound="0" tableColumnId="5242"/>
      <queryTableField id="11151" dataBound="0" tableColumnId="5243"/>
      <queryTableField id="11150" dataBound="0" tableColumnId="5244"/>
      <queryTableField id="11149" dataBound="0" tableColumnId="5245"/>
      <queryTableField id="11148" dataBound="0" tableColumnId="5246"/>
      <queryTableField id="11147" dataBound="0" tableColumnId="5247"/>
      <queryTableField id="11146" dataBound="0" tableColumnId="5248"/>
      <queryTableField id="11145" dataBound="0" tableColumnId="5249"/>
      <queryTableField id="11144" dataBound="0" tableColumnId="5250"/>
      <queryTableField id="11143" dataBound="0" tableColumnId="5251"/>
      <queryTableField id="11142" dataBound="0" tableColumnId="5252"/>
      <queryTableField id="11141" dataBound="0" tableColumnId="5253"/>
      <queryTableField id="11140" dataBound="0" tableColumnId="5254"/>
      <queryTableField id="11139" dataBound="0" tableColumnId="5255"/>
      <queryTableField id="11138" dataBound="0" tableColumnId="5256"/>
      <queryTableField id="11137" dataBound="0" tableColumnId="5257"/>
      <queryTableField id="11136" dataBound="0" tableColumnId="5258"/>
      <queryTableField id="11135" dataBound="0" tableColumnId="5259"/>
      <queryTableField id="11134" dataBound="0" tableColumnId="5260"/>
      <queryTableField id="11133" dataBound="0" tableColumnId="5261"/>
      <queryTableField id="11132" dataBound="0" tableColumnId="5262"/>
      <queryTableField id="11131" dataBound="0" tableColumnId="5263"/>
      <queryTableField id="11130" dataBound="0" tableColumnId="5264"/>
      <queryTableField id="11129" dataBound="0" tableColumnId="5265"/>
      <queryTableField id="11128" dataBound="0" tableColumnId="5266"/>
      <queryTableField id="11127" dataBound="0" tableColumnId="5267"/>
      <queryTableField id="11126" dataBound="0" tableColumnId="5268"/>
      <queryTableField id="11125" dataBound="0" tableColumnId="5269"/>
      <queryTableField id="11124" dataBound="0" tableColumnId="5270"/>
      <queryTableField id="11123" dataBound="0" tableColumnId="5271"/>
      <queryTableField id="11122" dataBound="0" tableColumnId="5272"/>
      <queryTableField id="11121" dataBound="0" tableColumnId="5273"/>
      <queryTableField id="11120" dataBound="0" tableColumnId="5274"/>
      <queryTableField id="11119" dataBound="0" tableColumnId="5275"/>
      <queryTableField id="11118" dataBound="0" tableColumnId="5276"/>
      <queryTableField id="11117" dataBound="0" tableColumnId="5277"/>
      <queryTableField id="11116" dataBound="0" tableColumnId="5278"/>
      <queryTableField id="11115" dataBound="0" tableColumnId="5279"/>
      <queryTableField id="11114" dataBound="0" tableColumnId="5280"/>
      <queryTableField id="11113" dataBound="0" tableColumnId="5281"/>
      <queryTableField id="11112" dataBound="0" tableColumnId="5282"/>
      <queryTableField id="11111" dataBound="0" tableColumnId="5283"/>
      <queryTableField id="11110" dataBound="0" tableColumnId="5284"/>
      <queryTableField id="11109" dataBound="0" tableColumnId="5285"/>
      <queryTableField id="11108" dataBound="0" tableColumnId="5286"/>
      <queryTableField id="11107" dataBound="0" tableColumnId="5287"/>
      <queryTableField id="11106" dataBound="0" tableColumnId="5288"/>
      <queryTableField id="11105" dataBound="0" tableColumnId="5289"/>
      <queryTableField id="11104" dataBound="0" tableColumnId="5290"/>
      <queryTableField id="11103" dataBound="0" tableColumnId="5291"/>
      <queryTableField id="11102" dataBound="0" tableColumnId="5292"/>
      <queryTableField id="11101" dataBound="0" tableColumnId="5293"/>
      <queryTableField id="11100" dataBound="0" tableColumnId="5294"/>
      <queryTableField id="11099" dataBound="0" tableColumnId="5295"/>
      <queryTableField id="11098" dataBound="0" tableColumnId="5296"/>
      <queryTableField id="11097" dataBound="0" tableColumnId="5297"/>
      <queryTableField id="11096" dataBound="0" tableColumnId="5298"/>
      <queryTableField id="11095" dataBound="0" tableColumnId="5299"/>
      <queryTableField id="11094" dataBound="0" tableColumnId="5300"/>
      <queryTableField id="11093" dataBound="0" tableColumnId="5301"/>
      <queryTableField id="11092" dataBound="0" tableColumnId="5302"/>
      <queryTableField id="11091" dataBound="0" tableColumnId="5303"/>
      <queryTableField id="11090" dataBound="0" tableColumnId="5304"/>
      <queryTableField id="11089" dataBound="0" tableColumnId="5305"/>
      <queryTableField id="11088" dataBound="0" tableColumnId="5306"/>
      <queryTableField id="11087" dataBound="0" tableColumnId="5307"/>
      <queryTableField id="11086" dataBound="0" tableColumnId="5308"/>
      <queryTableField id="11085" dataBound="0" tableColumnId="5309"/>
      <queryTableField id="11084" dataBound="0" tableColumnId="5310"/>
      <queryTableField id="11083" dataBound="0" tableColumnId="5311"/>
      <queryTableField id="11082" dataBound="0" tableColumnId="5312"/>
      <queryTableField id="11081" dataBound="0" tableColumnId="5313"/>
      <queryTableField id="11080" dataBound="0" tableColumnId="5314"/>
      <queryTableField id="11079" dataBound="0" tableColumnId="5315"/>
      <queryTableField id="11078" dataBound="0" tableColumnId="5316"/>
      <queryTableField id="11077" dataBound="0" tableColumnId="5317"/>
      <queryTableField id="11076" dataBound="0" tableColumnId="5318"/>
      <queryTableField id="11075" dataBound="0" tableColumnId="5319"/>
      <queryTableField id="11074" dataBound="0" tableColumnId="5320"/>
      <queryTableField id="11073" dataBound="0" tableColumnId="5321"/>
      <queryTableField id="11072" dataBound="0" tableColumnId="5322"/>
      <queryTableField id="11071" dataBound="0" tableColumnId="5323"/>
      <queryTableField id="11070" dataBound="0" tableColumnId="5324"/>
      <queryTableField id="11069" dataBound="0" tableColumnId="5325"/>
      <queryTableField id="11068" dataBound="0" tableColumnId="5326"/>
      <queryTableField id="11067" dataBound="0" tableColumnId="5327"/>
      <queryTableField id="11066" dataBound="0" tableColumnId="5328"/>
      <queryTableField id="11065" dataBound="0" tableColumnId="5329"/>
      <queryTableField id="11064" dataBound="0" tableColumnId="5330"/>
      <queryTableField id="11063" dataBound="0" tableColumnId="5331"/>
      <queryTableField id="11062" dataBound="0" tableColumnId="5332"/>
      <queryTableField id="11061" dataBound="0" tableColumnId="5333"/>
      <queryTableField id="11060" dataBound="0" tableColumnId="5334"/>
      <queryTableField id="11059" dataBound="0" tableColumnId="5335"/>
      <queryTableField id="11058" dataBound="0" tableColumnId="5336"/>
      <queryTableField id="11057" dataBound="0" tableColumnId="5337"/>
      <queryTableField id="11056" dataBound="0" tableColumnId="5338"/>
      <queryTableField id="11055" dataBound="0" tableColumnId="5339"/>
      <queryTableField id="11054" dataBound="0" tableColumnId="5340"/>
      <queryTableField id="11053" dataBound="0" tableColumnId="5341"/>
      <queryTableField id="11052" dataBound="0" tableColumnId="5342"/>
      <queryTableField id="11051" dataBound="0" tableColumnId="5343"/>
      <queryTableField id="11050" dataBound="0" tableColumnId="5344"/>
      <queryTableField id="11049" dataBound="0" tableColumnId="5345"/>
      <queryTableField id="11048" dataBound="0" tableColumnId="5346"/>
      <queryTableField id="11047" dataBound="0" tableColumnId="5347"/>
      <queryTableField id="11046" dataBound="0" tableColumnId="5348"/>
      <queryTableField id="11045" dataBound="0" tableColumnId="5349"/>
      <queryTableField id="11044" dataBound="0" tableColumnId="5350"/>
      <queryTableField id="11043" dataBound="0" tableColumnId="5351"/>
      <queryTableField id="11042" dataBound="0" tableColumnId="5352"/>
      <queryTableField id="11041" dataBound="0" tableColumnId="5353"/>
      <queryTableField id="11040" dataBound="0" tableColumnId="5354"/>
      <queryTableField id="11039" dataBound="0" tableColumnId="5355"/>
      <queryTableField id="11038" dataBound="0" tableColumnId="5356"/>
      <queryTableField id="11037" dataBound="0" tableColumnId="5357"/>
      <queryTableField id="11036" dataBound="0" tableColumnId="5358"/>
      <queryTableField id="11035" dataBound="0" tableColumnId="5359"/>
      <queryTableField id="11034" dataBound="0" tableColumnId="5360"/>
      <queryTableField id="11033" dataBound="0" tableColumnId="5361"/>
      <queryTableField id="11032" dataBound="0" tableColumnId="5362"/>
      <queryTableField id="11031" dataBound="0" tableColumnId="5363"/>
      <queryTableField id="11030" dataBound="0" tableColumnId="5364"/>
      <queryTableField id="11029" dataBound="0" tableColumnId="5365"/>
      <queryTableField id="11028" dataBound="0" tableColumnId="5366"/>
      <queryTableField id="11027" dataBound="0" tableColumnId="5367"/>
      <queryTableField id="11026" dataBound="0" tableColumnId="5368"/>
      <queryTableField id="11025" dataBound="0" tableColumnId="5369"/>
      <queryTableField id="11024" dataBound="0" tableColumnId="5370"/>
      <queryTableField id="11023" dataBound="0" tableColumnId="5371"/>
      <queryTableField id="11022" dataBound="0" tableColumnId="5372"/>
      <queryTableField id="11021" dataBound="0" tableColumnId="5373"/>
      <queryTableField id="11020" dataBound="0" tableColumnId="5374"/>
      <queryTableField id="11019" dataBound="0" tableColumnId="5375"/>
      <queryTableField id="11018" dataBound="0" tableColumnId="5376"/>
      <queryTableField id="11017" dataBound="0" tableColumnId="5377"/>
      <queryTableField id="11016" dataBound="0" tableColumnId="5378"/>
      <queryTableField id="11015" dataBound="0" tableColumnId="5379"/>
      <queryTableField id="11014" dataBound="0" tableColumnId="5380"/>
      <queryTableField id="11013" dataBound="0" tableColumnId="5381"/>
      <queryTableField id="11012" dataBound="0" tableColumnId="5382"/>
      <queryTableField id="11011" dataBound="0" tableColumnId="5383"/>
      <queryTableField id="11010" dataBound="0" tableColumnId="5384"/>
      <queryTableField id="11009" dataBound="0" tableColumnId="5385"/>
      <queryTableField id="11008" dataBound="0" tableColumnId="5386"/>
      <queryTableField id="11007" dataBound="0" tableColumnId="5387"/>
      <queryTableField id="11006" dataBound="0" tableColumnId="5388"/>
      <queryTableField id="11005" dataBound="0" tableColumnId="5389"/>
      <queryTableField id="11004" dataBound="0" tableColumnId="5390"/>
      <queryTableField id="11003" dataBound="0" tableColumnId="5391"/>
      <queryTableField id="11002" dataBound="0" tableColumnId="5392"/>
      <queryTableField id="11001" dataBound="0" tableColumnId="5393"/>
      <queryTableField id="11000" dataBound="0" tableColumnId="5394"/>
      <queryTableField id="10999" dataBound="0" tableColumnId="5395"/>
      <queryTableField id="10998" dataBound="0" tableColumnId="5396"/>
      <queryTableField id="10997" dataBound="0" tableColumnId="5397"/>
      <queryTableField id="10996" dataBound="0" tableColumnId="5398"/>
      <queryTableField id="10995" dataBound="0" tableColumnId="5399"/>
      <queryTableField id="10994" dataBound="0" tableColumnId="5400"/>
      <queryTableField id="10993" dataBound="0" tableColumnId="5401"/>
      <queryTableField id="10992" dataBound="0" tableColumnId="5402"/>
      <queryTableField id="10991" dataBound="0" tableColumnId="5403"/>
      <queryTableField id="10990" dataBound="0" tableColumnId="5404"/>
      <queryTableField id="10989" dataBound="0" tableColumnId="5405"/>
      <queryTableField id="10988" dataBound="0" tableColumnId="5406"/>
      <queryTableField id="10987" dataBound="0" tableColumnId="5407"/>
      <queryTableField id="10986" dataBound="0" tableColumnId="5408"/>
      <queryTableField id="10985" dataBound="0" tableColumnId="5409"/>
      <queryTableField id="10984" dataBound="0" tableColumnId="5410"/>
      <queryTableField id="10983" dataBound="0" tableColumnId="5411"/>
      <queryTableField id="10982" dataBound="0" tableColumnId="5412"/>
      <queryTableField id="10981" dataBound="0" tableColumnId="5413"/>
      <queryTableField id="10980" dataBound="0" tableColumnId="5414"/>
      <queryTableField id="10979" dataBound="0" tableColumnId="5415"/>
      <queryTableField id="10978" dataBound="0" tableColumnId="5416"/>
      <queryTableField id="10977" dataBound="0" tableColumnId="5417"/>
      <queryTableField id="10976" dataBound="0" tableColumnId="5418"/>
      <queryTableField id="10975" dataBound="0" tableColumnId="5419"/>
      <queryTableField id="10974" dataBound="0" tableColumnId="5420"/>
      <queryTableField id="10973" dataBound="0" tableColumnId="5421"/>
      <queryTableField id="10972" dataBound="0" tableColumnId="5422"/>
      <queryTableField id="10971" dataBound="0" tableColumnId="5423"/>
      <queryTableField id="10970" dataBound="0" tableColumnId="5424"/>
      <queryTableField id="10969" dataBound="0" tableColumnId="5425"/>
      <queryTableField id="10968" dataBound="0" tableColumnId="5426"/>
      <queryTableField id="10967" dataBound="0" tableColumnId="5427"/>
      <queryTableField id="10966" dataBound="0" tableColumnId="5428"/>
      <queryTableField id="10965" dataBound="0" tableColumnId="5429"/>
      <queryTableField id="10964" dataBound="0" tableColumnId="5430"/>
      <queryTableField id="10963" dataBound="0" tableColumnId="5431"/>
      <queryTableField id="10962" dataBound="0" tableColumnId="5432"/>
      <queryTableField id="10961" dataBound="0" tableColumnId="5433"/>
      <queryTableField id="10960" dataBound="0" tableColumnId="5434"/>
      <queryTableField id="10959" dataBound="0" tableColumnId="5435"/>
      <queryTableField id="10958" dataBound="0" tableColumnId="5436"/>
      <queryTableField id="10957" dataBound="0" tableColumnId="5437"/>
      <queryTableField id="10956" dataBound="0" tableColumnId="5438"/>
      <queryTableField id="10955" dataBound="0" tableColumnId="5439"/>
      <queryTableField id="10954" dataBound="0" tableColumnId="5440"/>
      <queryTableField id="10953" dataBound="0" tableColumnId="5441"/>
      <queryTableField id="10952" dataBound="0" tableColumnId="5442"/>
      <queryTableField id="10951" dataBound="0" tableColumnId="5443"/>
      <queryTableField id="10950" dataBound="0" tableColumnId="5444"/>
      <queryTableField id="10949" dataBound="0" tableColumnId="5445"/>
      <queryTableField id="10948" dataBound="0" tableColumnId="5446"/>
      <queryTableField id="10947" dataBound="0" tableColumnId="5447"/>
      <queryTableField id="10946" dataBound="0" tableColumnId="5448"/>
      <queryTableField id="10945" dataBound="0" tableColumnId="5449"/>
      <queryTableField id="10944" dataBound="0" tableColumnId="5450"/>
      <queryTableField id="10943" dataBound="0" tableColumnId="5451"/>
      <queryTableField id="10942" dataBound="0" tableColumnId="5452"/>
      <queryTableField id="10941" dataBound="0" tableColumnId="5453"/>
      <queryTableField id="10940" dataBound="0" tableColumnId="5454"/>
      <queryTableField id="10939" dataBound="0" tableColumnId="5455"/>
      <queryTableField id="10938" dataBound="0" tableColumnId="5456"/>
      <queryTableField id="10937" dataBound="0" tableColumnId="5457"/>
      <queryTableField id="10936" dataBound="0" tableColumnId="5458"/>
      <queryTableField id="10935" dataBound="0" tableColumnId="5459"/>
      <queryTableField id="10934" dataBound="0" tableColumnId="5460"/>
      <queryTableField id="10933" dataBound="0" tableColumnId="5461"/>
      <queryTableField id="10932" dataBound="0" tableColumnId="5462"/>
      <queryTableField id="10931" dataBound="0" tableColumnId="5463"/>
      <queryTableField id="10930" dataBound="0" tableColumnId="5464"/>
      <queryTableField id="10929" dataBound="0" tableColumnId="5465"/>
      <queryTableField id="10928" dataBound="0" tableColumnId="5466"/>
      <queryTableField id="10927" dataBound="0" tableColumnId="5467"/>
      <queryTableField id="10926" dataBound="0" tableColumnId="5468"/>
      <queryTableField id="10925" dataBound="0" tableColumnId="5469"/>
      <queryTableField id="10924" dataBound="0" tableColumnId="5470"/>
      <queryTableField id="10923" dataBound="0" tableColumnId="5471"/>
      <queryTableField id="10922" dataBound="0" tableColumnId="5472"/>
      <queryTableField id="10921" dataBound="0" tableColumnId="5473"/>
      <queryTableField id="10920" dataBound="0" tableColumnId="5474"/>
      <queryTableField id="10919" dataBound="0" tableColumnId="5475"/>
      <queryTableField id="10918" dataBound="0" tableColumnId="5476"/>
      <queryTableField id="10917" dataBound="0" tableColumnId="5477"/>
      <queryTableField id="10916" dataBound="0" tableColumnId="5478"/>
      <queryTableField id="10915" dataBound="0" tableColumnId="5479"/>
      <queryTableField id="10914" dataBound="0" tableColumnId="5480"/>
      <queryTableField id="10913" dataBound="0" tableColumnId="5481"/>
      <queryTableField id="10912" dataBound="0" tableColumnId="5482"/>
      <queryTableField id="10911" dataBound="0" tableColumnId="5483"/>
      <queryTableField id="10910" dataBound="0" tableColumnId="5484"/>
      <queryTableField id="10909" dataBound="0" tableColumnId="5485"/>
      <queryTableField id="10908" dataBound="0" tableColumnId="5486"/>
      <queryTableField id="10907" dataBound="0" tableColumnId="5487"/>
      <queryTableField id="10906" dataBound="0" tableColumnId="5488"/>
      <queryTableField id="10905" dataBound="0" tableColumnId="5489"/>
      <queryTableField id="10904" dataBound="0" tableColumnId="5490"/>
      <queryTableField id="10903" dataBound="0" tableColumnId="5491"/>
      <queryTableField id="10902" dataBound="0" tableColumnId="5492"/>
      <queryTableField id="10901" dataBound="0" tableColumnId="5493"/>
      <queryTableField id="10900" dataBound="0" tableColumnId="5494"/>
      <queryTableField id="10899" dataBound="0" tableColumnId="5495"/>
      <queryTableField id="10898" dataBound="0" tableColumnId="5496"/>
      <queryTableField id="10897" dataBound="0" tableColumnId="5497"/>
      <queryTableField id="10896" dataBound="0" tableColumnId="5498"/>
      <queryTableField id="10895" dataBound="0" tableColumnId="5499"/>
      <queryTableField id="10894" dataBound="0" tableColumnId="5500"/>
      <queryTableField id="10893" dataBound="0" tableColumnId="5501"/>
      <queryTableField id="10892" dataBound="0" tableColumnId="5502"/>
      <queryTableField id="10891" dataBound="0" tableColumnId="5503"/>
      <queryTableField id="10890" dataBound="0" tableColumnId="5504"/>
      <queryTableField id="10889" dataBound="0" tableColumnId="5505"/>
      <queryTableField id="10888" dataBound="0" tableColumnId="5506"/>
      <queryTableField id="10887" dataBound="0" tableColumnId="5507"/>
      <queryTableField id="10886" dataBound="0" tableColumnId="5508"/>
      <queryTableField id="10885" dataBound="0" tableColumnId="5509"/>
      <queryTableField id="10884" dataBound="0" tableColumnId="5510"/>
      <queryTableField id="10883" dataBound="0" tableColumnId="5511"/>
      <queryTableField id="10882" dataBound="0" tableColumnId="5512"/>
      <queryTableField id="10881" dataBound="0" tableColumnId="5513"/>
      <queryTableField id="10880" dataBound="0" tableColumnId="5514"/>
      <queryTableField id="10879" dataBound="0" tableColumnId="5515"/>
      <queryTableField id="10878" dataBound="0" tableColumnId="5516"/>
      <queryTableField id="10877" dataBound="0" tableColumnId="5517"/>
      <queryTableField id="10876" dataBound="0" tableColumnId="5518"/>
      <queryTableField id="10875" dataBound="0" tableColumnId="5519"/>
      <queryTableField id="10874" dataBound="0" tableColumnId="5520"/>
      <queryTableField id="10873" dataBound="0" tableColumnId="5521"/>
      <queryTableField id="10872" dataBound="0" tableColumnId="5522"/>
      <queryTableField id="10871" dataBound="0" tableColumnId="5523"/>
      <queryTableField id="10870" dataBound="0" tableColumnId="5524"/>
      <queryTableField id="10869" dataBound="0" tableColumnId="5525"/>
      <queryTableField id="10868" dataBound="0" tableColumnId="5526"/>
      <queryTableField id="10867" dataBound="0" tableColumnId="5527"/>
      <queryTableField id="10866" dataBound="0" tableColumnId="5528"/>
      <queryTableField id="10865" dataBound="0" tableColumnId="5529"/>
      <queryTableField id="10864" dataBound="0" tableColumnId="5530"/>
      <queryTableField id="10863" dataBound="0" tableColumnId="5531"/>
      <queryTableField id="10862" dataBound="0" tableColumnId="5532"/>
      <queryTableField id="10861" dataBound="0" tableColumnId="5533"/>
      <queryTableField id="10860" dataBound="0" tableColumnId="5534"/>
      <queryTableField id="10859" dataBound="0" tableColumnId="5535"/>
      <queryTableField id="10858" dataBound="0" tableColumnId="5536"/>
      <queryTableField id="10857" dataBound="0" tableColumnId="5537"/>
      <queryTableField id="10856" dataBound="0" tableColumnId="5538"/>
      <queryTableField id="10855" dataBound="0" tableColumnId="5539"/>
      <queryTableField id="10854" dataBound="0" tableColumnId="5540"/>
      <queryTableField id="10853" dataBound="0" tableColumnId="5541"/>
      <queryTableField id="10852" dataBound="0" tableColumnId="5542"/>
      <queryTableField id="10851" dataBound="0" tableColumnId="5543"/>
      <queryTableField id="10850" dataBound="0" tableColumnId="5544"/>
      <queryTableField id="10849" dataBound="0" tableColumnId="5545"/>
      <queryTableField id="10848" dataBound="0" tableColumnId="5546"/>
      <queryTableField id="10847" dataBound="0" tableColumnId="5547"/>
      <queryTableField id="10846" dataBound="0" tableColumnId="5548"/>
      <queryTableField id="10845" dataBound="0" tableColumnId="5549"/>
      <queryTableField id="10844" dataBound="0" tableColumnId="5550"/>
      <queryTableField id="10843" dataBound="0" tableColumnId="5551"/>
      <queryTableField id="10842" dataBound="0" tableColumnId="5552"/>
      <queryTableField id="10841" dataBound="0" tableColumnId="5553"/>
      <queryTableField id="10840" dataBound="0" tableColumnId="5554"/>
      <queryTableField id="10839" dataBound="0" tableColumnId="5555"/>
      <queryTableField id="10838" dataBound="0" tableColumnId="5556"/>
      <queryTableField id="10837" dataBound="0" tableColumnId="5557"/>
      <queryTableField id="10836" dataBound="0" tableColumnId="5558"/>
      <queryTableField id="10835" dataBound="0" tableColumnId="5559"/>
      <queryTableField id="10834" dataBound="0" tableColumnId="5560"/>
      <queryTableField id="10833" dataBound="0" tableColumnId="5561"/>
      <queryTableField id="10832" dataBound="0" tableColumnId="5562"/>
      <queryTableField id="10831" dataBound="0" tableColumnId="5563"/>
      <queryTableField id="10830" dataBound="0" tableColumnId="5564"/>
      <queryTableField id="10829" dataBound="0" tableColumnId="5565"/>
      <queryTableField id="10828" dataBound="0" tableColumnId="5566"/>
      <queryTableField id="10827" dataBound="0" tableColumnId="5567"/>
      <queryTableField id="10826" dataBound="0" tableColumnId="5568"/>
      <queryTableField id="10825" dataBound="0" tableColumnId="5569"/>
      <queryTableField id="10824" dataBound="0" tableColumnId="5570"/>
      <queryTableField id="10823" dataBound="0" tableColumnId="5571"/>
      <queryTableField id="10822" dataBound="0" tableColumnId="5572"/>
      <queryTableField id="10821" dataBound="0" tableColumnId="5573"/>
      <queryTableField id="10820" dataBound="0" tableColumnId="5574"/>
      <queryTableField id="10819" dataBound="0" tableColumnId="5575"/>
      <queryTableField id="10818" dataBound="0" tableColumnId="5576"/>
      <queryTableField id="10817" dataBound="0" tableColumnId="5577"/>
      <queryTableField id="10816" dataBound="0" tableColumnId="5578"/>
      <queryTableField id="10815" dataBound="0" tableColumnId="5579"/>
      <queryTableField id="10814" dataBound="0" tableColumnId="5580"/>
      <queryTableField id="10813" dataBound="0" tableColumnId="5581"/>
      <queryTableField id="10812" dataBound="0" tableColumnId="5582"/>
      <queryTableField id="10811" dataBound="0" tableColumnId="5583"/>
      <queryTableField id="10810" dataBound="0" tableColumnId="5584"/>
      <queryTableField id="10809" dataBound="0" tableColumnId="5585"/>
      <queryTableField id="10808" dataBound="0" tableColumnId="5586"/>
      <queryTableField id="10807" dataBound="0" tableColumnId="5587"/>
      <queryTableField id="10806" dataBound="0" tableColumnId="5588"/>
      <queryTableField id="10805" dataBound="0" tableColumnId="5589"/>
      <queryTableField id="10804" dataBound="0" tableColumnId="5590"/>
      <queryTableField id="10803" dataBound="0" tableColumnId="5591"/>
      <queryTableField id="10802" dataBound="0" tableColumnId="5592"/>
      <queryTableField id="10801" dataBound="0" tableColumnId="5593"/>
      <queryTableField id="10800" dataBound="0" tableColumnId="5594"/>
      <queryTableField id="10799" dataBound="0" tableColumnId="5595"/>
      <queryTableField id="10798" dataBound="0" tableColumnId="5596"/>
      <queryTableField id="10797" dataBound="0" tableColumnId="5597"/>
      <queryTableField id="10796" dataBound="0" tableColumnId="5598"/>
      <queryTableField id="10795" dataBound="0" tableColumnId="5599"/>
      <queryTableField id="10794" dataBound="0" tableColumnId="5600"/>
      <queryTableField id="10793" dataBound="0" tableColumnId="5601"/>
      <queryTableField id="10792" dataBound="0" tableColumnId="5602"/>
      <queryTableField id="10791" dataBound="0" tableColumnId="5603"/>
      <queryTableField id="10790" dataBound="0" tableColumnId="5604"/>
      <queryTableField id="10789" dataBound="0" tableColumnId="5605"/>
      <queryTableField id="10788" dataBound="0" tableColumnId="5606"/>
      <queryTableField id="10787" dataBound="0" tableColumnId="5607"/>
      <queryTableField id="10786" dataBound="0" tableColumnId="5608"/>
      <queryTableField id="10785" dataBound="0" tableColumnId="5609"/>
      <queryTableField id="10784" dataBound="0" tableColumnId="5610"/>
      <queryTableField id="10783" dataBound="0" tableColumnId="5611"/>
      <queryTableField id="10782" dataBound="0" tableColumnId="5612"/>
      <queryTableField id="10781" dataBound="0" tableColumnId="5613"/>
      <queryTableField id="10780" dataBound="0" tableColumnId="5614"/>
      <queryTableField id="10779" dataBound="0" tableColumnId="5615"/>
      <queryTableField id="10778" dataBound="0" tableColumnId="5616"/>
      <queryTableField id="10777" dataBound="0" tableColumnId="5617"/>
      <queryTableField id="10776" dataBound="0" tableColumnId="5618"/>
      <queryTableField id="10775" dataBound="0" tableColumnId="5619"/>
      <queryTableField id="10774" dataBound="0" tableColumnId="5620"/>
      <queryTableField id="10773" dataBound="0" tableColumnId="5621"/>
      <queryTableField id="10772" dataBound="0" tableColumnId="5622"/>
      <queryTableField id="10771" dataBound="0" tableColumnId="5623"/>
      <queryTableField id="10770" dataBound="0" tableColumnId="5624"/>
      <queryTableField id="10769" dataBound="0" tableColumnId="5625"/>
      <queryTableField id="10768" dataBound="0" tableColumnId="5626"/>
      <queryTableField id="10767" dataBound="0" tableColumnId="5627"/>
      <queryTableField id="10766" dataBound="0" tableColumnId="5628"/>
      <queryTableField id="10765" dataBound="0" tableColumnId="5629"/>
      <queryTableField id="10764" dataBound="0" tableColumnId="5630"/>
      <queryTableField id="10763" dataBound="0" tableColumnId="5631"/>
      <queryTableField id="10762" dataBound="0" tableColumnId="5632"/>
      <queryTableField id="10761" dataBound="0" tableColumnId="5633"/>
      <queryTableField id="10760" dataBound="0" tableColumnId="5634"/>
      <queryTableField id="10759" dataBound="0" tableColumnId="5635"/>
      <queryTableField id="10758" dataBound="0" tableColumnId="5636"/>
      <queryTableField id="10757" dataBound="0" tableColumnId="5637"/>
      <queryTableField id="10756" dataBound="0" tableColumnId="5638"/>
      <queryTableField id="10755" dataBound="0" tableColumnId="5639"/>
      <queryTableField id="10754" dataBound="0" tableColumnId="5640"/>
      <queryTableField id="10753" dataBound="0" tableColumnId="5641"/>
      <queryTableField id="10752" dataBound="0" tableColumnId="5642"/>
      <queryTableField id="10751" dataBound="0" tableColumnId="5643"/>
      <queryTableField id="10750" dataBound="0" tableColumnId="5644"/>
      <queryTableField id="10749" dataBound="0" tableColumnId="5645"/>
      <queryTableField id="10748" dataBound="0" tableColumnId="5646"/>
      <queryTableField id="10747" dataBound="0" tableColumnId="5647"/>
      <queryTableField id="10746" dataBound="0" tableColumnId="5648"/>
      <queryTableField id="10745" dataBound="0" tableColumnId="5649"/>
      <queryTableField id="10744" dataBound="0" tableColumnId="5650"/>
      <queryTableField id="10743" dataBound="0" tableColumnId="5651"/>
      <queryTableField id="10742" dataBound="0" tableColumnId="5652"/>
      <queryTableField id="10741" dataBound="0" tableColumnId="5653"/>
      <queryTableField id="10740" dataBound="0" tableColumnId="5654"/>
      <queryTableField id="10739" dataBound="0" tableColumnId="5655"/>
      <queryTableField id="10738" dataBound="0" tableColumnId="5656"/>
      <queryTableField id="10737" dataBound="0" tableColumnId="5657"/>
      <queryTableField id="10736" dataBound="0" tableColumnId="5658"/>
      <queryTableField id="10735" dataBound="0" tableColumnId="5659"/>
      <queryTableField id="10734" dataBound="0" tableColumnId="5660"/>
      <queryTableField id="10733" dataBound="0" tableColumnId="5661"/>
      <queryTableField id="10732" dataBound="0" tableColumnId="5662"/>
      <queryTableField id="10731" dataBound="0" tableColumnId="5663"/>
      <queryTableField id="10730" dataBound="0" tableColumnId="5664"/>
      <queryTableField id="10729" dataBound="0" tableColumnId="5665"/>
      <queryTableField id="10728" dataBound="0" tableColumnId="5666"/>
      <queryTableField id="10727" dataBound="0" tableColumnId="5667"/>
      <queryTableField id="10726" dataBound="0" tableColumnId="5668"/>
      <queryTableField id="10725" dataBound="0" tableColumnId="5669"/>
      <queryTableField id="10724" dataBound="0" tableColumnId="5670"/>
      <queryTableField id="10723" dataBound="0" tableColumnId="5671"/>
      <queryTableField id="10722" dataBound="0" tableColumnId="5672"/>
      <queryTableField id="10721" dataBound="0" tableColumnId="5673"/>
      <queryTableField id="10720" dataBound="0" tableColumnId="5674"/>
      <queryTableField id="10719" dataBound="0" tableColumnId="5675"/>
      <queryTableField id="10718" dataBound="0" tableColumnId="5676"/>
      <queryTableField id="10717" dataBound="0" tableColumnId="5677"/>
      <queryTableField id="10716" dataBound="0" tableColumnId="5678"/>
      <queryTableField id="10715" dataBound="0" tableColumnId="5679"/>
      <queryTableField id="10714" dataBound="0" tableColumnId="5680"/>
      <queryTableField id="10713" dataBound="0" tableColumnId="5681"/>
      <queryTableField id="10712" dataBound="0" tableColumnId="5682"/>
      <queryTableField id="10711" dataBound="0" tableColumnId="5683"/>
      <queryTableField id="10710" dataBound="0" tableColumnId="5684"/>
      <queryTableField id="10709" dataBound="0" tableColumnId="5685"/>
      <queryTableField id="10708" dataBound="0" tableColumnId="5686"/>
      <queryTableField id="10707" dataBound="0" tableColumnId="5687"/>
      <queryTableField id="10706" dataBound="0" tableColumnId="5688"/>
      <queryTableField id="10705" dataBound="0" tableColumnId="5689"/>
      <queryTableField id="10704" dataBound="0" tableColumnId="5690"/>
      <queryTableField id="10703" dataBound="0" tableColumnId="5691"/>
      <queryTableField id="10702" dataBound="0" tableColumnId="5692"/>
      <queryTableField id="10701" dataBound="0" tableColumnId="5693"/>
      <queryTableField id="10700" dataBound="0" tableColumnId="5694"/>
      <queryTableField id="10699" dataBound="0" tableColumnId="5695"/>
      <queryTableField id="10698" dataBound="0" tableColumnId="5696"/>
      <queryTableField id="10697" dataBound="0" tableColumnId="5697"/>
      <queryTableField id="10696" dataBound="0" tableColumnId="5698"/>
      <queryTableField id="10695" dataBound="0" tableColumnId="5699"/>
      <queryTableField id="10694" dataBound="0" tableColumnId="5700"/>
      <queryTableField id="10693" dataBound="0" tableColumnId="5701"/>
      <queryTableField id="10692" dataBound="0" tableColumnId="5702"/>
      <queryTableField id="10691" dataBound="0" tableColumnId="5703"/>
      <queryTableField id="10690" dataBound="0" tableColumnId="5704"/>
      <queryTableField id="10689" dataBound="0" tableColumnId="5705"/>
      <queryTableField id="10688" dataBound="0" tableColumnId="5706"/>
      <queryTableField id="10687" dataBound="0" tableColumnId="5707"/>
      <queryTableField id="10686" dataBound="0" tableColumnId="5708"/>
      <queryTableField id="10685" dataBound="0" tableColumnId="5709"/>
      <queryTableField id="10684" dataBound="0" tableColumnId="5710"/>
      <queryTableField id="10683" dataBound="0" tableColumnId="5711"/>
      <queryTableField id="10682" dataBound="0" tableColumnId="5712"/>
      <queryTableField id="10681" dataBound="0" tableColumnId="5713"/>
      <queryTableField id="10680" dataBound="0" tableColumnId="5714"/>
      <queryTableField id="10679" dataBound="0" tableColumnId="5715"/>
      <queryTableField id="10678" dataBound="0" tableColumnId="5716"/>
      <queryTableField id="10677" dataBound="0" tableColumnId="5717"/>
      <queryTableField id="10676" dataBound="0" tableColumnId="5718"/>
      <queryTableField id="10675" dataBound="0" tableColumnId="5719"/>
      <queryTableField id="10674" dataBound="0" tableColumnId="5720"/>
      <queryTableField id="10673" dataBound="0" tableColumnId="5721"/>
      <queryTableField id="10672" dataBound="0" tableColumnId="5722"/>
      <queryTableField id="10671" dataBound="0" tableColumnId="5723"/>
      <queryTableField id="10670" dataBound="0" tableColumnId="5724"/>
      <queryTableField id="10669" dataBound="0" tableColumnId="5725"/>
      <queryTableField id="10668" dataBound="0" tableColumnId="5726"/>
      <queryTableField id="10667" dataBound="0" tableColumnId="5727"/>
      <queryTableField id="10666" dataBound="0" tableColumnId="5728"/>
      <queryTableField id="10665" dataBound="0" tableColumnId="5729"/>
      <queryTableField id="10664" dataBound="0" tableColumnId="5730"/>
      <queryTableField id="10663" dataBound="0" tableColumnId="5731"/>
      <queryTableField id="10662" dataBound="0" tableColumnId="5732"/>
      <queryTableField id="10661" dataBound="0" tableColumnId="5733"/>
      <queryTableField id="10660" dataBound="0" tableColumnId="5734"/>
      <queryTableField id="10659" dataBound="0" tableColumnId="5735"/>
      <queryTableField id="10658" dataBound="0" tableColumnId="5736"/>
      <queryTableField id="10657" dataBound="0" tableColumnId="5737"/>
      <queryTableField id="10656" dataBound="0" tableColumnId="5738"/>
      <queryTableField id="10655" dataBound="0" tableColumnId="5739"/>
      <queryTableField id="10654" dataBound="0" tableColumnId="5740"/>
      <queryTableField id="10653" dataBound="0" tableColumnId="5741"/>
      <queryTableField id="10652" dataBound="0" tableColumnId="5742"/>
      <queryTableField id="10651" dataBound="0" tableColumnId="5743"/>
      <queryTableField id="10650" dataBound="0" tableColumnId="5744"/>
      <queryTableField id="10649" dataBound="0" tableColumnId="5745"/>
      <queryTableField id="10648" dataBound="0" tableColumnId="5746"/>
      <queryTableField id="10647" dataBound="0" tableColumnId="5747"/>
      <queryTableField id="10646" dataBound="0" tableColumnId="5748"/>
      <queryTableField id="10645" dataBound="0" tableColumnId="5749"/>
      <queryTableField id="10644" dataBound="0" tableColumnId="5750"/>
      <queryTableField id="10643" dataBound="0" tableColumnId="5751"/>
      <queryTableField id="10642" dataBound="0" tableColumnId="5752"/>
      <queryTableField id="10641" dataBound="0" tableColumnId="5753"/>
      <queryTableField id="10640" dataBound="0" tableColumnId="5754"/>
      <queryTableField id="10639" dataBound="0" tableColumnId="5755"/>
      <queryTableField id="10638" dataBound="0" tableColumnId="5756"/>
      <queryTableField id="10637" dataBound="0" tableColumnId="5757"/>
      <queryTableField id="10636" dataBound="0" tableColumnId="5758"/>
      <queryTableField id="10635" dataBound="0" tableColumnId="5759"/>
      <queryTableField id="10634" dataBound="0" tableColumnId="5760"/>
      <queryTableField id="10633" dataBound="0" tableColumnId="5761"/>
      <queryTableField id="10632" dataBound="0" tableColumnId="5762"/>
      <queryTableField id="10631" dataBound="0" tableColumnId="5763"/>
      <queryTableField id="10630" dataBound="0" tableColumnId="5764"/>
      <queryTableField id="10629" dataBound="0" tableColumnId="5765"/>
      <queryTableField id="10628" dataBound="0" tableColumnId="5766"/>
      <queryTableField id="10627" dataBound="0" tableColumnId="5767"/>
      <queryTableField id="10626" dataBound="0" tableColumnId="5768"/>
      <queryTableField id="10625" dataBound="0" tableColumnId="5769"/>
      <queryTableField id="10624" dataBound="0" tableColumnId="5770"/>
      <queryTableField id="10623" dataBound="0" tableColumnId="5771"/>
      <queryTableField id="10622" dataBound="0" tableColumnId="5772"/>
      <queryTableField id="10621" dataBound="0" tableColumnId="5773"/>
      <queryTableField id="10620" dataBound="0" tableColumnId="5774"/>
      <queryTableField id="10619" dataBound="0" tableColumnId="5775"/>
      <queryTableField id="10618" dataBound="0" tableColumnId="5776"/>
      <queryTableField id="10617" dataBound="0" tableColumnId="5777"/>
      <queryTableField id="10616" dataBound="0" tableColumnId="5778"/>
      <queryTableField id="10615" dataBound="0" tableColumnId="5779"/>
      <queryTableField id="10614" dataBound="0" tableColumnId="5780"/>
      <queryTableField id="10613" dataBound="0" tableColumnId="5781"/>
      <queryTableField id="10612" dataBound="0" tableColumnId="5782"/>
      <queryTableField id="10611" dataBound="0" tableColumnId="5783"/>
      <queryTableField id="10610" dataBound="0" tableColumnId="5784"/>
      <queryTableField id="10609" dataBound="0" tableColumnId="5785"/>
      <queryTableField id="10608" dataBound="0" tableColumnId="5786"/>
      <queryTableField id="10607" dataBound="0" tableColumnId="5787"/>
      <queryTableField id="10606" dataBound="0" tableColumnId="5788"/>
      <queryTableField id="10605" dataBound="0" tableColumnId="5789"/>
      <queryTableField id="10604" dataBound="0" tableColumnId="5790"/>
      <queryTableField id="10603" dataBound="0" tableColumnId="5791"/>
      <queryTableField id="10602" dataBound="0" tableColumnId="5792"/>
      <queryTableField id="10601" dataBound="0" tableColumnId="5793"/>
      <queryTableField id="10600" dataBound="0" tableColumnId="5794"/>
      <queryTableField id="10599" dataBound="0" tableColumnId="5795"/>
      <queryTableField id="10598" dataBound="0" tableColumnId="5796"/>
      <queryTableField id="10597" dataBound="0" tableColumnId="5797"/>
      <queryTableField id="10596" dataBound="0" tableColumnId="5798"/>
      <queryTableField id="10595" dataBound="0" tableColumnId="5799"/>
      <queryTableField id="10594" dataBound="0" tableColumnId="5800"/>
      <queryTableField id="10593" dataBound="0" tableColumnId="5801"/>
      <queryTableField id="10592" dataBound="0" tableColumnId="5802"/>
      <queryTableField id="10591" dataBound="0" tableColumnId="5803"/>
      <queryTableField id="10590" dataBound="0" tableColumnId="5804"/>
      <queryTableField id="10589" dataBound="0" tableColumnId="5805"/>
      <queryTableField id="10588" dataBound="0" tableColumnId="5806"/>
      <queryTableField id="10587" dataBound="0" tableColumnId="5807"/>
      <queryTableField id="10586" dataBound="0" tableColumnId="5808"/>
      <queryTableField id="10585" dataBound="0" tableColumnId="5809"/>
      <queryTableField id="10584" dataBound="0" tableColumnId="5810"/>
      <queryTableField id="10583" dataBound="0" tableColumnId="5811"/>
      <queryTableField id="10582" dataBound="0" tableColumnId="5812"/>
      <queryTableField id="10581" dataBound="0" tableColumnId="5813"/>
      <queryTableField id="10580" dataBound="0" tableColumnId="5814"/>
      <queryTableField id="10579" dataBound="0" tableColumnId="5815"/>
      <queryTableField id="10578" dataBound="0" tableColumnId="5816"/>
      <queryTableField id="10577" dataBound="0" tableColumnId="5817"/>
      <queryTableField id="10576" dataBound="0" tableColumnId="5818"/>
      <queryTableField id="10575" dataBound="0" tableColumnId="5819"/>
      <queryTableField id="10574" dataBound="0" tableColumnId="5820"/>
      <queryTableField id="10573" dataBound="0" tableColumnId="5821"/>
      <queryTableField id="10572" dataBound="0" tableColumnId="5822"/>
      <queryTableField id="10571" dataBound="0" tableColumnId="5823"/>
      <queryTableField id="10570" dataBound="0" tableColumnId="5824"/>
      <queryTableField id="10569" dataBound="0" tableColumnId="5825"/>
      <queryTableField id="10568" dataBound="0" tableColumnId="5826"/>
      <queryTableField id="10567" dataBound="0" tableColumnId="5827"/>
      <queryTableField id="10566" dataBound="0" tableColumnId="5828"/>
      <queryTableField id="10565" dataBound="0" tableColumnId="5829"/>
      <queryTableField id="10564" dataBound="0" tableColumnId="5830"/>
      <queryTableField id="10563" dataBound="0" tableColumnId="5831"/>
      <queryTableField id="10562" dataBound="0" tableColumnId="5832"/>
      <queryTableField id="10561" dataBound="0" tableColumnId="5833"/>
      <queryTableField id="10560" dataBound="0" tableColumnId="5834"/>
      <queryTableField id="10559" dataBound="0" tableColumnId="5835"/>
      <queryTableField id="10558" dataBound="0" tableColumnId="5836"/>
      <queryTableField id="10557" dataBound="0" tableColumnId="5837"/>
      <queryTableField id="10556" dataBound="0" tableColumnId="5838"/>
      <queryTableField id="10555" dataBound="0" tableColumnId="5839"/>
      <queryTableField id="10554" dataBound="0" tableColumnId="5840"/>
      <queryTableField id="10553" dataBound="0" tableColumnId="5841"/>
      <queryTableField id="10552" dataBound="0" tableColumnId="5842"/>
      <queryTableField id="10551" dataBound="0" tableColumnId="5843"/>
      <queryTableField id="10550" dataBound="0" tableColumnId="5844"/>
      <queryTableField id="10549" dataBound="0" tableColumnId="5845"/>
      <queryTableField id="10548" dataBound="0" tableColumnId="5846"/>
      <queryTableField id="10547" dataBound="0" tableColumnId="5847"/>
      <queryTableField id="10546" dataBound="0" tableColumnId="5848"/>
      <queryTableField id="10545" dataBound="0" tableColumnId="5849"/>
      <queryTableField id="10544" dataBound="0" tableColumnId="5850"/>
      <queryTableField id="10543" dataBound="0" tableColumnId="5851"/>
      <queryTableField id="10542" dataBound="0" tableColumnId="5852"/>
      <queryTableField id="10541" dataBound="0" tableColumnId="5853"/>
      <queryTableField id="10540" dataBound="0" tableColumnId="5854"/>
      <queryTableField id="10539" dataBound="0" tableColumnId="5855"/>
      <queryTableField id="10538" dataBound="0" tableColumnId="5856"/>
      <queryTableField id="10537" dataBound="0" tableColumnId="5857"/>
      <queryTableField id="10536" dataBound="0" tableColumnId="5858"/>
      <queryTableField id="10535" dataBound="0" tableColumnId="5859"/>
      <queryTableField id="10534" dataBound="0" tableColumnId="5860"/>
      <queryTableField id="10533" dataBound="0" tableColumnId="5861"/>
      <queryTableField id="10532" dataBound="0" tableColumnId="5862"/>
      <queryTableField id="10531" dataBound="0" tableColumnId="5863"/>
      <queryTableField id="10530" dataBound="0" tableColumnId="5864"/>
      <queryTableField id="10529" dataBound="0" tableColumnId="5865"/>
      <queryTableField id="10528" dataBound="0" tableColumnId="5866"/>
      <queryTableField id="10527" dataBound="0" tableColumnId="5867"/>
      <queryTableField id="10526" dataBound="0" tableColumnId="5868"/>
      <queryTableField id="10525" dataBound="0" tableColumnId="5869"/>
      <queryTableField id="10524" dataBound="0" tableColumnId="5870"/>
      <queryTableField id="10523" dataBound="0" tableColumnId="5871"/>
      <queryTableField id="10522" dataBound="0" tableColumnId="5872"/>
      <queryTableField id="10521" dataBound="0" tableColumnId="5873"/>
      <queryTableField id="10520" dataBound="0" tableColumnId="5874"/>
      <queryTableField id="10519" dataBound="0" tableColumnId="5875"/>
      <queryTableField id="10518" dataBound="0" tableColumnId="5876"/>
      <queryTableField id="10517" dataBound="0" tableColumnId="5877"/>
      <queryTableField id="10516" dataBound="0" tableColumnId="5878"/>
      <queryTableField id="10515" dataBound="0" tableColumnId="5879"/>
      <queryTableField id="10514" dataBound="0" tableColumnId="5880"/>
      <queryTableField id="10513" dataBound="0" tableColumnId="5881"/>
      <queryTableField id="10512" dataBound="0" tableColumnId="5882"/>
      <queryTableField id="10511" dataBound="0" tableColumnId="5883"/>
      <queryTableField id="10510" dataBound="0" tableColumnId="5884"/>
      <queryTableField id="10509" dataBound="0" tableColumnId="5885"/>
      <queryTableField id="10508" dataBound="0" tableColumnId="5886"/>
      <queryTableField id="10507" dataBound="0" tableColumnId="5887"/>
      <queryTableField id="10506" dataBound="0" tableColumnId="5888"/>
      <queryTableField id="10505" dataBound="0" tableColumnId="5889"/>
      <queryTableField id="10504" dataBound="0" tableColumnId="5890"/>
      <queryTableField id="10503" dataBound="0" tableColumnId="5891"/>
      <queryTableField id="10502" dataBound="0" tableColumnId="5892"/>
      <queryTableField id="10501" dataBound="0" tableColumnId="5893"/>
      <queryTableField id="10500" dataBound="0" tableColumnId="5894"/>
      <queryTableField id="10499" dataBound="0" tableColumnId="5895"/>
      <queryTableField id="10498" dataBound="0" tableColumnId="5896"/>
      <queryTableField id="10497" dataBound="0" tableColumnId="5897"/>
      <queryTableField id="10496" dataBound="0" tableColumnId="5898"/>
      <queryTableField id="10495" dataBound="0" tableColumnId="5899"/>
      <queryTableField id="10494" dataBound="0" tableColumnId="5900"/>
      <queryTableField id="10493" dataBound="0" tableColumnId="5901"/>
      <queryTableField id="10492" dataBound="0" tableColumnId="5902"/>
      <queryTableField id="10491" dataBound="0" tableColumnId="5903"/>
      <queryTableField id="10490" dataBound="0" tableColumnId="5904"/>
      <queryTableField id="10489" dataBound="0" tableColumnId="5905"/>
      <queryTableField id="10488" dataBound="0" tableColumnId="5906"/>
      <queryTableField id="10487" dataBound="0" tableColumnId="5907"/>
      <queryTableField id="10486" dataBound="0" tableColumnId="5908"/>
      <queryTableField id="10485" dataBound="0" tableColumnId="5909"/>
      <queryTableField id="10484" dataBound="0" tableColumnId="5910"/>
      <queryTableField id="10483" dataBound="0" tableColumnId="5911"/>
      <queryTableField id="10482" dataBound="0" tableColumnId="5912"/>
      <queryTableField id="10481" dataBound="0" tableColumnId="5913"/>
      <queryTableField id="10480" dataBound="0" tableColumnId="5914"/>
      <queryTableField id="10479" dataBound="0" tableColumnId="5915"/>
      <queryTableField id="10478" dataBound="0" tableColumnId="5916"/>
      <queryTableField id="10477" dataBound="0" tableColumnId="5917"/>
      <queryTableField id="10476" dataBound="0" tableColumnId="5918"/>
      <queryTableField id="10475" dataBound="0" tableColumnId="5919"/>
      <queryTableField id="10474" dataBound="0" tableColumnId="5920"/>
      <queryTableField id="10473" dataBound="0" tableColumnId="5921"/>
      <queryTableField id="10472" dataBound="0" tableColumnId="5922"/>
      <queryTableField id="10471" dataBound="0" tableColumnId="5923"/>
      <queryTableField id="10470" dataBound="0" tableColumnId="5924"/>
      <queryTableField id="10469" dataBound="0" tableColumnId="5925"/>
      <queryTableField id="10468" dataBound="0" tableColumnId="5926"/>
      <queryTableField id="10467" dataBound="0" tableColumnId="5927"/>
      <queryTableField id="10466" dataBound="0" tableColumnId="5928"/>
      <queryTableField id="10465" dataBound="0" tableColumnId="5929"/>
      <queryTableField id="10464" dataBound="0" tableColumnId="5930"/>
      <queryTableField id="10463" dataBound="0" tableColumnId="5931"/>
      <queryTableField id="10462" dataBound="0" tableColumnId="5932"/>
      <queryTableField id="10461" dataBound="0" tableColumnId="5933"/>
      <queryTableField id="10460" dataBound="0" tableColumnId="5934"/>
      <queryTableField id="10459" dataBound="0" tableColumnId="5935"/>
      <queryTableField id="10458" dataBound="0" tableColumnId="5936"/>
      <queryTableField id="10457" dataBound="0" tableColumnId="5937"/>
      <queryTableField id="10456" dataBound="0" tableColumnId="5938"/>
      <queryTableField id="10455" dataBound="0" tableColumnId="5939"/>
      <queryTableField id="10454" dataBound="0" tableColumnId="5940"/>
      <queryTableField id="10453" dataBound="0" tableColumnId="5941"/>
      <queryTableField id="10452" dataBound="0" tableColumnId="5942"/>
      <queryTableField id="10451" dataBound="0" tableColumnId="5943"/>
      <queryTableField id="10450" dataBound="0" tableColumnId="5944"/>
      <queryTableField id="10449" dataBound="0" tableColumnId="5945"/>
      <queryTableField id="10448" dataBound="0" tableColumnId="5946"/>
      <queryTableField id="10447" dataBound="0" tableColumnId="5947"/>
      <queryTableField id="10446" dataBound="0" tableColumnId="5948"/>
      <queryTableField id="10445" dataBound="0" tableColumnId="5949"/>
      <queryTableField id="10444" dataBound="0" tableColumnId="5950"/>
      <queryTableField id="10443" dataBound="0" tableColumnId="5951"/>
      <queryTableField id="10442" dataBound="0" tableColumnId="5952"/>
      <queryTableField id="10441" dataBound="0" tableColumnId="5953"/>
      <queryTableField id="10440" dataBound="0" tableColumnId="5954"/>
      <queryTableField id="10439" dataBound="0" tableColumnId="5955"/>
      <queryTableField id="10438" dataBound="0" tableColumnId="5956"/>
      <queryTableField id="10437" dataBound="0" tableColumnId="5957"/>
      <queryTableField id="10436" dataBound="0" tableColumnId="5958"/>
      <queryTableField id="10435" dataBound="0" tableColumnId="5959"/>
      <queryTableField id="10434" dataBound="0" tableColumnId="5960"/>
      <queryTableField id="10433" dataBound="0" tableColumnId="5961"/>
      <queryTableField id="10432" dataBound="0" tableColumnId="5962"/>
      <queryTableField id="10431" dataBound="0" tableColumnId="5963"/>
      <queryTableField id="10430" dataBound="0" tableColumnId="5964"/>
      <queryTableField id="10429" dataBound="0" tableColumnId="5965"/>
      <queryTableField id="10428" dataBound="0" tableColumnId="5966"/>
      <queryTableField id="10427" dataBound="0" tableColumnId="5967"/>
      <queryTableField id="10426" dataBound="0" tableColumnId="5968"/>
      <queryTableField id="10425" dataBound="0" tableColumnId="5969"/>
      <queryTableField id="10424" dataBound="0" tableColumnId="5970"/>
      <queryTableField id="10423" dataBound="0" tableColumnId="5971"/>
      <queryTableField id="10422" dataBound="0" tableColumnId="5972"/>
      <queryTableField id="10421" dataBound="0" tableColumnId="5973"/>
      <queryTableField id="10420" dataBound="0" tableColumnId="5974"/>
      <queryTableField id="10419" dataBound="0" tableColumnId="5975"/>
      <queryTableField id="10418" dataBound="0" tableColumnId="5976"/>
      <queryTableField id="10417" dataBound="0" tableColumnId="5977"/>
      <queryTableField id="10416" dataBound="0" tableColumnId="5978"/>
      <queryTableField id="10415" dataBound="0" tableColumnId="5979"/>
      <queryTableField id="10414" dataBound="0" tableColumnId="5980"/>
      <queryTableField id="10413" dataBound="0" tableColumnId="5981"/>
      <queryTableField id="10412" dataBound="0" tableColumnId="5982"/>
      <queryTableField id="10411" dataBound="0" tableColumnId="5983"/>
      <queryTableField id="10410" dataBound="0" tableColumnId="5984"/>
      <queryTableField id="10409" dataBound="0" tableColumnId="5985"/>
      <queryTableField id="10408" dataBound="0" tableColumnId="5986"/>
      <queryTableField id="10407" dataBound="0" tableColumnId="5987"/>
      <queryTableField id="10406" dataBound="0" tableColumnId="5988"/>
      <queryTableField id="10405" dataBound="0" tableColumnId="5989"/>
      <queryTableField id="10404" dataBound="0" tableColumnId="5990"/>
      <queryTableField id="10403" dataBound="0" tableColumnId="5991"/>
      <queryTableField id="10402" dataBound="0" tableColumnId="5992"/>
      <queryTableField id="10401" dataBound="0" tableColumnId="5993"/>
      <queryTableField id="10400" dataBound="0" tableColumnId="5994"/>
      <queryTableField id="10399" dataBound="0" tableColumnId="5995"/>
      <queryTableField id="10398" dataBound="0" tableColumnId="5996"/>
      <queryTableField id="10397" dataBound="0" tableColumnId="5997"/>
      <queryTableField id="10396" dataBound="0" tableColumnId="5998"/>
      <queryTableField id="10395" dataBound="0" tableColumnId="5999"/>
      <queryTableField id="10394" dataBound="0" tableColumnId="6000"/>
      <queryTableField id="10393" dataBound="0" tableColumnId="6001"/>
      <queryTableField id="10392" dataBound="0" tableColumnId="6002"/>
      <queryTableField id="10391" dataBound="0" tableColumnId="6003"/>
      <queryTableField id="10390" dataBound="0" tableColumnId="6004"/>
      <queryTableField id="10389" dataBound="0" tableColumnId="6005"/>
      <queryTableField id="10388" dataBound="0" tableColumnId="6006"/>
      <queryTableField id="10387" dataBound="0" tableColumnId="6007"/>
      <queryTableField id="10386" dataBound="0" tableColumnId="6008"/>
      <queryTableField id="10385" dataBound="0" tableColumnId="6009"/>
      <queryTableField id="10384" dataBound="0" tableColumnId="6010"/>
      <queryTableField id="10383" dataBound="0" tableColumnId="6011"/>
      <queryTableField id="10382" dataBound="0" tableColumnId="6012"/>
      <queryTableField id="10381" dataBound="0" tableColumnId="6013"/>
      <queryTableField id="10380" dataBound="0" tableColumnId="6014"/>
      <queryTableField id="10379" dataBound="0" tableColumnId="6015"/>
      <queryTableField id="10378" dataBound="0" tableColumnId="6016"/>
      <queryTableField id="10377" dataBound="0" tableColumnId="6017"/>
      <queryTableField id="10376" dataBound="0" tableColumnId="6018"/>
      <queryTableField id="10375" dataBound="0" tableColumnId="6019"/>
      <queryTableField id="10374" dataBound="0" tableColumnId="6020"/>
      <queryTableField id="10373" dataBound="0" tableColumnId="6021"/>
      <queryTableField id="10372" dataBound="0" tableColumnId="6022"/>
      <queryTableField id="10371" dataBound="0" tableColumnId="6023"/>
      <queryTableField id="10370" dataBound="0" tableColumnId="6024"/>
      <queryTableField id="10369" dataBound="0" tableColumnId="6025"/>
      <queryTableField id="10368" dataBound="0" tableColumnId="6026"/>
      <queryTableField id="10367" dataBound="0" tableColumnId="6027"/>
      <queryTableField id="10366" dataBound="0" tableColumnId="6028"/>
      <queryTableField id="10365" dataBound="0" tableColumnId="6029"/>
      <queryTableField id="10364" dataBound="0" tableColumnId="6030"/>
      <queryTableField id="10363" dataBound="0" tableColumnId="6031"/>
      <queryTableField id="10362" dataBound="0" tableColumnId="6032"/>
      <queryTableField id="10361" dataBound="0" tableColumnId="6033"/>
      <queryTableField id="10360" dataBound="0" tableColumnId="6034"/>
      <queryTableField id="10359" dataBound="0" tableColumnId="6035"/>
      <queryTableField id="10358" dataBound="0" tableColumnId="6036"/>
      <queryTableField id="10357" dataBound="0" tableColumnId="6037"/>
      <queryTableField id="10356" dataBound="0" tableColumnId="6038"/>
      <queryTableField id="10355" dataBound="0" tableColumnId="6039"/>
      <queryTableField id="10354" dataBound="0" tableColumnId="6040"/>
      <queryTableField id="10353" dataBound="0" tableColumnId="6041"/>
      <queryTableField id="10352" dataBound="0" tableColumnId="6042"/>
      <queryTableField id="10351" dataBound="0" tableColumnId="6043"/>
      <queryTableField id="10350" dataBound="0" tableColumnId="6044"/>
      <queryTableField id="10349" dataBound="0" tableColumnId="6045"/>
      <queryTableField id="10348" dataBound="0" tableColumnId="6046"/>
      <queryTableField id="10347" dataBound="0" tableColumnId="6047"/>
      <queryTableField id="10346" dataBound="0" tableColumnId="6048"/>
      <queryTableField id="10345" dataBound="0" tableColumnId="6049"/>
      <queryTableField id="10344" dataBound="0" tableColumnId="6050"/>
      <queryTableField id="10343" dataBound="0" tableColumnId="6051"/>
      <queryTableField id="10342" dataBound="0" tableColumnId="6052"/>
      <queryTableField id="10341" dataBound="0" tableColumnId="6053"/>
      <queryTableField id="10340" dataBound="0" tableColumnId="6054"/>
      <queryTableField id="10339" dataBound="0" tableColumnId="6055"/>
      <queryTableField id="10338" dataBound="0" tableColumnId="6056"/>
      <queryTableField id="10337" dataBound="0" tableColumnId="6057"/>
      <queryTableField id="10336" dataBound="0" tableColumnId="6058"/>
      <queryTableField id="10335" dataBound="0" tableColumnId="6059"/>
      <queryTableField id="10334" dataBound="0" tableColumnId="6060"/>
      <queryTableField id="10333" dataBound="0" tableColumnId="6061"/>
      <queryTableField id="10332" dataBound="0" tableColumnId="6062"/>
      <queryTableField id="10331" dataBound="0" tableColumnId="6063"/>
      <queryTableField id="10330" dataBound="0" tableColumnId="6064"/>
      <queryTableField id="10329" dataBound="0" tableColumnId="6065"/>
      <queryTableField id="10328" dataBound="0" tableColumnId="6066"/>
      <queryTableField id="10327" dataBound="0" tableColumnId="6067"/>
      <queryTableField id="10326" dataBound="0" tableColumnId="6068"/>
      <queryTableField id="10325" dataBound="0" tableColumnId="6069"/>
      <queryTableField id="10324" dataBound="0" tableColumnId="6070"/>
      <queryTableField id="10323" dataBound="0" tableColumnId="6071"/>
      <queryTableField id="10322" dataBound="0" tableColumnId="6072"/>
      <queryTableField id="10321" dataBound="0" tableColumnId="6073"/>
      <queryTableField id="10320" dataBound="0" tableColumnId="6074"/>
      <queryTableField id="10319" dataBound="0" tableColumnId="6075"/>
      <queryTableField id="10318" dataBound="0" tableColumnId="6076"/>
      <queryTableField id="10317" dataBound="0" tableColumnId="6077"/>
      <queryTableField id="10316" dataBound="0" tableColumnId="6078"/>
      <queryTableField id="10315" dataBound="0" tableColumnId="6079"/>
      <queryTableField id="10314" dataBound="0" tableColumnId="6080"/>
      <queryTableField id="10313" dataBound="0" tableColumnId="6081"/>
      <queryTableField id="10312" dataBound="0" tableColumnId="6082"/>
      <queryTableField id="10311" dataBound="0" tableColumnId="6083"/>
      <queryTableField id="10310" dataBound="0" tableColumnId="6084"/>
      <queryTableField id="10309" dataBound="0" tableColumnId="6085"/>
      <queryTableField id="10308" dataBound="0" tableColumnId="6086"/>
      <queryTableField id="10307" dataBound="0" tableColumnId="6087"/>
      <queryTableField id="10306" dataBound="0" tableColumnId="6088"/>
      <queryTableField id="10305" dataBound="0" tableColumnId="6089"/>
      <queryTableField id="10304" dataBound="0" tableColumnId="6090"/>
      <queryTableField id="10303" dataBound="0" tableColumnId="6091"/>
      <queryTableField id="10302" dataBound="0" tableColumnId="6092"/>
      <queryTableField id="10301" dataBound="0" tableColumnId="6093"/>
      <queryTableField id="10300" dataBound="0" tableColumnId="6094"/>
      <queryTableField id="10299" dataBound="0" tableColumnId="6095"/>
      <queryTableField id="10298" dataBound="0" tableColumnId="6096"/>
      <queryTableField id="10297" dataBound="0" tableColumnId="6097"/>
      <queryTableField id="10296" dataBound="0" tableColumnId="6098"/>
      <queryTableField id="10295" dataBound="0" tableColumnId="6099"/>
      <queryTableField id="10294" dataBound="0" tableColumnId="6100"/>
      <queryTableField id="10293" dataBound="0" tableColumnId="6101"/>
      <queryTableField id="10292" dataBound="0" tableColumnId="6102"/>
      <queryTableField id="10291" dataBound="0" tableColumnId="6103"/>
      <queryTableField id="10290" dataBound="0" tableColumnId="6104"/>
      <queryTableField id="10289" dataBound="0" tableColumnId="6105"/>
      <queryTableField id="10288" dataBound="0" tableColumnId="6106"/>
      <queryTableField id="10287" dataBound="0" tableColumnId="6107"/>
      <queryTableField id="10286" dataBound="0" tableColumnId="6108"/>
      <queryTableField id="10285" dataBound="0" tableColumnId="6109"/>
      <queryTableField id="10284" dataBound="0" tableColumnId="6110"/>
      <queryTableField id="10283" dataBound="0" tableColumnId="6111"/>
      <queryTableField id="10282" dataBound="0" tableColumnId="6112"/>
      <queryTableField id="10281" dataBound="0" tableColumnId="6113"/>
      <queryTableField id="10280" dataBound="0" tableColumnId="6114"/>
      <queryTableField id="10279" dataBound="0" tableColumnId="6115"/>
      <queryTableField id="10278" dataBound="0" tableColumnId="6116"/>
      <queryTableField id="10277" dataBound="0" tableColumnId="6117"/>
      <queryTableField id="10276" dataBound="0" tableColumnId="6118"/>
      <queryTableField id="10275" dataBound="0" tableColumnId="6119"/>
      <queryTableField id="10274" dataBound="0" tableColumnId="6120"/>
      <queryTableField id="10273" dataBound="0" tableColumnId="6121"/>
      <queryTableField id="10272" dataBound="0" tableColumnId="6122"/>
      <queryTableField id="10271" dataBound="0" tableColumnId="6123"/>
      <queryTableField id="10270" dataBound="0" tableColumnId="6124"/>
      <queryTableField id="10269" dataBound="0" tableColumnId="6125"/>
      <queryTableField id="10268" dataBound="0" tableColumnId="6126"/>
      <queryTableField id="10267" dataBound="0" tableColumnId="6127"/>
      <queryTableField id="10266" dataBound="0" tableColumnId="6128"/>
      <queryTableField id="10265" dataBound="0" tableColumnId="6129"/>
      <queryTableField id="10264" dataBound="0" tableColumnId="6130"/>
      <queryTableField id="10263" dataBound="0" tableColumnId="6131"/>
      <queryTableField id="10262" dataBound="0" tableColumnId="6132"/>
      <queryTableField id="10261" dataBound="0" tableColumnId="6133"/>
      <queryTableField id="10260" dataBound="0" tableColumnId="6134"/>
      <queryTableField id="10259" dataBound="0" tableColumnId="6135"/>
      <queryTableField id="10258" dataBound="0" tableColumnId="6136"/>
      <queryTableField id="10257" dataBound="0" tableColumnId="6137"/>
      <queryTableField id="10256" dataBound="0" tableColumnId="6138"/>
      <queryTableField id="10255" dataBound="0" tableColumnId="6139"/>
      <queryTableField id="10254" dataBound="0" tableColumnId="6140"/>
      <queryTableField id="10253" dataBound="0" tableColumnId="6141"/>
      <queryTableField id="10252" dataBound="0" tableColumnId="6142"/>
      <queryTableField id="10251" dataBound="0" tableColumnId="6143"/>
      <queryTableField id="10250" dataBound="0" tableColumnId="6144"/>
      <queryTableField id="10249" dataBound="0" tableColumnId="6145"/>
      <queryTableField id="10248" dataBound="0" tableColumnId="6146"/>
      <queryTableField id="10247" dataBound="0" tableColumnId="6147"/>
      <queryTableField id="10246" dataBound="0" tableColumnId="6148"/>
      <queryTableField id="10245" dataBound="0" tableColumnId="6149"/>
      <queryTableField id="10244" dataBound="0" tableColumnId="6150"/>
      <queryTableField id="10243" dataBound="0" tableColumnId="6151"/>
      <queryTableField id="10242" dataBound="0" tableColumnId="6152"/>
      <queryTableField id="10241" dataBound="0" tableColumnId="6153"/>
      <queryTableField id="10240" dataBound="0" tableColumnId="6154"/>
      <queryTableField id="10239" dataBound="0" tableColumnId="6155"/>
      <queryTableField id="10238" dataBound="0" tableColumnId="6156"/>
      <queryTableField id="10237" dataBound="0" tableColumnId="6157"/>
      <queryTableField id="10236" dataBound="0" tableColumnId="6158"/>
      <queryTableField id="10235" dataBound="0" tableColumnId="6159"/>
      <queryTableField id="10234" dataBound="0" tableColumnId="6160"/>
      <queryTableField id="10233" dataBound="0" tableColumnId="6161"/>
      <queryTableField id="10232" dataBound="0" tableColumnId="6162"/>
      <queryTableField id="10231" dataBound="0" tableColumnId="6163"/>
      <queryTableField id="10230" dataBound="0" tableColumnId="6164"/>
      <queryTableField id="10229" dataBound="0" tableColumnId="6165"/>
      <queryTableField id="10228" dataBound="0" tableColumnId="6166"/>
      <queryTableField id="10227" dataBound="0" tableColumnId="6167"/>
      <queryTableField id="10226" dataBound="0" tableColumnId="6168"/>
      <queryTableField id="10225" dataBound="0" tableColumnId="6169"/>
      <queryTableField id="10224" dataBound="0" tableColumnId="6170"/>
      <queryTableField id="10223" dataBound="0" tableColumnId="6171"/>
      <queryTableField id="10222" dataBound="0" tableColumnId="6172"/>
      <queryTableField id="10221" dataBound="0" tableColumnId="6173"/>
      <queryTableField id="10220" dataBound="0" tableColumnId="6174"/>
      <queryTableField id="10219" dataBound="0" tableColumnId="6175"/>
      <queryTableField id="10218" dataBound="0" tableColumnId="6176"/>
      <queryTableField id="10217" dataBound="0" tableColumnId="6177"/>
      <queryTableField id="10216" dataBound="0" tableColumnId="6178"/>
      <queryTableField id="10215" dataBound="0" tableColumnId="6179"/>
      <queryTableField id="10214" dataBound="0" tableColumnId="6180"/>
      <queryTableField id="10213" dataBound="0" tableColumnId="6181"/>
      <queryTableField id="10212" dataBound="0" tableColumnId="6182"/>
      <queryTableField id="10211" dataBound="0" tableColumnId="6183"/>
      <queryTableField id="10210" dataBound="0" tableColumnId="6184"/>
      <queryTableField id="10209" dataBound="0" tableColumnId="6185"/>
      <queryTableField id="10208" dataBound="0" tableColumnId="6186"/>
      <queryTableField id="10207" dataBound="0" tableColumnId="6187"/>
      <queryTableField id="10206" dataBound="0" tableColumnId="6188"/>
      <queryTableField id="10205" dataBound="0" tableColumnId="6189"/>
      <queryTableField id="10204" dataBound="0" tableColumnId="6190"/>
      <queryTableField id="10203" dataBound="0" tableColumnId="6191"/>
      <queryTableField id="10202" dataBound="0" tableColumnId="6192"/>
      <queryTableField id="10201" dataBound="0" tableColumnId="6193"/>
      <queryTableField id="10200" dataBound="0" tableColumnId="6194"/>
      <queryTableField id="10199" dataBound="0" tableColumnId="6195"/>
      <queryTableField id="10198" dataBound="0" tableColumnId="6196"/>
      <queryTableField id="10197" dataBound="0" tableColumnId="6197"/>
      <queryTableField id="10196" dataBound="0" tableColumnId="6198"/>
      <queryTableField id="10195" dataBound="0" tableColumnId="6199"/>
      <queryTableField id="10194" dataBound="0" tableColumnId="6200"/>
      <queryTableField id="10193" dataBound="0" tableColumnId="6201"/>
      <queryTableField id="10192" dataBound="0" tableColumnId="6202"/>
      <queryTableField id="10191" dataBound="0" tableColumnId="6203"/>
      <queryTableField id="10190" dataBound="0" tableColumnId="6204"/>
      <queryTableField id="10189" dataBound="0" tableColumnId="6205"/>
      <queryTableField id="10188" dataBound="0" tableColumnId="6206"/>
      <queryTableField id="10187" dataBound="0" tableColumnId="6207"/>
      <queryTableField id="10186" dataBound="0" tableColumnId="6208"/>
      <queryTableField id="10185" dataBound="0" tableColumnId="6209"/>
      <queryTableField id="10184" dataBound="0" tableColumnId="6210"/>
      <queryTableField id="10183" dataBound="0" tableColumnId="6211"/>
      <queryTableField id="10182" dataBound="0" tableColumnId="6212"/>
      <queryTableField id="10181" dataBound="0" tableColumnId="6213"/>
      <queryTableField id="10180" dataBound="0" tableColumnId="6214"/>
      <queryTableField id="10179" dataBound="0" tableColumnId="6215"/>
      <queryTableField id="10178" dataBound="0" tableColumnId="6216"/>
      <queryTableField id="10177" dataBound="0" tableColumnId="6217"/>
      <queryTableField id="10176" dataBound="0" tableColumnId="6218"/>
      <queryTableField id="10175" dataBound="0" tableColumnId="6219"/>
      <queryTableField id="10174" dataBound="0" tableColumnId="6220"/>
      <queryTableField id="10173" dataBound="0" tableColumnId="6221"/>
      <queryTableField id="10172" dataBound="0" tableColumnId="6222"/>
      <queryTableField id="10171" dataBound="0" tableColumnId="6223"/>
      <queryTableField id="10170" dataBound="0" tableColumnId="6224"/>
      <queryTableField id="10169" dataBound="0" tableColumnId="6225"/>
      <queryTableField id="10168" dataBound="0" tableColumnId="6226"/>
      <queryTableField id="10167" dataBound="0" tableColumnId="6227"/>
      <queryTableField id="10166" dataBound="0" tableColumnId="6228"/>
      <queryTableField id="10165" dataBound="0" tableColumnId="6229"/>
      <queryTableField id="10164" dataBound="0" tableColumnId="6230"/>
      <queryTableField id="10163" dataBound="0" tableColumnId="6231"/>
      <queryTableField id="10162" dataBound="0" tableColumnId="6232"/>
      <queryTableField id="10161" dataBound="0" tableColumnId="6233"/>
      <queryTableField id="10160" dataBound="0" tableColumnId="6234"/>
      <queryTableField id="10159" dataBound="0" tableColumnId="6235"/>
      <queryTableField id="10158" dataBound="0" tableColumnId="6236"/>
      <queryTableField id="10157" dataBound="0" tableColumnId="6237"/>
      <queryTableField id="10156" dataBound="0" tableColumnId="6238"/>
      <queryTableField id="10155" dataBound="0" tableColumnId="6239"/>
      <queryTableField id="10154" dataBound="0" tableColumnId="6240"/>
      <queryTableField id="10153" dataBound="0" tableColumnId="6241"/>
      <queryTableField id="10152" dataBound="0" tableColumnId="6242"/>
      <queryTableField id="10151" dataBound="0" tableColumnId="6243"/>
      <queryTableField id="10150" dataBound="0" tableColumnId="6244"/>
      <queryTableField id="10149" dataBound="0" tableColumnId="6245"/>
      <queryTableField id="10148" dataBound="0" tableColumnId="6246"/>
      <queryTableField id="10147" dataBound="0" tableColumnId="6247"/>
      <queryTableField id="10146" dataBound="0" tableColumnId="6248"/>
      <queryTableField id="10145" dataBound="0" tableColumnId="6249"/>
      <queryTableField id="10144" dataBound="0" tableColumnId="6250"/>
      <queryTableField id="10143" dataBound="0" tableColumnId="6251"/>
      <queryTableField id="10142" dataBound="0" tableColumnId="6252"/>
      <queryTableField id="10141" dataBound="0" tableColumnId="6253"/>
      <queryTableField id="10140" dataBound="0" tableColumnId="6254"/>
      <queryTableField id="10139" dataBound="0" tableColumnId="6255"/>
      <queryTableField id="10138" dataBound="0" tableColumnId="6256"/>
      <queryTableField id="10137" dataBound="0" tableColumnId="6257"/>
      <queryTableField id="10136" dataBound="0" tableColumnId="6258"/>
      <queryTableField id="10135" dataBound="0" tableColumnId="6259"/>
      <queryTableField id="10134" dataBound="0" tableColumnId="6260"/>
      <queryTableField id="10133" dataBound="0" tableColumnId="6261"/>
      <queryTableField id="10132" dataBound="0" tableColumnId="6262"/>
      <queryTableField id="10131" dataBound="0" tableColumnId="6263"/>
      <queryTableField id="10130" dataBound="0" tableColumnId="6264"/>
      <queryTableField id="10129" dataBound="0" tableColumnId="6265"/>
      <queryTableField id="10128" dataBound="0" tableColumnId="6266"/>
      <queryTableField id="10127" dataBound="0" tableColumnId="6267"/>
      <queryTableField id="10126" dataBound="0" tableColumnId="6268"/>
      <queryTableField id="10125" dataBound="0" tableColumnId="6269"/>
      <queryTableField id="10124" dataBound="0" tableColumnId="6270"/>
      <queryTableField id="10123" dataBound="0" tableColumnId="6271"/>
      <queryTableField id="10122" dataBound="0" tableColumnId="6272"/>
      <queryTableField id="10121" dataBound="0" tableColumnId="6273"/>
      <queryTableField id="10120" dataBound="0" tableColumnId="6274"/>
      <queryTableField id="10119" dataBound="0" tableColumnId="6275"/>
      <queryTableField id="10118" dataBound="0" tableColumnId="6276"/>
      <queryTableField id="10117" dataBound="0" tableColumnId="6277"/>
      <queryTableField id="10116" dataBound="0" tableColumnId="6278"/>
      <queryTableField id="10115" dataBound="0" tableColumnId="6279"/>
      <queryTableField id="10114" dataBound="0" tableColumnId="6280"/>
      <queryTableField id="10113" dataBound="0" tableColumnId="6281"/>
      <queryTableField id="10112" dataBound="0" tableColumnId="6282"/>
      <queryTableField id="10111" dataBound="0" tableColumnId="6283"/>
      <queryTableField id="10110" dataBound="0" tableColumnId="6284"/>
      <queryTableField id="10109" dataBound="0" tableColumnId="6285"/>
      <queryTableField id="10108" dataBound="0" tableColumnId="6286"/>
      <queryTableField id="10107" dataBound="0" tableColumnId="6287"/>
      <queryTableField id="10106" dataBound="0" tableColumnId="6288"/>
      <queryTableField id="10105" dataBound="0" tableColumnId="6289"/>
      <queryTableField id="10104" dataBound="0" tableColumnId="6290"/>
      <queryTableField id="10103" dataBound="0" tableColumnId="6291"/>
      <queryTableField id="10102" dataBound="0" tableColumnId="6292"/>
      <queryTableField id="10101" dataBound="0" tableColumnId="6293"/>
      <queryTableField id="10100" dataBound="0" tableColumnId="6294"/>
      <queryTableField id="10099" dataBound="0" tableColumnId="6295"/>
      <queryTableField id="10098" dataBound="0" tableColumnId="6296"/>
      <queryTableField id="10097" dataBound="0" tableColumnId="6297"/>
      <queryTableField id="10096" dataBound="0" tableColumnId="6298"/>
      <queryTableField id="10095" dataBound="0" tableColumnId="6299"/>
      <queryTableField id="10094" dataBound="0" tableColumnId="6300"/>
      <queryTableField id="10093" dataBound="0" tableColumnId="6301"/>
      <queryTableField id="10092" dataBound="0" tableColumnId="6302"/>
      <queryTableField id="10091" dataBound="0" tableColumnId="6303"/>
      <queryTableField id="10090" dataBound="0" tableColumnId="6304"/>
      <queryTableField id="10089" dataBound="0" tableColumnId="6305"/>
      <queryTableField id="10088" dataBound="0" tableColumnId="6306"/>
      <queryTableField id="10087" dataBound="0" tableColumnId="6307"/>
      <queryTableField id="10086" dataBound="0" tableColumnId="6308"/>
      <queryTableField id="10085" dataBound="0" tableColumnId="6309"/>
      <queryTableField id="10084" dataBound="0" tableColumnId="6310"/>
      <queryTableField id="10083" dataBound="0" tableColumnId="6311"/>
      <queryTableField id="10082" dataBound="0" tableColumnId="6312"/>
      <queryTableField id="10081" dataBound="0" tableColumnId="6313"/>
      <queryTableField id="10080" dataBound="0" tableColumnId="6314"/>
      <queryTableField id="10079" dataBound="0" tableColumnId="6315"/>
      <queryTableField id="10078" dataBound="0" tableColumnId="6316"/>
      <queryTableField id="10077" dataBound="0" tableColumnId="6317"/>
      <queryTableField id="10076" dataBound="0" tableColumnId="6318"/>
      <queryTableField id="10075" dataBound="0" tableColumnId="6319"/>
      <queryTableField id="10074" dataBound="0" tableColumnId="6320"/>
      <queryTableField id="10073" dataBound="0" tableColumnId="6321"/>
      <queryTableField id="10072" dataBound="0" tableColumnId="6322"/>
      <queryTableField id="10071" dataBound="0" tableColumnId="6323"/>
      <queryTableField id="10070" dataBound="0" tableColumnId="6324"/>
      <queryTableField id="10069" dataBound="0" tableColumnId="6325"/>
      <queryTableField id="10068" dataBound="0" tableColumnId="6326"/>
      <queryTableField id="10067" dataBound="0" tableColumnId="6327"/>
      <queryTableField id="10066" dataBound="0" tableColumnId="6328"/>
      <queryTableField id="10065" dataBound="0" tableColumnId="6329"/>
      <queryTableField id="10064" dataBound="0" tableColumnId="6330"/>
      <queryTableField id="10063" dataBound="0" tableColumnId="6331"/>
      <queryTableField id="10062" dataBound="0" tableColumnId="6332"/>
      <queryTableField id="10061" dataBound="0" tableColumnId="6333"/>
      <queryTableField id="10060" dataBound="0" tableColumnId="6334"/>
      <queryTableField id="10059" dataBound="0" tableColumnId="6335"/>
      <queryTableField id="10058" dataBound="0" tableColumnId="6336"/>
      <queryTableField id="10057" dataBound="0" tableColumnId="6337"/>
      <queryTableField id="10056" dataBound="0" tableColumnId="6338"/>
      <queryTableField id="10055" dataBound="0" tableColumnId="6339"/>
      <queryTableField id="10054" dataBound="0" tableColumnId="6340"/>
      <queryTableField id="10053" dataBound="0" tableColumnId="6341"/>
      <queryTableField id="10052" dataBound="0" tableColumnId="6342"/>
      <queryTableField id="10051" dataBound="0" tableColumnId="6343"/>
      <queryTableField id="10050" dataBound="0" tableColumnId="6344"/>
      <queryTableField id="10049" dataBound="0" tableColumnId="6345"/>
      <queryTableField id="10048" dataBound="0" tableColumnId="6346"/>
      <queryTableField id="10047" dataBound="0" tableColumnId="6347"/>
      <queryTableField id="10046" dataBound="0" tableColumnId="6348"/>
      <queryTableField id="10045" dataBound="0" tableColumnId="6349"/>
      <queryTableField id="10044" dataBound="0" tableColumnId="6350"/>
      <queryTableField id="10043" dataBound="0" tableColumnId="6351"/>
      <queryTableField id="10042" dataBound="0" tableColumnId="6352"/>
      <queryTableField id="10041" dataBound="0" tableColumnId="6353"/>
      <queryTableField id="10040" dataBound="0" tableColumnId="6354"/>
      <queryTableField id="10039" dataBound="0" tableColumnId="6355"/>
      <queryTableField id="10038" dataBound="0" tableColumnId="6356"/>
      <queryTableField id="10037" dataBound="0" tableColumnId="6357"/>
      <queryTableField id="10036" dataBound="0" tableColumnId="6358"/>
      <queryTableField id="10035" dataBound="0" tableColumnId="6359"/>
      <queryTableField id="10034" dataBound="0" tableColumnId="6360"/>
      <queryTableField id="10033" dataBound="0" tableColumnId="6361"/>
      <queryTableField id="10032" dataBound="0" tableColumnId="6362"/>
      <queryTableField id="10031" dataBound="0" tableColumnId="6363"/>
      <queryTableField id="10030" dataBound="0" tableColumnId="6364"/>
      <queryTableField id="10029" dataBound="0" tableColumnId="6365"/>
      <queryTableField id="10028" dataBound="0" tableColumnId="6366"/>
      <queryTableField id="10027" dataBound="0" tableColumnId="6367"/>
      <queryTableField id="10026" dataBound="0" tableColumnId="6368"/>
      <queryTableField id="10025" dataBound="0" tableColumnId="6369"/>
      <queryTableField id="10024" dataBound="0" tableColumnId="6370"/>
      <queryTableField id="10023" dataBound="0" tableColumnId="6371"/>
      <queryTableField id="10022" dataBound="0" tableColumnId="6372"/>
      <queryTableField id="10021" dataBound="0" tableColumnId="6373"/>
      <queryTableField id="10020" dataBound="0" tableColumnId="6374"/>
      <queryTableField id="10019" dataBound="0" tableColumnId="6375"/>
      <queryTableField id="10018" dataBound="0" tableColumnId="6376"/>
      <queryTableField id="10017" dataBound="0" tableColumnId="6377"/>
      <queryTableField id="10016" dataBound="0" tableColumnId="6378"/>
      <queryTableField id="10015" dataBound="0" tableColumnId="6379"/>
      <queryTableField id="10014" dataBound="0" tableColumnId="6380"/>
      <queryTableField id="10013" dataBound="0" tableColumnId="6381"/>
      <queryTableField id="10012" dataBound="0" tableColumnId="6382"/>
      <queryTableField id="10011" dataBound="0" tableColumnId="6383"/>
      <queryTableField id="10010" dataBound="0" tableColumnId="6384"/>
      <queryTableField id="10009" dataBound="0" tableColumnId="6385"/>
      <queryTableField id="10008" dataBound="0" tableColumnId="6386"/>
      <queryTableField id="10007" dataBound="0" tableColumnId="6387"/>
      <queryTableField id="10006" dataBound="0" tableColumnId="6388"/>
      <queryTableField id="10005" dataBound="0" tableColumnId="6389"/>
      <queryTableField id="10004" dataBound="0" tableColumnId="6390"/>
      <queryTableField id="10003" dataBound="0" tableColumnId="6391"/>
      <queryTableField id="10002" dataBound="0" tableColumnId="6392"/>
      <queryTableField id="10001" dataBound="0" tableColumnId="6393"/>
      <queryTableField id="10000" dataBound="0" tableColumnId="6394"/>
      <queryTableField id="9999" dataBound="0" tableColumnId="6395"/>
      <queryTableField id="9998" dataBound="0" tableColumnId="6396"/>
      <queryTableField id="9997" dataBound="0" tableColumnId="6397"/>
      <queryTableField id="9996" dataBound="0" tableColumnId="6398"/>
      <queryTableField id="9995" dataBound="0" tableColumnId="6399"/>
      <queryTableField id="9994" dataBound="0" tableColumnId="6400"/>
      <queryTableField id="9993" dataBound="0" tableColumnId="6401"/>
      <queryTableField id="9992" dataBound="0" tableColumnId="6402"/>
      <queryTableField id="9991" dataBound="0" tableColumnId="6403"/>
      <queryTableField id="9990" dataBound="0" tableColumnId="6404"/>
      <queryTableField id="9989" dataBound="0" tableColumnId="6405"/>
      <queryTableField id="9988" dataBound="0" tableColumnId="6406"/>
      <queryTableField id="9987" dataBound="0" tableColumnId="6407"/>
      <queryTableField id="9986" dataBound="0" tableColumnId="6408"/>
      <queryTableField id="9985" dataBound="0" tableColumnId="6409"/>
      <queryTableField id="9984" dataBound="0" tableColumnId="6410"/>
      <queryTableField id="9983" dataBound="0" tableColumnId="6411"/>
      <queryTableField id="9982" dataBound="0" tableColumnId="6412"/>
      <queryTableField id="9981" dataBound="0" tableColumnId="6413"/>
      <queryTableField id="9980" dataBound="0" tableColumnId="6414"/>
      <queryTableField id="9979" dataBound="0" tableColumnId="6415"/>
      <queryTableField id="9978" dataBound="0" tableColumnId="6416"/>
      <queryTableField id="9977" dataBound="0" tableColumnId="6417"/>
      <queryTableField id="9976" dataBound="0" tableColumnId="6418"/>
      <queryTableField id="9975" dataBound="0" tableColumnId="6419"/>
      <queryTableField id="9974" dataBound="0" tableColumnId="6420"/>
      <queryTableField id="9973" dataBound="0" tableColumnId="6421"/>
      <queryTableField id="9972" dataBound="0" tableColumnId="6422"/>
      <queryTableField id="9971" dataBound="0" tableColumnId="6423"/>
      <queryTableField id="9970" dataBound="0" tableColumnId="6424"/>
      <queryTableField id="9969" dataBound="0" tableColumnId="6425"/>
      <queryTableField id="9968" dataBound="0" tableColumnId="6426"/>
      <queryTableField id="9967" dataBound="0" tableColumnId="6427"/>
      <queryTableField id="9966" dataBound="0" tableColumnId="6428"/>
      <queryTableField id="9965" dataBound="0" tableColumnId="6429"/>
      <queryTableField id="9964" dataBound="0" tableColumnId="6430"/>
      <queryTableField id="9963" dataBound="0" tableColumnId="6431"/>
      <queryTableField id="9962" dataBound="0" tableColumnId="6432"/>
      <queryTableField id="9961" dataBound="0" tableColumnId="6433"/>
      <queryTableField id="9960" dataBound="0" tableColumnId="6434"/>
      <queryTableField id="9959" dataBound="0" tableColumnId="6435"/>
      <queryTableField id="9958" dataBound="0" tableColumnId="6436"/>
      <queryTableField id="9957" dataBound="0" tableColumnId="6437"/>
      <queryTableField id="9956" dataBound="0" tableColumnId="6438"/>
      <queryTableField id="9955" dataBound="0" tableColumnId="6439"/>
      <queryTableField id="9954" dataBound="0" tableColumnId="6440"/>
      <queryTableField id="9953" dataBound="0" tableColumnId="6441"/>
      <queryTableField id="9952" dataBound="0" tableColumnId="6442"/>
      <queryTableField id="9951" dataBound="0" tableColumnId="6443"/>
      <queryTableField id="9950" dataBound="0" tableColumnId="6444"/>
      <queryTableField id="9949" dataBound="0" tableColumnId="6445"/>
      <queryTableField id="9948" dataBound="0" tableColumnId="6446"/>
      <queryTableField id="9947" dataBound="0" tableColumnId="6447"/>
      <queryTableField id="9946" dataBound="0" tableColumnId="6448"/>
      <queryTableField id="9945" dataBound="0" tableColumnId="6449"/>
      <queryTableField id="9944" dataBound="0" tableColumnId="6450"/>
      <queryTableField id="9943" dataBound="0" tableColumnId="6451"/>
      <queryTableField id="9942" dataBound="0" tableColumnId="6452"/>
      <queryTableField id="9941" dataBound="0" tableColumnId="6453"/>
      <queryTableField id="9940" dataBound="0" tableColumnId="6454"/>
      <queryTableField id="9939" dataBound="0" tableColumnId="6455"/>
      <queryTableField id="9938" dataBound="0" tableColumnId="6456"/>
      <queryTableField id="9937" dataBound="0" tableColumnId="6457"/>
      <queryTableField id="9936" dataBound="0" tableColumnId="6458"/>
      <queryTableField id="9935" dataBound="0" tableColumnId="6459"/>
      <queryTableField id="9934" dataBound="0" tableColumnId="6460"/>
      <queryTableField id="9933" dataBound="0" tableColumnId="6461"/>
      <queryTableField id="9932" dataBound="0" tableColumnId="6462"/>
      <queryTableField id="9931" dataBound="0" tableColumnId="6463"/>
      <queryTableField id="9930" dataBound="0" tableColumnId="6464"/>
      <queryTableField id="9929" dataBound="0" tableColumnId="6465"/>
      <queryTableField id="9928" dataBound="0" tableColumnId="6466"/>
      <queryTableField id="9927" dataBound="0" tableColumnId="6467"/>
      <queryTableField id="9926" dataBound="0" tableColumnId="6468"/>
      <queryTableField id="9925" dataBound="0" tableColumnId="6469"/>
      <queryTableField id="9924" dataBound="0" tableColumnId="6470"/>
      <queryTableField id="9923" dataBound="0" tableColumnId="6471"/>
      <queryTableField id="9922" dataBound="0" tableColumnId="6472"/>
      <queryTableField id="9921" dataBound="0" tableColumnId="6473"/>
      <queryTableField id="9920" dataBound="0" tableColumnId="6474"/>
      <queryTableField id="9919" dataBound="0" tableColumnId="6475"/>
      <queryTableField id="9918" dataBound="0" tableColumnId="6476"/>
      <queryTableField id="9917" dataBound="0" tableColumnId="6477"/>
      <queryTableField id="9916" dataBound="0" tableColumnId="6478"/>
      <queryTableField id="9915" dataBound="0" tableColumnId="6479"/>
      <queryTableField id="9914" dataBound="0" tableColumnId="6480"/>
      <queryTableField id="9913" dataBound="0" tableColumnId="6481"/>
      <queryTableField id="9912" dataBound="0" tableColumnId="6482"/>
      <queryTableField id="9911" dataBound="0" tableColumnId="6483"/>
      <queryTableField id="9910" dataBound="0" tableColumnId="6484"/>
      <queryTableField id="9909" dataBound="0" tableColumnId="6485"/>
      <queryTableField id="9908" dataBound="0" tableColumnId="6486"/>
      <queryTableField id="9907" dataBound="0" tableColumnId="6487"/>
      <queryTableField id="9906" dataBound="0" tableColumnId="6488"/>
      <queryTableField id="9905" dataBound="0" tableColumnId="6489"/>
      <queryTableField id="9904" dataBound="0" tableColumnId="6490"/>
      <queryTableField id="9903" dataBound="0" tableColumnId="6491"/>
      <queryTableField id="9902" dataBound="0" tableColumnId="6492"/>
      <queryTableField id="9901" dataBound="0" tableColumnId="6493"/>
      <queryTableField id="9900" dataBound="0" tableColumnId="6494"/>
      <queryTableField id="9899" dataBound="0" tableColumnId="6495"/>
      <queryTableField id="9898" dataBound="0" tableColumnId="6496"/>
      <queryTableField id="9897" dataBound="0" tableColumnId="6497"/>
      <queryTableField id="9896" dataBound="0" tableColumnId="6498"/>
      <queryTableField id="9895" dataBound="0" tableColumnId="6499"/>
      <queryTableField id="9894" dataBound="0" tableColumnId="6500"/>
      <queryTableField id="9893" dataBound="0" tableColumnId="6501"/>
      <queryTableField id="9892" dataBound="0" tableColumnId="6502"/>
      <queryTableField id="9891" dataBound="0" tableColumnId="6503"/>
      <queryTableField id="9890" dataBound="0" tableColumnId="6504"/>
      <queryTableField id="9889" dataBound="0" tableColumnId="6505"/>
      <queryTableField id="9888" dataBound="0" tableColumnId="6506"/>
      <queryTableField id="9887" dataBound="0" tableColumnId="6507"/>
      <queryTableField id="9886" dataBound="0" tableColumnId="6508"/>
      <queryTableField id="9885" dataBound="0" tableColumnId="6509"/>
      <queryTableField id="9884" dataBound="0" tableColumnId="6510"/>
      <queryTableField id="9883" dataBound="0" tableColumnId="6511"/>
      <queryTableField id="9882" dataBound="0" tableColumnId="6512"/>
      <queryTableField id="9881" dataBound="0" tableColumnId="6513"/>
      <queryTableField id="9880" dataBound="0" tableColumnId="6514"/>
      <queryTableField id="9879" dataBound="0" tableColumnId="6515"/>
      <queryTableField id="9878" dataBound="0" tableColumnId="6516"/>
      <queryTableField id="9877" dataBound="0" tableColumnId="6517"/>
      <queryTableField id="9876" dataBound="0" tableColumnId="6518"/>
      <queryTableField id="9875" dataBound="0" tableColumnId="6519"/>
      <queryTableField id="9874" dataBound="0" tableColumnId="6520"/>
      <queryTableField id="9873" dataBound="0" tableColumnId="6521"/>
      <queryTableField id="9872" dataBound="0" tableColumnId="6522"/>
      <queryTableField id="9871" dataBound="0" tableColumnId="6523"/>
      <queryTableField id="9870" dataBound="0" tableColumnId="6524"/>
      <queryTableField id="9869" dataBound="0" tableColumnId="6525"/>
      <queryTableField id="9868" dataBound="0" tableColumnId="6526"/>
      <queryTableField id="9867" dataBound="0" tableColumnId="6527"/>
      <queryTableField id="9866" dataBound="0" tableColumnId="6528"/>
      <queryTableField id="9865" dataBound="0" tableColumnId="6529"/>
      <queryTableField id="9864" dataBound="0" tableColumnId="6530"/>
      <queryTableField id="9863" dataBound="0" tableColumnId="6531"/>
      <queryTableField id="9862" dataBound="0" tableColumnId="6532"/>
      <queryTableField id="9861" dataBound="0" tableColumnId="6533"/>
      <queryTableField id="9860" dataBound="0" tableColumnId="6534"/>
      <queryTableField id="9859" dataBound="0" tableColumnId="6535"/>
      <queryTableField id="9858" dataBound="0" tableColumnId="6536"/>
      <queryTableField id="9857" dataBound="0" tableColumnId="6537"/>
      <queryTableField id="9856" dataBound="0" tableColumnId="6538"/>
      <queryTableField id="9855" dataBound="0" tableColumnId="6539"/>
      <queryTableField id="9854" dataBound="0" tableColumnId="6540"/>
      <queryTableField id="9853" dataBound="0" tableColumnId="6541"/>
      <queryTableField id="9852" dataBound="0" tableColumnId="6542"/>
      <queryTableField id="9851" dataBound="0" tableColumnId="6543"/>
      <queryTableField id="9850" dataBound="0" tableColumnId="6544"/>
      <queryTableField id="9849" dataBound="0" tableColumnId="6545"/>
      <queryTableField id="9848" dataBound="0" tableColumnId="6546"/>
      <queryTableField id="9847" dataBound="0" tableColumnId="6547"/>
      <queryTableField id="9846" dataBound="0" tableColumnId="6548"/>
      <queryTableField id="9845" dataBound="0" tableColumnId="6549"/>
      <queryTableField id="9844" dataBound="0" tableColumnId="6550"/>
      <queryTableField id="9843" dataBound="0" tableColumnId="6551"/>
      <queryTableField id="9842" dataBound="0" tableColumnId="6552"/>
      <queryTableField id="9841" dataBound="0" tableColumnId="6553"/>
      <queryTableField id="9840" dataBound="0" tableColumnId="6554"/>
      <queryTableField id="9839" dataBound="0" tableColumnId="6555"/>
      <queryTableField id="9838" dataBound="0" tableColumnId="6556"/>
      <queryTableField id="9837" dataBound="0" tableColumnId="6557"/>
      <queryTableField id="9836" dataBound="0" tableColumnId="6558"/>
      <queryTableField id="9835" dataBound="0" tableColumnId="6559"/>
      <queryTableField id="9834" dataBound="0" tableColumnId="6560"/>
      <queryTableField id="9833" dataBound="0" tableColumnId="6561"/>
      <queryTableField id="9832" dataBound="0" tableColumnId="6562"/>
      <queryTableField id="9831" dataBound="0" tableColumnId="6563"/>
      <queryTableField id="9830" dataBound="0" tableColumnId="6564"/>
      <queryTableField id="9829" dataBound="0" tableColumnId="6565"/>
      <queryTableField id="9828" dataBound="0" tableColumnId="6566"/>
      <queryTableField id="9827" dataBound="0" tableColumnId="6567"/>
      <queryTableField id="9826" dataBound="0" tableColumnId="6568"/>
      <queryTableField id="9825" dataBound="0" tableColumnId="6569"/>
      <queryTableField id="9824" dataBound="0" tableColumnId="6570"/>
      <queryTableField id="9823" dataBound="0" tableColumnId="6571"/>
      <queryTableField id="9822" dataBound="0" tableColumnId="6572"/>
      <queryTableField id="9821" dataBound="0" tableColumnId="6573"/>
      <queryTableField id="9820" dataBound="0" tableColumnId="6574"/>
      <queryTableField id="9819" dataBound="0" tableColumnId="6575"/>
      <queryTableField id="9818" dataBound="0" tableColumnId="6576"/>
      <queryTableField id="9817" dataBound="0" tableColumnId="6577"/>
      <queryTableField id="9816" dataBound="0" tableColumnId="6578"/>
      <queryTableField id="9815" dataBound="0" tableColumnId="6579"/>
      <queryTableField id="9814" dataBound="0" tableColumnId="6580"/>
      <queryTableField id="9813" dataBound="0" tableColumnId="6581"/>
      <queryTableField id="9812" dataBound="0" tableColumnId="6582"/>
      <queryTableField id="9811" dataBound="0" tableColumnId="6583"/>
      <queryTableField id="9810" dataBound="0" tableColumnId="6584"/>
      <queryTableField id="9809" dataBound="0" tableColumnId="6585"/>
      <queryTableField id="9808" dataBound="0" tableColumnId="6586"/>
      <queryTableField id="9807" dataBound="0" tableColumnId="6587"/>
      <queryTableField id="9806" dataBound="0" tableColumnId="6588"/>
      <queryTableField id="9805" dataBound="0" tableColumnId="6589"/>
      <queryTableField id="9804" dataBound="0" tableColumnId="6590"/>
      <queryTableField id="9803" dataBound="0" tableColumnId="6591"/>
      <queryTableField id="9802" dataBound="0" tableColumnId="6592"/>
      <queryTableField id="9801" dataBound="0" tableColumnId="6593"/>
      <queryTableField id="9800" dataBound="0" tableColumnId="6594"/>
      <queryTableField id="9799" dataBound="0" tableColumnId="6595"/>
      <queryTableField id="9798" dataBound="0" tableColumnId="6596"/>
      <queryTableField id="9797" dataBound="0" tableColumnId="6597"/>
      <queryTableField id="9796" dataBound="0" tableColumnId="6598"/>
      <queryTableField id="9795" dataBound="0" tableColumnId="6599"/>
      <queryTableField id="9794" dataBound="0" tableColumnId="6600"/>
      <queryTableField id="9793" dataBound="0" tableColumnId="6601"/>
      <queryTableField id="9792" dataBound="0" tableColumnId="6602"/>
      <queryTableField id="9791" dataBound="0" tableColumnId="6603"/>
      <queryTableField id="9790" dataBound="0" tableColumnId="6604"/>
      <queryTableField id="9789" dataBound="0" tableColumnId="6605"/>
      <queryTableField id="9788" dataBound="0" tableColumnId="6606"/>
      <queryTableField id="9787" dataBound="0" tableColumnId="6607"/>
      <queryTableField id="9786" dataBound="0" tableColumnId="6608"/>
      <queryTableField id="9785" dataBound="0" tableColumnId="6609"/>
      <queryTableField id="9784" dataBound="0" tableColumnId="6610"/>
      <queryTableField id="9783" dataBound="0" tableColumnId="6611"/>
      <queryTableField id="9782" dataBound="0" tableColumnId="6612"/>
      <queryTableField id="9781" dataBound="0" tableColumnId="6613"/>
      <queryTableField id="9780" dataBound="0" tableColumnId="6614"/>
      <queryTableField id="9779" dataBound="0" tableColumnId="6615"/>
      <queryTableField id="9778" dataBound="0" tableColumnId="6616"/>
      <queryTableField id="9777" dataBound="0" tableColumnId="6617"/>
      <queryTableField id="9776" dataBound="0" tableColumnId="6618"/>
      <queryTableField id="9775" dataBound="0" tableColumnId="6619"/>
      <queryTableField id="9774" dataBound="0" tableColumnId="6620"/>
      <queryTableField id="9773" dataBound="0" tableColumnId="6621"/>
      <queryTableField id="9772" dataBound="0" tableColumnId="6622"/>
      <queryTableField id="9771" dataBound="0" tableColumnId="6623"/>
      <queryTableField id="9770" dataBound="0" tableColumnId="6624"/>
      <queryTableField id="9769" dataBound="0" tableColumnId="6625"/>
      <queryTableField id="9768" dataBound="0" tableColumnId="6626"/>
      <queryTableField id="9767" dataBound="0" tableColumnId="6627"/>
      <queryTableField id="9766" dataBound="0" tableColumnId="6628"/>
      <queryTableField id="9765" dataBound="0" tableColumnId="6629"/>
      <queryTableField id="9764" dataBound="0" tableColumnId="6630"/>
      <queryTableField id="9763" dataBound="0" tableColumnId="6631"/>
      <queryTableField id="9762" dataBound="0" tableColumnId="6632"/>
      <queryTableField id="9761" dataBound="0" tableColumnId="6633"/>
      <queryTableField id="9760" dataBound="0" tableColumnId="6634"/>
      <queryTableField id="9759" dataBound="0" tableColumnId="6635"/>
      <queryTableField id="9758" dataBound="0" tableColumnId="6636"/>
      <queryTableField id="9757" dataBound="0" tableColumnId="6637"/>
      <queryTableField id="9756" dataBound="0" tableColumnId="6638"/>
      <queryTableField id="9755" dataBound="0" tableColumnId="6639"/>
      <queryTableField id="9754" dataBound="0" tableColumnId="6640"/>
      <queryTableField id="9753" dataBound="0" tableColumnId="6641"/>
      <queryTableField id="9752" dataBound="0" tableColumnId="6642"/>
      <queryTableField id="9751" dataBound="0" tableColumnId="6643"/>
      <queryTableField id="9750" dataBound="0" tableColumnId="6644"/>
      <queryTableField id="9749" dataBound="0" tableColumnId="6645"/>
      <queryTableField id="9748" dataBound="0" tableColumnId="6646"/>
      <queryTableField id="9747" dataBound="0" tableColumnId="6647"/>
      <queryTableField id="9746" dataBound="0" tableColumnId="6648"/>
      <queryTableField id="9745" dataBound="0" tableColumnId="6649"/>
      <queryTableField id="9744" dataBound="0" tableColumnId="6650"/>
      <queryTableField id="9743" dataBound="0" tableColumnId="6651"/>
      <queryTableField id="9742" dataBound="0" tableColumnId="6652"/>
      <queryTableField id="9741" dataBound="0" tableColumnId="6653"/>
      <queryTableField id="9740" dataBound="0" tableColumnId="6654"/>
      <queryTableField id="9739" dataBound="0" tableColumnId="6655"/>
      <queryTableField id="9738" dataBound="0" tableColumnId="6656"/>
      <queryTableField id="9737" dataBound="0" tableColumnId="6657"/>
      <queryTableField id="9736" dataBound="0" tableColumnId="6658"/>
      <queryTableField id="9735" dataBound="0" tableColumnId="6659"/>
      <queryTableField id="9734" dataBound="0" tableColumnId="6660"/>
      <queryTableField id="9733" dataBound="0" tableColumnId="6661"/>
      <queryTableField id="9732" dataBound="0" tableColumnId="6662"/>
      <queryTableField id="9731" dataBound="0" tableColumnId="6663"/>
      <queryTableField id="9730" dataBound="0" tableColumnId="6664"/>
      <queryTableField id="9729" dataBound="0" tableColumnId="6665"/>
      <queryTableField id="9728" dataBound="0" tableColumnId="6666"/>
      <queryTableField id="9727" dataBound="0" tableColumnId="6667"/>
      <queryTableField id="9726" dataBound="0" tableColumnId="6668"/>
      <queryTableField id="9725" dataBound="0" tableColumnId="6669"/>
      <queryTableField id="9724" dataBound="0" tableColumnId="6670"/>
      <queryTableField id="9723" dataBound="0" tableColumnId="6671"/>
      <queryTableField id="9722" dataBound="0" tableColumnId="6672"/>
      <queryTableField id="9721" dataBound="0" tableColumnId="6673"/>
      <queryTableField id="9720" dataBound="0" tableColumnId="6674"/>
      <queryTableField id="9719" dataBound="0" tableColumnId="6675"/>
      <queryTableField id="9718" dataBound="0" tableColumnId="6676"/>
      <queryTableField id="9717" dataBound="0" tableColumnId="6677"/>
      <queryTableField id="9716" dataBound="0" tableColumnId="6678"/>
      <queryTableField id="9715" dataBound="0" tableColumnId="6679"/>
      <queryTableField id="9714" dataBound="0" tableColumnId="6680"/>
      <queryTableField id="9713" dataBound="0" tableColumnId="6681"/>
      <queryTableField id="9712" dataBound="0" tableColumnId="6682"/>
      <queryTableField id="9711" dataBound="0" tableColumnId="6683"/>
      <queryTableField id="9710" dataBound="0" tableColumnId="6684"/>
      <queryTableField id="9709" dataBound="0" tableColumnId="6685"/>
      <queryTableField id="9708" dataBound="0" tableColumnId="6686"/>
      <queryTableField id="9707" dataBound="0" tableColumnId="6687"/>
      <queryTableField id="9706" dataBound="0" tableColumnId="6688"/>
      <queryTableField id="9705" dataBound="0" tableColumnId="6689"/>
      <queryTableField id="9704" dataBound="0" tableColumnId="6690"/>
      <queryTableField id="9703" dataBound="0" tableColumnId="6691"/>
      <queryTableField id="9702" dataBound="0" tableColumnId="6692"/>
      <queryTableField id="9701" dataBound="0" tableColumnId="6693"/>
      <queryTableField id="9700" dataBound="0" tableColumnId="6694"/>
      <queryTableField id="9699" dataBound="0" tableColumnId="6695"/>
      <queryTableField id="9698" dataBound="0" tableColumnId="6696"/>
      <queryTableField id="9697" dataBound="0" tableColumnId="6697"/>
      <queryTableField id="9696" dataBound="0" tableColumnId="6698"/>
      <queryTableField id="9695" dataBound="0" tableColumnId="6699"/>
      <queryTableField id="9694" dataBound="0" tableColumnId="6700"/>
      <queryTableField id="9693" dataBound="0" tableColumnId="6701"/>
      <queryTableField id="9692" dataBound="0" tableColumnId="6702"/>
      <queryTableField id="9691" dataBound="0" tableColumnId="6703"/>
      <queryTableField id="9690" dataBound="0" tableColumnId="6704"/>
      <queryTableField id="9689" dataBound="0" tableColumnId="6705"/>
      <queryTableField id="9688" dataBound="0" tableColumnId="6706"/>
      <queryTableField id="9687" dataBound="0" tableColumnId="6707"/>
      <queryTableField id="9686" dataBound="0" tableColumnId="6708"/>
      <queryTableField id="9685" dataBound="0" tableColumnId="6709"/>
      <queryTableField id="9684" dataBound="0" tableColumnId="6710"/>
      <queryTableField id="9683" dataBound="0" tableColumnId="6711"/>
      <queryTableField id="9682" dataBound="0" tableColumnId="6712"/>
      <queryTableField id="9681" dataBound="0" tableColumnId="6713"/>
      <queryTableField id="9680" dataBound="0" tableColumnId="6714"/>
      <queryTableField id="9679" dataBound="0" tableColumnId="6715"/>
      <queryTableField id="9678" dataBound="0" tableColumnId="6716"/>
      <queryTableField id="9677" dataBound="0" tableColumnId="6717"/>
      <queryTableField id="9676" dataBound="0" tableColumnId="6718"/>
      <queryTableField id="9675" dataBound="0" tableColumnId="6719"/>
      <queryTableField id="9674" dataBound="0" tableColumnId="6720"/>
      <queryTableField id="9673" dataBound="0" tableColumnId="6721"/>
      <queryTableField id="9672" dataBound="0" tableColumnId="6722"/>
      <queryTableField id="9671" dataBound="0" tableColumnId="6723"/>
      <queryTableField id="9670" dataBound="0" tableColumnId="6724"/>
      <queryTableField id="9669" dataBound="0" tableColumnId="6725"/>
      <queryTableField id="9668" dataBound="0" tableColumnId="6726"/>
      <queryTableField id="9667" dataBound="0" tableColumnId="6727"/>
      <queryTableField id="9666" dataBound="0" tableColumnId="6728"/>
      <queryTableField id="9665" dataBound="0" tableColumnId="6729"/>
      <queryTableField id="9664" dataBound="0" tableColumnId="6730"/>
      <queryTableField id="9663" dataBound="0" tableColumnId="6731"/>
      <queryTableField id="9662" dataBound="0" tableColumnId="6732"/>
      <queryTableField id="9661" dataBound="0" tableColumnId="6733"/>
      <queryTableField id="9660" dataBound="0" tableColumnId="6734"/>
      <queryTableField id="9659" dataBound="0" tableColumnId="6735"/>
      <queryTableField id="9658" dataBound="0" tableColumnId="6736"/>
      <queryTableField id="9657" dataBound="0" tableColumnId="6737"/>
      <queryTableField id="9656" dataBound="0" tableColumnId="6738"/>
      <queryTableField id="9655" dataBound="0" tableColumnId="6739"/>
      <queryTableField id="9654" dataBound="0" tableColumnId="6740"/>
      <queryTableField id="9653" dataBound="0" tableColumnId="6741"/>
      <queryTableField id="9652" dataBound="0" tableColumnId="6742"/>
      <queryTableField id="9651" dataBound="0" tableColumnId="6743"/>
      <queryTableField id="9650" dataBound="0" tableColumnId="6744"/>
      <queryTableField id="9649" dataBound="0" tableColumnId="6745"/>
      <queryTableField id="9648" dataBound="0" tableColumnId="6746"/>
      <queryTableField id="9647" dataBound="0" tableColumnId="6747"/>
      <queryTableField id="9646" dataBound="0" tableColumnId="6748"/>
      <queryTableField id="9645" dataBound="0" tableColumnId="6749"/>
      <queryTableField id="9644" dataBound="0" tableColumnId="6750"/>
      <queryTableField id="9643" dataBound="0" tableColumnId="6751"/>
      <queryTableField id="9642" dataBound="0" tableColumnId="6752"/>
      <queryTableField id="9641" dataBound="0" tableColumnId="6753"/>
      <queryTableField id="9640" dataBound="0" tableColumnId="6754"/>
      <queryTableField id="9639" dataBound="0" tableColumnId="6755"/>
      <queryTableField id="9638" dataBound="0" tableColumnId="6756"/>
      <queryTableField id="9637" dataBound="0" tableColumnId="6757"/>
      <queryTableField id="9636" dataBound="0" tableColumnId="6758"/>
      <queryTableField id="9635" dataBound="0" tableColumnId="6759"/>
      <queryTableField id="9634" dataBound="0" tableColumnId="6760"/>
      <queryTableField id="9633" dataBound="0" tableColumnId="6761"/>
      <queryTableField id="9632" dataBound="0" tableColumnId="6762"/>
      <queryTableField id="9631" dataBound="0" tableColumnId="6763"/>
      <queryTableField id="9630" dataBound="0" tableColumnId="6764"/>
      <queryTableField id="9629" dataBound="0" tableColumnId="6765"/>
      <queryTableField id="9628" dataBound="0" tableColumnId="6766"/>
      <queryTableField id="9627" dataBound="0" tableColumnId="6767"/>
      <queryTableField id="9626" dataBound="0" tableColumnId="6768"/>
      <queryTableField id="9625" dataBound="0" tableColumnId="6769"/>
      <queryTableField id="9624" dataBound="0" tableColumnId="6770"/>
      <queryTableField id="9623" dataBound="0" tableColumnId="6771"/>
      <queryTableField id="9622" dataBound="0" tableColumnId="6772"/>
      <queryTableField id="9621" dataBound="0" tableColumnId="6773"/>
      <queryTableField id="9620" dataBound="0" tableColumnId="6774"/>
      <queryTableField id="9619" dataBound="0" tableColumnId="6775"/>
      <queryTableField id="9618" dataBound="0" tableColumnId="6776"/>
      <queryTableField id="9617" dataBound="0" tableColumnId="6777"/>
      <queryTableField id="9616" dataBound="0" tableColumnId="6778"/>
      <queryTableField id="9615" dataBound="0" tableColumnId="6779"/>
      <queryTableField id="9614" dataBound="0" tableColumnId="6780"/>
      <queryTableField id="9613" dataBound="0" tableColumnId="6781"/>
      <queryTableField id="9612" dataBound="0" tableColumnId="6782"/>
      <queryTableField id="9611" dataBound="0" tableColumnId="6783"/>
      <queryTableField id="9610" dataBound="0" tableColumnId="6784"/>
      <queryTableField id="9609" dataBound="0" tableColumnId="6785"/>
      <queryTableField id="9608" dataBound="0" tableColumnId="6786"/>
      <queryTableField id="9607" dataBound="0" tableColumnId="6787"/>
      <queryTableField id="9606" dataBound="0" tableColumnId="6788"/>
      <queryTableField id="9605" dataBound="0" tableColumnId="6789"/>
      <queryTableField id="9604" dataBound="0" tableColumnId="6790"/>
      <queryTableField id="9603" dataBound="0" tableColumnId="6791"/>
      <queryTableField id="9602" dataBound="0" tableColumnId="6792"/>
      <queryTableField id="9601" dataBound="0" tableColumnId="6793"/>
      <queryTableField id="9600" dataBound="0" tableColumnId="6794"/>
      <queryTableField id="9599" dataBound="0" tableColumnId="6795"/>
      <queryTableField id="9598" dataBound="0" tableColumnId="6796"/>
      <queryTableField id="9597" dataBound="0" tableColumnId="6797"/>
      <queryTableField id="9596" dataBound="0" tableColumnId="6798"/>
      <queryTableField id="9595" dataBound="0" tableColumnId="6799"/>
      <queryTableField id="9594" dataBound="0" tableColumnId="6800"/>
      <queryTableField id="9593" dataBound="0" tableColumnId="6801"/>
      <queryTableField id="9592" dataBound="0" tableColumnId="6802"/>
      <queryTableField id="9591" dataBound="0" tableColumnId="6803"/>
      <queryTableField id="9590" dataBound="0" tableColumnId="6804"/>
      <queryTableField id="9589" dataBound="0" tableColumnId="6805"/>
      <queryTableField id="9588" dataBound="0" tableColumnId="6806"/>
      <queryTableField id="9587" dataBound="0" tableColumnId="6807"/>
      <queryTableField id="9586" dataBound="0" tableColumnId="6808"/>
      <queryTableField id="9585" dataBound="0" tableColumnId="6809"/>
      <queryTableField id="9584" dataBound="0" tableColumnId="6810"/>
      <queryTableField id="9583" dataBound="0" tableColumnId="6811"/>
      <queryTableField id="9582" dataBound="0" tableColumnId="6812"/>
      <queryTableField id="9581" dataBound="0" tableColumnId="6813"/>
      <queryTableField id="9580" dataBound="0" tableColumnId="6814"/>
      <queryTableField id="9579" dataBound="0" tableColumnId="6815"/>
      <queryTableField id="9578" dataBound="0" tableColumnId="6816"/>
      <queryTableField id="9577" dataBound="0" tableColumnId="6817"/>
      <queryTableField id="9576" dataBound="0" tableColumnId="6818"/>
      <queryTableField id="9575" dataBound="0" tableColumnId="6819"/>
      <queryTableField id="9574" dataBound="0" tableColumnId="6820"/>
      <queryTableField id="9573" dataBound="0" tableColumnId="6821"/>
      <queryTableField id="9572" dataBound="0" tableColumnId="6822"/>
      <queryTableField id="9571" dataBound="0" tableColumnId="6823"/>
      <queryTableField id="9570" dataBound="0" tableColumnId="6824"/>
      <queryTableField id="9569" dataBound="0" tableColumnId="6825"/>
      <queryTableField id="9568" dataBound="0" tableColumnId="6826"/>
      <queryTableField id="9567" dataBound="0" tableColumnId="6827"/>
      <queryTableField id="9566" dataBound="0" tableColumnId="6828"/>
      <queryTableField id="9565" dataBound="0" tableColumnId="6829"/>
      <queryTableField id="9564" dataBound="0" tableColumnId="6830"/>
      <queryTableField id="9563" dataBound="0" tableColumnId="6831"/>
      <queryTableField id="9562" dataBound="0" tableColumnId="6832"/>
      <queryTableField id="9561" dataBound="0" tableColumnId="6833"/>
      <queryTableField id="9560" dataBound="0" tableColumnId="6834"/>
      <queryTableField id="9559" dataBound="0" tableColumnId="6835"/>
      <queryTableField id="9558" dataBound="0" tableColumnId="6836"/>
      <queryTableField id="9557" dataBound="0" tableColumnId="6837"/>
      <queryTableField id="9556" dataBound="0" tableColumnId="6838"/>
      <queryTableField id="9555" dataBound="0" tableColumnId="6839"/>
      <queryTableField id="9554" dataBound="0" tableColumnId="6840"/>
      <queryTableField id="9553" dataBound="0" tableColumnId="6841"/>
      <queryTableField id="9552" dataBound="0" tableColumnId="6842"/>
      <queryTableField id="9551" dataBound="0" tableColumnId="6843"/>
      <queryTableField id="9550" dataBound="0" tableColumnId="6844"/>
      <queryTableField id="9549" dataBound="0" tableColumnId="6845"/>
      <queryTableField id="9548" dataBound="0" tableColumnId="6846"/>
      <queryTableField id="9547" dataBound="0" tableColumnId="6847"/>
      <queryTableField id="9546" dataBound="0" tableColumnId="6848"/>
      <queryTableField id="9545" dataBound="0" tableColumnId="6849"/>
      <queryTableField id="9544" dataBound="0" tableColumnId="6850"/>
      <queryTableField id="9543" dataBound="0" tableColumnId="6851"/>
      <queryTableField id="9542" dataBound="0" tableColumnId="6852"/>
      <queryTableField id="9541" dataBound="0" tableColumnId="6853"/>
      <queryTableField id="9540" dataBound="0" tableColumnId="6854"/>
      <queryTableField id="9539" dataBound="0" tableColumnId="6855"/>
      <queryTableField id="9538" dataBound="0" tableColumnId="6856"/>
      <queryTableField id="9537" dataBound="0" tableColumnId="6857"/>
      <queryTableField id="9536" dataBound="0" tableColumnId="6858"/>
      <queryTableField id="9535" dataBound="0" tableColumnId="6859"/>
      <queryTableField id="9534" dataBound="0" tableColumnId="6860"/>
      <queryTableField id="9533" dataBound="0" tableColumnId="6861"/>
      <queryTableField id="9532" dataBound="0" tableColumnId="6862"/>
      <queryTableField id="9531" dataBound="0" tableColumnId="6863"/>
      <queryTableField id="9530" dataBound="0" tableColumnId="6864"/>
      <queryTableField id="9529" dataBound="0" tableColumnId="6865"/>
      <queryTableField id="9528" dataBound="0" tableColumnId="6866"/>
      <queryTableField id="9527" dataBound="0" tableColumnId="6867"/>
      <queryTableField id="9526" dataBound="0" tableColumnId="6868"/>
      <queryTableField id="9525" dataBound="0" tableColumnId="6869"/>
      <queryTableField id="9524" dataBound="0" tableColumnId="6870"/>
      <queryTableField id="9523" dataBound="0" tableColumnId="6871"/>
      <queryTableField id="9522" dataBound="0" tableColumnId="6872"/>
      <queryTableField id="9521" dataBound="0" tableColumnId="6873"/>
      <queryTableField id="9520" dataBound="0" tableColumnId="6874"/>
      <queryTableField id="9519" dataBound="0" tableColumnId="6875"/>
      <queryTableField id="9518" dataBound="0" tableColumnId="6876"/>
      <queryTableField id="9517" dataBound="0" tableColumnId="6877"/>
      <queryTableField id="9516" dataBound="0" tableColumnId="6878"/>
      <queryTableField id="9515" dataBound="0" tableColumnId="6879"/>
      <queryTableField id="9514" dataBound="0" tableColumnId="6880"/>
      <queryTableField id="9513" dataBound="0" tableColumnId="6881"/>
      <queryTableField id="9512" dataBound="0" tableColumnId="6882"/>
      <queryTableField id="9511" dataBound="0" tableColumnId="6883"/>
      <queryTableField id="9510" dataBound="0" tableColumnId="6884"/>
      <queryTableField id="9509" dataBound="0" tableColumnId="6885"/>
      <queryTableField id="9508" dataBound="0" tableColumnId="6886"/>
      <queryTableField id="9507" dataBound="0" tableColumnId="6887"/>
      <queryTableField id="9506" dataBound="0" tableColumnId="6888"/>
      <queryTableField id="9505" dataBound="0" tableColumnId="6889"/>
      <queryTableField id="9504" dataBound="0" tableColumnId="6890"/>
      <queryTableField id="9503" dataBound="0" tableColumnId="6891"/>
      <queryTableField id="9502" dataBound="0" tableColumnId="6892"/>
      <queryTableField id="9501" dataBound="0" tableColumnId="6893"/>
      <queryTableField id="9500" dataBound="0" tableColumnId="6894"/>
      <queryTableField id="9499" dataBound="0" tableColumnId="6895"/>
      <queryTableField id="9498" dataBound="0" tableColumnId="6896"/>
      <queryTableField id="9497" dataBound="0" tableColumnId="6897"/>
      <queryTableField id="9496" dataBound="0" tableColumnId="6898"/>
      <queryTableField id="9495" dataBound="0" tableColumnId="6899"/>
      <queryTableField id="9494" dataBound="0" tableColumnId="6900"/>
      <queryTableField id="9493" dataBound="0" tableColumnId="6901"/>
      <queryTableField id="9492" dataBound="0" tableColumnId="6902"/>
      <queryTableField id="9491" dataBound="0" tableColumnId="6903"/>
      <queryTableField id="9490" dataBound="0" tableColumnId="6904"/>
      <queryTableField id="9489" dataBound="0" tableColumnId="6905"/>
      <queryTableField id="9488" dataBound="0" tableColumnId="6906"/>
      <queryTableField id="9487" dataBound="0" tableColumnId="6907"/>
      <queryTableField id="9486" dataBound="0" tableColumnId="6908"/>
      <queryTableField id="9485" dataBound="0" tableColumnId="6909"/>
      <queryTableField id="9484" dataBound="0" tableColumnId="6910"/>
      <queryTableField id="9483" dataBound="0" tableColumnId="6911"/>
      <queryTableField id="9482" dataBound="0" tableColumnId="6912"/>
      <queryTableField id="9481" dataBound="0" tableColumnId="6913"/>
      <queryTableField id="9480" dataBound="0" tableColumnId="6914"/>
      <queryTableField id="9479" dataBound="0" tableColumnId="6915"/>
      <queryTableField id="9478" dataBound="0" tableColumnId="6916"/>
      <queryTableField id="9477" dataBound="0" tableColumnId="6917"/>
      <queryTableField id="9476" dataBound="0" tableColumnId="6918"/>
      <queryTableField id="9475" dataBound="0" tableColumnId="6919"/>
      <queryTableField id="9474" dataBound="0" tableColumnId="6920"/>
      <queryTableField id="9473" dataBound="0" tableColumnId="6921"/>
      <queryTableField id="9472" dataBound="0" tableColumnId="6922"/>
      <queryTableField id="9471" dataBound="0" tableColumnId="6923"/>
      <queryTableField id="9470" dataBound="0" tableColumnId="6924"/>
      <queryTableField id="9469" dataBound="0" tableColumnId="6925"/>
      <queryTableField id="9468" dataBound="0" tableColumnId="6926"/>
      <queryTableField id="9467" dataBound="0" tableColumnId="6927"/>
      <queryTableField id="9466" dataBound="0" tableColumnId="6928"/>
      <queryTableField id="9465" dataBound="0" tableColumnId="6929"/>
      <queryTableField id="9464" dataBound="0" tableColumnId="6930"/>
      <queryTableField id="9463" dataBound="0" tableColumnId="6931"/>
      <queryTableField id="9462" dataBound="0" tableColumnId="6932"/>
      <queryTableField id="9461" dataBound="0" tableColumnId="6933"/>
      <queryTableField id="9460" dataBound="0" tableColumnId="6934"/>
      <queryTableField id="9459" dataBound="0" tableColumnId="6935"/>
      <queryTableField id="9458" dataBound="0" tableColumnId="6936"/>
      <queryTableField id="9457" dataBound="0" tableColumnId="6937"/>
      <queryTableField id="9456" dataBound="0" tableColumnId="6938"/>
      <queryTableField id="9455" dataBound="0" tableColumnId="6939"/>
      <queryTableField id="9454" dataBound="0" tableColumnId="6940"/>
      <queryTableField id="9453" dataBound="0" tableColumnId="6941"/>
      <queryTableField id="9452" dataBound="0" tableColumnId="6942"/>
      <queryTableField id="9451" dataBound="0" tableColumnId="6943"/>
      <queryTableField id="9450" dataBound="0" tableColumnId="6944"/>
      <queryTableField id="9449" dataBound="0" tableColumnId="6945"/>
      <queryTableField id="9448" dataBound="0" tableColumnId="6946"/>
      <queryTableField id="9447" dataBound="0" tableColumnId="6947"/>
      <queryTableField id="9446" dataBound="0" tableColumnId="6948"/>
      <queryTableField id="9445" dataBound="0" tableColumnId="6949"/>
      <queryTableField id="9444" dataBound="0" tableColumnId="6950"/>
      <queryTableField id="9443" dataBound="0" tableColumnId="6951"/>
      <queryTableField id="9442" dataBound="0" tableColumnId="6952"/>
      <queryTableField id="9441" dataBound="0" tableColumnId="6953"/>
      <queryTableField id="9440" dataBound="0" tableColumnId="6954"/>
      <queryTableField id="9439" dataBound="0" tableColumnId="6955"/>
      <queryTableField id="9438" dataBound="0" tableColumnId="6956"/>
      <queryTableField id="9437" dataBound="0" tableColumnId="6957"/>
      <queryTableField id="9436" dataBound="0" tableColumnId="6958"/>
      <queryTableField id="9435" dataBound="0" tableColumnId="6959"/>
      <queryTableField id="9434" dataBound="0" tableColumnId="6960"/>
      <queryTableField id="9433" dataBound="0" tableColumnId="6961"/>
      <queryTableField id="9432" dataBound="0" tableColumnId="6962"/>
      <queryTableField id="9431" dataBound="0" tableColumnId="6963"/>
      <queryTableField id="9430" dataBound="0" tableColumnId="6964"/>
      <queryTableField id="9429" dataBound="0" tableColumnId="6965"/>
      <queryTableField id="9428" dataBound="0" tableColumnId="6966"/>
      <queryTableField id="9427" dataBound="0" tableColumnId="6967"/>
      <queryTableField id="9426" dataBound="0" tableColumnId="6968"/>
      <queryTableField id="9425" dataBound="0" tableColumnId="6969"/>
      <queryTableField id="9424" dataBound="0" tableColumnId="6970"/>
      <queryTableField id="9423" dataBound="0" tableColumnId="6971"/>
      <queryTableField id="9422" dataBound="0" tableColumnId="6972"/>
      <queryTableField id="9421" dataBound="0" tableColumnId="6973"/>
      <queryTableField id="9420" dataBound="0" tableColumnId="6974"/>
      <queryTableField id="9419" dataBound="0" tableColumnId="6975"/>
      <queryTableField id="9418" dataBound="0" tableColumnId="6976"/>
      <queryTableField id="9417" dataBound="0" tableColumnId="6977"/>
      <queryTableField id="9416" dataBound="0" tableColumnId="6978"/>
      <queryTableField id="9415" dataBound="0" tableColumnId="6979"/>
      <queryTableField id="9414" dataBound="0" tableColumnId="6980"/>
      <queryTableField id="9413" dataBound="0" tableColumnId="6981"/>
      <queryTableField id="9412" dataBound="0" tableColumnId="6982"/>
      <queryTableField id="9411" dataBound="0" tableColumnId="6983"/>
      <queryTableField id="9410" dataBound="0" tableColumnId="6984"/>
      <queryTableField id="9409" dataBound="0" tableColumnId="6985"/>
      <queryTableField id="9408" dataBound="0" tableColumnId="6986"/>
      <queryTableField id="9407" dataBound="0" tableColumnId="6987"/>
      <queryTableField id="9406" dataBound="0" tableColumnId="6988"/>
      <queryTableField id="9405" dataBound="0" tableColumnId="6989"/>
      <queryTableField id="9404" dataBound="0" tableColumnId="6990"/>
      <queryTableField id="9403" dataBound="0" tableColumnId="6991"/>
      <queryTableField id="9402" dataBound="0" tableColumnId="6992"/>
      <queryTableField id="9401" dataBound="0" tableColumnId="6993"/>
      <queryTableField id="9400" dataBound="0" tableColumnId="6994"/>
      <queryTableField id="9399" dataBound="0" tableColumnId="6995"/>
      <queryTableField id="9398" dataBound="0" tableColumnId="6996"/>
      <queryTableField id="9397" dataBound="0" tableColumnId="6997"/>
      <queryTableField id="9396" dataBound="0" tableColumnId="6998"/>
      <queryTableField id="9395" dataBound="0" tableColumnId="6999"/>
      <queryTableField id="9394" dataBound="0" tableColumnId="7000"/>
      <queryTableField id="9393" dataBound="0" tableColumnId="7001"/>
      <queryTableField id="9392" dataBound="0" tableColumnId="7002"/>
      <queryTableField id="9391" dataBound="0" tableColumnId="7003"/>
      <queryTableField id="9390" dataBound="0" tableColumnId="7004"/>
      <queryTableField id="9389" dataBound="0" tableColumnId="7005"/>
      <queryTableField id="9388" dataBound="0" tableColumnId="7006"/>
      <queryTableField id="9387" dataBound="0" tableColumnId="7007"/>
      <queryTableField id="9386" dataBound="0" tableColumnId="7008"/>
      <queryTableField id="9385" dataBound="0" tableColumnId="7009"/>
      <queryTableField id="9384" dataBound="0" tableColumnId="7010"/>
      <queryTableField id="9383" dataBound="0" tableColumnId="7011"/>
      <queryTableField id="9382" dataBound="0" tableColumnId="7012"/>
      <queryTableField id="9381" dataBound="0" tableColumnId="7013"/>
      <queryTableField id="9380" dataBound="0" tableColumnId="7014"/>
      <queryTableField id="9379" dataBound="0" tableColumnId="7015"/>
      <queryTableField id="9378" dataBound="0" tableColumnId="7016"/>
      <queryTableField id="9377" dataBound="0" tableColumnId="7017"/>
      <queryTableField id="9376" dataBound="0" tableColumnId="7018"/>
      <queryTableField id="9375" dataBound="0" tableColumnId="7019"/>
      <queryTableField id="9374" dataBound="0" tableColumnId="7020"/>
      <queryTableField id="9373" dataBound="0" tableColumnId="7021"/>
      <queryTableField id="9372" dataBound="0" tableColumnId="7022"/>
      <queryTableField id="9371" dataBound="0" tableColumnId="7023"/>
      <queryTableField id="9370" dataBound="0" tableColumnId="7024"/>
      <queryTableField id="9369" dataBound="0" tableColumnId="7025"/>
      <queryTableField id="9368" dataBound="0" tableColumnId="7026"/>
      <queryTableField id="9367" dataBound="0" tableColumnId="7027"/>
      <queryTableField id="9366" dataBound="0" tableColumnId="7028"/>
      <queryTableField id="9365" dataBound="0" tableColumnId="7029"/>
      <queryTableField id="9364" dataBound="0" tableColumnId="7030"/>
      <queryTableField id="9363" dataBound="0" tableColumnId="7031"/>
      <queryTableField id="9362" dataBound="0" tableColumnId="7032"/>
      <queryTableField id="9361" dataBound="0" tableColumnId="7033"/>
      <queryTableField id="9360" dataBound="0" tableColumnId="7034"/>
      <queryTableField id="9359" dataBound="0" tableColumnId="7035"/>
      <queryTableField id="9358" dataBound="0" tableColumnId="7036"/>
      <queryTableField id="9357" dataBound="0" tableColumnId="7037"/>
      <queryTableField id="9356" dataBound="0" tableColumnId="7038"/>
      <queryTableField id="9355" dataBound="0" tableColumnId="7039"/>
      <queryTableField id="9354" dataBound="0" tableColumnId="7040"/>
      <queryTableField id="9353" dataBound="0" tableColumnId="7041"/>
      <queryTableField id="9352" dataBound="0" tableColumnId="7042"/>
      <queryTableField id="9351" dataBound="0" tableColumnId="7043"/>
      <queryTableField id="9350" dataBound="0" tableColumnId="7044"/>
      <queryTableField id="9349" dataBound="0" tableColumnId="7045"/>
      <queryTableField id="9348" dataBound="0" tableColumnId="7046"/>
      <queryTableField id="9347" dataBound="0" tableColumnId="7047"/>
      <queryTableField id="9346" dataBound="0" tableColumnId="7048"/>
      <queryTableField id="9345" dataBound="0" tableColumnId="7049"/>
      <queryTableField id="9344" dataBound="0" tableColumnId="7050"/>
      <queryTableField id="9343" dataBound="0" tableColumnId="7051"/>
      <queryTableField id="9342" dataBound="0" tableColumnId="7052"/>
      <queryTableField id="9341" dataBound="0" tableColumnId="7053"/>
      <queryTableField id="9340" dataBound="0" tableColumnId="7054"/>
      <queryTableField id="9339" dataBound="0" tableColumnId="7055"/>
      <queryTableField id="9338" dataBound="0" tableColumnId="7056"/>
      <queryTableField id="9337" dataBound="0" tableColumnId="7057"/>
      <queryTableField id="9336" dataBound="0" tableColumnId="7058"/>
      <queryTableField id="9335" dataBound="0" tableColumnId="7059"/>
      <queryTableField id="9334" dataBound="0" tableColumnId="7060"/>
      <queryTableField id="9333" dataBound="0" tableColumnId="7061"/>
      <queryTableField id="9332" dataBound="0" tableColumnId="7062"/>
      <queryTableField id="9331" dataBound="0" tableColumnId="7063"/>
      <queryTableField id="9330" dataBound="0" tableColumnId="7064"/>
      <queryTableField id="9329" dataBound="0" tableColumnId="7065"/>
      <queryTableField id="9328" dataBound="0" tableColumnId="7066"/>
      <queryTableField id="9327" dataBound="0" tableColumnId="7067"/>
      <queryTableField id="9326" dataBound="0" tableColumnId="7068"/>
      <queryTableField id="9325" dataBound="0" tableColumnId="7069"/>
      <queryTableField id="9324" dataBound="0" tableColumnId="7070"/>
      <queryTableField id="9323" dataBound="0" tableColumnId="7071"/>
      <queryTableField id="9322" dataBound="0" tableColumnId="7072"/>
      <queryTableField id="9321" dataBound="0" tableColumnId="7073"/>
      <queryTableField id="9320" dataBound="0" tableColumnId="7074"/>
      <queryTableField id="9319" dataBound="0" tableColumnId="7075"/>
      <queryTableField id="9318" dataBound="0" tableColumnId="7076"/>
      <queryTableField id="9317" dataBound="0" tableColumnId="7077"/>
      <queryTableField id="9316" dataBound="0" tableColumnId="7078"/>
      <queryTableField id="9315" dataBound="0" tableColumnId="7079"/>
      <queryTableField id="9314" dataBound="0" tableColumnId="7080"/>
      <queryTableField id="9313" dataBound="0" tableColumnId="7081"/>
      <queryTableField id="9312" dataBound="0" tableColumnId="7082"/>
      <queryTableField id="9311" dataBound="0" tableColumnId="7083"/>
      <queryTableField id="9310" dataBound="0" tableColumnId="7084"/>
      <queryTableField id="9309" dataBound="0" tableColumnId="7085"/>
      <queryTableField id="9308" dataBound="0" tableColumnId="7086"/>
      <queryTableField id="9307" dataBound="0" tableColumnId="7087"/>
      <queryTableField id="9306" dataBound="0" tableColumnId="7088"/>
      <queryTableField id="9305" dataBound="0" tableColumnId="7089"/>
      <queryTableField id="9304" dataBound="0" tableColumnId="7090"/>
      <queryTableField id="9303" dataBound="0" tableColumnId="7091"/>
      <queryTableField id="9302" dataBound="0" tableColumnId="7092"/>
      <queryTableField id="9301" dataBound="0" tableColumnId="7093"/>
      <queryTableField id="9300" dataBound="0" tableColumnId="7094"/>
      <queryTableField id="9299" dataBound="0" tableColumnId="7095"/>
      <queryTableField id="9298" dataBound="0" tableColumnId="7096"/>
      <queryTableField id="9297" dataBound="0" tableColumnId="7097"/>
      <queryTableField id="9296" dataBound="0" tableColumnId="7098"/>
      <queryTableField id="9295" dataBound="0" tableColumnId="7099"/>
      <queryTableField id="9294" dataBound="0" tableColumnId="7100"/>
      <queryTableField id="9293" dataBound="0" tableColumnId="7101"/>
      <queryTableField id="9292" dataBound="0" tableColumnId="7102"/>
      <queryTableField id="9291" dataBound="0" tableColumnId="7103"/>
      <queryTableField id="9290" dataBound="0" tableColumnId="7104"/>
      <queryTableField id="9289" dataBound="0" tableColumnId="7105"/>
      <queryTableField id="9288" dataBound="0" tableColumnId="7106"/>
      <queryTableField id="9287" dataBound="0" tableColumnId="7107"/>
      <queryTableField id="9286" dataBound="0" tableColumnId="7108"/>
      <queryTableField id="9285" dataBound="0" tableColumnId="7109"/>
      <queryTableField id="9284" dataBound="0" tableColumnId="7110"/>
      <queryTableField id="9283" dataBound="0" tableColumnId="7111"/>
      <queryTableField id="9282" dataBound="0" tableColumnId="7112"/>
      <queryTableField id="9281" dataBound="0" tableColumnId="7113"/>
      <queryTableField id="9280" dataBound="0" tableColumnId="7114"/>
      <queryTableField id="9279" dataBound="0" tableColumnId="7115"/>
      <queryTableField id="9278" dataBound="0" tableColumnId="7116"/>
      <queryTableField id="9277" dataBound="0" tableColumnId="7117"/>
      <queryTableField id="9276" dataBound="0" tableColumnId="7118"/>
      <queryTableField id="9275" dataBound="0" tableColumnId="7119"/>
      <queryTableField id="9274" dataBound="0" tableColumnId="7120"/>
      <queryTableField id="9273" dataBound="0" tableColumnId="7121"/>
      <queryTableField id="9272" dataBound="0" tableColumnId="7122"/>
      <queryTableField id="9271" dataBound="0" tableColumnId="7123"/>
      <queryTableField id="9270" dataBound="0" tableColumnId="7124"/>
      <queryTableField id="9269" dataBound="0" tableColumnId="7125"/>
      <queryTableField id="9268" dataBound="0" tableColumnId="7126"/>
      <queryTableField id="9267" dataBound="0" tableColumnId="7127"/>
      <queryTableField id="9266" dataBound="0" tableColumnId="7128"/>
      <queryTableField id="9265" dataBound="0" tableColumnId="7129"/>
      <queryTableField id="9264" dataBound="0" tableColumnId="7130"/>
      <queryTableField id="9263" dataBound="0" tableColumnId="7131"/>
      <queryTableField id="9262" dataBound="0" tableColumnId="7132"/>
      <queryTableField id="9261" dataBound="0" tableColumnId="7133"/>
      <queryTableField id="9260" dataBound="0" tableColumnId="7134"/>
      <queryTableField id="9259" dataBound="0" tableColumnId="7135"/>
      <queryTableField id="9258" dataBound="0" tableColumnId="7136"/>
      <queryTableField id="9257" dataBound="0" tableColumnId="7137"/>
      <queryTableField id="9256" dataBound="0" tableColumnId="7138"/>
      <queryTableField id="9255" dataBound="0" tableColumnId="7139"/>
      <queryTableField id="9254" dataBound="0" tableColumnId="7140"/>
      <queryTableField id="9253" dataBound="0" tableColumnId="7141"/>
      <queryTableField id="9252" dataBound="0" tableColumnId="7142"/>
      <queryTableField id="9251" dataBound="0" tableColumnId="7143"/>
      <queryTableField id="9250" dataBound="0" tableColumnId="7144"/>
      <queryTableField id="9249" dataBound="0" tableColumnId="7145"/>
      <queryTableField id="9248" dataBound="0" tableColumnId="7146"/>
      <queryTableField id="9247" dataBound="0" tableColumnId="7147"/>
      <queryTableField id="9246" dataBound="0" tableColumnId="7148"/>
      <queryTableField id="9245" dataBound="0" tableColumnId="7149"/>
      <queryTableField id="9244" dataBound="0" tableColumnId="7150"/>
      <queryTableField id="9243" dataBound="0" tableColumnId="7151"/>
      <queryTableField id="9242" dataBound="0" tableColumnId="7152"/>
      <queryTableField id="9241" dataBound="0" tableColumnId="7153"/>
      <queryTableField id="9240" dataBound="0" tableColumnId="7154"/>
      <queryTableField id="9239" dataBound="0" tableColumnId="7155"/>
      <queryTableField id="9238" dataBound="0" tableColumnId="7156"/>
      <queryTableField id="9237" dataBound="0" tableColumnId="7157"/>
      <queryTableField id="9236" dataBound="0" tableColumnId="7158"/>
      <queryTableField id="9235" dataBound="0" tableColumnId="7159"/>
      <queryTableField id="9234" dataBound="0" tableColumnId="7160"/>
      <queryTableField id="9233" dataBound="0" tableColumnId="7161"/>
      <queryTableField id="9232" dataBound="0" tableColumnId="7162"/>
      <queryTableField id="9231" dataBound="0" tableColumnId="7163"/>
      <queryTableField id="9230" dataBound="0" tableColumnId="7164"/>
      <queryTableField id="9229" dataBound="0" tableColumnId="7165"/>
      <queryTableField id="9228" dataBound="0" tableColumnId="7166"/>
      <queryTableField id="9227" dataBound="0" tableColumnId="7167"/>
      <queryTableField id="9226" dataBound="0" tableColumnId="7168"/>
      <queryTableField id="9225" dataBound="0" tableColumnId="7169"/>
      <queryTableField id="9224" dataBound="0" tableColumnId="7170"/>
      <queryTableField id="9223" dataBound="0" tableColumnId="7171"/>
      <queryTableField id="9222" dataBound="0" tableColumnId="7172"/>
      <queryTableField id="9221" dataBound="0" tableColumnId="7173"/>
      <queryTableField id="9220" dataBound="0" tableColumnId="7174"/>
      <queryTableField id="9219" dataBound="0" tableColumnId="7175"/>
      <queryTableField id="9218" dataBound="0" tableColumnId="7176"/>
      <queryTableField id="9217" dataBound="0" tableColumnId="7177"/>
      <queryTableField id="9216" dataBound="0" tableColumnId="7178"/>
      <queryTableField id="9215" dataBound="0" tableColumnId="7179"/>
      <queryTableField id="9214" dataBound="0" tableColumnId="7180"/>
      <queryTableField id="9213" dataBound="0" tableColumnId="7181"/>
      <queryTableField id="9212" dataBound="0" tableColumnId="7182"/>
      <queryTableField id="9211" dataBound="0" tableColumnId="7183"/>
      <queryTableField id="9210" dataBound="0" tableColumnId="7184"/>
      <queryTableField id="9209" dataBound="0" tableColumnId="7185"/>
      <queryTableField id="9208" dataBound="0" tableColumnId="7186"/>
      <queryTableField id="9207" dataBound="0" tableColumnId="7187"/>
      <queryTableField id="9206" dataBound="0" tableColumnId="7188"/>
      <queryTableField id="9205" dataBound="0" tableColumnId="7189"/>
      <queryTableField id="9204" dataBound="0" tableColumnId="7190"/>
      <queryTableField id="9203" dataBound="0" tableColumnId="7191"/>
      <queryTableField id="9202" dataBound="0" tableColumnId="7192"/>
      <queryTableField id="9201" dataBound="0" tableColumnId="7193"/>
      <queryTableField id="9200" dataBound="0" tableColumnId="7194"/>
      <queryTableField id="9199" dataBound="0" tableColumnId="7195"/>
      <queryTableField id="9198" dataBound="0" tableColumnId="7196"/>
      <queryTableField id="9197" dataBound="0" tableColumnId="7197"/>
      <queryTableField id="9196" dataBound="0" tableColumnId="7198"/>
      <queryTableField id="9195" dataBound="0" tableColumnId="7199"/>
      <queryTableField id="9194" dataBound="0" tableColumnId="7200"/>
      <queryTableField id="9193" dataBound="0" tableColumnId="7201"/>
      <queryTableField id="9192" dataBound="0" tableColumnId="7202"/>
      <queryTableField id="9191" dataBound="0" tableColumnId="7203"/>
      <queryTableField id="9190" dataBound="0" tableColumnId="7204"/>
      <queryTableField id="9189" dataBound="0" tableColumnId="7205"/>
      <queryTableField id="9188" dataBound="0" tableColumnId="7206"/>
      <queryTableField id="9187" dataBound="0" tableColumnId="7207"/>
      <queryTableField id="9186" dataBound="0" tableColumnId="7208"/>
      <queryTableField id="9185" dataBound="0" tableColumnId="7209"/>
      <queryTableField id="9184" dataBound="0" tableColumnId="7210"/>
      <queryTableField id="9183" dataBound="0" tableColumnId="7211"/>
      <queryTableField id="9182" dataBound="0" tableColumnId="7212"/>
      <queryTableField id="9181" dataBound="0" tableColumnId="7213"/>
      <queryTableField id="9180" dataBound="0" tableColumnId="7214"/>
      <queryTableField id="9179" dataBound="0" tableColumnId="7215"/>
      <queryTableField id="9178" dataBound="0" tableColumnId="7216"/>
      <queryTableField id="9177" dataBound="0" tableColumnId="7217"/>
      <queryTableField id="9176" dataBound="0" tableColumnId="7218"/>
      <queryTableField id="9175" dataBound="0" tableColumnId="7219"/>
      <queryTableField id="9174" dataBound="0" tableColumnId="7220"/>
      <queryTableField id="9173" dataBound="0" tableColumnId="7221"/>
      <queryTableField id="9172" dataBound="0" tableColumnId="7222"/>
      <queryTableField id="9171" dataBound="0" tableColumnId="7223"/>
      <queryTableField id="9170" dataBound="0" tableColumnId="7224"/>
      <queryTableField id="9169" dataBound="0" tableColumnId="7225"/>
      <queryTableField id="9168" dataBound="0" tableColumnId="7226"/>
      <queryTableField id="9167" dataBound="0" tableColumnId="7227"/>
      <queryTableField id="9166" dataBound="0" tableColumnId="7228"/>
      <queryTableField id="9165" dataBound="0" tableColumnId="7229"/>
      <queryTableField id="9164" dataBound="0" tableColumnId="7230"/>
      <queryTableField id="9163" dataBound="0" tableColumnId="7231"/>
      <queryTableField id="9162" dataBound="0" tableColumnId="7232"/>
      <queryTableField id="9161" dataBound="0" tableColumnId="7233"/>
      <queryTableField id="9160" dataBound="0" tableColumnId="7234"/>
      <queryTableField id="9159" dataBound="0" tableColumnId="7235"/>
      <queryTableField id="9158" dataBound="0" tableColumnId="7236"/>
      <queryTableField id="9157" dataBound="0" tableColumnId="7237"/>
      <queryTableField id="9156" dataBound="0" tableColumnId="7238"/>
      <queryTableField id="9155" dataBound="0" tableColumnId="7239"/>
      <queryTableField id="9154" dataBound="0" tableColumnId="7240"/>
      <queryTableField id="9153" dataBound="0" tableColumnId="7241"/>
      <queryTableField id="9152" dataBound="0" tableColumnId="7242"/>
      <queryTableField id="9151" dataBound="0" tableColumnId="7243"/>
      <queryTableField id="9150" dataBound="0" tableColumnId="7244"/>
      <queryTableField id="9149" dataBound="0" tableColumnId="7245"/>
      <queryTableField id="9148" dataBound="0" tableColumnId="7246"/>
      <queryTableField id="9147" dataBound="0" tableColumnId="7247"/>
      <queryTableField id="9146" dataBound="0" tableColumnId="7248"/>
      <queryTableField id="9145" dataBound="0" tableColumnId="7249"/>
      <queryTableField id="9144" dataBound="0" tableColumnId="7250"/>
      <queryTableField id="9143" dataBound="0" tableColumnId="7251"/>
      <queryTableField id="9142" dataBound="0" tableColumnId="7252"/>
      <queryTableField id="9141" dataBound="0" tableColumnId="7253"/>
      <queryTableField id="9140" dataBound="0" tableColumnId="7254"/>
      <queryTableField id="9139" dataBound="0" tableColumnId="7255"/>
      <queryTableField id="9138" dataBound="0" tableColumnId="7256"/>
      <queryTableField id="9137" dataBound="0" tableColumnId="7257"/>
      <queryTableField id="9136" dataBound="0" tableColumnId="7258"/>
      <queryTableField id="9135" dataBound="0" tableColumnId="7259"/>
      <queryTableField id="9134" dataBound="0" tableColumnId="7260"/>
      <queryTableField id="9133" dataBound="0" tableColumnId="7261"/>
      <queryTableField id="9132" dataBound="0" tableColumnId="7262"/>
      <queryTableField id="9131" dataBound="0" tableColumnId="7263"/>
      <queryTableField id="9130" dataBound="0" tableColumnId="7264"/>
      <queryTableField id="9129" dataBound="0" tableColumnId="7265"/>
      <queryTableField id="9128" dataBound="0" tableColumnId="7266"/>
      <queryTableField id="9127" dataBound="0" tableColumnId="7267"/>
      <queryTableField id="9126" dataBound="0" tableColumnId="7268"/>
      <queryTableField id="9125" dataBound="0" tableColumnId="7269"/>
      <queryTableField id="9124" dataBound="0" tableColumnId="7270"/>
      <queryTableField id="9123" dataBound="0" tableColumnId="7271"/>
      <queryTableField id="9122" dataBound="0" tableColumnId="7272"/>
      <queryTableField id="9121" dataBound="0" tableColumnId="7273"/>
      <queryTableField id="9120" dataBound="0" tableColumnId="7274"/>
      <queryTableField id="9119" dataBound="0" tableColumnId="7275"/>
      <queryTableField id="9118" dataBound="0" tableColumnId="7276"/>
      <queryTableField id="9117" dataBound="0" tableColumnId="7277"/>
      <queryTableField id="9116" dataBound="0" tableColumnId="7278"/>
      <queryTableField id="9115" dataBound="0" tableColumnId="7279"/>
      <queryTableField id="9114" dataBound="0" tableColumnId="7280"/>
      <queryTableField id="9113" dataBound="0" tableColumnId="7281"/>
      <queryTableField id="9112" dataBound="0" tableColumnId="7282"/>
      <queryTableField id="9111" dataBound="0" tableColumnId="7283"/>
      <queryTableField id="9110" dataBound="0" tableColumnId="7284"/>
      <queryTableField id="9109" dataBound="0" tableColumnId="7285"/>
      <queryTableField id="9108" dataBound="0" tableColumnId="7286"/>
      <queryTableField id="9107" dataBound="0" tableColumnId="7287"/>
      <queryTableField id="9106" dataBound="0" tableColumnId="7288"/>
      <queryTableField id="9105" dataBound="0" tableColumnId="7289"/>
      <queryTableField id="9104" dataBound="0" tableColumnId="7290"/>
      <queryTableField id="9103" dataBound="0" tableColumnId="7291"/>
      <queryTableField id="9102" dataBound="0" tableColumnId="7292"/>
      <queryTableField id="9101" dataBound="0" tableColumnId="7293"/>
      <queryTableField id="9100" dataBound="0" tableColumnId="7294"/>
      <queryTableField id="9099" dataBound="0" tableColumnId="7295"/>
      <queryTableField id="9098" dataBound="0" tableColumnId="7296"/>
      <queryTableField id="9097" dataBound="0" tableColumnId="7297"/>
      <queryTableField id="9096" dataBound="0" tableColumnId="7298"/>
      <queryTableField id="9095" dataBound="0" tableColumnId="7299"/>
      <queryTableField id="9094" dataBound="0" tableColumnId="7300"/>
      <queryTableField id="9093" dataBound="0" tableColumnId="7301"/>
      <queryTableField id="9092" dataBound="0" tableColumnId="7302"/>
      <queryTableField id="9091" dataBound="0" tableColumnId="7303"/>
      <queryTableField id="9090" dataBound="0" tableColumnId="7304"/>
      <queryTableField id="9089" dataBound="0" tableColumnId="7305"/>
      <queryTableField id="9088" dataBound="0" tableColumnId="7306"/>
      <queryTableField id="9087" dataBound="0" tableColumnId="7307"/>
      <queryTableField id="9086" dataBound="0" tableColumnId="7308"/>
      <queryTableField id="9085" dataBound="0" tableColumnId="7309"/>
      <queryTableField id="9084" dataBound="0" tableColumnId="7310"/>
      <queryTableField id="9083" dataBound="0" tableColumnId="7311"/>
      <queryTableField id="9082" dataBound="0" tableColumnId="7312"/>
      <queryTableField id="9081" dataBound="0" tableColumnId="7313"/>
      <queryTableField id="9080" dataBound="0" tableColumnId="7314"/>
      <queryTableField id="9079" dataBound="0" tableColumnId="7315"/>
      <queryTableField id="9078" dataBound="0" tableColumnId="7316"/>
      <queryTableField id="9077" dataBound="0" tableColumnId="7317"/>
      <queryTableField id="9076" dataBound="0" tableColumnId="7318"/>
      <queryTableField id="9075" dataBound="0" tableColumnId="7319"/>
      <queryTableField id="9074" dataBound="0" tableColumnId="7320"/>
      <queryTableField id="9073" dataBound="0" tableColumnId="7321"/>
      <queryTableField id="9072" dataBound="0" tableColumnId="7322"/>
      <queryTableField id="9071" dataBound="0" tableColumnId="7323"/>
      <queryTableField id="9070" dataBound="0" tableColumnId="7324"/>
      <queryTableField id="9069" dataBound="0" tableColumnId="7325"/>
      <queryTableField id="9068" dataBound="0" tableColumnId="7326"/>
      <queryTableField id="9067" dataBound="0" tableColumnId="7327"/>
      <queryTableField id="9066" dataBound="0" tableColumnId="7328"/>
      <queryTableField id="9065" dataBound="0" tableColumnId="7329"/>
      <queryTableField id="9064" dataBound="0" tableColumnId="7330"/>
      <queryTableField id="9063" dataBound="0" tableColumnId="7331"/>
      <queryTableField id="9062" dataBound="0" tableColumnId="7332"/>
      <queryTableField id="9061" dataBound="0" tableColumnId="7333"/>
      <queryTableField id="9060" dataBound="0" tableColumnId="7334"/>
      <queryTableField id="9059" dataBound="0" tableColumnId="7335"/>
      <queryTableField id="9058" dataBound="0" tableColumnId="7336"/>
      <queryTableField id="9057" dataBound="0" tableColumnId="7337"/>
      <queryTableField id="9056" dataBound="0" tableColumnId="7338"/>
      <queryTableField id="9055" dataBound="0" tableColumnId="7339"/>
      <queryTableField id="9054" dataBound="0" tableColumnId="7340"/>
      <queryTableField id="9053" dataBound="0" tableColumnId="7341"/>
      <queryTableField id="9052" dataBound="0" tableColumnId="7342"/>
      <queryTableField id="9051" dataBound="0" tableColumnId="7343"/>
      <queryTableField id="9050" dataBound="0" tableColumnId="7344"/>
      <queryTableField id="9049" dataBound="0" tableColumnId="7345"/>
      <queryTableField id="9048" dataBound="0" tableColumnId="7346"/>
      <queryTableField id="9047" dataBound="0" tableColumnId="7347"/>
      <queryTableField id="9046" dataBound="0" tableColumnId="7348"/>
      <queryTableField id="9045" dataBound="0" tableColumnId="7349"/>
      <queryTableField id="9044" dataBound="0" tableColumnId="7350"/>
      <queryTableField id="9043" dataBound="0" tableColumnId="7351"/>
      <queryTableField id="9042" dataBound="0" tableColumnId="7352"/>
      <queryTableField id="9041" dataBound="0" tableColumnId="7353"/>
      <queryTableField id="9040" dataBound="0" tableColumnId="7354"/>
      <queryTableField id="9039" dataBound="0" tableColumnId="7355"/>
      <queryTableField id="9038" dataBound="0" tableColumnId="7356"/>
      <queryTableField id="9037" dataBound="0" tableColumnId="7357"/>
      <queryTableField id="9036" dataBound="0" tableColumnId="7358"/>
      <queryTableField id="9035" dataBound="0" tableColumnId="7359"/>
      <queryTableField id="9034" dataBound="0" tableColumnId="7360"/>
      <queryTableField id="9033" dataBound="0" tableColumnId="7361"/>
      <queryTableField id="9032" dataBound="0" tableColumnId="7362"/>
      <queryTableField id="9031" dataBound="0" tableColumnId="7363"/>
      <queryTableField id="9030" dataBound="0" tableColumnId="7364"/>
      <queryTableField id="9029" dataBound="0" tableColumnId="7365"/>
      <queryTableField id="9028" dataBound="0" tableColumnId="7366"/>
      <queryTableField id="9027" dataBound="0" tableColumnId="7367"/>
      <queryTableField id="9026" dataBound="0" tableColumnId="7368"/>
      <queryTableField id="9025" dataBound="0" tableColumnId="7369"/>
      <queryTableField id="9024" dataBound="0" tableColumnId="7370"/>
      <queryTableField id="9023" dataBound="0" tableColumnId="7371"/>
      <queryTableField id="9022" dataBound="0" tableColumnId="7372"/>
      <queryTableField id="9021" dataBound="0" tableColumnId="7373"/>
      <queryTableField id="9020" dataBound="0" tableColumnId="7374"/>
      <queryTableField id="9019" dataBound="0" tableColumnId="7375"/>
      <queryTableField id="9018" dataBound="0" tableColumnId="7376"/>
      <queryTableField id="9017" dataBound="0" tableColumnId="7377"/>
      <queryTableField id="9016" dataBound="0" tableColumnId="7378"/>
      <queryTableField id="9015" dataBound="0" tableColumnId="7379"/>
      <queryTableField id="9014" dataBound="0" tableColumnId="7380"/>
      <queryTableField id="9013" dataBound="0" tableColumnId="7381"/>
      <queryTableField id="9012" dataBound="0" tableColumnId="7382"/>
      <queryTableField id="9011" dataBound="0" tableColumnId="7383"/>
      <queryTableField id="9010" dataBound="0" tableColumnId="7384"/>
      <queryTableField id="9009" dataBound="0" tableColumnId="7385"/>
      <queryTableField id="9008" dataBound="0" tableColumnId="7386"/>
      <queryTableField id="9007" dataBound="0" tableColumnId="7387"/>
      <queryTableField id="9006" dataBound="0" tableColumnId="7388"/>
      <queryTableField id="9005" dataBound="0" tableColumnId="7389"/>
      <queryTableField id="9004" dataBound="0" tableColumnId="7390"/>
      <queryTableField id="9003" dataBound="0" tableColumnId="7391"/>
      <queryTableField id="9002" dataBound="0" tableColumnId="7392"/>
      <queryTableField id="9001" dataBound="0" tableColumnId="7393"/>
      <queryTableField id="9000" dataBound="0" tableColumnId="7394"/>
      <queryTableField id="8999" dataBound="0" tableColumnId="7395"/>
      <queryTableField id="8998" dataBound="0" tableColumnId="7396"/>
      <queryTableField id="8997" dataBound="0" tableColumnId="7397"/>
      <queryTableField id="8996" dataBound="0" tableColumnId="7398"/>
      <queryTableField id="8995" dataBound="0" tableColumnId="7399"/>
      <queryTableField id="8994" dataBound="0" tableColumnId="7400"/>
      <queryTableField id="8993" dataBound="0" tableColumnId="7401"/>
      <queryTableField id="8992" dataBound="0" tableColumnId="7402"/>
      <queryTableField id="8991" dataBound="0" tableColumnId="7403"/>
      <queryTableField id="8990" dataBound="0" tableColumnId="7404"/>
      <queryTableField id="8989" dataBound="0" tableColumnId="7405"/>
      <queryTableField id="8988" dataBound="0" tableColumnId="7406"/>
      <queryTableField id="8987" dataBound="0" tableColumnId="7407"/>
      <queryTableField id="8986" dataBound="0" tableColumnId="7408"/>
      <queryTableField id="8985" dataBound="0" tableColumnId="7409"/>
      <queryTableField id="8984" dataBound="0" tableColumnId="7410"/>
      <queryTableField id="8983" dataBound="0" tableColumnId="7411"/>
      <queryTableField id="8982" dataBound="0" tableColumnId="7412"/>
      <queryTableField id="8981" dataBound="0" tableColumnId="7413"/>
      <queryTableField id="8980" dataBound="0" tableColumnId="7414"/>
      <queryTableField id="8979" dataBound="0" tableColumnId="7415"/>
      <queryTableField id="8978" dataBound="0" tableColumnId="7416"/>
      <queryTableField id="8977" dataBound="0" tableColumnId="7417"/>
      <queryTableField id="8976" dataBound="0" tableColumnId="7418"/>
      <queryTableField id="8975" dataBound="0" tableColumnId="7419"/>
      <queryTableField id="8974" dataBound="0" tableColumnId="7420"/>
      <queryTableField id="8973" dataBound="0" tableColumnId="7421"/>
      <queryTableField id="8972" dataBound="0" tableColumnId="7422"/>
      <queryTableField id="8971" dataBound="0" tableColumnId="7423"/>
      <queryTableField id="8970" dataBound="0" tableColumnId="7424"/>
      <queryTableField id="8969" dataBound="0" tableColumnId="7425"/>
      <queryTableField id="8968" dataBound="0" tableColumnId="7426"/>
      <queryTableField id="8967" dataBound="0" tableColumnId="7427"/>
      <queryTableField id="8966" dataBound="0" tableColumnId="7428"/>
      <queryTableField id="8965" dataBound="0" tableColumnId="7429"/>
      <queryTableField id="8964" dataBound="0" tableColumnId="7430"/>
      <queryTableField id="8963" dataBound="0" tableColumnId="7431"/>
      <queryTableField id="8962" dataBound="0" tableColumnId="7432"/>
      <queryTableField id="8961" dataBound="0" tableColumnId="7433"/>
      <queryTableField id="8960" dataBound="0" tableColumnId="7434"/>
      <queryTableField id="8959" dataBound="0" tableColumnId="7435"/>
      <queryTableField id="8958" dataBound="0" tableColumnId="7436"/>
      <queryTableField id="8957" dataBound="0" tableColumnId="7437"/>
      <queryTableField id="8956" dataBound="0" tableColumnId="7438"/>
      <queryTableField id="8955" dataBound="0" tableColumnId="7439"/>
      <queryTableField id="8954" dataBound="0" tableColumnId="7440"/>
      <queryTableField id="8953" dataBound="0" tableColumnId="7441"/>
      <queryTableField id="8952" dataBound="0" tableColumnId="7442"/>
      <queryTableField id="8951" dataBound="0" tableColumnId="7443"/>
      <queryTableField id="8950" dataBound="0" tableColumnId="7444"/>
      <queryTableField id="8949" dataBound="0" tableColumnId="7445"/>
      <queryTableField id="8948" dataBound="0" tableColumnId="7446"/>
      <queryTableField id="8947" dataBound="0" tableColumnId="7447"/>
      <queryTableField id="8946" dataBound="0" tableColumnId="7448"/>
      <queryTableField id="8945" dataBound="0" tableColumnId="7449"/>
      <queryTableField id="8944" dataBound="0" tableColumnId="7450"/>
      <queryTableField id="8943" dataBound="0" tableColumnId="7451"/>
      <queryTableField id="8942" dataBound="0" tableColumnId="7452"/>
      <queryTableField id="8941" dataBound="0" tableColumnId="7453"/>
      <queryTableField id="8940" dataBound="0" tableColumnId="7454"/>
      <queryTableField id="8939" dataBound="0" tableColumnId="7455"/>
      <queryTableField id="8938" dataBound="0" tableColumnId="7456"/>
      <queryTableField id="8937" dataBound="0" tableColumnId="7457"/>
      <queryTableField id="8936" dataBound="0" tableColumnId="7458"/>
      <queryTableField id="8935" dataBound="0" tableColumnId="7459"/>
      <queryTableField id="8934" dataBound="0" tableColumnId="7460"/>
      <queryTableField id="8933" dataBound="0" tableColumnId="7461"/>
      <queryTableField id="8932" dataBound="0" tableColumnId="7462"/>
      <queryTableField id="8931" dataBound="0" tableColumnId="7463"/>
      <queryTableField id="8930" dataBound="0" tableColumnId="7464"/>
      <queryTableField id="8929" dataBound="0" tableColumnId="7465"/>
      <queryTableField id="8928" dataBound="0" tableColumnId="7466"/>
      <queryTableField id="8927" dataBound="0" tableColumnId="7467"/>
      <queryTableField id="8926" dataBound="0" tableColumnId="7468"/>
      <queryTableField id="8925" dataBound="0" tableColumnId="7469"/>
      <queryTableField id="8924" dataBound="0" tableColumnId="7470"/>
      <queryTableField id="8923" dataBound="0" tableColumnId="7471"/>
      <queryTableField id="8922" dataBound="0" tableColumnId="7472"/>
      <queryTableField id="8921" dataBound="0" tableColumnId="7473"/>
      <queryTableField id="8920" dataBound="0" tableColumnId="7474"/>
      <queryTableField id="8919" dataBound="0" tableColumnId="7475"/>
      <queryTableField id="8918" dataBound="0" tableColumnId="7476"/>
      <queryTableField id="8917" dataBound="0" tableColumnId="7477"/>
      <queryTableField id="8916" dataBound="0" tableColumnId="7478"/>
      <queryTableField id="8915" dataBound="0" tableColumnId="7479"/>
      <queryTableField id="8914" dataBound="0" tableColumnId="7480"/>
      <queryTableField id="8913" dataBound="0" tableColumnId="7481"/>
      <queryTableField id="8912" dataBound="0" tableColumnId="7482"/>
      <queryTableField id="8911" dataBound="0" tableColumnId="7483"/>
      <queryTableField id="8910" dataBound="0" tableColumnId="7484"/>
      <queryTableField id="8909" dataBound="0" tableColumnId="7485"/>
      <queryTableField id="8908" dataBound="0" tableColumnId="7486"/>
      <queryTableField id="8907" dataBound="0" tableColumnId="7487"/>
      <queryTableField id="8906" dataBound="0" tableColumnId="7488"/>
      <queryTableField id="8905" dataBound="0" tableColumnId="7489"/>
      <queryTableField id="8904" dataBound="0" tableColumnId="7490"/>
      <queryTableField id="8903" dataBound="0" tableColumnId="7491"/>
      <queryTableField id="8902" dataBound="0" tableColumnId="7492"/>
      <queryTableField id="8901" dataBound="0" tableColumnId="7493"/>
      <queryTableField id="8900" dataBound="0" tableColumnId="7494"/>
      <queryTableField id="8899" dataBound="0" tableColumnId="7495"/>
      <queryTableField id="8898" dataBound="0" tableColumnId="7496"/>
      <queryTableField id="8897" dataBound="0" tableColumnId="7497"/>
      <queryTableField id="8896" dataBound="0" tableColumnId="7498"/>
      <queryTableField id="8895" dataBound="0" tableColumnId="7499"/>
      <queryTableField id="8894" dataBound="0" tableColumnId="7500"/>
      <queryTableField id="8893" dataBound="0" tableColumnId="7501"/>
      <queryTableField id="8892" dataBound="0" tableColumnId="7502"/>
      <queryTableField id="8891" dataBound="0" tableColumnId="7503"/>
      <queryTableField id="8890" dataBound="0" tableColumnId="7504"/>
      <queryTableField id="8889" dataBound="0" tableColumnId="7505"/>
      <queryTableField id="8888" dataBound="0" tableColumnId="7506"/>
      <queryTableField id="8887" dataBound="0" tableColumnId="7507"/>
      <queryTableField id="8886" dataBound="0" tableColumnId="7508"/>
      <queryTableField id="8885" dataBound="0" tableColumnId="7509"/>
      <queryTableField id="8884" dataBound="0" tableColumnId="7510"/>
      <queryTableField id="8883" dataBound="0" tableColumnId="7511"/>
      <queryTableField id="8882" dataBound="0" tableColumnId="7512"/>
      <queryTableField id="8881" dataBound="0" tableColumnId="7513"/>
      <queryTableField id="8880" dataBound="0" tableColumnId="7514"/>
      <queryTableField id="8879" dataBound="0" tableColumnId="7515"/>
      <queryTableField id="8878" dataBound="0" tableColumnId="7516"/>
      <queryTableField id="8877" dataBound="0" tableColumnId="7517"/>
      <queryTableField id="8876" dataBound="0" tableColumnId="7518"/>
      <queryTableField id="8875" dataBound="0" tableColumnId="7519"/>
      <queryTableField id="8874" dataBound="0" tableColumnId="7520"/>
      <queryTableField id="8873" dataBound="0" tableColumnId="7521"/>
      <queryTableField id="8872" dataBound="0" tableColumnId="7522"/>
      <queryTableField id="8871" dataBound="0" tableColumnId="7523"/>
      <queryTableField id="8870" dataBound="0" tableColumnId="7524"/>
      <queryTableField id="8869" dataBound="0" tableColumnId="7525"/>
      <queryTableField id="8868" dataBound="0" tableColumnId="7526"/>
      <queryTableField id="8867" dataBound="0" tableColumnId="7527"/>
      <queryTableField id="8866" dataBound="0" tableColumnId="7528"/>
      <queryTableField id="8865" dataBound="0" tableColumnId="7529"/>
      <queryTableField id="8864" dataBound="0" tableColumnId="7530"/>
      <queryTableField id="8863" dataBound="0" tableColumnId="7531"/>
      <queryTableField id="8862" dataBound="0" tableColumnId="7532"/>
      <queryTableField id="8861" dataBound="0" tableColumnId="7533"/>
      <queryTableField id="8860" dataBound="0" tableColumnId="7534"/>
      <queryTableField id="8859" dataBound="0" tableColumnId="7535"/>
      <queryTableField id="8858" dataBound="0" tableColumnId="7536"/>
      <queryTableField id="8857" dataBound="0" tableColumnId="7537"/>
      <queryTableField id="8856" dataBound="0" tableColumnId="7538"/>
      <queryTableField id="8855" dataBound="0" tableColumnId="7539"/>
      <queryTableField id="8854" dataBound="0" tableColumnId="7540"/>
      <queryTableField id="8853" dataBound="0" tableColumnId="7541"/>
      <queryTableField id="8852" dataBound="0" tableColumnId="7542"/>
      <queryTableField id="8851" dataBound="0" tableColumnId="7543"/>
      <queryTableField id="8850" dataBound="0" tableColumnId="7544"/>
      <queryTableField id="8849" dataBound="0" tableColumnId="7545"/>
      <queryTableField id="8848" dataBound="0" tableColumnId="7546"/>
      <queryTableField id="8847" dataBound="0" tableColumnId="7547"/>
      <queryTableField id="8846" dataBound="0" tableColumnId="7548"/>
      <queryTableField id="8845" dataBound="0" tableColumnId="7549"/>
      <queryTableField id="8844" dataBound="0" tableColumnId="7550"/>
      <queryTableField id="8843" dataBound="0" tableColumnId="7551"/>
      <queryTableField id="8842" dataBound="0" tableColumnId="7552"/>
      <queryTableField id="8841" dataBound="0" tableColumnId="7553"/>
      <queryTableField id="8840" dataBound="0" tableColumnId="7554"/>
      <queryTableField id="8839" dataBound="0" tableColumnId="7555"/>
      <queryTableField id="8838" dataBound="0" tableColumnId="7556"/>
      <queryTableField id="8837" dataBound="0" tableColumnId="7557"/>
      <queryTableField id="8836" dataBound="0" tableColumnId="7558"/>
      <queryTableField id="8835" dataBound="0" tableColumnId="7559"/>
      <queryTableField id="8834" dataBound="0" tableColumnId="7560"/>
      <queryTableField id="8833" dataBound="0" tableColumnId="7561"/>
      <queryTableField id="8832" dataBound="0" tableColumnId="7562"/>
      <queryTableField id="8831" dataBound="0" tableColumnId="7563"/>
      <queryTableField id="8830" dataBound="0" tableColumnId="7564"/>
      <queryTableField id="8829" dataBound="0" tableColumnId="7565"/>
      <queryTableField id="8828" dataBound="0" tableColumnId="7566"/>
      <queryTableField id="8827" dataBound="0" tableColumnId="7567"/>
      <queryTableField id="8826" dataBound="0" tableColumnId="7568"/>
      <queryTableField id="8825" dataBound="0" tableColumnId="7569"/>
      <queryTableField id="8824" dataBound="0" tableColumnId="7570"/>
      <queryTableField id="8823" dataBound="0" tableColumnId="7571"/>
      <queryTableField id="8822" dataBound="0" tableColumnId="7572"/>
      <queryTableField id="8821" dataBound="0" tableColumnId="7573"/>
      <queryTableField id="8820" dataBound="0" tableColumnId="7574"/>
      <queryTableField id="8819" dataBound="0" tableColumnId="7575"/>
      <queryTableField id="8818" dataBound="0" tableColumnId="7576"/>
      <queryTableField id="8817" dataBound="0" tableColumnId="7577"/>
      <queryTableField id="8816" dataBound="0" tableColumnId="7578"/>
      <queryTableField id="8815" dataBound="0" tableColumnId="7579"/>
      <queryTableField id="8814" dataBound="0" tableColumnId="7580"/>
      <queryTableField id="8813" dataBound="0" tableColumnId="7581"/>
      <queryTableField id="8812" dataBound="0" tableColumnId="7582"/>
      <queryTableField id="8811" dataBound="0" tableColumnId="7583"/>
      <queryTableField id="8810" dataBound="0" tableColumnId="7584"/>
      <queryTableField id="8809" dataBound="0" tableColumnId="7585"/>
      <queryTableField id="8808" dataBound="0" tableColumnId="7586"/>
      <queryTableField id="8807" dataBound="0" tableColumnId="7587"/>
      <queryTableField id="8806" dataBound="0" tableColumnId="7588"/>
      <queryTableField id="8805" dataBound="0" tableColumnId="7589"/>
      <queryTableField id="8804" dataBound="0" tableColumnId="7590"/>
      <queryTableField id="8803" dataBound="0" tableColumnId="7591"/>
      <queryTableField id="8802" dataBound="0" tableColumnId="7592"/>
      <queryTableField id="8801" dataBound="0" tableColumnId="7593"/>
      <queryTableField id="8800" dataBound="0" tableColumnId="7594"/>
      <queryTableField id="8799" dataBound="0" tableColumnId="7595"/>
      <queryTableField id="8798" dataBound="0" tableColumnId="7596"/>
      <queryTableField id="8797" dataBound="0" tableColumnId="7597"/>
      <queryTableField id="8796" dataBound="0" tableColumnId="7598"/>
      <queryTableField id="8795" dataBound="0" tableColumnId="7599"/>
      <queryTableField id="8794" dataBound="0" tableColumnId="7600"/>
      <queryTableField id="8793" dataBound="0" tableColumnId="7601"/>
      <queryTableField id="8792" dataBound="0" tableColumnId="7602"/>
      <queryTableField id="8791" dataBound="0" tableColumnId="7603"/>
      <queryTableField id="8790" dataBound="0" tableColumnId="7604"/>
      <queryTableField id="8789" dataBound="0" tableColumnId="7605"/>
      <queryTableField id="8788" dataBound="0" tableColumnId="7606"/>
      <queryTableField id="8787" dataBound="0" tableColumnId="7607"/>
      <queryTableField id="8786" dataBound="0" tableColumnId="7608"/>
      <queryTableField id="8785" dataBound="0" tableColumnId="7609"/>
      <queryTableField id="8784" dataBound="0" tableColumnId="7610"/>
      <queryTableField id="8783" dataBound="0" tableColumnId="7611"/>
      <queryTableField id="8782" dataBound="0" tableColumnId="7612"/>
      <queryTableField id="8781" dataBound="0" tableColumnId="7613"/>
      <queryTableField id="8780" dataBound="0" tableColumnId="7614"/>
      <queryTableField id="8779" dataBound="0" tableColumnId="7615"/>
      <queryTableField id="8778" dataBound="0" tableColumnId="7616"/>
      <queryTableField id="8777" dataBound="0" tableColumnId="7617"/>
      <queryTableField id="8776" dataBound="0" tableColumnId="7618"/>
      <queryTableField id="8775" dataBound="0" tableColumnId="7619"/>
      <queryTableField id="8774" dataBound="0" tableColumnId="7620"/>
      <queryTableField id="8773" dataBound="0" tableColumnId="7621"/>
      <queryTableField id="8772" dataBound="0" tableColumnId="7622"/>
      <queryTableField id="8771" dataBound="0" tableColumnId="7623"/>
      <queryTableField id="8770" dataBound="0" tableColumnId="7624"/>
      <queryTableField id="8769" dataBound="0" tableColumnId="7625"/>
      <queryTableField id="8768" dataBound="0" tableColumnId="7626"/>
      <queryTableField id="8767" dataBound="0" tableColumnId="7627"/>
      <queryTableField id="8766" dataBound="0" tableColumnId="7628"/>
      <queryTableField id="8765" dataBound="0" tableColumnId="7629"/>
      <queryTableField id="8764" dataBound="0" tableColumnId="7630"/>
      <queryTableField id="8763" dataBound="0" tableColumnId="7631"/>
      <queryTableField id="8762" dataBound="0" tableColumnId="7632"/>
      <queryTableField id="8761" dataBound="0" tableColumnId="7633"/>
      <queryTableField id="8760" dataBound="0" tableColumnId="7634"/>
      <queryTableField id="8759" dataBound="0" tableColumnId="7635"/>
      <queryTableField id="8758" dataBound="0" tableColumnId="7636"/>
      <queryTableField id="8757" dataBound="0" tableColumnId="7637"/>
      <queryTableField id="8756" dataBound="0" tableColumnId="7638"/>
      <queryTableField id="8755" dataBound="0" tableColumnId="7639"/>
      <queryTableField id="8754" dataBound="0" tableColumnId="7640"/>
      <queryTableField id="8753" dataBound="0" tableColumnId="7641"/>
      <queryTableField id="8752" dataBound="0" tableColumnId="7642"/>
      <queryTableField id="8751" dataBound="0" tableColumnId="7643"/>
      <queryTableField id="8750" dataBound="0" tableColumnId="7644"/>
      <queryTableField id="8749" dataBound="0" tableColumnId="7645"/>
      <queryTableField id="8748" dataBound="0" tableColumnId="7646"/>
      <queryTableField id="8747" dataBound="0" tableColumnId="7647"/>
      <queryTableField id="8746" dataBound="0" tableColumnId="7648"/>
      <queryTableField id="8745" dataBound="0" tableColumnId="7649"/>
      <queryTableField id="8744" dataBound="0" tableColumnId="7650"/>
      <queryTableField id="8743" dataBound="0" tableColumnId="7651"/>
      <queryTableField id="8742" dataBound="0" tableColumnId="7652"/>
      <queryTableField id="8741" dataBound="0" tableColumnId="7653"/>
      <queryTableField id="8740" dataBound="0" tableColumnId="7654"/>
      <queryTableField id="8739" dataBound="0" tableColumnId="7655"/>
      <queryTableField id="8738" dataBound="0" tableColumnId="7656"/>
      <queryTableField id="8737" dataBound="0" tableColumnId="7657"/>
      <queryTableField id="8736" dataBound="0" tableColumnId="7658"/>
      <queryTableField id="8735" dataBound="0" tableColumnId="7659"/>
      <queryTableField id="8734" dataBound="0" tableColumnId="7660"/>
      <queryTableField id="8733" dataBound="0" tableColumnId="7661"/>
      <queryTableField id="8732" dataBound="0" tableColumnId="7662"/>
      <queryTableField id="8731" dataBound="0" tableColumnId="7663"/>
      <queryTableField id="8730" dataBound="0" tableColumnId="7664"/>
      <queryTableField id="8729" dataBound="0" tableColumnId="7665"/>
      <queryTableField id="8728" dataBound="0" tableColumnId="7666"/>
      <queryTableField id="8727" dataBound="0" tableColumnId="7667"/>
      <queryTableField id="8726" dataBound="0" tableColumnId="7668"/>
      <queryTableField id="8725" dataBound="0" tableColumnId="7669"/>
      <queryTableField id="8724" dataBound="0" tableColumnId="7670"/>
      <queryTableField id="8723" dataBound="0" tableColumnId="7671"/>
      <queryTableField id="8722" dataBound="0" tableColumnId="7672"/>
      <queryTableField id="8721" dataBound="0" tableColumnId="7673"/>
      <queryTableField id="8720" dataBound="0" tableColumnId="7674"/>
      <queryTableField id="8719" dataBound="0" tableColumnId="7675"/>
      <queryTableField id="8718" dataBound="0" tableColumnId="7676"/>
      <queryTableField id="8717" dataBound="0" tableColumnId="7677"/>
      <queryTableField id="8716" dataBound="0" tableColumnId="7678"/>
      <queryTableField id="8715" dataBound="0" tableColumnId="7679"/>
      <queryTableField id="8714" dataBound="0" tableColumnId="7680"/>
      <queryTableField id="8713" dataBound="0" tableColumnId="7681"/>
      <queryTableField id="8712" dataBound="0" tableColumnId="7682"/>
      <queryTableField id="8711" dataBound="0" tableColumnId="7683"/>
      <queryTableField id="8710" dataBound="0" tableColumnId="7684"/>
      <queryTableField id="8709" dataBound="0" tableColumnId="7685"/>
      <queryTableField id="8708" dataBound="0" tableColumnId="7686"/>
      <queryTableField id="8707" dataBound="0" tableColumnId="7687"/>
      <queryTableField id="8706" dataBound="0" tableColumnId="7688"/>
      <queryTableField id="8705" dataBound="0" tableColumnId="7689"/>
      <queryTableField id="8704" dataBound="0" tableColumnId="7690"/>
      <queryTableField id="8703" dataBound="0" tableColumnId="7691"/>
      <queryTableField id="8702" dataBound="0" tableColumnId="7692"/>
      <queryTableField id="8701" dataBound="0" tableColumnId="7693"/>
      <queryTableField id="8700" dataBound="0" tableColumnId="7694"/>
      <queryTableField id="8699" dataBound="0" tableColumnId="7695"/>
      <queryTableField id="8698" dataBound="0" tableColumnId="7696"/>
      <queryTableField id="8697" dataBound="0" tableColumnId="7697"/>
      <queryTableField id="8696" dataBound="0" tableColumnId="7698"/>
      <queryTableField id="8695" dataBound="0" tableColumnId="7699"/>
      <queryTableField id="8694" dataBound="0" tableColumnId="7700"/>
      <queryTableField id="8693" dataBound="0" tableColumnId="7701"/>
      <queryTableField id="8692" dataBound="0" tableColumnId="7702"/>
      <queryTableField id="8691" dataBound="0" tableColumnId="7703"/>
      <queryTableField id="8690" dataBound="0" tableColumnId="7704"/>
      <queryTableField id="8689" dataBound="0" tableColumnId="7705"/>
      <queryTableField id="8688" dataBound="0" tableColumnId="7706"/>
      <queryTableField id="8687" dataBound="0" tableColumnId="7707"/>
      <queryTableField id="8686" dataBound="0" tableColumnId="7708"/>
      <queryTableField id="8685" dataBound="0" tableColumnId="7709"/>
      <queryTableField id="8684" dataBound="0" tableColumnId="7710"/>
      <queryTableField id="8683" dataBound="0" tableColumnId="7711"/>
      <queryTableField id="8682" dataBound="0" tableColumnId="7712"/>
      <queryTableField id="8681" dataBound="0" tableColumnId="7713"/>
      <queryTableField id="8680" dataBound="0" tableColumnId="7714"/>
      <queryTableField id="8679" dataBound="0" tableColumnId="7715"/>
      <queryTableField id="8678" dataBound="0" tableColumnId="7716"/>
      <queryTableField id="8677" dataBound="0" tableColumnId="7717"/>
      <queryTableField id="8676" dataBound="0" tableColumnId="7718"/>
      <queryTableField id="8675" dataBound="0" tableColumnId="7719"/>
      <queryTableField id="8674" dataBound="0" tableColumnId="7720"/>
      <queryTableField id="8673" dataBound="0" tableColumnId="7721"/>
      <queryTableField id="8672" dataBound="0" tableColumnId="7722"/>
      <queryTableField id="8671" dataBound="0" tableColumnId="7723"/>
      <queryTableField id="8670" dataBound="0" tableColumnId="7724"/>
      <queryTableField id="8669" dataBound="0" tableColumnId="7725"/>
      <queryTableField id="8668" dataBound="0" tableColumnId="7726"/>
      <queryTableField id="8667" dataBound="0" tableColumnId="7727"/>
      <queryTableField id="8666" dataBound="0" tableColumnId="7728"/>
      <queryTableField id="8665" dataBound="0" tableColumnId="7729"/>
      <queryTableField id="8664" dataBound="0" tableColumnId="7730"/>
      <queryTableField id="8663" dataBound="0" tableColumnId="7731"/>
      <queryTableField id="8662" dataBound="0" tableColumnId="7732"/>
      <queryTableField id="8661" dataBound="0" tableColumnId="7733"/>
      <queryTableField id="8660" dataBound="0" tableColumnId="7734"/>
      <queryTableField id="8659" dataBound="0" tableColumnId="7735"/>
      <queryTableField id="8658" dataBound="0" tableColumnId="7736"/>
      <queryTableField id="8657" dataBound="0" tableColumnId="7737"/>
      <queryTableField id="8656" dataBound="0" tableColumnId="7738"/>
      <queryTableField id="8655" dataBound="0" tableColumnId="7739"/>
      <queryTableField id="8654" dataBound="0" tableColumnId="7740"/>
      <queryTableField id="8653" dataBound="0" tableColumnId="7741"/>
      <queryTableField id="8652" dataBound="0" tableColumnId="7742"/>
      <queryTableField id="8651" dataBound="0" tableColumnId="7743"/>
      <queryTableField id="8650" dataBound="0" tableColumnId="7744"/>
      <queryTableField id="8649" dataBound="0" tableColumnId="7745"/>
      <queryTableField id="8648" dataBound="0" tableColumnId="7746"/>
      <queryTableField id="8647" dataBound="0" tableColumnId="7747"/>
      <queryTableField id="8646" dataBound="0" tableColumnId="7748"/>
      <queryTableField id="8645" dataBound="0" tableColumnId="7749"/>
      <queryTableField id="8644" dataBound="0" tableColumnId="7750"/>
      <queryTableField id="8643" dataBound="0" tableColumnId="7751"/>
      <queryTableField id="8642" dataBound="0" tableColumnId="7752"/>
      <queryTableField id="8641" dataBound="0" tableColumnId="7753"/>
      <queryTableField id="8640" dataBound="0" tableColumnId="7754"/>
      <queryTableField id="8639" dataBound="0" tableColumnId="7755"/>
      <queryTableField id="8638" dataBound="0" tableColumnId="7756"/>
      <queryTableField id="8637" dataBound="0" tableColumnId="7757"/>
      <queryTableField id="8636" dataBound="0" tableColumnId="7758"/>
      <queryTableField id="8635" dataBound="0" tableColumnId="7759"/>
      <queryTableField id="8634" dataBound="0" tableColumnId="7760"/>
      <queryTableField id="8633" dataBound="0" tableColumnId="7761"/>
      <queryTableField id="8632" dataBound="0" tableColumnId="7762"/>
      <queryTableField id="8631" dataBound="0" tableColumnId="7763"/>
      <queryTableField id="8630" dataBound="0" tableColumnId="7764"/>
      <queryTableField id="8629" dataBound="0" tableColumnId="7765"/>
      <queryTableField id="8628" dataBound="0" tableColumnId="7766"/>
      <queryTableField id="8627" dataBound="0" tableColumnId="7767"/>
      <queryTableField id="8626" dataBound="0" tableColumnId="7768"/>
      <queryTableField id="8625" dataBound="0" tableColumnId="7769"/>
      <queryTableField id="8624" dataBound="0" tableColumnId="7770"/>
      <queryTableField id="8623" dataBound="0" tableColumnId="7771"/>
      <queryTableField id="8622" dataBound="0" tableColumnId="7772"/>
      <queryTableField id="8621" dataBound="0" tableColumnId="7773"/>
      <queryTableField id="8620" dataBound="0" tableColumnId="7774"/>
      <queryTableField id="8619" dataBound="0" tableColumnId="7775"/>
      <queryTableField id="8618" dataBound="0" tableColumnId="7776"/>
      <queryTableField id="8617" dataBound="0" tableColumnId="7777"/>
      <queryTableField id="8616" dataBound="0" tableColumnId="7778"/>
      <queryTableField id="8615" dataBound="0" tableColumnId="7779"/>
      <queryTableField id="8614" dataBound="0" tableColumnId="7780"/>
      <queryTableField id="8613" dataBound="0" tableColumnId="7781"/>
      <queryTableField id="8612" dataBound="0" tableColumnId="7782"/>
      <queryTableField id="8611" dataBound="0" tableColumnId="7783"/>
      <queryTableField id="8610" dataBound="0" tableColumnId="7784"/>
      <queryTableField id="8609" dataBound="0" tableColumnId="7785"/>
      <queryTableField id="8608" dataBound="0" tableColumnId="7786"/>
      <queryTableField id="8607" dataBound="0" tableColumnId="7787"/>
      <queryTableField id="8606" dataBound="0" tableColumnId="7788"/>
      <queryTableField id="8605" dataBound="0" tableColumnId="7789"/>
      <queryTableField id="8604" dataBound="0" tableColumnId="7790"/>
      <queryTableField id="8603" dataBound="0" tableColumnId="7791"/>
      <queryTableField id="8602" dataBound="0" tableColumnId="7792"/>
      <queryTableField id="8601" dataBound="0" tableColumnId="7793"/>
      <queryTableField id="8600" dataBound="0" tableColumnId="7794"/>
      <queryTableField id="8599" dataBound="0" tableColumnId="7795"/>
      <queryTableField id="8598" dataBound="0" tableColumnId="7796"/>
      <queryTableField id="8597" dataBound="0" tableColumnId="7797"/>
      <queryTableField id="8596" dataBound="0" tableColumnId="7798"/>
      <queryTableField id="8595" dataBound="0" tableColumnId="7799"/>
      <queryTableField id="8594" dataBound="0" tableColumnId="7800"/>
      <queryTableField id="8593" dataBound="0" tableColumnId="7801"/>
      <queryTableField id="8592" dataBound="0" tableColumnId="7802"/>
      <queryTableField id="8591" dataBound="0" tableColumnId="7803"/>
      <queryTableField id="8590" dataBound="0" tableColumnId="7804"/>
      <queryTableField id="8589" dataBound="0" tableColumnId="7805"/>
      <queryTableField id="8588" dataBound="0" tableColumnId="7806"/>
      <queryTableField id="8587" dataBound="0" tableColumnId="7807"/>
      <queryTableField id="8586" dataBound="0" tableColumnId="7808"/>
      <queryTableField id="8585" dataBound="0" tableColumnId="7809"/>
      <queryTableField id="8584" dataBound="0" tableColumnId="7810"/>
      <queryTableField id="8583" dataBound="0" tableColumnId="7811"/>
      <queryTableField id="8582" dataBound="0" tableColumnId="7812"/>
      <queryTableField id="8581" dataBound="0" tableColumnId="7813"/>
      <queryTableField id="8580" dataBound="0" tableColumnId="7814"/>
      <queryTableField id="8579" dataBound="0" tableColumnId="7815"/>
      <queryTableField id="8578" dataBound="0" tableColumnId="7816"/>
      <queryTableField id="8577" dataBound="0" tableColumnId="7817"/>
      <queryTableField id="8576" dataBound="0" tableColumnId="7818"/>
      <queryTableField id="8575" dataBound="0" tableColumnId="7819"/>
      <queryTableField id="8574" dataBound="0" tableColumnId="7820"/>
      <queryTableField id="8573" dataBound="0" tableColumnId="7821"/>
      <queryTableField id="8572" dataBound="0" tableColumnId="7822"/>
      <queryTableField id="8571" dataBound="0" tableColumnId="7823"/>
      <queryTableField id="8570" dataBound="0" tableColumnId="7824"/>
      <queryTableField id="8569" dataBound="0" tableColumnId="7825"/>
      <queryTableField id="8568" dataBound="0" tableColumnId="7826"/>
      <queryTableField id="8567" dataBound="0" tableColumnId="7827"/>
      <queryTableField id="8566" dataBound="0" tableColumnId="7828"/>
      <queryTableField id="8565" dataBound="0" tableColumnId="7829"/>
      <queryTableField id="8564" dataBound="0" tableColumnId="7830"/>
      <queryTableField id="8563" dataBound="0" tableColumnId="7831"/>
      <queryTableField id="8562" dataBound="0" tableColumnId="7832"/>
      <queryTableField id="8561" dataBound="0" tableColumnId="7833"/>
      <queryTableField id="8560" dataBound="0" tableColumnId="7834"/>
      <queryTableField id="8559" dataBound="0" tableColumnId="7835"/>
      <queryTableField id="8558" dataBound="0" tableColumnId="7836"/>
      <queryTableField id="8557" dataBound="0" tableColumnId="7837"/>
      <queryTableField id="8556" dataBound="0" tableColumnId="7838"/>
      <queryTableField id="8555" dataBound="0" tableColumnId="7839"/>
      <queryTableField id="8554" dataBound="0" tableColumnId="7840"/>
      <queryTableField id="8553" dataBound="0" tableColumnId="7841"/>
      <queryTableField id="8552" dataBound="0" tableColumnId="7842"/>
      <queryTableField id="8551" dataBound="0" tableColumnId="7843"/>
      <queryTableField id="8550" dataBound="0" tableColumnId="7844"/>
      <queryTableField id="8549" dataBound="0" tableColumnId="7845"/>
      <queryTableField id="8548" dataBound="0" tableColumnId="7846"/>
      <queryTableField id="8547" dataBound="0" tableColumnId="7847"/>
      <queryTableField id="8546" dataBound="0" tableColumnId="7848"/>
      <queryTableField id="8545" dataBound="0" tableColumnId="7849"/>
      <queryTableField id="8544" dataBound="0" tableColumnId="7850"/>
      <queryTableField id="8543" dataBound="0" tableColumnId="7851"/>
      <queryTableField id="8542" dataBound="0" tableColumnId="7852"/>
      <queryTableField id="8541" dataBound="0" tableColumnId="7853"/>
      <queryTableField id="8540" dataBound="0" tableColumnId="7854"/>
      <queryTableField id="8539" dataBound="0" tableColumnId="7855"/>
      <queryTableField id="8538" dataBound="0" tableColumnId="7856"/>
      <queryTableField id="8537" dataBound="0" tableColumnId="7857"/>
      <queryTableField id="8536" dataBound="0" tableColumnId="7858"/>
      <queryTableField id="8535" dataBound="0" tableColumnId="7859"/>
      <queryTableField id="8534" dataBound="0" tableColumnId="7860"/>
      <queryTableField id="8533" dataBound="0" tableColumnId="7861"/>
      <queryTableField id="8532" dataBound="0" tableColumnId="7862"/>
      <queryTableField id="8531" dataBound="0" tableColumnId="7863"/>
      <queryTableField id="8530" dataBound="0" tableColumnId="7864"/>
      <queryTableField id="8529" dataBound="0" tableColumnId="7865"/>
      <queryTableField id="8528" dataBound="0" tableColumnId="7866"/>
      <queryTableField id="8527" dataBound="0" tableColumnId="7867"/>
      <queryTableField id="8526" dataBound="0" tableColumnId="7868"/>
      <queryTableField id="8525" dataBound="0" tableColumnId="7869"/>
      <queryTableField id="8524" dataBound="0" tableColumnId="7870"/>
      <queryTableField id="8523" dataBound="0" tableColumnId="7871"/>
      <queryTableField id="8522" dataBound="0" tableColumnId="7872"/>
      <queryTableField id="8521" dataBound="0" tableColumnId="7873"/>
      <queryTableField id="8520" dataBound="0" tableColumnId="7874"/>
      <queryTableField id="8519" dataBound="0" tableColumnId="7875"/>
      <queryTableField id="8518" dataBound="0" tableColumnId="7876"/>
      <queryTableField id="8517" dataBound="0" tableColumnId="7877"/>
      <queryTableField id="8516" dataBound="0" tableColumnId="7878"/>
      <queryTableField id="8515" dataBound="0" tableColumnId="7879"/>
      <queryTableField id="8514" dataBound="0" tableColumnId="7880"/>
      <queryTableField id="8513" dataBound="0" tableColumnId="7881"/>
      <queryTableField id="8512" dataBound="0" tableColumnId="7882"/>
      <queryTableField id="8511" dataBound="0" tableColumnId="7883"/>
      <queryTableField id="8510" dataBound="0" tableColumnId="7884"/>
      <queryTableField id="8509" dataBound="0" tableColumnId="7885"/>
      <queryTableField id="8508" dataBound="0" tableColumnId="7886"/>
      <queryTableField id="8507" dataBound="0" tableColumnId="7887"/>
      <queryTableField id="8506" dataBound="0" tableColumnId="7888"/>
      <queryTableField id="8505" dataBound="0" tableColumnId="7889"/>
      <queryTableField id="8504" dataBound="0" tableColumnId="7890"/>
      <queryTableField id="8503" dataBound="0" tableColumnId="7891"/>
      <queryTableField id="8502" dataBound="0" tableColumnId="7892"/>
      <queryTableField id="8501" dataBound="0" tableColumnId="7893"/>
      <queryTableField id="8500" dataBound="0" tableColumnId="7894"/>
      <queryTableField id="8499" dataBound="0" tableColumnId="7895"/>
      <queryTableField id="8498" dataBound="0" tableColumnId="7896"/>
      <queryTableField id="8497" dataBound="0" tableColumnId="7897"/>
      <queryTableField id="8496" dataBound="0" tableColumnId="7898"/>
      <queryTableField id="8495" dataBound="0" tableColumnId="7899"/>
      <queryTableField id="8494" dataBound="0" tableColumnId="7900"/>
      <queryTableField id="8493" dataBound="0" tableColumnId="7901"/>
      <queryTableField id="8492" dataBound="0" tableColumnId="7902"/>
      <queryTableField id="8491" dataBound="0" tableColumnId="7903"/>
      <queryTableField id="8490" dataBound="0" tableColumnId="7904"/>
      <queryTableField id="8489" dataBound="0" tableColumnId="7905"/>
      <queryTableField id="8488" dataBound="0" tableColumnId="7906"/>
      <queryTableField id="8487" dataBound="0" tableColumnId="7907"/>
      <queryTableField id="8486" dataBound="0" tableColumnId="7908"/>
      <queryTableField id="8485" dataBound="0" tableColumnId="7909"/>
      <queryTableField id="8484" dataBound="0" tableColumnId="7910"/>
      <queryTableField id="8483" dataBound="0" tableColumnId="7911"/>
      <queryTableField id="8482" dataBound="0" tableColumnId="7912"/>
      <queryTableField id="8481" dataBound="0" tableColumnId="7913"/>
      <queryTableField id="8480" dataBound="0" tableColumnId="7914"/>
      <queryTableField id="8479" dataBound="0" tableColumnId="7915"/>
      <queryTableField id="8478" dataBound="0" tableColumnId="7916"/>
      <queryTableField id="8477" dataBound="0" tableColumnId="7917"/>
      <queryTableField id="8476" dataBound="0" tableColumnId="7918"/>
      <queryTableField id="8475" dataBound="0" tableColumnId="7919"/>
      <queryTableField id="8474" dataBound="0" tableColumnId="7920"/>
      <queryTableField id="8473" dataBound="0" tableColumnId="7921"/>
      <queryTableField id="8472" dataBound="0" tableColumnId="7922"/>
      <queryTableField id="8471" dataBound="0" tableColumnId="7923"/>
      <queryTableField id="8470" dataBound="0" tableColumnId="7924"/>
      <queryTableField id="8469" dataBound="0" tableColumnId="7925"/>
      <queryTableField id="8468" dataBound="0" tableColumnId="7926"/>
      <queryTableField id="8467" dataBound="0" tableColumnId="7927"/>
      <queryTableField id="8466" dataBound="0" tableColumnId="7928"/>
      <queryTableField id="8465" dataBound="0" tableColumnId="7929"/>
      <queryTableField id="8464" dataBound="0" tableColumnId="7930"/>
      <queryTableField id="8463" dataBound="0" tableColumnId="7931"/>
      <queryTableField id="8462" dataBound="0" tableColumnId="7932"/>
      <queryTableField id="8461" dataBound="0" tableColumnId="7933"/>
      <queryTableField id="8460" dataBound="0" tableColumnId="7934"/>
      <queryTableField id="8459" dataBound="0" tableColumnId="7935"/>
      <queryTableField id="8458" dataBound="0" tableColumnId="7936"/>
      <queryTableField id="8457" dataBound="0" tableColumnId="7937"/>
      <queryTableField id="8456" dataBound="0" tableColumnId="7938"/>
      <queryTableField id="8455" dataBound="0" tableColumnId="7939"/>
      <queryTableField id="8454" dataBound="0" tableColumnId="7940"/>
      <queryTableField id="8453" dataBound="0" tableColumnId="7941"/>
      <queryTableField id="8452" dataBound="0" tableColumnId="7942"/>
      <queryTableField id="8451" dataBound="0" tableColumnId="7943"/>
      <queryTableField id="8450" dataBound="0" tableColumnId="7944"/>
      <queryTableField id="8449" dataBound="0" tableColumnId="7945"/>
      <queryTableField id="8448" dataBound="0" tableColumnId="7946"/>
      <queryTableField id="8447" dataBound="0" tableColumnId="7947"/>
      <queryTableField id="8446" dataBound="0" tableColumnId="7948"/>
      <queryTableField id="8445" dataBound="0" tableColumnId="7949"/>
      <queryTableField id="8444" dataBound="0" tableColumnId="7950"/>
      <queryTableField id="8443" dataBound="0" tableColumnId="7951"/>
      <queryTableField id="8442" dataBound="0" tableColumnId="7952"/>
      <queryTableField id="8441" dataBound="0" tableColumnId="7953"/>
      <queryTableField id="8440" dataBound="0" tableColumnId="7954"/>
      <queryTableField id="8439" dataBound="0" tableColumnId="7955"/>
      <queryTableField id="8438" dataBound="0" tableColumnId="7956"/>
      <queryTableField id="8437" dataBound="0" tableColumnId="7957"/>
      <queryTableField id="8436" dataBound="0" tableColumnId="7958"/>
      <queryTableField id="8435" dataBound="0" tableColumnId="7959"/>
      <queryTableField id="8434" dataBound="0" tableColumnId="7960"/>
      <queryTableField id="8433" dataBound="0" tableColumnId="7961"/>
      <queryTableField id="8432" dataBound="0" tableColumnId="7962"/>
      <queryTableField id="8431" dataBound="0" tableColumnId="7963"/>
      <queryTableField id="8430" dataBound="0" tableColumnId="7964"/>
      <queryTableField id="8429" dataBound="0" tableColumnId="7965"/>
      <queryTableField id="8428" dataBound="0" tableColumnId="7966"/>
      <queryTableField id="8427" dataBound="0" tableColumnId="7967"/>
      <queryTableField id="8426" dataBound="0" tableColumnId="7968"/>
      <queryTableField id="8425" dataBound="0" tableColumnId="7969"/>
      <queryTableField id="8424" dataBound="0" tableColumnId="7970"/>
      <queryTableField id="8423" dataBound="0" tableColumnId="7971"/>
      <queryTableField id="8422" dataBound="0" tableColumnId="7972"/>
      <queryTableField id="8421" dataBound="0" tableColumnId="7973"/>
      <queryTableField id="8420" dataBound="0" tableColumnId="7974"/>
      <queryTableField id="8419" dataBound="0" tableColumnId="7975"/>
      <queryTableField id="8418" dataBound="0" tableColumnId="7976"/>
      <queryTableField id="8417" dataBound="0" tableColumnId="7977"/>
      <queryTableField id="8416" dataBound="0" tableColumnId="7978"/>
      <queryTableField id="8415" dataBound="0" tableColumnId="7979"/>
      <queryTableField id="8414" dataBound="0" tableColumnId="7980"/>
      <queryTableField id="8413" dataBound="0" tableColumnId="7981"/>
      <queryTableField id="8412" dataBound="0" tableColumnId="7982"/>
      <queryTableField id="8411" dataBound="0" tableColumnId="7983"/>
      <queryTableField id="8410" dataBound="0" tableColumnId="7984"/>
      <queryTableField id="8409" dataBound="0" tableColumnId="7985"/>
      <queryTableField id="8408" dataBound="0" tableColumnId="7986"/>
      <queryTableField id="8407" dataBound="0" tableColumnId="7987"/>
      <queryTableField id="8406" dataBound="0" tableColumnId="7988"/>
      <queryTableField id="8405" dataBound="0" tableColumnId="7989"/>
      <queryTableField id="8404" dataBound="0" tableColumnId="7990"/>
      <queryTableField id="8403" dataBound="0" tableColumnId="7991"/>
      <queryTableField id="8402" dataBound="0" tableColumnId="7992"/>
      <queryTableField id="8401" dataBound="0" tableColumnId="7993"/>
      <queryTableField id="8400" dataBound="0" tableColumnId="7994"/>
      <queryTableField id="8399" dataBound="0" tableColumnId="7995"/>
      <queryTableField id="8398" dataBound="0" tableColumnId="7996"/>
      <queryTableField id="8397" dataBound="0" tableColumnId="7997"/>
      <queryTableField id="8396" dataBound="0" tableColumnId="7998"/>
      <queryTableField id="8395" dataBound="0" tableColumnId="7999"/>
      <queryTableField id="8394" dataBound="0" tableColumnId="8000"/>
      <queryTableField id="8393" dataBound="0" tableColumnId="8001"/>
      <queryTableField id="8392" dataBound="0" tableColumnId="8002"/>
      <queryTableField id="8391" dataBound="0" tableColumnId="8003"/>
      <queryTableField id="8390" dataBound="0" tableColumnId="8004"/>
      <queryTableField id="8389" dataBound="0" tableColumnId="8005"/>
      <queryTableField id="8388" dataBound="0" tableColumnId="8006"/>
      <queryTableField id="8387" dataBound="0" tableColumnId="8007"/>
      <queryTableField id="8386" dataBound="0" tableColumnId="8008"/>
      <queryTableField id="8385" dataBound="0" tableColumnId="8009"/>
      <queryTableField id="8384" dataBound="0" tableColumnId="8010"/>
      <queryTableField id="8383" dataBound="0" tableColumnId="8011"/>
      <queryTableField id="8382" dataBound="0" tableColumnId="8012"/>
      <queryTableField id="8381" dataBound="0" tableColumnId="8013"/>
      <queryTableField id="8380" dataBound="0" tableColumnId="8014"/>
      <queryTableField id="8379" dataBound="0" tableColumnId="8015"/>
      <queryTableField id="8378" dataBound="0" tableColumnId="8016"/>
      <queryTableField id="8377" dataBound="0" tableColumnId="8017"/>
      <queryTableField id="8376" dataBound="0" tableColumnId="8018"/>
      <queryTableField id="8375" dataBound="0" tableColumnId="8019"/>
      <queryTableField id="8374" dataBound="0" tableColumnId="8020"/>
      <queryTableField id="8373" dataBound="0" tableColumnId="8021"/>
      <queryTableField id="8372" dataBound="0" tableColumnId="8022"/>
      <queryTableField id="8371" dataBound="0" tableColumnId="8023"/>
      <queryTableField id="8370" dataBound="0" tableColumnId="8024"/>
      <queryTableField id="8369" dataBound="0" tableColumnId="8025"/>
      <queryTableField id="8368" dataBound="0" tableColumnId="8026"/>
      <queryTableField id="8367" dataBound="0" tableColumnId="8027"/>
      <queryTableField id="8366" dataBound="0" tableColumnId="8028"/>
      <queryTableField id="8365" dataBound="0" tableColumnId="8029"/>
      <queryTableField id="8364" dataBound="0" tableColumnId="8030"/>
      <queryTableField id="8363" dataBound="0" tableColumnId="8031"/>
      <queryTableField id="8362" dataBound="0" tableColumnId="8032"/>
      <queryTableField id="8361" dataBound="0" tableColumnId="8033"/>
      <queryTableField id="8360" dataBound="0" tableColumnId="8034"/>
      <queryTableField id="8359" dataBound="0" tableColumnId="8035"/>
      <queryTableField id="8358" dataBound="0" tableColumnId="8036"/>
      <queryTableField id="8357" dataBound="0" tableColumnId="8037"/>
      <queryTableField id="8356" dataBound="0" tableColumnId="8038"/>
      <queryTableField id="8355" dataBound="0" tableColumnId="8039"/>
      <queryTableField id="8354" dataBound="0" tableColumnId="8040"/>
      <queryTableField id="8353" dataBound="0" tableColumnId="8041"/>
      <queryTableField id="8352" dataBound="0" tableColumnId="8042"/>
      <queryTableField id="8351" dataBound="0" tableColumnId="8043"/>
      <queryTableField id="8350" dataBound="0" tableColumnId="8044"/>
      <queryTableField id="8349" dataBound="0" tableColumnId="8045"/>
      <queryTableField id="8348" dataBound="0" tableColumnId="8046"/>
      <queryTableField id="8347" dataBound="0" tableColumnId="8047"/>
      <queryTableField id="8346" dataBound="0" tableColumnId="8048"/>
      <queryTableField id="8345" dataBound="0" tableColumnId="8049"/>
      <queryTableField id="8344" dataBound="0" tableColumnId="8050"/>
      <queryTableField id="8343" dataBound="0" tableColumnId="8051"/>
      <queryTableField id="8342" dataBound="0" tableColumnId="8052"/>
      <queryTableField id="8341" dataBound="0" tableColumnId="8053"/>
      <queryTableField id="8340" dataBound="0" tableColumnId="8054"/>
      <queryTableField id="8339" dataBound="0" tableColumnId="8055"/>
      <queryTableField id="8338" dataBound="0" tableColumnId="8056"/>
      <queryTableField id="8337" dataBound="0" tableColumnId="8057"/>
      <queryTableField id="8336" dataBound="0" tableColumnId="8058"/>
      <queryTableField id="8335" dataBound="0" tableColumnId="8059"/>
      <queryTableField id="8334" dataBound="0" tableColumnId="8060"/>
      <queryTableField id="8333" dataBound="0" tableColumnId="8061"/>
      <queryTableField id="8332" dataBound="0" tableColumnId="8062"/>
      <queryTableField id="8331" dataBound="0" tableColumnId="8063"/>
      <queryTableField id="8330" dataBound="0" tableColumnId="8064"/>
      <queryTableField id="8329" dataBound="0" tableColumnId="8065"/>
      <queryTableField id="8328" dataBound="0" tableColumnId="8066"/>
      <queryTableField id="8327" dataBound="0" tableColumnId="8067"/>
      <queryTableField id="8326" dataBound="0" tableColumnId="8068"/>
      <queryTableField id="8325" dataBound="0" tableColumnId="8069"/>
      <queryTableField id="8324" dataBound="0" tableColumnId="8070"/>
      <queryTableField id="8323" dataBound="0" tableColumnId="8071"/>
      <queryTableField id="8322" dataBound="0" tableColumnId="8072"/>
      <queryTableField id="8321" dataBound="0" tableColumnId="8073"/>
      <queryTableField id="8320" dataBound="0" tableColumnId="8074"/>
      <queryTableField id="8319" dataBound="0" tableColumnId="8075"/>
      <queryTableField id="8318" dataBound="0" tableColumnId="8076"/>
      <queryTableField id="8317" dataBound="0" tableColumnId="8077"/>
      <queryTableField id="8316" dataBound="0" tableColumnId="8078"/>
      <queryTableField id="8315" dataBound="0" tableColumnId="8079"/>
      <queryTableField id="8314" dataBound="0" tableColumnId="8080"/>
      <queryTableField id="8313" dataBound="0" tableColumnId="8081"/>
      <queryTableField id="8312" dataBound="0" tableColumnId="8082"/>
      <queryTableField id="8311" dataBound="0" tableColumnId="8083"/>
      <queryTableField id="8310" dataBound="0" tableColumnId="8084"/>
      <queryTableField id="8309" dataBound="0" tableColumnId="8085"/>
      <queryTableField id="8308" dataBound="0" tableColumnId="8086"/>
      <queryTableField id="8307" dataBound="0" tableColumnId="8087"/>
      <queryTableField id="8306" dataBound="0" tableColumnId="8088"/>
      <queryTableField id="8305" dataBound="0" tableColumnId="8089"/>
      <queryTableField id="8304" dataBound="0" tableColumnId="8090"/>
      <queryTableField id="8303" dataBound="0" tableColumnId="8091"/>
      <queryTableField id="8302" dataBound="0" tableColumnId="8092"/>
      <queryTableField id="8301" dataBound="0" tableColumnId="8093"/>
      <queryTableField id="8300" dataBound="0" tableColumnId="8094"/>
      <queryTableField id="8299" dataBound="0" tableColumnId="8095"/>
      <queryTableField id="8298" dataBound="0" tableColumnId="8096"/>
      <queryTableField id="8297" dataBound="0" tableColumnId="8097"/>
      <queryTableField id="8296" dataBound="0" tableColumnId="8098"/>
      <queryTableField id="8295" dataBound="0" tableColumnId="8099"/>
      <queryTableField id="8294" dataBound="0" tableColumnId="8100"/>
      <queryTableField id="8293" dataBound="0" tableColumnId="8101"/>
      <queryTableField id="8292" dataBound="0" tableColumnId="8102"/>
      <queryTableField id="8291" dataBound="0" tableColumnId="8103"/>
      <queryTableField id="8290" dataBound="0" tableColumnId="8104"/>
      <queryTableField id="8289" dataBound="0" tableColumnId="8105"/>
      <queryTableField id="8288" dataBound="0" tableColumnId="8106"/>
      <queryTableField id="8287" dataBound="0" tableColumnId="8107"/>
      <queryTableField id="8286" dataBound="0" tableColumnId="8108"/>
      <queryTableField id="8285" dataBound="0" tableColumnId="8109"/>
      <queryTableField id="8284" dataBound="0" tableColumnId="8110"/>
      <queryTableField id="8283" dataBound="0" tableColumnId="8111"/>
      <queryTableField id="8282" dataBound="0" tableColumnId="8112"/>
      <queryTableField id="8281" dataBound="0" tableColumnId="8113"/>
      <queryTableField id="8280" dataBound="0" tableColumnId="8114"/>
      <queryTableField id="8279" dataBound="0" tableColumnId="8115"/>
      <queryTableField id="8278" dataBound="0" tableColumnId="8116"/>
      <queryTableField id="8277" dataBound="0" tableColumnId="8117"/>
      <queryTableField id="8276" dataBound="0" tableColumnId="8118"/>
      <queryTableField id="8275" dataBound="0" tableColumnId="8119"/>
      <queryTableField id="8274" dataBound="0" tableColumnId="8120"/>
      <queryTableField id="8273" dataBound="0" tableColumnId="8121"/>
      <queryTableField id="8272" dataBound="0" tableColumnId="8122"/>
      <queryTableField id="8271" dataBound="0" tableColumnId="8123"/>
      <queryTableField id="8270" dataBound="0" tableColumnId="8124"/>
      <queryTableField id="8269" dataBound="0" tableColumnId="8125"/>
      <queryTableField id="8268" dataBound="0" tableColumnId="8126"/>
      <queryTableField id="8267" dataBound="0" tableColumnId="8127"/>
      <queryTableField id="8266" dataBound="0" tableColumnId="8128"/>
      <queryTableField id="8265" dataBound="0" tableColumnId="8129"/>
      <queryTableField id="8264" dataBound="0" tableColumnId="8130"/>
      <queryTableField id="8263" dataBound="0" tableColumnId="8131"/>
      <queryTableField id="8262" dataBound="0" tableColumnId="8132"/>
      <queryTableField id="8261" dataBound="0" tableColumnId="8133"/>
      <queryTableField id="8260" dataBound="0" tableColumnId="8134"/>
      <queryTableField id="8259" dataBound="0" tableColumnId="8135"/>
      <queryTableField id="8258" dataBound="0" tableColumnId="8136"/>
      <queryTableField id="8257" dataBound="0" tableColumnId="8137"/>
      <queryTableField id="8256" dataBound="0" tableColumnId="8138"/>
      <queryTableField id="8255" dataBound="0" tableColumnId="8139"/>
      <queryTableField id="8254" dataBound="0" tableColumnId="8140"/>
      <queryTableField id="8253" dataBound="0" tableColumnId="8141"/>
      <queryTableField id="8252" dataBound="0" tableColumnId="8142"/>
      <queryTableField id="8251" dataBound="0" tableColumnId="8143"/>
      <queryTableField id="8250" dataBound="0" tableColumnId="8144"/>
      <queryTableField id="8249" dataBound="0" tableColumnId="8145"/>
      <queryTableField id="8248" dataBound="0" tableColumnId="8146"/>
      <queryTableField id="8247" dataBound="0" tableColumnId="8147"/>
      <queryTableField id="8246" dataBound="0" tableColumnId="8148"/>
      <queryTableField id="8245" dataBound="0" tableColumnId="8149"/>
      <queryTableField id="8244" dataBound="0" tableColumnId="8150"/>
      <queryTableField id="8243" dataBound="0" tableColumnId="8151"/>
      <queryTableField id="8242" dataBound="0" tableColumnId="8152"/>
      <queryTableField id="8241" dataBound="0" tableColumnId="8153"/>
      <queryTableField id="8240" dataBound="0" tableColumnId="8154"/>
      <queryTableField id="8239" dataBound="0" tableColumnId="8155"/>
      <queryTableField id="8238" dataBound="0" tableColumnId="8156"/>
      <queryTableField id="8237" dataBound="0" tableColumnId="8157"/>
      <queryTableField id="8236" dataBound="0" tableColumnId="8158"/>
      <queryTableField id="8235" dataBound="0" tableColumnId="8159"/>
      <queryTableField id="8234" dataBound="0" tableColumnId="8160"/>
      <queryTableField id="8233" dataBound="0" tableColumnId="8161"/>
      <queryTableField id="8232" dataBound="0" tableColumnId="8162"/>
      <queryTableField id="8231" dataBound="0" tableColumnId="8163"/>
      <queryTableField id="8230" dataBound="0" tableColumnId="8164"/>
      <queryTableField id="8229" dataBound="0" tableColumnId="8165"/>
      <queryTableField id="8228" dataBound="0" tableColumnId="8166"/>
      <queryTableField id="8227" dataBound="0" tableColumnId="8167"/>
      <queryTableField id="8226" dataBound="0" tableColumnId="8168"/>
      <queryTableField id="8225" dataBound="0" tableColumnId="8169"/>
      <queryTableField id="8224" dataBound="0" tableColumnId="8170"/>
      <queryTableField id="8223" dataBound="0" tableColumnId="8171"/>
      <queryTableField id="8222" dataBound="0" tableColumnId="8172"/>
      <queryTableField id="8221" dataBound="0" tableColumnId="8173"/>
      <queryTableField id="8220" dataBound="0" tableColumnId="8174"/>
      <queryTableField id="8219" dataBound="0" tableColumnId="8175"/>
      <queryTableField id="8218" dataBound="0" tableColumnId="8176"/>
      <queryTableField id="8217" dataBound="0" tableColumnId="8177"/>
      <queryTableField id="8216" dataBound="0" tableColumnId="8178"/>
      <queryTableField id="8215" dataBound="0" tableColumnId="8179"/>
      <queryTableField id="8214" dataBound="0" tableColumnId="8180"/>
      <queryTableField id="8213" dataBound="0" tableColumnId="8181"/>
      <queryTableField id="8212" dataBound="0" tableColumnId="8182"/>
      <queryTableField id="8211" dataBound="0" tableColumnId="8183"/>
      <queryTableField id="8210" dataBound="0" tableColumnId="8184"/>
      <queryTableField id="8209" dataBound="0" tableColumnId="8185"/>
      <queryTableField id="8208" dataBound="0" tableColumnId="8186"/>
      <queryTableField id="8207" dataBound="0" tableColumnId="8187"/>
      <queryTableField id="8206" dataBound="0" tableColumnId="8188"/>
      <queryTableField id="8205" dataBound="0" tableColumnId="8189"/>
      <queryTableField id="8204" dataBound="0" tableColumnId="8190"/>
      <queryTableField id="8203" dataBound="0" tableColumnId="8191"/>
      <queryTableField id="8202" dataBound="0" tableColumnId="8192"/>
      <queryTableField id="8201" dataBound="0" tableColumnId="8193"/>
      <queryTableField id="8200" dataBound="0" tableColumnId="8194"/>
      <queryTableField id="8199" dataBound="0" tableColumnId="8195"/>
      <queryTableField id="8198" dataBound="0" tableColumnId="8196"/>
      <queryTableField id="8197" dataBound="0" tableColumnId="8197"/>
      <queryTableField id="8196" dataBound="0" tableColumnId="8198"/>
      <queryTableField id="8195" dataBound="0" tableColumnId="8199"/>
      <queryTableField id="8194" dataBound="0" tableColumnId="8200"/>
      <queryTableField id="8193" dataBound="0" tableColumnId="8201"/>
      <queryTableField id="8192" dataBound="0" tableColumnId="8202"/>
      <queryTableField id="8191" dataBound="0" tableColumnId="8203"/>
      <queryTableField id="8190" dataBound="0" tableColumnId="8204"/>
      <queryTableField id="8189" dataBound="0" tableColumnId="8205"/>
      <queryTableField id="8188" dataBound="0" tableColumnId="8206"/>
      <queryTableField id="8187" dataBound="0" tableColumnId="8207"/>
      <queryTableField id="8186" dataBound="0" tableColumnId="8208"/>
      <queryTableField id="8185" dataBound="0" tableColumnId="8209"/>
      <queryTableField id="8184" dataBound="0" tableColumnId="8210"/>
      <queryTableField id="8183" dataBound="0" tableColumnId="8211"/>
      <queryTableField id="8182" dataBound="0" tableColumnId="8212"/>
      <queryTableField id="8181" dataBound="0" tableColumnId="8213"/>
      <queryTableField id="8180" dataBound="0" tableColumnId="8214"/>
      <queryTableField id="8179" dataBound="0" tableColumnId="8215"/>
      <queryTableField id="8178" dataBound="0" tableColumnId="8216"/>
      <queryTableField id="8177" dataBound="0" tableColumnId="8217"/>
      <queryTableField id="8176" dataBound="0" tableColumnId="8218"/>
      <queryTableField id="8175" dataBound="0" tableColumnId="8219"/>
      <queryTableField id="8174" dataBound="0" tableColumnId="8220"/>
      <queryTableField id="8173" dataBound="0" tableColumnId="8221"/>
      <queryTableField id="8172" dataBound="0" tableColumnId="8222"/>
      <queryTableField id="8171" dataBound="0" tableColumnId="8223"/>
      <queryTableField id="8170" dataBound="0" tableColumnId="8224"/>
      <queryTableField id="8169" dataBound="0" tableColumnId="8225"/>
      <queryTableField id="8168" dataBound="0" tableColumnId="8226"/>
      <queryTableField id="8167" dataBound="0" tableColumnId="8227"/>
      <queryTableField id="8166" dataBound="0" tableColumnId="8228"/>
      <queryTableField id="8165" dataBound="0" tableColumnId="8229"/>
      <queryTableField id="8164" dataBound="0" tableColumnId="8230"/>
      <queryTableField id="8163" dataBound="0" tableColumnId="8231"/>
      <queryTableField id="8162" dataBound="0" tableColumnId="8232"/>
      <queryTableField id="8161" dataBound="0" tableColumnId="8233"/>
      <queryTableField id="8160" dataBound="0" tableColumnId="8234"/>
      <queryTableField id="8159" dataBound="0" tableColumnId="8235"/>
      <queryTableField id="8158" dataBound="0" tableColumnId="8236"/>
      <queryTableField id="8157" dataBound="0" tableColumnId="8237"/>
      <queryTableField id="8156" dataBound="0" tableColumnId="8238"/>
      <queryTableField id="8155" dataBound="0" tableColumnId="8239"/>
      <queryTableField id="8154" dataBound="0" tableColumnId="8240"/>
      <queryTableField id="8153" dataBound="0" tableColumnId="8241"/>
      <queryTableField id="8152" dataBound="0" tableColumnId="8242"/>
      <queryTableField id="8151" dataBound="0" tableColumnId="8243"/>
      <queryTableField id="8150" dataBound="0" tableColumnId="8244"/>
      <queryTableField id="8149" dataBound="0" tableColumnId="8245"/>
      <queryTableField id="8148" dataBound="0" tableColumnId="8246"/>
      <queryTableField id="8147" dataBound="0" tableColumnId="8247"/>
      <queryTableField id="8146" dataBound="0" tableColumnId="8248"/>
      <queryTableField id="8145" dataBound="0" tableColumnId="8249"/>
      <queryTableField id="8144" dataBound="0" tableColumnId="8250"/>
      <queryTableField id="8143" dataBound="0" tableColumnId="8251"/>
      <queryTableField id="8142" dataBound="0" tableColumnId="8252"/>
      <queryTableField id="8141" dataBound="0" tableColumnId="8253"/>
      <queryTableField id="8140" dataBound="0" tableColumnId="8254"/>
      <queryTableField id="8139" dataBound="0" tableColumnId="8255"/>
      <queryTableField id="8138" dataBound="0" tableColumnId="8256"/>
      <queryTableField id="8137" dataBound="0" tableColumnId="8257"/>
      <queryTableField id="8136" dataBound="0" tableColumnId="8258"/>
      <queryTableField id="8135" dataBound="0" tableColumnId="8259"/>
      <queryTableField id="8134" dataBound="0" tableColumnId="8260"/>
      <queryTableField id="8133" dataBound="0" tableColumnId="8261"/>
      <queryTableField id="8132" dataBound="0" tableColumnId="8262"/>
      <queryTableField id="8131" dataBound="0" tableColumnId="8263"/>
      <queryTableField id="8130" dataBound="0" tableColumnId="8264"/>
      <queryTableField id="8129" dataBound="0" tableColumnId="8265"/>
      <queryTableField id="8128" dataBound="0" tableColumnId="8266"/>
      <queryTableField id="8127" dataBound="0" tableColumnId="8267"/>
      <queryTableField id="8126" dataBound="0" tableColumnId="8268"/>
      <queryTableField id="8125" dataBound="0" tableColumnId="8269"/>
      <queryTableField id="8124" dataBound="0" tableColumnId="8270"/>
      <queryTableField id="8123" dataBound="0" tableColumnId="8271"/>
      <queryTableField id="8122" dataBound="0" tableColumnId="8272"/>
      <queryTableField id="8121" dataBound="0" tableColumnId="8273"/>
      <queryTableField id="8120" dataBound="0" tableColumnId="8274"/>
      <queryTableField id="8119" dataBound="0" tableColumnId="8275"/>
      <queryTableField id="8118" dataBound="0" tableColumnId="8276"/>
      <queryTableField id="8117" dataBound="0" tableColumnId="8277"/>
      <queryTableField id="8116" dataBound="0" tableColumnId="8278"/>
      <queryTableField id="8115" dataBound="0" tableColumnId="8279"/>
      <queryTableField id="8114" dataBound="0" tableColumnId="8280"/>
      <queryTableField id="8113" dataBound="0" tableColumnId="8281"/>
      <queryTableField id="8112" dataBound="0" tableColumnId="8282"/>
      <queryTableField id="8111" dataBound="0" tableColumnId="8283"/>
      <queryTableField id="8110" dataBound="0" tableColumnId="8284"/>
      <queryTableField id="8109" dataBound="0" tableColumnId="8285"/>
      <queryTableField id="8108" dataBound="0" tableColumnId="8286"/>
      <queryTableField id="8107" dataBound="0" tableColumnId="8287"/>
      <queryTableField id="8106" dataBound="0" tableColumnId="8288"/>
      <queryTableField id="8105" dataBound="0" tableColumnId="8289"/>
      <queryTableField id="8104" dataBound="0" tableColumnId="8290"/>
      <queryTableField id="8103" dataBound="0" tableColumnId="8291"/>
      <queryTableField id="8102" dataBound="0" tableColumnId="8292"/>
      <queryTableField id="8101" dataBound="0" tableColumnId="8293"/>
      <queryTableField id="8100" dataBound="0" tableColumnId="8294"/>
      <queryTableField id="8099" dataBound="0" tableColumnId="8295"/>
      <queryTableField id="8098" dataBound="0" tableColumnId="8296"/>
      <queryTableField id="8097" dataBound="0" tableColumnId="8297"/>
      <queryTableField id="8096" dataBound="0" tableColumnId="8298"/>
      <queryTableField id="8095" dataBound="0" tableColumnId="8299"/>
      <queryTableField id="8094" dataBound="0" tableColumnId="8300"/>
      <queryTableField id="8093" dataBound="0" tableColumnId="8301"/>
      <queryTableField id="8092" dataBound="0" tableColumnId="8302"/>
      <queryTableField id="8091" dataBound="0" tableColumnId="8303"/>
      <queryTableField id="8090" dataBound="0" tableColumnId="8304"/>
      <queryTableField id="8089" dataBound="0" tableColumnId="8305"/>
      <queryTableField id="8088" dataBound="0" tableColumnId="8306"/>
      <queryTableField id="8087" dataBound="0" tableColumnId="8307"/>
      <queryTableField id="8086" dataBound="0" tableColumnId="8308"/>
      <queryTableField id="8085" dataBound="0" tableColumnId="8309"/>
      <queryTableField id="8084" dataBound="0" tableColumnId="8310"/>
      <queryTableField id="8083" dataBound="0" tableColumnId="8311"/>
      <queryTableField id="8082" dataBound="0" tableColumnId="8312"/>
      <queryTableField id="8081" dataBound="0" tableColumnId="8313"/>
      <queryTableField id="8080" dataBound="0" tableColumnId="8314"/>
      <queryTableField id="8079" dataBound="0" tableColumnId="8315"/>
      <queryTableField id="8078" dataBound="0" tableColumnId="8316"/>
      <queryTableField id="8077" dataBound="0" tableColumnId="8317"/>
      <queryTableField id="8076" dataBound="0" tableColumnId="8318"/>
      <queryTableField id="8075" dataBound="0" tableColumnId="8319"/>
      <queryTableField id="8074" dataBound="0" tableColumnId="8320"/>
      <queryTableField id="8073" dataBound="0" tableColumnId="8321"/>
      <queryTableField id="8072" dataBound="0" tableColumnId="8322"/>
      <queryTableField id="8071" dataBound="0" tableColumnId="8323"/>
      <queryTableField id="8070" dataBound="0" tableColumnId="8324"/>
      <queryTableField id="8069" dataBound="0" tableColumnId="8325"/>
      <queryTableField id="8068" dataBound="0" tableColumnId="8326"/>
      <queryTableField id="8067" dataBound="0" tableColumnId="8327"/>
      <queryTableField id="8066" dataBound="0" tableColumnId="8328"/>
      <queryTableField id="8065" dataBound="0" tableColumnId="8329"/>
      <queryTableField id="8064" dataBound="0" tableColumnId="8330"/>
      <queryTableField id="8063" dataBound="0" tableColumnId="8331"/>
      <queryTableField id="8062" dataBound="0" tableColumnId="8332"/>
      <queryTableField id="8061" dataBound="0" tableColumnId="8333"/>
      <queryTableField id="8060" dataBound="0" tableColumnId="8334"/>
      <queryTableField id="8059" dataBound="0" tableColumnId="8335"/>
      <queryTableField id="8058" dataBound="0" tableColumnId="8336"/>
      <queryTableField id="8057" dataBound="0" tableColumnId="8337"/>
      <queryTableField id="8056" dataBound="0" tableColumnId="8338"/>
      <queryTableField id="8055" dataBound="0" tableColumnId="8339"/>
      <queryTableField id="8054" dataBound="0" tableColumnId="8340"/>
      <queryTableField id="8053" dataBound="0" tableColumnId="8341"/>
      <queryTableField id="8052" dataBound="0" tableColumnId="8342"/>
      <queryTableField id="8051" dataBound="0" tableColumnId="8343"/>
      <queryTableField id="8050" dataBound="0" tableColumnId="8344"/>
      <queryTableField id="8049" dataBound="0" tableColumnId="8345"/>
      <queryTableField id="8048" dataBound="0" tableColumnId="8346"/>
      <queryTableField id="8047" dataBound="0" tableColumnId="8347"/>
      <queryTableField id="8046" dataBound="0" tableColumnId="8348"/>
      <queryTableField id="8045" dataBound="0" tableColumnId="8349"/>
      <queryTableField id="8044" dataBound="0" tableColumnId="8350"/>
      <queryTableField id="8043" dataBound="0" tableColumnId="8351"/>
      <queryTableField id="8042" dataBound="0" tableColumnId="8352"/>
      <queryTableField id="8041" dataBound="0" tableColumnId="8353"/>
      <queryTableField id="8040" dataBound="0" tableColumnId="8354"/>
      <queryTableField id="8039" dataBound="0" tableColumnId="8355"/>
      <queryTableField id="8038" dataBound="0" tableColumnId="8356"/>
      <queryTableField id="8037" dataBound="0" tableColumnId="8357"/>
      <queryTableField id="8036" dataBound="0" tableColumnId="8358"/>
      <queryTableField id="8035" dataBound="0" tableColumnId="8359"/>
      <queryTableField id="8034" dataBound="0" tableColumnId="8360"/>
      <queryTableField id="8033" dataBound="0" tableColumnId="8361"/>
      <queryTableField id="8032" dataBound="0" tableColumnId="8362"/>
      <queryTableField id="8031" dataBound="0" tableColumnId="8363"/>
      <queryTableField id="8030" dataBound="0" tableColumnId="8364"/>
      <queryTableField id="8029" dataBound="0" tableColumnId="8365"/>
      <queryTableField id="8028" dataBound="0" tableColumnId="8366"/>
      <queryTableField id="8027" dataBound="0" tableColumnId="8367"/>
      <queryTableField id="8026" dataBound="0" tableColumnId="8368"/>
      <queryTableField id="8025" dataBound="0" tableColumnId="8369"/>
      <queryTableField id="8024" dataBound="0" tableColumnId="8370"/>
      <queryTableField id="8023" dataBound="0" tableColumnId="8371"/>
      <queryTableField id="8022" dataBound="0" tableColumnId="8372"/>
      <queryTableField id="8021" dataBound="0" tableColumnId="8373"/>
      <queryTableField id="8020" dataBound="0" tableColumnId="8374"/>
      <queryTableField id="8019" dataBound="0" tableColumnId="8375"/>
      <queryTableField id="8018" dataBound="0" tableColumnId="8376"/>
      <queryTableField id="8017" dataBound="0" tableColumnId="8377"/>
      <queryTableField id="8016" dataBound="0" tableColumnId="8378"/>
      <queryTableField id="8015" dataBound="0" tableColumnId="8379"/>
      <queryTableField id="8014" dataBound="0" tableColumnId="8380"/>
      <queryTableField id="8013" dataBound="0" tableColumnId="8381"/>
      <queryTableField id="8012" dataBound="0" tableColumnId="8382"/>
      <queryTableField id="8011" dataBound="0" tableColumnId="8383"/>
      <queryTableField id="8010" dataBound="0" tableColumnId="8384"/>
      <queryTableField id="8009" dataBound="0" tableColumnId="8385"/>
      <queryTableField id="8008" dataBound="0" tableColumnId="8386"/>
      <queryTableField id="8007" dataBound="0" tableColumnId="8387"/>
      <queryTableField id="8006" dataBound="0" tableColumnId="8388"/>
      <queryTableField id="8005" dataBound="0" tableColumnId="8389"/>
      <queryTableField id="8004" dataBound="0" tableColumnId="8390"/>
      <queryTableField id="8003" dataBound="0" tableColumnId="8391"/>
      <queryTableField id="8002" dataBound="0" tableColumnId="8392"/>
      <queryTableField id="8001" dataBound="0" tableColumnId="8393"/>
      <queryTableField id="8000" dataBound="0" tableColumnId="8394"/>
      <queryTableField id="7999" dataBound="0" tableColumnId="8395"/>
      <queryTableField id="7998" dataBound="0" tableColumnId="8396"/>
      <queryTableField id="7997" dataBound="0" tableColumnId="8397"/>
      <queryTableField id="7996" dataBound="0" tableColumnId="8398"/>
      <queryTableField id="7995" dataBound="0" tableColumnId="8399"/>
      <queryTableField id="7994" dataBound="0" tableColumnId="8400"/>
      <queryTableField id="7993" dataBound="0" tableColumnId="8401"/>
      <queryTableField id="7992" dataBound="0" tableColumnId="8402"/>
      <queryTableField id="7991" dataBound="0" tableColumnId="8403"/>
      <queryTableField id="7990" dataBound="0" tableColumnId="8404"/>
      <queryTableField id="7989" dataBound="0" tableColumnId="8405"/>
      <queryTableField id="7988" dataBound="0" tableColumnId="8406"/>
      <queryTableField id="7987" dataBound="0" tableColumnId="8407"/>
      <queryTableField id="7986" dataBound="0" tableColumnId="8408"/>
      <queryTableField id="7985" dataBound="0" tableColumnId="8409"/>
      <queryTableField id="7984" dataBound="0" tableColumnId="8410"/>
      <queryTableField id="7983" dataBound="0" tableColumnId="8411"/>
      <queryTableField id="7982" dataBound="0" tableColumnId="8412"/>
      <queryTableField id="7981" dataBound="0" tableColumnId="8413"/>
      <queryTableField id="7980" dataBound="0" tableColumnId="8414"/>
      <queryTableField id="7979" dataBound="0" tableColumnId="8415"/>
      <queryTableField id="7978" dataBound="0" tableColumnId="8416"/>
      <queryTableField id="7977" dataBound="0" tableColumnId="8417"/>
      <queryTableField id="7976" dataBound="0" tableColumnId="8418"/>
      <queryTableField id="7975" dataBound="0" tableColumnId="8419"/>
      <queryTableField id="7974" dataBound="0" tableColumnId="8420"/>
      <queryTableField id="7973" dataBound="0" tableColumnId="8421"/>
      <queryTableField id="7972" dataBound="0" tableColumnId="8422"/>
      <queryTableField id="7971" dataBound="0" tableColumnId="8423"/>
      <queryTableField id="7970" dataBound="0" tableColumnId="8424"/>
      <queryTableField id="7969" dataBound="0" tableColumnId="8425"/>
      <queryTableField id="7968" dataBound="0" tableColumnId="8426"/>
      <queryTableField id="7967" dataBound="0" tableColumnId="8427"/>
      <queryTableField id="7966" dataBound="0" tableColumnId="8428"/>
      <queryTableField id="7965" dataBound="0" tableColumnId="8429"/>
      <queryTableField id="7964" dataBound="0" tableColumnId="8430"/>
      <queryTableField id="7963" dataBound="0" tableColumnId="8431"/>
      <queryTableField id="7962" dataBound="0" tableColumnId="8432"/>
      <queryTableField id="7961" dataBound="0" tableColumnId="8433"/>
      <queryTableField id="7960" dataBound="0" tableColumnId="8434"/>
      <queryTableField id="7959" dataBound="0" tableColumnId="8435"/>
      <queryTableField id="7958" dataBound="0" tableColumnId="8436"/>
      <queryTableField id="7957" dataBound="0" tableColumnId="8437"/>
      <queryTableField id="7956" dataBound="0" tableColumnId="8438"/>
      <queryTableField id="7955" dataBound="0" tableColumnId="8439"/>
      <queryTableField id="7954" dataBound="0" tableColumnId="8440"/>
      <queryTableField id="7953" dataBound="0" tableColumnId="8441"/>
      <queryTableField id="7952" dataBound="0" tableColumnId="8442"/>
      <queryTableField id="7951" dataBound="0" tableColumnId="8443"/>
      <queryTableField id="7950" dataBound="0" tableColumnId="8444"/>
      <queryTableField id="7949" dataBound="0" tableColumnId="8445"/>
      <queryTableField id="7948" dataBound="0" tableColumnId="8446"/>
      <queryTableField id="7947" dataBound="0" tableColumnId="8447"/>
      <queryTableField id="7946" dataBound="0" tableColumnId="8448"/>
      <queryTableField id="7945" dataBound="0" tableColumnId="8449"/>
      <queryTableField id="7944" dataBound="0" tableColumnId="8450"/>
      <queryTableField id="7943" dataBound="0" tableColumnId="8451"/>
      <queryTableField id="7942" dataBound="0" tableColumnId="8452"/>
      <queryTableField id="7941" dataBound="0" tableColumnId="8453"/>
      <queryTableField id="7940" dataBound="0" tableColumnId="8454"/>
      <queryTableField id="7939" dataBound="0" tableColumnId="8455"/>
      <queryTableField id="7938" dataBound="0" tableColumnId="8456"/>
      <queryTableField id="7937" dataBound="0" tableColumnId="8457"/>
      <queryTableField id="7936" dataBound="0" tableColumnId="8458"/>
      <queryTableField id="7935" dataBound="0" tableColumnId="8459"/>
      <queryTableField id="7934" dataBound="0" tableColumnId="8460"/>
      <queryTableField id="7933" dataBound="0" tableColumnId="8461"/>
      <queryTableField id="7932" dataBound="0" tableColumnId="8462"/>
      <queryTableField id="7931" dataBound="0" tableColumnId="8463"/>
      <queryTableField id="7930" dataBound="0" tableColumnId="8464"/>
      <queryTableField id="7929" dataBound="0" tableColumnId="8465"/>
      <queryTableField id="7928" dataBound="0" tableColumnId="8466"/>
      <queryTableField id="7927" dataBound="0" tableColumnId="8467"/>
      <queryTableField id="7926" dataBound="0" tableColumnId="8468"/>
      <queryTableField id="7925" dataBound="0" tableColumnId="8469"/>
      <queryTableField id="7924" dataBound="0" tableColumnId="8470"/>
      <queryTableField id="7923" dataBound="0" tableColumnId="8471"/>
      <queryTableField id="7922" dataBound="0" tableColumnId="8472"/>
      <queryTableField id="7921" dataBound="0" tableColumnId="8473"/>
      <queryTableField id="7920" dataBound="0" tableColumnId="8474"/>
      <queryTableField id="7919" dataBound="0" tableColumnId="8475"/>
      <queryTableField id="7918" dataBound="0" tableColumnId="8476"/>
      <queryTableField id="7917" dataBound="0" tableColumnId="8477"/>
      <queryTableField id="7916" dataBound="0" tableColumnId="8478"/>
      <queryTableField id="7915" dataBound="0" tableColumnId="8479"/>
      <queryTableField id="7914" dataBound="0" tableColumnId="8480"/>
      <queryTableField id="7913" dataBound="0" tableColumnId="8481"/>
      <queryTableField id="7912" dataBound="0" tableColumnId="8482"/>
      <queryTableField id="7911" dataBound="0" tableColumnId="8483"/>
      <queryTableField id="7910" dataBound="0" tableColumnId="8484"/>
      <queryTableField id="7909" dataBound="0" tableColumnId="8485"/>
      <queryTableField id="7908" dataBound="0" tableColumnId="8486"/>
      <queryTableField id="7907" dataBound="0" tableColumnId="8487"/>
      <queryTableField id="7906" dataBound="0" tableColumnId="8488"/>
      <queryTableField id="7905" dataBound="0" tableColumnId="8489"/>
      <queryTableField id="7904" dataBound="0" tableColumnId="8490"/>
      <queryTableField id="7903" dataBound="0" tableColumnId="8491"/>
      <queryTableField id="7902" dataBound="0" tableColumnId="8492"/>
      <queryTableField id="7901" dataBound="0" tableColumnId="8493"/>
      <queryTableField id="7900" dataBound="0" tableColumnId="8494"/>
      <queryTableField id="7899" dataBound="0" tableColumnId="8495"/>
      <queryTableField id="7898" dataBound="0" tableColumnId="8496"/>
      <queryTableField id="7897" dataBound="0" tableColumnId="8497"/>
      <queryTableField id="7896" dataBound="0" tableColumnId="8498"/>
      <queryTableField id="7895" dataBound="0" tableColumnId="8499"/>
      <queryTableField id="7894" dataBound="0" tableColumnId="8500"/>
      <queryTableField id="7893" dataBound="0" tableColumnId="8501"/>
      <queryTableField id="7892" dataBound="0" tableColumnId="8502"/>
      <queryTableField id="7891" dataBound="0" tableColumnId="8503"/>
      <queryTableField id="7890" dataBound="0" tableColumnId="8504"/>
      <queryTableField id="7889" dataBound="0" tableColumnId="8505"/>
      <queryTableField id="7888" dataBound="0" tableColumnId="8506"/>
      <queryTableField id="7887" dataBound="0" tableColumnId="8507"/>
      <queryTableField id="7886" dataBound="0" tableColumnId="8508"/>
      <queryTableField id="7885" dataBound="0" tableColumnId="8509"/>
      <queryTableField id="7884" dataBound="0" tableColumnId="8510"/>
      <queryTableField id="7883" dataBound="0" tableColumnId="8511"/>
      <queryTableField id="7882" dataBound="0" tableColumnId="8512"/>
      <queryTableField id="7881" dataBound="0" tableColumnId="8513"/>
      <queryTableField id="7880" dataBound="0" tableColumnId="8514"/>
      <queryTableField id="7879" dataBound="0" tableColumnId="8515"/>
      <queryTableField id="7878" dataBound="0" tableColumnId="8516"/>
      <queryTableField id="7877" dataBound="0" tableColumnId="8517"/>
      <queryTableField id="7876" dataBound="0" tableColumnId="8518"/>
      <queryTableField id="7875" dataBound="0" tableColumnId="8519"/>
      <queryTableField id="7874" dataBound="0" tableColumnId="8520"/>
      <queryTableField id="7873" dataBound="0" tableColumnId="8521"/>
      <queryTableField id="7872" dataBound="0" tableColumnId="8522"/>
      <queryTableField id="7871" dataBound="0" tableColumnId="8523"/>
      <queryTableField id="7870" dataBound="0" tableColumnId="8524"/>
      <queryTableField id="7869" dataBound="0" tableColumnId="8525"/>
      <queryTableField id="7868" dataBound="0" tableColumnId="8526"/>
      <queryTableField id="7867" dataBound="0" tableColumnId="8527"/>
      <queryTableField id="7866" dataBound="0" tableColumnId="8528"/>
      <queryTableField id="7865" dataBound="0" tableColumnId="8529"/>
      <queryTableField id="7864" dataBound="0" tableColumnId="8530"/>
      <queryTableField id="7863" dataBound="0" tableColumnId="8531"/>
      <queryTableField id="7862" dataBound="0" tableColumnId="8532"/>
      <queryTableField id="7861" dataBound="0" tableColumnId="8533"/>
      <queryTableField id="7860" dataBound="0" tableColumnId="8534"/>
      <queryTableField id="7859" dataBound="0" tableColumnId="8535"/>
      <queryTableField id="7858" dataBound="0" tableColumnId="8536"/>
      <queryTableField id="7857" dataBound="0" tableColumnId="8537"/>
      <queryTableField id="7856" dataBound="0" tableColumnId="8538"/>
      <queryTableField id="7855" dataBound="0" tableColumnId="8539"/>
      <queryTableField id="7854" dataBound="0" tableColumnId="8540"/>
      <queryTableField id="7853" dataBound="0" tableColumnId="8541"/>
      <queryTableField id="7852" dataBound="0" tableColumnId="8542"/>
      <queryTableField id="7851" dataBound="0" tableColumnId="8543"/>
      <queryTableField id="7850" dataBound="0" tableColumnId="8544"/>
      <queryTableField id="7849" dataBound="0" tableColumnId="8545"/>
      <queryTableField id="7848" dataBound="0" tableColumnId="8546"/>
      <queryTableField id="7847" dataBound="0" tableColumnId="8547"/>
      <queryTableField id="7846" dataBound="0" tableColumnId="8548"/>
      <queryTableField id="7845" dataBound="0" tableColumnId="8549"/>
      <queryTableField id="7844" dataBound="0" tableColumnId="8550"/>
      <queryTableField id="7843" dataBound="0" tableColumnId="8551"/>
      <queryTableField id="7842" dataBound="0" tableColumnId="8552"/>
      <queryTableField id="7841" dataBound="0" tableColumnId="8553"/>
      <queryTableField id="7840" dataBound="0" tableColumnId="8554"/>
      <queryTableField id="7839" dataBound="0" tableColumnId="8555"/>
      <queryTableField id="7838" dataBound="0" tableColumnId="8556"/>
      <queryTableField id="7837" dataBound="0" tableColumnId="8557"/>
      <queryTableField id="7836" dataBound="0" tableColumnId="8558"/>
      <queryTableField id="7835" dataBound="0" tableColumnId="8559"/>
      <queryTableField id="7834" dataBound="0" tableColumnId="8560"/>
      <queryTableField id="7833" dataBound="0" tableColumnId="8561"/>
      <queryTableField id="7832" dataBound="0" tableColumnId="8562"/>
      <queryTableField id="7831" dataBound="0" tableColumnId="8563"/>
      <queryTableField id="7830" dataBound="0" tableColumnId="8564"/>
      <queryTableField id="7829" dataBound="0" tableColumnId="8565"/>
      <queryTableField id="7828" dataBound="0" tableColumnId="8566"/>
      <queryTableField id="7827" dataBound="0" tableColumnId="8567"/>
      <queryTableField id="7826" dataBound="0" tableColumnId="8568"/>
      <queryTableField id="7825" dataBound="0" tableColumnId="8569"/>
      <queryTableField id="7824" dataBound="0" tableColumnId="8570"/>
      <queryTableField id="7823" dataBound="0" tableColumnId="8571"/>
      <queryTableField id="7822" dataBound="0" tableColumnId="8572"/>
      <queryTableField id="7821" dataBound="0" tableColumnId="8573"/>
      <queryTableField id="7820" dataBound="0" tableColumnId="8574"/>
      <queryTableField id="7819" dataBound="0" tableColumnId="8575"/>
      <queryTableField id="7818" dataBound="0" tableColumnId="8576"/>
      <queryTableField id="7817" dataBound="0" tableColumnId="8577"/>
      <queryTableField id="7816" dataBound="0" tableColumnId="8578"/>
      <queryTableField id="7815" dataBound="0" tableColumnId="8579"/>
      <queryTableField id="7814" dataBound="0" tableColumnId="8580"/>
      <queryTableField id="7813" dataBound="0" tableColumnId="8581"/>
      <queryTableField id="7812" dataBound="0" tableColumnId="8582"/>
      <queryTableField id="7811" dataBound="0" tableColumnId="8583"/>
      <queryTableField id="7810" dataBound="0" tableColumnId="8584"/>
      <queryTableField id="7809" dataBound="0" tableColumnId="8585"/>
      <queryTableField id="7808" dataBound="0" tableColumnId="8586"/>
      <queryTableField id="7807" dataBound="0" tableColumnId="8587"/>
      <queryTableField id="7806" dataBound="0" tableColumnId="8588"/>
      <queryTableField id="7805" dataBound="0" tableColumnId="8589"/>
      <queryTableField id="7804" dataBound="0" tableColumnId="8590"/>
      <queryTableField id="7803" dataBound="0" tableColumnId="8591"/>
      <queryTableField id="7802" dataBound="0" tableColumnId="8592"/>
      <queryTableField id="7801" dataBound="0" tableColumnId="8593"/>
      <queryTableField id="7800" dataBound="0" tableColumnId="8594"/>
      <queryTableField id="7799" dataBound="0" tableColumnId="8595"/>
      <queryTableField id="7798" dataBound="0" tableColumnId="8596"/>
      <queryTableField id="7797" dataBound="0" tableColumnId="8597"/>
      <queryTableField id="7796" dataBound="0" tableColumnId="8598"/>
      <queryTableField id="7795" dataBound="0" tableColumnId="8599"/>
      <queryTableField id="7794" dataBound="0" tableColumnId="8600"/>
      <queryTableField id="7793" dataBound="0" tableColumnId="8601"/>
      <queryTableField id="7792" dataBound="0" tableColumnId="8602"/>
      <queryTableField id="7791" dataBound="0" tableColumnId="8603"/>
      <queryTableField id="7790" dataBound="0" tableColumnId="8604"/>
      <queryTableField id="7789" dataBound="0" tableColumnId="8605"/>
      <queryTableField id="7788" dataBound="0" tableColumnId="8606"/>
      <queryTableField id="7787" dataBound="0" tableColumnId="8607"/>
      <queryTableField id="7786" dataBound="0" tableColumnId="8608"/>
      <queryTableField id="7785" dataBound="0" tableColumnId="8609"/>
      <queryTableField id="7784" dataBound="0" tableColumnId="8610"/>
      <queryTableField id="7783" dataBound="0" tableColumnId="8611"/>
      <queryTableField id="7782" dataBound="0" tableColumnId="8612"/>
      <queryTableField id="7781" dataBound="0" tableColumnId="8613"/>
      <queryTableField id="7780" dataBound="0" tableColumnId="8614"/>
      <queryTableField id="7779" dataBound="0" tableColumnId="8615"/>
      <queryTableField id="7778" dataBound="0" tableColumnId="8616"/>
      <queryTableField id="7777" dataBound="0" tableColumnId="8617"/>
      <queryTableField id="7776" dataBound="0" tableColumnId="8618"/>
      <queryTableField id="7775" dataBound="0" tableColumnId="8619"/>
      <queryTableField id="7774" dataBound="0" tableColumnId="8620"/>
      <queryTableField id="7773" dataBound="0" tableColumnId="8621"/>
      <queryTableField id="7772" dataBound="0" tableColumnId="8622"/>
      <queryTableField id="7771" dataBound="0" tableColumnId="8623"/>
      <queryTableField id="7770" dataBound="0" tableColumnId="8624"/>
      <queryTableField id="7769" dataBound="0" tableColumnId="8625"/>
      <queryTableField id="7768" dataBound="0" tableColumnId="8626"/>
      <queryTableField id="7767" dataBound="0" tableColumnId="8627"/>
      <queryTableField id="7766" dataBound="0" tableColumnId="8628"/>
      <queryTableField id="7765" dataBound="0" tableColumnId="8629"/>
      <queryTableField id="7764" dataBound="0" tableColumnId="8630"/>
      <queryTableField id="7763" dataBound="0" tableColumnId="8631"/>
      <queryTableField id="7762" dataBound="0" tableColumnId="8632"/>
      <queryTableField id="7761" dataBound="0" tableColumnId="8633"/>
      <queryTableField id="7760" dataBound="0" tableColumnId="8634"/>
      <queryTableField id="7759" dataBound="0" tableColumnId="8635"/>
      <queryTableField id="7758" dataBound="0" tableColumnId="8636"/>
      <queryTableField id="7757" dataBound="0" tableColumnId="8637"/>
      <queryTableField id="7756" dataBound="0" tableColumnId="8638"/>
      <queryTableField id="7755" dataBound="0" tableColumnId="8639"/>
      <queryTableField id="7754" dataBound="0" tableColumnId="8640"/>
      <queryTableField id="7753" dataBound="0" tableColumnId="8641"/>
      <queryTableField id="7752" dataBound="0" tableColumnId="8642"/>
      <queryTableField id="7751" dataBound="0" tableColumnId="8643"/>
      <queryTableField id="7750" dataBound="0" tableColumnId="8644"/>
      <queryTableField id="7749" dataBound="0" tableColumnId="8645"/>
      <queryTableField id="7748" dataBound="0" tableColumnId="8646"/>
      <queryTableField id="7747" dataBound="0" tableColumnId="8647"/>
      <queryTableField id="7746" dataBound="0" tableColumnId="8648"/>
      <queryTableField id="7745" dataBound="0" tableColumnId="8649"/>
      <queryTableField id="7744" dataBound="0" tableColumnId="8650"/>
      <queryTableField id="7743" dataBound="0" tableColumnId="8651"/>
      <queryTableField id="7742" dataBound="0" tableColumnId="8652"/>
      <queryTableField id="7741" dataBound="0" tableColumnId="8653"/>
      <queryTableField id="7740" dataBound="0" tableColumnId="8654"/>
      <queryTableField id="7739" dataBound="0" tableColumnId="8655"/>
      <queryTableField id="7738" dataBound="0" tableColumnId="8656"/>
      <queryTableField id="7737" dataBound="0" tableColumnId="8657"/>
      <queryTableField id="7736" dataBound="0" tableColumnId="8658"/>
      <queryTableField id="7735" dataBound="0" tableColumnId="8659"/>
      <queryTableField id="7734" dataBound="0" tableColumnId="8660"/>
      <queryTableField id="7733" dataBound="0" tableColumnId="8661"/>
      <queryTableField id="7732" dataBound="0" tableColumnId="8662"/>
      <queryTableField id="7731" dataBound="0" tableColumnId="8663"/>
      <queryTableField id="7730" dataBound="0" tableColumnId="8664"/>
      <queryTableField id="7729" dataBound="0" tableColumnId="8665"/>
      <queryTableField id="7728" dataBound="0" tableColumnId="8666"/>
      <queryTableField id="7727" dataBound="0" tableColumnId="8667"/>
      <queryTableField id="7726" dataBound="0" tableColumnId="8668"/>
      <queryTableField id="7725" dataBound="0" tableColumnId="8669"/>
      <queryTableField id="7724" dataBound="0" tableColumnId="8670"/>
      <queryTableField id="7723" dataBound="0" tableColumnId="8671"/>
      <queryTableField id="7722" dataBound="0" tableColumnId="8672"/>
      <queryTableField id="7721" dataBound="0" tableColumnId="8673"/>
      <queryTableField id="7720" dataBound="0" tableColumnId="8674"/>
      <queryTableField id="7719" dataBound="0" tableColumnId="8675"/>
      <queryTableField id="7718" dataBound="0" tableColumnId="8676"/>
      <queryTableField id="7717" dataBound="0" tableColumnId="8677"/>
      <queryTableField id="7716" dataBound="0" tableColumnId="8678"/>
      <queryTableField id="7715" dataBound="0" tableColumnId="8679"/>
      <queryTableField id="7714" dataBound="0" tableColumnId="8680"/>
      <queryTableField id="7713" dataBound="0" tableColumnId="8681"/>
      <queryTableField id="7712" dataBound="0" tableColumnId="8682"/>
      <queryTableField id="7711" dataBound="0" tableColumnId="8683"/>
      <queryTableField id="7710" dataBound="0" tableColumnId="8684"/>
      <queryTableField id="7709" dataBound="0" tableColumnId="8685"/>
      <queryTableField id="7708" dataBound="0" tableColumnId="8686"/>
      <queryTableField id="7707" dataBound="0" tableColumnId="8687"/>
      <queryTableField id="7706" dataBound="0" tableColumnId="8688"/>
      <queryTableField id="7705" dataBound="0" tableColumnId="8689"/>
      <queryTableField id="7704" dataBound="0" tableColumnId="8690"/>
      <queryTableField id="7703" dataBound="0" tableColumnId="8691"/>
      <queryTableField id="7702" dataBound="0" tableColumnId="8692"/>
      <queryTableField id="7701" dataBound="0" tableColumnId="8693"/>
      <queryTableField id="7700" dataBound="0" tableColumnId="8694"/>
      <queryTableField id="7699" dataBound="0" tableColumnId="8695"/>
      <queryTableField id="7698" dataBound="0" tableColumnId="8696"/>
      <queryTableField id="7697" dataBound="0" tableColumnId="8697"/>
      <queryTableField id="7696" dataBound="0" tableColumnId="8698"/>
      <queryTableField id="7695" dataBound="0" tableColumnId="8699"/>
      <queryTableField id="7694" dataBound="0" tableColumnId="8700"/>
      <queryTableField id="7693" dataBound="0" tableColumnId="8701"/>
      <queryTableField id="7692" dataBound="0" tableColumnId="8702"/>
      <queryTableField id="7691" dataBound="0" tableColumnId="8703"/>
      <queryTableField id="7690" dataBound="0" tableColumnId="8704"/>
      <queryTableField id="7689" dataBound="0" tableColumnId="8705"/>
      <queryTableField id="7688" dataBound="0" tableColumnId="8706"/>
      <queryTableField id="7687" dataBound="0" tableColumnId="8707"/>
      <queryTableField id="7686" dataBound="0" tableColumnId="8708"/>
      <queryTableField id="7685" dataBound="0" tableColumnId="8709"/>
      <queryTableField id="7684" dataBound="0" tableColumnId="8710"/>
      <queryTableField id="7683" dataBound="0" tableColumnId="8711"/>
      <queryTableField id="7682" dataBound="0" tableColumnId="8712"/>
      <queryTableField id="7681" dataBound="0" tableColumnId="8713"/>
      <queryTableField id="7680" dataBound="0" tableColumnId="8714"/>
      <queryTableField id="7679" dataBound="0" tableColumnId="8715"/>
      <queryTableField id="7678" dataBound="0" tableColumnId="8716"/>
      <queryTableField id="7677" dataBound="0" tableColumnId="8717"/>
      <queryTableField id="7676" dataBound="0" tableColumnId="8718"/>
      <queryTableField id="7675" dataBound="0" tableColumnId="8719"/>
      <queryTableField id="7674" dataBound="0" tableColumnId="8720"/>
      <queryTableField id="7673" dataBound="0" tableColumnId="8721"/>
      <queryTableField id="7672" dataBound="0" tableColumnId="8722"/>
      <queryTableField id="7671" dataBound="0" tableColumnId="8723"/>
      <queryTableField id="7670" dataBound="0" tableColumnId="8724"/>
      <queryTableField id="7669" dataBound="0" tableColumnId="8725"/>
      <queryTableField id="7668" dataBound="0" tableColumnId="8726"/>
      <queryTableField id="7667" dataBound="0" tableColumnId="8727"/>
      <queryTableField id="7666" dataBound="0" tableColumnId="8728"/>
      <queryTableField id="7665" dataBound="0" tableColumnId="8729"/>
      <queryTableField id="7664" dataBound="0" tableColumnId="8730"/>
      <queryTableField id="7663" dataBound="0" tableColumnId="8731"/>
      <queryTableField id="7662" dataBound="0" tableColumnId="8732"/>
      <queryTableField id="7661" dataBound="0" tableColumnId="8733"/>
      <queryTableField id="7660" dataBound="0" tableColumnId="8734"/>
      <queryTableField id="7659" dataBound="0" tableColumnId="8735"/>
      <queryTableField id="7658" dataBound="0" tableColumnId="8736"/>
      <queryTableField id="7657" dataBound="0" tableColumnId="8737"/>
      <queryTableField id="7656" dataBound="0" tableColumnId="8738"/>
      <queryTableField id="7655" dataBound="0" tableColumnId="8739"/>
      <queryTableField id="7654" dataBound="0" tableColumnId="8740"/>
      <queryTableField id="7653" dataBound="0" tableColumnId="8741"/>
      <queryTableField id="7652" dataBound="0" tableColumnId="8742"/>
      <queryTableField id="7651" dataBound="0" tableColumnId="8743"/>
      <queryTableField id="7650" dataBound="0" tableColumnId="8744"/>
      <queryTableField id="7649" dataBound="0" tableColumnId="8745"/>
      <queryTableField id="7648" dataBound="0" tableColumnId="8746"/>
      <queryTableField id="7647" dataBound="0" tableColumnId="8747"/>
      <queryTableField id="7646" dataBound="0" tableColumnId="8748"/>
      <queryTableField id="7645" dataBound="0" tableColumnId="8749"/>
      <queryTableField id="7644" dataBound="0" tableColumnId="8750"/>
      <queryTableField id="7643" dataBound="0" tableColumnId="8751"/>
      <queryTableField id="7642" dataBound="0" tableColumnId="8752"/>
      <queryTableField id="7641" dataBound="0" tableColumnId="8753"/>
      <queryTableField id="7640" dataBound="0" tableColumnId="8754"/>
      <queryTableField id="7639" dataBound="0" tableColumnId="8755"/>
      <queryTableField id="7638" dataBound="0" tableColumnId="8756"/>
      <queryTableField id="7637" dataBound="0" tableColumnId="8757"/>
      <queryTableField id="7636" dataBound="0" tableColumnId="8758"/>
      <queryTableField id="7635" dataBound="0" tableColumnId="8759"/>
      <queryTableField id="7634" dataBound="0" tableColumnId="8760"/>
      <queryTableField id="7633" dataBound="0" tableColumnId="8761"/>
      <queryTableField id="7632" dataBound="0" tableColumnId="8762"/>
      <queryTableField id="7631" dataBound="0" tableColumnId="8763"/>
      <queryTableField id="7630" dataBound="0" tableColumnId="8764"/>
      <queryTableField id="7629" dataBound="0" tableColumnId="8765"/>
      <queryTableField id="7628" dataBound="0" tableColumnId="8766"/>
      <queryTableField id="7627" dataBound="0" tableColumnId="8767"/>
      <queryTableField id="7626" dataBound="0" tableColumnId="8768"/>
      <queryTableField id="7625" dataBound="0" tableColumnId="8769"/>
      <queryTableField id="7624" dataBound="0" tableColumnId="8770"/>
      <queryTableField id="7623" dataBound="0" tableColumnId="8771"/>
      <queryTableField id="7622" dataBound="0" tableColumnId="8772"/>
      <queryTableField id="7621" dataBound="0" tableColumnId="8773"/>
      <queryTableField id="7620" dataBound="0" tableColumnId="8774"/>
      <queryTableField id="7619" dataBound="0" tableColumnId="8775"/>
      <queryTableField id="7618" dataBound="0" tableColumnId="8776"/>
      <queryTableField id="7617" dataBound="0" tableColumnId="8777"/>
      <queryTableField id="7616" dataBound="0" tableColumnId="8778"/>
      <queryTableField id="7615" dataBound="0" tableColumnId="8779"/>
      <queryTableField id="7614" dataBound="0" tableColumnId="8780"/>
      <queryTableField id="7613" dataBound="0" tableColumnId="8781"/>
      <queryTableField id="7612" dataBound="0" tableColumnId="8782"/>
      <queryTableField id="7611" dataBound="0" tableColumnId="8783"/>
      <queryTableField id="7610" dataBound="0" tableColumnId="8784"/>
      <queryTableField id="7609" dataBound="0" tableColumnId="8785"/>
      <queryTableField id="7608" dataBound="0" tableColumnId="8786"/>
      <queryTableField id="7607" dataBound="0" tableColumnId="8787"/>
      <queryTableField id="7606" dataBound="0" tableColumnId="8788"/>
      <queryTableField id="7605" dataBound="0" tableColumnId="8789"/>
      <queryTableField id="7604" dataBound="0" tableColumnId="8790"/>
      <queryTableField id="7603" dataBound="0" tableColumnId="8791"/>
      <queryTableField id="7602" dataBound="0" tableColumnId="8792"/>
      <queryTableField id="7601" dataBound="0" tableColumnId="8793"/>
      <queryTableField id="7600" dataBound="0" tableColumnId="8794"/>
      <queryTableField id="7599" dataBound="0" tableColumnId="8795"/>
      <queryTableField id="7598" dataBound="0" tableColumnId="8796"/>
      <queryTableField id="7597" dataBound="0" tableColumnId="8797"/>
      <queryTableField id="7596" dataBound="0" tableColumnId="8798"/>
      <queryTableField id="7595" dataBound="0" tableColumnId="8799"/>
      <queryTableField id="7594" dataBound="0" tableColumnId="8800"/>
      <queryTableField id="7593" dataBound="0" tableColumnId="8801"/>
      <queryTableField id="7592" dataBound="0" tableColumnId="8802"/>
      <queryTableField id="7591" dataBound="0" tableColumnId="8803"/>
      <queryTableField id="7590" dataBound="0" tableColumnId="8804"/>
      <queryTableField id="7589" dataBound="0" tableColumnId="8805"/>
      <queryTableField id="7588" dataBound="0" tableColumnId="8806"/>
      <queryTableField id="7587" dataBound="0" tableColumnId="8807"/>
      <queryTableField id="7586" dataBound="0" tableColumnId="8808"/>
      <queryTableField id="7585" dataBound="0" tableColumnId="8809"/>
      <queryTableField id="7584" dataBound="0" tableColumnId="8810"/>
      <queryTableField id="7583" dataBound="0" tableColumnId="8811"/>
      <queryTableField id="7582" dataBound="0" tableColumnId="8812"/>
      <queryTableField id="7581" dataBound="0" tableColumnId="8813"/>
      <queryTableField id="7580" dataBound="0" tableColumnId="8814"/>
      <queryTableField id="7579" dataBound="0" tableColumnId="8815"/>
      <queryTableField id="7578" dataBound="0" tableColumnId="8816"/>
      <queryTableField id="7577" dataBound="0" tableColumnId="8817"/>
      <queryTableField id="7576" dataBound="0" tableColumnId="8818"/>
      <queryTableField id="7575" dataBound="0" tableColumnId="8819"/>
      <queryTableField id="7574" dataBound="0" tableColumnId="8820"/>
      <queryTableField id="7573" dataBound="0" tableColumnId="8821"/>
      <queryTableField id="7572" dataBound="0" tableColumnId="8822"/>
      <queryTableField id="7571" dataBound="0" tableColumnId="8823"/>
      <queryTableField id="7570" dataBound="0" tableColumnId="8824"/>
      <queryTableField id="7569" dataBound="0" tableColumnId="8825"/>
      <queryTableField id="7568" dataBound="0" tableColumnId="8826"/>
      <queryTableField id="7567" dataBound="0" tableColumnId="8827"/>
      <queryTableField id="7566" dataBound="0" tableColumnId="8828"/>
      <queryTableField id="7565" dataBound="0" tableColumnId="8829"/>
      <queryTableField id="7564" dataBound="0" tableColumnId="8830"/>
      <queryTableField id="7563" dataBound="0" tableColumnId="8831"/>
      <queryTableField id="7562" dataBound="0" tableColumnId="8832"/>
      <queryTableField id="7561" dataBound="0" tableColumnId="8833"/>
      <queryTableField id="7560" dataBound="0" tableColumnId="8834"/>
      <queryTableField id="7559" dataBound="0" tableColumnId="8835"/>
      <queryTableField id="7558" dataBound="0" tableColumnId="8836"/>
      <queryTableField id="7557" dataBound="0" tableColumnId="8837"/>
      <queryTableField id="7556" dataBound="0" tableColumnId="8838"/>
      <queryTableField id="7555" dataBound="0" tableColumnId="8839"/>
      <queryTableField id="7554" dataBound="0" tableColumnId="8840"/>
      <queryTableField id="7553" dataBound="0" tableColumnId="8841"/>
      <queryTableField id="7552" dataBound="0" tableColumnId="8842"/>
      <queryTableField id="7551" dataBound="0" tableColumnId="8843"/>
      <queryTableField id="7550" dataBound="0" tableColumnId="8844"/>
      <queryTableField id="7549" dataBound="0" tableColumnId="8845"/>
      <queryTableField id="7548" dataBound="0" tableColumnId="8846"/>
      <queryTableField id="7547" dataBound="0" tableColumnId="8847"/>
      <queryTableField id="7546" dataBound="0" tableColumnId="8848"/>
      <queryTableField id="7545" dataBound="0" tableColumnId="8849"/>
      <queryTableField id="7544" dataBound="0" tableColumnId="8850"/>
      <queryTableField id="7543" dataBound="0" tableColumnId="8851"/>
      <queryTableField id="7542" dataBound="0" tableColumnId="8852"/>
      <queryTableField id="7541" dataBound="0" tableColumnId="8853"/>
      <queryTableField id="7540" dataBound="0" tableColumnId="8854"/>
      <queryTableField id="7539" dataBound="0" tableColumnId="8855"/>
      <queryTableField id="7538" dataBound="0" tableColumnId="8856"/>
      <queryTableField id="7537" dataBound="0" tableColumnId="8857"/>
      <queryTableField id="7536" dataBound="0" tableColumnId="8858"/>
      <queryTableField id="7535" dataBound="0" tableColumnId="8859"/>
      <queryTableField id="7534" dataBound="0" tableColumnId="8860"/>
      <queryTableField id="7533" dataBound="0" tableColumnId="8861"/>
      <queryTableField id="7532" dataBound="0" tableColumnId="8862"/>
      <queryTableField id="7531" dataBound="0" tableColumnId="8863"/>
      <queryTableField id="7530" dataBound="0" tableColumnId="8864"/>
      <queryTableField id="7529" dataBound="0" tableColumnId="8865"/>
      <queryTableField id="7528" dataBound="0" tableColumnId="8866"/>
      <queryTableField id="7527" dataBound="0" tableColumnId="8867"/>
      <queryTableField id="7526" dataBound="0" tableColumnId="8868"/>
      <queryTableField id="7525" dataBound="0" tableColumnId="8869"/>
      <queryTableField id="7524" dataBound="0" tableColumnId="8870"/>
      <queryTableField id="7523" dataBound="0" tableColumnId="8871"/>
      <queryTableField id="7522" dataBound="0" tableColumnId="8872"/>
      <queryTableField id="7521" dataBound="0" tableColumnId="8873"/>
      <queryTableField id="7520" dataBound="0" tableColumnId="8874"/>
      <queryTableField id="7519" dataBound="0" tableColumnId="8875"/>
      <queryTableField id="7518" dataBound="0" tableColumnId="8876"/>
      <queryTableField id="7517" dataBound="0" tableColumnId="8877"/>
      <queryTableField id="7516" dataBound="0" tableColumnId="8878"/>
      <queryTableField id="7515" dataBound="0" tableColumnId="8879"/>
      <queryTableField id="7514" dataBound="0" tableColumnId="8880"/>
      <queryTableField id="7513" dataBound="0" tableColumnId="8881"/>
      <queryTableField id="7512" dataBound="0" tableColumnId="8882"/>
      <queryTableField id="7511" dataBound="0" tableColumnId="8883"/>
      <queryTableField id="7510" dataBound="0" tableColumnId="8884"/>
      <queryTableField id="7509" dataBound="0" tableColumnId="8885"/>
      <queryTableField id="7508" dataBound="0" tableColumnId="8886"/>
      <queryTableField id="7507" dataBound="0" tableColumnId="8887"/>
      <queryTableField id="7506" dataBound="0" tableColumnId="8888"/>
      <queryTableField id="7505" dataBound="0" tableColumnId="8889"/>
      <queryTableField id="7504" dataBound="0" tableColumnId="8890"/>
      <queryTableField id="7503" dataBound="0" tableColumnId="8891"/>
      <queryTableField id="7502" dataBound="0" tableColumnId="8892"/>
      <queryTableField id="7501" dataBound="0" tableColumnId="8893"/>
      <queryTableField id="7500" dataBound="0" tableColumnId="8894"/>
      <queryTableField id="7499" dataBound="0" tableColumnId="8895"/>
      <queryTableField id="7498" dataBound="0" tableColumnId="8896"/>
      <queryTableField id="7497" dataBound="0" tableColumnId="8897"/>
      <queryTableField id="7496" dataBound="0" tableColumnId="8898"/>
      <queryTableField id="7495" dataBound="0" tableColumnId="8899"/>
      <queryTableField id="7494" dataBound="0" tableColumnId="8900"/>
      <queryTableField id="7493" dataBound="0" tableColumnId="8901"/>
      <queryTableField id="7492" dataBound="0" tableColumnId="8902"/>
      <queryTableField id="7491" dataBound="0" tableColumnId="8903"/>
      <queryTableField id="7490" dataBound="0" tableColumnId="8904"/>
      <queryTableField id="7489" dataBound="0" tableColumnId="8905"/>
      <queryTableField id="7488" dataBound="0" tableColumnId="8906"/>
      <queryTableField id="7487" dataBound="0" tableColumnId="8907"/>
      <queryTableField id="7486" dataBound="0" tableColumnId="8908"/>
      <queryTableField id="7485" dataBound="0" tableColumnId="8909"/>
      <queryTableField id="7484" dataBound="0" tableColumnId="8910"/>
      <queryTableField id="7483" dataBound="0" tableColumnId="8911"/>
      <queryTableField id="7482" dataBound="0" tableColumnId="8912"/>
      <queryTableField id="7481" dataBound="0" tableColumnId="8913"/>
      <queryTableField id="7480" dataBound="0" tableColumnId="8914"/>
      <queryTableField id="7479" dataBound="0" tableColumnId="8915"/>
      <queryTableField id="7478" dataBound="0" tableColumnId="8916"/>
      <queryTableField id="7477" dataBound="0" tableColumnId="8917"/>
      <queryTableField id="7476" dataBound="0" tableColumnId="8918"/>
      <queryTableField id="7475" dataBound="0" tableColumnId="8919"/>
      <queryTableField id="7474" dataBound="0" tableColumnId="8920"/>
      <queryTableField id="7473" dataBound="0" tableColumnId="8921"/>
      <queryTableField id="7472" dataBound="0" tableColumnId="8922"/>
      <queryTableField id="7471" dataBound="0" tableColumnId="8923"/>
      <queryTableField id="7470" dataBound="0" tableColumnId="8924"/>
      <queryTableField id="7469" dataBound="0" tableColumnId="8925"/>
      <queryTableField id="7468" dataBound="0" tableColumnId="8926"/>
      <queryTableField id="7467" dataBound="0" tableColumnId="8927"/>
      <queryTableField id="7466" dataBound="0" tableColumnId="8928"/>
      <queryTableField id="7465" dataBound="0" tableColumnId="8929"/>
      <queryTableField id="7464" dataBound="0" tableColumnId="8930"/>
      <queryTableField id="7463" dataBound="0" tableColumnId="8931"/>
      <queryTableField id="7462" dataBound="0" tableColumnId="8932"/>
      <queryTableField id="7461" dataBound="0" tableColumnId="8933"/>
      <queryTableField id="7460" dataBound="0" tableColumnId="8934"/>
      <queryTableField id="7459" dataBound="0" tableColumnId="8935"/>
      <queryTableField id="7458" dataBound="0" tableColumnId="8936"/>
      <queryTableField id="7457" dataBound="0" tableColumnId="8937"/>
      <queryTableField id="7456" dataBound="0" tableColumnId="8938"/>
      <queryTableField id="7455" dataBound="0" tableColumnId="8939"/>
      <queryTableField id="7454" dataBound="0" tableColumnId="8940"/>
      <queryTableField id="7453" dataBound="0" tableColumnId="8941"/>
      <queryTableField id="7452" dataBound="0" tableColumnId="8942"/>
      <queryTableField id="7451" dataBound="0" tableColumnId="8943"/>
      <queryTableField id="7450" dataBound="0" tableColumnId="8944"/>
      <queryTableField id="7449" dataBound="0" tableColumnId="8945"/>
      <queryTableField id="7448" dataBound="0" tableColumnId="8946"/>
      <queryTableField id="7447" dataBound="0" tableColumnId="8947"/>
      <queryTableField id="7446" dataBound="0" tableColumnId="8948"/>
      <queryTableField id="7445" dataBound="0" tableColumnId="8949"/>
      <queryTableField id="7444" dataBound="0" tableColumnId="8950"/>
      <queryTableField id="7443" dataBound="0" tableColumnId="8951"/>
      <queryTableField id="7442" dataBound="0" tableColumnId="8952"/>
      <queryTableField id="7441" dataBound="0" tableColumnId="8953"/>
      <queryTableField id="7440" dataBound="0" tableColumnId="8954"/>
      <queryTableField id="7439" dataBound="0" tableColumnId="8955"/>
      <queryTableField id="7438" dataBound="0" tableColumnId="8956"/>
      <queryTableField id="7437" dataBound="0" tableColumnId="8957"/>
      <queryTableField id="7436" dataBound="0" tableColumnId="8958"/>
      <queryTableField id="7435" dataBound="0" tableColumnId="8959"/>
      <queryTableField id="7434" dataBound="0" tableColumnId="8960"/>
      <queryTableField id="7433" dataBound="0" tableColumnId="8961"/>
      <queryTableField id="7432" dataBound="0" tableColumnId="8962"/>
      <queryTableField id="7431" dataBound="0" tableColumnId="8963"/>
      <queryTableField id="7430" dataBound="0" tableColumnId="8964"/>
      <queryTableField id="7429" dataBound="0" tableColumnId="8965"/>
      <queryTableField id="7428" dataBound="0" tableColumnId="8966"/>
      <queryTableField id="7427" dataBound="0" tableColumnId="8967"/>
      <queryTableField id="7426" dataBound="0" tableColumnId="8968"/>
      <queryTableField id="7425" dataBound="0" tableColumnId="8969"/>
      <queryTableField id="7424" dataBound="0" tableColumnId="8970"/>
      <queryTableField id="7423" dataBound="0" tableColumnId="8971"/>
      <queryTableField id="7422" dataBound="0" tableColumnId="8972"/>
      <queryTableField id="7421" dataBound="0" tableColumnId="8973"/>
      <queryTableField id="7420" dataBound="0" tableColumnId="8974"/>
      <queryTableField id="7419" dataBound="0" tableColumnId="8975"/>
      <queryTableField id="7418" dataBound="0" tableColumnId="8976"/>
      <queryTableField id="7417" dataBound="0" tableColumnId="8977"/>
      <queryTableField id="7416" dataBound="0" tableColumnId="8978"/>
      <queryTableField id="7415" dataBound="0" tableColumnId="8979"/>
      <queryTableField id="7414" dataBound="0" tableColumnId="8980"/>
      <queryTableField id="7413" dataBound="0" tableColumnId="8981"/>
      <queryTableField id="7412" dataBound="0" tableColumnId="8982"/>
      <queryTableField id="7411" dataBound="0" tableColumnId="8983"/>
      <queryTableField id="7410" dataBound="0" tableColumnId="8984"/>
      <queryTableField id="7409" dataBound="0" tableColumnId="8985"/>
      <queryTableField id="7408" dataBound="0" tableColumnId="8986"/>
      <queryTableField id="7407" dataBound="0" tableColumnId="8987"/>
      <queryTableField id="7406" dataBound="0" tableColumnId="8988"/>
      <queryTableField id="7405" dataBound="0" tableColumnId="8989"/>
      <queryTableField id="7404" dataBound="0" tableColumnId="8990"/>
      <queryTableField id="7403" dataBound="0" tableColumnId="8991"/>
      <queryTableField id="7402" dataBound="0" tableColumnId="8992"/>
      <queryTableField id="7401" dataBound="0" tableColumnId="8993"/>
      <queryTableField id="7400" dataBound="0" tableColumnId="8994"/>
      <queryTableField id="7399" dataBound="0" tableColumnId="8995"/>
      <queryTableField id="7398" dataBound="0" tableColumnId="8996"/>
      <queryTableField id="7397" dataBound="0" tableColumnId="8997"/>
      <queryTableField id="7396" dataBound="0" tableColumnId="8998"/>
      <queryTableField id="7395" dataBound="0" tableColumnId="8999"/>
      <queryTableField id="7394" dataBound="0" tableColumnId="9000"/>
      <queryTableField id="7393" dataBound="0" tableColumnId="9001"/>
      <queryTableField id="7392" dataBound="0" tableColumnId="9002"/>
      <queryTableField id="7391" dataBound="0" tableColumnId="9003"/>
      <queryTableField id="7390" dataBound="0" tableColumnId="9004"/>
      <queryTableField id="7389" dataBound="0" tableColumnId="9005"/>
      <queryTableField id="7388" dataBound="0" tableColumnId="9006"/>
      <queryTableField id="7387" dataBound="0" tableColumnId="9007"/>
      <queryTableField id="7386" dataBound="0" tableColumnId="9008"/>
      <queryTableField id="7385" dataBound="0" tableColumnId="9009"/>
      <queryTableField id="7384" dataBound="0" tableColumnId="9010"/>
      <queryTableField id="7383" dataBound="0" tableColumnId="9011"/>
      <queryTableField id="7382" dataBound="0" tableColumnId="9012"/>
      <queryTableField id="7381" dataBound="0" tableColumnId="9013"/>
      <queryTableField id="7380" dataBound="0" tableColumnId="9014"/>
      <queryTableField id="7379" dataBound="0" tableColumnId="9015"/>
      <queryTableField id="7378" dataBound="0" tableColumnId="9016"/>
      <queryTableField id="7377" dataBound="0" tableColumnId="9017"/>
      <queryTableField id="7376" dataBound="0" tableColumnId="9018"/>
      <queryTableField id="7375" dataBound="0" tableColumnId="9019"/>
      <queryTableField id="7374" dataBound="0" tableColumnId="9020"/>
      <queryTableField id="7373" dataBound="0" tableColumnId="9021"/>
      <queryTableField id="7372" dataBound="0" tableColumnId="9022"/>
      <queryTableField id="7371" dataBound="0" tableColumnId="9023"/>
      <queryTableField id="7370" dataBound="0" tableColumnId="9024"/>
      <queryTableField id="7369" dataBound="0" tableColumnId="9025"/>
      <queryTableField id="7368" dataBound="0" tableColumnId="9026"/>
      <queryTableField id="7367" dataBound="0" tableColumnId="9027"/>
      <queryTableField id="7366" dataBound="0" tableColumnId="9028"/>
      <queryTableField id="7365" dataBound="0" tableColumnId="9029"/>
      <queryTableField id="7364" dataBound="0" tableColumnId="9030"/>
      <queryTableField id="7363" dataBound="0" tableColumnId="9031"/>
      <queryTableField id="7362" dataBound="0" tableColumnId="9032"/>
      <queryTableField id="7361" dataBound="0" tableColumnId="9033"/>
      <queryTableField id="7360" dataBound="0" tableColumnId="9034"/>
      <queryTableField id="7359" dataBound="0" tableColumnId="9035"/>
      <queryTableField id="7358" dataBound="0" tableColumnId="9036"/>
      <queryTableField id="7357" dataBound="0" tableColumnId="9037"/>
      <queryTableField id="7356" dataBound="0" tableColumnId="9038"/>
      <queryTableField id="7355" dataBound="0" tableColumnId="9039"/>
      <queryTableField id="7354" dataBound="0" tableColumnId="9040"/>
      <queryTableField id="7353" dataBound="0" tableColumnId="9041"/>
      <queryTableField id="7352" dataBound="0" tableColumnId="9042"/>
      <queryTableField id="7351" dataBound="0" tableColumnId="9043"/>
      <queryTableField id="7350" dataBound="0" tableColumnId="9044"/>
      <queryTableField id="7349" dataBound="0" tableColumnId="9045"/>
      <queryTableField id="7348" dataBound="0" tableColumnId="9046"/>
      <queryTableField id="7347" dataBound="0" tableColumnId="9047"/>
      <queryTableField id="7346" dataBound="0" tableColumnId="9048"/>
      <queryTableField id="7345" dataBound="0" tableColumnId="9049"/>
      <queryTableField id="7344" dataBound="0" tableColumnId="9050"/>
      <queryTableField id="7343" dataBound="0" tableColumnId="9051"/>
      <queryTableField id="7342" dataBound="0" tableColumnId="9052"/>
      <queryTableField id="7341" dataBound="0" tableColumnId="9053"/>
      <queryTableField id="7340" dataBound="0" tableColumnId="9054"/>
      <queryTableField id="7339" dataBound="0" tableColumnId="9055"/>
      <queryTableField id="7338" dataBound="0" tableColumnId="9056"/>
      <queryTableField id="7337" dataBound="0" tableColumnId="9057"/>
      <queryTableField id="7336" dataBound="0" tableColumnId="9058"/>
      <queryTableField id="7335" dataBound="0" tableColumnId="9059"/>
      <queryTableField id="7334" dataBound="0" tableColumnId="9060"/>
      <queryTableField id="7333" dataBound="0" tableColumnId="9061"/>
      <queryTableField id="7332" dataBound="0" tableColumnId="9062"/>
      <queryTableField id="7331" dataBound="0" tableColumnId="9063"/>
      <queryTableField id="7330" dataBound="0" tableColumnId="9064"/>
      <queryTableField id="7329" dataBound="0" tableColumnId="9065"/>
      <queryTableField id="7328" dataBound="0" tableColumnId="9066"/>
      <queryTableField id="7327" dataBound="0" tableColumnId="9067"/>
      <queryTableField id="7326" dataBound="0" tableColumnId="9068"/>
      <queryTableField id="7325" dataBound="0" tableColumnId="9069"/>
      <queryTableField id="7324" dataBound="0" tableColumnId="9070"/>
      <queryTableField id="7323" dataBound="0" tableColumnId="9071"/>
      <queryTableField id="7322" dataBound="0" tableColumnId="9072"/>
      <queryTableField id="7321" dataBound="0" tableColumnId="9073"/>
      <queryTableField id="7320" dataBound="0" tableColumnId="9074"/>
      <queryTableField id="7319" dataBound="0" tableColumnId="9075"/>
      <queryTableField id="7318" dataBound="0" tableColumnId="9076"/>
      <queryTableField id="7317" dataBound="0" tableColumnId="9077"/>
      <queryTableField id="7316" dataBound="0" tableColumnId="9078"/>
      <queryTableField id="7315" dataBound="0" tableColumnId="9079"/>
      <queryTableField id="7314" dataBound="0" tableColumnId="9080"/>
      <queryTableField id="7313" dataBound="0" tableColumnId="9081"/>
      <queryTableField id="7312" dataBound="0" tableColumnId="9082"/>
      <queryTableField id="7311" dataBound="0" tableColumnId="9083"/>
      <queryTableField id="7310" dataBound="0" tableColumnId="9084"/>
      <queryTableField id="7309" dataBound="0" tableColumnId="9085"/>
      <queryTableField id="7308" dataBound="0" tableColumnId="9086"/>
      <queryTableField id="7307" dataBound="0" tableColumnId="9087"/>
      <queryTableField id="7306" dataBound="0" tableColumnId="9088"/>
      <queryTableField id="7305" dataBound="0" tableColumnId="9089"/>
      <queryTableField id="7304" dataBound="0" tableColumnId="9090"/>
      <queryTableField id="7303" dataBound="0" tableColumnId="9091"/>
      <queryTableField id="7302" dataBound="0" tableColumnId="9092"/>
      <queryTableField id="7301" dataBound="0" tableColumnId="9093"/>
      <queryTableField id="7300" dataBound="0" tableColumnId="9094"/>
      <queryTableField id="7299" dataBound="0" tableColumnId="9095"/>
      <queryTableField id="7298" dataBound="0" tableColumnId="9096"/>
      <queryTableField id="7297" dataBound="0" tableColumnId="9097"/>
      <queryTableField id="7296" dataBound="0" tableColumnId="9098"/>
      <queryTableField id="7295" dataBound="0" tableColumnId="9099"/>
      <queryTableField id="7294" dataBound="0" tableColumnId="9100"/>
      <queryTableField id="7293" dataBound="0" tableColumnId="9101"/>
      <queryTableField id="7292" dataBound="0" tableColumnId="9102"/>
      <queryTableField id="7291" dataBound="0" tableColumnId="9103"/>
      <queryTableField id="7290" dataBound="0" tableColumnId="9104"/>
      <queryTableField id="7289" dataBound="0" tableColumnId="9105"/>
      <queryTableField id="7288" dataBound="0" tableColumnId="9106"/>
      <queryTableField id="7287" dataBound="0" tableColumnId="9107"/>
      <queryTableField id="7286" dataBound="0" tableColumnId="9108"/>
      <queryTableField id="7285" dataBound="0" tableColumnId="9109"/>
      <queryTableField id="7284" dataBound="0" tableColumnId="9110"/>
      <queryTableField id="7283" dataBound="0" tableColumnId="9111"/>
      <queryTableField id="7282" dataBound="0" tableColumnId="9112"/>
      <queryTableField id="7281" dataBound="0" tableColumnId="9113"/>
      <queryTableField id="7280" dataBound="0" tableColumnId="9114"/>
      <queryTableField id="7279" dataBound="0" tableColumnId="9115"/>
      <queryTableField id="7278" dataBound="0" tableColumnId="9116"/>
      <queryTableField id="7277" dataBound="0" tableColumnId="9117"/>
      <queryTableField id="7276" dataBound="0" tableColumnId="9118"/>
      <queryTableField id="7275" dataBound="0" tableColumnId="9119"/>
      <queryTableField id="7274" dataBound="0" tableColumnId="9120"/>
      <queryTableField id="7273" dataBound="0" tableColumnId="9121"/>
      <queryTableField id="7272" dataBound="0" tableColumnId="9122"/>
      <queryTableField id="7271" dataBound="0" tableColumnId="9123"/>
      <queryTableField id="7270" dataBound="0" tableColumnId="9124"/>
      <queryTableField id="7269" dataBound="0" tableColumnId="9125"/>
      <queryTableField id="7268" dataBound="0" tableColumnId="9126"/>
      <queryTableField id="7267" dataBound="0" tableColumnId="9127"/>
      <queryTableField id="7266" dataBound="0" tableColumnId="9128"/>
      <queryTableField id="7265" dataBound="0" tableColumnId="9129"/>
      <queryTableField id="7264" dataBound="0" tableColumnId="9130"/>
      <queryTableField id="7263" dataBound="0" tableColumnId="9131"/>
      <queryTableField id="7262" dataBound="0" tableColumnId="9132"/>
      <queryTableField id="7261" dataBound="0" tableColumnId="9133"/>
      <queryTableField id="7260" dataBound="0" tableColumnId="9134"/>
      <queryTableField id="7259" dataBound="0" tableColumnId="9135"/>
      <queryTableField id="7258" dataBound="0" tableColumnId="9136"/>
      <queryTableField id="7257" dataBound="0" tableColumnId="9137"/>
      <queryTableField id="7256" dataBound="0" tableColumnId="9138"/>
      <queryTableField id="7255" dataBound="0" tableColumnId="9139"/>
      <queryTableField id="7254" dataBound="0" tableColumnId="9140"/>
      <queryTableField id="7253" dataBound="0" tableColumnId="9141"/>
      <queryTableField id="7252" dataBound="0" tableColumnId="9142"/>
      <queryTableField id="7251" dataBound="0" tableColumnId="9143"/>
      <queryTableField id="7250" dataBound="0" tableColumnId="9144"/>
      <queryTableField id="7249" dataBound="0" tableColumnId="9145"/>
      <queryTableField id="7248" dataBound="0" tableColumnId="9146"/>
      <queryTableField id="7247" dataBound="0" tableColumnId="9147"/>
      <queryTableField id="7246" dataBound="0" tableColumnId="9148"/>
      <queryTableField id="7245" dataBound="0" tableColumnId="9149"/>
      <queryTableField id="7244" dataBound="0" tableColumnId="9150"/>
      <queryTableField id="7243" dataBound="0" tableColumnId="9151"/>
      <queryTableField id="7242" dataBound="0" tableColumnId="9152"/>
      <queryTableField id="7241" dataBound="0" tableColumnId="9153"/>
      <queryTableField id="7240" dataBound="0" tableColumnId="9154"/>
      <queryTableField id="7239" dataBound="0" tableColumnId="9155"/>
      <queryTableField id="7238" dataBound="0" tableColumnId="9156"/>
      <queryTableField id="7237" dataBound="0" tableColumnId="9157"/>
      <queryTableField id="7236" dataBound="0" tableColumnId="9158"/>
      <queryTableField id="7235" dataBound="0" tableColumnId="9159"/>
      <queryTableField id="7234" dataBound="0" tableColumnId="9160"/>
      <queryTableField id="7233" dataBound="0" tableColumnId="9161"/>
      <queryTableField id="7232" dataBound="0" tableColumnId="9162"/>
      <queryTableField id="7231" dataBound="0" tableColumnId="9163"/>
      <queryTableField id="7230" dataBound="0" tableColumnId="9164"/>
      <queryTableField id="7229" dataBound="0" tableColumnId="9165"/>
      <queryTableField id="7228" dataBound="0" tableColumnId="9166"/>
      <queryTableField id="7227" dataBound="0" tableColumnId="9167"/>
      <queryTableField id="7226" dataBound="0" tableColumnId="9168"/>
      <queryTableField id="7225" dataBound="0" tableColumnId="9169"/>
      <queryTableField id="7224" dataBound="0" tableColumnId="9170"/>
      <queryTableField id="7223" dataBound="0" tableColumnId="9171"/>
      <queryTableField id="7222" dataBound="0" tableColumnId="9172"/>
      <queryTableField id="7221" dataBound="0" tableColumnId="9173"/>
      <queryTableField id="7220" dataBound="0" tableColumnId="9174"/>
      <queryTableField id="7219" dataBound="0" tableColumnId="9175"/>
      <queryTableField id="7218" dataBound="0" tableColumnId="9176"/>
      <queryTableField id="7217" dataBound="0" tableColumnId="9177"/>
      <queryTableField id="7216" dataBound="0" tableColumnId="9178"/>
      <queryTableField id="7215" dataBound="0" tableColumnId="9179"/>
      <queryTableField id="7214" dataBound="0" tableColumnId="9180"/>
      <queryTableField id="7213" dataBound="0" tableColumnId="9181"/>
      <queryTableField id="7212" dataBound="0" tableColumnId="9182"/>
      <queryTableField id="7211" dataBound="0" tableColumnId="9183"/>
      <queryTableField id="7210" dataBound="0" tableColumnId="9184"/>
      <queryTableField id="7209" dataBound="0" tableColumnId="9185"/>
      <queryTableField id="7208" dataBound="0" tableColumnId="9186"/>
      <queryTableField id="7207" dataBound="0" tableColumnId="9187"/>
      <queryTableField id="7206" dataBound="0" tableColumnId="9188"/>
      <queryTableField id="7205" dataBound="0" tableColumnId="9189"/>
      <queryTableField id="7204" dataBound="0" tableColumnId="9190"/>
      <queryTableField id="7203" dataBound="0" tableColumnId="9191"/>
      <queryTableField id="7202" dataBound="0" tableColumnId="9192"/>
      <queryTableField id="7201" dataBound="0" tableColumnId="9193"/>
      <queryTableField id="7200" dataBound="0" tableColumnId="9194"/>
      <queryTableField id="7199" dataBound="0" tableColumnId="9195"/>
      <queryTableField id="7198" dataBound="0" tableColumnId="9196"/>
      <queryTableField id="7197" dataBound="0" tableColumnId="9197"/>
      <queryTableField id="7196" dataBound="0" tableColumnId="9198"/>
      <queryTableField id="7195" dataBound="0" tableColumnId="9199"/>
      <queryTableField id="7194" dataBound="0" tableColumnId="9200"/>
      <queryTableField id="7193" dataBound="0" tableColumnId="9201"/>
      <queryTableField id="7192" dataBound="0" tableColumnId="9202"/>
      <queryTableField id="7191" dataBound="0" tableColumnId="9203"/>
      <queryTableField id="7190" dataBound="0" tableColumnId="9204"/>
      <queryTableField id="7189" dataBound="0" tableColumnId="9205"/>
      <queryTableField id="7188" dataBound="0" tableColumnId="9206"/>
      <queryTableField id="7187" dataBound="0" tableColumnId="9207"/>
      <queryTableField id="7186" dataBound="0" tableColumnId="9208"/>
      <queryTableField id="7185" dataBound="0" tableColumnId="9209"/>
      <queryTableField id="7184" dataBound="0" tableColumnId="9210"/>
      <queryTableField id="7183" dataBound="0" tableColumnId="9211"/>
      <queryTableField id="7182" dataBound="0" tableColumnId="9212"/>
      <queryTableField id="7181" dataBound="0" tableColumnId="9213"/>
      <queryTableField id="7180" dataBound="0" tableColumnId="9214"/>
      <queryTableField id="7179" dataBound="0" tableColumnId="9215"/>
      <queryTableField id="7178" dataBound="0" tableColumnId="9216"/>
      <queryTableField id="7177" dataBound="0" tableColumnId="9217"/>
      <queryTableField id="7176" dataBound="0" tableColumnId="9218"/>
      <queryTableField id="7175" dataBound="0" tableColumnId="9219"/>
      <queryTableField id="7174" dataBound="0" tableColumnId="9220"/>
      <queryTableField id="7173" dataBound="0" tableColumnId="9221"/>
      <queryTableField id="7172" dataBound="0" tableColumnId="9222"/>
      <queryTableField id="7171" dataBound="0" tableColumnId="9223"/>
      <queryTableField id="7170" dataBound="0" tableColumnId="9224"/>
      <queryTableField id="7169" dataBound="0" tableColumnId="9225"/>
      <queryTableField id="7168" dataBound="0" tableColumnId="9226"/>
      <queryTableField id="7167" dataBound="0" tableColumnId="9227"/>
      <queryTableField id="7166" dataBound="0" tableColumnId="9228"/>
      <queryTableField id="7165" dataBound="0" tableColumnId="9229"/>
      <queryTableField id="7164" dataBound="0" tableColumnId="9230"/>
      <queryTableField id="7163" dataBound="0" tableColumnId="9231"/>
      <queryTableField id="7162" dataBound="0" tableColumnId="9232"/>
      <queryTableField id="7161" dataBound="0" tableColumnId="9233"/>
      <queryTableField id="7160" dataBound="0" tableColumnId="9234"/>
      <queryTableField id="7159" dataBound="0" tableColumnId="9235"/>
      <queryTableField id="7158" dataBound="0" tableColumnId="9236"/>
      <queryTableField id="7157" dataBound="0" tableColumnId="9237"/>
      <queryTableField id="7156" dataBound="0" tableColumnId="9238"/>
      <queryTableField id="7155" dataBound="0" tableColumnId="9239"/>
      <queryTableField id="7154" dataBound="0" tableColumnId="9240"/>
      <queryTableField id="7153" dataBound="0" tableColumnId="9241"/>
      <queryTableField id="7152" dataBound="0" tableColumnId="9242"/>
      <queryTableField id="7151" dataBound="0" tableColumnId="9243"/>
      <queryTableField id="7150" dataBound="0" tableColumnId="9244"/>
      <queryTableField id="7149" dataBound="0" tableColumnId="9245"/>
      <queryTableField id="7148" dataBound="0" tableColumnId="9246"/>
      <queryTableField id="7147" dataBound="0" tableColumnId="9247"/>
      <queryTableField id="7146" dataBound="0" tableColumnId="9248"/>
      <queryTableField id="7145" dataBound="0" tableColumnId="9249"/>
      <queryTableField id="7144" dataBound="0" tableColumnId="9250"/>
      <queryTableField id="7143" dataBound="0" tableColumnId="9251"/>
      <queryTableField id="7142" dataBound="0" tableColumnId="9252"/>
      <queryTableField id="7141" dataBound="0" tableColumnId="9253"/>
      <queryTableField id="7140" dataBound="0" tableColumnId="9254"/>
      <queryTableField id="7139" dataBound="0" tableColumnId="9255"/>
      <queryTableField id="7138" dataBound="0" tableColumnId="9256"/>
      <queryTableField id="7137" dataBound="0" tableColumnId="9257"/>
      <queryTableField id="7136" dataBound="0" tableColumnId="9258"/>
      <queryTableField id="7135" dataBound="0" tableColumnId="9259"/>
      <queryTableField id="7134" dataBound="0" tableColumnId="9260"/>
      <queryTableField id="7133" dataBound="0" tableColumnId="9261"/>
      <queryTableField id="7132" dataBound="0" tableColumnId="9262"/>
      <queryTableField id="7131" dataBound="0" tableColumnId="9263"/>
      <queryTableField id="7130" dataBound="0" tableColumnId="9264"/>
      <queryTableField id="7129" dataBound="0" tableColumnId="9265"/>
      <queryTableField id="7128" dataBound="0" tableColumnId="9266"/>
      <queryTableField id="7127" dataBound="0" tableColumnId="9267"/>
      <queryTableField id="7126" dataBound="0" tableColumnId="9268"/>
      <queryTableField id="7125" dataBound="0" tableColumnId="9269"/>
      <queryTableField id="7124" dataBound="0" tableColumnId="9270"/>
      <queryTableField id="7123" dataBound="0" tableColumnId="9271"/>
      <queryTableField id="7122" dataBound="0" tableColumnId="9272"/>
      <queryTableField id="7121" dataBound="0" tableColumnId="9273"/>
      <queryTableField id="7120" dataBound="0" tableColumnId="9274"/>
      <queryTableField id="7119" dataBound="0" tableColumnId="9275"/>
      <queryTableField id="7118" dataBound="0" tableColumnId="9276"/>
      <queryTableField id="7117" dataBound="0" tableColumnId="9277"/>
      <queryTableField id="7116" dataBound="0" tableColumnId="9278"/>
      <queryTableField id="7115" dataBound="0" tableColumnId="9279"/>
      <queryTableField id="7114" dataBound="0" tableColumnId="9280"/>
      <queryTableField id="7113" dataBound="0" tableColumnId="9281"/>
      <queryTableField id="7112" dataBound="0" tableColumnId="9282"/>
      <queryTableField id="7111" dataBound="0" tableColumnId="9283"/>
      <queryTableField id="7110" dataBound="0" tableColumnId="9284"/>
      <queryTableField id="7109" dataBound="0" tableColumnId="9285"/>
      <queryTableField id="7108" dataBound="0" tableColumnId="9286"/>
      <queryTableField id="7107" dataBound="0" tableColumnId="9287"/>
      <queryTableField id="7106" dataBound="0" tableColumnId="9288"/>
      <queryTableField id="7105" dataBound="0" tableColumnId="9289"/>
      <queryTableField id="7104" dataBound="0" tableColumnId="9290"/>
      <queryTableField id="7103" dataBound="0" tableColumnId="9291"/>
      <queryTableField id="7102" dataBound="0" tableColumnId="9292"/>
      <queryTableField id="7101" dataBound="0" tableColumnId="9293"/>
      <queryTableField id="7100" dataBound="0" tableColumnId="9294"/>
      <queryTableField id="7099" dataBound="0" tableColumnId="9295"/>
      <queryTableField id="7098" dataBound="0" tableColumnId="9296"/>
      <queryTableField id="7097" dataBound="0" tableColumnId="9297"/>
      <queryTableField id="7096" dataBound="0" tableColumnId="9298"/>
      <queryTableField id="7095" dataBound="0" tableColumnId="9299"/>
      <queryTableField id="7094" dataBound="0" tableColumnId="9300"/>
      <queryTableField id="7093" dataBound="0" tableColumnId="9301"/>
      <queryTableField id="7092" dataBound="0" tableColumnId="9302"/>
      <queryTableField id="7091" dataBound="0" tableColumnId="9303"/>
      <queryTableField id="7090" dataBound="0" tableColumnId="9304"/>
      <queryTableField id="7089" dataBound="0" tableColumnId="9305"/>
      <queryTableField id="7088" dataBound="0" tableColumnId="9306"/>
      <queryTableField id="7087" dataBound="0" tableColumnId="9307"/>
      <queryTableField id="7086" dataBound="0" tableColumnId="9308"/>
      <queryTableField id="7085" dataBound="0" tableColumnId="9309"/>
      <queryTableField id="7084" dataBound="0" tableColumnId="9310"/>
      <queryTableField id="7083" dataBound="0" tableColumnId="9311"/>
      <queryTableField id="7082" dataBound="0" tableColumnId="9312"/>
      <queryTableField id="7081" dataBound="0" tableColumnId="9313"/>
      <queryTableField id="7080" dataBound="0" tableColumnId="9314"/>
      <queryTableField id="7079" dataBound="0" tableColumnId="9315"/>
      <queryTableField id="7078" dataBound="0" tableColumnId="9316"/>
      <queryTableField id="7077" dataBound="0" tableColumnId="9317"/>
      <queryTableField id="7076" dataBound="0" tableColumnId="9318"/>
      <queryTableField id="7075" dataBound="0" tableColumnId="9319"/>
      <queryTableField id="7074" dataBound="0" tableColumnId="9320"/>
      <queryTableField id="7073" dataBound="0" tableColumnId="9321"/>
      <queryTableField id="7072" dataBound="0" tableColumnId="9322"/>
      <queryTableField id="7071" dataBound="0" tableColumnId="9323"/>
      <queryTableField id="7070" dataBound="0" tableColumnId="9324"/>
      <queryTableField id="7069" dataBound="0" tableColumnId="9325"/>
      <queryTableField id="7068" dataBound="0" tableColumnId="9326"/>
      <queryTableField id="7067" dataBound="0" tableColumnId="9327"/>
      <queryTableField id="7066" dataBound="0" tableColumnId="9328"/>
      <queryTableField id="7065" dataBound="0" tableColumnId="9329"/>
      <queryTableField id="7064" dataBound="0" tableColumnId="9330"/>
      <queryTableField id="7063" dataBound="0" tableColumnId="9331"/>
      <queryTableField id="7062" dataBound="0" tableColumnId="9332"/>
      <queryTableField id="7061" dataBound="0" tableColumnId="9333"/>
      <queryTableField id="7060" dataBound="0" tableColumnId="9334"/>
      <queryTableField id="7059" dataBound="0" tableColumnId="9335"/>
      <queryTableField id="7058" dataBound="0" tableColumnId="9336"/>
      <queryTableField id="7057" dataBound="0" tableColumnId="9337"/>
      <queryTableField id="7056" dataBound="0" tableColumnId="9338"/>
      <queryTableField id="7055" dataBound="0" tableColumnId="9339"/>
      <queryTableField id="7054" dataBound="0" tableColumnId="9340"/>
      <queryTableField id="7053" dataBound="0" tableColumnId="9341"/>
      <queryTableField id="7052" dataBound="0" tableColumnId="9342"/>
      <queryTableField id="7051" dataBound="0" tableColumnId="9343"/>
      <queryTableField id="7050" dataBound="0" tableColumnId="9344"/>
      <queryTableField id="7049" dataBound="0" tableColumnId="9345"/>
      <queryTableField id="7048" dataBound="0" tableColumnId="9346"/>
      <queryTableField id="7047" dataBound="0" tableColumnId="9347"/>
      <queryTableField id="7046" dataBound="0" tableColumnId="9348"/>
      <queryTableField id="7045" dataBound="0" tableColumnId="9349"/>
      <queryTableField id="7044" dataBound="0" tableColumnId="9350"/>
      <queryTableField id="7043" dataBound="0" tableColumnId="9351"/>
      <queryTableField id="7042" dataBound="0" tableColumnId="9352"/>
      <queryTableField id="7041" dataBound="0" tableColumnId="9353"/>
      <queryTableField id="7040" dataBound="0" tableColumnId="9354"/>
      <queryTableField id="7039" dataBound="0" tableColumnId="9355"/>
      <queryTableField id="7038" dataBound="0" tableColumnId="9356"/>
      <queryTableField id="7037" dataBound="0" tableColumnId="9357"/>
      <queryTableField id="7036" dataBound="0" tableColumnId="9358"/>
      <queryTableField id="7035" dataBound="0" tableColumnId="9359"/>
      <queryTableField id="7034" dataBound="0" tableColumnId="9360"/>
      <queryTableField id="7033" dataBound="0" tableColumnId="9361"/>
      <queryTableField id="7032" dataBound="0" tableColumnId="9362"/>
      <queryTableField id="7031" dataBound="0" tableColumnId="9363"/>
      <queryTableField id="7030" dataBound="0" tableColumnId="9364"/>
      <queryTableField id="7029" dataBound="0" tableColumnId="9365"/>
      <queryTableField id="7028" dataBound="0" tableColumnId="9366"/>
      <queryTableField id="7027" dataBound="0" tableColumnId="9367"/>
      <queryTableField id="7026" dataBound="0" tableColumnId="9368"/>
      <queryTableField id="7025" dataBound="0" tableColumnId="9369"/>
      <queryTableField id="7024" dataBound="0" tableColumnId="9370"/>
      <queryTableField id="7023" dataBound="0" tableColumnId="9371"/>
      <queryTableField id="7022" dataBound="0" tableColumnId="9372"/>
      <queryTableField id="7021" dataBound="0" tableColumnId="9373"/>
      <queryTableField id="7020" dataBound="0" tableColumnId="9374"/>
      <queryTableField id="7019" dataBound="0" tableColumnId="9375"/>
      <queryTableField id="7018" dataBound="0" tableColumnId="9376"/>
      <queryTableField id="7017" dataBound="0" tableColumnId="9377"/>
      <queryTableField id="7016" dataBound="0" tableColumnId="9378"/>
      <queryTableField id="7015" dataBound="0" tableColumnId="9379"/>
      <queryTableField id="7014" dataBound="0" tableColumnId="9380"/>
      <queryTableField id="7013" dataBound="0" tableColumnId="9381"/>
      <queryTableField id="7012" dataBound="0" tableColumnId="9382"/>
      <queryTableField id="7011" dataBound="0" tableColumnId="9383"/>
      <queryTableField id="7010" dataBound="0" tableColumnId="9384"/>
      <queryTableField id="7009" dataBound="0" tableColumnId="9385"/>
      <queryTableField id="7008" dataBound="0" tableColumnId="9386"/>
      <queryTableField id="7007" dataBound="0" tableColumnId="9387"/>
      <queryTableField id="7006" dataBound="0" tableColumnId="9388"/>
      <queryTableField id="7005" dataBound="0" tableColumnId="9389"/>
      <queryTableField id="7004" dataBound="0" tableColumnId="9390"/>
      <queryTableField id="7003" dataBound="0" tableColumnId="9391"/>
      <queryTableField id="7002" dataBound="0" tableColumnId="9392"/>
      <queryTableField id="7001" dataBound="0" tableColumnId="9393"/>
      <queryTableField id="7000" dataBound="0" tableColumnId="9394"/>
      <queryTableField id="6999" dataBound="0" tableColumnId="9395"/>
      <queryTableField id="6998" dataBound="0" tableColumnId="9396"/>
      <queryTableField id="6997" dataBound="0" tableColumnId="9397"/>
      <queryTableField id="6996" dataBound="0" tableColumnId="9398"/>
      <queryTableField id="6995" dataBound="0" tableColumnId="9399"/>
      <queryTableField id="6994" dataBound="0" tableColumnId="9400"/>
      <queryTableField id="6993" dataBound="0" tableColumnId="9401"/>
      <queryTableField id="6992" dataBound="0" tableColumnId="9402"/>
      <queryTableField id="6991" dataBound="0" tableColumnId="9403"/>
      <queryTableField id="6990" dataBound="0" tableColumnId="9404"/>
      <queryTableField id="6989" dataBound="0" tableColumnId="9405"/>
      <queryTableField id="6988" dataBound="0" tableColumnId="9406"/>
      <queryTableField id="6987" dataBound="0" tableColumnId="9407"/>
      <queryTableField id="6986" dataBound="0" tableColumnId="9408"/>
      <queryTableField id="6985" dataBound="0" tableColumnId="9409"/>
      <queryTableField id="6984" dataBound="0" tableColumnId="9410"/>
      <queryTableField id="6983" dataBound="0" tableColumnId="9411"/>
      <queryTableField id="6982" dataBound="0" tableColumnId="9412"/>
      <queryTableField id="6981" dataBound="0" tableColumnId="9413"/>
      <queryTableField id="6980" dataBound="0" tableColumnId="9414"/>
      <queryTableField id="6979" dataBound="0" tableColumnId="9415"/>
      <queryTableField id="6978" dataBound="0" tableColumnId="9416"/>
      <queryTableField id="6977" dataBound="0" tableColumnId="9417"/>
      <queryTableField id="6976" dataBound="0" tableColumnId="9418"/>
      <queryTableField id="6975" dataBound="0" tableColumnId="9419"/>
      <queryTableField id="6974" dataBound="0" tableColumnId="9420"/>
      <queryTableField id="6973" dataBound="0" tableColumnId="9421"/>
      <queryTableField id="6972" dataBound="0" tableColumnId="9422"/>
      <queryTableField id="6971" dataBound="0" tableColumnId="9423"/>
      <queryTableField id="6970" dataBound="0" tableColumnId="9424"/>
      <queryTableField id="6969" dataBound="0" tableColumnId="9425"/>
      <queryTableField id="6968" dataBound="0" tableColumnId="9426"/>
      <queryTableField id="6967" dataBound="0" tableColumnId="9427"/>
      <queryTableField id="6966" dataBound="0" tableColumnId="9428"/>
      <queryTableField id="6965" dataBound="0" tableColumnId="9429"/>
      <queryTableField id="6964" dataBound="0" tableColumnId="9430"/>
      <queryTableField id="6963" dataBound="0" tableColumnId="9431"/>
      <queryTableField id="6962" dataBound="0" tableColumnId="9432"/>
      <queryTableField id="6961" dataBound="0" tableColumnId="9433"/>
      <queryTableField id="6960" dataBound="0" tableColumnId="9434"/>
      <queryTableField id="6959" dataBound="0" tableColumnId="9435"/>
      <queryTableField id="6958" dataBound="0" tableColumnId="9436"/>
      <queryTableField id="6957" dataBound="0" tableColumnId="9437"/>
      <queryTableField id="6956" dataBound="0" tableColumnId="9438"/>
      <queryTableField id="6955" dataBound="0" tableColumnId="9439"/>
      <queryTableField id="6954" dataBound="0" tableColumnId="9440"/>
      <queryTableField id="6953" dataBound="0" tableColumnId="9441"/>
      <queryTableField id="6952" dataBound="0" tableColumnId="9442"/>
      <queryTableField id="6951" dataBound="0" tableColumnId="9443"/>
      <queryTableField id="6950" dataBound="0" tableColumnId="9444"/>
      <queryTableField id="6949" dataBound="0" tableColumnId="9445"/>
      <queryTableField id="6948" dataBound="0" tableColumnId="9446"/>
      <queryTableField id="6947" dataBound="0" tableColumnId="9447"/>
      <queryTableField id="6946" dataBound="0" tableColumnId="9448"/>
      <queryTableField id="6945" dataBound="0" tableColumnId="9449"/>
      <queryTableField id="6944" dataBound="0" tableColumnId="9450"/>
      <queryTableField id="6943" dataBound="0" tableColumnId="9451"/>
      <queryTableField id="6942" dataBound="0" tableColumnId="9452"/>
      <queryTableField id="6941" dataBound="0" tableColumnId="9453"/>
      <queryTableField id="6940" dataBound="0" tableColumnId="9454"/>
      <queryTableField id="6939" dataBound="0" tableColumnId="9455"/>
      <queryTableField id="6938" dataBound="0" tableColumnId="9456"/>
      <queryTableField id="6937" dataBound="0" tableColumnId="9457"/>
      <queryTableField id="6936" dataBound="0" tableColumnId="9458"/>
      <queryTableField id="6935" dataBound="0" tableColumnId="9459"/>
      <queryTableField id="6934" dataBound="0" tableColumnId="9460"/>
      <queryTableField id="6933" dataBound="0" tableColumnId="9461"/>
      <queryTableField id="6932" dataBound="0" tableColumnId="9462"/>
      <queryTableField id="6931" dataBound="0" tableColumnId="9463"/>
      <queryTableField id="6930" dataBound="0" tableColumnId="9464"/>
      <queryTableField id="6929" dataBound="0" tableColumnId="9465"/>
      <queryTableField id="6928" dataBound="0" tableColumnId="9466"/>
      <queryTableField id="6927" dataBound="0" tableColumnId="9467"/>
      <queryTableField id="6926" dataBound="0" tableColumnId="9468"/>
      <queryTableField id="6925" dataBound="0" tableColumnId="9469"/>
      <queryTableField id="6924" dataBound="0" tableColumnId="9470"/>
      <queryTableField id="6923" dataBound="0" tableColumnId="9471"/>
      <queryTableField id="6922" dataBound="0" tableColumnId="9472"/>
      <queryTableField id="6921" dataBound="0" tableColumnId="9473"/>
      <queryTableField id="6920" dataBound="0" tableColumnId="9474"/>
      <queryTableField id="6919" dataBound="0" tableColumnId="9475"/>
      <queryTableField id="6918" dataBound="0" tableColumnId="9476"/>
      <queryTableField id="6917" dataBound="0" tableColumnId="9477"/>
      <queryTableField id="6916" dataBound="0" tableColumnId="9478"/>
      <queryTableField id="6915" dataBound="0" tableColumnId="9479"/>
      <queryTableField id="6914" dataBound="0" tableColumnId="9480"/>
      <queryTableField id="6913" dataBound="0" tableColumnId="9481"/>
      <queryTableField id="6912" dataBound="0" tableColumnId="9482"/>
      <queryTableField id="6911" dataBound="0" tableColumnId="9483"/>
      <queryTableField id="6910" dataBound="0" tableColumnId="9484"/>
      <queryTableField id="6909" dataBound="0" tableColumnId="9485"/>
      <queryTableField id="6908" dataBound="0" tableColumnId="9486"/>
      <queryTableField id="6907" dataBound="0" tableColumnId="9487"/>
      <queryTableField id="6906" dataBound="0" tableColumnId="9488"/>
      <queryTableField id="6905" dataBound="0" tableColumnId="9489"/>
      <queryTableField id="6904" dataBound="0" tableColumnId="9490"/>
      <queryTableField id="6903" dataBound="0" tableColumnId="9491"/>
      <queryTableField id="6902" dataBound="0" tableColumnId="9492"/>
      <queryTableField id="6901" dataBound="0" tableColumnId="9493"/>
      <queryTableField id="6900" dataBound="0" tableColumnId="9494"/>
      <queryTableField id="6899" dataBound="0" tableColumnId="9495"/>
      <queryTableField id="6898" dataBound="0" tableColumnId="9496"/>
      <queryTableField id="6897" dataBound="0" tableColumnId="9497"/>
      <queryTableField id="6896" dataBound="0" tableColumnId="9498"/>
      <queryTableField id="6895" dataBound="0" tableColumnId="9499"/>
      <queryTableField id="6894" dataBound="0" tableColumnId="9500"/>
      <queryTableField id="6893" dataBound="0" tableColumnId="9501"/>
      <queryTableField id="6892" dataBound="0" tableColumnId="9502"/>
      <queryTableField id="6891" dataBound="0" tableColumnId="9503"/>
      <queryTableField id="6890" dataBound="0" tableColumnId="9504"/>
      <queryTableField id="6889" dataBound="0" tableColumnId="9505"/>
      <queryTableField id="6888" dataBound="0" tableColumnId="9506"/>
      <queryTableField id="6887" dataBound="0" tableColumnId="9507"/>
      <queryTableField id="6886" dataBound="0" tableColumnId="9508"/>
      <queryTableField id="6885" dataBound="0" tableColumnId="9509"/>
      <queryTableField id="6884" dataBound="0" tableColumnId="9510"/>
      <queryTableField id="6883" dataBound="0" tableColumnId="9511"/>
      <queryTableField id="6882" dataBound="0" tableColumnId="9512"/>
      <queryTableField id="6881" dataBound="0" tableColumnId="9513"/>
      <queryTableField id="6880" dataBound="0" tableColumnId="9514"/>
      <queryTableField id="6879" dataBound="0" tableColumnId="9515"/>
      <queryTableField id="6878" dataBound="0" tableColumnId="9516"/>
      <queryTableField id="6877" dataBound="0" tableColumnId="9517"/>
      <queryTableField id="6876" dataBound="0" tableColumnId="9518"/>
      <queryTableField id="6875" dataBound="0" tableColumnId="9519"/>
      <queryTableField id="6874" dataBound="0" tableColumnId="9520"/>
      <queryTableField id="6873" dataBound="0" tableColumnId="9521"/>
      <queryTableField id="6872" dataBound="0" tableColumnId="9522"/>
      <queryTableField id="6871" dataBound="0" tableColumnId="9523"/>
      <queryTableField id="6870" dataBound="0" tableColumnId="9524"/>
      <queryTableField id="6869" dataBound="0" tableColumnId="9525"/>
      <queryTableField id="6868" dataBound="0" tableColumnId="9526"/>
      <queryTableField id="6867" dataBound="0" tableColumnId="9527"/>
      <queryTableField id="6866" dataBound="0" tableColumnId="9528"/>
      <queryTableField id="6865" dataBound="0" tableColumnId="9529"/>
      <queryTableField id="6864" dataBound="0" tableColumnId="9530"/>
      <queryTableField id="6863" dataBound="0" tableColumnId="9531"/>
      <queryTableField id="6862" dataBound="0" tableColumnId="9532"/>
      <queryTableField id="6861" dataBound="0" tableColumnId="9533"/>
      <queryTableField id="6860" dataBound="0" tableColumnId="9534"/>
      <queryTableField id="6859" dataBound="0" tableColumnId="9535"/>
      <queryTableField id="6858" dataBound="0" tableColumnId="9536"/>
      <queryTableField id="6857" dataBound="0" tableColumnId="9537"/>
      <queryTableField id="6856" dataBound="0" tableColumnId="9538"/>
      <queryTableField id="6855" dataBound="0" tableColumnId="9539"/>
      <queryTableField id="6854" dataBound="0" tableColumnId="9540"/>
      <queryTableField id="6853" dataBound="0" tableColumnId="9541"/>
      <queryTableField id="6852" dataBound="0" tableColumnId="9542"/>
      <queryTableField id="6851" dataBound="0" tableColumnId="9543"/>
      <queryTableField id="6850" dataBound="0" tableColumnId="9544"/>
      <queryTableField id="6849" dataBound="0" tableColumnId="9545"/>
      <queryTableField id="6848" dataBound="0" tableColumnId="9546"/>
      <queryTableField id="6847" dataBound="0" tableColumnId="9547"/>
      <queryTableField id="6846" dataBound="0" tableColumnId="9548"/>
      <queryTableField id="6845" dataBound="0" tableColumnId="9549"/>
      <queryTableField id="6844" dataBound="0" tableColumnId="9550"/>
      <queryTableField id="6843" dataBound="0" tableColumnId="9551"/>
      <queryTableField id="6842" dataBound="0" tableColumnId="9552"/>
      <queryTableField id="6841" dataBound="0" tableColumnId="9553"/>
      <queryTableField id="6840" dataBound="0" tableColumnId="9554"/>
      <queryTableField id="6839" dataBound="0" tableColumnId="9555"/>
      <queryTableField id="6838" dataBound="0" tableColumnId="9556"/>
      <queryTableField id="6837" dataBound="0" tableColumnId="9557"/>
      <queryTableField id="6836" dataBound="0" tableColumnId="9558"/>
      <queryTableField id="6835" dataBound="0" tableColumnId="9559"/>
      <queryTableField id="6834" dataBound="0" tableColumnId="9560"/>
      <queryTableField id="6833" dataBound="0" tableColumnId="9561"/>
      <queryTableField id="6832" dataBound="0" tableColumnId="9562"/>
      <queryTableField id="6831" dataBound="0" tableColumnId="9563"/>
      <queryTableField id="6830" dataBound="0" tableColumnId="9564"/>
      <queryTableField id="6829" dataBound="0" tableColumnId="9565"/>
      <queryTableField id="6828" dataBound="0" tableColumnId="9566"/>
      <queryTableField id="6827" dataBound="0" tableColumnId="9567"/>
      <queryTableField id="6826" dataBound="0" tableColumnId="9568"/>
      <queryTableField id="6825" dataBound="0" tableColumnId="9569"/>
      <queryTableField id="6824" dataBound="0" tableColumnId="9570"/>
      <queryTableField id="6823" dataBound="0" tableColumnId="9571"/>
      <queryTableField id="6822" dataBound="0" tableColumnId="9572"/>
      <queryTableField id="6821" dataBound="0" tableColumnId="9573"/>
      <queryTableField id="6820" dataBound="0" tableColumnId="9574"/>
      <queryTableField id="6819" dataBound="0" tableColumnId="9575"/>
      <queryTableField id="6818" dataBound="0" tableColumnId="9576"/>
      <queryTableField id="6817" dataBound="0" tableColumnId="9577"/>
      <queryTableField id="6816" dataBound="0" tableColumnId="9578"/>
      <queryTableField id="6815" dataBound="0" tableColumnId="9579"/>
      <queryTableField id="6814" dataBound="0" tableColumnId="9580"/>
      <queryTableField id="6813" dataBound="0" tableColumnId="9581"/>
      <queryTableField id="6812" dataBound="0" tableColumnId="9582"/>
      <queryTableField id="6811" dataBound="0" tableColumnId="9583"/>
      <queryTableField id="6810" dataBound="0" tableColumnId="9584"/>
      <queryTableField id="6809" dataBound="0" tableColumnId="9585"/>
      <queryTableField id="6808" dataBound="0" tableColumnId="9586"/>
      <queryTableField id="6807" dataBound="0" tableColumnId="9587"/>
      <queryTableField id="6806" dataBound="0" tableColumnId="9588"/>
      <queryTableField id="6805" dataBound="0" tableColumnId="9589"/>
      <queryTableField id="6804" dataBound="0" tableColumnId="9590"/>
      <queryTableField id="6803" dataBound="0" tableColumnId="9591"/>
      <queryTableField id="6802" dataBound="0" tableColumnId="9592"/>
      <queryTableField id="6801" dataBound="0" tableColumnId="9593"/>
      <queryTableField id="6800" dataBound="0" tableColumnId="9594"/>
      <queryTableField id="6799" dataBound="0" tableColumnId="9595"/>
      <queryTableField id="6798" dataBound="0" tableColumnId="9596"/>
      <queryTableField id="6797" dataBound="0" tableColumnId="9597"/>
      <queryTableField id="6796" dataBound="0" tableColumnId="9598"/>
      <queryTableField id="6795" dataBound="0" tableColumnId="9599"/>
      <queryTableField id="6794" dataBound="0" tableColumnId="9600"/>
      <queryTableField id="6793" dataBound="0" tableColumnId="9601"/>
      <queryTableField id="6792" dataBound="0" tableColumnId="9602"/>
      <queryTableField id="6791" dataBound="0" tableColumnId="9603"/>
      <queryTableField id="6790" dataBound="0" tableColumnId="9604"/>
      <queryTableField id="6789" dataBound="0" tableColumnId="9605"/>
      <queryTableField id="6788" dataBound="0" tableColumnId="9606"/>
      <queryTableField id="6787" dataBound="0" tableColumnId="9607"/>
      <queryTableField id="6786" dataBound="0" tableColumnId="9608"/>
      <queryTableField id="6785" dataBound="0" tableColumnId="9609"/>
      <queryTableField id="6784" dataBound="0" tableColumnId="9610"/>
      <queryTableField id="6783" dataBound="0" tableColumnId="9611"/>
      <queryTableField id="6782" dataBound="0" tableColumnId="9612"/>
      <queryTableField id="6781" dataBound="0" tableColumnId="9613"/>
      <queryTableField id="6780" dataBound="0" tableColumnId="9614"/>
      <queryTableField id="6779" dataBound="0" tableColumnId="9615"/>
      <queryTableField id="6778" dataBound="0" tableColumnId="9616"/>
      <queryTableField id="6777" dataBound="0" tableColumnId="9617"/>
      <queryTableField id="6776" dataBound="0" tableColumnId="9618"/>
      <queryTableField id="6775" dataBound="0" tableColumnId="9619"/>
      <queryTableField id="6774" dataBound="0" tableColumnId="9620"/>
      <queryTableField id="6773" dataBound="0" tableColumnId="9621"/>
      <queryTableField id="6772" dataBound="0" tableColumnId="9622"/>
      <queryTableField id="6771" dataBound="0" tableColumnId="9623"/>
      <queryTableField id="6770" dataBound="0" tableColumnId="9624"/>
      <queryTableField id="6769" dataBound="0" tableColumnId="9625"/>
      <queryTableField id="6768" dataBound="0" tableColumnId="9626"/>
      <queryTableField id="6767" dataBound="0" tableColumnId="9627"/>
      <queryTableField id="6766" dataBound="0" tableColumnId="9628"/>
      <queryTableField id="6765" dataBound="0" tableColumnId="9629"/>
      <queryTableField id="6764" dataBound="0" tableColumnId="9630"/>
      <queryTableField id="6763" dataBound="0" tableColumnId="9631"/>
      <queryTableField id="6762" dataBound="0" tableColumnId="9632"/>
      <queryTableField id="6761" dataBound="0" tableColumnId="9633"/>
      <queryTableField id="6760" dataBound="0" tableColumnId="9634"/>
      <queryTableField id="6759" dataBound="0" tableColumnId="9635"/>
      <queryTableField id="6758" dataBound="0" tableColumnId="9636"/>
      <queryTableField id="6757" dataBound="0" tableColumnId="9637"/>
      <queryTableField id="6756" dataBound="0" tableColumnId="9638"/>
      <queryTableField id="6755" dataBound="0" tableColumnId="9639"/>
      <queryTableField id="6754" dataBound="0" tableColumnId="9640"/>
      <queryTableField id="6753" dataBound="0" tableColumnId="9641"/>
      <queryTableField id="6752" dataBound="0" tableColumnId="9642"/>
      <queryTableField id="6751" dataBound="0" tableColumnId="9643"/>
      <queryTableField id="6750" dataBound="0" tableColumnId="9644"/>
      <queryTableField id="6749" dataBound="0" tableColumnId="9645"/>
      <queryTableField id="6748" dataBound="0" tableColumnId="9646"/>
      <queryTableField id="6747" dataBound="0" tableColumnId="9647"/>
      <queryTableField id="6746" dataBound="0" tableColumnId="9648"/>
      <queryTableField id="6745" dataBound="0" tableColumnId="9649"/>
      <queryTableField id="6744" dataBound="0" tableColumnId="9650"/>
      <queryTableField id="6743" dataBound="0" tableColumnId="9651"/>
      <queryTableField id="6742" dataBound="0" tableColumnId="9652"/>
      <queryTableField id="6741" dataBound="0" tableColumnId="9653"/>
      <queryTableField id="6740" dataBound="0" tableColumnId="9654"/>
      <queryTableField id="6739" dataBound="0" tableColumnId="9655"/>
      <queryTableField id="6738" dataBound="0" tableColumnId="9656"/>
      <queryTableField id="6737" dataBound="0" tableColumnId="9657"/>
      <queryTableField id="6736" dataBound="0" tableColumnId="9658"/>
      <queryTableField id="6735" dataBound="0" tableColumnId="9659"/>
      <queryTableField id="6734" dataBound="0" tableColumnId="9660"/>
      <queryTableField id="6733" dataBound="0" tableColumnId="9661"/>
      <queryTableField id="6732" dataBound="0" tableColumnId="9662"/>
      <queryTableField id="6731" dataBound="0" tableColumnId="9663"/>
      <queryTableField id="6730" dataBound="0" tableColumnId="9664"/>
      <queryTableField id="6729" dataBound="0" tableColumnId="9665"/>
      <queryTableField id="6728" dataBound="0" tableColumnId="9666"/>
      <queryTableField id="6727" dataBound="0" tableColumnId="9667"/>
      <queryTableField id="6726" dataBound="0" tableColumnId="9668"/>
      <queryTableField id="6725" dataBound="0" tableColumnId="9669"/>
      <queryTableField id="6724" dataBound="0" tableColumnId="9670"/>
      <queryTableField id="6723" dataBound="0" tableColumnId="9671"/>
      <queryTableField id="6722" dataBound="0" tableColumnId="9672"/>
      <queryTableField id="6721" dataBound="0" tableColumnId="9673"/>
      <queryTableField id="6720" dataBound="0" tableColumnId="9674"/>
      <queryTableField id="6719" dataBound="0" tableColumnId="9675"/>
      <queryTableField id="6718" dataBound="0" tableColumnId="9676"/>
      <queryTableField id="6717" dataBound="0" tableColumnId="9677"/>
      <queryTableField id="6716" dataBound="0" tableColumnId="9678"/>
      <queryTableField id="6715" dataBound="0" tableColumnId="9679"/>
      <queryTableField id="6714" dataBound="0" tableColumnId="9680"/>
      <queryTableField id="6713" dataBound="0" tableColumnId="9681"/>
      <queryTableField id="6712" dataBound="0" tableColumnId="9682"/>
      <queryTableField id="6711" dataBound="0" tableColumnId="9683"/>
      <queryTableField id="6710" dataBound="0" tableColumnId="9684"/>
      <queryTableField id="6709" dataBound="0" tableColumnId="9685"/>
      <queryTableField id="6708" dataBound="0" tableColumnId="9686"/>
      <queryTableField id="6707" dataBound="0" tableColumnId="9687"/>
      <queryTableField id="6706" dataBound="0" tableColumnId="9688"/>
      <queryTableField id="6705" dataBound="0" tableColumnId="9689"/>
      <queryTableField id="6704" dataBound="0" tableColumnId="9690"/>
      <queryTableField id="6703" dataBound="0" tableColumnId="9691"/>
      <queryTableField id="6702" dataBound="0" tableColumnId="9692"/>
      <queryTableField id="6701" dataBound="0" tableColumnId="9693"/>
      <queryTableField id="6700" dataBound="0" tableColumnId="9694"/>
      <queryTableField id="6699" dataBound="0" tableColumnId="9695"/>
      <queryTableField id="6698" dataBound="0" tableColumnId="9696"/>
      <queryTableField id="6697" dataBound="0" tableColumnId="9697"/>
      <queryTableField id="6696" dataBound="0" tableColumnId="9698"/>
      <queryTableField id="6695" dataBound="0" tableColumnId="9699"/>
      <queryTableField id="6694" dataBound="0" tableColumnId="9700"/>
      <queryTableField id="6693" dataBound="0" tableColumnId="9701"/>
      <queryTableField id="6692" dataBound="0" tableColumnId="9702"/>
      <queryTableField id="6691" dataBound="0" tableColumnId="9703"/>
      <queryTableField id="6690" dataBound="0" tableColumnId="9704"/>
      <queryTableField id="6689" dataBound="0" tableColumnId="9705"/>
      <queryTableField id="6688" dataBound="0" tableColumnId="9706"/>
      <queryTableField id="6687" dataBound="0" tableColumnId="9707"/>
      <queryTableField id="6686" dataBound="0" tableColumnId="9708"/>
      <queryTableField id="6685" dataBound="0" tableColumnId="9709"/>
      <queryTableField id="6684" dataBound="0" tableColumnId="9710"/>
      <queryTableField id="6683" dataBound="0" tableColumnId="9711"/>
      <queryTableField id="6682" dataBound="0" tableColumnId="9712"/>
      <queryTableField id="6681" dataBound="0" tableColumnId="9713"/>
      <queryTableField id="6680" dataBound="0" tableColumnId="9714"/>
      <queryTableField id="6679" dataBound="0" tableColumnId="9715"/>
      <queryTableField id="6678" dataBound="0" tableColumnId="9716"/>
      <queryTableField id="6677" dataBound="0" tableColumnId="9717"/>
      <queryTableField id="6676" dataBound="0" tableColumnId="9718"/>
      <queryTableField id="6675" dataBound="0" tableColumnId="9719"/>
      <queryTableField id="6674" dataBound="0" tableColumnId="9720"/>
      <queryTableField id="6673" dataBound="0" tableColumnId="9721"/>
      <queryTableField id="6672" dataBound="0" tableColumnId="9722"/>
      <queryTableField id="6671" dataBound="0" tableColumnId="9723"/>
      <queryTableField id="6670" dataBound="0" tableColumnId="9724"/>
      <queryTableField id="6669" dataBound="0" tableColumnId="9725"/>
      <queryTableField id="6668" dataBound="0" tableColumnId="9726"/>
      <queryTableField id="6667" dataBound="0" tableColumnId="9727"/>
      <queryTableField id="6666" dataBound="0" tableColumnId="9728"/>
      <queryTableField id="6665" dataBound="0" tableColumnId="9729"/>
      <queryTableField id="6664" dataBound="0" tableColumnId="9730"/>
      <queryTableField id="6663" dataBound="0" tableColumnId="9731"/>
      <queryTableField id="6662" dataBound="0" tableColumnId="9732"/>
      <queryTableField id="6661" dataBound="0" tableColumnId="9733"/>
      <queryTableField id="6660" dataBound="0" tableColumnId="9734"/>
      <queryTableField id="6659" dataBound="0" tableColumnId="9735"/>
      <queryTableField id="6658" dataBound="0" tableColumnId="9736"/>
      <queryTableField id="6657" dataBound="0" tableColumnId="9737"/>
      <queryTableField id="6656" dataBound="0" tableColumnId="9738"/>
      <queryTableField id="6655" dataBound="0" tableColumnId="9739"/>
      <queryTableField id="6654" dataBound="0" tableColumnId="9740"/>
      <queryTableField id="6653" dataBound="0" tableColumnId="9741"/>
      <queryTableField id="6652" dataBound="0" tableColumnId="9742"/>
      <queryTableField id="6651" dataBound="0" tableColumnId="9743"/>
      <queryTableField id="6650" dataBound="0" tableColumnId="9744"/>
      <queryTableField id="6649" dataBound="0" tableColumnId="9745"/>
      <queryTableField id="6648" dataBound="0" tableColumnId="9746"/>
      <queryTableField id="6647" dataBound="0" tableColumnId="9747"/>
      <queryTableField id="6646" dataBound="0" tableColumnId="9748"/>
      <queryTableField id="6645" dataBound="0" tableColumnId="9749"/>
      <queryTableField id="6644" dataBound="0" tableColumnId="9750"/>
      <queryTableField id="6643" dataBound="0" tableColumnId="9751"/>
      <queryTableField id="6642" dataBound="0" tableColumnId="9752"/>
      <queryTableField id="6641" dataBound="0" tableColumnId="9753"/>
      <queryTableField id="6640" dataBound="0" tableColumnId="9754"/>
      <queryTableField id="6639" dataBound="0" tableColumnId="9755"/>
      <queryTableField id="6638" dataBound="0" tableColumnId="9756"/>
      <queryTableField id="6637" dataBound="0" tableColumnId="9757"/>
      <queryTableField id="6636" dataBound="0" tableColumnId="9758"/>
      <queryTableField id="6635" dataBound="0" tableColumnId="9759"/>
      <queryTableField id="6634" dataBound="0" tableColumnId="9760"/>
      <queryTableField id="6633" dataBound="0" tableColumnId="9761"/>
      <queryTableField id="6632" dataBound="0" tableColumnId="9762"/>
      <queryTableField id="6631" dataBound="0" tableColumnId="9763"/>
      <queryTableField id="6630" dataBound="0" tableColumnId="9764"/>
      <queryTableField id="6629" dataBound="0" tableColumnId="9765"/>
      <queryTableField id="6628" dataBound="0" tableColumnId="9766"/>
      <queryTableField id="6627" dataBound="0" tableColumnId="9767"/>
      <queryTableField id="6626" dataBound="0" tableColumnId="9768"/>
      <queryTableField id="6625" dataBound="0" tableColumnId="9769"/>
      <queryTableField id="6624" dataBound="0" tableColumnId="9770"/>
      <queryTableField id="6623" dataBound="0" tableColumnId="9771"/>
      <queryTableField id="6622" dataBound="0" tableColumnId="9772"/>
      <queryTableField id="6621" dataBound="0" tableColumnId="9773"/>
      <queryTableField id="6620" dataBound="0" tableColumnId="9774"/>
      <queryTableField id="6619" dataBound="0" tableColumnId="9775"/>
      <queryTableField id="6618" dataBound="0" tableColumnId="9776"/>
      <queryTableField id="6617" dataBound="0" tableColumnId="9777"/>
      <queryTableField id="6616" dataBound="0" tableColumnId="9778"/>
      <queryTableField id="6615" dataBound="0" tableColumnId="9779"/>
      <queryTableField id="6614" dataBound="0" tableColumnId="9780"/>
      <queryTableField id="6613" dataBound="0" tableColumnId="9781"/>
      <queryTableField id="6612" dataBound="0" tableColumnId="9782"/>
      <queryTableField id="6611" dataBound="0" tableColumnId="9783"/>
      <queryTableField id="6610" dataBound="0" tableColumnId="9784"/>
      <queryTableField id="6609" dataBound="0" tableColumnId="9785"/>
      <queryTableField id="6608" dataBound="0" tableColumnId="9786"/>
      <queryTableField id="6607" dataBound="0" tableColumnId="9787"/>
      <queryTableField id="6606" dataBound="0" tableColumnId="9788"/>
      <queryTableField id="6605" dataBound="0" tableColumnId="9789"/>
      <queryTableField id="6604" dataBound="0" tableColumnId="9790"/>
      <queryTableField id="6603" dataBound="0" tableColumnId="9791"/>
      <queryTableField id="6602" dataBound="0" tableColumnId="9792"/>
      <queryTableField id="6601" dataBound="0" tableColumnId="9793"/>
      <queryTableField id="6600" dataBound="0" tableColumnId="9794"/>
      <queryTableField id="6599" dataBound="0" tableColumnId="9795"/>
      <queryTableField id="6598" dataBound="0" tableColumnId="9796"/>
      <queryTableField id="6597" dataBound="0" tableColumnId="9797"/>
      <queryTableField id="6596" dataBound="0" tableColumnId="9798"/>
      <queryTableField id="6595" dataBound="0" tableColumnId="9799"/>
      <queryTableField id="6594" dataBound="0" tableColumnId="9800"/>
      <queryTableField id="6593" dataBound="0" tableColumnId="9801"/>
      <queryTableField id="6592" dataBound="0" tableColumnId="9802"/>
      <queryTableField id="6591" dataBound="0" tableColumnId="9803"/>
      <queryTableField id="6590" dataBound="0" tableColumnId="9804"/>
      <queryTableField id="6589" dataBound="0" tableColumnId="9805"/>
      <queryTableField id="6588" dataBound="0" tableColumnId="9806"/>
      <queryTableField id="6587" dataBound="0" tableColumnId="9807"/>
      <queryTableField id="6586" dataBound="0" tableColumnId="9808"/>
      <queryTableField id="6585" dataBound="0" tableColumnId="9809"/>
      <queryTableField id="6584" dataBound="0" tableColumnId="9810"/>
      <queryTableField id="6583" dataBound="0" tableColumnId="9811"/>
      <queryTableField id="6582" dataBound="0" tableColumnId="9812"/>
      <queryTableField id="6581" dataBound="0" tableColumnId="9813"/>
      <queryTableField id="6580" dataBound="0" tableColumnId="9814"/>
      <queryTableField id="6579" dataBound="0" tableColumnId="9815"/>
      <queryTableField id="6578" dataBound="0" tableColumnId="9816"/>
      <queryTableField id="6577" dataBound="0" tableColumnId="9817"/>
      <queryTableField id="6576" dataBound="0" tableColumnId="9818"/>
      <queryTableField id="6575" dataBound="0" tableColumnId="9819"/>
      <queryTableField id="6574" dataBound="0" tableColumnId="9820"/>
      <queryTableField id="6573" dataBound="0" tableColumnId="9821"/>
      <queryTableField id="6572" dataBound="0" tableColumnId="9822"/>
      <queryTableField id="6571" dataBound="0" tableColumnId="9823"/>
      <queryTableField id="6570" dataBound="0" tableColumnId="9824"/>
      <queryTableField id="6569" dataBound="0" tableColumnId="9825"/>
      <queryTableField id="6568" dataBound="0" tableColumnId="9826"/>
      <queryTableField id="6567" dataBound="0" tableColumnId="9827"/>
      <queryTableField id="6566" dataBound="0" tableColumnId="9828"/>
      <queryTableField id="6565" dataBound="0" tableColumnId="9829"/>
      <queryTableField id="6564" dataBound="0" tableColumnId="9830"/>
      <queryTableField id="6563" dataBound="0" tableColumnId="9831"/>
      <queryTableField id="6562" dataBound="0" tableColumnId="9832"/>
      <queryTableField id="6561" dataBound="0" tableColumnId="9833"/>
      <queryTableField id="6560" dataBound="0" tableColumnId="9834"/>
      <queryTableField id="6559" dataBound="0" tableColumnId="9835"/>
      <queryTableField id="6558" dataBound="0" tableColumnId="9836"/>
      <queryTableField id="6557" dataBound="0" tableColumnId="9837"/>
      <queryTableField id="6556" dataBound="0" tableColumnId="9838"/>
      <queryTableField id="6555" dataBound="0" tableColumnId="9839"/>
      <queryTableField id="6554" dataBound="0" tableColumnId="9840"/>
      <queryTableField id="6553" dataBound="0" tableColumnId="9841"/>
      <queryTableField id="6552" dataBound="0" tableColumnId="9842"/>
      <queryTableField id="6551" dataBound="0" tableColumnId="9843"/>
      <queryTableField id="6550" dataBound="0" tableColumnId="9844"/>
      <queryTableField id="6549" dataBound="0" tableColumnId="9845"/>
      <queryTableField id="6548" dataBound="0" tableColumnId="9846"/>
      <queryTableField id="6547" dataBound="0" tableColumnId="9847"/>
      <queryTableField id="6546" dataBound="0" tableColumnId="9848"/>
      <queryTableField id="6545" dataBound="0" tableColumnId="9849"/>
      <queryTableField id="6544" dataBound="0" tableColumnId="9850"/>
      <queryTableField id="6543" dataBound="0" tableColumnId="9851"/>
      <queryTableField id="6542" dataBound="0" tableColumnId="9852"/>
      <queryTableField id="6541" dataBound="0" tableColumnId="9853"/>
      <queryTableField id="6540" dataBound="0" tableColumnId="9854"/>
      <queryTableField id="6539" dataBound="0" tableColumnId="9855"/>
      <queryTableField id="6538" dataBound="0" tableColumnId="9856"/>
      <queryTableField id="6537" dataBound="0" tableColumnId="9857"/>
      <queryTableField id="6536" dataBound="0" tableColumnId="9858"/>
      <queryTableField id="6535" dataBound="0" tableColumnId="9859"/>
      <queryTableField id="6534" dataBound="0" tableColumnId="9860"/>
      <queryTableField id="6533" dataBound="0" tableColumnId="9861"/>
      <queryTableField id="6532" dataBound="0" tableColumnId="9862"/>
      <queryTableField id="6531" dataBound="0" tableColumnId="9863"/>
      <queryTableField id="6530" dataBound="0" tableColumnId="9864"/>
      <queryTableField id="6529" dataBound="0" tableColumnId="9865"/>
      <queryTableField id="6528" dataBound="0" tableColumnId="9866"/>
      <queryTableField id="6527" dataBound="0" tableColumnId="9867"/>
      <queryTableField id="6526" dataBound="0" tableColumnId="9868"/>
      <queryTableField id="6525" dataBound="0" tableColumnId="9869"/>
      <queryTableField id="6524" dataBound="0" tableColumnId="9870"/>
      <queryTableField id="6523" dataBound="0" tableColumnId="9871"/>
      <queryTableField id="6522" dataBound="0" tableColumnId="9872"/>
      <queryTableField id="6521" dataBound="0" tableColumnId="9873"/>
      <queryTableField id="6520" dataBound="0" tableColumnId="9874"/>
      <queryTableField id="6519" dataBound="0" tableColumnId="9875"/>
      <queryTableField id="6518" dataBound="0" tableColumnId="9876"/>
      <queryTableField id="6517" dataBound="0" tableColumnId="9877"/>
      <queryTableField id="6516" dataBound="0" tableColumnId="9878"/>
      <queryTableField id="6515" dataBound="0" tableColumnId="9879"/>
      <queryTableField id="6514" dataBound="0" tableColumnId="9880"/>
      <queryTableField id="6513" dataBound="0" tableColumnId="9881"/>
      <queryTableField id="6512" dataBound="0" tableColumnId="9882"/>
      <queryTableField id="6511" dataBound="0" tableColumnId="9883"/>
      <queryTableField id="6510" dataBound="0" tableColumnId="9884"/>
      <queryTableField id="6509" dataBound="0" tableColumnId="9885"/>
      <queryTableField id="6508" dataBound="0" tableColumnId="9886"/>
      <queryTableField id="6507" dataBound="0" tableColumnId="9887"/>
      <queryTableField id="6506" dataBound="0" tableColumnId="9888"/>
      <queryTableField id="6505" dataBound="0" tableColumnId="9889"/>
      <queryTableField id="6504" dataBound="0" tableColumnId="9890"/>
      <queryTableField id="6503" dataBound="0" tableColumnId="9891"/>
      <queryTableField id="6502" dataBound="0" tableColumnId="9892"/>
      <queryTableField id="6501" dataBound="0" tableColumnId="9893"/>
      <queryTableField id="6500" dataBound="0" tableColumnId="9894"/>
      <queryTableField id="6499" dataBound="0" tableColumnId="9895"/>
      <queryTableField id="6498" dataBound="0" tableColumnId="9896"/>
      <queryTableField id="6497" dataBound="0" tableColumnId="9897"/>
      <queryTableField id="6496" dataBound="0" tableColumnId="9898"/>
      <queryTableField id="6495" dataBound="0" tableColumnId="9899"/>
      <queryTableField id="6494" dataBound="0" tableColumnId="9900"/>
      <queryTableField id="6493" dataBound="0" tableColumnId="9901"/>
      <queryTableField id="6492" dataBound="0" tableColumnId="9902"/>
      <queryTableField id="6491" dataBound="0" tableColumnId="9903"/>
      <queryTableField id="6490" dataBound="0" tableColumnId="9904"/>
      <queryTableField id="6489" dataBound="0" tableColumnId="9905"/>
      <queryTableField id="6488" dataBound="0" tableColumnId="9906"/>
      <queryTableField id="6487" dataBound="0" tableColumnId="9907"/>
      <queryTableField id="6486" dataBound="0" tableColumnId="9908"/>
      <queryTableField id="6485" dataBound="0" tableColumnId="9909"/>
      <queryTableField id="6484" dataBound="0" tableColumnId="9910"/>
      <queryTableField id="6483" dataBound="0" tableColumnId="9911"/>
      <queryTableField id="6482" dataBound="0" tableColumnId="9912"/>
      <queryTableField id="6481" dataBound="0" tableColumnId="9913"/>
      <queryTableField id="6480" dataBound="0" tableColumnId="9914"/>
      <queryTableField id="6479" dataBound="0" tableColumnId="9915"/>
      <queryTableField id="6478" dataBound="0" tableColumnId="9916"/>
      <queryTableField id="6477" dataBound="0" tableColumnId="9917"/>
      <queryTableField id="6476" dataBound="0" tableColumnId="9918"/>
      <queryTableField id="6475" dataBound="0" tableColumnId="9919"/>
      <queryTableField id="6474" dataBound="0" tableColumnId="9920"/>
      <queryTableField id="6473" dataBound="0" tableColumnId="9921"/>
      <queryTableField id="6472" dataBound="0" tableColumnId="9922"/>
      <queryTableField id="6471" dataBound="0" tableColumnId="9923"/>
      <queryTableField id="6470" dataBound="0" tableColumnId="9924"/>
      <queryTableField id="6469" dataBound="0" tableColumnId="9925"/>
      <queryTableField id="6468" dataBound="0" tableColumnId="9926"/>
      <queryTableField id="6467" dataBound="0" tableColumnId="9927"/>
      <queryTableField id="6466" dataBound="0" tableColumnId="9928"/>
      <queryTableField id="6465" dataBound="0" tableColumnId="9929"/>
      <queryTableField id="6464" dataBound="0" tableColumnId="9930"/>
      <queryTableField id="6463" dataBound="0" tableColumnId="9931"/>
      <queryTableField id="6462" dataBound="0" tableColumnId="9932"/>
      <queryTableField id="6461" dataBound="0" tableColumnId="9933"/>
      <queryTableField id="6460" dataBound="0" tableColumnId="9934"/>
      <queryTableField id="6459" dataBound="0" tableColumnId="9935"/>
      <queryTableField id="6458" dataBound="0" tableColumnId="9936"/>
      <queryTableField id="6457" dataBound="0" tableColumnId="9937"/>
      <queryTableField id="6456" dataBound="0" tableColumnId="9938"/>
      <queryTableField id="6455" dataBound="0" tableColumnId="9939"/>
      <queryTableField id="6454" dataBound="0" tableColumnId="9940"/>
      <queryTableField id="6453" dataBound="0" tableColumnId="9941"/>
      <queryTableField id="6452" dataBound="0" tableColumnId="9942"/>
      <queryTableField id="6451" dataBound="0" tableColumnId="9943"/>
      <queryTableField id="6450" dataBound="0" tableColumnId="9944"/>
      <queryTableField id="6449" dataBound="0" tableColumnId="9945"/>
      <queryTableField id="6448" dataBound="0" tableColumnId="9946"/>
      <queryTableField id="6447" dataBound="0" tableColumnId="9947"/>
      <queryTableField id="6446" dataBound="0" tableColumnId="9948"/>
      <queryTableField id="6445" dataBound="0" tableColumnId="9949"/>
      <queryTableField id="6444" dataBound="0" tableColumnId="9950"/>
      <queryTableField id="6443" dataBound="0" tableColumnId="9951"/>
      <queryTableField id="6442" dataBound="0" tableColumnId="9952"/>
      <queryTableField id="6441" dataBound="0" tableColumnId="9953"/>
      <queryTableField id="6440" dataBound="0" tableColumnId="9954"/>
      <queryTableField id="6439" dataBound="0" tableColumnId="9955"/>
      <queryTableField id="6438" dataBound="0" tableColumnId="9956"/>
      <queryTableField id="6437" dataBound="0" tableColumnId="9957"/>
      <queryTableField id="6436" dataBound="0" tableColumnId="9958"/>
      <queryTableField id="6435" dataBound="0" tableColumnId="9959"/>
      <queryTableField id="6434" dataBound="0" tableColumnId="9960"/>
      <queryTableField id="6433" dataBound="0" tableColumnId="9961"/>
      <queryTableField id="6432" dataBound="0" tableColumnId="9962"/>
      <queryTableField id="6431" dataBound="0" tableColumnId="9963"/>
      <queryTableField id="6430" dataBound="0" tableColumnId="9964"/>
      <queryTableField id="6429" dataBound="0" tableColumnId="9965"/>
      <queryTableField id="6428" dataBound="0" tableColumnId="9966"/>
      <queryTableField id="6427" dataBound="0" tableColumnId="9967"/>
      <queryTableField id="6426" dataBound="0" tableColumnId="9968"/>
      <queryTableField id="6425" dataBound="0" tableColumnId="9969"/>
      <queryTableField id="6424" dataBound="0" tableColumnId="9970"/>
      <queryTableField id="6423" dataBound="0" tableColumnId="9971"/>
      <queryTableField id="6422" dataBound="0" tableColumnId="9972"/>
      <queryTableField id="6421" dataBound="0" tableColumnId="9973"/>
      <queryTableField id="6420" dataBound="0" tableColumnId="9974"/>
      <queryTableField id="6419" dataBound="0" tableColumnId="9975"/>
      <queryTableField id="6418" dataBound="0" tableColumnId="9976"/>
      <queryTableField id="6417" dataBound="0" tableColumnId="9977"/>
      <queryTableField id="6416" dataBound="0" tableColumnId="9978"/>
      <queryTableField id="6415" dataBound="0" tableColumnId="9979"/>
      <queryTableField id="6414" dataBound="0" tableColumnId="9980"/>
      <queryTableField id="6413" dataBound="0" tableColumnId="9981"/>
      <queryTableField id="6412" dataBound="0" tableColumnId="9982"/>
      <queryTableField id="6411" dataBound="0" tableColumnId="9983"/>
      <queryTableField id="6410" dataBound="0" tableColumnId="9984"/>
      <queryTableField id="6409" dataBound="0" tableColumnId="9985"/>
      <queryTableField id="6408" dataBound="0" tableColumnId="9986"/>
      <queryTableField id="6407" dataBound="0" tableColumnId="9987"/>
      <queryTableField id="6406" dataBound="0" tableColumnId="9988"/>
      <queryTableField id="6405" dataBound="0" tableColumnId="9989"/>
      <queryTableField id="6404" dataBound="0" tableColumnId="9990"/>
      <queryTableField id="6403" dataBound="0" tableColumnId="9991"/>
      <queryTableField id="6402" dataBound="0" tableColumnId="9992"/>
      <queryTableField id="6401" dataBound="0" tableColumnId="9993"/>
      <queryTableField id="6400" dataBound="0" tableColumnId="9994"/>
      <queryTableField id="6399" dataBound="0" tableColumnId="9995"/>
      <queryTableField id="6398" dataBound="0" tableColumnId="9996"/>
      <queryTableField id="6397" dataBound="0" tableColumnId="9997"/>
      <queryTableField id="6396" dataBound="0" tableColumnId="9998"/>
      <queryTableField id="6395" dataBound="0" tableColumnId="9999"/>
      <queryTableField id="6394" dataBound="0" tableColumnId="10000"/>
      <queryTableField id="6393" dataBound="0" tableColumnId="10001"/>
      <queryTableField id="6392" dataBound="0" tableColumnId="10002"/>
      <queryTableField id="6391" dataBound="0" tableColumnId="10003"/>
      <queryTableField id="6390" dataBound="0" tableColumnId="10004"/>
      <queryTableField id="6389" dataBound="0" tableColumnId="10005"/>
      <queryTableField id="6388" dataBound="0" tableColumnId="10006"/>
      <queryTableField id="6387" dataBound="0" tableColumnId="10007"/>
      <queryTableField id="6386" dataBound="0" tableColumnId="10008"/>
      <queryTableField id="6385" dataBound="0" tableColumnId="10009"/>
      <queryTableField id="6384" dataBound="0" tableColumnId="10010"/>
      <queryTableField id="6383" dataBound="0" tableColumnId="10011"/>
      <queryTableField id="6382" dataBound="0" tableColumnId="10012"/>
      <queryTableField id="6381" dataBound="0" tableColumnId="10013"/>
      <queryTableField id="6380" dataBound="0" tableColumnId="10014"/>
      <queryTableField id="6379" dataBound="0" tableColumnId="10015"/>
      <queryTableField id="6378" dataBound="0" tableColumnId="10016"/>
      <queryTableField id="6377" dataBound="0" tableColumnId="10017"/>
      <queryTableField id="6376" dataBound="0" tableColumnId="10018"/>
      <queryTableField id="6375" dataBound="0" tableColumnId="10019"/>
      <queryTableField id="6374" dataBound="0" tableColumnId="10020"/>
      <queryTableField id="6373" dataBound="0" tableColumnId="10021"/>
      <queryTableField id="6372" dataBound="0" tableColumnId="10022"/>
      <queryTableField id="6371" dataBound="0" tableColumnId="10023"/>
      <queryTableField id="6370" dataBound="0" tableColumnId="10024"/>
      <queryTableField id="6369" dataBound="0" tableColumnId="10025"/>
      <queryTableField id="6368" dataBound="0" tableColumnId="10026"/>
      <queryTableField id="6367" dataBound="0" tableColumnId="10027"/>
      <queryTableField id="6366" dataBound="0" tableColumnId="10028"/>
      <queryTableField id="6365" dataBound="0" tableColumnId="10029"/>
      <queryTableField id="6364" dataBound="0" tableColumnId="10030"/>
      <queryTableField id="6363" dataBound="0" tableColumnId="10031"/>
      <queryTableField id="6362" dataBound="0" tableColumnId="10032"/>
      <queryTableField id="6361" dataBound="0" tableColumnId="10033"/>
      <queryTableField id="6360" dataBound="0" tableColumnId="10034"/>
      <queryTableField id="6359" dataBound="0" tableColumnId="10035"/>
      <queryTableField id="6358" dataBound="0" tableColumnId="10036"/>
      <queryTableField id="6357" dataBound="0" tableColumnId="10037"/>
      <queryTableField id="6356" dataBound="0" tableColumnId="10038"/>
      <queryTableField id="6355" dataBound="0" tableColumnId="10039"/>
      <queryTableField id="6354" dataBound="0" tableColumnId="10040"/>
      <queryTableField id="6353" dataBound="0" tableColumnId="10041"/>
      <queryTableField id="6352" dataBound="0" tableColumnId="10042"/>
      <queryTableField id="6351" dataBound="0" tableColumnId="10043"/>
      <queryTableField id="6350" dataBound="0" tableColumnId="10044"/>
      <queryTableField id="6349" dataBound="0" tableColumnId="10045"/>
      <queryTableField id="6348" dataBound="0" tableColumnId="10046"/>
      <queryTableField id="6347" dataBound="0" tableColumnId="10047"/>
      <queryTableField id="6346" dataBound="0" tableColumnId="10048"/>
      <queryTableField id="6345" dataBound="0" tableColumnId="10049"/>
      <queryTableField id="6344" dataBound="0" tableColumnId="10050"/>
      <queryTableField id="6343" dataBound="0" tableColumnId="10051"/>
      <queryTableField id="6342" dataBound="0" tableColumnId="10052"/>
      <queryTableField id="6341" dataBound="0" tableColumnId="10053"/>
      <queryTableField id="6340" dataBound="0" tableColumnId="10054"/>
      <queryTableField id="6339" dataBound="0" tableColumnId="10055"/>
      <queryTableField id="6338" dataBound="0" tableColumnId="10056"/>
      <queryTableField id="6337" dataBound="0" tableColumnId="10057"/>
      <queryTableField id="6336" dataBound="0" tableColumnId="10058"/>
      <queryTableField id="6335" dataBound="0" tableColumnId="10059"/>
      <queryTableField id="6334" dataBound="0" tableColumnId="10060"/>
      <queryTableField id="6333" dataBound="0" tableColumnId="10061"/>
      <queryTableField id="6332" dataBound="0" tableColumnId="10062"/>
      <queryTableField id="6331" dataBound="0" tableColumnId="10063"/>
      <queryTableField id="6330" dataBound="0" tableColumnId="10064"/>
      <queryTableField id="6329" dataBound="0" tableColumnId="10065"/>
      <queryTableField id="6328" dataBound="0" tableColumnId="10066"/>
      <queryTableField id="6327" dataBound="0" tableColumnId="10067"/>
      <queryTableField id="6326" dataBound="0" tableColumnId="10068"/>
      <queryTableField id="6325" dataBound="0" tableColumnId="10069"/>
      <queryTableField id="6324" dataBound="0" tableColumnId="10070"/>
      <queryTableField id="6323" dataBound="0" tableColumnId="10071"/>
      <queryTableField id="6322" dataBound="0" tableColumnId="10072"/>
      <queryTableField id="6321" dataBound="0" tableColumnId="10073"/>
      <queryTableField id="6320" dataBound="0" tableColumnId="10074"/>
      <queryTableField id="6319" dataBound="0" tableColumnId="10075"/>
      <queryTableField id="6318" dataBound="0" tableColumnId="10076"/>
      <queryTableField id="6317" dataBound="0" tableColumnId="10077"/>
      <queryTableField id="6316" dataBound="0" tableColumnId="10078"/>
      <queryTableField id="6315" dataBound="0" tableColumnId="10079"/>
      <queryTableField id="6314" dataBound="0" tableColumnId="10080"/>
      <queryTableField id="6313" dataBound="0" tableColumnId="10081"/>
      <queryTableField id="6312" dataBound="0" tableColumnId="10082"/>
      <queryTableField id="6311" dataBound="0" tableColumnId="10083"/>
      <queryTableField id="6310" dataBound="0" tableColumnId="10084"/>
      <queryTableField id="6309" dataBound="0" tableColumnId="10085"/>
      <queryTableField id="6308" dataBound="0" tableColumnId="10086"/>
      <queryTableField id="6307" dataBound="0" tableColumnId="10087"/>
      <queryTableField id="6306" dataBound="0" tableColumnId="10088"/>
      <queryTableField id="6305" dataBound="0" tableColumnId="10089"/>
      <queryTableField id="6304" dataBound="0" tableColumnId="10090"/>
      <queryTableField id="6303" dataBound="0" tableColumnId="10091"/>
      <queryTableField id="6302" dataBound="0" tableColumnId="10092"/>
      <queryTableField id="6301" dataBound="0" tableColumnId="10093"/>
      <queryTableField id="6300" dataBound="0" tableColumnId="10094"/>
      <queryTableField id="6299" dataBound="0" tableColumnId="10095"/>
      <queryTableField id="6298" dataBound="0" tableColumnId="10096"/>
      <queryTableField id="6297" dataBound="0" tableColumnId="10097"/>
      <queryTableField id="6296" dataBound="0" tableColumnId="10098"/>
      <queryTableField id="6295" dataBound="0" tableColumnId="10099"/>
      <queryTableField id="6294" dataBound="0" tableColumnId="10100"/>
      <queryTableField id="6293" dataBound="0" tableColumnId="10101"/>
      <queryTableField id="6292" dataBound="0" tableColumnId="10102"/>
      <queryTableField id="6291" dataBound="0" tableColumnId="10103"/>
      <queryTableField id="6290" dataBound="0" tableColumnId="10104"/>
      <queryTableField id="6289" dataBound="0" tableColumnId="10105"/>
      <queryTableField id="6288" dataBound="0" tableColumnId="10106"/>
      <queryTableField id="6287" dataBound="0" tableColumnId="10107"/>
      <queryTableField id="6286" dataBound="0" tableColumnId="10108"/>
      <queryTableField id="6285" dataBound="0" tableColumnId="10109"/>
      <queryTableField id="6284" dataBound="0" tableColumnId="10110"/>
      <queryTableField id="6283" dataBound="0" tableColumnId="10111"/>
      <queryTableField id="6282" dataBound="0" tableColumnId="10112"/>
      <queryTableField id="6281" dataBound="0" tableColumnId="10113"/>
      <queryTableField id="6280" dataBound="0" tableColumnId="10114"/>
      <queryTableField id="6279" dataBound="0" tableColumnId="10115"/>
      <queryTableField id="6278" dataBound="0" tableColumnId="10116"/>
      <queryTableField id="6277" dataBound="0" tableColumnId="10117"/>
      <queryTableField id="6276" dataBound="0" tableColumnId="10118"/>
      <queryTableField id="6275" dataBound="0" tableColumnId="10119"/>
      <queryTableField id="6274" dataBound="0" tableColumnId="10120"/>
      <queryTableField id="6273" dataBound="0" tableColumnId="10121"/>
      <queryTableField id="6272" dataBound="0" tableColumnId="10122"/>
      <queryTableField id="6271" dataBound="0" tableColumnId="10123"/>
      <queryTableField id="6270" dataBound="0" tableColumnId="10124"/>
      <queryTableField id="6269" dataBound="0" tableColumnId="10125"/>
      <queryTableField id="6268" dataBound="0" tableColumnId="10126"/>
      <queryTableField id="6267" dataBound="0" tableColumnId="10127"/>
      <queryTableField id="6266" dataBound="0" tableColumnId="10128"/>
      <queryTableField id="6265" dataBound="0" tableColumnId="10129"/>
      <queryTableField id="6264" dataBound="0" tableColumnId="10130"/>
      <queryTableField id="6263" dataBound="0" tableColumnId="10131"/>
      <queryTableField id="6262" dataBound="0" tableColumnId="10132"/>
      <queryTableField id="6261" dataBound="0" tableColumnId="10133"/>
      <queryTableField id="6260" dataBound="0" tableColumnId="10134"/>
      <queryTableField id="6259" dataBound="0" tableColumnId="10135"/>
      <queryTableField id="6258" dataBound="0" tableColumnId="10136"/>
      <queryTableField id="6257" dataBound="0" tableColumnId="10137"/>
      <queryTableField id="6256" dataBound="0" tableColumnId="10138"/>
      <queryTableField id="6255" dataBound="0" tableColumnId="10139"/>
      <queryTableField id="6254" dataBound="0" tableColumnId="10140"/>
      <queryTableField id="6253" dataBound="0" tableColumnId="10141"/>
      <queryTableField id="6252" dataBound="0" tableColumnId="10142"/>
      <queryTableField id="6251" dataBound="0" tableColumnId="10143"/>
      <queryTableField id="6250" dataBound="0" tableColumnId="10144"/>
      <queryTableField id="6249" dataBound="0" tableColumnId="10145"/>
      <queryTableField id="6248" dataBound="0" tableColumnId="10146"/>
      <queryTableField id="6247" dataBound="0" tableColumnId="10147"/>
      <queryTableField id="6246" dataBound="0" tableColumnId="10148"/>
      <queryTableField id="6245" dataBound="0" tableColumnId="10149"/>
      <queryTableField id="6244" dataBound="0" tableColumnId="10150"/>
      <queryTableField id="6243" dataBound="0" tableColumnId="10151"/>
      <queryTableField id="6242" dataBound="0" tableColumnId="10152"/>
      <queryTableField id="6241" dataBound="0" tableColumnId="10153"/>
      <queryTableField id="6240" dataBound="0" tableColumnId="10154"/>
      <queryTableField id="6239" dataBound="0" tableColumnId="10155"/>
      <queryTableField id="6238" dataBound="0" tableColumnId="10156"/>
      <queryTableField id="6237" dataBound="0" tableColumnId="10157"/>
      <queryTableField id="6236" dataBound="0" tableColumnId="10158"/>
      <queryTableField id="6235" dataBound="0" tableColumnId="10159"/>
      <queryTableField id="6234" dataBound="0" tableColumnId="10160"/>
      <queryTableField id="6233" dataBound="0" tableColumnId="10161"/>
      <queryTableField id="6232" dataBound="0" tableColumnId="10162"/>
      <queryTableField id="6231" dataBound="0" tableColumnId="10163"/>
      <queryTableField id="6230" dataBound="0" tableColumnId="10164"/>
      <queryTableField id="6229" dataBound="0" tableColumnId="10165"/>
      <queryTableField id="6228" dataBound="0" tableColumnId="10166"/>
      <queryTableField id="6227" dataBound="0" tableColumnId="10167"/>
      <queryTableField id="6226" dataBound="0" tableColumnId="10168"/>
      <queryTableField id="6225" dataBound="0" tableColumnId="10169"/>
      <queryTableField id="6224" dataBound="0" tableColumnId="10170"/>
      <queryTableField id="6223" dataBound="0" tableColumnId="10171"/>
      <queryTableField id="6222" dataBound="0" tableColumnId="10172"/>
      <queryTableField id="6221" dataBound="0" tableColumnId="10173"/>
      <queryTableField id="6220" dataBound="0" tableColumnId="10174"/>
      <queryTableField id="6219" dataBound="0" tableColumnId="10175"/>
      <queryTableField id="6218" dataBound="0" tableColumnId="10176"/>
      <queryTableField id="6217" dataBound="0" tableColumnId="10177"/>
      <queryTableField id="6216" dataBound="0" tableColumnId="10178"/>
      <queryTableField id="6215" dataBound="0" tableColumnId="10179"/>
      <queryTableField id="6214" dataBound="0" tableColumnId="10180"/>
      <queryTableField id="6213" dataBound="0" tableColumnId="10181"/>
      <queryTableField id="6212" dataBound="0" tableColumnId="10182"/>
      <queryTableField id="6211" dataBound="0" tableColumnId="10183"/>
      <queryTableField id="6210" dataBound="0" tableColumnId="10184"/>
      <queryTableField id="6209" dataBound="0" tableColumnId="10185"/>
      <queryTableField id="6208" dataBound="0" tableColumnId="10186"/>
      <queryTableField id="6207" dataBound="0" tableColumnId="10187"/>
      <queryTableField id="6206" dataBound="0" tableColumnId="10188"/>
      <queryTableField id="6205" dataBound="0" tableColumnId="10189"/>
      <queryTableField id="6204" dataBound="0" tableColumnId="10190"/>
      <queryTableField id="6203" dataBound="0" tableColumnId="10191"/>
      <queryTableField id="6202" dataBound="0" tableColumnId="10192"/>
      <queryTableField id="6201" dataBound="0" tableColumnId="10193"/>
      <queryTableField id="6200" dataBound="0" tableColumnId="10194"/>
      <queryTableField id="6199" dataBound="0" tableColumnId="10195"/>
      <queryTableField id="6198" dataBound="0" tableColumnId="10196"/>
      <queryTableField id="6197" dataBound="0" tableColumnId="10197"/>
      <queryTableField id="6196" dataBound="0" tableColumnId="10198"/>
      <queryTableField id="6195" dataBound="0" tableColumnId="10199"/>
      <queryTableField id="6194" dataBound="0" tableColumnId="10200"/>
      <queryTableField id="6193" dataBound="0" tableColumnId="10201"/>
      <queryTableField id="6192" dataBound="0" tableColumnId="10202"/>
      <queryTableField id="6191" dataBound="0" tableColumnId="10203"/>
      <queryTableField id="6190" dataBound="0" tableColumnId="10204"/>
      <queryTableField id="6189" dataBound="0" tableColumnId="10205"/>
      <queryTableField id="6188" dataBound="0" tableColumnId="10206"/>
      <queryTableField id="6187" dataBound="0" tableColumnId="10207"/>
      <queryTableField id="6186" dataBound="0" tableColumnId="10208"/>
      <queryTableField id="6185" dataBound="0" tableColumnId="10209"/>
      <queryTableField id="6184" dataBound="0" tableColumnId="10210"/>
      <queryTableField id="6183" dataBound="0" tableColumnId="10211"/>
      <queryTableField id="6182" dataBound="0" tableColumnId="10212"/>
      <queryTableField id="6181" dataBound="0" tableColumnId="10213"/>
      <queryTableField id="6180" dataBound="0" tableColumnId="10214"/>
      <queryTableField id="6179" dataBound="0" tableColumnId="10215"/>
      <queryTableField id="6178" dataBound="0" tableColumnId="10216"/>
      <queryTableField id="6177" dataBound="0" tableColumnId="10217"/>
      <queryTableField id="6176" dataBound="0" tableColumnId="10218"/>
      <queryTableField id="6175" dataBound="0" tableColumnId="10219"/>
      <queryTableField id="6174" dataBound="0" tableColumnId="10220"/>
      <queryTableField id="6173" dataBound="0" tableColumnId="10221"/>
      <queryTableField id="6172" dataBound="0" tableColumnId="10222"/>
      <queryTableField id="6171" dataBound="0" tableColumnId="10223"/>
      <queryTableField id="6170" dataBound="0" tableColumnId="10224"/>
      <queryTableField id="6169" dataBound="0" tableColumnId="10225"/>
      <queryTableField id="6168" dataBound="0" tableColumnId="10226"/>
      <queryTableField id="6167" dataBound="0" tableColumnId="10227"/>
      <queryTableField id="6166" dataBound="0" tableColumnId="10228"/>
      <queryTableField id="6165" dataBound="0" tableColumnId="10229"/>
      <queryTableField id="6164" dataBound="0" tableColumnId="10230"/>
      <queryTableField id="6163" dataBound="0" tableColumnId="10231"/>
      <queryTableField id="6162" dataBound="0" tableColumnId="10232"/>
      <queryTableField id="6161" dataBound="0" tableColumnId="10233"/>
      <queryTableField id="6160" dataBound="0" tableColumnId="10234"/>
      <queryTableField id="6159" dataBound="0" tableColumnId="10235"/>
      <queryTableField id="6158" dataBound="0" tableColumnId="10236"/>
      <queryTableField id="6157" dataBound="0" tableColumnId="10237"/>
      <queryTableField id="6156" dataBound="0" tableColumnId="10238"/>
      <queryTableField id="6155" dataBound="0" tableColumnId="10239"/>
      <queryTableField id="6154" dataBound="0" tableColumnId="10240"/>
      <queryTableField id="6153" dataBound="0" tableColumnId="10241"/>
      <queryTableField id="6152" dataBound="0" tableColumnId="10242"/>
      <queryTableField id="6151" dataBound="0" tableColumnId="10243"/>
      <queryTableField id="6150" dataBound="0" tableColumnId="10244"/>
      <queryTableField id="6149" dataBound="0" tableColumnId="10245"/>
      <queryTableField id="6148" dataBound="0" tableColumnId="10246"/>
      <queryTableField id="6147" dataBound="0" tableColumnId="10247"/>
      <queryTableField id="6146" dataBound="0" tableColumnId="10248"/>
      <queryTableField id="6145" dataBound="0" tableColumnId="10249"/>
      <queryTableField id="6144" dataBound="0" tableColumnId="10250"/>
      <queryTableField id="6143" dataBound="0" tableColumnId="10251"/>
      <queryTableField id="6142" dataBound="0" tableColumnId="10252"/>
      <queryTableField id="6141" dataBound="0" tableColumnId="10253"/>
      <queryTableField id="6140" dataBound="0" tableColumnId="10254"/>
      <queryTableField id="6139" dataBound="0" tableColumnId="10255"/>
      <queryTableField id="6138" dataBound="0" tableColumnId="10256"/>
      <queryTableField id="6137" dataBound="0" tableColumnId="10257"/>
      <queryTableField id="6136" dataBound="0" tableColumnId="10258"/>
      <queryTableField id="6135" dataBound="0" tableColumnId="10259"/>
      <queryTableField id="6134" dataBound="0" tableColumnId="10260"/>
      <queryTableField id="6133" dataBound="0" tableColumnId="10261"/>
      <queryTableField id="6132" dataBound="0" tableColumnId="10262"/>
      <queryTableField id="6131" dataBound="0" tableColumnId="10263"/>
      <queryTableField id="6130" dataBound="0" tableColumnId="10264"/>
      <queryTableField id="6129" dataBound="0" tableColumnId="10265"/>
      <queryTableField id="6128" dataBound="0" tableColumnId="10266"/>
      <queryTableField id="6127" dataBound="0" tableColumnId="10267"/>
      <queryTableField id="6126" dataBound="0" tableColumnId="10268"/>
      <queryTableField id="6125" dataBound="0" tableColumnId="10269"/>
      <queryTableField id="6124" dataBound="0" tableColumnId="10270"/>
      <queryTableField id="6123" dataBound="0" tableColumnId="10271"/>
      <queryTableField id="6122" dataBound="0" tableColumnId="10272"/>
      <queryTableField id="6121" dataBound="0" tableColumnId="10273"/>
      <queryTableField id="6120" dataBound="0" tableColumnId="10274"/>
      <queryTableField id="6119" dataBound="0" tableColumnId="10275"/>
      <queryTableField id="6118" dataBound="0" tableColumnId="10276"/>
      <queryTableField id="6117" dataBound="0" tableColumnId="10277"/>
      <queryTableField id="6116" dataBound="0" tableColumnId="10278"/>
      <queryTableField id="6115" dataBound="0" tableColumnId="10279"/>
      <queryTableField id="6114" dataBound="0" tableColumnId="10280"/>
      <queryTableField id="6113" dataBound="0" tableColumnId="10281"/>
      <queryTableField id="6112" dataBound="0" tableColumnId="10282"/>
      <queryTableField id="6111" dataBound="0" tableColumnId="10283"/>
      <queryTableField id="6110" dataBound="0" tableColumnId="10284"/>
      <queryTableField id="6109" dataBound="0" tableColumnId="10285"/>
      <queryTableField id="6108" dataBound="0" tableColumnId="10286"/>
      <queryTableField id="6107" dataBound="0" tableColumnId="10287"/>
      <queryTableField id="6106" dataBound="0" tableColumnId="10288"/>
      <queryTableField id="6105" dataBound="0" tableColumnId="10289"/>
      <queryTableField id="6104" dataBound="0" tableColumnId="10290"/>
      <queryTableField id="6103" dataBound="0" tableColumnId="10291"/>
      <queryTableField id="6102" dataBound="0" tableColumnId="10292"/>
      <queryTableField id="6101" dataBound="0" tableColumnId="10293"/>
      <queryTableField id="6100" dataBound="0" tableColumnId="10294"/>
      <queryTableField id="6099" dataBound="0" tableColumnId="10295"/>
      <queryTableField id="6098" dataBound="0" tableColumnId="10296"/>
      <queryTableField id="6097" dataBound="0" tableColumnId="10297"/>
      <queryTableField id="6096" dataBound="0" tableColumnId="10298"/>
      <queryTableField id="6095" dataBound="0" tableColumnId="10299"/>
      <queryTableField id="6094" dataBound="0" tableColumnId="10300"/>
      <queryTableField id="6093" dataBound="0" tableColumnId="10301"/>
      <queryTableField id="6092" dataBound="0" tableColumnId="10302"/>
      <queryTableField id="6091" dataBound="0" tableColumnId="10303"/>
      <queryTableField id="6090" dataBound="0" tableColumnId="10304"/>
      <queryTableField id="6089" dataBound="0" tableColumnId="10305"/>
      <queryTableField id="6088" dataBound="0" tableColumnId="10306"/>
      <queryTableField id="6087" dataBound="0" tableColumnId="10307"/>
      <queryTableField id="6086" dataBound="0" tableColumnId="10308"/>
      <queryTableField id="6085" dataBound="0" tableColumnId="10309"/>
      <queryTableField id="6084" dataBound="0" tableColumnId="10310"/>
      <queryTableField id="6083" dataBound="0" tableColumnId="10311"/>
      <queryTableField id="6082" dataBound="0" tableColumnId="10312"/>
      <queryTableField id="6081" dataBound="0" tableColumnId="10313"/>
      <queryTableField id="6080" dataBound="0" tableColumnId="10314"/>
      <queryTableField id="6079" dataBound="0" tableColumnId="10315"/>
      <queryTableField id="6078" dataBound="0" tableColumnId="10316"/>
      <queryTableField id="6077" dataBound="0" tableColumnId="10317"/>
      <queryTableField id="6076" dataBound="0" tableColumnId="10318"/>
      <queryTableField id="6075" dataBound="0" tableColumnId="10319"/>
      <queryTableField id="6074" dataBound="0" tableColumnId="10320"/>
      <queryTableField id="6073" dataBound="0" tableColumnId="10321"/>
      <queryTableField id="6072" dataBound="0" tableColumnId="10322"/>
      <queryTableField id="6071" dataBound="0" tableColumnId="10323"/>
      <queryTableField id="6070" dataBound="0" tableColumnId="10324"/>
      <queryTableField id="6069" dataBound="0" tableColumnId="10325"/>
      <queryTableField id="6068" dataBound="0" tableColumnId="10326"/>
      <queryTableField id="6067" dataBound="0" tableColumnId="10327"/>
      <queryTableField id="6066" dataBound="0" tableColumnId="10328"/>
      <queryTableField id="6065" dataBound="0" tableColumnId="10329"/>
      <queryTableField id="6064" dataBound="0" tableColumnId="10330"/>
      <queryTableField id="6063" dataBound="0" tableColumnId="10331"/>
      <queryTableField id="6062" dataBound="0" tableColumnId="10332"/>
      <queryTableField id="6061" dataBound="0" tableColumnId="10333"/>
      <queryTableField id="6060" dataBound="0" tableColumnId="10334"/>
      <queryTableField id="6059" dataBound="0" tableColumnId="10335"/>
      <queryTableField id="6058" dataBound="0" tableColumnId="10336"/>
      <queryTableField id="6057" dataBound="0" tableColumnId="10337"/>
      <queryTableField id="6056" dataBound="0" tableColumnId="10338"/>
      <queryTableField id="6055" dataBound="0" tableColumnId="10339"/>
      <queryTableField id="6054" dataBound="0" tableColumnId="10340"/>
      <queryTableField id="6053" dataBound="0" tableColumnId="10341"/>
      <queryTableField id="6052" dataBound="0" tableColumnId="10342"/>
      <queryTableField id="6051" dataBound="0" tableColumnId="10343"/>
      <queryTableField id="6050" dataBound="0" tableColumnId="10344"/>
      <queryTableField id="6049" dataBound="0" tableColumnId="10345"/>
      <queryTableField id="6048" dataBound="0" tableColumnId="10346"/>
      <queryTableField id="6047" dataBound="0" tableColumnId="10347"/>
      <queryTableField id="6046" dataBound="0" tableColumnId="10348"/>
      <queryTableField id="6045" dataBound="0" tableColumnId="10349"/>
      <queryTableField id="6044" dataBound="0" tableColumnId="10350"/>
      <queryTableField id="6043" dataBound="0" tableColumnId="10351"/>
      <queryTableField id="6042" dataBound="0" tableColumnId="10352"/>
      <queryTableField id="6041" dataBound="0" tableColumnId="10353"/>
      <queryTableField id="6040" dataBound="0" tableColumnId="10354"/>
      <queryTableField id="6039" dataBound="0" tableColumnId="10355"/>
      <queryTableField id="6038" dataBound="0" tableColumnId="10356"/>
      <queryTableField id="6037" dataBound="0" tableColumnId="10357"/>
      <queryTableField id="6036" dataBound="0" tableColumnId="10358"/>
      <queryTableField id="6035" dataBound="0" tableColumnId="10359"/>
      <queryTableField id="6034" dataBound="0" tableColumnId="10360"/>
      <queryTableField id="6033" dataBound="0" tableColumnId="10361"/>
      <queryTableField id="6032" dataBound="0" tableColumnId="10362"/>
      <queryTableField id="6031" dataBound="0" tableColumnId="10363"/>
      <queryTableField id="6030" dataBound="0" tableColumnId="10364"/>
      <queryTableField id="6029" dataBound="0" tableColumnId="10365"/>
      <queryTableField id="6028" dataBound="0" tableColumnId="10366"/>
      <queryTableField id="6027" dataBound="0" tableColumnId="10367"/>
      <queryTableField id="6026" dataBound="0" tableColumnId="10368"/>
      <queryTableField id="6025" dataBound="0" tableColumnId="10369"/>
      <queryTableField id="6024" dataBound="0" tableColumnId="10370"/>
      <queryTableField id="6023" dataBound="0" tableColumnId="10371"/>
      <queryTableField id="6022" dataBound="0" tableColumnId="10372"/>
      <queryTableField id="6021" dataBound="0" tableColumnId="10373"/>
      <queryTableField id="6020" dataBound="0" tableColumnId="10374"/>
      <queryTableField id="6019" dataBound="0" tableColumnId="10375"/>
      <queryTableField id="6018" dataBound="0" tableColumnId="10376"/>
      <queryTableField id="6017" dataBound="0" tableColumnId="10377"/>
      <queryTableField id="6016" dataBound="0" tableColumnId="10378"/>
      <queryTableField id="6015" dataBound="0" tableColumnId="10379"/>
      <queryTableField id="6014" dataBound="0" tableColumnId="10380"/>
      <queryTableField id="6013" dataBound="0" tableColumnId="10381"/>
      <queryTableField id="6012" dataBound="0" tableColumnId="10382"/>
      <queryTableField id="6011" dataBound="0" tableColumnId="10383"/>
      <queryTableField id="6010" dataBound="0" tableColumnId="10384"/>
      <queryTableField id="6009" dataBound="0" tableColumnId="10385"/>
      <queryTableField id="6008" dataBound="0" tableColumnId="10386"/>
      <queryTableField id="6007" dataBound="0" tableColumnId="10387"/>
      <queryTableField id="6006" dataBound="0" tableColumnId="10388"/>
      <queryTableField id="6005" dataBound="0" tableColumnId="10389"/>
      <queryTableField id="6004" dataBound="0" tableColumnId="10390"/>
      <queryTableField id="6003" dataBound="0" tableColumnId="10391"/>
      <queryTableField id="6002" dataBound="0" tableColumnId="10392"/>
      <queryTableField id="6001" dataBound="0" tableColumnId="10393"/>
      <queryTableField id="6000" dataBound="0" tableColumnId="10394"/>
      <queryTableField id="5999" dataBound="0" tableColumnId="10395"/>
      <queryTableField id="5998" dataBound="0" tableColumnId="10396"/>
      <queryTableField id="5997" dataBound="0" tableColumnId="10397"/>
      <queryTableField id="5996" dataBound="0" tableColumnId="10398"/>
      <queryTableField id="5995" dataBound="0" tableColumnId="10399"/>
      <queryTableField id="5994" dataBound="0" tableColumnId="10400"/>
      <queryTableField id="5993" dataBound="0" tableColumnId="10401"/>
      <queryTableField id="5992" dataBound="0" tableColumnId="10402"/>
      <queryTableField id="5991" dataBound="0" tableColumnId="10403"/>
      <queryTableField id="5990" dataBound="0" tableColumnId="10404"/>
      <queryTableField id="5989" dataBound="0" tableColumnId="10405"/>
      <queryTableField id="5988" dataBound="0" tableColumnId="10406"/>
      <queryTableField id="5987" dataBound="0" tableColumnId="10407"/>
      <queryTableField id="5986" dataBound="0" tableColumnId="10408"/>
      <queryTableField id="5985" dataBound="0" tableColumnId="10409"/>
      <queryTableField id="5984" dataBound="0" tableColumnId="10410"/>
      <queryTableField id="5983" dataBound="0" tableColumnId="10411"/>
      <queryTableField id="5982" dataBound="0" tableColumnId="10412"/>
      <queryTableField id="5981" dataBound="0" tableColumnId="10413"/>
      <queryTableField id="5980" dataBound="0" tableColumnId="10414"/>
      <queryTableField id="5979" dataBound="0" tableColumnId="10415"/>
      <queryTableField id="5978" dataBound="0" tableColumnId="10416"/>
      <queryTableField id="5977" dataBound="0" tableColumnId="10417"/>
      <queryTableField id="5976" dataBound="0" tableColumnId="10418"/>
      <queryTableField id="5975" dataBound="0" tableColumnId="10419"/>
      <queryTableField id="5974" dataBound="0" tableColumnId="10420"/>
      <queryTableField id="5973" dataBound="0" tableColumnId="10421"/>
      <queryTableField id="5972" dataBound="0" tableColumnId="10422"/>
      <queryTableField id="5971" dataBound="0" tableColumnId="10423"/>
      <queryTableField id="5970" dataBound="0" tableColumnId="10424"/>
      <queryTableField id="5969" dataBound="0" tableColumnId="10425"/>
      <queryTableField id="5968" dataBound="0" tableColumnId="10426"/>
      <queryTableField id="5967" dataBound="0" tableColumnId="10427"/>
      <queryTableField id="5966" dataBound="0" tableColumnId="10428"/>
      <queryTableField id="5965" dataBound="0" tableColumnId="10429"/>
      <queryTableField id="5964" dataBound="0" tableColumnId="10430"/>
      <queryTableField id="5963" dataBound="0" tableColumnId="10431"/>
      <queryTableField id="5962" dataBound="0" tableColumnId="10432"/>
      <queryTableField id="5961" dataBound="0" tableColumnId="10433"/>
      <queryTableField id="5960" dataBound="0" tableColumnId="10434"/>
      <queryTableField id="5959" dataBound="0" tableColumnId="10435"/>
      <queryTableField id="5958" dataBound="0" tableColumnId="10436"/>
      <queryTableField id="5957" dataBound="0" tableColumnId="10437"/>
      <queryTableField id="5956" dataBound="0" tableColumnId="10438"/>
      <queryTableField id="5955" dataBound="0" tableColumnId="10439"/>
      <queryTableField id="5954" dataBound="0" tableColumnId="10440"/>
      <queryTableField id="5953" dataBound="0" tableColumnId="10441"/>
      <queryTableField id="5952" dataBound="0" tableColumnId="10442"/>
      <queryTableField id="5951" dataBound="0" tableColumnId="10443"/>
      <queryTableField id="5950" dataBound="0" tableColumnId="10444"/>
      <queryTableField id="5949" dataBound="0" tableColumnId="10445"/>
      <queryTableField id="5948" dataBound="0" tableColumnId="10446"/>
      <queryTableField id="5947" dataBound="0" tableColumnId="10447"/>
      <queryTableField id="5946" dataBound="0" tableColumnId="10448"/>
      <queryTableField id="5945" dataBound="0" tableColumnId="10449"/>
      <queryTableField id="5944" dataBound="0" tableColumnId="10450"/>
      <queryTableField id="5943" dataBound="0" tableColumnId="10451"/>
      <queryTableField id="5942" dataBound="0" tableColumnId="10452"/>
      <queryTableField id="5941" dataBound="0" tableColumnId="10453"/>
      <queryTableField id="5940" dataBound="0" tableColumnId="10454"/>
      <queryTableField id="5939" dataBound="0" tableColumnId="10455"/>
      <queryTableField id="5938" dataBound="0" tableColumnId="10456"/>
      <queryTableField id="5937" dataBound="0" tableColumnId="10457"/>
      <queryTableField id="5936" dataBound="0" tableColumnId="10458"/>
      <queryTableField id="5935" dataBound="0" tableColumnId="10459"/>
      <queryTableField id="5934" dataBound="0" tableColumnId="10460"/>
      <queryTableField id="5933" dataBound="0" tableColumnId="10461"/>
      <queryTableField id="5932" dataBound="0" tableColumnId="10462"/>
      <queryTableField id="5931" dataBound="0" tableColumnId="10463"/>
      <queryTableField id="5930" dataBound="0" tableColumnId="10464"/>
      <queryTableField id="5929" dataBound="0" tableColumnId="10465"/>
      <queryTableField id="5928" dataBound="0" tableColumnId="10466"/>
      <queryTableField id="5927" dataBound="0" tableColumnId="10467"/>
      <queryTableField id="5926" dataBound="0" tableColumnId="10468"/>
      <queryTableField id="5925" dataBound="0" tableColumnId="10469"/>
      <queryTableField id="5924" dataBound="0" tableColumnId="10470"/>
      <queryTableField id="5923" dataBound="0" tableColumnId="10471"/>
      <queryTableField id="5922" dataBound="0" tableColumnId="10472"/>
      <queryTableField id="5921" dataBound="0" tableColumnId="10473"/>
      <queryTableField id="5920" dataBound="0" tableColumnId="10474"/>
      <queryTableField id="5919" dataBound="0" tableColumnId="10475"/>
      <queryTableField id="5918" dataBound="0" tableColumnId="10476"/>
      <queryTableField id="5917" dataBound="0" tableColumnId="10477"/>
      <queryTableField id="5916" dataBound="0" tableColumnId="10478"/>
      <queryTableField id="5915" dataBound="0" tableColumnId="10479"/>
      <queryTableField id="5914" dataBound="0" tableColumnId="10480"/>
      <queryTableField id="5913" dataBound="0" tableColumnId="10481"/>
      <queryTableField id="5912" dataBound="0" tableColumnId="10482"/>
      <queryTableField id="5911" dataBound="0" tableColumnId="10483"/>
      <queryTableField id="5910" dataBound="0" tableColumnId="10484"/>
      <queryTableField id="5909" dataBound="0" tableColumnId="10485"/>
      <queryTableField id="5908" dataBound="0" tableColumnId="10486"/>
      <queryTableField id="5907" dataBound="0" tableColumnId="10487"/>
      <queryTableField id="5906" dataBound="0" tableColumnId="10488"/>
      <queryTableField id="5905" dataBound="0" tableColumnId="10489"/>
      <queryTableField id="5904" dataBound="0" tableColumnId="10490"/>
      <queryTableField id="5903" dataBound="0" tableColumnId="10491"/>
      <queryTableField id="5902" dataBound="0" tableColumnId="10492"/>
      <queryTableField id="5901" dataBound="0" tableColumnId="10493"/>
      <queryTableField id="5900" dataBound="0" tableColumnId="10494"/>
      <queryTableField id="5899" dataBound="0" tableColumnId="10495"/>
      <queryTableField id="5898" dataBound="0" tableColumnId="10496"/>
      <queryTableField id="5897" dataBound="0" tableColumnId="10497"/>
      <queryTableField id="5896" dataBound="0" tableColumnId="10498"/>
      <queryTableField id="5895" dataBound="0" tableColumnId="10499"/>
      <queryTableField id="5894" dataBound="0" tableColumnId="10500"/>
      <queryTableField id="5893" dataBound="0" tableColumnId="10501"/>
      <queryTableField id="5892" dataBound="0" tableColumnId="10502"/>
      <queryTableField id="5891" dataBound="0" tableColumnId="10503"/>
      <queryTableField id="5890" dataBound="0" tableColumnId="10504"/>
      <queryTableField id="5889" dataBound="0" tableColumnId="10505"/>
      <queryTableField id="5888" dataBound="0" tableColumnId="10506"/>
      <queryTableField id="5887" dataBound="0" tableColumnId="10507"/>
      <queryTableField id="5886" dataBound="0" tableColumnId="10508"/>
      <queryTableField id="5885" dataBound="0" tableColumnId="10509"/>
      <queryTableField id="5884" dataBound="0" tableColumnId="10510"/>
      <queryTableField id="5883" dataBound="0" tableColumnId="10511"/>
      <queryTableField id="5882" dataBound="0" tableColumnId="10512"/>
      <queryTableField id="5881" dataBound="0" tableColumnId="10513"/>
      <queryTableField id="5880" dataBound="0" tableColumnId="10514"/>
      <queryTableField id="5879" dataBound="0" tableColumnId="10515"/>
      <queryTableField id="5878" dataBound="0" tableColumnId="10516"/>
      <queryTableField id="5877" dataBound="0" tableColumnId="10517"/>
      <queryTableField id="5876" dataBound="0" tableColumnId="10518"/>
      <queryTableField id="5875" dataBound="0" tableColumnId="10519"/>
      <queryTableField id="5874" dataBound="0" tableColumnId="10520"/>
      <queryTableField id="5873" dataBound="0" tableColumnId="10521"/>
      <queryTableField id="5872" dataBound="0" tableColumnId="10522"/>
      <queryTableField id="5871" dataBound="0" tableColumnId="10523"/>
      <queryTableField id="5870" dataBound="0" tableColumnId="10524"/>
      <queryTableField id="5869" dataBound="0" tableColumnId="10525"/>
      <queryTableField id="5868" dataBound="0" tableColumnId="10526"/>
      <queryTableField id="5867" dataBound="0" tableColumnId="10527"/>
      <queryTableField id="5866" dataBound="0" tableColumnId="10528"/>
      <queryTableField id="5865" dataBound="0" tableColumnId="10529"/>
      <queryTableField id="5864" dataBound="0" tableColumnId="10530"/>
      <queryTableField id="5863" dataBound="0" tableColumnId="10531"/>
      <queryTableField id="5862" dataBound="0" tableColumnId="10532"/>
      <queryTableField id="5861" dataBound="0" tableColumnId="10533"/>
      <queryTableField id="5860" dataBound="0" tableColumnId="10534"/>
      <queryTableField id="5859" dataBound="0" tableColumnId="10535"/>
      <queryTableField id="5858" dataBound="0" tableColumnId="10536"/>
      <queryTableField id="5857" dataBound="0" tableColumnId="10537"/>
      <queryTableField id="5856" dataBound="0" tableColumnId="10538"/>
      <queryTableField id="5855" dataBound="0" tableColumnId="10539"/>
      <queryTableField id="5854" dataBound="0" tableColumnId="10540"/>
      <queryTableField id="5853" dataBound="0" tableColumnId="10541"/>
      <queryTableField id="5852" dataBound="0" tableColumnId="10542"/>
      <queryTableField id="5851" dataBound="0" tableColumnId="10543"/>
      <queryTableField id="5850" dataBound="0" tableColumnId="10544"/>
      <queryTableField id="5849" dataBound="0" tableColumnId="10545"/>
      <queryTableField id="5848" dataBound="0" tableColumnId="10546"/>
      <queryTableField id="5847" dataBound="0" tableColumnId="10547"/>
      <queryTableField id="5846" dataBound="0" tableColumnId="10548"/>
      <queryTableField id="5845" dataBound="0" tableColumnId="10549"/>
      <queryTableField id="5844" dataBound="0" tableColumnId="10550"/>
      <queryTableField id="5843" dataBound="0" tableColumnId="10551"/>
      <queryTableField id="5842" dataBound="0" tableColumnId="10552"/>
      <queryTableField id="5841" dataBound="0" tableColumnId="10553"/>
      <queryTableField id="5840" dataBound="0" tableColumnId="10554"/>
      <queryTableField id="5839" dataBound="0" tableColumnId="10555"/>
      <queryTableField id="5838" dataBound="0" tableColumnId="10556"/>
      <queryTableField id="5837" dataBound="0" tableColumnId="10557"/>
      <queryTableField id="5836" dataBound="0" tableColumnId="10558"/>
      <queryTableField id="5835" dataBound="0" tableColumnId="10559"/>
      <queryTableField id="5834" dataBound="0" tableColumnId="10560"/>
      <queryTableField id="5833" dataBound="0" tableColumnId="10561"/>
      <queryTableField id="5832" dataBound="0" tableColumnId="10562"/>
      <queryTableField id="5831" dataBound="0" tableColumnId="10563"/>
      <queryTableField id="5830" dataBound="0" tableColumnId="10564"/>
      <queryTableField id="5829" dataBound="0" tableColumnId="10565"/>
      <queryTableField id="5828" dataBound="0" tableColumnId="10566"/>
      <queryTableField id="5827" dataBound="0" tableColumnId="10567"/>
      <queryTableField id="5826" dataBound="0" tableColumnId="10568"/>
      <queryTableField id="5825" dataBound="0" tableColumnId="10569"/>
      <queryTableField id="5824" dataBound="0" tableColumnId="10570"/>
      <queryTableField id="5823" dataBound="0" tableColumnId="10571"/>
      <queryTableField id="5822" dataBound="0" tableColumnId="10572"/>
      <queryTableField id="5821" dataBound="0" tableColumnId="10573"/>
      <queryTableField id="5820" dataBound="0" tableColumnId="10574"/>
      <queryTableField id="5819" dataBound="0" tableColumnId="10575"/>
      <queryTableField id="5818" dataBound="0" tableColumnId="10576"/>
      <queryTableField id="5817" dataBound="0" tableColumnId="10577"/>
      <queryTableField id="5816" dataBound="0" tableColumnId="10578"/>
      <queryTableField id="5815" dataBound="0" tableColumnId="10579"/>
      <queryTableField id="5814" dataBound="0" tableColumnId="10580"/>
      <queryTableField id="5813" dataBound="0" tableColumnId="10581"/>
      <queryTableField id="5812" dataBound="0" tableColumnId="10582"/>
      <queryTableField id="5811" dataBound="0" tableColumnId="10583"/>
      <queryTableField id="5810" dataBound="0" tableColumnId="10584"/>
      <queryTableField id="5809" dataBound="0" tableColumnId="10585"/>
      <queryTableField id="5808" dataBound="0" tableColumnId="10586"/>
      <queryTableField id="5807" dataBound="0" tableColumnId="10587"/>
      <queryTableField id="5806" dataBound="0" tableColumnId="10588"/>
      <queryTableField id="5805" dataBound="0" tableColumnId="10589"/>
      <queryTableField id="5804" dataBound="0" tableColumnId="10590"/>
      <queryTableField id="5803" dataBound="0" tableColumnId="10591"/>
      <queryTableField id="5802" dataBound="0" tableColumnId="10592"/>
      <queryTableField id="5801" dataBound="0" tableColumnId="10593"/>
      <queryTableField id="5800" dataBound="0" tableColumnId="10594"/>
      <queryTableField id="5799" dataBound="0" tableColumnId="10595"/>
      <queryTableField id="5798" dataBound="0" tableColumnId="10596"/>
      <queryTableField id="5797" dataBound="0" tableColumnId="10597"/>
      <queryTableField id="5796" dataBound="0" tableColumnId="10598"/>
      <queryTableField id="5795" dataBound="0" tableColumnId="10599"/>
      <queryTableField id="5794" dataBound="0" tableColumnId="10600"/>
      <queryTableField id="5793" dataBound="0" tableColumnId="10601"/>
      <queryTableField id="5792" dataBound="0" tableColumnId="10602"/>
      <queryTableField id="5791" dataBound="0" tableColumnId="10603"/>
      <queryTableField id="5790" dataBound="0" tableColumnId="10604"/>
      <queryTableField id="5789" dataBound="0" tableColumnId="10605"/>
      <queryTableField id="5788" dataBound="0" tableColumnId="10606"/>
      <queryTableField id="5787" dataBound="0" tableColumnId="10607"/>
      <queryTableField id="5786" dataBound="0" tableColumnId="10608"/>
      <queryTableField id="5785" dataBound="0" tableColumnId="10609"/>
      <queryTableField id="5784" dataBound="0" tableColumnId="10610"/>
      <queryTableField id="5783" dataBound="0" tableColumnId="10611"/>
      <queryTableField id="5782" dataBound="0" tableColumnId="10612"/>
      <queryTableField id="5781" dataBound="0" tableColumnId="10613"/>
      <queryTableField id="5780" dataBound="0" tableColumnId="10614"/>
      <queryTableField id="5779" dataBound="0" tableColumnId="10615"/>
      <queryTableField id="5778" dataBound="0" tableColumnId="10616"/>
      <queryTableField id="5777" dataBound="0" tableColumnId="10617"/>
      <queryTableField id="5776" dataBound="0" tableColumnId="10618"/>
      <queryTableField id="5775" dataBound="0" tableColumnId="10619"/>
      <queryTableField id="5774" dataBound="0" tableColumnId="10620"/>
      <queryTableField id="5773" dataBound="0" tableColumnId="10621"/>
      <queryTableField id="5772" dataBound="0" tableColumnId="10622"/>
      <queryTableField id="5771" dataBound="0" tableColumnId="10623"/>
      <queryTableField id="5770" dataBound="0" tableColumnId="10624"/>
      <queryTableField id="5769" dataBound="0" tableColumnId="10625"/>
      <queryTableField id="5768" dataBound="0" tableColumnId="10626"/>
      <queryTableField id="5767" dataBound="0" tableColumnId="10627"/>
      <queryTableField id="5766" dataBound="0" tableColumnId="10628"/>
      <queryTableField id="5765" dataBound="0" tableColumnId="10629"/>
      <queryTableField id="5764" dataBound="0" tableColumnId="10630"/>
      <queryTableField id="5763" dataBound="0" tableColumnId="10631"/>
      <queryTableField id="5762" dataBound="0" tableColumnId="10632"/>
      <queryTableField id="5761" dataBound="0" tableColumnId="10633"/>
      <queryTableField id="5760" dataBound="0" tableColumnId="10634"/>
      <queryTableField id="5759" dataBound="0" tableColumnId="10635"/>
      <queryTableField id="5758" dataBound="0" tableColumnId="10636"/>
      <queryTableField id="5757" dataBound="0" tableColumnId="10637"/>
      <queryTableField id="5756" dataBound="0" tableColumnId="10638"/>
      <queryTableField id="5755" dataBound="0" tableColumnId="10639"/>
      <queryTableField id="5754" dataBound="0" tableColumnId="10640"/>
      <queryTableField id="5753" dataBound="0" tableColumnId="10641"/>
      <queryTableField id="5752" dataBound="0" tableColumnId="10642"/>
      <queryTableField id="5751" dataBound="0" tableColumnId="10643"/>
      <queryTableField id="5750" dataBound="0" tableColumnId="10644"/>
      <queryTableField id="5749" dataBound="0" tableColumnId="10645"/>
      <queryTableField id="5748" dataBound="0" tableColumnId="10646"/>
      <queryTableField id="5747" dataBound="0" tableColumnId="10647"/>
      <queryTableField id="5746" dataBound="0" tableColumnId="10648"/>
      <queryTableField id="5745" dataBound="0" tableColumnId="10649"/>
      <queryTableField id="5744" dataBound="0" tableColumnId="10650"/>
      <queryTableField id="5743" dataBound="0" tableColumnId="10651"/>
      <queryTableField id="5742" dataBound="0" tableColumnId="10652"/>
      <queryTableField id="5741" dataBound="0" tableColumnId="10653"/>
      <queryTableField id="5740" dataBound="0" tableColumnId="10654"/>
      <queryTableField id="5739" dataBound="0" tableColumnId="10655"/>
      <queryTableField id="5738" dataBound="0" tableColumnId="10656"/>
      <queryTableField id="5737" dataBound="0" tableColumnId="10657"/>
      <queryTableField id="5736" dataBound="0" tableColumnId="10658"/>
      <queryTableField id="5735" dataBound="0" tableColumnId="10659"/>
      <queryTableField id="5734" dataBound="0" tableColumnId="10660"/>
      <queryTableField id="5733" dataBound="0" tableColumnId="10661"/>
      <queryTableField id="5732" dataBound="0" tableColumnId="10662"/>
      <queryTableField id="5731" dataBound="0" tableColumnId="10663"/>
      <queryTableField id="5730" dataBound="0" tableColumnId="10664"/>
      <queryTableField id="5729" dataBound="0" tableColumnId="10665"/>
      <queryTableField id="5728" dataBound="0" tableColumnId="10666"/>
      <queryTableField id="5727" dataBound="0" tableColumnId="10667"/>
      <queryTableField id="5726" dataBound="0" tableColumnId="10668"/>
      <queryTableField id="5725" dataBound="0" tableColumnId="10669"/>
      <queryTableField id="5724" dataBound="0" tableColumnId="10670"/>
      <queryTableField id="5723" dataBound="0" tableColumnId="10671"/>
      <queryTableField id="5722" dataBound="0" tableColumnId="10672"/>
      <queryTableField id="5721" dataBound="0" tableColumnId="10673"/>
      <queryTableField id="5720" dataBound="0" tableColumnId="10674"/>
      <queryTableField id="5719" dataBound="0" tableColumnId="10675"/>
      <queryTableField id="5718" dataBound="0" tableColumnId="10676"/>
      <queryTableField id="5717" dataBound="0" tableColumnId="10677"/>
      <queryTableField id="5716" dataBound="0" tableColumnId="10678"/>
      <queryTableField id="5715" dataBound="0" tableColumnId="10679"/>
      <queryTableField id="5714" dataBound="0" tableColumnId="10680"/>
      <queryTableField id="5713" dataBound="0" tableColumnId="10681"/>
      <queryTableField id="5712" dataBound="0" tableColumnId="10682"/>
      <queryTableField id="5711" dataBound="0" tableColumnId="10683"/>
      <queryTableField id="5710" dataBound="0" tableColumnId="10684"/>
      <queryTableField id="5709" dataBound="0" tableColumnId="10685"/>
      <queryTableField id="5708" dataBound="0" tableColumnId="10686"/>
      <queryTableField id="5707" dataBound="0" tableColumnId="10687"/>
      <queryTableField id="5706" dataBound="0" tableColumnId="10688"/>
      <queryTableField id="5705" dataBound="0" tableColumnId="10689"/>
      <queryTableField id="5704" dataBound="0" tableColumnId="10690"/>
      <queryTableField id="5703" dataBound="0" tableColumnId="10691"/>
      <queryTableField id="5702" dataBound="0" tableColumnId="10692"/>
      <queryTableField id="5701" dataBound="0" tableColumnId="10693"/>
      <queryTableField id="5700" dataBound="0" tableColumnId="10694"/>
      <queryTableField id="5699" dataBound="0" tableColumnId="10695"/>
      <queryTableField id="5698" dataBound="0" tableColumnId="10696"/>
      <queryTableField id="5697" dataBound="0" tableColumnId="10697"/>
      <queryTableField id="5696" dataBound="0" tableColumnId="10698"/>
      <queryTableField id="5695" dataBound="0" tableColumnId="10699"/>
      <queryTableField id="5694" dataBound="0" tableColumnId="10700"/>
      <queryTableField id="5693" dataBound="0" tableColumnId="10701"/>
      <queryTableField id="5692" dataBound="0" tableColumnId="10702"/>
      <queryTableField id="5691" dataBound="0" tableColumnId="10703"/>
      <queryTableField id="5690" dataBound="0" tableColumnId="10704"/>
      <queryTableField id="5689" dataBound="0" tableColumnId="10705"/>
      <queryTableField id="5688" dataBound="0" tableColumnId="10706"/>
      <queryTableField id="5687" dataBound="0" tableColumnId="10707"/>
      <queryTableField id="5686" dataBound="0" tableColumnId="10708"/>
      <queryTableField id="5685" dataBound="0" tableColumnId="10709"/>
      <queryTableField id="5684" dataBound="0" tableColumnId="10710"/>
      <queryTableField id="5683" dataBound="0" tableColumnId="10711"/>
      <queryTableField id="5682" dataBound="0" tableColumnId="10712"/>
      <queryTableField id="5681" dataBound="0" tableColumnId="10713"/>
      <queryTableField id="5680" dataBound="0" tableColumnId="10714"/>
      <queryTableField id="5679" dataBound="0" tableColumnId="10715"/>
      <queryTableField id="5678" dataBound="0" tableColumnId="10716"/>
      <queryTableField id="5677" dataBound="0" tableColumnId="10717"/>
      <queryTableField id="5676" dataBound="0" tableColumnId="10718"/>
      <queryTableField id="5675" dataBound="0" tableColumnId="10719"/>
      <queryTableField id="5674" dataBound="0" tableColumnId="10720"/>
      <queryTableField id="5673" dataBound="0" tableColumnId="10721"/>
      <queryTableField id="5672" dataBound="0" tableColumnId="10722"/>
      <queryTableField id="5671" dataBound="0" tableColumnId="10723"/>
      <queryTableField id="5670" dataBound="0" tableColumnId="10724"/>
      <queryTableField id="5669" dataBound="0" tableColumnId="10725"/>
      <queryTableField id="5668" dataBound="0" tableColumnId="10726"/>
      <queryTableField id="5667" dataBound="0" tableColumnId="10727"/>
      <queryTableField id="5666" dataBound="0" tableColumnId="10728"/>
      <queryTableField id="5665" dataBound="0" tableColumnId="10729"/>
      <queryTableField id="5664" dataBound="0" tableColumnId="10730"/>
      <queryTableField id="5663" dataBound="0" tableColumnId="10731"/>
      <queryTableField id="5662" dataBound="0" tableColumnId="10732"/>
      <queryTableField id="5661" dataBound="0" tableColumnId="10733"/>
      <queryTableField id="5660" dataBound="0" tableColumnId="10734"/>
      <queryTableField id="5659" dataBound="0" tableColumnId="10735"/>
      <queryTableField id="5658" dataBound="0" tableColumnId="10736"/>
      <queryTableField id="5657" dataBound="0" tableColumnId="10737"/>
      <queryTableField id="5656" dataBound="0" tableColumnId="10738"/>
      <queryTableField id="5655" dataBound="0" tableColumnId="10739"/>
      <queryTableField id="5654" dataBound="0" tableColumnId="10740"/>
      <queryTableField id="5653" dataBound="0" tableColumnId="10741"/>
      <queryTableField id="5652" dataBound="0" tableColumnId="10742"/>
      <queryTableField id="5651" dataBound="0" tableColumnId="10743"/>
      <queryTableField id="5650" dataBound="0" tableColumnId="10744"/>
      <queryTableField id="5649" dataBound="0" tableColumnId="10745"/>
      <queryTableField id="5648" dataBound="0" tableColumnId="10746"/>
      <queryTableField id="5647" dataBound="0" tableColumnId="10747"/>
      <queryTableField id="5646" dataBound="0" tableColumnId="10748"/>
      <queryTableField id="5645" dataBound="0" tableColumnId="10749"/>
      <queryTableField id="5644" dataBound="0" tableColumnId="10750"/>
      <queryTableField id="5643" dataBound="0" tableColumnId="10751"/>
      <queryTableField id="5642" dataBound="0" tableColumnId="10752"/>
      <queryTableField id="5641" dataBound="0" tableColumnId="10753"/>
      <queryTableField id="5640" dataBound="0" tableColumnId="10754"/>
      <queryTableField id="5639" dataBound="0" tableColumnId="10755"/>
      <queryTableField id="5638" dataBound="0" tableColumnId="10756"/>
      <queryTableField id="5637" dataBound="0" tableColumnId="10757"/>
      <queryTableField id="5636" dataBound="0" tableColumnId="10758"/>
      <queryTableField id="5635" dataBound="0" tableColumnId="10759"/>
      <queryTableField id="5634" dataBound="0" tableColumnId="10760"/>
      <queryTableField id="5633" dataBound="0" tableColumnId="10761"/>
      <queryTableField id="5632" dataBound="0" tableColumnId="10762"/>
      <queryTableField id="5631" dataBound="0" tableColumnId="10763"/>
      <queryTableField id="5630" dataBound="0" tableColumnId="10764"/>
      <queryTableField id="5629" dataBound="0" tableColumnId="10765"/>
      <queryTableField id="5628" dataBound="0" tableColumnId="10766"/>
      <queryTableField id="5627" dataBound="0" tableColumnId="10767"/>
      <queryTableField id="5626" dataBound="0" tableColumnId="10768"/>
      <queryTableField id="5625" dataBound="0" tableColumnId="10769"/>
      <queryTableField id="5624" dataBound="0" tableColumnId="10770"/>
      <queryTableField id="5623" dataBound="0" tableColumnId="10771"/>
      <queryTableField id="5622" dataBound="0" tableColumnId="10772"/>
      <queryTableField id="5621" dataBound="0" tableColumnId="10773"/>
      <queryTableField id="5620" dataBound="0" tableColumnId="10774"/>
      <queryTableField id="5619" dataBound="0" tableColumnId="10775"/>
      <queryTableField id="5618" dataBound="0" tableColumnId="10776"/>
      <queryTableField id="5617" dataBound="0" tableColumnId="10777"/>
      <queryTableField id="5616" dataBound="0" tableColumnId="10778"/>
      <queryTableField id="5615" dataBound="0" tableColumnId="10779"/>
      <queryTableField id="5614" dataBound="0" tableColumnId="10780"/>
      <queryTableField id="5613" dataBound="0" tableColumnId="10781"/>
      <queryTableField id="5612" dataBound="0" tableColumnId="10782"/>
      <queryTableField id="5611" dataBound="0" tableColumnId="10783"/>
      <queryTableField id="5610" dataBound="0" tableColumnId="10784"/>
      <queryTableField id="5609" dataBound="0" tableColumnId="10785"/>
      <queryTableField id="5608" dataBound="0" tableColumnId="10786"/>
      <queryTableField id="5607" dataBound="0" tableColumnId="10787"/>
      <queryTableField id="5606" dataBound="0" tableColumnId="10788"/>
      <queryTableField id="5605" dataBound="0" tableColumnId="10789"/>
      <queryTableField id="5604" dataBound="0" tableColumnId="10790"/>
      <queryTableField id="5603" dataBound="0" tableColumnId="10791"/>
      <queryTableField id="5602" dataBound="0" tableColumnId="10792"/>
      <queryTableField id="5601" dataBound="0" tableColumnId="10793"/>
      <queryTableField id="5600" dataBound="0" tableColumnId="10794"/>
      <queryTableField id="5599" dataBound="0" tableColumnId="10795"/>
      <queryTableField id="5598" dataBound="0" tableColumnId="10796"/>
      <queryTableField id="5597" dataBound="0" tableColumnId="10797"/>
      <queryTableField id="5596" dataBound="0" tableColumnId="10798"/>
      <queryTableField id="5595" dataBound="0" tableColumnId="10799"/>
      <queryTableField id="5594" dataBound="0" tableColumnId="10800"/>
      <queryTableField id="5593" dataBound="0" tableColumnId="10801"/>
      <queryTableField id="5592" dataBound="0" tableColumnId="10802"/>
      <queryTableField id="5591" dataBound="0" tableColumnId="10803"/>
      <queryTableField id="5590" dataBound="0" tableColumnId="10804"/>
      <queryTableField id="5589" dataBound="0" tableColumnId="10805"/>
      <queryTableField id="5588" dataBound="0" tableColumnId="10806"/>
      <queryTableField id="5587" dataBound="0" tableColumnId="10807"/>
      <queryTableField id="5586" dataBound="0" tableColumnId="10808"/>
      <queryTableField id="5585" dataBound="0" tableColumnId="10809"/>
      <queryTableField id="5584" dataBound="0" tableColumnId="10810"/>
      <queryTableField id="5583" dataBound="0" tableColumnId="10811"/>
      <queryTableField id="5582" dataBound="0" tableColumnId="10812"/>
      <queryTableField id="5581" dataBound="0" tableColumnId="10813"/>
      <queryTableField id="5580" dataBound="0" tableColumnId="10814"/>
      <queryTableField id="5579" dataBound="0" tableColumnId="10815"/>
      <queryTableField id="5578" dataBound="0" tableColumnId="10816"/>
      <queryTableField id="5577" dataBound="0" tableColumnId="10817"/>
      <queryTableField id="5576" dataBound="0" tableColumnId="10818"/>
      <queryTableField id="5575" dataBound="0" tableColumnId="10819"/>
      <queryTableField id="5574" dataBound="0" tableColumnId="10820"/>
      <queryTableField id="5573" dataBound="0" tableColumnId="10821"/>
      <queryTableField id="5572" dataBound="0" tableColumnId="10822"/>
      <queryTableField id="5571" dataBound="0" tableColumnId="10823"/>
      <queryTableField id="5570" dataBound="0" tableColumnId="10824"/>
      <queryTableField id="5569" dataBound="0" tableColumnId="10825"/>
      <queryTableField id="5568" dataBound="0" tableColumnId="10826"/>
      <queryTableField id="5567" dataBound="0" tableColumnId="10827"/>
      <queryTableField id="5566" dataBound="0" tableColumnId="10828"/>
      <queryTableField id="5565" dataBound="0" tableColumnId="10829"/>
      <queryTableField id="5564" dataBound="0" tableColumnId="10830"/>
      <queryTableField id="5563" dataBound="0" tableColumnId="10831"/>
      <queryTableField id="5562" dataBound="0" tableColumnId="10832"/>
      <queryTableField id="5561" dataBound="0" tableColumnId="10833"/>
      <queryTableField id="5560" dataBound="0" tableColumnId="10834"/>
      <queryTableField id="5559" dataBound="0" tableColumnId="10835"/>
      <queryTableField id="5558" dataBound="0" tableColumnId="10836"/>
      <queryTableField id="5557" dataBound="0" tableColumnId="10837"/>
      <queryTableField id="5556" dataBound="0" tableColumnId="10838"/>
      <queryTableField id="5555" dataBound="0" tableColumnId="10839"/>
      <queryTableField id="5554" dataBound="0" tableColumnId="10840"/>
      <queryTableField id="5553" dataBound="0" tableColumnId="10841"/>
      <queryTableField id="5552" dataBound="0" tableColumnId="10842"/>
      <queryTableField id="5551" dataBound="0" tableColumnId="10843"/>
      <queryTableField id="5550" dataBound="0" tableColumnId="10844"/>
      <queryTableField id="5549" dataBound="0" tableColumnId="10845"/>
      <queryTableField id="5548" dataBound="0" tableColumnId="10846"/>
      <queryTableField id="5547" dataBound="0" tableColumnId="10847"/>
      <queryTableField id="5546" dataBound="0" tableColumnId="10848"/>
      <queryTableField id="5545" dataBound="0" tableColumnId="10849"/>
      <queryTableField id="5544" dataBound="0" tableColumnId="10850"/>
      <queryTableField id="5543" dataBound="0" tableColumnId="10851"/>
      <queryTableField id="5542" dataBound="0" tableColumnId="10852"/>
      <queryTableField id="5541" dataBound="0" tableColumnId="10853"/>
      <queryTableField id="5540" dataBound="0" tableColumnId="10854"/>
      <queryTableField id="5539" dataBound="0" tableColumnId="10855"/>
      <queryTableField id="5538" dataBound="0" tableColumnId="10856"/>
      <queryTableField id="5537" dataBound="0" tableColumnId="10857"/>
      <queryTableField id="5536" dataBound="0" tableColumnId="10858"/>
      <queryTableField id="5535" dataBound="0" tableColumnId="10859"/>
      <queryTableField id="5534" dataBound="0" tableColumnId="10860"/>
      <queryTableField id="5533" dataBound="0" tableColumnId="10861"/>
      <queryTableField id="5532" dataBound="0" tableColumnId="10862"/>
      <queryTableField id="5531" dataBound="0" tableColumnId="10863"/>
      <queryTableField id="5530" dataBound="0" tableColumnId="10864"/>
      <queryTableField id="5529" dataBound="0" tableColumnId="10865"/>
      <queryTableField id="5528" dataBound="0" tableColumnId="10866"/>
      <queryTableField id="5527" dataBound="0" tableColumnId="10867"/>
      <queryTableField id="5526" dataBound="0" tableColumnId="10868"/>
      <queryTableField id="5525" dataBound="0" tableColumnId="10869"/>
      <queryTableField id="5524" dataBound="0" tableColumnId="10870"/>
      <queryTableField id="5523" dataBound="0" tableColumnId="10871"/>
      <queryTableField id="5522" dataBound="0" tableColumnId="10872"/>
      <queryTableField id="5521" dataBound="0" tableColumnId="10873"/>
      <queryTableField id="5520" dataBound="0" tableColumnId="10874"/>
      <queryTableField id="5519" dataBound="0" tableColumnId="10875"/>
      <queryTableField id="5518" dataBound="0" tableColumnId="10876"/>
      <queryTableField id="5517" dataBound="0" tableColumnId="10877"/>
      <queryTableField id="5516" dataBound="0" tableColumnId="10878"/>
      <queryTableField id="5515" dataBound="0" tableColumnId="10879"/>
      <queryTableField id="5514" dataBound="0" tableColumnId="10880"/>
      <queryTableField id="5513" dataBound="0" tableColumnId="10881"/>
      <queryTableField id="5512" dataBound="0" tableColumnId="10882"/>
      <queryTableField id="5511" dataBound="0" tableColumnId="10883"/>
      <queryTableField id="5510" dataBound="0" tableColumnId="10884"/>
      <queryTableField id="5509" dataBound="0" tableColumnId="10885"/>
      <queryTableField id="5508" dataBound="0" tableColumnId="10886"/>
      <queryTableField id="5507" dataBound="0" tableColumnId="10887"/>
      <queryTableField id="5506" dataBound="0" tableColumnId="10888"/>
      <queryTableField id="5505" dataBound="0" tableColumnId="10889"/>
      <queryTableField id="5504" dataBound="0" tableColumnId="10890"/>
      <queryTableField id="5503" dataBound="0" tableColumnId="10891"/>
      <queryTableField id="5502" dataBound="0" tableColumnId="10892"/>
      <queryTableField id="5501" dataBound="0" tableColumnId="10893"/>
      <queryTableField id="5500" dataBound="0" tableColumnId="10894"/>
      <queryTableField id="5499" dataBound="0" tableColumnId="10895"/>
      <queryTableField id="5498" dataBound="0" tableColumnId="10896"/>
      <queryTableField id="5497" dataBound="0" tableColumnId="10897"/>
      <queryTableField id="5496" dataBound="0" tableColumnId="10898"/>
      <queryTableField id="5495" dataBound="0" tableColumnId="10899"/>
      <queryTableField id="5494" dataBound="0" tableColumnId="10900"/>
      <queryTableField id="5493" dataBound="0" tableColumnId="10901"/>
      <queryTableField id="5492" dataBound="0" tableColumnId="10902"/>
      <queryTableField id="5491" dataBound="0" tableColumnId="10903"/>
      <queryTableField id="5490" dataBound="0" tableColumnId="10904"/>
      <queryTableField id="5489" dataBound="0" tableColumnId="10905"/>
      <queryTableField id="5488" dataBound="0" tableColumnId="10906"/>
      <queryTableField id="5487" dataBound="0" tableColumnId="10907"/>
      <queryTableField id="5486" dataBound="0" tableColumnId="10908"/>
      <queryTableField id="5485" dataBound="0" tableColumnId="10909"/>
      <queryTableField id="5484" dataBound="0" tableColumnId="10910"/>
      <queryTableField id="5483" dataBound="0" tableColumnId="10911"/>
      <queryTableField id="5482" dataBound="0" tableColumnId="10912"/>
      <queryTableField id="5481" dataBound="0" tableColumnId="10913"/>
      <queryTableField id="5480" dataBound="0" tableColumnId="10914"/>
      <queryTableField id="5479" dataBound="0" tableColumnId="10915"/>
      <queryTableField id="5478" dataBound="0" tableColumnId="10916"/>
      <queryTableField id="5477" dataBound="0" tableColumnId="10917"/>
      <queryTableField id="5476" dataBound="0" tableColumnId="10918"/>
      <queryTableField id="5475" dataBound="0" tableColumnId="10919"/>
      <queryTableField id="5474" dataBound="0" tableColumnId="10920"/>
      <queryTableField id="5473" dataBound="0" tableColumnId="10921"/>
      <queryTableField id="5472" dataBound="0" tableColumnId="10922"/>
      <queryTableField id="5471" dataBound="0" tableColumnId="10923"/>
      <queryTableField id="5470" dataBound="0" tableColumnId="10924"/>
      <queryTableField id="5469" dataBound="0" tableColumnId="10925"/>
      <queryTableField id="5468" dataBound="0" tableColumnId="10926"/>
      <queryTableField id="5467" dataBound="0" tableColumnId="10927"/>
      <queryTableField id="5466" dataBound="0" tableColumnId="10928"/>
      <queryTableField id="5465" dataBound="0" tableColumnId="10929"/>
      <queryTableField id="5464" dataBound="0" tableColumnId="10930"/>
      <queryTableField id="5463" dataBound="0" tableColumnId="10931"/>
      <queryTableField id="5462" dataBound="0" tableColumnId="10932"/>
      <queryTableField id="5461" dataBound="0" tableColumnId="10933"/>
      <queryTableField id="5460" dataBound="0" tableColumnId="10934"/>
      <queryTableField id="5459" dataBound="0" tableColumnId="10935"/>
      <queryTableField id="5458" dataBound="0" tableColumnId="10936"/>
      <queryTableField id="5457" dataBound="0" tableColumnId="10937"/>
      <queryTableField id="5456" dataBound="0" tableColumnId="10938"/>
      <queryTableField id="5455" dataBound="0" tableColumnId="10939"/>
      <queryTableField id="5454" dataBound="0" tableColumnId="10940"/>
      <queryTableField id="5453" dataBound="0" tableColumnId="10941"/>
      <queryTableField id="5452" dataBound="0" tableColumnId="10942"/>
      <queryTableField id="5451" dataBound="0" tableColumnId="10943"/>
      <queryTableField id="5450" dataBound="0" tableColumnId="10944"/>
      <queryTableField id="5449" dataBound="0" tableColumnId="10945"/>
      <queryTableField id="5448" dataBound="0" tableColumnId="10946"/>
      <queryTableField id="5447" dataBound="0" tableColumnId="10947"/>
      <queryTableField id="5446" dataBound="0" tableColumnId="10948"/>
      <queryTableField id="5445" dataBound="0" tableColumnId="10949"/>
      <queryTableField id="5444" dataBound="0" tableColumnId="10950"/>
      <queryTableField id="5443" dataBound="0" tableColumnId="10951"/>
      <queryTableField id="5442" dataBound="0" tableColumnId="10952"/>
      <queryTableField id="5441" dataBound="0" tableColumnId="10953"/>
      <queryTableField id="5440" dataBound="0" tableColumnId="10954"/>
      <queryTableField id="5439" dataBound="0" tableColumnId="10955"/>
      <queryTableField id="5438" dataBound="0" tableColumnId="10956"/>
      <queryTableField id="5437" dataBound="0" tableColumnId="10957"/>
      <queryTableField id="5436" dataBound="0" tableColumnId="10958"/>
      <queryTableField id="5435" dataBound="0" tableColumnId="10959"/>
      <queryTableField id="5434" dataBound="0" tableColumnId="10960"/>
      <queryTableField id="5433" dataBound="0" tableColumnId="10961"/>
      <queryTableField id="5432" dataBound="0" tableColumnId="10962"/>
      <queryTableField id="5431" dataBound="0" tableColumnId="10963"/>
      <queryTableField id="5430" dataBound="0" tableColumnId="10964"/>
      <queryTableField id="5429" dataBound="0" tableColumnId="10965"/>
      <queryTableField id="5428" dataBound="0" tableColumnId="10966"/>
      <queryTableField id="5427" dataBound="0" tableColumnId="10967"/>
      <queryTableField id="5426" dataBound="0" tableColumnId="10968"/>
      <queryTableField id="5425" dataBound="0" tableColumnId="10969"/>
      <queryTableField id="5424" dataBound="0" tableColumnId="10970"/>
      <queryTableField id="5423" dataBound="0" tableColumnId="10971"/>
      <queryTableField id="5422" dataBound="0" tableColumnId="10972"/>
      <queryTableField id="5421" dataBound="0" tableColumnId="10973"/>
      <queryTableField id="5420" dataBound="0" tableColumnId="10974"/>
      <queryTableField id="5419" dataBound="0" tableColumnId="10975"/>
      <queryTableField id="5418" dataBound="0" tableColumnId="10976"/>
      <queryTableField id="5417" dataBound="0" tableColumnId="10977"/>
      <queryTableField id="5416" dataBound="0" tableColumnId="10978"/>
      <queryTableField id="5415" dataBound="0" tableColumnId="10979"/>
      <queryTableField id="5414" dataBound="0" tableColumnId="10980"/>
      <queryTableField id="5413" dataBound="0" tableColumnId="10981"/>
      <queryTableField id="5412" dataBound="0" tableColumnId="10982"/>
      <queryTableField id="5411" dataBound="0" tableColumnId="10983"/>
      <queryTableField id="5410" dataBound="0" tableColumnId="10984"/>
      <queryTableField id="5409" dataBound="0" tableColumnId="10985"/>
      <queryTableField id="5408" dataBound="0" tableColumnId="10986"/>
      <queryTableField id="5407" dataBound="0" tableColumnId="10987"/>
      <queryTableField id="5406" dataBound="0" tableColumnId="10988"/>
      <queryTableField id="5405" dataBound="0" tableColumnId="10989"/>
      <queryTableField id="5404" dataBound="0" tableColumnId="10990"/>
      <queryTableField id="5403" dataBound="0" tableColumnId="10991"/>
      <queryTableField id="5402" dataBound="0" tableColumnId="10992"/>
      <queryTableField id="5401" dataBound="0" tableColumnId="10993"/>
      <queryTableField id="5400" dataBound="0" tableColumnId="10994"/>
      <queryTableField id="5399" dataBound="0" tableColumnId="10995"/>
      <queryTableField id="5398" dataBound="0" tableColumnId="10996"/>
      <queryTableField id="5397" dataBound="0" tableColumnId="10997"/>
      <queryTableField id="5396" dataBound="0" tableColumnId="10998"/>
      <queryTableField id="5395" dataBound="0" tableColumnId="10999"/>
      <queryTableField id="5394" dataBound="0" tableColumnId="11000"/>
      <queryTableField id="5393" dataBound="0" tableColumnId="11001"/>
      <queryTableField id="5392" dataBound="0" tableColumnId="11002"/>
      <queryTableField id="5391" dataBound="0" tableColumnId="11003"/>
      <queryTableField id="5390" dataBound="0" tableColumnId="11004"/>
      <queryTableField id="5389" dataBound="0" tableColumnId="11005"/>
      <queryTableField id="5388" dataBound="0" tableColumnId="11006"/>
      <queryTableField id="5387" dataBound="0" tableColumnId="11007"/>
      <queryTableField id="5386" dataBound="0" tableColumnId="11008"/>
      <queryTableField id="5385" dataBound="0" tableColumnId="11009"/>
      <queryTableField id="5384" dataBound="0" tableColumnId="11010"/>
      <queryTableField id="5383" dataBound="0" tableColumnId="11011"/>
      <queryTableField id="5382" dataBound="0" tableColumnId="11012"/>
      <queryTableField id="5381" dataBound="0" tableColumnId="11013"/>
      <queryTableField id="5380" dataBound="0" tableColumnId="11014"/>
      <queryTableField id="5379" dataBound="0" tableColumnId="11015"/>
      <queryTableField id="5378" dataBound="0" tableColumnId="11016"/>
      <queryTableField id="5377" dataBound="0" tableColumnId="11017"/>
      <queryTableField id="5376" dataBound="0" tableColumnId="11018"/>
      <queryTableField id="5375" dataBound="0" tableColumnId="11019"/>
      <queryTableField id="5374" dataBound="0" tableColumnId="11020"/>
      <queryTableField id="5373" dataBound="0" tableColumnId="11021"/>
      <queryTableField id="5372" dataBound="0" tableColumnId="11022"/>
      <queryTableField id="5371" dataBound="0" tableColumnId="11023"/>
      <queryTableField id="5370" dataBound="0" tableColumnId="11024"/>
      <queryTableField id="5369" dataBound="0" tableColumnId="11025"/>
      <queryTableField id="5368" dataBound="0" tableColumnId="11026"/>
      <queryTableField id="5367" dataBound="0" tableColumnId="11027"/>
      <queryTableField id="5366" dataBound="0" tableColumnId="11028"/>
      <queryTableField id="5365" dataBound="0" tableColumnId="11029"/>
      <queryTableField id="5364" dataBound="0" tableColumnId="11030"/>
      <queryTableField id="5363" dataBound="0" tableColumnId="11031"/>
      <queryTableField id="5362" dataBound="0" tableColumnId="11032"/>
      <queryTableField id="5361" dataBound="0" tableColumnId="11033"/>
      <queryTableField id="5360" dataBound="0" tableColumnId="11034"/>
      <queryTableField id="5359" dataBound="0" tableColumnId="11035"/>
      <queryTableField id="5358" dataBound="0" tableColumnId="11036"/>
      <queryTableField id="5357" dataBound="0" tableColumnId="11037"/>
      <queryTableField id="5356" dataBound="0" tableColumnId="11038"/>
      <queryTableField id="5355" dataBound="0" tableColumnId="11039"/>
      <queryTableField id="5354" dataBound="0" tableColumnId="11040"/>
      <queryTableField id="5353" dataBound="0" tableColumnId="11041"/>
      <queryTableField id="5352" dataBound="0" tableColumnId="11042"/>
      <queryTableField id="5351" dataBound="0" tableColumnId="11043"/>
      <queryTableField id="5350" dataBound="0" tableColumnId="11044"/>
      <queryTableField id="5349" dataBound="0" tableColumnId="11045"/>
      <queryTableField id="5348" dataBound="0" tableColumnId="11046"/>
      <queryTableField id="5347" dataBound="0" tableColumnId="11047"/>
      <queryTableField id="5346" dataBound="0" tableColumnId="11048"/>
      <queryTableField id="5345" dataBound="0" tableColumnId="11049"/>
      <queryTableField id="5344" dataBound="0" tableColumnId="11050"/>
      <queryTableField id="5343" dataBound="0" tableColumnId="11051"/>
      <queryTableField id="5342" dataBound="0" tableColumnId="11052"/>
      <queryTableField id="5341" dataBound="0" tableColumnId="11053"/>
      <queryTableField id="5340" dataBound="0" tableColumnId="11054"/>
      <queryTableField id="5339" dataBound="0" tableColumnId="11055"/>
      <queryTableField id="5338" dataBound="0" tableColumnId="11056"/>
      <queryTableField id="5337" dataBound="0" tableColumnId="11057"/>
      <queryTableField id="5336" dataBound="0" tableColumnId="11058"/>
      <queryTableField id="5335" dataBound="0" tableColumnId="11059"/>
      <queryTableField id="5334" dataBound="0" tableColumnId="11060"/>
      <queryTableField id="5333" dataBound="0" tableColumnId="11061"/>
      <queryTableField id="5332" dataBound="0" tableColumnId="11062"/>
      <queryTableField id="5331" dataBound="0" tableColumnId="11063"/>
      <queryTableField id="5330" dataBound="0" tableColumnId="11064"/>
      <queryTableField id="5329" dataBound="0" tableColumnId="11065"/>
      <queryTableField id="5328" dataBound="0" tableColumnId="11066"/>
      <queryTableField id="5327" dataBound="0" tableColumnId="11067"/>
      <queryTableField id="5326" dataBound="0" tableColumnId="11068"/>
      <queryTableField id="5325" dataBound="0" tableColumnId="11069"/>
      <queryTableField id="5324" dataBound="0" tableColumnId="11070"/>
      <queryTableField id="5323" dataBound="0" tableColumnId="11071"/>
      <queryTableField id="5322" dataBound="0" tableColumnId="11072"/>
      <queryTableField id="5321" dataBound="0" tableColumnId="11073"/>
      <queryTableField id="5320" dataBound="0" tableColumnId="11074"/>
      <queryTableField id="5319" dataBound="0" tableColumnId="11075"/>
      <queryTableField id="5318" dataBound="0" tableColumnId="11076"/>
      <queryTableField id="5317" dataBound="0" tableColumnId="11077"/>
      <queryTableField id="5316" dataBound="0" tableColumnId="11078"/>
      <queryTableField id="5315" dataBound="0" tableColumnId="11079"/>
      <queryTableField id="5314" dataBound="0" tableColumnId="11080"/>
      <queryTableField id="5313" dataBound="0" tableColumnId="11081"/>
      <queryTableField id="5312" dataBound="0" tableColumnId="11082"/>
      <queryTableField id="5311" dataBound="0" tableColumnId="11083"/>
      <queryTableField id="5310" dataBound="0" tableColumnId="11084"/>
      <queryTableField id="5309" dataBound="0" tableColumnId="11085"/>
      <queryTableField id="5308" dataBound="0" tableColumnId="11086"/>
      <queryTableField id="5307" dataBound="0" tableColumnId="11087"/>
      <queryTableField id="5306" dataBound="0" tableColumnId="11088"/>
      <queryTableField id="5305" dataBound="0" tableColumnId="11089"/>
      <queryTableField id="5304" dataBound="0" tableColumnId="11090"/>
      <queryTableField id="5303" dataBound="0" tableColumnId="11091"/>
      <queryTableField id="5302" dataBound="0" tableColumnId="11092"/>
      <queryTableField id="5301" dataBound="0" tableColumnId="11093"/>
      <queryTableField id="5300" dataBound="0" tableColumnId="11094"/>
      <queryTableField id="5299" dataBound="0" tableColumnId="11095"/>
      <queryTableField id="5298" dataBound="0" tableColumnId="11096"/>
      <queryTableField id="5297" dataBound="0" tableColumnId="11097"/>
      <queryTableField id="5296" dataBound="0" tableColumnId="11098"/>
      <queryTableField id="5295" dataBound="0" tableColumnId="11099"/>
      <queryTableField id="5294" dataBound="0" tableColumnId="11100"/>
      <queryTableField id="5293" dataBound="0" tableColumnId="11101"/>
      <queryTableField id="5292" dataBound="0" tableColumnId="11102"/>
      <queryTableField id="5291" dataBound="0" tableColumnId="11103"/>
      <queryTableField id="5290" dataBound="0" tableColumnId="11104"/>
      <queryTableField id="5289" dataBound="0" tableColumnId="11105"/>
      <queryTableField id="5288" dataBound="0" tableColumnId="11106"/>
      <queryTableField id="5287" dataBound="0" tableColumnId="11107"/>
      <queryTableField id="5286" dataBound="0" tableColumnId="11108"/>
      <queryTableField id="5285" dataBound="0" tableColumnId="11109"/>
      <queryTableField id="5284" dataBound="0" tableColumnId="11110"/>
      <queryTableField id="5283" dataBound="0" tableColumnId="11111"/>
      <queryTableField id="5282" dataBound="0" tableColumnId="11112"/>
      <queryTableField id="5281" dataBound="0" tableColumnId="11113"/>
      <queryTableField id="5280" dataBound="0" tableColumnId="11114"/>
      <queryTableField id="5279" dataBound="0" tableColumnId="11115"/>
      <queryTableField id="5278" dataBound="0" tableColumnId="11116"/>
      <queryTableField id="5277" dataBound="0" tableColumnId="11117"/>
      <queryTableField id="5276" dataBound="0" tableColumnId="11118"/>
      <queryTableField id="5275" dataBound="0" tableColumnId="11119"/>
      <queryTableField id="5274" dataBound="0" tableColumnId="11120"/>
      <queryTableField id="5273" dataBound="0" tableColumnId="11121"/>
      <queryTableField id="5272" dataBound="0" tableColumnId="11122"/>
      <queryTableField id="5271" dataBound="0" tableColumnId="11123"/>
      <queryTableField id="5270" dataBound="0" tableColumnId="11124"/>
      <queryTableField id="5269" dataBound="0" tableColumnId="11125"/>
      <queryTableField id="5268" dataBound="0" tableColumnId="11126"/>
      <queryTableField id="5267" dataBound="0" tableColumnId="11127"/>
      <queryTableField id="5266" dataBound="0" tableColumnId="11128"/>
      <queryTableField id="5265" dataBound="0" tableColumnId="11129"/>
      <queryTableField id="5264" dataBound="0" tableColumnId="11130"/>
      <queryTableField id="5263" dataBound="0" tableColumnId="11131"/>
      <queryTableField id="5262" dataBound="0" tableColumnId="11132"/>
      <queryTableField id="5261" dataBound="0" tableColumnId="11133"/>
      <queryTableField id="5260" dataBound="0" tableColumnId="11134"/>
      <queryTableField id="5259" dataBound="0" tableColumnId="11135"/>
      <queryTableField id="5258" dataBound="0" tableColumnId="11136"/>
      <queryTableField id="5257" dataBound="0" tableColumnId="11137"/>
      <queryTableField id="5256" dataBound="0" tableColumnId="11138"/>
      <queryTableField id="5255" dataBound="0" tableColumnId="11139"/>
      <queryTableField id="5254" dataBound="0" tableColumnId="11140"/>
      <queryTableField id="5253" dataBound="0" tableColumnId="11141"/>
      <queryTableField id="5252" dataBound="0" tableColumnId="11142"/>
      <queryTableField id="5251" dataBound="0" tableColumnId="11143"/>
      <queryTableField id="5250" dataBound="0" tableColumnId="11144"/>
      <queryTableField id="5249" dataBound="0" tableColumnId="11145"/>
      <queryTableField id="5248" dataBound="0" tableColumnId="11146"/>
      <queryTableField id="5247" dataBound="0" tableColumnId="11147"/>
      <queryTableField id="5246" dataBound="0" tableColumnId="11148"/>
      <queryTableField id="5245" dataBound="0" tableColumnId="11149"/>
      <queryTableField id="5244" dataBound="0" tableColumnId="11150"/>
      <queryTableField id="5243" dataBound="0" tableColumnId="11151"/>
      <queryTableField id="5242" dataBound="0" tableColumnId="11152"/>
      <queryTableField id="5241" dataBound="0" tableColumnId="11153"/>
      <queryTableField id="5240" dataBound="0" tableColumnId="11154"/>
      <queryTableField id="5239" dataBound="0" tableColumnId="11155"/>
      <queryTableField id="5238" dataBound="0" tableColumnId="11156"/>
      <queryTableField id="5237" dataBound="0" tableColumnId="11157"/>
      <queryTableField id="5236" dataBound="0" tableColumnId="11158"/>
      <queryTableField id="5235" dataBound="0" tableColumnId="11159"/>
      <queryTableField id="5234" dataBound="0" tableColumnId="11160"/>
      <queryTableField id="5233" dataBound="0" tableColumnId="11161"/>
      <queryTableField id="5232" dataBound="0" tableColumnId="11162"/>
      <queryTableField id="5231" dataBound="0" tableColumnId="11163"/>
      <queryTableField id="5230" dataBound="0" tableColumnId="11164"/>
      <queryTableField id="5229" dataBound="0" tableColumnId="11165"/>
      <queryTableField id="5228" dataBound="0" tableColumnId="11166"/>
      <queryTableField id="5227" dataBound="0" tableColumnId="11167"/>
      <queryTableField id="5226" dataBound="0" tableColumnId="11168"/>
      <queryTableField id="5225" dataBound="0" tableColumnId="11169"/>
      <queryTableField id="5224" dataBound="0" tableColumnId="11170"/>
      <queryTableField id="5223" dataBound="0" tableColumnId="11171"/>
      <queryTableField id="5222" dataBound="0" tableColumnId="11172"/>
      <queryTableField id="5221" dataBound="0" tableColumnId="11173"/>
      <queryTableField id="5220" dataBound="0" tableColumnId="11174"/>
      <queryTableField id="5219" dataBound="0" tableColumnId="11175"/>
      <queryTableField id="5218" dataBound="0" tableColumnId="11176"/>
      <queryTableField id="5217" dataBound="0" tableColumnId="11177"/>
      <queryTableField id="5216" dataBound="0" tableColumnId="11178"/>
      <queryTableField id="5215" dataBound="0" tableColumnId="11179"/>
      <queryTableField id="5214" dataBound="0" tableColumnId="11180"/>
      <queryTableField id="5213" dataBound="0" tableColumnId="11181"/>
      <queryTableField id="5212" dataBound="0" tableColumnId="11182"/>
      <queryTableField id="5211" dataBound="0" tableColumnId="11183"/>
      <queryTableField id="5210" dataBound="0" tableColumnId="11184"/>
      <queryTableField id="5209" dataBound="0" tableColumnId="11185"/>
      <queryTableField id="5208" dataBound="0" tableColumnId="11186"/>
      <queryTableField id="5207" dataBound="0" tableColumnId="11187"/>
      <queryTableField id="5206" dataBound="0" tableColumnId="11188"/>
      <queryTableField id="5205" dataBound="0" tableColumnId="11189"/>
      <queryTableField id="5204" dataBound="0" tableColumnId="11190"/>
      <queryTableField id="5203" dataBound="0" tableColumnId="11191"/>
      <queryTableField id="5202" dataBound="0" tableColumnId="11192"/>
      <queryTableField id="5201" dataBound="0" tableColumnId="11193"/>
      <queryTableField id="5200" dataBound="0" tableColumnId="11194"/>
      <queryTableField id="5199" dataBound="0" tableColumnId="11195"/>
      <queryTableField id="5198" dataBound="0" tableColumnId="11196"/>
      <queryTableField id="5197" dataBound="0" tableColumnId="11197"/>
      <queryTableField id="5196" dataBound="0" tableColumnId="11198"/>
      <queryTableField id="5195" dataBound="0" tableColumnId="11199"/>
      <queryTableField id="5194" dataBound="0" tableColumnId="11200"/>
      <queryTableField id="5193" dataBound="0" tableColumnId="11201"/>
      <queryTableField id="5192" dataBound="0" tableColumnId="11202"/>
      <queryTableField id="5191" dataBound="0" tableColumnId="11203"/>
      <queryTableField id="5190" dataBound="0" tableColumnId="11204"/>
      <queryTableField id="5189" dataBound="0" tableColumnId="11205"/>
      <queryTableField id="5188" dataBound="0" tableColumnId="11206"/>
      <queryTableField id="5187" dataBound="0" tableColumnId="11207"/>
      <queryTableField id="5186" dataBound="0" tableColumnId="11208"/>
      <queryTableField id="5185" dataBound="0" tableColumnId="11209"/>
      <queryTableField id="5184" dataBound="0" tableColumnId="11210"/>
      <queryTableField id="5183" dataBound="0" tableColumnId="11211"/>
      <queryTableField id="5182" dataBound="0" tableColumnId="11212"/>
      <queryTableField id="5181" dataBound="0" tableColumnId="11213"/>
      <queryTableField id="5180" dataBound="0" tableColumnId="11214"/>
      <queryTableField id="5179" dataBound="0" tableColumnId="11215"/>
      <queryTableField id="5178" dataBound="0" tableColumnId="11216"/>
      <queryTableField id="5177" dataBound="0" tableColumnId="11217"/>
      <queryTableField id="5176" dataBound="0" tableColumnId="11218"/>
      <queryTableField id="5175" dataBound="0" tableColumnId="11219"/>
      <queryTableField id="5174" dataBound="0" tableColumnId="11220"/>
      <queryTableField id="5173" dataBound="0" tableColumnId="11221"/>
      <queryTableField id="5172" dataBound="0" tableColumnId="11222"/>
      <queryTableField id="5171" dataBound="0" tableColumnId="11223"/>
      <queryTableField id="5170" dataBound="0" tableColumnId="11224"/>
      <queryTableField id="5169" dataBound="0" tableColumnId="11225"/>
      <queryTableField id="5168" dataBound="0" tableColumnId="11226"/>
      <queryTableField id="5167" dataBound="0" tableColumnId="11227"/>
      <queryTableField id="5166" dataBound="0" tableColumnId="11228"/>
      <queryTableField id="5165" dataBound="0" tableColumnId="11229"/>
      <queryTableField id="5164" dataBound="0" tableColumnId="11230"/>
      <queryTableField id="5163" dataBound="0" tableColumnId="11231"/>
      <queryTableField id="5162" dataBound="0" tableColumnId="11232"/>
      <queryTableField id="5161" dataBound="0" tableColumnId="11233"/>
      <queryTableField id="5160" dataBound="0" tableColumnId="11234"/>
      <queryTableField id="5159" dataBound="0" tableColumnId="11235"/>
      <queryTableField id="5158" dataBound="0" tableColumnId="11236"/>
      <queryTableField id="5157" dataBound="0" tableColumnId="11237"/>
      <queryTableField id="5156" dataBound="0" tableColumnId="11238"/>
      <queryTableField id="5155" dataBound="0" tableColumnId="11239"/>
      <queryTableField id="5154" dataBound="0" tableColumnId="11240"/>
      <queryTableField id="5153" dataBound="0" tableColumnId="11241"/>
      <queryTableField id="5152" dataBound="0" tableColumnId="11242"/>
      <queryTableField id="5151" dataBound="0" tableColumnId="11243"/>
      <queryTableField id="5150" dataBound="0" tableColumnId="11244"/>
      <queryTableField id="5149" dataBound="0" tableColumnId="11245"/>
      <queryTableField id="5148" dataBound="0" tableColumnId="11246"/>
      <queryTableField id="5147" dataBound="0" tableColumnId="11247"/>
      <queryTableField id="5146" dataBound="0" tableColumnId="11248"/>
      <queryTableField id="5145" dataBound="0" tableColumnId="11249"/>
      <queryTableField id="5144" dataBound="0" tableColumnId="11250"/>
      <queryTableField id="5143" dataBound="0" tableColumnId="11251"/>
      <queryTableField id="5142" dataBound="0" tableColumnId="11252"/>
      <queryTableField id="5141" dataBound="0" tableColumnId="11253"/>
      <queryTableField id="5140" dataBound="0" tableColumnId="11254"/>
      <queryTableField id="5139" dataBound="0" tableColumnId="11255"/>
      <queryTableField id="5138" dataBound="0" tableColumnId="11256"/>
      <queryTableField id="5137" dataBound="0" tableColumnId="11257"/>
      <queryTableField id="5136" dataBound="0" tableColumnId="11258"/>
      <queryTableField id="5135" dataBound="0" tableColumnId="11259"/>
      <queryTableField id="5134" dataBound="0" tableColumnId="11260"/>
      <queryTableField id="5133" dataBound="0" tableColumnId="11261"/>
      <queryTableField id="5132" dataBound="0" tableColumnId="11262"/>
      <queryTableField id="5131" dataBound="0" tableColumnId="11263"/>
      <queryTableField id="5130" dataBound="0" tableColumnId="11264"/>
      <queryTableField id="5129" dataBound="0" tableColumnId="11265"/>
      <queryTableField id="5128" dataBound="0" tableColumnId="11266"/>
      <queryTableField id="5127" dataBound="0" tableColumnId="11267"/>
      <queryTableField id="5126" dataBound="0" tableColumnId="11268"/>
      <queryTableField id="5125" dataBound="0" tableColumnId="11269"/>
      <queryTableField id="5124" dataBound="0" tableColumnId="11270"/>
      <queryTableField id="5123" dataBound="0" tableColumnId="11271"/>
      <queryTableField id="5122" dataBound="0" tableColumnId="11272"/>
      <queryTableField id="5121" dataBound="0" tableColumnId="11273"/>
      <queryTableField id="5120" dataBound="0" tableColumnId="11274"/>
      <queryTableField id="5119" dataBound="0" tableColumnId="11275"/>
      <queryTableField id="5118" dataBound="0" tableColumnId="11276"/>
      <queryTableField id="5117" dataBound="0" tableColumnId="11277"/>
      <queryTableField id="5116" dataBound="0" tableColumnId="11278"/>
      <queryTableField id="5115" dataBound="0" tableColumnId="11279"/>
      <queryTableField id="5114" dataBound="0" tableColumnId="11280"/>
      <queryTableField id="5113" dataBound="0" tableColumnId="11281"/>
      <queryTableField id="5112" dataBound="0" tableColumnId="11282"/>
      <queryTableField id="5111" dataBound="0" tableColumnId="11283"/>
      <queryTableField id="5110" dataBound="0" tableColumnId="11284"/>
      <queryTableField id="5109" dataBound="0" tableColumnId="11285"/>
      <queryTableField id="5108" dataBound="0" tableColumnId="11286"/>
      <queryTableField id="5107" dataBound="0" tableColumnId="11287"/>
      <queryTableField id="5106" dataBound="0" tableColumnId="11288"/>
      <queryTableField id="5105" dataBound="0" tableColumnId="11289"/>
      <queryTableField id="5104" dataBound="0" tableColumnId="11290"/>
      <queryTableField id="5103" dataBound="0" tableColumnId="11291"/>
      <queryTableField id="5102" dataBound="0" tableColumnId="11292"/>
      <queryTableField id="5101" dataBound="0" tableColumnId="11293"/>
      <queryTableField id="5100" dataBound="0" tableColumnId="11294"/>
      <queryTableField id="5099" dataBound="0" tableColumnId="11295"/>
      <queryTableField id="5098" dataBound="0" tableColumnId="11296"/>
      <queryTableField id="5097" dataBound="0" tableColumnId="11297"/>
      <queryTableField id="5096" dataBound="0" tableColumnId="11298"/>
      <queryTableField id="5095" dataBound="0" tableColumnId="11299"/>
      <queryTableField id="5094" dataBound="0" tableColumnId="11300"/>
      <queryTableField id="5093" dataBound="0" tableColumnId="11301"/>
      <queryTableField id="5092" dataBound="0" tableColumnId="11302"/>
      <queryTableField id="5091" dataBound="0" tableColumnId="11303"/>
      <queryTableField id="5090" dataBound="0" tableColumnId="11304"/>
      <queryTableField id="5089" dataBound="0" tableColumnId="11305"/>
      <queryTableField id="5088" dataBound="0" tableColumnId="11306"/>
      <queryTableField id="5087" dataBound="0" tableColumnId="11307"/>
      <queryTableField id="5086" dataBound="0" tableColumnId="11308"/>
      <queryTableField id="5085" dataBound="0" tableColumnId="11309"/>
      <queryTableField id="5084" dataBound="0" tableColumnId="11310"/>
      <queryTableField id="5083" dataBound="0" tableColumnId="11311"/>
      <queryTableField id="5082" dataBound="0" tableColumnId="11312"/>
      <queryTableField id="5081" dataBound="0" tableColumnId="11313"/>
      <queryTableField id="5080" dataBound="0" tableColumnId="11314"/>
      <queryTableField id="5079" dataBound="0" tableColumnId="11315"/>
      <queryTableField id="5078" dataBound="0" tableColumnId="11316"/>
      <queryTableField id="5077" dataBound="0" tableColumnId="11317"/>
      <queryTableField id="5076" dataBound="0" tableColumnId="11318"/>
      <queryTableField id="5075" dataBound="0" tableColumnId="11319"/>
      <queryTableField id="5074" dataBound="0" tableColumnId="11320"/>
      <queryTableField id="5073" dataBound="0" tableColumnId="11321"/>
      <queryTableField id="5072" dataBound="0" tableColumnId="11322"/>
      <queryTableField id="5071" dataBound="0" tableColumnId="11323"/>
      <queryTableField id="5070" dataBound="0" tableColumnId="11324"/>
      <queryTableField id="5069" dataBound="0" tableColumnId="11325"/>
      <queryTableField id="5068" dataBound="0" tableColumnId="11326"/>
      <queryTableField id="5067" dataBound="0" tableColumnId="11327"/>
      <queryTableField id="5066" dataBound="0" tableColumnId="11328"/>
      <queryTableField id="5065" dataBound="0" tableColumnId="11329"/>
      <queryTableField id="5064" dataBound="0" tableColumnId="11330"/>
      <queryTableField id="5063" dataBound="0" tableColumnId="11331"/>
      <queryTableField id="5062" dataBound="0" tableColumnId="11332"/>
      <queryTableField id="5061" dataBound="0" tableColumnId="11333"/>
      <queryTableField id="5060" dataBound="0" tableColumnId="11334"/>
      <queryTableField id="5059" dataBound="0" tableColumnId="11335"/>
      <queryTableField id="5058" dataBound="0" tableColumnId="11336"/>
      <queryTableField id="5057" dataBound="0" tableColumnId="11337"/>
      <queryTableField id="5056" dataBound="0" tableColumnId="11338"/>
      <queryTableField id="5055" dataBound="0" tableColumnId="11339"/>
      <queryTableField id="5054" dataBound="0" tableColumnId="11340"/>
      <queryTableField id="5053" dataBound="0" tableColumnId="11341"/>
      <queryTableField id="5052" dataBound="0" tableColumnId="11342"/>
      <queryTableField id="5051" dataBound="0" tableColumnId="11343"/>
      <queryTableField id="5050" dataBound="0" tableColumnId="11344"/>
      <queryTableField id="5049" dataBound="0" tableColumnId="11345"/>
      <queryTableField id="5048" dataBound="0" tableColumnId="11346"/>
      <queryTableField id="5047" dataBound="0" tableColumnId="11347"/>
      <queryTableField id="5046" dataBound="0" tableColumnId="11348"/>
      <queryTableField id="5045" dataBound="0" tableColumnId="11349"/>
      <queryTableField id="5044" dataBound="0" tableColumnId="11350"/>
      <queryTableField id="5043" dataBound="0" tableColumnId="11351"/>
      <queryTableField id="5042" dataBound="0" tableColumnId="11352"/>
      <queryTableField id="5041" dataBound="0" tableColumnId="11353"/>
      <queryTableField id="5040" dataBound="0" tableColumnId="11354"/>
      <queryTableField id="5039" dataBound="0" tableColumnId="11355"/>
      <queryTableField id="5038" dataBound="0" tableColumnId="11356"/>
      <queryTableField id="5037" dataBound="0" tableColumnId="11357"/>
      <queryTableField id="5036" dataBound="0" tableColumnId="11358"/>
      <queryTableField id="5035" dataBound="0" tableColumnId="11359"/>
      <queryTableField id="5034" dataBound="0" tableColumnId="11360"/>
      <queryTableField id="5033" dataBound="0" tableColumnId="11361"/>
      <queryTableField id="5032" dataBound="0" tableColumnId="11362"/>
      <queryTableField id="5031" dataBound="0" tableColumnId="11363"/>
      <queryTableField id="5030" dataBound="0" tableColumnId="11364"/>
      <queryTableField id="5029" dataBound="0" tableColumnId="11365"/>
      <queryTableField id="5028" dataBound="0" tableColumnId="11366"/>
      <queryTableField id="5027" dataBound="0" tableColumnId="11367"/>
      <queryTableField id="5026" dataBound="0" tableColumnId="11368"/>
      <queryTableField id="5025" dataBound="0" tableColumnId="11369"/>
      <queryTableField id="5024" dataBound="0" tableColumnId="11370"/>
      <queryTableField id="5023" dataBound="0" tableColumnId="11371"/>
      <queryTableField id="5022" dataBound="0" tableColumnId="11372"/>
      <queryTableField id="5021" dataBound="0" tableColumnId="11373"/>
      <queryTableField id="5020" dataBound="0" tableColumnId="11374"/>
      <queryTableField id="5019" dataBound="0" tableColumnId="11375"/>
      <queryTableField id="5018" dataBound="0" tableColumnId="11376"/>
      <queryTableField id="5017" dataBound="0" tableColumnId="11377"/>
      <queryTableField id="5016" dataBound="0" tableColumnId="11378"/>
      <queryTableField id="5015" dataBound="0" tableColumnId="11379"/>
      <queryTableField id="5014" dataBound="0" tableColumnId="11380"/>
      <queryTableField id="5013" dataBound="0" tableColumnId="11381"/>
      <queryTableField id="5012" dataBound="0" tableColumnId="11382"/>
      <queryTableField id="5011" dataBound="0" tableColumnId="11383"/>
      <queryTableField id="5010" dataBound="0" tableColumnId="11384"/>
      <queryTableField id="5009" dataBound="0" tableColumnId="11385"/>
      <queryTableField id="5008" dataBound="0" tableColumnId="11386"/>
      <queryTableField id="5007" dataBound="0" tableColumnId="11387"/>
      <queryTableField id="5006" dataBound="0" tableColumnId="11388"/>
      <queryTableField id="5005" dataBound="0" tableColumnId="11389"/>
      <queryTableField id="5004" dataBound="0" tableColumnId="11390"/>
      <queryTableField id="5003" dataBound="0" tableColumnId="11391"/>
      <queryTableField id="5002" dataBound="0" tableColumnId="11392"/>
      <queryTableField id="5001" dataBound="0" tableColumnId="11393"/>
      <queryTableField id="5000" dataBound="0" tableColumnId="11394"/>
      <queryTableField id="4999" dataBound="0" tableColumnId="11395"/>
      <queryTableField id="4998" dataBound="0" tableColumnId="11396"/>
      <queryTableField id="4997" dataBound="0" tableColumnId="11397"/>
      <queryTableField id="4996" dataBound="0" tableColumnId="11398"/>
      <queryTableField id="4995" dataBound="0" tableColumnId="11399"/>
      <queryTableField id="4994" dataBound="0" tableColumnId="11400"/>
      <queryTableField id="4993" dataBound="0" tableColumnId="11401"/>
      <queryTableField id="4992" dataBound="0" tableColumnId="11402"/>
      <queryTableField id="4991" dataBound="0" tableColumnId="11403"/>
      <queryTableField id="4990" dataBound="0" tableColumnId="11404"/>
      <queryTableField id="4989" dataBound="0" tableColumnId="11405"/>
      <queryTableField id="4988" dataBound="0" tableColumnId="11406"/>
      <queryTableField id="4987" dataBound="0" tableColumnId="11407"/>
      <queryTableField id="4986" dataBound="0" tableColumnId="11408"/>
      <queryTableField id="4985" dataBound="0" tableColumnId="11409"/>
      <queryTableField id="4984" dataBound="0" tableColumnId="11410"/>
      <queryTableField id="4983" dataBound="0" tableColumnId="11411"/>
      <queryTableField id="4982" dataBound="0" tableColumnId="11412"/>
      <queryTableField id="4981" dataBound="0" tableColumnId="11413"/>
      <queryTableField id="4980" dataBound="0" tableColumnId="11414"/>
      <queryTableField id="4979" dataBound="0" tableColumnId="11415"/>
      <queryTableField id="4978" dataBound="0" tableColumnId="11416"/>
      <queryTableField id="4977" dataBound="0" tableColumnId="11417"/>
      <queryTableField id="4976" dataBound="0" tableColumnId="11418"/>
      <queryTableField id="4975" dataBound="0" tableColumnId="11419"/>
      <queryTableField id="4974" dataBound="0" tableColumnId="11420"/>
      <queryTableField id="4973" dataBound="0" tableColumnId="11421"/>
      <queryTableField id="4972" dataBound="0" tableColumnId="11422"/>
      <queryTableField id="4971" dataBound="0" tableColumnId="11423"/>
      <queryTableField id="4970" dataBound="0" tableColumnId="11424"/>
      <queryTableField id="4969" dataBound="0" tableColumnId="11425"/>
      <queryTableField id="4968" dataBound="0" tableColumnId="11426"/>
      <queryTableField id="4967" dataBound="0" tableColumnId="11427"/>
      <queryTableField id="4966" dataBound="0" tableColumnId="11428"/>
      <queryTableField id="4965" dataBound="0" tableColumnId="11429"/>
      <queryTableField id="4964" dataBound="0" tableColumnId="11430"/>
      <queryTableField id="4963" dataBound="0" tableColumnId="11431"/>
      <queryTableField id="4962" dataBound="0" tableColumnId="11432"/>
      <queryTableField id="4961" dataBound="0" tableColumnId="11433"/>
      <queryTableField id="4960" dataBound="0" tableColumnId="11434"/>
      <queryTableField id="4959" dataBound="0" tableColumnId="11435"/>
      <queryTableField id="4958" dataBound="0" tableColumnId="11436"/>
      <queryTableField id="4957" dataBound="0" tableColumnId="11437"/>
      <queryTableField id="4956" dataBound="0" tableColumnId="11438"/>
      <queryTableField id="4955" dataBound="0" tableColumnId="11439"/>
      <queryTableField id="4954" dataBound="0" tableColumnId="11440"/>
      <queryTableField id="4953" dataBound="0" tableColumnId="11441"/>
      <queryTableField id="4952" dataBound="0" tableColumnId="11442"/>
      <queryTableField id="4951" dataBound="0" tableColumnId="11443"/>
      <queryTableField id="4950" dataBound="0" tableColumnId="11444"/>
      <queryTableField id="4949" dataBound="0" tableColumnId="11445"/>
      <queryTableField id="4948" dataBound="0" tableColumnId="11446"/>
      <queryTableField id="4947" dataBound="0" tableColumnId="11447"/>
      <queryTableField id="4946" dataBound="0" tableColumnId="11448"/>
      <queryTableField id="4945" dataBound="0" tableColumnId="11449"/>
      <queryTableField id="4944" dataBound="0" tableColumnId="11450"/>
      <queryTableField id="4943" dataBound="0" tableColumnId="11451"/>
      <queryTableField id="4942" dataBound="0" tableColumnId="11452"/>
      <queryTableField id="4941" dataBound="0" tableColumnId="11453"/>
      <queryTableField id="4940" dataBound="0" tableColumnId="11454"/>
      <queryTableField id="4939" dataBound="0" tableColumnId="11455"/>
      <queryTableField id="4938" dataBound="0" tableColumnId="11456"/>
      <queryTableField id="4937" dataBound="0" tableColumnId="11457"/>
      <queryTableField id="4936" dataBound="0" tableColumnId="11458"/>
      <queryTableField id="4935" dataBound="0" tableColumnId="11459"/>
      <queryTableField id="4934" dataBound="0" tableColumnId="11460"/>
      <queryTableField id="4933" dataBound="0" tableColumnId="11461"/>
      <queryTableField id="4932" dataBound="0" tableColumnId="11462"/>
      <queryTableField id="4931" dataBound="0" tableColumnId="11463"/>
      <queryTableField id="4930" dataBound="0" tableColumnId="11464"/>
      <queryTableField id="4929" dataBound="0" tableColumnId="11465"/>
      <queryTableField id="4928" dataBound="0" tableColumnId="11466"/>
      <queryTableField id="4927" dataBound="0" tableColumnId="11467"/>
      <queryTableField id="4926" dataBound="0" tableColumnId="11468"/>
      <queryTableField id="4925" dataBound="0" tableColumnId="11469"/>
      <queryTableField id="4924" dataBound="0" tableColumnId="11470"/>
      <queryTableField id="4923" dataBound="0" tableColumnId="11471"/>
      <queryTableField id="4922" dataBound="0" tableColumnId="11472"/>
      <queryTableField id="4921" dataBound="0" tableColumnId="11473"/>
      <queryTableField id="4920" dataBound="0" tableColumnId="11474"/>
      <queryTableField id="4919" dataBound="0" tableColumnId="11475"/>
      <queryTableField id="4918" dataBound="0" tableColumnId="11476"/>
      <queryTableField id="4917" dataBound="0" tableColumnId="11477"/>
      <queryTableField id="4916" dataBound="0" tableColumnId="11478"/>
      <queryTableField id="4915" dataBound="0" tableColumnId="11479"/>
      <queryTableField id="4914" dataBound="0" tableColumnId="11480"/>
      <queryTableField id="4913" dataBound="0" tableColumnId="11481"/>
      <queryTableField id="4912" dataBound="0" tableColumnId="11482"/>
      <queryTableField id="4911" dataBound="0" tableColumnId="11483"/>
      <queryTableField id="4910" dataBound="0" tableColumnId="11484"/>
      <queryTableField id="4909" dataBound="0" tableColumnId="11485"/>
      <queryTableField id="4908" dataBound="0" tableColumnId="11486"/>
      <queryTableField id="4907" dataBound="0" tableColumnId="11487"/>
      <queryTableField id="4906" dataBound="0" tableColumnId="11488"/>
      <queryTableField id="4905" dataBound="0" tableColumnId="11489"/>
      <queryTableField id="4904" dataBound="0" tableColumnId="11490"/>
      <queryTableField id="4903" dataBound="0" tableColumnId="11491"/>
      <queryTableField id="4902" dataBound="0" tableColumnId="11492"/>
      <queryTableField id="4901" dataBound="0" tableColumnId="11493"/>
      <queryTableField id="4900" dataBound="0" tableColumnId="11494"/>
      <queryTableField id="4899" dataBound="0" tableColumnId="11495"/>
      <queryTableField id="4898" dataBound="0" tableColumnId="11496"/>
      <queryTableField id="4897" dataBound="0" tableColumnId="11497"/>
      <queryTableField id="4896" dataBound="0" tableColumnId="11498"/>
      <queryTableField id="4895" dataBound="0" tableColumnId="11499"/>
      <queryTableField id="4894" dataBound="0" tableColumnId="11500"/>
      <queryTableField id="4893" dataBound="0" tableColumnId="11501"/>
      <queryTableField id="4892" dataBound="0" tableColumnId="11502"/>
      <queryTableField id="4891" dataBound="0" tableColumnId="11503"/>
      <queryTableField id="4890" dataBound="0" tableColumnId="11504"/>
      <queryTableField id="4889" dataBound="0" tableColumnId="11505"/>
      <queryTableField id="4888" dataBound="0" tableColumnId="11506"/>
      <queryTableField id="4887" dataBound="0" tableColumnId="11507"/>
      <queryTableField id="4886" dataBound="0" tableColumnId="11508"/>
      <queryTableField id="4885" dataBound="0" tableColumnId="11509"/>
      <queryTableField id="4884" dataBound="0" tableColumnId="11510"/>
      <queryTableField id="4883" dataBound="0" tableColumnId="11511"/>
      <queryTableField id="4882" dataBound="0" tableColumnId="11512"/>
      <queryTableField id="4881" dataBound="0" tableColumnId="11513"/>
      <queryTableField id="4880" dataBound="0" tableColumnId="11514"/>
      <queryTableField id="4879" dataBound="0" tableColumnId="11515"/>
      <queryTableField id="4878" dataBound="0" tableColumnId="11516"/>
      <queryTableField id="4877" dataBound="0" tableColumnId="11517"/>
      <queryTableField id="4876" dataBound="0" tableColumnId="11518"/>
      <queryTableField id="4875" dataBound="0" tableColumnId="11519"/>
      <queryTableField id="4874" dataBound="0" tableColumnId="11520"/>
      <queryTableField id="4873" dataBound="0" tableColumnId="11521"/>
      <queryTableField id="4872" dataBound="0" tableColumnId="11522"/>
      <queryTableField id="4871" dataBound="0" tableColumnId="11523"/>
      <queryTableField id="4870" dataBound="0" tableColumnId="11524"/>
      <queryTableField id="4869" dataBound="0" tableColumnId="11525"/>
      <queryTableField id="4868" dataBound="0" tableColumnId="11526"/>
      <queryTableField id="4867" dataBound="0" tableColumnId="11527"/>
      <queryTableField id="4866" dataBound="0" tableColumnId="11528"/>
      <queryTableField id="4865" dataBound="0" tableColumnId="11529"/>
      <queryTableField id="4864" dataBound="0" tableColumnId="11530"/>
      <queryTableField id="4863" dataBound="0" tableColumnId="11531"/>
      <queryTableField id="4862" dataBound="0" tableColumnId="11532"/>
      <queryTableField id="4861" dataBound="0" tableColumnId="11533"/>
      <queryTableField id="4860" dataBound="0" tableColumnId="11534"/>
      <queryTableField id="4859" dataBound="0" tableColumnId="11535"/>
      <queryTableField id="4858" dataBound="0" tableColumnId="11536"/>
      <queryTableField id="4857" dataBound="0" tableColumnId="11537"/>
      <queryTableField id="4856" dataBound="0" tableColumnId="11538"/>
      <queryTableField id="4855" dataBound="0" tableColumnId="11539"/>
      <queryTableField id="4854" dataBound="0" tableColumnId="11540"/>
      <queryTableField id="4853" dataBound="0" tableColumnId="11541"/>
      <queryTableField id="4852" dataBound="0" tableColumnId="11542"/>
      <queryTableField id="4851" dataBound="0" tableColumnId="11543"/>
      <queryTableField id="4850" dataBound="0" tableColumnId="11544"/>
      <queryTableField id="4849" dataBound="0" tableColumnId="11545"/>
      <queryTableField id="4848" dataBound="0" tableColumnId="11546"/>
      <queryTableField id="4847" dataBound="0" tableColumnId="11547"/>
      <queryTableField id="4846" dataBound="0" tableColumnId="11548"/>
      <queryTableField id="4845" dataBound="0" tableColumnId="11549"/>
      <queryTableField id="4844" dataBound="0" tableColumnId="11550"/>
      <queryTableField id="4843" dataBound="0" tableColumnId="11551"/>
      <queryTableField id="4842" dataBound="0" tableColumnId="11552"/>
      <queryTableField id="4841" dataBound="0" tableColumnId="11553"/>
      <queryTableField id="4840" dataBound="0" tableColumnId="11554"/>
      <queryTableField id="4839" dataBound="0" tableColumnId="11555"/>
      <queryTableField id="4838" dataBound="0" tableColumnId="11556"/>
      <queryTableField id="4837" dataBound="0" tableColumnId="11557"/>
      <queryTableField id="4836" dataBound="0" tableColumnId="11558"/>
      <queryTableField id="4835" dataBound="0" tableColumnId="11559"/>
      <queryTableField id="4834" dataBound="0" tableColumnId="11560"/>
      <queryTableField id="4833" dataBound="0" tableColumnId="11561"/>
      <queryTableField id="4832" dataBound="0" tableColumnId="11562"/>
      <queryTableField id="4831" dataBound="0" tableColumnId="11563"/>
      <queryTableField id="4830" dataBound="0" tableColumnId="11564"/>
      <queryTableField id="4829" dataBound="0" tableColumnId="11565"/>
      <queryTableField id="4828" dataBound="0" tableColumnId="11566"/>
      <queryTableField id="4827" dataBound="0" tableColumnId="11567"/>
      <queryTableField id="4826" dataBound="0" tableColumnId="11568"/>
      <queryTableField id="4825" dataBound="0" tableColumnId="11569"/>
      <queryTableField id="4824" dataBound="0" tableColumnId="11570"/>
      <queryTableField id="4823" dataBound="0" tableColumnId="11571"/>
      <queryTableField id="4822" dataBound="0" tableColumnId="11572"/>
      <queryTableField id="4821" dataBound="0" tableColumnId="11573"/>
      <queryTableField id="4820" dataBound="0" tableColumnId="11574"/>
      <queryTableField id="4819" dataBound="0" tableColumnId="11575"/>
      <queryTableField id="4818" dataBound="0" tableColumnId="11576"/>
      <queryTableField id="4817" dataBound="0" tableColumnId="11577"/>
      <queryTableField id="4816" dataBound="0" tableColumnId="11578"/>
      <queryTableField id="4815" dataBound="0" tableColumnId="11579"/>
      <queryTableField id="4814" dataBound="0" tableColumnId="11580"/>
      <queryTableField id="4813" dataBound="0" tableColumnId="11581"/>
      <queryTableField id="4812" dataBound="0" tableColumnId="11582"/>
      <queryTableField id="4811" dataBound="0" tableColumnId="11583"/>
      <queryTableField id="4810" dataBound="0" tableColumnId="11584"/>
      <queryTableField id="4809" dataBound="0" tableColumnId="11585"/>
      <queryTableField id="4808" dataBound="0" tableColumnId="11586"/>
      <queryTableField id="4807" dataBound="0" tableColumnId="11587"/>
      <queryTableField id="4806" dataBound="0" tableColumnId="11588"/>
      <queryTableField id="4805" dataBound="0" tableColumnId="11589"/>
      <queryTableField id="4804" dataBound="0" tableColumnId="11590"/>
      <queryTableField id="4803" dataBound="0" tableColumnId="11591"/>
      <queryTableField id="4802" dataBound="0" tableColumnId="11592"/>
      <queryTableField id="4801" dataBound="0" tableColumnId="11593"/>
      <queryTableField id="4800" dataBound="0" tableColumnId="11594"/>
      <queryTableField id="4799" dataBound="0" tableColumnId="11595"/>
      <queryTableField id="4798" dataBound="0" tableColumnId="11596"/>
      <queryTableField id="4797" dataBound="0" tableColumnId="11597"/>
      <queryTableField id="4796" dataBound="0" tableColumnId="11598"/>
      <queryTableField id="4795" dataBound="0" tableColumnId="11599"/>
      <queryTableField id="4794" dataBound="0" tableColumnId="11600"/>
      <queryTableField id="4793" dataBound="0" tableColumnId="11601"/>
      <queryTableField id="4792" dataBound="0" tableColumnId="11602"/>
      <queryTableField id="4791" dataBound="0" tableColumnId="11603"/>
      <queryTableField id="4790" dataBound="0" tableColumnId="11604"/>
      <queryTableField id="4789" dataBound="0" tableColumnId="11605"/>
      <queryTableField id="4788" dataBound="0" tableColumnId="11606"/>
      <queryTableField id="4787" dataBound="0" tableColumnId="11607"/>
      <queryTableField id="4786" dataBound="0" tableColumnId="11608"/>
      <queryTableField id="4785" dataBound="0" tableColumnId="11609"/>
      <queryTableField id="4784" dataBound="0" tableColumnId="11610"/>
      <queryTableField id="4783" dataBound="0" tableColumnId="11611"/>
      <queryTableField id="4782" dataBound="0" tableColumnId="11612"/>
      <queryTableField id="4781" dataBound="0" tableColumnId="11613"/>
      <queryTableField id="4780" dataBound="0" tableColumnId="11614"/>
      <queryTableField id="4779" dataBound="0" tableColumnId="11615"/>
      <queryTableField id="4778" dataBound="0" tableColumnId="11616"/>
      <queryTableField id="4777" dataBound="0" tableColumnId="11617"/>
      <queryTableField id="4776" dataBound="0" tableColumnId="11618"/>
      <queryTableField id="4775" dataBound="0" tableColumnId="11619"/>
      <queryTableField id="4774" dataBound="0" tableColumnId="11620"/>
      <queryTableField id="4773" dataBound="0" tableColumnId="11621"/>
      <queryTableField id="4772" dataBound="0" tableColumnId="11622"/>
      <queryTableField id="4771" dataBound="0" tableColumnId="11623"/>
      <queryTableField id="4770" dataBound="0" tableColumnId="11624"/>
      <queryTableField id="4769" dataBound="0" tableColumnId="11625"/>
      <queryTableField id="4768" dataBound="0" tableColumnId="11626"/>
      <queryTableField id="4767" dataBound="0" tableColumnId="11627"/>
      <queryTableField id="4766" dataBound="0" tableColumnId="11628"/>
      <queryTableField id="4765" dataBound="0" tableColumnId="11629"/>
      <queryTableField id="4764" dataBound="0" tableColumnId="11630"/>
      <queryTableField id="4763" dataBound="0" tableColumnId="11631"/>
      <queryTableField id="4762" dataBound="0" tableColumnId="11632"/>
      <queryTableField id="4761" dataBound="0" tableColumnId="11633"/>
      <queryTableField id="4760" dataBound="0" tableColumnId="11634"/>
      <queryTableField id="4759" dataBound="0" tableColumnId="11635"/>
      <queryTableField id="4758" dataBound="0" tableColumnId="11636"/>
      <queryTableField id="4757" dataBound="0" tableColumnId="11637"/>
      <queryTableField id="4756" dataBound="0" tableColumnId="11638"/>
      <queryTableField id="4755" dataBound="0" tableColumnId="11639"/>
      <queryTableField id="4754" dataBound="0" tableColumnId="11640"/>
      <queryTableField id="4753" dataBound="0" tableColumnId="11641"/>
      <queryTableField id="4752" dataBound="0" tableColumnId="11642"/>
      <queryTableField id="4751" dataBound="0" tableColumnId="11643"/>
      <queryTableField id="4750" dataBound="0" tableColumnId="11644"/>
      <queryTableField id="4749" dataBound="0" tableColumnId="11645"/>
      <queryTableField id="4748" dataBound="0" tableColumnId="11646"/>
      <queryTableField id="4747" dataBound="0" tableColumnId="11647"/>
      <queryTableField id="4746" dataBound="0" tableColumnId="11648"/>
      <queryTableField id="4745" dataBound="0" tableColumnId="11649"/>
      <queryTableField id="4744" dataBound="0" tableColumnId="11650"/>
      <queryTableField id="4743" dataBound="0" tableColumnId="11651"/>
      <queryTableField id="4742" dataBound="0" tableColumnId="11652"/>
      <queryTableField id="4741" dataBound="0" tableColumnId="11653"/>
      <queryTableField id="4740" dataBound="0" tableColumnId="11654"/>
      <queryTableField id="4739" dataBound="0" tableColumnId="11655"/>
      <queryTableField id="4738" dataBound="0" tableColumnId="11656"/>
      <queryTableField id="4737" dataBound="0" tableColumnId="11657"/>
      <queryTableField id="4736" dataBound="0" tableColumnId="11658"/>
      <queryTableField id="4735" dataBound="0" tableColumnId="11659"/>
      <queryTableField id="4734" dataBound="0" tableColumnId="11660"/>
      <queryTableField id="4733" dataBound="0" tableColumnId="11661"/>
      <queryTableField id="4732" dataBound="0" tableColumnId="11662"/>
      <queryTableField id="4731" dataBound="0" tableColumnId="11663"/>
      <queryTableField id="4730" dataBound="0" tableColumnId="11664"/>
      <queryTableField id="4729" dataBound="0" tableColumnId="11665"/>
      <queryTableField id="4728" dataBound="0" tableColumnId="11666"/>
      <queryTableField id="4727" dataBound="0" tableColumnId="11667"/>
      <queryTableField id="4726" dataBound="0" tableColumnId="11668"/>
      <queryTableField id="4725" dataBound="0" tableColumnId="11669"/>
      <queryTableField id="4724" dataBound="0" tableColumnId="11670"/>
      <queryTableField id="4723" dataBound="0" tableColumnId="11671"/>
      <queryTableField id="4722" dataBound="0" tableColumnId="11672"/>
      <queryTableField id="4721" dataBound="0" tableColumnId="11673"/>
      <queryTableField id="4720" dataBound="0" tableColumnId="11674"/>
      <queryTableField id="4719" dataBound="0" tableColumnId="11675"/>
      <queryTableField id="4718" dataBound="0" tableColumnId="11676"/>
      <queryTableField id="4717" dataBound="0" tableColumnId="11677"/>
      <queryTableField id="4716" dataBound="0" tableColumnId="11678"/>
      <queryTableField id="4715" dataBound="0" tableColumnId="11679"/>
      <queryTableField id="4714" dataBound="0" tableColumnId="11680"/>
      <queryTableField id="4713" dataBound="0" tableColumnId="11681"/>
      <queryTableField id="4712" dataBound="0" tableColumnId="11682"/>
      <queryTableField id="4711" dataBound="0" tableColumnId="11683"/>
      <queryTableField id="4710" dataBound="0" tableColumnId="11684"/>
      <queryTableField id="4709" dataBound="0" tableColumnId="11685"/>
      <queryTableField id="4708" dataBound="0" tableColumnId="11686"/>
      <queryTableField id="4707" dataBound="0" tableColumnId="11687"/>
      <queryTableField id="4706" dataBound="0" tableColumnId="11688"/>
      <queryTableField id="4705" dataBound="0" tableColumnId="11689"/>
      <queryTableField id="4704" dataBound="0" tableColumnId="11690"/>
      <queryTableField id="4703" dataBound="0" tableColumnId="11691"/>
      <queryTableField id="4702" dataBound="0" tableColumnId="11692"/>
      <queryTableField id="4701" dataBound="0" tableColumnId="11693"/>
      <queryTableField id="4700" dataBound="0" tableColumnId="11694"/>
      <queryTableField id="4699" dataBound="0" tableColumnId="11695"/>
      <queryTableField id="4698" dataBound="0" tableColumnId="11696"/>
      <queryTableField id="4697" dataBound="0" tableColumnId="11697"/>
      <queryTableField id="4696" dataBound="0" tableColumnId="11698"/>
      <queryTableField id="4695" dataBound="0" tableColumnId="11699"/>
      <queryTableField id="4694" dataBound="0" tableColumnId="11700"/>
      <queryTableField id="4693" dataBound="0" tableColumnId="11701"/>
      <queryTableField id="4692" dataBound="0" tableColumnId="11702"/>
      <queryTableField id="4691" dataBound="0" tableColumnId="11703"/>
      <queryTableField id="4690" dataBound="0" tableColumnId="11704"/>
      <queryTableField id="4689" dataBound="0" tableColumnId="11705"/>
      <queryTableField id="4688" dataBound="0" tableColumnId="11706"/>
      <queryTableField id="4687" dataBound="0" tableColumnId="11707"/>
      <queryTableField id="4686" dataBound="0" tableColumnId="11708"/>
      <queryTableField id="4685" dataBound="0" tableColumnId="11709"/>
      <queryTableField id="4684" dataBound="0" tableColumnId="11710"/>
      <queryTableField id="4683" dataBound="0" tableColumnId="11711"/>
      <queryTableField id="4682" dataBound="0" tableColumnId="11712"/>
      <queryTableField id="4681" dataBound="0" tableColumnId="11713"/>
      <queryTableField id="4680" dataBound="0" tableColumnId="11714"/>
      <queryTableField id="4679" dataBound="0" tableColumnId="11715"/>
      <queryTableField id="4678" dataBound="0" tableColumnId="11716"/>
      <queryTableField id="4677" dataBound="0" tableColumnId="11717"/>
      <queryTableField id="4676" dataBound="0" tableColumnId="11718"/>
      <queryTableField id="4675" dataBound="0" tableColumnId="11719"/>
      <queryTableField id="4674" dataBound="0" tableColumnId="11720"/>
      <queryTableField id="4673" dataBound="0" tableColumnId="11721"/>
      <queryTableField id="4672" dataBound="0" tableColumnId="11722"/>
      <queryTableField id="4671" dataBound="0" tableColumnId="11723"/>
      <queryTableField id="4670" dataBound="0" tableColumnId="11724"/>
      <queryTableField id="4669" dataBound="0" tableColumnId="11725"/>
      <queryTableField id="4668" dataBound="0" tableColumnId="11726"/>
      <queryTableField id="4667" dataBound="0" tableColumnId="11727"/>
      <queryTableField id="4666" dataBound="0" tableColumnId="11728"/>
      <queryTableField id="4665" dataBound="0" tableColumnId="11729"/>
      <queryTableField id="4664" dataBound="0" tableColumnId="11730"/>
      <queryTableField id="4663" dataBound="0" tableColumnId="11731"/>
      <queryTableField id="4662" dataBound="0" tableColumnId="11732"/>
      <queryTableField id="4661" dataBound="0" tableColumnId="11733"/>
      <queryTableField id="4660" dataBound="0" tableColumnId="11734"/>
      <queryTableField id="4659" dataBound="0" tableColumnId="11735"/>
      <queryTableField id="4658" dataBound="0" tableColumnId="11736"/>
      <queryTableField id="4657" dataBound="0" tableColumnId="11737"/>
      <queryTableField id="4656" dataBound="0" tableColumnId="11738"/>
      <queryTableField id="4655" dataBound="0" tableColumnId="11739"/>
      <queryTableField id="4654" dataBound="0" tableColumnId="11740"/>
      <queryTableField id="4653" dataBound="0" tableColumnId="11741"/>
      <queryTableField id="4652" dataBound="0" tableColumnId="11742"/>
      <queryTableField id="4651" dataBound="0" tableColumnId="11743"/>
      <queryTableField id="4650" dataBound="0" tableColumnId="11744"/>
      <queryTableField id="4649" dataBound="0" tableColumnId="11745"/>
      <queryTableField id="4648" dataBound="0" tableColumnId="11746"/>
      <queryTableField id="4647" dataBound="0" tableColumnId="11747"/>
      <queryTableField id="4646" dataBound="0" tableColumnId="11748"/>
      <queryTableField id="4645" dataBound="0" tableColumnId="11749"/>
      <queryTableField id="4644" dataBound="0" tableColumnId="11750"/>
      <queryTableField id="4643" dataBound="0" tableColumnId="11751"/>
      <queryTableField id="4642" dataBound="0" tableColumnId="11752"/>
      <queryTableField id="4641" dataBound="0" tableColumnId="11753"/>
      <queryTableField id="4640" dataBound="0" tableColumnId="11754"/>
      <queryTableField id="4639" dataBound="0" tableColumnId="11755"/>
      <queryTableField id="4638" dataBound="0" tableColumnId="11756"/>
      <queryTableField id="4637" dataBound="0" tableColumnId="11757"/>
      <queryTableField id="4636" dataBound="0" tableColumnId="11758"/>
      <queryTableField id="4635" dataBound="0" tableColumnId="11759"/>
      <queryTableField id="4634" dataBound="0" tableColumnId="11760"/>
      <queryTableField id="4633" dataBound="0" tableColumnId="11761"/>
      <queryTableField id="4632" dataBound="0" tableColumnId="11762"/>
      <queryTableField id="4631" dataBound="0" tableColumnId="11763"/>
      <queryTableField id="4630" dataBound="0" tableColumnId="11764"/>
      <queryTableField id="4629" dataBound="0" tableColumnId="11765"/>
      <queryTableField id="4628" dataBound="0" tableColumnId="11766"/>
      <queryTableField id="4627" dataBound="0" tableColumnId="11767"/>
      <queryTableField id="4626" dataBound="0" tableColumnId="11768"/>
      <queryTableField id="4625" dataBound="0" tableColumnId="11769"/>
      <queryTableField id="4624" dataBound="0" tableColumnId="11770"/>
      <queryTableField id="4623" dataBound="0" tableColumnId="11771"/>
      <queryTableField id="4622" dataBound="0" tableColumnId="11772"/>
      <queryTableField id="4621" dataBound="0" tableColumnId="11773"/>
      <queryTableField id="4620" dataBound="0" tableColumnId="11774"/>
      <queryTableField id="4619" dataBound="0" tableColumnId="11775"/>
      <queryTableField id="4618" dataBound="0" tableColumnId="11776"/>
      <queryTableField id="4617" dataBound="0" tableColumnId="11777"/>
      <queryTableField id="4616" dataBound="0" tableColumnId="11778"/>
      <queryTableField id="4615" dataBound="0" tableColumnId="11779"/>
      <queryTableField id="4614" dataBound="0" tableColumnId="11780"/>
      <queryTableField id="4613" dataBound="0" tableColumnId="11781"/>
      <queryTableField id="4612" dataBound="0" tableColumnId="11782"/>
      <queryTableField id="4611" dataBound="0" tableColumnId="11783"/>
      <queryTableField id="4610" dataBound="0" tableColumnId="11784"/>
      <queryTableField id="4609" dataBound="0" tableColumnId="11785"/>
      <queryTableField id="4608" dataBound="0" tableColumnId="11786"/>
      <queryTableField id="4607" dataBound="0" tableColumnId="11787"/>
      <queryTableField id="4606" dataBound="0" tableColumnId="11788"/>
      <queryTableField id="4605" dataBound="0" tableColumnId="11789"/>
      <queryTableField id="4604" dataBound="0" tableColumnId="11790"/>
      <queryTableField id="4603" dataBound="0" tableColumnId="11791"/>
      <queryTableField id="4602" dataBound="0" tableColumnId="11792"/>
      <queryTableField id="4601" dataBound="0" tableColumnId="11793"/>
      <queryTableField id="4600" dataBound="0" tableColumnId="11794"/>
      <queryTableField id="4599" dataBound="0" tableColumnId="11795"/>
      <queryTableField id="4598" dataBound="0" tableColumnId="11796"/>
      <queryTableField id="4597" dataBound="0" tableColumnId="11797"/>
      <queryTableField id="4596" dataBound="0" tableColumnId="11798"/>
      <queryTableField id="4595" dataBound="0" tableColumnId="11799"/>
      <queryTableField id="4594" dataBound="0" tableColumnId="11800"/>
      <queryTableField id="4593" dataBound="0" tableColumnId="11801"/>
      <queryTableField id="4592" dataBound="0" tableColumnId="11802"/>
      <queryTableField id="4591" dataBound="0" tableColumnId="11803"/>
      <queryTableField id="4590" dataBound="0" tableColumnId="11804"/>
      <queryTableField id="4589" dataBound="0" tableColumnId="11805"/>
      <queryTableField id="4588" dataBound="0" tableColumnId="11806"/>
      <queryTableField id="4587" dataBound="0" tableColumnId="11807"/>
      <queryTableField id="4586" dataBound="0" tableColumnId="11808"/>
      <queryTableField id="4585" dataBound="0" tableColumnId="11809"/>
      <queryTableField id="4584" dataBound="0" tableColumnId="11810"/>
      <queryTableField id="4583" dataBound="0" tableColumnId="11811"/>
      <queryTableField id="4582" dataBound="0" tableColumnId="11812"/>
      <queryTableField id="4581" dataBound="0" tableColumnId="11813"/>
      <queryTableField id="4580" dataBound="0" tableColumnId="11814"/>
      <queryTableField id="4579" dataBound="0" tableColumnId="11815"/>
      <queryTableField id="4578" dataBound="0" tableColumnId="11816"/>
      <queryTableField id="4577" dataBound="0" tableColumnId="11817"/>
      <queryTableField id="4576" dataBound="0" tableColumnId="11818"/>
      <queryTableField id="4575" dataBound="0" tableColumnId="11819"/>
      <queryTableField id="4574" dataBound="0" tableColumnId="11820"/>
      <queryTableField id="4573" dataBound="0" tableColumnId="11821"/>
      <queryTableField id="4572" dataBound="0" tableColumnId="11822"/>
      <queryTableField id="4571" dataBound="0" tableColumnId="11823"/>
      <queryTableField id="4570" dataBound="0" tableColumnId="11824"/>
      <queryTableField id="4569" dataBound="0" tableColumnId="11825"/>
      <queryTableField id="4568" dataBound="0" tableColumnId="11826"/>
      <queryTableField id="4567" dataBound="0" tableColumnId="11827"/>
      <queryTableField id="4566" dataBound="0" tableColumnId="11828"/>
      <queryTableField id="4565" dataBound="0" tableColumnId="11829"/>
      <queryTableField id="4564" dataBound="0" tableColumnId="11830"/>
      <queryTableField id="4563" dataBound="0" tableColumnId="11831"/>
      <queryTableField id="4562" dataBound="0" tableColumnId="11832"/>
      <queryTableField id="4561" dataBound="0" tableColumnId="11833"/>
      <queryTableField id="4560" dataBound="0" tableColumnId="11834"/>
      <queryTableField id="4559" dataBound="0" tableColumnId="11835"/>
      <queryTableField id="4558" dataBound="0" tableColumnId="11836"/>
      <queryTableField id="4557" dataBound="0" tableColumnId="11837"/>
      <queryTableField id="4556" dataBound="0" tableColumnId="11838"/>
      <queryTableField id="4555" dataBound="0" tableColumnId="11839"/>
      <queryTableField id="4554" dataBound="0" tableColumnId="11840"/>
      <queryTableField id="4553" dataBound="0" tableColumnId="11841"/>
      <queryTableField id="4552" dataBound="0" tableColumnId="11842"/>
      <queryTableField id="4551" dataBound="0" tableColumnId="11843"/>
      <queryTableField id="4550" dataBound="0" tableColumnId="11844"/>
      <queryTableField id="4549" dataBound="0" tableColumnId="11845"/>
      <queryTableField id="4548" dataBound="0" tableColumnId="11846"/>
      <queryTableField id="4547" dataBound="0" tableColumnId="11847"/>
      <queryTableField id="4546" dataBound="0" tableColumnId="11848"/>
      <queryTableField id="4545" dataBound="0" tableColumnId="11849"/>
      <queryTableField id="4544" dataBound="0" tableColumnId="11850"/>
      <queryTableField id="4543" dataBound="0" tableColumnId="11851"/>
      <queryTableField id="4542" dataBound="0" tableColumnId="11852"/>
      <queryTableField id="4541" dataBound="0" tableColumnId="11853"/>
      <queryTableField id="4540" dataBound="0" tableColumnId="11854"/>
      <queryTableField id="4539" dataBound="0" tableColumnId="11855"/>
      <queryTableField id="4538" dataBound="0" tableColumnId="11856"/>
      <queryTableField id="4537" dataBound="0" tableColumnId="11857"/>
      <queryTableField id="4536" dataBound="0" tableColumnId="11858"/>
      <queryTableField id="4535" dataBound="0" tableColumnId="11859"/>
      <queryTableField id="4534" dataBound="0" tableColumnId="11860"/>
      <queryTableField id="4533" dataBound="0" tableColumnId="11861"/>
      <queryTableField id="4532" dataBound="0" tableColumnId="11862"/>
      <queryTableField id="4531" dataBound="0" tableColumnId="11863"/>
      <queryTableField id="4530" dataBound="0" tableColumnId="11864"/>
      <queryTableField id="4529" dataBound="0" tableColumnId="11865"/>
      <queryTableField id="4528" dataBound="0" tableColumnId="11866"/>
      <queryTableField id="4527" dataBound="0" tableColumnId="11867"/>
      <queryTableField id="4526" dataBound="0" tableColumnId="11868"/>
      <queryTableField id="4525" dataBound="0" tableColumnId="11869"/>
      <queryTableField id="4524" dataBound="0" tableColumnId="11870"/>
      <queryTableField id="4523" dataBound="0" tableColumnId="11871"/>
      <queryTableField id="4522" dataBound="0" tableColumnId="11872"/>
      <queryTableField id="4521" dataBound="0" tableColumnId="11873"/>
      <queryTableField id="4520" dataBound="0" tableColumnId="11874"/>
      <queryTableField id="4519" dataBound="0" tableColumnId="11875"/>
      <queryTableField id="4518" dataBound="0" tableColumnId="11876"/>
      <queryTableField id="4517" dataBound="0" tableColumnId="11877"/>
      <queryTableField id="4516" dataBound="0" tableColumnId="11878"/>
      <queryTableField id="4515" dataBound="0" tableColumnId="11879"/>
      <queryTableField id="4514" dataBound="0" tableColumnId="11880"/>
      <queryTableField id="4513" dataBound="0" tableColumnId="11881"/>
      <queryTableField id="4512" dataBound="0" tableColumnId="11882"/>
      <queryTableField id="4511" dataBound="0" tableColumnId="11883"/>
      <queryTableField id="4510" dataBound="0" tableColumnId="11884"/>
      <queryTableField id="4509" dataBound="0" tableColumnId="11885"/>
      <queryTableField id="4508" dataBound="0" tableColumnId="11886"/>
      <queryTableField id="4507" dataBound="0" tableColumnId="11887"/>
      <queryTableField id="4506" dataBound="0" tableColumnId="11888"/>
      <queryTableField id="4505" dataBound="0" tableColumnId="11889"/>
      <queryTableField id="4504" dataBound="0" tableColumnId="11890"/>
      <queryTableField id="4503" dataBound="0" tableColumnId="11891"/>
      <queryTableField id="4502" dataBound="0" tableColumnId="11892"/>
      <queryTableField id="4501" dataBound="0" tableColumnId="11893"/>
      <queryTableField id="4500" dataBound="0" tableColumnId="11894"/>
      <queryTableField id="4499" dataBound="0" tableColumnId="11895"/>
      <queryTableField id="4498" dataBound="0" tableColumnId="11896"/>
      <queryTableField id="4497" dataBound="0" tableColumnId="11897"/>
      <queryTableField id="4496" dataBound="0" tableColumnId="11898"/>
      <queryTableField id="4495" dataBound="0" tableColumnId="11899"/>
      <queryTableField id="4494" dataBound="0" tableColumnId="11900"/>
      <queryTableField id="4493" dataBound="0" tableColumnId="11901"/>
      <queryTableField id="4492" dataBound="0" tableColumnId="11902"/>
      <queryTableField id="4491" dataBound="0" tableColumnId="11903"/>
      <queryTableField id="4490" dataBound="0" tableColumnId="11904"/>
      <queryTableField id="4489" dataBound="0" tableColumnId="11905"/>
      <queryTableField id="4488" dataBound="0" tableColumnId="11906"/>
      <queryTableField id="4487" dataBound="0" tableColumnId="11907"/>
      <queryTableField id="4486" dataBound="0" tableColumnId="11908"/>
      <queryTableField id="4485" dataBound="0" tableColumnId="11909"/>
      <queryTableField id="4484" dataBound="0" tableColumnId="11910"/>
      <queryTableField id="4483" dataBound="0" tableColumnId="11911"/>
      <queryTableField id="4482" dataBound="0" tableColumnId="11912"/>
      <queryTableField id="4481" dataBound="0" tableColumnId="11913"/>
      <queryTableField id="4480" dataBound="0" tableColumnId="11914"/>
      <queryTableField id="4479" dataBound="0" tableColumnId="11915"/>
      <queryTableField id="4478" dataBound="0" tableColumnId="11916"/>
      <queryTableField id="4477" dataBound="0" tableColumnId="11917"/>
      <queryTableField id="4476" dataBound="0" tableColumnId="11918"/>
      <queryTableField id="4475" dataBound="0" tableColumnId="11919"/>
      <queryTableField id="4474" dataBound="0" tableColumnId="11920"/>
      <queryTableField id="4473" dataBound="0" tableColumnId="11921"/>
      <queryTableField id="4472" dataBound="0" tableColumnId="11922"/>
      <queryTableField id="4471" dataBound="0" tableColumnId="11923"/>
      <queryTableField id="4470" dataBound="0" tableColumnId="11924"/>
      <queryTableField id="4469" dataBound="0" tableColumnId="11925"/>
      <queryTableField id="4468" dataBound="0" tableColumnId="11926"/>
      <queryTableField id="4467" dataBound="0" tableColumnId="11927"/>
      <queryTableField id="4466" dataBound="0" tableColumnId="11928"/>
      <queryTableField id="4465" dataBound="0" tableColumnId="11929"/>
      <queryTableField id="4464" dataBound="0" tableColumnId="11930"/>
      <queryTableField id="4463" dataBound="0" tableColumnId="11931"/>
      <queryTableField id="4462" dataBound="0" tableColumnId="11932"/>
      <queryTableField id="4461" dataBound="0" tableColumnId="11933"/>
      <queryTableField id="4460" dataBound="0" tableColumnId="11934"/>
      <queryTableField id="4459" dataBound="0" tableColumnId="11935"/>
      <queryTableField id="4458" dataBound="0" tableColumnId="11936"/>
      <queryTableField id="4457" dataBound="0" tableColumnId="11937"/>
      <queryTableField id="4456" dataBound="0" tableColumnId="11938"/>
      <queryTableField id="4455" dataBound="0" tableColumnId="11939"/>
      <queryTableField id="4454" dataBound="0" tableColumnId="11940"/>
      <queryTableField id="4453" dataBound="0" tableColumnId="11941"/>
      <queryTableField id="4452" dataBound="0" tableColumnId="11942"/>
      <queryTableField id="4451" dataBound="0" tableColumnId="11943"/>
      <queryTableField id="4450" dataBound="0" tableColumnId="11944"/>
      <queryTableField id="4449" dataBound="0" tableColumnId="11945"/>
      <queryTableField id="4448" dataBound="0" tableColumnId="11946"/>
      <queryTableField id="4447" dataBound="0" tableColumnId="11947"/>
      <queryTableField id="4446" dataBound="0" tableColumnId="11948"/>
      <queryTableField id="4445" dataBound="0" tableColumnId="11949"/>
      <queryTableField id="4444" dataBound="0" tableColumnId="11950"/>
      <queryTableField id="4443" dataBound="0" tableColumnId="11951"/>
      <queryTableField id="4442" dataBound="0" tableColumnId="11952"/>
      <queryTableField id="4441" dataBound="0" tableColumnId="11953"/>
      <queryTableField id="4440" dataBound="0" tableColumnId="11954"/>
      <queryTableField id="4439" dataBound="0" tableColumnId="11955"/>
      <queryTableField id="4438" dataBound="0" tableColumnId="11956"/>
      <queryTableField id="4437" dataBound="0" tableColumnId="11957"/>
      <queryTableField id="4436" dataBound="0" tableColumnId="11958"/>
      <queryTableField id="4435" dataBound="0" tableColumnId="11959"/>
      <queryTableField id="4434" dataBound="0" tableColumnId="11960"/>
      <queryTableField id="4433" dataBound="0" tableColumnId="11961"/>
      <queryTableField id="4432" dataBound="0" tableColumnId="11962"/>
      <queryTableField id="4431" dataBound="0" tableColumnId="11963"/>
      <queryTableField id="4430" dataBound="0" tableColumnId="11964"/>
      <queryTableField id="4429" dataBound="0" tableColumnId="11965"/>
      <queryTableField id="4428" dataBound="0" tableColumnId="11966"/>
      <queryTableField id="4427" dataBound="0" tableColumnId="11967"/>
      <queryTableField id="4426" dataBound="0" tableColumnId="11968"/>
      <queryTableField id="4425" dataBound="0" tableColumnId="11969"/>
      <queryTableField id="4424" dataBound="0" tableColumnId="11970"/>
      <queryTableField id="4423" dataBound="0" tableColumnId="11971"/>
      <queryTableField id="4422" dataBound="0" tableColumnId="11972"/>
      <queryTableField id="4421" dataBound="0" tableColumnId="11973"/>
      <queryTableField id="4420" dataBound="0" tableColumnId="11974"/>
      <queryTableField id="4419" dataBound="0" tableColumnId="11975"/>
      <queryTableField id="4418" dataBound="0" tableColumnId="11976"/>
      <queryTableField id="4417" dataBound="0" tableColumnId="11977"/>
      <queryTableField id="4416" dataBound="0" tableColumnId="11978"/>
      <queryTableField id="4415" dataBound="0" tableColumnId="11979"/>
      <queryTableField id="4414" dataBound="0" tableColumnId="11980"/>
      <queryTableField id="4413" dataBound="0" tableColumnId="11981"/>
      <queryTableField id="4412" dataBound="0" tableColumnId="11982"/>
      <queryTableField id="4411" dataBound="0" tableColumnId="11983"/>
      <queryTableField id="4410" dataBound="0" tableColumnId="11984"/>
      <queryTableField id="4409" dataBound="0" tableColumnId="11985"/>
      <queryTableField id="4408" dataBound="0" tableColumnId="11986"/>
      <queryTableField id="4407" dataBound="0" tableColumnId="11987"/>
      <queryTableField id="4406" dataBound="0" tableColumnId="11988"/>
      <queryTableField id="4405" dataBound="0" tableColumnId="11989"/>
      <queryTableField id="4404" dataBound="0" tableColumnId="11990"/>
      <queryTableField id="4403" dataBound="0" tableColumnId="11991"/>
      <queryTableField id="4402" dataBound="0" tableColumnId="11992"/>
      <queryTableField id="4401" dataBound="0" tableColumnId="11993"/>
      <queryTableField id="4400" dataBound="0" tableColumnId="11994"/>
      <queryTableField id="4399" dataBound="0" tableColumnId="11995"/>
      <queryTableField id="4398" dataBound="0" tableColumnId="11996"/>
      <queryTableField id="4397" dataBound="0" tableColumnId="11997"/>
      <queryTableField id="4396" dataBound="0" tableColumnId="11998"/>
      <queryTableField id="4395" dataBound="0" tableColumnId="11999"/>
      <queryTableField id="4394" dataBound="0" tableColumnId="12000"/>
      <queryTableField id="4393" dataBound="0" tableColumnId="12001"/>
      <queryTableField id="4392" dataBound="0" tableColumnId="12002"/>
      <queryTableField id="4391" dataBound="0" tableColumnId="12003"/>
      <queryTableField id="4390" dataBound="0" tableColumnId="12004"/>
      <queryTableField id="4389" dataBound="0" tableColumnId="12005"/>
      <queryTableField id="4388" dataBound="0" tableColumnId="12006"/>
      <queryTableField id="4387" dataBound="0" tableColumnId="12007"/>
      <queryTableField id="4386" dataBound="0" tableColumnId="12008"/>
      <queryTableField id="4385" dataBound="0" tableColumnId="12009"/>
      <queryTableField id="4384" dataBound="0" tableColumnId="12010"/>
      <queryTableField id="4383" dataBound="0" tableColumnId="12011"/>
      <queryTableField id="4382" dataBound="0" tableColumnId="12012"/>
      <queryTableField id="4381" dataBound="0" tableColumnId="12013"/>
      <queryTableField id="4380" dataBound="0" tableColumnId="12014"/>
      <queryTableField id="4379" dataBound="0" tableColumnId="12015"/>
      <queryTableField id="4378" dataBound="0" tableColumnId="12016"/>
      <queryTableField id="4377" dataBound="0" tableColumnId="12017"/>
      <queryTableField id="4376" dataBound="0" tableColumnId="12018"/>
      <queryTableField id="4375" dataBound="0" tableColumnId="12019"/>
      <queryTableField id="4374" dataBound="0" tableColumnId="12020"/>
      <queryTableField id="4373" dataBound="0" tableColumnId="12021"/>
      <queryTableField id="4372" dataBound="0" tableColumnId="12022"/>
      <queryTableField id="4371" dataBound="0" tableColumnId="12023"/>
      <queryTableField id="4370" dataBound="0" tableColumnId="12024"/>
      <queryTableField id="4369" dataBound="0" tableColumnId="12025"/>
      <queryTableField id="4368" dataBound="0" tableColumnId="12026"/>
      <queryTableField id="4367" dataBound="0" tableColumnId="12027"/>
      <queryTableField id="4366" dataBound="0" tableColumnId="12028"/>
      <queryTableField id="4365" dataBound="0" tableColumnId="12029"/>
      <queryTableField id="4364" dataBound="0" tableColumnId="12030"/>
      <queryTableField id="4363" dataBound="0" tableColumnId="12031"/>
      <queryTableField id="4362" dataBound="0" tableColumnId="12032"/>
      <queryTableField id="4361" dataBound="0" tableColumnId="12033"/>
      <queryTableField id="4360" dataBound="0" tableColumnId="12034"/>
      <queryTableField id="4359" dataBound="0" tableColumnId="12035"/>
      <queryTableField id="4358" dataBound="0" tableColumnId="12036"/>
      <queryTableField id="4357" dataBound="0" tableColumnId="12037"/>
      <queryTableField id="4356" dataBound="0" tableColumnId="12038"/>
      <queryTableField id="4355" dataBound="0" tableColumnId="12039"/>
      <queryTableField id="4354" dataBound="0" tableColumnId="12040"/>
      <queryTableField id="4353" dataBound="0" tableColumnId="12041"/>
      <queryTableField id="4352" dataBound="0" tableColumnId="12042"/>
      <queryTableField id="4351" dataBound="0" tableColumnId="12043"/>
      <queryTableField id="4350" dataBound="0" tableColumnId="12044"/>
      <queryTableField id="4349" dataBound="0" tableColumnId="12045"/>
      <queryTableField id="4348" dataBound="0" tableColumnId="12046"/>
      <queryTableField id="4347" dataBound="0" tableColumnId="12047"/>
      <queryTableField id="4346" dataBound="0" tableColumnId="12048"/>
      <queryTableField id="4345" dataBound="0" tableColumnId="12049"/>
      <queryTableField id="4344" dataBound="0" tableColumnId="12050"/>
      <queryTableField id="4343" dataBound="0" tableColumnId="12051"/>
      <queryTableField id="4342" dataBound="0" tableColumnId="12052"/>
      <queryTableField id="4341" dataBound="0" tableColumnId="12053"/>
      <queryTableField id="4340" dataBound="0" tableColumnId="12054"/>
      <queryTableField id="4339" dataBound="0" tableColumnId="12055"/>
      <queryTableField id="4338" dataBound="0" tableColumnId="12056"/>
      <queryTableField id="4337" dataBound="0" tableColumnId="12057"/>
      <queryTableField id="4336" dataBound="0" tableColumnId="12058"/>
      <queryTableField id="4335" dataBound="0" tableColumnId="12059"/>
      <queryTableField id="4334" dataBound="0" tableColumnId="12060"/>
      <queryTableField id="4333" dataBound="0" tableColumnId="12061"/>
      <queryTableField id="4332" dataBound="0" tableColumnId="12062"/>
      <queryTableField id="4331" dataBound="0" tableColumnId="12063"/>
      <queryTableField id="4330" dataBound="0" tableColumnId="12064"/>
      <queryTableField id="4329" dataBound="0" tableColumnId="12065"/>
      <queryTableField id="4328" dataBound="0" tableColumnId="12066"/>
      <queryTableField id="4327" dataBound="0" tableColumnId="12067"/>
      <queryTableField id="4326" dataBound="0" tableColumnId="12068"/>
      <queryTableField id="4325" dataBound="0" tableColumnId="12069"/>
      <queryTableField id="4324" dataBound="0" tableColumnId="12070"/>
      <queryTableField id="4323" dataBound="0" tableColumnId="12071"/>
      <queryTableField id="4322" dataBound="0" tableColumnId="12072"/>
      <queryTableField id="4321" dataBound="0" tableColumnId="12073"/>
      <queryTableField id="4320" dataBound="0" tableColumnId="12074"/>
      <queryTableField id="4319" dataBound="0" tableColumnId="12075"/>
      <queryTableField id="4318" dataBound="0" tableColumnId="12076"/>
      <queryTableField id="4317" dataBound="0" tableColumnId="12077"/>
      <queryTableField id="4316" dataBound="0" tableColumnId="12078"/>
      <queryTableField id="4315" dataBound="0" tableColumnId="12079"/>
      <queryTableField id="4314" dataBound="0" tableColumnId="12080"/>
      <queryTableField id="4313" dataBound="0" tableColumnId="12081"/>
      <queryTableField id="4312" dataBound="0" tableColumnId="12082"/>
      <queryTableField id="4311" dataBound="0" tableColumnId="12083"/>
      <queryTableField id="4310" dataBound="0" tableColumnId="12084"/>
      <queryTableField id="4309" dataBound="0" tableColumnId="12085"/>
      <queryTableField id="4308" dataBound="0" tableColumnId="12086"/>
      <queryTableField id="4307" dataBound="0" tableColumnId="12087"/>
      <queryTableField id="4306" dataBound="0" tableColumnId="12088"/>
      <queryTableField id="4305" dataBound="0" tableColumnId="12089"/>
      <queryTableField id="4304" dataBound="0" tableColumnId="12090"/>
      <queryTableField id="4303" dataBound="0" tableColumnId="12091"/>
      <queryTableField id="4302" dataBound="0" tableColumnId="12092"/>
      <queryTableField id="4301" dataBound="0" tableColumnId="12093"/>
      <queryTableField id="4300" dataBound="0" tableColumnId="12094"/>
      <queryTableField id="4299" dataBound="0" tableColumnId="12095"/>
      <queryTableField id="4298" dataBound="0" tableColumnId="12096"/>
      <queryTableField id="4297" dataBound="0" tableColumnId="12097"/>
      <queryTableField id="4296" dataBound="0" tableColumnId="12098"/>
      <queryTableField id="4295" dataBound="0" tableColumnId="12099"/>
      <queryTableField id="4294" dataBound="0" tableColumnId="12100"/>
      <queryTableField id="4293" dataBound="0" tableColumnId="12101"/>
      <queryTableField id="4292" dataBound="0" tableColumnId="12102"/>
      <queryTableField id="4291" dataBound="0" tableColumnId="12103"/>
      <queryTableField id="4290" dataBound="0" tableColumnId="12104"/>
      <queryTableField id="4289" dataBound="0" tableColumnId="12105"/>
      <queryTableField id="4288" dataBound="0" tableColumnId="12106"/>
      <queryTableField id="4287" dataBound="0" tableColumnId="12107"/>
      <queryTableField id="4286" dataBound="0" tableColumnId="12108"/>
      <queryTableField id="4285" dataBound="0" tableColumnId="12109"/>
      <queryTableField id="4284" dataBound="0" tableColumnId="12110"/>
      <queryTableField id="4283" dataBound="0" tableColumnId="12111"/>
      <queryTableField id="4282" dataBound="0" tableColumnId="12112"/>
      <queryTableField id="4281" dataBound="0" tableColumnId="12113"/>
      <queryTableField id="4280" dataBound="0" tableColumnId="12114"/>
      <queryTableField id="4279" dataBound="0" tableColumnId="12115"/>
      <queryTableField id="4278" dataBound="0" tableColumnId="12116"/>
      <queryTableField id="4277" dataBound="0" tableColumnId="12117"/>
      <queryTableField id="4276" dataBound="0" tableColumnId="12118"/>
      <queryTableField id="4275" dataBound="0" tableColumnId="12119"/>
      <queryTableField id="4274" dataBound="0" tableColumnId="12120"/>
      <queryTableField id="4273" dataBound="0" tableColumnId="12121"/>
      <queryTableField id="4272" dataBound="0" tableColumnId="12122"/>
      <queryTableField id="4271" dataBound="0" tableColumnId="12123"/>
      <queryTableField id="4270" dataBound="0" tableColumnId="12124"/>
      <queryTableField id="4269" dataBound="0" tableColumnId="12125"/>
      <queryTableField id="4268" dataBound="0" tableColumnId="12126"/>
      <queryTableField id="4267" dataBound="0" tableColumnId="12127"/>
      <queryTableField id="4266" dataBound="0" tableColumnId="12128"/>
      <queryTableField id="4265" dataBound="0" tableColumnId="12129"/>
      <queryTableField id="4264" dataBound="0" tableColumnId="12130"/>
      <queryTableField id="4263" dataBound="0" tableColumnId="12131"/>
      <queryTableField id="4262" dataBound="0" tableColumnId="12132"/>
      <queryTableField id="4261" dataBound="0" tableColumnId="12133"/>
      <queryTableField id="4260" dataBound="0" tableColumnId="12134"/>
      <queryTableField id="4259" dataBound="0" tableColumnId="12135"/>
      <queryTableField id="4258" dataBound="0" tableColumnId="12136"/>
      <queryTableField id="4257" dataBound="0" tableColumnId="12137"/>
      <queryTableField id="4256" dataBound="0" tableColumnId="12138"/>
      <queryTableField id="4255" dataBound="0" tableColumnId="12139"/>
      <queryTableField id="4254" dataBound="0" tableColumnId="12140"/>
      <queryTableField id="4253" dataBound="0" tableColumnId="12141"/>
      <queryTableField id="4252" dataBound="0" tableColumnId="12142"/>
      <queryTableField id="4251" dataBound="0" tableColumnId="12143"/>
      <queryTableField id="4250" dataBound="0" tableColumnId="12144"/>
      <queryTableField id="4249" dataBound="0" tableColumnId="12145"/>
      <queryTableField id="4248" dataBound="0" tableColumnId="12146"/>
      <queryTableField id="4247" dataBound="0" tableColumnId="12147"/>
      <queryTableField id="4246" dataBound="0" tableColumnId="12148"/>
      <queryTableField id="4245" dataBound="0" tableColumnId="12149"/>
      <queryTableField id="4244" dataBound="0" tableColumnId="12150"/>
      <queryTableField id="4243" dataBound="0" tableColumnId="12151"/>
      <queryTableField id="4242" dataBound="0" tableColumnId="12152"/>
      <queryTableField id="4241" dataBound="0" tableColumnId="12153"/>
      <queryTableField id="4240" dataBound="0" tableColumnId="12154"/>
      <queryTableField id="4239" dataBound="0" tableColumnId="12155"/>
      <queryTableField id="4238" dataBound="0" tableColumnId="12156"/>
      <queryTableField id="4237" dataBound="0" tableColumnId="12157"/>
      <queryTableField id="4236" dataBound="0" tableColumnId="12158"/>
      <queryTableField id="4235" dataBound="0" tableColumnId="12159"/>
      <queryTableField id="4234" dataBound="0" tableColumnId="12160"/>
      <queryTableField id="4233" dataBound="0" tableColumnId="12161"/>
      <queryTableField id="4232" dataBound="0" tableColumnId="12162"/>
      <queryTableField id="4231" dataBound="0" tableColumnId="12163"/>
      <queryTableField id="4230" dataBound="0" tableColumnId="12164"/>
      <queryTableField id="4229" dataBound="0" tableColumnId="12165"/>
      <queryTableField id="4228" dataBound="0" tableColumnId="12166"/>
      <queryTableField id="4227" dataBound="0" tableColumnId="12167"/>
      <queryTableField id="4226" dataBound="0" tableColumnId="12168"/>
      <queryTableField id="4225" dataBound="0" tableColumnId="12169"/>
      <queryTableField id="4224" dataBound="0" tableColumnId="12170"/>
      <queryTableField id="4223" dataBound="0" tableColumnId="12171"/>
      <queryTableField id="4222" dataBound="0" tableColumnId="12172"/>
      <queryTableField id="4221" dataBound="0" tableColumnId="12173"/>
      <queryTableField id="4220" dataBound="0" tableColumnId="12174"/>
      <queryTableField id="4219" dataBound="0" tableColumnId="12175"/>
      <queryTableField id="4218" dataBound="0" tableColumnId="12176"/>
      <queryTableField id="4217" dataBound="0" tableColumnId="12177"/>
      <queryTableField id="4216" dataBound="0" tableColumnId="12178"/>
      <queryTableField id="4215" dataBound="0" tableColumnId="12179"/>
      <queryTableField id="4214" dataBound="0" tableColumnId="12180"/>
      <queryTableField id="4213" dataBound="0" tableColumnId="12181"/>
      <queryTableField id="4212" dataBound="0" tableColumnId="12182"/>
      <queryTableField id="4211" dataBound="0" tableColumnId="12183"/>
      <queryTableField id="4210" dataBound="0" tableColumnId="12184"/>
      <queryTableField id="4209" dataBound="0" tableColumnId="12185"/>
      <queryTableField id="4208" dataBound="0" tableColumnId="12186"/>
      <queryTableField id="4207" dataBound="0" tableColumnId="12187"/>
      <queryTableField id="4206" dataBound="0" tableColumnId="12188"/>
      <queryTableField id="4205" dataBound="0" tableColumnId="12189"/>
      <queryTableField id="4204" dataBound="0" tableColumnId="12190"/>
      <queryTableField id="4203" dataBound="0" tableColumnId="12191"/>
      <queryTableField id="4202" dataBound="0" tableColumnId="12192"/>
      <queryTableField id="4201" dataBound="0" tableColumnId="12193"/>
      <queryTableField id="4200" dataBound="0" tableColumnId="12194"/>
      <queryTableField id="4199" dataBound="0" tableColumnId="12195"/>
      <queryTableField id="4198" dataBound="0" tableColumnId="12196"/>
      <queryTableField id="4197" dataBound="0" tableColumnId="12197"/>
      <queryTableField id="4196" dataBound="0" tableColumnId="12198"/>
      <queryTableField id="4195" dataBound="0" tableColumnId="12199"/>
      <queryTableField id="4194" dataBound="0" tableColumnId="12200"/>
      <queryTableField id="4193" dataBound="0" tableColumnId="12201"/>
      <queryTableField id="4192" dataBound="0" tableColumnId="12202"/>
      <queryTableField id="4191" dataBound="0" tableColumnId="12203"/>
      <queryTableField id="4190" dataBound="0" tableColumnId="12204"/>
      <queryTableField id="4189" dataBound="0" tableColumnId="12205"/>
      <queryTableField id="4188" dataBound="0" tableColumnId="12206"/>
      <queryTableField id="4187" dataBound="0" tableColumnId="12207"/>
      <queryTableField id="4186" dataBound="0" tableColumnId="12208"/>
      <queryTableField id="4185" dataBound="0" tableColumnId="12209"/>
      <queryTableField id="4184" dataBound="0" tableColumnId="12210"/>
      <queryTableField id="4183" dataBound="0" tableColumnId="12211"/>
      <queryTableField id="4182" dataBound="0" tableColumnId="12212"/>
      <queryTableField id="4181" dataBound="0" tableColumnId="12213"/>
      <queryTableField id="4180" dataBound="0" tableColumnId="12214"/>
      <queryTableField id="4179" dataBound="0" tableColumnId="12215"/>
      <queryTableField id="4178" dataBound="0" tableColumnId="12216"/>
      <queryTableField id="4177" dataBound="0" tableColumnId="12217"/>
      <queryTableField id="4176" dataBound="0" tableColumnId="12218"/>
      <queryTableField id="4175" dataBound="0" tableColumnId="12219"/>
      <queryTableField id="4174" dataBound="0" tableColumnId="12220"/>
      <queryTableField id="4173" dataBound="0" tableColumnId="12221"/>
      <queryTableField id="4172" dataBound="0" tableColumnId="12222"/>
      <queryTableField id="4171" dataBound="0" tableColumnId="12223"/>
      <queryTableField id="4170" dataBound="0" tableColumnId="12224"/>
      <queryTableField id="4169" dataBound="0" tableColumnId="12225"/>
      <queryTableField id="4168" dataBound="0" tableColumnId="12226"/>
      <queryTableField id="4167" dataBound="0" tableColumnId="12227"/>
      <queryTableField id="4166" dataBound="0" tableColumnId="12228"/>
      <queryTableField id="4165" dataBound="0" tableColumnId="12229"/>
      <queryTableField id="4164" dataBound="0" tableColumnId="12230"/>
      <queryTableField id="4163" dataBound="0" tableColumnId="12231"/>
      <queryTableField id="4162" dataBound="0" tableColumnId="12232"/>
      <queryTableField id="4161" dataBound="0" tableColumnId="12233"/>
      <queryTableField id="4160" dataBound="0" tableColumnId="12234"/>
      <queryTableField id="4159" dataBound="0" tableColumnId="12235"/>
      <queryTableField id="4158" dataBound="0" tableColumnId="12236"/>
      <queryTableField id="4157" dataBound="0" tableColumnId="12237"/>
      <queryTableField id="4156" dataBound="0" tableColumnId="12238"/>
      <queryTableField id="4155" dataBound="0" tableColumnId="12239"/>
      <queryTableField id="4154" dataBound="0" tableColumnId="12240"/>
      <queryTableField id="4153" dataBound="0" tableColumnId="12241"/>
      <queryTableField id="4152" dataBound="0" tableColumnId="12242"/>
      <queryTableField id="4151" dataBound="0" tableColumnId="12243"/>
      <queryTableField id="4150" dataBound="0" tableColumnId="12244"/>
      <queryTableField id="4149" dataBound="0" tableColumnId="12245"/>
      <queryTableField id="4148" dataBound="0" tableColumnId="12246"/>
      <queryTableField id="4147" dataBound="0" tableColumnId="12247"/>
      <queryTableField id="4146" dataBound="0" tableColumnId="12248"/>
      <queryTableField id="4145" dataBound="0" tableColumnId="12249"/>
      <queryTableField id="4144" dataBound="0" tableColumnId="12250"/>
      <queryTableField id="4143" dataBound="0" tableColumnId="12251"/>
      <queryTableField id="4142" dataBound="0" tableColumnId="12252"/>
      <queryTableField id="4141" dataBound="0" tableColumnId="12253"/>
      <queryTableField id="4140" dataBound="0" tableColumnId="12254"/>
      <queryTableField id="4139" dataBound="0" tableColumnId="12255"/>
      <queryTableField id="4138" dataBound="0" tableColumnId="12256"/>
      <queryTableField id="4137" dataBound="0" tableColumnId="12257"/>
      <queryTableField id="4136" dataBound="0" tableColumnId="12258"/>
      <queryTableField id="4135" dataBound="0" tableColumnId="12259"/>
      <queryTableField id="4134" dataBound="0" tableColumnId="12260"/>
      <queryTableField id="4133" dataBound="0" tableColumnId="12261"/>
      <queryTableField id="4132" dataBound="0" tableColumnId="12262"/>
      <queryTableField id="4131" dataBound="0" tableColumnId="12263"/>
      <queryTableField id="4130" dataBound="0" tableColumnId="12264"/>
      <queryTableField id="4129" dataBound="0" tableColumnId="12265"/>
      <queryTableField id="4128" dataBound="0" tableColumnId="12266"/>
      <queryTableField id="4127" dataBound="0" tableColumnId="12267"/>
      <queryTableField id="4126" dataBound="0" tableColumnId="12268"/>
      <queryTableField id="4125" dataBound="0" tableColumnId="12269"/>
      <queryTableField id="4124" dataBound="0" tableColumnId="12270"/>
      <queryTableField id="4123" dataBound="0" tableColumnId="12271"/>
      <queryTableField id="4122" dataBound="0" tableColumnId="12272"/>
      <queryTableField id="4121" dataBound="0" tableColumnId="12273"/>
      <queryTableField id="4120" dataBound="0" tableColumnId="12274"/>
      <queryTableField id="4119" dataBound="0" tableColumnId="12275"/>
      <queryTableField id="4118" dataBound="0" tableColumnId="12276"/>
      <queryTableField id="4117" dataBound="0" tableColumnId="12277"/>
      <queryTableField id="4116" dataBound="0" tableColumnId="12278"/>
      <queryTableField id="4115" dataBound="0" tableColumnId="12279"/>
      <queryTableField id="4114" dataBound="0" tableColumnId="12280"/>
      <queryTableField id="4113" dataBound="0" tableColumnId="12281"/>
      <queryTableField id="4112" dataBound="0" tableColumnId="12282"/>
      <queryTableField id="4111" dataBound="0" tableColumnId="12283"/>
      <queryTableField id="4110" dataBound="0" tableColumnId="12284"/>
      <queryTableField id="4109" dataBound="0" tableColumnId="12285"/>
      <queryTableField id="4108" dataBound="0" tableColumnId="12286"/>
      <queryTableField id="4107" dataBound="0" tableColumnId="12287"/>
      <queryTableField id="4106" dataBound="0" tableColumnId="12288"/>
      <queryTableField id="4105" dataBound="0" tableColumnId="12289"/>
      <queryTableField id="4104" dataBound="0" tableColumnId="12290"/>
      <queryTableField id="4103" dataBound="0" tableColumnId="12291"/>
      <queryTableField id="4102" dataBound="0" tableColumnId="12292"/>
      <queryTableField id="4101" dataBound="0" tableColumnId="12293"/>
      <queryTableField id="4100" dataBound="0" tableColumnId="12294"/>
      <queryTableField id="4099" dataBound="0" tableColumnId="12295"/>
      <queryTableField id="4098" dataBound="0" tableColumnId="12296"/>
      <queryTableField id="4097" dataBound="0" tableColumnId="12297"/>
      <queryTableField id="4096" dataBound="0" tableColumnId="12298"/>
      <queryTableField id="4095" dataBound="0" tableColumnId="12299"/>
      <queryTableField id="4094" dataBound="0" tableColumnId="12300"/>
      <queryTableField id="4093" dataBound="0" tableColumnId="12301"/>
      <queryTableField id="4092" dataBound="0" tableColumnId="12302"/>
      <queryTableField id="4091" dataBound="0" tableColumnId="12303"/>
      <queryTableField id="4090" dataBound="0" tableColumnId="12304"/>
      <queryTableField id="4089" dataBound="0" tableColumnId="12305"/>
      <queryTableField id="4088" dataBound="0" tableColumnId="12306"/>
      <queryTableField id="4087" dataBound="0" tableColumnId="12307"/>
      <queryTableField id="4086" dataBound="0" tableColumnId="12308"/>
      <queryTableField id="4085" dataBound="0" tableColumnId="12309"/>
      <queryTableField id="4084" dataBound="0" tableColumnId="12310"/>
      <queryTableField id="4083" dataBound="0" tableColumnId="12311"/>
      <queryTableField id="4082" dataBound="0" tableColumnId="12312"/>
      <queryTableField id="4081" dataBound="0" tableColumnId="12313"/>
      <queryTableField id="4080" dataBound="0" tableColumnId="12314"/>
      <queryTableField id="4079" dataBound="0" tableColumnId="12315"/>
      <queryTableField id="4078" dataBound="0" tableColumnId="12316"/>
      <queryTableField id="4077" dataBound="0" tableColumnId="12317"/>
      <queryTableField id="4076" dataBound="0" tableColumnId="12318"/>
      <queryTableField id="4075" dataBound="0" tableColumnId="12319"/>
      <queryTableField id="4074" dataBound="0" tableColumnId="12320"/>
      <queryTableField id="4073" dataBound="0" tableColumnId="12321"/>
      <queryTableField id="4072" dataBound="0" tableColumnId="12322"/>
      <queryTableField id="4071" dataBound="0" tableColumnId="12323"/>
      <queryTableField id="4070" dataBound="0" tableColumnId="12324"/>
      <queryTableField id="4069" dataBound="0" tableColumnId="12325"/>
      <queryTableField id="4068" dataBound="0" tableColumnId="12326"/>
      <queryTableField id="4067" dataBound="0" tableColumnId="12327"/>
      <queryTableField id="4066" dataBound="0" tableColumnId="12328"/>
      <queryTableField id="4065" dataBound="0" tableColumnId="12329"/>
      <queryTableField id="4064" dataBound="0" tableColumnId="12330"/>
      <queryTableField id="4063" dataBound="0" tableColumnId="12331"/>
      <queryTableField id="4062" dataBound="0" tableColumnId="12332"/>
      <queryTableField id="4061" dataBound="0" tableColumnId="12333"/>
      <queryTableField id="4060" dataBound="0" tableColumnId="12334"/>
      <queryTableField id="4059" dataBound="0" tableColumnId="12335"/>
      <queryTableField id="4058" dataBound="0" tableColumnId="12336"/>
      <queryTableField id="4057" dataBound="0" tableColumnId="12337"/>
      <queryTableField id="4056" dataBound="0" tableColumnId="12338"/>
      <queryTableField id="4055" dataBound="0" tableColumnId="12339"/>
      <queryTableField id="4054" dataBound="0" tableColumnId="12340"/>
      <queryTableField id="4053" dataBound="0" tableColumnId="12341"/>
      <queryTableField id="4052" dataBound="0" tableColumnId="12342"/>
      <queryTableField id="4051" dataBound="0" tableColumnId="12343"/>
      <queryTableField id="4050" dataBound="0" tableColumnId="12344"/>
      <queryTableField id="4049" dataBound="0" tableColumnId="12345"/>
      <queryTableField id="4048" dataBound="0" tableColumnId="12346"/>
      <queryTableField id="4047" dataBound="0" tableColumnId="12347"/>
      <queryTableField id="4046" dataBound="0" tableColumnId="12348"/>
      <queryTableField id="4045" dataBound="0" tableColumnId="12349"/>
      <queryTableField id="4044" dataBound="0" tableColumnId="12350"/>
      <queryTableField id="4043" dataBound="0" tableColumnId="12351"/>
      <queryTableField id="4042" dataBound="0" tableColumnId="12352"/>
      <queryTableField id="4041" dataBound="0" tableColumnId="12353"/>
      <queryTableField id="4040" dataBound="0" tableColumnId="12354"/>
      <queryTableField id="4039" dataBound="0" tableColumnId="12355"/>
      <queryTableField id="4038" dataBound="0" tableColumnId="12356"/>
      <queryTableField id="4037" dataBound="0" tableColumnId="12357"/>
      <queryTableField id="4036" dataBound="0" tableColumnId="12358"/>
      <queryTableField id="4035" dataBound="0" tableColumnId="12359"/>
      <queryTableField id="4034" dataBound="0" tableColumnId="12360"/>
      <queryTableField id="4033" dataBound="0" tableColumnId="12361"/>
      <queryTableField id="4032" dataBound="0" tableColumnId="12362"/>
      <queryTableField id="4031" dataBound="0" tableColumnId="12363"/>
      <queryTableField id="4030" dataBound="0" tableColumnId="12364"/>
      <queryTableField id="4029" dataBound="0" tableColumnId="12365"/>
      <queryTableField id="4028" dataBound="0" tableColumnId="12366"/>
      <queryTableField id="4027" dataBound="0" tableColumnId="12367"/>
      <queryTableField id="4026" dataBound="0" tableColumnId="12368"/>
      <queryTableField id="4025" dataBound="0" tableColumnId="12369"/>
      <queryTableField id="4024" dataBound="0" tableColumnId="12370"/>
      <queryTableField id="4023" dataBound="0" tableColumnId="12371"/>
      <queryTableField id="4022" dataBound="0" tableColumnId="12372"/>
      <queryTableField id="4021" dataBound="0" tableColumnId="12373"/>
      <queryTableField id="4020" dataBound="0" tableColumnId="12374"/>
      <queryTableField id="4019" dataBound="0" tableColumnId="12375"/>
      <queryTableField id="4018" dataBound="0" tableColumnId="12376"/>
      <queryTableField id="4017" dataBound="0" tableColumnId="12377"/>
      <queryTableField id="4016" dataBound="0" tableColumnId="12378"/>
      <queryTableField id="4015" dataBound="0" tableColumnId="12379"/>
      <queryTableField id="4014" dataBound="0" tableColumnId="12380"/>
      <queryTableField id="4013" dataBound="0" tableColumnId="12381"/>
      <queryTableField id="4012" dataBound="0" tableColumnId="12382"/>
      <queryTableField id="4011" dataBound="0" tableColumnId="12383"/>
      <queryTableField id="4010" dataBound="0" tableColumnId="12384"/>
      <queryTableField id="4009" dataBound="0" tableColumnId="12385"/>
      <queryTableField id="4008" dataBound="0" tableColumnId="12386"/>
      <queryTableField id="4007" dataBound="0" tableColumnId="12387"/>
      <queryTableField id="4006" dataBound="0" tableColumnId="12388"/>
      <queryTableField id="4005" dataBound="0" tableColumnId="12389"/>
      <queryTableField id="4004" dataBound="0" tableColumnId="12390"/>
      <queryTableField id="4003" dataBound="0" tableColumnId="12391"/>
      <queryTableField id="4002" dataBound="0" tableColumnId="12392"/>
      <queryTableField id="4001" dataBound="0" tableColumnId="12393"/>
      <queryTableField id="4000" dataBound="0" tableColumnId="12394"/>
      <queryTableField id="3999" dataBound="0" tableColumnId="12395"/>
      <queryTableField id="3998" dataBound="0" tableColumnId="12396"/>
      <queryTableField id="3997" dataBound="0" tableColumnId="12397"/>
      <queryTableField id="3996" dataBound="0" tableColumnId="12398"/>
      <queryTableField id="3995" dataBound="0" tableColumnId="12399"/>
      <queryTableField id="3994" dataBound="0" tableColumnId="12400"/>
      <queryTableField id="3993" dataBound="0" tableColumnId="12401"/>
      <queryTableField id="3992" dataBound="0" tableColumnId="12402"/>
      <queryTableField id="3991" dataBound="0" tableColumnId="12403"/>
      <queryTableField id="3990" dataBound="0" tableColumnId="12404"/>
      <queryTableField id="3989" dataBound="0" tableColumnId="12405"/>
      <queryTableField id="3988" dataBound="0" tableColumnId="12406"/>
      <queryTableField id="3987" dataBound="0" tableColumnId="12407"/>
      <queryTableField id="3986" dataBound="0" tableColumnId="12408"/>
      <queryTableField id="3985" dataBound="0" tableColumnId="12409"/>
      <queryTableField id="3984" dataBound="0" tableColumnId="12410"/>
      <queryTableField id="3983" dataBound="0" tableColumnId="12411"/>
      <queryTableField id="3982" dataBound="0" tableColumnId="12412"/>
      <queryTableField id="3981" dataBound="0" tableColumnId="12413"/>
      <queryTableField id="3980" dataBound="0" tableColumnId="12414"/>
      <queryTableField id="3979" dataBound="0" tableColumnId="12415"/>
      <queryTableField id="3978" dataBound="0" tableColumnId="12416"/>
      <queryTableField id="3977" dataBound="0" tableColumnId="12417"/>
      <queryTableField id="3976" dataBound="0" tableColumnId="12418"/>
      <queryTableField id="3975" dataBound="0" tableColumnId="12419"/>
      <queryTableField id="3974" dataBound="0" tableColumnId="12420"/>
      <queryTableField id="3973" dataBound="0" tableColumnId="12421"/>
      <queryTableField id="3972" dataBound="0" tableColumnId="12422"/>
      <queryTableField id="3971" dataBound="0" tableColumnId="12423"/>
      <queryTableField id="3970" dataBound="0" tableColumnId="12424"/>
      <queryTableField id="3969" dataBound="0" tableColumnId="12425"/>
      <queryTableField id="3968" dataBound="0" tableColumnId="12426"/>
      <queryTableField id="3967" dataBound="0" tableColumnId="12427"/>
      <queryTableField id="3966" dataBound="0" tableColumnId="12428"/>
      <queryTableField id="3965" dataBound="0" tableColumnId="12429"/>
      <queryTableField id="3964" dataBound="0" tableColumnId="12430"/>
      <queryTableField id="3963" dataBound="0" tableColumnId="12431"/>
      <queryTableField id="3962" dataBound="0" tableColumnId="12432"/>
      <queryTableField id="3961" dataBound="0" tableColumnId="12433"/>
      <queryTableField id="3960" dataBound="0" tableColumnId="12434"/>
      <queryTableField id="3959" dataBound="0" tableColumnId="12435"/>
      <queryTableField id="3958" dataBound="0" tableColumnId="12436"/>
      <queryTableField id="3957" dataBound="0" tableColumnId="12437"/>
      <queryTableField id="3956" dataBound="0" tableColumnId="12438"/>
      <queryTableField id="3955" dataBound="0" tableColumnId="12439"/>
      <queryTableField id="3954" dataBound="0" tableColumnId="12440"/>
      <queryTableField id="3953" dataBound="0" tableColumnId="12441"/>
      <queryTableField id="3952" dataBound="0" tableColumnId="12442"/>
      <queryTableField id="3951" dataBound="0" tableColumnId="12443"/>
      <queryTableField id="3950" dataBound="0" tableColumnId="12444"/>
      <queryTableField id="3949" dataBound="0" tableColumnId="12445"/>
      <queryTableField id="3948" dataBound="0" tableColumnId="12446"/>
      <queryTableField id="3947" dataBound="0" tableColumnId="12447"/>
      <queryTableField id="3946" dataBound="0" tableColumnId="12448"/>
      <queryTableField id="3945" dataBound="0" tableColumnId="12449"/>
      <queryTableField id="3944" dataBound="0" tableColumnId="12450"/>
      <queryTableField id="3943" dataBound="0" tableColumnId="12451"/>
      <queryTableField id="3942" dataBound="0" tableColumnId="12452"/>
      <queryTableField id="3941" dataBound="0" tableColumnId="12453"/>
      <queryTableField id="3940" dataBound="0" tableColumnId="12454"/>
      <queryTableField id="3939" dataBound="0" tableColumnId="12455"/>
      <queryTableField id="3938" dataBound="0" tableColumnId="12456"/>
      <queryTableField id="3937" dataBound="0" tableColumnId="12457"/>
      <queryTableField id="3936" dataBound="0" tableColumnId="12458"/>
      <queryTableField id="3935" dataBound="0" tableColumnId="12459"/>
      <queryTableField id="3934" dataBound="0" tableColumnId="12460"/>
      <queryTableField id="3933" dataBound="0" tableColumnId="12461"/>
      <queryTableField id="3932" dataBound="0" tableColumnId="12462"/>
      <queryTableField id="3931" dataBound="0" tableColumnId="12463"/>
      <queryTableField id="3930" dataBound="0" tableColumnId="12464"/>
      <queryTableField id="3929" dataBound="0" tableColumnId="12465"/>
      <queryTableField id="3928" dataBound="0" tableColumnId="12466"/>
      <queryTableField id="3927" dataBound="0" tableColumnId="12467"/>
      <queryTableField id="3926" dataBound="0" tableColumnId="12468"/>
      <queryTableField id="3925" dataBound="0" tableColumnId="12469"/>
      <queryTableField id="3924" dataBound="0" tableColumnId="12470"/>
      <queryTableField id="3923" dataBound="0" tableColumnId="12471"/>
      <queryTableField id="3922" dataBound="0" tableColumnId="12472"/>
      <queryTableField id="3921" dataBound="0" tableColumnId="12473"/>
      <queryTableField id="3920" dataBound="0" tableColumnId="12474"/>
      <queryTableField id="3919" dataBound="0" tableColumnId="12475"/>
      <queryTableField id="3918" dataBound="0" tableColumnId="12476"/>
      <queryTableField id="3917" dataBound="0" tableColumnId="12477"/>
      <queryTableField id="3916" dataBound="0" tableColumnId="12478"/>
      <queryTableField id="3915" dataBound="0" tableColumnId="12479"/>
      <queryTableField id="3914" dataBound="0" tableColumnId="12480"/>
      <queryTableField id="3913" dataBound="0" tableColumnId="12481"/>
      <queryTableField id="3912" dataBound="0" tableColumnId="12482"/>
      <queryTableField id="3911" dataBound="0" tableColumnId="12483"/>
      <queryTableField id="3910" dataBound="0" tableColumnId="12484"/>
      <queryTableField id="3909" dataBound="0" tableColumnId="12485"/>
      <queryTableField id="3908" dataBound="0" tableColumnId="12486"/>
      <queryTableField id="3907" dataBound="0" tableColumnId="12487"/>
      <queryTableField id="3906" dataBound="0" tableColumnId="12488"/>
      <queryTableField id="3905" dataBound="0" tableColumnId="12489"/>
      <queryTableField id="3904" dataBound="0" tableColumnId="12490"/>
      <queryTableField id="3903" dataBound="0" tableColumnId="12491"/>
      <queryTableField id="3902" dataBound="0" tableColumnId="12492"/>
      <queryTableField id="3901" dataBound="0" tableColumnId="12493"/>
      <queryTableField id="3900" dataBound="0" tableColumnId="12494"/>
      <queryTableField id="3899" dataBound="0" tableColumnId="12495"/>
      <queryTableField id="3898" dataBound="0" tableColumnId="12496"/>
      <queryTableField id="3897" dataBound="0" tableColumnId="12497"/>
      <queryTableField id="3896" dataBound="0" tableColumnId="12498"/>
      <queryTableField id="3895" dataBound="0" tableColumnId="12499"/>
      <queryTableField id="3894" dataBound="0" tableColumnId="12500"/>
      <queryTableField id="3893" dataBound="0" tableColumnId="12501"/>
      <queryTableField id="3892" dataBound="0" tableColumnId="12502"/>
      <queryTableField id="3891" dataBound="0" tableColumnId="12503"/>
      <queryTableField id="3890" dataBound="0" tableColumnId="12504"/>
      <queryTableField id="3889" dataBound="0" tableColumnId="12505"/>
      <queryTableField id="3888" dataBound="0" tableColumnId="12506"/>
      <queryTableField id="3887" dataBound="0" tableColumnId="12507"/>
      <queryTableField id="3886" dataBound="0" tableColumnId="12508"/>
      <queryTableField id="3885" dataBound="0" tableColumnId="12509"/>
      <queryTableField id="3884" dataBound="0" tableColumnId="12510"/>
      <queryTableField id="3883" dataBound="0" tableColumnId="12511"/>
      <queryTableField id="3882" dataBound="0" tableColumnId="12512"/>
      <queryTableField id="3881" dataBound="0" tableColumnId="12513"/>
      <queryTableField id="3880" dataBound="0" tableColumnId="12514"/>
      <queryTableField id="3879" dataBound="0" tableColumnId="12515"/>
      <queryTableField id="3878" dataBound="0" tableColumnId="12516"/>
      <queryTableField id="3877" dataBound="0" tableColumnId="12517"/>
      <queryTableField id="3876" dataBound="0" tableColumnId="12518"/>
      <queryTableField id="3875" dataBound="0" tableColumnId="12519"/>
      <queryTableField id="3874" dataBound="0" tableColumnId="12520"/>
      <queryTableField id="3873" dataBound="0" tableColumnId="12521"/>
      <queryTableField id="3872" dataBound="0" tableColumnId="12522"/>
      <queryTableField id="3871" dataBound="0" tableColumnId="12523"/>
      <queryTableField id="3870" dataBound="0" tableColumnId="12524"/>
      <queryTableField id="3869" dataBound="0" tableColumnId="12525"/>
      <queryTableField id="3868" dataBound="0" tableColumnId="12526"/>
      <queryTableField id="3867" dataBound="0" tableColumnId="12527"/>
      <queryTableField id="3866" dataBound="0" tableColumnId="12528"/>
      <queryTableField id="3865" dataBound="0" tableColumnId="12529"/>
      <queryTableField id="3864" dataBound="0" tableColumnId="12530"/>
      <queryTableField id="3863" dataBound="0" tableColumnId="12531"/>
      <queryTableField id="3862" dataBound="0" tableColumnId="12532"/>
      <queryTableField id="3861" dataBound="0" tableColumnId="12533"/>
      <queryTableField id="3860" dataBound="0" tableColumnId="12534"/>
      <queryTableField id="3859" dataBound="0" tableColumnId="12535"/>
      <queryTableField id="3858" dataBound="0" tableColumnId="12536"/>
      <queryTableField id="3857" dataBound="0" tableColumnId="12537"/>
      <queryTableField id="3856" dataBound="0" tableColumnId="12538"/>
      <queryTableField id="3855" dataBound="0" tableColumnId="12539"/>
      <queryTableField id="3854" dataBound="0" tableColumnId="12540"/>
      <queryTableField id="3853" dataBound="0" tableColumnId="12541"/>
      <queryTableField id="3852" dataBound="0" tableColumnId="12542"/>
      <queryTableField id="3851" dataBound="0" tableColumnId="12543"/>
      <queryTableField id="3850" dataBound="0" tableColumnId="12544"/>
      <queryTableField id="3849" dataBound="0" tableColumnId="12545"/>
      <queryTableField id="3848" dataBound="0" tableColumnId="12546"/>
      <queryTableField id="3847" dataBound="0" tableColumnId="12547"/>
      <queryTableField id="3846" dataBound="0" tableColumnId="12548"/>
      <queryTableField id="3845" dataBound="0" tableColumnId="12549"/>
      <queryTableField id="3844" dataBound="0" tableColumnId="12550"/>
      <queryTableField id="3843" dataBound="0" tableColumnId="12551"/>
      <queryTableField id="3842" dataBound="0" tableColumnId="12552"/>
      <queryTableField id="3841" dataBound="0" tableColumnId="12553"/>
      <queryTableField id="3840" dataBound="0" tableColumnId="12554"/>
      <queryTableField id="3839" dataBound="0" tableColumnId="12555"/>
      <queryTableField id="3838" dataBound="0" tableColumnId="12556"/>
      <queryTableField id="3837" dataBound="0" tableColumnId="12557"/>
      <queryTableField id="3836" dataBound="0" tableColumnId="12558"/>
      <queryTableField id="3835" dataBound="0" tableColumnId="12559"/>
      <queryTableField id="3834" dataBound="0" tableColumnId="12560"/>
      <queryTableField id="3833" dataBound="0" tableColumnId="12561"/>
      <queryTableField id="3832" dataBound="0" tableColumnId="12562"/>
      <queryTableField id="3831" dataBound="0" tableColumnId="12563"/>
      <queryTableField id="3830" dataBound="0" tableColumnId="12564"/>
      <queryTableField id="3829" dataBound="0" tableColumnId="12565"/>
      <queryTableField id="3828" dataBound="0" tableColumnId="12566"/>
      <queryTableField id="3827" dataBound="0" tableColumnId="12567"/>
      <queryTableField id="3826" dataBound="0" tableColumnId="12568"/>
      <queryTableField id="3825" dataBound="0" tableColumnId="12569"/>
      <queryTableField id="3824" dataBound="0" tableColumnId="12570"/>
      <queryTableField id="3823" dataBound="0" tableColumnId="12571"/>
      <queryTableField id="3822" dataBound="0" tableColumnId="12572"/>
      <queryTableField id="3821" dataBound="0" tableColumnId="12573"/>
      <queryTableField id="3820" dataBound="0" tableColumnId="12574"/>
      <queryTableField id="3819" dataBound="0" tableColumnId="12575"/>
      <queryTableField id="3818" dataBound="0" tableColumnId="12576"/>
      <queryTableField id="3817" dataBound="0" tableColumnId="12577"/>
      <queryTableField id="3816" dataBound="0" tableColumnId="12578"/>
      <queryTableField id="3815" dataBound="0" tableColumnId="12579"/>
      <queryTableField id="3814" dataBound="0" tableColumnId="12580"/>
      <queryTableField id="3813" dataBound="0" tableColumnId="12581"/>
      <queryTableField id="3812" dataBound="0" tableColumnId="12582"/>
      <queryTableField id="3811" dataBound="0" tableColumnId="12583"/>
      <queryTableField id="3810" dataBound="0" tableColumnId="12584"/>
      <queryTableField id="3809" dataBound="0" tableColumnId="12585"/>
      <queryTableField id="3808" dataBound="0" tableColumnId="12586"/>
      <queryTableField id="3807" dataBound="0" tableColumnId="12587"/>
      <queryTableField id="3806" dataBound="0" tableColumnId="12588"/>
      <queryTableField id="3805" dataBound="0" tableColumnId="12589"/>
      <queryTableField id="3804" dataBound="0" tableColumnId="12590"/>
      <queryTableField id="3803" dataBound="0" tableColumnId="12591"/>
      <queryTableField id="3802" dataBound="0" tableColumnId="12592"/>
      <queryTableField id="3801" dataBound="0" tableColumnId="12593"/>
      <queryTableField id="3800" dataBound="0" tableColumnId="12594"/>
      <queryTableField id="3799" dataBound="0" tableColumnId="12595"/>
      <queryTableField id="3798" dataBound="0" tableColumnId="12596"/>
      <queryTableField id="3797" dataBound="0" tableColumnId="12597"/>
      <queryTableField id="3796" dataBound="0" tableColumnId="12598"/>
      <queryTableField id="3795" dataBound="0" tableColumnId="12599"/>
      <queryTableField id="3794" dataBound="0" tableColumnId="12600"/>
      <queryTableField id="3793" dataBound="0" tableColumnId="12601"/>
      <queryTableField id="3792" dataBound="0" tableColumnId="12602"/>
      <queryTableField id="3791" dataBound="0" tableColumnId="12603"/>
      <queryTableField id="3790" dataBound="0" tableColumnId="12604"/>
      <queryTableField id="3789" dataBound="0" tableColumnId="12605"/>
      <queryTableField id="3788" dataBound="0" tableColumnId="12606"/>
      <queryTableField id="3787" dataBound="0" tableColumnId="12607"/>
      <queryTableField id="3786" dataBound="0" tableColumnId="12608"/>
      <queryTableField id="3785" dataBound="0" tableColumnId="12609"/>
      <queryTableField id="3784" dataBound="0" tableColumnId="12610"/>
      <queryTableField id="3783" dataBound="0" tableColumnId="12611"/>
      <queryTableField id="3782" dataBound="0" tableColumnId="12612"/>
      <queryTableField id="3781" dataBound="0" tableColumnId="12613"/>
      <queryTableField id="3780" dataBound="0" tableColumnId="12614"/>
      <queryTableField id="3779" dataBound="0" tableColumnId="12615"/>
      <queryTableField id="3778" dataBound="0" tableColumnId="12616"/>
      <queryTableField id="3777" dataBound="0" tableColumnId="12617"/>
      <queryTableField id="3776" dataBound="0" tableColumnId="12618"/>
      <queryTableField id="3775" dataBound="0" tableColumnId="12619"/>
      <queryTableField id="3774" dataBound="0" tableColumnId="12620"/>
      <queryTableField id="3773" dataBound="0" tableColumnId="12621"/>
      <queryTableField id="3772" dataBound="0" tableColumnId="12622"/>
      <queryTableField id="3771" dataBound="0" tableColumnId="12623"/>
      <queryTableField id="3770" dataBound="0" tableColumnId="12624"/>
      <queryTableField id="3769" dataBound="0" tableColumnId="12625"/>
      <queryTableField id="3768" dataBound="0" tableColumnId="12626"/>
      <queryTableField id="3767" dataBound="0" tableColumnId="12627"/>
      <queryTableField id="3766" dataBound="0" tableColumnId="12628"/>
      <queryTableField id="3765" dataBound="0" tableColumnId="12629"/>
      <queryTableField id="3764" dataBound="0" tableColumnId="12630"/>
      <queryTableField id="3763" dataBound="0" tableColumnId="12631"/>
      <queryTableField id="3762" dataBound="0" tableColumnId="12632"/>
      <queryTableField id="3761" dataBound="0" tableColumnId="12633"/>
      <queryTableField id="3760" dataBound="0" tableColumnId="12634"/>
      <queryTableField id="3759" dataBound="0" tableColumnId="12635"/>
      <queryTableField id="3758" dataBound="0" tableColumnId="12636"/>
      <queryTableField id="3757" dataBound="0" tableColumnId="12637"/>
      <queryTableField id="3756" dataBound="0" tableColumnId="12638"/>
      <queryTableField id="3755" dataBound="0" tableColumnId="12639"/>
      <queryTableField id="3754" dataBound="0" tableColumnId="12640"/>
      <queryTableField id="3753" dataBound="0" tableColumnId="12641"/>
      <queryTableField id="3752" dataBound="0" tableColumnId="12642"/>
      <queryTableField id="3751" dataBound="0" tableColumnId="12643"/>
      <queryTableField id="3750" dataBound="0" tableColumnId="12644"/>
      <queryTableField id="3749" dataBound="0" tableColumnId="12645"/>
      <queryTableField id="3748" dataBound="0" tableColumnId="12646"/>
      <queryTableField id="3747" dataBound="0" tableColumnId="12647"/>
      <queryTableField id="3746" dataBound="0" tableColumnId="12648"/>
      <queryTableField id="3745" dataBound="0" tableColumnId="12649"/>
      <queryTableField id="3744" dataBound="0" tableColumnId="12650"/>
      <queryTableField id="3743" dataBound="0" tableColumnId="12651"/>
      <queryTableField id="3742" dataBound="0" tableColumnId="12652"/>
      <queryTableField id="3741" dataBound="0" tableColumnId="12653"/>
      <queryTableField id="3740" dataBound="0" tableColumnId="12654"/>
      <queryTableField id="3739" dataBound="0" tableColumnId="12655"/>
      <queryTableField id="3738" dataBound="0" tableColumnId="12656"/>
      <queryTableField id="3737" dataBound="0" tableColumnId="12657"/>
      <queryTableField id="3736" dataBound="0" tableColumnId="12658"/>
      <queryTableField id="3735" dataBound="0" tableColumnId="12659"/>
      <queryTableField id="3734" dataBound="0" tableColumnId="12660"/>
      <queryTableField id="3733" dataBound="0" tableColumnId="12661"/>
      <queryTableField id="3732" dataBound="0" tableColumnId="12662"/>
      <queryTableField id="3731" dataBound="0" tableColumnId="12663"/>
      <queryTableField id="3730" dataBound="0" tableColumnId="12664"/>
      <queryTableField id="3729" dataBound="0" tableColumnId="12665"/>
      <queryTableField id="3728" dataBound="0" tableColumnId="12666"/>
      <queryTableField id="3727" dataBound="0" tableColumnId="12667"/>
      <queryTableField id="3726" dataBound="0" tableColumnId="12668"/>
      <queryTableField id="3725" dataBound="0" tableColumnId="12669"/>
      <queryTableField id="3724" dataBound="0" tableColumnId="12670"/>
      <queryTableField id="3723" dataBound="0" tableColumnId="12671"/>
      <queryTableField id="3722" dataBound="0" tableColumnId="12672"/>
      <queryTableField id="3721" dataBound="0" tableColumnId="12673"/>
      <queryTableField id="3720" dataBound="0" tableColumnId="12674"/>
      <queryTableField id="3719" dataBound="0" tableColumnId="12675"/>
      <queryTableField id="3718" dataBound="0" tableColumnId="12676"/>
      <queryTableField id="3717" dataBound="0" tableColumnId="12677"/>
      <queryTableField id="3716" dataBound="0" tableColumnId="12678"/>
      <queryTableField id="3715" dataBound="0" tableColumnId="12679"/>
      <queryTableField id="3714" dataBound="0" tableColumnId="12680"/>
      <queryTableField id="3713" dataBound="0" tableColumnId="12681"/>
      <queryTableField id="3712" dataBound="0" tableColumnId="12682"/>
      <queryTableField id="3711" dataBound="0" tableColumnId="12683"/>
      <queryTableField id="3710" dataBound="0" tableColumnId="12684"/>
      <queryTableField id="3709" dataBound="0" tableColumnId="12685"/>
      <queryTableField id="3708" dataBound="0" tableColumnId="12686"/>
      <queryTableField id="3707" dataBound="0" tableColumnId="12687"/>
      <queryTableField id="3706" dataBound="0" tableColumnId="12688"/>
      <queryTableField id="3705" dataBound="0" tableColumnId="12689"/>
      <queryTableField id="3704" dataBound="0" tableColumnId="12690"/>
      <queryTableField id="3703" dataBound="0" tableColumnId="12691"/>
      <queryTableField id="3702" dataBound="0" tableColumnId="12692"/>
      <queryTableField id="3701" dataBound="0" tableColumnId="12693"/>
      <queryTableField id="3700" dataBound="0" tableColumnId="12694"/>
      <queryTableField id="3699" dataBound="0" tableColumnId="12695"/>
      <queryTableField id="3698" dataBound="0" tableColumnId="12696"/>
      <queryTableField id="3697" dataBound="0" tableColumnId="12697"/>
      <queryTableField id="3696" dataBound="0" tableColumnId="12698"/>
      <queryTableField id="3695" dataBound="0" tableColumnId="12699"/>
      <queryTableField id="3694" dataBound="0" tableColumnId="12700"/>
      <queryTableField id="3693" dataBound="0" tableColumnId="12701"/>
      <queryTableField id="3692" dataBound="0" tableColumnId="12702"/>
      <queryTableField id="3691" dataBound="0" tableColumnId="12703"/>
      <queryTableField id="3690" dataBound="0" tableColumnId="12704"/>
      <queryTableField id="3689" dataBound="0" tableColumnId="12705"/>
      <queryTableField id="3688" dataBound="0" tableColumnId="12706"/>
      <queryTableField id="3687" dataBound="0" tableColumnId="12707"/>
      <queryTableField id="3686" dataBound="0" tableColumnId="12708"/>
      <queryTableField id="3685" dataBound="0" tableColumnId="12709"/>
      <queryTableField id="3684" dataBound="0" tableColumnId="12710"/>
      <queryTableField id="3683" dataBound="0" tableColumnId="12711"/>
      <queryTableField id="3682" dataBound="0" tableColumnId="12712"/>
      <queryTableField id="3681" dataBound="0" tableColumnId="12713"/>
      <queryTableField id="3680" dataBound="0" tableColumnId="12714"/>
      <queryTableField id="3679" dataBound="0" tableColumnId="12715"/>
      <queryTableField id="3678" dataBound="0" tableColumnId="12716"/>
      <queryTableField id="3677" dataBound="0" tableColumnId="12717"/>
      <queryTableField id="3676" dataBound="0" tableColumnId="12718"/>
      <queryTableField id="3675" dataBound="0" tableColumnId="12719"/>
      <queryTableField id="3674" dataBound="0" tableColumnId="12720"/>
      <queryTableField id="3673" dataBound="0" tableColumnId="12721"/>
      <queryTableField id="3672" dataBound="0" tableColumnId="12722"/>
      <queryTableField id="3671" dataBound="0" tableColumnId="12723"/>
      <queryTableField id="3670" dataBound="0" tableColumnId="12724"/>
      <queryTableField id="3669" dataBound="0" tableColumnId="12725"/>
      <queryTableField id="3668" dataBound="0" tableColumnId="12726"/>
      <queryTableField id="3667" dataBound="0" tableColumnId="12727"/>
      <queryTableField id="3666" dataBound="0" tableColumnId="12728"/>
      <queryTableField id="3665" dataBound="0" tableColumnId="12729"/>
      <queryTableField id="3664" dataBound="0" tableColumnId="12730"/>
      <queryTableField id="3663" dataBound="0" tableColumnId="12731"/>
      <queryTableField id="3662" dataBound="0" tableColumnId="12732"/>
      <queryTableField id="3661" dataBound="0" tableColumnId="12733"/>
      <queryTableField id="3660" dataBound="0" tableColumnId="12734"/>
      <queryTableField id="3659" dataBound="0" tableColumnId="12735"/>
      <queryTableField id="3658" dataBound="0" tableColumnId="12736"/>
      <queryTableField id="3657" dataBound="0" tableColumnId="12737"/>
      <queryTableField id="3656" dataBound="0" tableColumnId="12738"/>
      <queryTableField id="3655" dataBound="0" tableColumnId="12739"/>
      <queryTableField id="3654" dataBound="0" tableColumnId="12740"/>
      <queryTableField id="3653" dataBound="0" tableColumnId="12741"/>
      <queryTableField id="3652" dataBound="0" tableColumnId="12742"/>
      <queryTableField id="3651" dataBound="0" tableColumnId="12743"/>
      <queryTableField id="3650" dataBound="0" tableColumnId="12744"/>
      <queryTableField id="3649" dataBound="0" tableColumnId="12745"/>
      <queryTableField id="3648" dataBound="0" tableColumnId="12746"/>
      <queryTableField id="3647" dataBound="0" tableColumnId="12747"/>
      <queryTableField id="3646" dataBound="0" tableColumnId="12748"/>
      <queryTableField id="3645" dataBound="0" tableColumnId="12749"/>
      <queryTableField id="3644" dataBound="0" tableColumnId="12750"/>
      <queryTableField id="3643" dataBound="0" tableColumnId="12751"/>
      <queryTableField id="3642" dataBound="0" tableColumnId="12752"/>
      <queryTableField id="3641" dataBound="0" tableColumnId="12753"/>
      <queryTableField id="3640" dataBound="0" tableColumnId="12754"/>
      <queryTableField id="3639" dataBound="0" tableColumnId="12755"/>
      <queryTableField id="3638" dataBound="0" tableColumnId="12756"/>
      <queryTableField id="3637" dataBound="0" tableColumnId="12757"/>
      <queryTableField id="3636" dataBound="0" tableColumnId="12758"/>
      <queryTableField id="3635" dataBound="0" tableColumnId="12759"/>
      <queryTableField id="3634" dataBound="0" tableColumnId="12760"/>
      <queryTableField id="3633" dataBound="0" tableColumnId="12761"/>
      <queryTableField id="3632" dataBound="0" tableColumnId="12762"/>
      <queryTableField id="3631" dataBound="0" tableColumnId="12763"/>
      <queryTableField id="3630" dataBound="0" tableColumnId="12764"/>
      <queryTableField id="3629" dataBound="0" tableColumnId="12765"/>
      <queryTableField id="3628" dataBound="0" tableColumnId="12766"/>
      <queryTableField id="3627" dataBound="0" tableColumnId="12767"/>
      <queryTableField id="3626" dataBound="0" tableColumnId="12768"/>
      <queryTableField id="3625" dataBound="0" tableColumnId="12769"/>
      <queryTableField id="3624" dataBound="0" tableColumnId="12770"/>
      <queryTableField id="3623" dataBound="0" tableColumnId="12771"/>
      <queryTableField id="3622" dataBound="0" tableColumnId="12772"/>
      <queryTableField id="3621" dataBound="0" tableColumnId="12773"/>
      <queryTableField id="3620" dataBound="0" tableColumnId="12774"/>
      <queryTableField id="3619" dataBound="0" tableColumnId="12775"/>
      <queryTableField id="3618" dataBound="0" tableColumnId="12776"/>
      <queryTableField id="3617" dataBound="0" tableColumnId="12777"/>
      <queryTableField id="3616" dataBound="0" tableColumnId="12778"/>
      <queryTableField id="3615" dataBound="0" tableColumnId="12779"/>
      <queryTableField id="3614" dataBound="0" tableColumnId="12780"/>
      <queryTableField id="3613" dataBound="0" tableColumnId="12781"/>
      <queryTableField id="3612" dataBound="0" tableColumnId="12782"/>
      <queryTableField id="3611" dataBound="0" tableColumnId="12783"/>
      <queryTableField id="3610" dataBound="0" tableColumnId="12784"/>
      <queryTableField id="3609" dataBound="0" tableColumnId="12785"/>
      <queryTableField id="3608" dataBound="0" tableColumnId="12786"/>
      <queryTableField id="3607" dataBound="0" tableColumnId="12787"/>
      <queryTableField id="3606" dataBound="0" tableColumnId="12788"/>
      <queryTableField id="3605" dataBound="0" tableColumnId="12789"/>
      <queryTableField id="3604" dataBound="0" tableColumnId="12790"/>
      <queryTableField id="3603" dataBound="0" tableColumnId="12791"/>
      <queryTableField id="3602" dataBound="0" tableColumnId="12792"/>
      <queryTableField id="3601" dataBound="0" tableColumnId="12793"/>
      <queryTableField id="3600" dataBound="0" tableColumnId="12794"/>
      <queryTableField id="3599" dataBound="0" tableColumnId="12795"/>
      <queryTableField id="3598" dataBound="0" tableColumnId="12796"/>
      <queryTableField id="3597" dataBound="0" tableColumnId="12797"/>
      <queryTableField id="3596" dataBound="0" tableColumnId="12798"/>
      <queryTableField id="3595" dataBound="0" tableColumnId="12799"/>
      <queryTableField id="3594" dataBound="0" tableColumnId="12800"/>
      <queryTableField id="3593" dataBound="0" tableColumnId="12801"/>
      <queryTableField id="3592" dataBound="0" tableColumnId="12802"/>
      <queryTableField id="3591" dataBound="0" tableColumnId="12803"/>
      <queryTableField id="3590" dataBound="0" tableColumnId="12804"/>
      <queryTableField id="3589" dataBound="0" tableColumnId="12805"/>
      <queryTableField id="3588" dataBound="0" tableColumnId="12806"/>
      <queryTableField id="3587" dataBound="0" tableColumnId="12807"/>
      <queryTableField id="3586" dataBound="0" tableColumnId="12808"/>
      <queryTableField id="3585" dataBound="0" tableColumnId="12809"/>
      <queryTableField id="3584" dataBound="0" tableColumnId="12810"/>
      <queryTableField id="3583" dataBound="0" tableColumnId="12811"/>
      <queryTableField id="3582" dataBound="0" tableColumnId="12812"/>
      <queryTableField id="3581" dataBound="0" tableColumnId="12813"/>
      <queryTableField id="3580" dataBound="0" tableColumnId="12814"/>
      <queryTableField id="3579" dataBound="0" tableColumnId="12815"/>
      <queryTableField id="3578" dataBound="0" tableColumnId="12816"/>
      <queryTableField id="3577" dataBound="0" tableColumnId="12817"/>
      <queryTableField id="3576" dataBound="0" tableColumnId="12818"/>
      <queryTableField id="3575" dataBound="0" tableColumnId="12819"/>
      <queryTableField id="3574" dataBound="0" tableColumnId="12820"/>
      <queryTableField id="3573" dataBound="0" tableColumnId="12821"/>
      <queryTableField id="3572" dataBound="0" tableColumnId="12822"/>
      <queryTableField id="3571" dataBound="0" tableColumnId="12823"/>
      <queryTableField id="3570" dataBound="0" tableColumnId="12824"/>
      <queryTableField id="3569" dataBound="0" tableColumnId="12825"/>
      <queryTableField id="3568" dataBound="0" tableColumnId="12826"/>
      <queryTableField id="3567" dataBound="0" tableColumnId="12827"/>
      <queryTableField id="3566" dataBound="0" tableColumnId="12828"/>
      <queryTableField id="3565" dataBound="0" tableColumnId="12829"/>
      <queryTableField id="3564" dataBound="0" tableColumnId="12830"/>
      <queryTableField id="3563" dataBound="0" tableColumnId="12831"/>
      <queryTableField id="3562" dataBound="0" tableColumnId="12832"/>
      <queryTableField id="3561" dataBound="0" tableColumnId="12833"/>
      <queryTableField id="3560" dataBound="0" tableColumnId="12834"/>
      <queryTableField id="3559" dataBound="0" tableColumnId="12835"/>
      <queryTableField id="3558" dataBound="0" tableColumnId="12836"/>
      <queryTableField id="3557" dataBound="0" tableColumnId="12837"/>
      <queryTableField id="3556" dataBound="0" tableColumnId="12838"/>
      <queryTableField id="3555" dataBound="0" tableColumnId="12839"/>
      <queryTableField id="3554" dataBound="0" tableColumnId="12840"/>
      <queryTableField id="3553" dataBound="0" tableColumnId="12841"/>
      <queryTableField id="3552" dataBound="0" tableColumnId="12842"/>
      <queryTableField id="3551" dataBound="0" tableColumnId="12843"/>
      <queryTableField id="3550" dataBound="0" tableColumnId="12844"/>
      <queryTableField id="3549" dataBound="0" tableColumnId="12845"/>
      <queryTableField id="3548" dataBound="0" tableColumnId="12846"/>
      <queryTableField id="3547" dataBound="0" tableColumnId="12847"/>
      <queryTableField id="3546" dataBound="0" tableColumnId="12848"/>
      <queryTableField id="3545" dataBound="0" tableColumnId="12849"/>
      <queryTableField id="3544" dataBound="0" tableColumnId="12850"/>
      <queryTableField id="3543" dataBound="0" tableColumnId="12851"/>
      <queryTableField id="3542" dataBound="0" tableColumnId="12852"/>
      <queryTableField id="3541" dataBound="0" tableColumnId="12853"/>
      <queryTableField id="3540" dataBound="0" tableColumnId="12854"/>
      <queryTableField id="3539" dataBound="0" tableColumnId="12855"/>
      <queryTableField id="3538" dataBound="0" tableColumnId="12856"/>
      <queryTableField id="3537" dataBound="0" tableColumnId="12857"/>
      <queryTableField id="3536" dataBound="0" tableColumnId="12858"/>
      <queryTableField id="3535" dataBound="0" tableColumnId="12859"/>
      <queryTableField id="3534" dataBound="0" tableColumnId="12860"/>
      <queryTableField id="3533" dataBound="0" tableColumnId="12861"/>
      <queryTableField id="3532" dataBound="0" tableColumnId="12862"/>
      <queryTableField id="3531" dataBound="0" tableColumnId="12863"/>
      <queryTableField id="3530" dataBound="0" tableColumnId="12864"/>
      <queryTableField id="3529" dataBound="0" tableColumnId="12865"/>
      <queryTableField id="3528" dataBound="0" tableColumnId="12866"/>
      <queryTableField id="3527" dataBound="0" tableColumnId="12867"/>
      <queryTableField id="3526" dataBound="0" tableColumnId="12868"/>
      <queryTableField id="3525" dataBound="0" tableColumnId="12869"/>
      <queryTableField id="3524" dataBound="0" tableColumnId="12870"/>
      <queryTableField id="3523" dataBound="0" tableColumnId="12871"/>
      <queryTableField id="3522" dataBound="0" tableColumnId="12872"/>
      <queryTableField id="3521" dataBound="0" tableColumnId="12873"/>
      <queryTableField id="3520" dataBound="0" tableColumnId="12874"/>
      <queryTableField id="3519" dataBound="0" tableColumnId="12875"/>
      <queryTableField id="3518" dataBound="0" tableColumnId="12876"/>
      <queryTableField id="3517" dataBound="0" tableColumnId="12877"/>
      <queryTableField id="3516" dataBound="0" tableColumnId="12878"/>
      <queryTableField id="3515" dataBound="0" tableColumnId="12879"/>
      <queryTableField id="3514" dataBound="0" tableColumnId="12880"/>
      <queryTableField id="3513" dataBound="0" tableColumnId="12881"/>
      <queryTableField id="3512" dataBound="0" tableColumnId="12882"/>
      <queryTableField id="3511" dataBound="0" tableColumnId="12883"/>
      <queryTableField id="3510" dataBound="0" tableColumnId="12884"/>
      <queryTableField id="3509" dataBound="0" tableColumnId="12885"/>
      <queryTableField id="3508" dataBound="0" tableColumnId="12886"/>
      <queryTableField id="3507" dataBound="0" tableColumnId="12887"/>
      <queryTableField id="3506" dataBound="0" tableColumnId="12888"/>
      <queryTableField id="3505" dataBound="0" tableColumnId="12889"/>
      <queryTableField id="3504" dataBound="0" tableColumnId="12890"/>
      <queryTableField id="3503" dataBound="0" tableColumnId="12891"/>
      <queryTableField id="3502" dataBound="0" tableColumnId="12892"/>
      <queryTableField id="3501" dataBound="0" tableColumnId="12893"/>
      <queryTableField id="3500" dataBound="0" tableColumnId="12894"/>
      <queryTableField id="3499" dataBound="0" tableColumnId="12895"/>
      <queryTableField id="3498" dataBound="0" tableColumnId="12896"/>
      <queryTableField id="3497" dataBound="0" tableColumnId="12897"/>
      <queryTableField id="3496" dataBound="0" tableColumnId="12898"/>
      <queryTableField id="3495" dataBound="0" tableColumnId="12899"/>
      <queryTableField id="3494" dataBound="0" tableColumnId="12900"/>
      <queryTableField id="3493" dataBound="0" tableColumnId="12901"/>
      <queryTableField id="3492" dataBound="0" tableColumnId="12902"/>
      <queryTableField id="3491" dataBound="0" tableColumnId="12903"/>
      <queryTableField id="3490" dataBound="0" tableColumnId="12904"/>
      <queryTableField id="3489" dataBound="0" tableColumnId="12905"/>
      <queryTableField id="3488" dataBound="0" tableColumnId="12906"/>
      <queryTableField id="3487" dataBound="0" tableColumnId="12907"/>
      <queryTableField id="3486" dataBound="0" tableColumnId="12908"/>
      <queryTableField id="3485" dataBound="0" tableColumnId="12909"/>
      <queryTableField id="3484" dataBound="0" tableColumnId="12910"/>
      <queryTableField id="3483" dataBound="0" tableColumnId="12911"/>
      <queryTableField id="3482" dataBound="0" tableColumnId="12912"/>
      <queryTableField id="3481" dataBound="0" tableColumnId="12913"/>
      <queryTableField id="3480" dataBound="0" tableColumnId="12914"/>
      <queryTableField id="3479" dataBound="0" tableColumnId="12915"/>
      <queryTableField id="3478" dataBound="0" tableColumnId="12916"/>
      <queryTableField id="3477" dataBound="0" tableColumnId="12917"/>
      <queryTableField id="3476" dataBound="0" tableColumnId="12918"/>
      <queryTableField id="3475" dataBound="0" tableColumnId="12919"/>
      <queryTableField id="3474" dataBound="0" tableColumnId="12920"/>
      <queryTableField id="3473" dataBound="0" tableColumnId="12921"/>
      <queryTableField id="3472" dataBound="0" tableColumnId="12922"/>
      <queryTableField id="3471" dataBound="0" tableColumnId="12923"/>
      <queryTableField id="3470" dataBound="0" tableColumnId="12924"/>
      <queryTableField id="3469" dataBound="0" tableColumnId="12925"/>
      <queryTableField id="3468" dataBound="0" tableColumnId="12926"/>
      <queryTableField id="3467" dataBound="0" tableColumnId="12927"/>
      <queryTableField id="3466" dataBound="0" tableColumnId="12928"/>
      <queryTableField id="3465" dataBound="0" tableColumnId="12929"/>
      <queryTableField id="3464" dataBound="0" tableColumnId="12930"/>
      <queryTableField id="3463" dataBound="0" tableColumnId="12931"/>
      <queryTableField id="3462" dataBound="0" tableColumnId="12932"/>
      <queryTableField id="3461" dataBound="0" tableColumnId="12933"/>
      <queryTableField id="3460" dataBound="0" tableColumnId="12934"/>
      <queryTableField id="3459" dataBound="0" tableColumnId="12935"/>
      <queryTableField id="3458" dataBound="0" tableColumnId="12936"/>
      <queryTableField id="3457" dataBound="0" tableColumnId="12937"/>
      <queryTableField id="3456" dataBound="0" tableColumnId="12938"/>
      <queryTableField id="3455" dataBound="0" tableColumnId="12939"/>
      <queryTableField id="3454" dataBound="0" tableColumnId="12940"/>
      <queryTableField id="3453" dataBound="0" tableColumnId="12941"/>
      <queryTableField id="3452" dataBound="0" tableColumnId="12942"/>
      <queryTableField id="3451" dataBound="0" tableColumnId="12943"/>
      <queryTableField id="3450" dataBound="0" tableColumnId="12944"/>
      <queryTableField id="3449" dataBound="0" tableColumnId="12945"/>
      <queryTableField id="3448" dataBound="0" tableColumnId="12946"/>
      <queryTableField id="3447" dataBound="0" tableColumnId="12947"/>
      <queryTableField id="3446" dataBound="0" tableColumnId="12948"/>
      <queryTableField id="3445" dataBound="0" tableColumnId="12949"/>
      <queryTableField id="3444" dataBound="0" tableColumnId="12950"/>
      <queryTableField id="3443" dataBound="0" tableColumnId="12951"/>
      <queryTableField id="3442" dataBound="0" tableColumnId="12952"/>
      <queryTableField id="3441" dataBound="0" tableColumnId="12953"/>
      <queryTableField id="3440" dataBound="0" tableColumnId="12954"/>
      <queryTableField id="3439" dataBound="0" tableColumnId="12955"/>
      <queryTableField id="3438" dataBound="0" tableColumnId="12956"/>
      <queryTableField id="3437" dataBound="0" tableColumnId="12957"/>
      <queryTableField id="3436" dataBound="0" tableColumnId="12958"/>
      <queryTableField id="3435" dataBound="0" tableColumnId="12959"/>
      <queryTableField id="3434" dataBound="0" tableColumnId="12960"/>
      <queryTableField id="3433" dataBound="0" tableColumnId="12961"/>
      <queryTableField id="3432" dataBound="0" tableColumnId="12962"/>
      <queryTableField id="3431" dataBound="0" tableColumnId="12963"/>
      <queryTableField id="3430" dataBound="0" tableColumnId="12964"/>
      <queryTableField id="3429" dataBound="0" tableColumnId="12965"/>
      <queryTableField id="3428" dataBound="0" tableColumnId="12966"/>
      <queryTableField id="3427" dataBound="0" tableColumnId="12967"/>
      <queryTableField id="3426" dataBound="0" tableColumnId="12968"/>
      <queryTableField id="3425" dataBound="0" tableColumnId="12969"/>
      <queryTableField id="3424" dataBound="0" tableColumnId="12970"/>
      <queryTableField id="3423" dataBound="0" tableColumnId="12971"/>
      <queryTableField id="3422" dataBound="0" tableColumnId="12972"/>
      <queryTableField id="3421" dataBound="0" tableColumnId="12973"/>
      <queryTableField id="3420" dataBound="0" tableColumnId="12974"/>
      <queryTableField id="3419" dataBound="0" tableColumnId="12975"/>
      <queryTableField id="3418" dataBound="0" tableColumnId="12976"/>
      <queryTableField id="3417" dataBound="0" tableColumnId="12977"/>
      <queryTableField id="3416" dataBound="0" tableColumnId="12978"/>
      <queryTableField id="3415" dataBound="0" tableColumnId="12979"/>
      <queryTableField id="3414" dataBound="0" tableColumnId="12980"/>
      <queryTableField id="3413" dataBound="0" tableColumnId="12981"/>
      <queryTableField id="3412" dataBound="0" tableColumnId="12982"/>
      <queryTableField id="3411" dataBound="0" tableColumnId="12983"/>
      <queryTableField id="3410" dataBound="0" tableColumnId="12984"/>
      <queryTableField id="3409" dataBound="0" tableColumnId="12985"/>
      <queryTableField id="3408" dataBound="0" tableColumnId="12986"/>
      <queryTableField id="3407" dataBound="0" tableColumnId="12987"/>
      <queryTableField id="3406" dataBound="0" tableColumnId="12988"/>
      <queryTableField id="3405" dataBound="0" tableColumnId="12989"/>
      <queryTableField id="3404" dataBound="0" tableColumnId="12990"/>
      <queryTableField id="3403" dataBound="0" tableColumnId="12991"/>
      <queryTableField id="3402" dataBound="0" tableColumnId="12992"/>
      <queryTableField id="3401" dataBound="0" tableColumnId="12993"/>
      <queryTableField id="3400" dataBound="0" tableColumnId="12994"/>
      <queryTableField id="3399" dataBound="0" tableColumnId="12995"/>
      <queryTableField id="3398" dataBound="0" tableColumnId="12996"/>
      <queryTableField id="3397" dataBound="0" tableColumnId="12997"/>
      <queryTableField id="3396" dataBound="0" tableColumnId="12998"/>
      <queryTableField id="3395" dataBound="0" tableColumnId="12999"/>
      <queryTableField id="3394" dataBound="0" tableColumnId="13000"/>
      <queryTableField id="3393" dataBound="0" tableColumnId="13001"/>
      <queryTableField id="3392" dataBound="0" tableColumnId="13002"/>
      <queryTableField id="3391" dataBound="0" tableColumnId="13003"/>
      <queryTableField id="3390" dataBound="0" tableColumnId="13004"/>
      <queryTableField id="3389" dataBound="0" tableColumnId="13005"/>
      <queryTableField id="3388" dataBound="0" tableColumnId="13006"/>
      <queryTableField id="3387" dataBound="0" tableColumnId="13007"/>
      <queryTableField id="3386" dataBound="0" tableColumnId="13008"/>
      <queryTableField id="3385" dataBound="0" tableColumnId="13009"/>
      <queryTableField id="3384" dataBound="0" tableColumnId="13010"/>
      <queryTableField id="3383" dataBound="0" tableColumnId="13011"/>
      <queryTableField id="3382" dataBound="0" tableColumnId="13012"/>
      <queryTableField id="3381" dataBound="0" tableColumnId="13013"/>
      <queryTableField id="3380" dataBound="0" tableColumnId="13014"/>
      <queryTableField id="3379" dataBound="0" tableColumnId="13015"/>
      <queryTableField id="3378" dataBound="0" tableColumnId="13016"/>
      <queryTableField id="3377" dataBound="0" tableColumnId="13017"/>
      <queryTableField id="3376" dataBound="0" tableColumnId="13018"/>
      <queryTableField id="3375" dataBound="0" tableColumnId="13019"/>
      <queryTableField id="3374" dataBound="0" tableColumnId="13020"/>
      <queryTableField id="3373" dataBound="0" tableColumnId="13021"/>
      <queryTableField id="3372" dataBound="0" tableColumnId="13022"/>
      <queryTableField id="3371" dataBound="0" tableColumnId="13023"/>
      <queryTableField id="3370" dataBound="0" tableColumnId="13024"/>
      <queryTableField id="3369" dataBound="0" tableColumnId="13025"/>
      <queryTableField id="3368" dataBound="0" tableColumnId="13026"/>
      <queryTableField id="3367" dataBound="0" tableColumnId="13027"/>
      <queryTableField id="3366" dataBound="0" tableColumnId="13028"/>
      <queryTableField id="3365" dataBound="0" tableColumnId="13029"/>
      <queryTableField id="3364" dataBound="0" tableColumnId="13030"/>
      <queryTableField id="3363" dataBound="0" tableColumnId="13031"/>
      <queryTableField id="3362" dataBound="0" tableColumnId="13032"/>
      <queryTableField id="3361" dataBound="0" tableColumnId="13033"/>
      <queryTableField id="3360" dataBound="0" tableColumnId="13034"/>
      <queryTableField id="3359" dataBound="0" tableColumnId="13035"/>
      <queryTableField id="3358" dataBound="0" tableColumnId="13036"/>
      <queryTableField id="3357" dataBound="0" tableColumnId="13037"/>
      <queryTableField id="3356" dataBound="0" tableColumnId="13038"/>
      <queryTableField id="3355" dataBound="0" tableColumnId="13039"/>
      <queryTableField id="3354" dataBound="0" tableColumnId="13040"/>
      <queryTableField id="3353" dataBound="0" tableColumnId="13041"/>
      <queryTableField id="3352" dataBound="0" tableColumnId="13042"/>
      <queryTableField id="3351" dataBound="0" tableColumnId="13043"/>
      <queryTableField id="3350" dataBound="0" tableColumnId="13044"/>
      <queryTableField id="3349" dataBound="0" tableColumnId="13045"/>
      <queryTableField id="3348" dataBound="0" tableColumnId="13046"/>
      <queryTableField id="3347" dataBound="0" tableColumnId="13047"/>
      <queryTableField id="3346" dataBound="0" tableColumnId="13048"/>
      <queryTableField id="3345" dataBound="0" tableColumnId="13049"/>
      <queryTableField id="3344" dataBound="0" tableColumnId="13050"/>
      <queryTableField id="3343" dataBound="0" tableColumnId="13051"/>
      <queryTableField id="3342" dataBound="0" tableColumnId="13052"/>
      <queryTableField id="3341" dataBound="0" tableColumnId="13053"/>
      <queryTableField id="3340" dataBound="0" tableColumnId="13054"/>
      <queryTableField id="3339" dataBound="0" tableColumnId="13055"/>
      <queryTableField id="3338" dataBound="0" tableColumnId="13056"/>
      <queryTableField id="3337" dataBound="0" tableColumnId="13057"/>
      <queryTableField id="3336" dataBound="0" tableColumnId="13058"/>
      <queryTableField id="3335" dataBound="0" tableColumnId="13059"/>
      <queryTableField id="3334" dataBound="0" tableColumnId="13060"/>
      <queryTableField id="3333" dataBound="0" tableColumnId="13061"/>
      <queryTableField id="3332" dataBound="0" tableColumnId="13062"/>
      <queryTableField id="3331" dataBound="0" tableColumnId="13063"/>
      <queryTableField id="3330" dataBound="0" tableColumnId="13064"/>
      <queryTableField id="3329" dataBound="0" tableColumnId="13065"/>
      <queryTableField id="3328" dataBound="0" tableColumnId="13066"/>
      <queryTableField id="3327" dataBound="0" tableColumnId="13067"/>
      <queryTableField id="3326" dataBound="0" tableColumnId="13068"/>
      <queryTableField id="3325" dataBound="0" tableColumnId="13069"/>
      <queryTableField id="3324" dataBound="0" tableColumnId="13070"/>
      <queryTableField id="3323" dataBound="0" tableColumnId="13071"/>
      <queryTableField id="3322" dataBound="0" tableColumnId="13072"/>
      <queryTableField id="3321" dataBound="0" tableColumnId="13073"/>
      <queryTableField id="3320" dataBound="0" tableColumnId="13074"/>
      <queryTableField id="3319" dataBound="0" tableColumnId="13075"/>
      <queryTableField id="3318" dataBound="0" tableColumnId="13076"/>
      <queryTableField id="3317" dataBound="0" tableColumnId="13077"/>
      <queryTableField id="3316" dataBound="0" tableColumnId="13078"/>
      <queryTableField id="3315" dataBound="0" tableColumnId="13079"/>
      <queryTableField id="3314" dataBound="0" tableColumnId="13080"/>
      <queryTableField id="3313" dataBound="0" tableColumnId="13081"/>
      <queryTableField id="3312" dataBound="0" tableColumnId="13082"/>
      <queryTableField id="3311" dataBound="0" tableColumnId="13083"/>
      <queryTableField id="3310" dataBound="0" tableColumnId="13084"/>
      <queryTableField id="3309" dataBound="0" tableColumnId="13085"/>
      <queryTableField id="3308" dataBound="0" tableColumnId="13086"/>
      <queryTableField id="3307" dataBound="0" tableColumnId="13087"/>
      <queryTableField id="3306" dataBound="0" tableColumnId="13088"/>
      <queryTableField id="3305" dataBound="0" tableColumnId="13089"/>
      <queryTableField id="3304" dataBound="0" tableColumnId="13090"/>
      <queryTableField id="3303" dataBound="0" tableColumnId="13091"/>
      <queryTableField id="3302" dataBound="0" tableColumnId="13092"/>
      <queryTableField id="3301" dataBound="0" tableColumnId="13093"/>
      <queryTableField id="3300" dataBound="0" tableColumnId="13094"/>
      <queryTableField id="3299" dataBound="0" tableColumnId="13095"/>
      <queryTableField id="3298" dataBound="0" tableColumnId="13096"/>
      <queryTableField id="3297" dataBound="0" tableColumnId="13097"/>
      <queryTableField id="3296" dataBound="0" tableColumnId="13098"/>
      <queryTableField id="3295" dataBound="0" tableColumnId="13099"/>
      <queryTableField id="3294" dataBound="0" tableColumnId="13100"/>
      <queryTableField id="3293" dataBound="0" tableColumnId="13101"/>
      <queryTableField id="3292" dataBound="0" tableColumnId="13102"/>
      <queryTableField id="3291" dataBound="0" tableColumnId="13103"/>
      <queryTableField id="3290" dataBound="0" tableColumnId="13104"/>
      <queryTableField id="3289" dataBound="0" tableColumnId="13105"/>
      <queryTableField id="3288" dataBound="0" tableColumnId="13106"/>
      <queryTableField id="3287" dataBound="0" tableColumnId="13107"/>
      <queryTableField id="3286" dataBound="0" tableColumnId="13108"/>
      <queryTableField id="3285" dataBound="0" tableColumnId="13109"/>
      <queryTableField id="3284" dataBound="0" tableColumnId="13110"/>
      <queryTableField id="3283" dataBound="0" tableColumnId="13111"/>
      <queryTableField id="3282" dataBound="0" tableColumnId="13112"/>
      <queryTableField id="3281" dataBound="0" tableColumnId="13113"/>
      <queryTableField id="3280" dataBound="0" tableColumnId="13114"/>
      <queryTableField id="3279" dataBound="0" tableColumnId="13115"/>
      <queryTableField id="3278" dataBound="0" tableColumnId="13116"/>
      <queryTableField id="3277" dataBound="0" tableColumnId="13117"/>
      <queryTableField id="3276" dataBound="0" tableColumnId="13118"/>
      <queryTableField id="3275" dataBound="0" tableColumnId="13119"/>
      <queryTableField id="3274" dataBound="0" tableColumnId="13120"/>
      <queryTableField id="3273" dataBound="0" tableColumnId="13121"/>
      <queryTableField id="3272" dataBound="0" tableColumnId="13122"/>
      <queryTableField id="3271" dataBound="0" tableColumnId="13123"/>
      <queryTableField id="3270" dataBound="0" tableColumnId="13124"/>
      <queryTableField id="3269" dataBound="0" tableColumnId="13125"/>
      <queryTableField id="3268" dataBound="0" tableColumnId="13126"/>
      <queryTableField id="3267" dataBound="0" tableColumnId="13127"/>
      <queryTableField id="3266" dataBound="0" tableColumnId="13128"/>
      <queryTableField id="3265" dataBound="0" tableColumnId="13129"/>
      <queryTableField id="3264" dataBound="0" tableColumnId="13130"/>
      <queryTableField id="3263" dataBound="0" tableColumnId="13131"/>
      <queryTableField id="3262" dataBound="0" tableColumnId="13132"/>
      <queryTableField id="3261" dataBound="0" tableColumnId="13133"/>
      <queryTableField id="3260" dataBound="0" tableColumnId="13134"/>
      <queryTableField id="3259" dataBound="0" tableColumnId="13135"/>
      <queryTableField id="3258" dataBound="0" tableColumnId="13136"/>
      <queryTableField id="3257" dataBound="0" tableColumnId="13137"/>
      <queryTableField id="3256" dataBound="0" tableColumnId="13138"/>
      <queryTableField id="3255" dataBound="0" tableColumnId="13139"/>
      <queryTableField id="3254" dataBound="0" tableColumnId="13140"/>
      <queryTableField id="3253" dataBound="0" tableColumnId="13141"/>
      <queryTableField id="3252" dataBound="0" tableColumnId="13142"/>
      <queryTableField id="3251" dataBound="0" tableColumnId="13143"/>
      <queryTableField id="3250" dataBound="0" tableColumnId="13144"/>
      <queryTableField id="3249" dataBound="0" tableColumnId="13145"/>
      <queryTableField id="3248" dataBound="0" tableColumnId="13146"/>
      <queryTableField id="3247" dataBound="0" tableColumnId="13147"/>
      <queryTableField id="3246" dataBound="0" tableColumnId="13148"/>
      <queryTableField id="3245" dataBound="0" tableColumnId="13149"/>
      <queryTableField id="3244" dataBound="0" tableColumnId="13150"/>
      <queryTableField id="3243" dataBound="0" tableColumnId="13151"/>
      <queryTableField id="3242" dataBound="0" tableColumnId="13152"/>
      <queryTableField id="3241" dataBound="0" tableColumnId="13153"/>
      <queryTableField id="3240" dataBound="0" tableColumnId="13154"/>
      <queryTableField id="3239" dataBound="0" tableColumnId="13155"/>
      <queryTableField id="3238" dataBound="0" tableColumnId="13156"/>
      <queryTableField id="3237" dataBound="0" tableColumnId="13157"/>
      <queryTableField id="3236" dataBound="0" tableColumnId="13158"/>
      <queryTableField id="3235" dataBound="0" tableColumnId="13159"/>
      <queryTableField id="3234" dataBound="0" tableColumnId="13160"/>
      <queryTableField id="3233" dataBound="0" tableColumnId="13161"/>
      <queryTableField id="3232" dataBound="0" tableColumnId="13162"/>
      <queryTableField id="3231" dataBound="0" tableColumnId="13163"/>
      <queryTableField id="3230" dataBound="0" tableColumnId="13164"/>
      <queryTableField id="3229" dataBound="0" tableColumnId="13165"/>
      <queryTableField id="3228" dataBound="0" tableColumnId="13166"/>
      <queryTableField id="3227" dataBound="0" tableColumnId="13167"/>
      <queryTableField id="3226" dataBound="0" tableColumnId="13168"/>
      <queryTableField id="3225" dataBound="0" tableColumnId="13169"/>
      <queryTableField id="3224" dataBound="0" tableColumnId="13170"/>
      <queryTableField id="3223" dataBound="0" tableColumnId="13171"/>
      <queryTableField id="3222" dataBound="0" tableColumnId="13172"/>
      <queryTableField id="3221" dataBound="0" tableColumnId="13173"/>
      <queryTableField id="3220" dataBound="0" tableColumnId="13174"/>
      <queryTableField id="3219" dataBound="0" tableColumnId="13175"/>
      <queryTableField id="3218" dataBound="0" tableColumnId="13176"/>
      <queryTableField id="3217" dataBound="0" tableColumnId="13177"/>
      <queryTableField id="3216" dataBound="0" tableColumnId="13178"/>
      <queryTableField id="3215" dataBound="0" tableColumnId="13179"/>
      <queryTableField id="3214" dataBound="0" tableColumnId="13180"/>
      <queryTableField id="3213" dataBound="0" tableColumnId="13181"/>
      <queryTableField id="3212" dataBound="0" tableColumnId="13182"/>
      <queryTableField id="3211" dataBound="0" tableColumnId="13183"/>
      <queryTableField id="3210" dataBound="0" tableColumnId="13184"/>
      <queryTableField id="3209" dataBound="0" tableColumnId="13185"/>
      <queryTableField id="3208" dataBound="0" tableColumnId="13186"/>
      <queryTableField id="3207" dataBound="0" tableColumnId="13187"/>
      <queryTableField id="3206" dataBound="0" tableColumnId="13188"/>
      <queryTableField id="3205" dataBound="0" tableColumnId="13189"/>
      <queryTableField id="3204" dataBound="0" tableColumnId="13190"/>
      <queryTableField id="3203" dataBound="0" tableColumnId="13191"/>
      <queryTableField id="3202" dataBound="0" tableColumnId="13192"/>
      <queryTableField id="3201" dataBound="0" tableColumnId="13193"/>
      <queryTableField id="3200" dataBound="0" tableColumnId="13194"/>
      <queryTableField id="3199" dataBound="0" tableColumnId="13195"/>
      <queryTableField id="3198" dataBound="0" tableColumnId="13196"/>
      <queryTableField id="3197" dataBound="0" tableColumnId="13197"/>
      <queryTableField id="3196" dataBound="0" tableColumnId="13198"/>
      <queryTableField id="3195" dataBound="0" tableColumnId="13199"/>
      <queryTableField id="3194" dataBound="0" tableColumnId="13200"/>
      <queryTableField id="3193" dataBound="0" tableColumnId="13201"/>
      <queryTableField id="3192" dataBound="0" tableColumnId="13202"/>
      <queryTableField id="3191" dataBound="0" tableColumnId="13203"/>
      <queryTableField id="3190" dataBound="0" tableColumnId="13204"/>
      <queryTableField id="3189" dataBound="0" tableColumnId="13205"/>
      <queryTableField id="3188" dataBound="0" tableColumnId="13206"/>
      <queryTableField id="3187" dataBound="0" tableColumnId="13207"/>
      <queryTableField id="3186" dataBound="0" tableColumnId="13208"/>
      <queryTableField id="3185" dataBound="0" tableColumnId="13209"/>
      <queryTableField id="3184" dataBound="0" tableColumnId="13210"/>
      <queryTableField id="3183" dataBound="0" tableColumnId="13211"/>
      <queryTableField id="3182" dataBound="0" tableColumnId="13212"/>
      <queryTableField id="3181" dataBound="0" tableColumnId="13213"/>
      <queryTableField id="3180" dataBound="0" tableColumnId="13214"/>
      <queryTableField id="3179" dataBound="0" tableColumnId="13215"/>
      <queryTableField id="3178" dataBound="0" tableColumnId="13216"/>
      <queryTableField id="3177" dataBound="0" tableColumnId="13217"/>
      <queryTableField id="3176" dataBound="0" tableColumnId="13218"/>
      <queryTableField id="3175" dataBound="0" tableColumnId="13219"/>
      <queryTableField id="3174" dataBound="0" tableColumnId="13220"/>
      <queryTableField id="3173" dataBound="0" tableColumnId="13221"/>
      <queryTableField id="3172" dataBound="0" tableColumnId="13222"/>
      <queryTableField id="3171" dataBound="0" tableColumnId="13223"/>
      <queryTableField id="3170" dataBound="0" tableColumnId="13224"/>
      <queryTableField id="3169" dataBound="0" tableColumnId="13225"/>
      <queryTableField id="3168" dataBound="0" tableColumnId="13226"/>
      <queryTableField id="3167" dataBound="0" tableColumnId="13227"/>
      <queryTableField id="3166" dataBound="0" tableColumnId="13228"/>
      <queryTableField id="3165" dataBound="0" tableColumnId="13229"/>
      <queryTableField id="3164" dataBound="0" tableColumnId="13230"/>
      <queryTableField id="3163" dataBound="0" tableColumnId="13231"/>
      <queryTableField id="3162" dataBound="0" tableColumnId="13232"/>
      <queryTableField id="3161" dataBound="0" tableColumnId="13233"/>
      <queryTableField id="3160" dataBound="0" tableColumnId="13234"/>
      <queryTableField id="3159" dataBound="0" tableColumnId="13235"/>
      <queryTableField id="3158" dataBound="0" tableColumnId="13236"/>
      <queryTableField id="3157" dataBound="0" tableColumnId="13237"/>
      <queryTableField id="3156" dataBound="0" tableColumnId="13238"/>
      <queryTableField id="3155" dataBound="0" tableColumnId="13239"/>
      <queryTableField id="3154" dataBound="0" tableColumnId="13240"/>
      <queryTableField id="3153" dataBound="0" tableColumnId="13241"/>
      <queryTableField id="3152" dataBound="0" tableColumnId="13242"/>
      <queryTableField id="3151" dataBound="0" tableColumnId="13243"/>
      <queryTableField id="3150" dataBound="0" tableColumnId="13244"/>
      <queryTableField id="3149" dataBound="0" tableColumnId="13245"/>
      <queryTableField id="3148" dataBound="0" tableColumnId="13246"/>
      <queryTableField id="3147" dataBound="0" tableColumnId="13247"/>
      <queryTableField id="3146" dataBound="0" tableColumnId="13248"/>
      <queryTableField id="3145" dataBound="0" tableColumnId="13249"/>
      <queryTableField id="3144" dataBound="0" tableColumnId="13250"/>
      <queryTableField id="3143" dataBound="0" tableColumnId="13251"/>
      <queryTableField id="3142" dataBound="0" tableColumnId="13252"/>
      <queryTableField id="3141" dataBound="0" tableColumnId="13253"/>
      <queryTableField id="3140" dataBound="0" tableColumnId="13254"/>
      <queryTableField id="3139" dataBound="0" tableColumnId="13255"/>
      <queryTableField id="3138" dataBound="0" tableColumnId="13256"/>
      <queryTableField id="3137" dataBound="0" tableColumnId="13257"/>
      <queryTableField id="3136" dataBound="0" tableColumnId="13258"/>
      <queryTableField id="3135" dataBound="0" tableColumnId="13259"/>
      <queryTableField id="3134" dataBound="0" tableColumnId="13260"/>
      <queryTableField id="3133" dataBound="0" tableColumnId="13261"/>
      <queryTableField id="3132" dataBound="0" tableColumnId="13262"/>
      <queryTableField id="3131" dataBound="0" tableColumnId="13263"/>
      <queryTableField id="3130" dataBound="0" tableColumnId="13264"/>
      <queryTableField id="3129" dataBound="0" tableColumnId="13265"/>
      <queryTableField id="3128" dataBound="0" tableColumnId="13266"/>
      <queryTableField id="3127" dataBound="0" tableColumnId="13267"/>
      <queryTableField id="3126" dataBound="0" tableColumnId="13268"/>
      <queryTableField id="3125" dataBound="0" tableColumnId="13269"/>
      <queryTableField id="3124" dataBound="0" tableColumnId="13270"/>
      <queryTableField id="3123" dataBound="0" tableColumnId="13271"/>
      <queryTableField id="3122" dataBound="0" tableColumnId="13272"/>
      <queryTableField id="3121" dataBound="0" tableColumnId="13273"/>
      <queryTableField id="3120" dataBound="0" tableColumnId="13274"/>
      <queryTableField id="3119" dataBound="0" tableColumnId="13275"/>
      <queryTableField id="3118" dataBound="0" tableColumnId="13276"/>
      <queryTableField id="3117" dataBound="0" tableColumnId="13277"/>
      <queryTableField id="3116" dataBound="0" tableColumnId="13278"/>
      <queryTableField id="3115" dataBound="0" tableColumnId="13279"/>
      <queryTableField id="3114" dataBound="0" tableColumnId="13280"/>
      <queryTableField id="3113" dataBound="0" tableColumnId="13281"/>
      <queryTableField id="3112" dataBound="0" tableColumnId="13282"/>
      <queryTableField id="3111" dataBound="0" tableColumnId="13283"/>
      <queryTableField id="3110" dataBound="0" tableColumnId="13284"/>
      <queryTableField id="3109" dataBound="0" tableColumnId="13285"/>
      <queryTableField id="3108" dataBound="0" tableColumnId="13286"/>
      <queryTableField id="3107" dataBound="0" tableColumnId="13287"/>
      <queryTableField id="3106" dataBound="0" tableColumnId="13288"/>
      <queryTableField id="3105" dataBound="0" tableColumnId="13289"/>
      <queryTableField id="3104" dataBound="0" tableColumnId="13290"/>
      <queryTableField id="3103" dataBound="0" tableColumnId="13291"/>
      <queryTableField id="3102" dataBound="0" tableColumnId="13292"/>
      <queryTableField id="3101" dataBound="0" tableColumnId="13293"/>
      <queryTableField id="3100" dataBound="0" tableColumnId="13294"/>
      <queryTableField id="3099" dataBound="0" tableColumnId="13295"/>
      <queryTableField id="3098" dataBound="0" tableColumnId="13296"/>
      <queryTableField id="3097" dataBound="0" tableColumnId="13297"/>
      <queryTableField id="3096" dataBound="0" tableColumnId="13298"/>
      <queryTableField id="3095" dataBound="0" tableColumnId="13299"/>
      <queryTableField id="3094" dataBound="0" tableColumnId="13300"/>
      <queryTableField id="3093" dataBound="0" tableColumnId="13301"/>
      <queryTableField id="3092" dataBound="0" tableColumnId="13302"/>
      <queryTableField id="3091" dataBound="0" tableColumnId="13303"/>
      <queryTableField id="3090" dataBound="0" tableColumnId="13304"/>
      <queryTableField id="3089" dataBound="0" tableColumnId="13305"/>
      <queryTableField id="3088" dataBound="0" tableColumnId="13306"/>
      <queryTableField id="3087" dataBound="0" tableColumnId="13307"/>
      <queryTableField id="3086" dataBound="0" tableColumnId="13308"/>
      <queryTableField id="3085" dataBound="0" tableColumnId="13309"/>
      <queryTableField id="3084" dataBound="0" tableColumnId="13310"/>
      <queryTableField id="3083" dataBound="0" tableColumnId="13311"/>
      <queryTableField id="3082" dataBound="0" tableColumnId="13312"/>
      <queryTableField id="3081" dataBound="0" tableColumnId="13313"/>
      <queryTableField id="3080" dataBound="0" tableColumnId="13314"/>
      <queryTableField id="3079" dataBound="0" tableColumnId="13315"/>
      <queryTableField id="3078" dataBound="0" tableColumnId="13316"/>
      <queryTableField id="3077" dataBound="0" tableColumnId="13317"/>
      <queryTableField id="3076" dataBound="0" tableColumnId="13318"/>
      <queryTableField id="3075" dataBound="0" tableColumnId="13319"/>
      <queryTableField id="3074" dataBound="0" tableColumnId="13320"/>
      <queryTableField id="3073" dataBound="0" tableColumnId="13321"/>
      <queryTableField id="3072" dataBound="0" tableColumnId="13322"/>
      <queryTableField id="3071" dataBound="0" tableColumnId="13323"/>
      <queryTableField id="3070" dataBound="0" tableColumnId="13324"/>
      <queryTableField id="3069" dataBound="0" tableColumnId="13325"/>
      <queryTableField id="3068" dataBound="0" tableColumnId="13326"/>
      <queryTableField id="3067" dataBound="0" tableColumnId="13327"/>
      <queryTableField id="3066" dataBound="0" tableColumnId="13328"/>
      <queryTableField id="3065" dataBound="0" tableColumnId="13329"/>
      <queryTableField id="3064" dataBound="0" tableColumnId="13330"/>
      <queryTableField id="3063" dataBound="0" tableColumnId="13331"/>
      <queryTableField id="3062" dataBound="0" tableColumnId="13332"/>
      <queryTableField id="3061" dataBound="0" tableColumnId="13333"/>
      <queryTableField id="3060" dataBound="0" tableColumnId="13334"/>
      <queryTableField id="3059" dataBound="0" tableColumnId="13335"/>
      <queryTableField id="3058" dataBound="0" tableColumnId="13336"/>
      <queryTableField id="3057" dataBound="0" tableColumnId="13337"/>
      <queryTableField id="3056" dataBound="0" tableColumnId="13338"/>
      <queryTableField id="3055" dataBound="0" tableColumnId="13339"/>
      <queryTableField id="3054" dataBound="0" tableColumnId="13340"/>
      <queryTableField id="3053" dataBound="0" tableColumnId="13341"/>
      <queryTableField id="3052" dataBound="0" tableColumnId="13342"/>
      <queryTableField id="3051" dataBound="0" tableColumnId="13343"/>
      <queryTableField id="3050" dataBound="0" tableColumnId="13344"/>
      <queryTableField id="3049" dataBound="0" tableColumnId="13345"/>
      <queryTableField id="3048" dataBound="0" tableColumnId="13346"/>
      <queryTableField id="3047" dataBound="0" tableColumnId="13347"/>
      <queryTableField id="3046" dataBound="0" tableColumnId="13348"/>
      <queryTableField id="3045" dataBound="0" tableColumnId="13349"/>
      <queryTableField id="3044" dataBound="0" tableColumnId="13350"/>
      <queryTableField id="3043" dataBound="0" tableColumnId="13351"/>
      <queryTableField id="3042" dataBound="0" tableColumnId="13352"/>
      <queryTableField id="3041" dataBound="0" tableColumnId="13353"/>
      <queryTableField id="3040" dataBound="0" tableColumnId="13354"/>
      <queryTableField id="3039" dataBound="0" tableColumnId="13355"/>
      <queryTableField id="3038" dataBound="0" tableColumnId="13356"/>
      <queryTableField id="3037" dataBound="0" tableColumnId="13357"/>
      <queryTableField id="3036" dataBound="0" tableColumnId="13358"/>
      <queryTableField id="3035" dataBound="0" tableColumnId="13359"/>
      <queryTableField id="3034" dataBound="0" tableColumnId="13360"/>
      <queryTableField id="3033" dataBound="0" tableColumnId="13361"/>
      <queryTableField id="3032" dataBound="0" tableColumnId="13362"/>
      <queryTableField id="3031" dataBound="0" tableColumnId="13363"/>
      <queryTableField id="3030" dataBound="0" tableColumnId="13364"/>
      <queryTableField id="3029" dataBound="0" tableColumnId="13365"/>
      <queryTableField id="3028" dataBound="0" tableColumnId="13366"/>
      <queryTableField id="3027" dataBound="0" tableColumnId="13367"/>
      <queryTableField id="3026" dataBound="0" tableColumnId="13368"/>
      <queryTableField id="3025" dataBound="0" tableColumnId="13369"/>
      <queryTableField id="3024" dataBound="0" tableColumnId="13370"/>
      <queryTableField id="3023" dataBound="0" tableColumnId="13371"/>
      <queryTableField id="3022" dataBound="0" tableColumnId="13372"/>
      <queryTableField id="3021" dataBound="0" tableColumnId="13373"/>
      <queryTableField id="3020" dataBound="0" tableColumnId="13374"/>
      <queryTableField id="3019" dataBound="0" tableColumnId="13375"/>
      <queryTableField id="3018" dataBound="0" tableColumnId="13376"/>
      <queryTableField id="3017" dataBound="0" tableColumnId="13377"/>
      <queryTableField id="3016" dataBound="0" tableColumnId="13378"/>
      <queryTableField id="3015" dataBound="0" tableColumnId="13379"/>
      <queryTableField id="3014" dataBound="0" tableColumnId="13380"/>
      <queryTableField id="3013" dataBound="0" tableColumnId="13381"/>
      <queryTableField id="3012" dataBound="0" tableColumnId="13382"/>
      <queryTableField id="3011" dataBound="0" tableColumnId="13383"/>
      <queryTableField id="3010" dataBound="0" tableColumnId="13384"/>
      <queryTableField id="3009" dataBound="0" tableColumnId="13385"/>
      <queryTableField id="3008" dataBound="0" tableColumnId="13386"/>
      <queryTableField id="3007" dataBound="0" tableColumnId="13387"/>
      <queryTableField id="3006" dataBound="0" tableColumnId="13388"/>
      <queryTableField id="3005" dataBound="0" tableColumnId="13389"/>
      <queryTableField id="3004" dataBound="0" tableColumnId="13390"/>
      <queryTableField id="3003" dataBound="0" tableColumnId="13391"/>
      <queryTableField id="3002" dataBound="0" tableColumnId="13392"/>
      <queryTableField id="3001" dataBound="0" tableColumnId="13393"/>
      <queryTableField id="3000" dataBound="0" tableColumnId="13394"/>
      <queryTableField id="2999" dataBound="0" tableColumnId="13395"/>
      <queryTableField id="2998" dataBound="0" tableColumnId="13396"/>
      <queryTableField id="2997" dataBound="0" tableColumnId="13397"/>
      <queryTableField id="2996" dataBound="0" tableColumnId="13398"/>
      <queryTableField id="2995" dataBound="0" tableColumnId="13399"/>
      <queryTableField id="2994" dataBound="0" tableColumnId="13400"/>
      <queryTableField id="2993" dataBound="0" tableColumnId="13401"/>
      <queryTableField id="2992" dataBound="0" tableColumnId="13402"/>
      <queryTableField id="2991" dataBound="0" tableColumnId="13403"/>
      <queryTableField id="2990" dataBound="0" tableColumnId="13404"/>
      <queryTableField id="2989" dataBound="0" tableColumnId="13405"/>
      <queryTableField id="2988" dataBound="0" tableColumnId="13406"/>
      <queryTableField id="2987" dataBound="0" tableColumnId="13407"/>
      <queryTableField id="2986" dataBound="0" tableColumnId="13408"/>
      <queryTableField id="2985" dataBound="0" tableColumnId="13409"/>
      <queryTableField id="2984" dataBound="0" tableColumnId="13410"/>
      <queryTableField id="2983" dataBound="0" tableColumnId="13411"/>
      <queryTableField id="2982" dataBound="0" tableColumnId="13412"/>
      <queryTableField id="2981" dataBound="0" tableColumnId="13413"/>
      <queryTableField id="2980" dataBound="0" tableColumnId="13414"/>
      <queryTableField id="2979" dataBound="0" tableColumnId="13415"/>
      <queryTableField id="2978" dataBound="0" tableColumnId="13416"/>
      <queryTableField id="2977" dataBound="0" tableColumnId="13417"/>
      <queryTableField id="2976" dataBound="0" tableColumnId="13418"/>
      <queryTableField id="2975" dataBound="0" tableColumnId="13419"/>
      <queryTableField id="2974" dataBound="0" tableColumnId="13420"/>
      <queryTableField id="2973" dataBound="0" tableColumnId="13421"/>
      <queryTableField id="2972" dataBound="0" tableColumnId="13422"/>
      <queryTableField id="2971" dataBound="0" tableColumnId="13423"/>
      <queryTableField id="2970" dataBound="0" tableColumnId="13424"/>
      <queryTableField id="2969" dataBound="0" tableColumnId="13425"/>
      <queryTableField id="2968" dataBound="0" tableColumnId="13426"/>
      <queryTableField id="2967" dataBound="0" tableColumnId="13427"/>
      <queryTableField id="2966" dataBound="0" tableColumnId="13428"/>
      <queryTableField id="2965" dataBound="0" tableColumnId="13429"/>
      <queryTableField id="2964" dataBound="0" tableColumnId="13430"/>
      <queryTableField id="2963" dataBound="0" tableColumnId="13431"/>
      <queryTableField id="2962" dataBound="0" tableColumnId="13432"/>
      <queryTableField id="2961" dataBound="0" tableColumnId="13433"/>
      <queryTableField id="2960" dataBound="0" tableColumnId="13434"/>
      <queryTableField id="2959" dataBound="0" tableColumnId="13435"/>
      <queryTableField id="2958" dataBound="0" tableColumnId="13436"/>
      <queryTableField id="2957" dataBound="0" tableColumnId="13437"/>
      <queryTableField id="2956" dataBound="0" tableColumnId="13438"/>
      <queryTableField id="2955" dataBound="0" tableColumnId="13439"/>
      <queryTableField id="2954" dataBound="0" tableColumnId="13440"/>
      <queryTableField id="2953" dataBound="0" tableColumnId="13441"/>
      <queryTableField id="2952" dataBound="0" tableColumnId="13442"/>
      <queryTableField id="2951" dataBound="0" tableColumnId="13443"/>
      <queryTableField id="2950" dataBound="0" tableColumnId="13444"/>
      <queryTableField id="2949" dataBound="0" tableColumnId="13445"/>
      <queryTableField id="2948" dataBound="0" tableColumnId="13446"/>
      <queryTableField id="2947" dataBound="0" tableColumnId="13447"/>
      <queryTableField id="2946" dataBound="0" tableColumnId="13448"/>
      <queryTableField id="2945" dataBound="0" tableColumnId="13449"/>
      <queryTableField id="2944" dataBound="0" tableColumnId="13450"/>
      <queryTableField id="2943" dataBound="0" tableColumnId="13451"/>
      <queryTableField id="2942" dataBound="0" tableColumnId="13452"/>
      <queryTableField id="2941" dataBound="0" tableColumnId="13453"/>
      <queryTableField id="2940" dataBound="0" tableColumnId="13454"/>
      <queryTableField id="2939" dataBound="0" tableColumnId="13455"/>
      <queryTableField id="2938" dataBound="0" tableColumnId="13456"/>
      <queryTableField id="2937" dataBound="0" tableColumnId="13457"/>
      <queryTableField id="2936" dataBound="0" tableColumnId="13458"/>
      <queryTableField id="2935" dataBound="0" tableColumnId="13459"/>
      <queryTableField id="2934" dataBound="0" tableColumnId="13460"/>
      <queryTableField id="2933" dataBound="0" tableColumnId="13461"/>
      <queryTableField id="2932" dataBound="0" tableColumnId="13462"/>
      <queryTableField id="2931" dataBound="0" tableColumnId="13463"/>
      <queryTableField id="2930" dataBound="0" tableColumnId="13464"/>
      <queryTableField id="2929" dataBound="0" tableColumnId="13465"/>
      <queryTableField id="2928" dataBound="0" tableColumnId="13466"/>
      <queryTableField id="2927" dataBound="0" tableColumnId="13467"/>
      <queryTableField id="2926" dataBound="0" tableColumnId="13468"/>
      <queryTableField id="2925" dataBound="0" tableColumnId="13469"/>
      <queryTableField id="2924" dataBound="0" tableColumnId="13470"/>
      <queryTableField id="2923" dataBound="0" tableColumnId="13471"/>
      <queryTableField id="2922" dataBound="0" tableColumnId="13472"/>
      <queryTableField id="2921" dataBound="0" tableColumnId="13473"/>
      <queryTableField id="2920" dataBound="0" tableColumnId="13474"/>
      <queryTableField id="2919" dataBound="0" tableColumnId="13475"/>
      <queryTableField id="2918" dataBound="0" tableColumnId="13476"/>
      <queryTableField id="2917" dataBound="0" tableColumnId="13477"/>
      <queryTableField id="2916" dataBound="0" tableColumnId="13478"/>
      <queryTableField id="2915" dataBound="0" tableColumnId="13479"/>
      <queryTableField id="2914" dataBound="0" tableColumnId="13480"/>
      <queryTableField id="2913" dataBound="0" tableColumnId="13481"/>
      <queryTableField id="2912" dataBound="0" tableColumnId="13482"/>
      <queryTableField id="2911" dataBound="0" tableColumnId="13483"/>
      <queryTableField id="2910" dataBound="0" tableColumnId="13484"/>
      <queryTableField id="2909" dataBound="0" tableColumnId="13485"/>
      <queryTableField id="2908" dataBound="0" tableColumnId="13486"/>
      <queryTableField id="2907" dataBound="0" tableColumnId="13487"/>
      <queryTableField id="2906" dataBound="0" tableColumnId="13488"/>
      <queryTableField id="2905" dataBound="0" tableColumnId="13489"/>
      <queryTableField id="2904" dataBound="0" tableColumnId="13490"/>
      <queryTableField id="2903" dataBound="0" tableColumnId="13491"/>
      <queryTableField id="2902" dataBound="0" tableColumnId="13492"/>
      <queryTableField id="2901" dataBound="0" tableColumnId="13493"/>
      <queryTableField id="2900" dataBound="0" tableColumnId="13494"/>
      <queryTableField id="2899" dataBound="0" tableColumnId="13495"/>
      <queryTableField id="2898" dataBound="0" tableColumnId="13496"/>
      <queryTableField id="2897" dataBound="0" tableColumnId="13497"/>
      <queryTableField id="2896" dataBound="0" tableColumnId="13498"/>
      <queryTableField id="2895" dataBound="0" tableColumnId="13499"/>
      <queryTableField id="2894" dataBound="0" tableColumnId="13500"/>
      <queryTableField id="2893" dataBound="0" tableColumnId="13501"/>
      <queryTableField id="2892" dataBound="0" tableColumnId="13502"/>
      <queryTableField id="2891" dataBound="0" tableColumnId="13503"/>
      <queryTableField id="2890" dataBound="0" tableColumnId="13504"/>
      <queryTableField id="2889" dataBound="0" tableColumnId="13505"/>
      <queryTableField id="2888" dataBound="0" tableColumnId="13506"/>
      <queryTableField id="2887" dataBound="0" tableColumnId="13507"/>
      <queryTableField id="2886" dataBound="0" tableColumnId="13508"/>
      <queryTableField id="2885" dataBound="0" tableColumnId="13509"/>
      <queryTableField id="2884" dataBound="0" tableColumnId="13510"/>
      <queryTableField id="2883" dataBound="0" tableColumnId="13511"/>
      <queryTableField id="2882" dataBound="0" tableColumnId="13512"/>
      <queryTableField id="2881" dataBound="0" tableColumnId="13513"/>
      <queryTableField id="2880" dataBound="0" tableColumnId="13514"/>
      <queryTableField id="2879" dataBound="0" tableColumnId="13515"/>
      <queryTableField id="2878" dataBound="0" tableColumnId="13516"/>
      <queryTableField id="2877" dataBound="0" tableColumnId="13517"/>
      <queryTableField id="2876" dataBound="0" tableColumnId="13518"/>
      <queryTableField id="2875" dataBound="0" tableColumnId="13519"/>
      <queryTableField id="2874" dataBound="0" tableColumnId="13520"/>
      <queryTableField id="2873" dataBound="0" tableColumnId="13521"/>
      <queryTableField id="2872" dataBound="0" tableColumnId="13522"/>
      <queryTableField id="2871" dataBound="0" tableColumnId="13523"/>
      <queryTableField id="2870" dataBound="0" tableColumnId="13524"/>
      <queryTableField id="2869" dataBound="0" tableColumnId="13525"/>
      <queryTableField id="2868" dataBound="0" tableColumnId="13526"/>
      <queryTableField id="2867" dataBound="0" tableColumnId="13527"/>
      <queryTableField id="2866" dataBound="0" tableColumnId="13528"/>
      <queryTableField id="2865" dataBound="0" tableColumnId="13529"/>
      <queryTableField id="2864" dataBound="0" tableColumnId="13530"/>
      <queryTableField id="2863" dataBound="0" tableColumnId="13531"/>
      <queryTableField id="2862" dataBound="0" tableColumnId="13532"/>
      <queryTableField id="2861" dataBound="0" tableColumnId="13533"/>
      <queryTableField id="2860" dataBound="0" tableColumnId="13534"/>
      <queryTableField id="2859" dataBound="0" tableColumnId="13535"/>
      <queryTableField id="2858" dataBound="0" tableColumnId="13536"/>
      <queryTableField id="2857" dataBound="0" tableColumnId="13537"/>
      <queryTableField id="2856" dataBound="0" tableColumnId="13538"/>
      <queryTableField id="2855" dataBound="0" tableColumnId="13539"/>
      <queryTableField id="2854" dataBound="0" tableColumnId="13540"/>
      <queryTableField id="2853" dataBound="0" tableColumnId="13541"/>
      <queryTableField id="2852" dataBound="0" tableColumnId="13542"/>
      <queryTableField id="2851" dataBound="0" tableColumnId="13543"/>
      <queryTableField id="2850" dataBound="0" tableColumnId="13544"/>
      <queryTableField id="2849" dataBound="0" tableColumnId="13545"/>
      <queryTableField id="2848" dataBound="0" tableColumnId="13546"/>
      <queryTableField id="2847" dataBound="0" tableColumnId="13547"/>
      <queryTableField id="2846" dataBound="0" tableColumnId="13548"/>
      <queryTableField id="2845" dataBound="0" tableColumnId="13549"/>
      <queryTableField id="2844" dataBound="0" tableColumnId="13550"/>
      <queryTableField id="2843" dataBound="0" tableColumnId="13551"/>
      <queryTableField id="2842" dataBound="0" tableColumnId="13552"/>
      <queryTableField id="2841" dataBound="0" tableColumnId="13553"/>
      <queryTableField id="2840" dataBound="0" tableColumnId="13554"/>
      <queryTableField id="2839" dataBound="0" tableColumnId="13555"/>
      <queryTableField id="2838" dataBound="0" tableColumnId="13556"/>
      <queryTableField id="2837" dataBound="0" tableColumnId="13557"/>
      <queryTableField id="2836" dataBound="0" tableColumnId="13558"/>
      <queryTableField id="2835" dataBound="0" tableColumnId="13559"/>
      <queryTableField id="2834" dataBound="0" tableColumnId="13560"/>
      <queryTableField id="2833" dataBound="0" tableColumnId="13561"/>
      <queryTableField id="2832" dataBound="0" tableColumnId="13562"/>
      <queryTableField id="2831" dataBound="0" tableColumnId="13563"/>
      <queryTableField id="2830" dataBound="0" tableColumnId="13564"/>
      <queryTableField id="2829" dataBound="0" tableColumnId="13565"/>
      <queryTableField id="2828" dataBound="0" tableColumnId="13566"/>
      <queryTableField id="2827" dataBound="0" tableColumnId="13567"/>
      <queryTableField id="2826" dataBound="0" tableColumnId="13568"/>
      <queryTableField id="2825" dataBound="0" tableColumnId="13569"/>
      <queryTableField id="2824" dataBound="0" tableColumnId="13570"/>
      <queryTableField id="2823" dataBound="0" tableColumnId="13571"/>
      <queryTableField id="2822" dataBound="0" tableColumnId="13572"/>
      <queryTableField id="2821" dataBound="0" tableColumnId="13573"/>
      <queryTableField id="2820" dataBound="0" tableColumnId="13574"/>
      <queryTableField id="2819" dataBound="0" tableColumnId="13575"/>
      <queryTableField id="2818" dataBound="0" tableColumnId="13576"/>
      <queryTableField id="2817" dataBound="0" tableColumnId="13577"/>
      <queryTableField id="2816" dataBound="0" tableColumnId="13578"/>
      <queryTableField id="2815" dataBound="0" tableColumnId="13579"/>
      <queryTableField id="2814" dataBound="0" tableColumnId="13580"/>
      <queryTableField id="2813" dataBound="0" tableColumnId="13581"/>
      <queryTableField id="2812" dataBound="0" tableColumnId="13582"/>
      <queryTableField id="2811" dataBound="0" tableColumnId="13583"/>
      <queryTableField id="2810" dataBound="0" tableColumnId="13584"/>
      <queryTableField id="2809" dataBound="0" tableColumnId="13585"/>
      <queryTableField id="2808" dataBound="0" tableColumnId="13586"/>
      <queryTableField id="2807" dataBound="0" tableColumnId="13587"/>
      <queryTableField id="2806" dataBound="0" tableColumnId="13588"/>
      <queryTableField id="2805" dataBound="0" tableColumnId="13589"/>
      <queryTableField id="2804" dataBound="0" tableColumnId="13590"/>
      <queryTableField id="2803" dataBound="0" tableColumnId="13591"/>
      <queryTableField id="2802" dataBound="0" tableColumnId="13592"/>
      <queryTableField id="2801" dataBound="0" tableColumnId="13593"/>
      <queryTableField id="2800" dataBound="0" tableColumnId="13594"/>
      <queryTableField id="2799" dataBound="0" tableColumnId="13595"/>
      <queryTableField id="2798" dataBound="0" tableColumnId="13596"/>
      <queryTableField id="2797" dataBound="0" tableColumnId="13597"/>
      <queryTableField id="2796" dataBound="0" tableColumnId="13598"/>
      <queryTableField id="2795" dataBound="0" tableColumnId="13599"/>
      <queryTableField id="2794" dataBound="0" tableColumnId="13600"/>
      <queryTableField id="2793" dataBound="0" tableColumnId="13601"/>
      <queryTableField id="2792" dataBound="0" tableColumnId="13602"/>
      <queryTableField id="2791" dataBound="0" tableColumnId="13603"/>
      <queryTableField id="2790" dataBound="0" tableColumnId="13604"/>
      <queryTableField id="2789" dataBound="0" tableColumnId="13605"/>
      <queryTableField id="2788" dataBound="0" tableColumnId="13606"/>
      <queryTableField id="2787" dataBound="0" tableColumnId="13607"/>
      <queryTableField id="2786" dataBound="0" tableColumnId="13608"/>
      <queryTableField id="2785" dataBound="0" tableColumnId="13609"/>
      <queryTableField id="2784" dataBound="0" tableColumnId="13610"/>
      <queryTableField id="2783" dataBound="0" tableColumnId="13611"/>
      <queryTableField id="2782" dataBound="0" tableColumnId="13612"/>
      <queryTableField id="2781" dataBound="0" tableColumnId="13613"/>
      <queryTableField id="2780" dataBound="0" tableColumnId="13614"/>
      <queryTableField id="2779" dataBound="0" tableColumnId="13615"/>
      <queryTableField id="2778" dataBound="0" tableColumnId="13616"/>
      <queryTableField id="2777" dataBound="0" tableColumnId="13617"/>
      <queryTableField id="2776" dataBound="0" tableColumnId="13618"/>
      <queryTableField id="2775" dataBound="0" tableColumnId="13619"/>
      <queryTableField id="2774" dataBound="0" tableColumnId="13620"/>
      <queryTableField id="2773" dataBound="0" tableColumnId="13621"/>
      <queryTableField id="2772" dataBound="0" tableColumnId="13622"/>
      <queryTableField id="2771" dataBound="0" tableColumnId="13623"/>
      <queryTableField id="2770" dataBound="0" tableColumnId="13624"/>
      <queryTableField id="2769" dataBound="0" tableColumnId="13625"/>
      <queryTableField id="2768" dataBound="0" tableColumnId="13626"/>
      <queryTableField id="2767" dataBound="0" tableColumnId="13627"/>
      <queryTableField id="2766" dataBound="0" tableColumnId="13628"/>
      <queryTableField id="2765" dataBound="0" tableColumnId="13629"/>
      <queryTableField id="2764" dataBound="0" tableColumnId="13630"/>
      <queryTableField id="2763" dataBound="0" tableColumnId="13631"/>
      <queryTableField id="2762" dataBound="0" tableColumnId="13632"/>
      <queryTableField id="2761" dataBound="0" tableColumnId="13633"/>
      <queryTableField id="2760" dataBound="0" tableColumnId="13634"/>
      <queryTableField id="2759" dataBound="0" tableColumnId="13635"/>
      <queryTableField id="2758" dataBound="0" tableColumnId="13636"/>
      <queryTableField id="2757" dataBound="0" tableColumnId="13637"/>
      <queryTableField id="2756" dataBound="0" tableColumnId="13638"/>
      <queryTableField id="2755" dataBound="0" tableColumnId="13639"/>
      <queryTableField id="2754" dataBound="0" tableColumnId="13640"/>
      <queryTableField id="2753" dataBound="0" tableColumnId="13641"/>
      <queryTableField id="2752" dataBound="0" tableColumnId="13642"/>
      <queryTableField id="2751" dataBound="0" tableColumnId="13643"/>
      <queryTableField id="2750" dataBound="0" tableColumnId="13644"/>
      <queryTableField id="2749" dataBound="0" tableColumnId="13645"/>
      <queryTableField id="2748" dataBound="0" tableColumnId="13646"/>
      <queryTableField id="2747" dataBound="0" tableColumnId="13647"/>
      <queryTableField id="2746" dataBound="0" tableColumnId="13648"/>
      <queryTableField id="2745" dataBound="0" tableColumnId="13649"/>
      <queryTableField id="2744" dataBound="0" tableColumnId="13650"/>
      <queryTableField id="2743" dataBound="0" tableColumnId="13651"/>
      <queryTableField id="2742" dataBound="0" tableColumnId="13652"/>
      <queryTableField id="2741" dataBound="0" tableColumnId="13653"/>
      <queryTableField id="2740" dataBound="0" tableColumnId="13654"/>
      <queryTableField id="2739" dataBound="0" tableColumnId="13655"/>
      <queryTableField id="2738" dataBound="0" tableColumnId="13656"/>
      <queryTableField id="2737" dataBound="0" tableColumnId="13657"/>
      <queryTableField id="2736" dataBound="0" tableColumnId="13658"/>
      <queryTableField id="2735" dataBound="0" tableColumnId="13659"/>
      <queryTableField id="2734" dataBound="0" tableColumnId="13660"/>
      <queryTableField id="2733" dataBound="0" tableColumnId="13661"/>
      <queryTableField id="2732" dataBound="0" tableColumnId="13662"/>
      <queryTableField id="2731" dataBound="0" tableColumnId="13663"/>
      <queryTableField id="2730" dataBound="0" tableColumnId="13664"/>
      <queryTableField id="2729" dataBound="0" tableColumnId="13665"/>
      <queryTableField id="2728" dataBound="0" tableColumnId="13666"/>
      <queryTableField id="2727" dataBound="0" tableColumnId="13667"/>
      <queryTableField id="2726" dataBound="0" tableColumnId="13668"/>
      <queryTableField id="2725" dataBound="0" tableColumnId="13669"/>
      <queryTableField id="2724" dataBound="0" tableColumnId="13670"/>
      <queryTableField id="2723" dataBound="0" tableColumnId="13671"/>
      <queryTableField id="2722" dataBound="0" tableColumnId="13672"/>
      <queryTableField id="2721" dataBound="0" tableColumnId="13673"/>
      <queryTableField id="2720" dataBound="0" tableColumnId="13674"/>
      <queryTableField id="2719" dataBound="0" tableColumnId="13675"/>
      <queryTableField id="2718" dataBound="0" tableColumnId="13676"/>
      <queryTableField id="2717" dataBound="0" tableColumnId="13677"/>
      <queryTableField id="2716" dataBound="0" tableColumnId="13678"/>
      <queryTableField id="2715" dataBound="0" tableColumnId="13679"/>
      <queryTableField id="2714" dataBound="0" tableColumnId="13680"/>
      <queryTableField id="2713" dataBound="0" tableColumnId="13681"/>
      <queryTableField id="2712" dataBound="0" tableColumnId="13682"/>
      <queryTableField id="2711" dataBound="0" tableColumnId="13683"/>
      <queryTableField id="2710" dataBound="0" tableColumnId="13684"/>
      <queryTableField id="2709" dataBound="0" tableColumnId="13685"/>
      <queryTableField id="2708" dataBound="0" tableColumnId="13686"/>
      <queryTableField id="2707" dataBound="0" tableColumnId="13687"/>
      <queryTableField id="2706" dataBound="0" tableColumnId="13688"/>
      <queryTableField id="2705" dataBound="0" tableColumnId="13689"/>
      <queryTableField id="2704" dataBound="0" tableColumnId="13690"/>
      <queryTableField id="2703" dataBound="0" tableColumnId="13691"/>
      <queryTableField id="2702" dataBound="0" tableColumnId="13692"/>
      <queryTableField id="2701" dataBound="0" tableColumnId="13693"/>
      <queryTableField id="2700" dataBound="0" tableColumnId="13694"/>
      <queryTableField id="2699" dataBound="0" tableColumnId="13695"/>
      <queryTableField id="2698" dataBound="0" tableColumnId="13696"/>
      <queryTableField id="2697" dataBound="0" tableColumnId="13697"/>
      <queryTableField id="2696" dataBound="0" tableColumnId="13698"/>
      <queryTableField id="2695" dataBound="0" tableColumnId="13699"/>
      <queryTableField id="2694" dataBound="0" tableColumnId="13700"/>
      <queryTableField id="2693" dataBound="0" tableColumnId="13701"/>
      <queryTableField id="2692" dataBound="0" tableColumnId="13702"/>
      <queryTableField id="2691" dataBound="0" tableColumnId="13703"/>
      <queryTableField id="2690" dataBound="0" tableColumnId="13704"/>
      <queryTableField id="2689" dataBound="0" tableColumnId="13705"/>
      <queryTableField id="2688" dataBound="0" tableColumnId="13706"/>
      <queryTableField id="2687" dataBound="0" tableColumnId="13707"/>
      <queryTableField id="2686" dataBound="0" tableColumnId="13708"/>
      <queryTableField id="2685" dataBound="0" tableColumnId="13709"/>
      <queryTableField id="2684" dataBound="0" tableColumnId="13710"/>
      <queryTableField id="2683" dataBound="0" tableColumnId="13711"/>
      <queryTableField id="2682" dataBound="0" tableColumnId="13712"/>
      <queryTableField id="2681" dataBound="0" tableColumnId="13713"/>
      <queryTableField id="2680" dataBound="0" tableColumnId="13714"/>
      <queryTableField id="2679" dataBound="0" tableColumnId="13715"/>
      <queryTableField id="2678" dataBound="0" tableColumnId="13716"/>
      <queryTableField id="2677" dataBound="0" tableColumnId="13717"/>
      <queryTableField id="2676" dataBound="0" tableColumnId="13718"/>
      <queryTableField id="2675" dataBound="0" tableColumnId="13719"/>
      <queryTableField id="2674" dataBound="0" tableColumnId="13720"/>
      <queryTableField id="2673" dataBound="0" tableColumnId="13721"/>
      <queryTableField id="2672" dataBound="0" tableColumnId="13722"/>
      <queryTableField id="2671" dataBound="0" tableColumnId="13723"/>
      <queryTableField id="2670" dataBound="0" tableColumnId="13724"/>
      <queryTableField id="2669" dataBound="0" tableColumnId="13725"/>
      <queryTableField id="2668" dataBound="0" tableColumnId="13726"/>
      <queryTableField id="2667" dataBound="0" tableColumnId="13727"/>
      <queryTableField id="2666" dataBound="0" tableColumnId="13728"/>
      <queryTableField id="2665" dataBound="0" tableColumnId="13729"/>
      <queryTableField id="2664" dataBound="0" tableColumnId="13730"/>
      <queryTableField id="2663" dataBound="0" tableColumnId="13731"/>
      <queryTableField id="2662" dataBound="0" tableColumnId="13732"/>
      <queryTableField id="2661" dataBound="0" tableColumnId="13733"/>
      <queryTableField id="2660" dataBound="0" tableColumnId="13734"/>
      <queryTableField id="2659" dataBound="0" tableColumnId="13735"/>
      <queryTableField id="2658" dataBound="0" tableColumnId="13736"/>
      <queryTableField id="2657" dataBound="0" tableColumnId="13737"/>
      <queryTableField id="2656" dataBound="0" tableColumnId="13738"/>
      <queryTableField id="2655" dataBound="0" tableColumnId="13739"/>
      <queryTableField id="2654" dataBound="0" tableColumnId="13740"/>
      <queryTableField id="2653" dataBound="0" tableColumnId="13741"/>
      <queryTableField id="2652" dataBound="0" tableColumnId="13742"/>
      <queryTableField id="2651" dataBound="0" tableColumnId="13743"/>
      <queryTableField id="2650" dataBound="0" tableColumnId="13744"/>
      <queryTableField id="2649" dataBound="0" tableColumnId="13745"/>
      <queryTableField id="2648" dataBound="0" tableColumnId="13746"/>
      <queryTableField id="2647" dataBound="0" tableColumnId="13747"/>
      <queryTableField id="2646" dataBound="0" tableColumnId="13748"/>
      <queryTableField id="2645" dataBound="0" tableColumnId="13749"/>
      <queryTableField id="2644" dataBound="0" tableColumnId="13750"/>
      <queryTableField id="2643" dataBound="0" tableColumnId="13751"/>
      <queryTableField id="2642" dataBound="0" tableColumnId="13752"/>
      <queryTableField id="2641" dataBound="0" tableColumnId="13753"/>
      <queryTableField id="2640" dataBound="0" tableColumnId="13754"/>
      <queryTableField id="2639" dataBound="0" tableColumnId="13755"/>
      <queryTableField id="2638" dataBound="0" tableColumnId="13756"/>
      <queryTableField id="2637" dataBound="0" tableColumnId="13757"/>
      <queryTableField id="2636" dataBound="0" tableColumnId="13758"/>
      <queryTableField id="2635" dataBound="0" tableColumnId="13759"/>
      <queryTableField id="2634" dataBound="0" tableColumnId="13760"/>
      <queryTableField id="2633" dataBound="0" tableColumnId="13761"/>
      <queryTableField id="2632" dataBound="0" tableColumnId="13762"/>
      <queryTableField id="2631" dataBound="0" tableColumnId="13763"/>
      <queryTableField id="2630" dataBound="0" tableColumnId="13764"/>
      <queryTableField id="2629" dataBound="0" tableColumnId="13765"/>
      <queryTableField id="2628" dataBound="0" tableColumnId="13766"/>
      <queryTableField id="2627" dataBound="0" tableColumnId="13767"/>
      <queryTableField id="2626" dataBound="0" tableColumnId="13768"/>
      <queryTableField id="2625" dataBound="0" tableColumnId="13769"/>
      <queryTableField id="2624" dataBound="0" tableColumnId="13770"/>
      <queryTableField id="2623" dataBound="0" tableColumnId="13771"/>
      <queryTableField id="2622" dataBound="0" tableColumnId="13772"/>
      <queryTableField id="2621" dataBound="0" tableColumnId="13773"/>
      <queryTableField id="2620" dataBound="0" tableColumnId="13774"/>
      <queryTableField id="2619" dataBound="0" tableColumnId="13775"/>
      <queryTableField id="2618" dataBound="0" tableColumnId="13776"/>
      <queryTableField id="2617" dataBound="0" tableColumnId="13777"/>
      <queryTableField id="2616" dataBound="0" tableColumnId="13778"/>
      <queryTableField id="2615" dataBound="0" tableColumnId="13779"/>
      <queryTableField id="2614" dataBound="0" tableColumnId="13780"/>
      <queryTableField id="2613" dataBound="0" tableColumnId="13781"/>
      <queryTableField id="2612" dataBound="0" tableColumnId="13782"/>
      <queryTableField id="2611" dataBound="0" tableColumnId="13783"/>
      <queryTableField id="2610" dataBound="0" tableColumnId="13784"/>
      <queryTableField id="2609" dataBound="0" tableColumnId="13785"/>
      <queryTableField id="2608" dataBound="0" tableColumnId="13786"/>
      <queryTableField id="2607" dataBound="0" tableColumnId="13787"/>
      <queryTableField id="2606" dataBound="0" tableColumnId="13788"/>
      <queryTableField id="2605" dataBound="0" tableColumnId="13789"/>
      <queryTableField id="2604" dataBound="0" tableColumnId="13790"/>
      <queryTableField id="2603" dataBound="0" tableColumnId="13791"/>
      <queryTableField id="2602" dataBound="0" tableColumnId="13792"/>
      <queryTableField id="2601" dataBound="0" tableColumnId="13793"/>
      <queryTableField id="2600" dataBound="0" tableColumnId="13794"/>
      <queryTableField id="2599" dataBound="0" tableColumnId="13795"/>
      <queryTableField id="2598" dataBound="0" tableColumnId="13796"/>
      <queryTableField id="2597" dataBound="0" tableColumnId="13797"/>
      <queryTableField id="2596" dataBound="0" tableColumnId="13798"/>
      <queryTableField id="2595" dataBound="0" tableColumnId="13799"/>
      <queryTableField id="2594" dataBound="0" tableColumnId="13800"/>
      <queryTableField id="2593" dataBound="0" tableColumnId="13801"/>
      <queryTableField id="2592" dataBound="0" tableColumnId="13802"/>
      <queryTableField id="2591" dataBound="0" tableColumnId="13803"/>
      <queryTableField id="2590" dataBound="0" tableColumnId="13804"/>
      <queryTableField id="2589" dataBound="0" tableColumnId="13805"/>
      <queryTableField id="2588" dataBound="0" tableColumnId="13806"/>
      <queryTableField id="2587" dataBound="0" tableColumnId="13807"/>
      <queryTableField id="2586" dataBound="0" tableColumnId="13808"/>
      <queryTableField id="2585" dataBound="0" tableColumnId="13809"/>
      <queryTableField id="2584" dataBound="0" tableColumnId="13810"/>
      <queryTableField id="2583" dataBound="0" tableColumnId="13811"/>
      <queryTableField id="2582" dataBound="0" tableColumnId="13812"/>
      <queryTableField id="2581" dataBound="0" tableColumnId="13813"/>
      <queryTableField id="2580" dataBound="0" tableColumnId="13814"/>
      <queryTableField id="2579" dataBound="0" tableColumnId="13815"/>
      <queryTableField id="2578" dataBound="0" tableColumnId="13816"/>
      <queryTableField id="2577" dataBound="0" tableColumnId="13817"/>
      <queryTableField id="2576" dataBound="0" tableColumnId="13818"/>
      <queryTableField id="2575" dataBound="0" tableColumnId="13819"/>
      <queryTableField id="2574" dataBound="0" tableColumnId="13820"/>
      <queryTableField id="2573" dataBound="0" tableColumnId="13821"/>
      <queryTableField id="2572" dataBound="0" tableColumnId="13822"/>
      <queryTableField id="2571" dataBound="0" tableColumnId="13823"/>
      <queryTableField id="2570" dataBound="0" tableColumnId="13824"/>
      <queryTableField id="2569" dataBound="0" tableColumnId="13825"/>
      <queryTableField id="2568" dataBound="0" tableColumnId="13826"/>
      <queryTableField id="2567" dataBound="0" tableColumnId="13827"/>
      <queryTableField id="2566" dataBound="0" tableColumnId="13828"/>
      <queryTableField id="2565" dataBound="0" tableColumnId="13829"/>
      <queryTableField id="2564" dataBound="0" tableColumnId="13830"/>
      <queryTableField id="2563" dataBound="0" tableColumnId="13831"/>
      <queryTableField id="2562" dataBound="0" tableColumnId="13832"/>
      <queryTableField id="2561" dataBound="0" tableColumnId="13833"/>
      <queryTableField id="2560" dataBound="0" tableColumnId="13834"/>
      <queryTableField id="2559" dataBound="0" tableColumnId="13835"/>
      <queryTableField id="2558" dataBound="0" tableColumnId="13836"/>
      <queryTableField id="2557" dataBound="0" tableColumnId="13837"/>
      <queryTableField id="2556" dataBound="0" tableColumnId="13838"/>
      <queryTableField id="2555" dataBound="0" tableColumnId="13839"/>
      <queryTableField id="2554" dataBound="0" tableColumnId="13840"/>
      <queryTableField id="2553" dataBound="0" tableColumnId="13841"/>
      <queryTableField id="2552" dataBound="0" tableColumnId="13842"/>
      <queryTableField id="2551" dataBound="0" tableColumnId="13843"/>
      <queryTableField id="2550" dataBound="0" tableColumnId="13844"/>
      <queryTableField id="2549" dataBound="0" tableColumnId="13845"/>
      <queryTableField id="2548" dataBound="0" tableColumnId="13846"/>
      <queryTableField id="2547" dataBound="0" tableColumnId="13847"/>
      <queryTableField id="2546" dataBound="0" tableColumnId="13848"/>
      <queryTableField id="2545" dataBound="0" tableColumnId="13849"/>
      <queryTableField id="2544" dataBound="0" tableColumnId="13850"/>
      <queryTableField id="2543" dataBound="0" tableColumnId="13851"/>
      <queryTableField id="2542" dataBound="0" tableColumnId="13852"/>
      <queryTableField id="2541" dataBound="0" tableColumnId="13853"/>
      <queryTableField id="2540" dataBound="0" tableColumnId="13854"/>
      <queryTableField id="2539" dataBound="0" tableColumnId="13855"/>
      <queryTableField id="2538" dataBound="0" tableColumnId="13856"/>
      <queryTableField id="2537" dataBound="0" tableColumnId="13857"/>
      <queryTableField id="2536" dataBound="0" tableColumnId="13858"/>
      <queryTableField id="2535" dataBound="0" tableColumnId="13859"/>
      <queryTableField id="2534" dataBound="0" tableColumnId="13860"/>
      <queryTableField id="2533" dataBound="0" tableColumnId="13861"/>
      <queryTableField id="2532" dataBound="0" tableColumnId="13862"/>
      <queryTableField id="2531" dataBound="0" tableColumnId="13863"/>
      <queryTableField id="2530" dataBound="0" tableColumnId="13864"/>
      <queryTableField id="2529" dataBound="0" tableColumnId="13865"/>
      <queryTableField id="2528" dataBound="0" tableColumnId="13866"/>
      <queryTableField id="2527" dataBound="0" tableColumnId="13867"/>
      <queryTableField id="2526" dataBound="0" tableColumnId="13868"/>
      <queryTableField id="2525" dataBound="0" tableColumnId="13869"/>
      <queryTableField id="2524" dataBound="0" tableColumnId="13870"/>
      <queryTableField id="2523" dataBound="0" tableColumnId="13871"/>
      <queryTableField id="2522" dataBound="0" tableColumnId="13872"/>
      <queryTableField id="2521" dataBound="0" tableColumnId="13873"/>
      <queryTableField id="2520" dataBound="0" tableColumnId="13874"/>
      <queryTableField id="2519" dataBound="0" tableColumnId="13875"/>
      <queryTableField id="2518" dataBound="0" tableColumnId="13876"/>
      <queryTableField id="2517" dataBound="0" tableColumnId="13877"/>
      <queryTableField id="2516" dataBound="0" tableColumnId="13878"/>
      <queryTableField id="2515" dataBound="0" tableColumnId="13879"/>
      <queryTableField id="2514" dataBound="0" tableColumnId="13880"/>
      <queryTableField id="2513" dataBound="0" tableColumnId="13881"/>
      <queryTableField id="2512" dataBound="0" tableColumnId="13882"/>
      <queryTableField id="2511" dataBound="0" tableColumnId="13883"/>
      <queryTableField id="2510" dataBound="0" tableColumnId="13884"/>
      <queryTableField id="2509" dataBound="0" tableColumnId="13885"/>
      <queryTableField id="2508" dataBound="0" tableColumnId="13886"/>
      <queryTableField id="2507" dataBound="0" tableColumnId="13887"/>
      <queryTableField id="2506" dataBound="0" tableColumnId="13888"/>
      <queryTableField id="2505" dataBound="0" tableColumnId="13889"/>
      <queryTableField id="2504" dataBound="0" tableColumnId="13890"/>
      <queryTableField id="2503" dataBound="0" tableColumnId="13891"/>
      <queryTableField id="2502" dataBound="0" tableColumnId="13892"/>
      <queryTableField id="2501" dataBound="0" tableColumnId="13893"/>
      <queryTableField id="2500" dataBound="0" tableColumnId="13894"/>
      <queryTableField id="2499" dataBound="0" tableColumnId="13895"/>
      <queryTableField id="2498" dataBound="0" tableColumnId="13896"/>
      <queryTableField id="2497" dataBound="0" tableColumnId="13897"/>
      <queryTableField id="2496" dataBound="0" tableColumnId="13898"/>
      <queryTableField id="2495" dataBound="0" tableColumnId="13899"/>
      <queryTableField id="2494" dataBound="0" tableColumnId="13900"/>
      <queryTableField id="2493" dataBound="0" tableColumnId="13901"/>
      <queryTableField id="2492" dataBound="0" tableColumnId="13902"/>
      <queryTableField id="2491" dataBound="0" tableColumnId="13903"/>
      <queryTableField id="2490" dataBound="0" tableColumnId="13904"/>
      <queryTableField id="2489" dataBound="0" tableColumnId="13905"/>
      <queryTableField id="2488" dataBound="0" tableColumnId="13906"/>
      <queryTableField id="2487" dataBound="0" tableColumnId="13907"/>
      <queryTableField id="2486" dataBound="0" tableColumnId="13908"/>
      <queryTableField id="2485" dataBound="0" tableColumnId="13909"/>
      <queryTableField id="2484" dataBound="0" tableColumnId="13910"/>
      <queryTableField id="2483" dataBound="0" tableColumnId="13911"/>
      <queryTableField id="2482" dataBound="0" tableColumnId="13912"/>
      <queryTableField id="2481" dataBound="0" tableColumnId="13913"/>
      <queryTableField id="2480" dataBound="0" tableColumnId="13914"/>
      <queryTableField id="2479" dataBound="0" tableColumnId="13915"/>
      <queryTableField id="2478" dataBound="0" tableColumnId="13916"/>
      <queryTableField id="2477" dataBound="0" tableColumnId="13917"/>
      <queryTableField id="2476" dataBound="0" tableColumnId="13918"/>
      <queryTableField id="2475" dataBound="0" tableColumnId="13919"/>
      <queryTableField id="2474" dataBound="0" tableColumnId="13920"/>
      <queryTableField id="2473" dataBound="0" tableColumnId="13921"/>
      <queryTableField id="2472" dataBound="0" tableColumnId="13922"/>
      <queryTableField id="2471" dataBound="0" tableColumnId="13923"/>
      <queryTableField id="2470" dataBound="0" tableColumnId="13924"/>
      <queryTableField id="2469" dataBound="0" tableColumnId="13925"/>
      <queryTableField id="2468" dataBound="0" tableColumnId="13926"/>
      <queryTableField id="2467" dataBound="0" tableColumnId="13927"/>
      <queryTableField id="2466" dataBound="0" tableColumnId="13928"/>
      <queryTableField id="2465" dataBound="0" tableColumnId="13929"/>
      <queryTableField id="2464" dataBound="0" tableColumnId="13930"/>
      <queryTableField id="2463" dataBound="0" tableColumnId="13931"/>
      <queryTableField id="2462" dataBound="0" tableColumnId="13932"/>
      <queryTableField id="2461" dataBound="0" tableColumnId="13933"/>
      <queryTableField id="2460" dataBound="0" tableColumnId="13934"/>
      <queryTableField id="2459" dataBound="0" tableColumnId="13935"/>
      <queryTableField id="2458" dataBound="0" tableColumnId="13936"/>
      <queryTableField id="2457" dataBound="0" tableColumnId="13937"/>
      <queryTableField id="2456" dataBound="0" tableColumnId="13938"/>
      <queryTableField id="2455" dataBound="0" tableColumnId="13939"/>
      <queryTableField id="2454" dataBound="0" tableColumnId="13940"/>
      <queryTableField id="2453" dataBound="0" tableColumnId="13941"/>
      <queryTableField id="2452" dataBound="0" tableColumnId="13942"/>
      <queryTableField id="2451" dataBound="0" tableColumnId="13943"/>
      <queryTableField id="2450" dataBound="0" tableColumnId="13944"/>
      <queryTableField id="2449" dataBound="0" tableColumnId="13945"/>
      <queryTableField id="2448" dataBound="0" tableColumnId="13946"/>
      <queryTableField id="2447" dataBound="0" tableColumnId="13947"/>
      <queryTableField id="2446" dataBound="0" tableColumnId="13948"/>
      <queryTableField id="2445" dataBound="0" tableColumnId="13949"/>
      <queryTableField id="2444" dataBound="0" tableColumnId="13950"/>
      <queryTableField id="2443" dataBound="0" tableColumnId="13951"/>
      <queryTableField id="2442" dataBound="0" tableColumnId="13952"/>
      <queryTableField id="2441" dataBound="0" tableColumnId="13953"/>
      <queryTableField id="2440" dataBound="0" tableColumnId="13954"/>
      <queryTableField id="2439" dataBound="0" tableColumnId="13955"/>
      <queryTableField id="2438" dataBound="0" tableColumnId="13956"/>
      <queryTableField id="2437" dataBound="0" tableColumnId="13957"/>
      <queryTableField id="2436" dataBound="0" tableColumnId="13958"/>
      <queryTableField id="2435" dataBound="0" tableColumnId="13959"/>
      <queryTableField id="2434" dataBound="0" tableColumnId="13960"/>
      <queryTableField id="2433" dataBound="0" tableColumnId="13961"/>
      <queryTableField id="2432" dataBound="0" tableColumnId="13962"/>
      <queryTableField id="2431" dataBound="0" tableColumnId="13963"/>
      <queryTableField id="2430" dataBound="0" tableColumnId="13964"/>
      <queryTableField id="2429" dataBound="0" tableColumnId="13965"/>
      <queryTableField id="2428" dataBound="0" tableColumnId="13966"/>
      <queryTableField id="2427" dataBound="0" tableColumnId="13967"/>
      <queryTableField id="2426" dataBound="0" tableColumnId="13968"/>
      <queryTableField id="2425" dataBound="0" tableColumnId="13969"/>
      <queryTableField id="2424" dataBound="0" tableColumnId="13970"/>
      <queryTableField id="2423" dataBound="0" tableColumnId="13971"/>
      <queryTableField id="2422" dataBound="0" tableColumnId="13972"/>
      <queryTableField id="2421" dataBound="0" tableColumnId="13973"/>
      <queryTableField id="2420" dataBound="0" tableColumnId="13974"/>
      <queryTableField id="2419" dataBound="0" tableColumnId="13975"/>
      <queryTableField id="2418" dataBound="0" tableColumnId="13976"/>
      <queryTableField id="2417" dataBound="0" tableColumnId="13977"/>
      <queryTableField id="2416" dataBound="0" tableColumnId="13978"/>
      <queryTableField id="2415" dataBound="0" tableColumnId="13979"/>
      <queryTableField id="2414" dataBound="0" tableColumnId="13980"/>
      <queryTableField id="2413" dataBound="0" tableColumnId="13981"/>
      <queryTableField id="2412" dataBound="0" tableColumnId="13982"/>
      <queryTableField id="2411" dataBound="0" tableColumnId="13983"/>
      <queryTableField id="2410" dataBound="0" tableColumnId="13984"/>
      <queryTableField id="2409" dataBound="0" tableColumnId="13985"/>
      <queryTableField id="2408" dataBound="0" tableColumnId="13986"/>
      <queryTableField id="2407" dataBound="0" tableColumnId="13987"/>
      <queryTableField id="2406" dataBound="0" tableColumnId="13988"/>
      <queryTableField id="2405" dataBound="0" tableColumnId="13989"/>
      <queryTableField id="2404" dataBound="0" tableColumnId="13990"/>
      <queryTableField id="2403" dataBound="0" tableColumnId="13991"/>
      <queryTableField id="2402" dataBound="0" tableColumnId="13992"/>
      <queryTableField id="2401" dataBound="0" tableColumnId="13993"/>
      <queryTableField id="2400" dataBound="0" tableColumnId="13994"/>
      <queryTableField id="2399" dataBound="0" tableColumnId="13995"/>
      <queryTableField id="2398" dataBound="0" tableColumnId="13996"/>
      <queryTableField id="2397" dataBound="0" tableColumnId="13997"/>
      <queryTableField id="2396" dataBound="0" tableColumnId="13998"/>
      <queryTableField id="2395" dataBound="0" tableColumnId="13999"/>
      <queryTableField id="2394" dataBound="0" tableColumnId="14000"/>
      <queryTableField id="2393" dataBound="0" tableColumnId="14001"/>
      <queryTableField id="2392" dataBound="0" tableColumnId="14002"/>
      <queryTableField id="2391" dataBound="0" tableColumnId="14003"/>
      <queryTableField id="2390" dataBound="0" tableColumnId="14004"/>
      <queryTableField id="2389" dataBound="0" tableColumnId="14005"/>
      <queryTableField id="2388" dataBound="0" tableColumnId="14006"/>
      <queryTableField id="2387" dataBound="0" tableColumnId="14007"/>
      <queryTableField id="2386" dataBound="0" tableColumnId="14008"/>
      <queryTableField id="2385" dataBound="0" tableColumnId="14009"/>
      <queryTableField id="2384" dataBound="0" tableColumnId="14010"/>
      <queryTableField id="2383" dataBound="0" tableColumnId="14011"/>
      <queryTableField id="2382" dataBound="0" tableColumnId="14012"/>
      <queryTableField id="2381" dataBound="0" tableColumnId="14013"/>
      <queryTableField id="2380" dataBound="0" tableColumnId="14014"/>
      <queryTableField id="2379" dataBound="0" tableColumnId="14015"/>
      <queryTableField id="2378" dataBound="0" tableColumnId="14016"/>
      <queryTableField id="2377" dataBound="0" tableColumnId="14017"/>
      <queryTableField id="2376" dataBound="0" tableColumnId="14018"/>
      <queryTableField id="2375" dataBound="0" tableColumnId="14019"/>
      <queryTableField id="2374" dataBound="0" tableColumnId="14020"/>
      <queryTableField id="2373" dataBound="0" tableColumnId="14021"/>
      <queryTableField id="2372" dataBound="0" tableColumnId="14022"/>
      <queryTableField id="2371" dataBound="0" tableColumnId="14023"/>
      <queryTableField id="2370" dataBound="0" tableColumnId="14024"/>
      <queryTableField id="2369" dataBound="0" tableColumnId="14025"/>
      <queryTableField id="2368" dataBound="0" tableColumnId="14026"/>
      <queryTableField id="2367" dataBound="0" tableColumnId="14027"/>
      <queryTableField id="2366" dataBound="0" tableColumnId="14028"/>
      <queryTableField id="2365" dataBound="0" tableColumnId="14029"/>
      <queryTableField id="2364" dataBound="0" tableColumnId="14030"/>
      <queryTableField id="2363" dataBound="0" tableColumnId="14031"/>
      <queryTableField id="2362" dataBound="0" tableColumnId="14032"/>
      <queryTableField id="2361" dataBound="0" tableColumnId="14033"/>
      <queryTableField id="2360" dataBound="0" tableColumnId="14034"/>
      <queryTableField id="2359" dataBound="0" tableColumnId="14035"/>
      <queryTableField id="2358" dataBound="0" tableColumnId="14036"/>
      <queryTableField id="2357" dataBound="0" tableColumnId="14037"/>
      <queryTableField id="2356" dataBound="0" tableColumnId="14038"/>
      <queryTableField id="2355" dataBound="0" tableColumnId="14039"/>
      <queryTableField id="2354" dataBound="0" tableColumnId="14040"/>
      <queryTableField id="2353" dataBound="0" tableColumnId="14041"/>
      <queryTableField id="2352" dataBound="0" tableColumnId="14042"/>
      <queryTableField id="2351" dataBound="0" tableColumnId="14043"/>
      <queryTableField id="2350" dataBound="0" tableColumnId="14044"/>
      <queryTableField id="2349" dataBound="0" tableColumnId="14045"/>
      <queryTableField id="2348" dataBound="0" tableColumnId="14046"/>
      <queryTableField id="2347" dataBound="0" tableColumnId="14047"/>
      <queryTableField id="2346" dataBound="0" tableColumnId="14048"/>
      <queryTableField id="2345" dataBound="0" tableColumnId="14049"/>
      <queryTableField id="2344" dataBound="0" tableColumnId="14050"/>
      <queryTableField id="2343" dataBound="0" tableColumnId="14051"/>
      <queryTableField id="2342" dataBound="0" tableColumnId="14052"/>
      <queryTableField id="2341" dataBound="0" tableColumnId="14053"/>
      <queryTableField id="2340" dataBound="0" tableColumnId="14054"/>
      <queryTableField id="2339" dataBound="0" tableColumnId="14055"/>
      <queryTableField id="2338" dataBound="0" tableColumnId="14056"/>
      <queryTableField id="2337" dataBound="0" tableColumnId="14057"/>
      <queryTableField id="2336" dataBound="0" tableColumnId="14058"/>
      <queryTableField id="2335" dataBound="0" tableColumnId="14059"/>
      <queryTableField id="2334" dataBound="0" tableColumnId="14060"/>
      <queryTableField id="2333" dataBound="0" tableColumnId="14061"/>
      <queryTableField id="2332" dataBound="0" tableColumnId="14062"/>
      <queryTableField id="2331" dataBound="0" tableColumnId="14063"/>
      <queryTableField id="2330" dataBound="0" tableColumnId="14064"/>
      <queryTableField id="2329" dataBound="0" tableColumnId="14065"/>
      <queryTableField id="2328" dataBound="0" tableColumnId="14066"/>
      <queryTableField id="2327" dataBound="0" tableColumnId="14067"/>
      <queryTableField id="2326" dataBound="0" tableColumnId="14068"/>
      <queryTableField id="2325" dataBound="0" tableColumnId="14069"/>
      <queryTableField id="2324" dataBound="0" tableColumnId="14070"/>
      <queryTableField id="2323" dataBound="0" tableColumnId="14071"/>
      <queryTableField id="2322" dataBound="0" tableColumnId="14072"/>
      <queryTableField id="2321" dataBound="0" tableColumnId="14073"/>
      <queryTableField id="2320" dataBound="0" tableColumnId="14074"/>
      <queryTableField id="2319" dataBound="0" tableColumnId="14075"/>
      <queryTableField id="2318" dataBound="0" tableColumnId="14076"/>
      <queryTableField id="2317" dataBound="0" tableColumnId="14077"/>
      <queryTableField id="2316" dataBound="0" tableColumnId="14078"/>
      <queryTableField id="2315" dataBound="0" tableColumnId="14079"/>
      <queryTableField id="2314" dataBound="0" tableColumnId="14080"/>
      <queryTableField id="2313" dataBound="0" tableColumnId="14081"/>
      <queryTableField id="2312" dataBound="0" tableColumnId="14082"/>
      <queryTableField id="2311" dataBound="0" tableColumnId="14083"/>
      <queryTableField id="2310" dataBound="0" tableColumnId="14084"/>
      <queryTableField id="2309" dataBound="0" tableColumnId="14085"/>
      <queryTableField id="2308" dataBound="0" tableColumnId="14086"/>
      <queryTableField id="2307" dataBound="0" tableColumnId="14087"/>
      <queryTableField id="2306" dataBound="0" tableColumnId="14088"/>
      <queryTableField id="2305" dataBound="0" tableColumnId="14089"/>
      <queryTableField id="2304" dataBound="0" tableColumnId="14090"/>
      <queryTableField id="2303" dataBound="0" tableColumnId="14091"/>
      <queryTableField id="2302" dataBound="0" tableColumnId="14092"/>
      <queryTableField id="2301" dataBound="0" tableColumnId="14093"/>
      <queryTableField id="2300" dataBound="0" tableColumnId="14094"/>
      <queryTableField id="2299" dataBound="0" tableColumnId="14095"/>
      <queryTableField id="2298" dataBound="0" tableColumnId="14096"/>
      <queryTableField id="2297" dataBound="0" tableColumnId="14097"/>
      <queryTableField id="2296" dataBound="0" tableColumnId="14098"/>
      <queryTableField id="2295" dataBound="0" tableColumnId="14099"/>
      <queryTableField id="2294" dataBound="0" tableColumnId="14100"/>
      <queryTableField id="2293" dataBound="0" tableColumnId="14101"/>
      <queryTableField id="2292" dataBound="0" tableColumnId="14102"/>
      <queryTableField id="2291" dataBound="0" tableColumnId="14103"/>
      <queryTableField id="2290" dataBound="0" tableColumnId="14104"/>
      <queryTableField id="2289" dataBound="0" tableColumnId="14105"/>
      <queryTableField id="2288" dataBound="0" tableColumnId="14106"/>
      <queryTableField id="2287" dataBound="0" tableColumnId="14107"/>
      <queryTableField id="2286" dataBound="0" tableColumnId="14108"/>
      <queryTableField id="2285" dataBound="0" tableColumnId="14109"/>
      <queryTableField id="2284" dataBound="0" tableColumnId="14110"/>
      <queryTableField id="2283" dataBound="0" tableColumnId="14111"/>
      <queryTableField id="2282" dataBound="0" tableColumnId="14112"/>
      <queryTableField id="2281" dataBound="0" tableColumnId="14113"/>
      <queryTableField id="2280" dataBound="0" tableColumnId="14114"/>
      <queryTableField id="2279" dataBound="0" tableColumnId="14115"/>
      <queryTableField id="2278" dataBound="0" tableColumnId="14116"/>
      <queryTableField id="2277" dataBound="0" tableColumnId="14117"/>
      <queryTableField id="2276" dataBound="0" tableColumnId="14118"/>
      <queryTableField id="2275" dataBound="0" tableColumnId="14119"/>
      <queryTableField id="2274" dataBound="0" tableColumnId="14120"/>
      <queryTableField id="2273" dataBound="0" tableColumnId="14121"/>
      <queryTableField id="2272" dataBound="0" tableColumnId="14122"/>
      <queryTableField id="2271" dataBound="0" tableColumnId="14123"/>
      <queryTableField id="2270" dataBound="0" tableColumnId="14124"/>
      <queryTableField id="2269" dataBound="0" tableColumnId="14125"/>
      <queryTableField id="2268" dataBound="0" tableColumnId="14126"/>
      <queryTableField id="2267" dataBound="0" tableColumnId="14127"/>
      <queryTableField id="2266" dataBound="0" tableColumnId="14128"/>
      <queryTableField id="2265" dataBound="0" tableColumnId="14129"/>
      <queryTableField id="2264" dataBound="0" tableColumnId="14130"/>
      <queryTableField id="2263" dataBound="0" tableColumnId="14131"/>
      <queryTableField id="2262" dataBound="0" tableColumnId="14132"/>
      <queryTableField id="2261" dataBound="0" tableColumnId="14133"/>
      <queryTableField id="2260" dataBound="0" tableColumnId="14134"/>
      <queryTableField id="2259" dataBound="0" tableColumnId="14135"/>
      <queryTableField id="2258" dataBound="0" tableColumnId="14136"/>
      <queryTableField id="2257" dataBound="0" tableColumnId="14137"/>
      <queryTableField id="2256" dataBound="0" tableColumnId="14138"/>
      <queryTableField id="2255" dataBound="0" tableColumnId="14139"/>
      <queryTableField id="2254" dataBound="0" tableColumnId="14140"/>
      <queryTableField id="2253" dataBound="0" tableColumnId="14141"/>
      <queryTableField id="2252" dataBound="0" tableColumnId="14142"/>
      <queryTableField id="2251" dataBound="0" tableColumnId="14143"/>
      <queryTableField id="2250" dataBound="0" tableColumnId="14144"/>
      <queryTableField id="2249" dataBound="0" tableColumnId="14145"/>
      <queryTableField id="2248" dataBound="0" tableColumnId="14146"/>
      <queryTableField id="2247" dataBound="0" tableColumnId="14147"/>
      <queryTableField id="2246" dataBound="0" tableColumnId="14148"/>
      <queryTableField id="2245" dataBound="0" tableColumnId="14149"/>
      <queryTableField id="2244" dataBound="0" tableColumnId="14150"/>
      <queryTableField id="2243" dataBound="0" tableColumnId="14151"/>
      <queryTableField id="2242" dataBound="0" tableColumnId="14152"/>
      <queryTableField id="2241" dataBound="0" tableColumnId="14153"/>
      <queryTableField id="2240" dataBound="0" tableColumnId="14154"/>
      <queryTableField id="2239" dataBound="0" tableColumnId="14155"/>
      <queryTableField id="2238" dataBound="0" tableColumnId="14156"/>
      <queryTableField id="2237" dataBound="0" tableColumnId="14157"/>
      <queryTableField id="2236" dataBound="0" tableColumnId="14158"/>
      <queryTableField id="2235" dataBound="0" tableColumnId="14159"/>
      <queryTableField id="2234" dataBound="0" tableColumnId="14160"/>
      <queryTableField id="2233" dataBound="0" tableColumnId="14161"/>
      <queryTableField id="2232" dataBound="0" tableColumnId="14162"/>
      <queryTableField id="2231" dataBound="0" tableColumnId="14163"/>
      <queryTableField id="2230" dataBound="0" tableColumnId="14164"/>
      <queryTableField id="2229" dataBound="0" tableColumnId="14165"/>
      <queryTableField id="2228" dataBound="0" tableColumnId="14166"/>
      <queryTableField id="2227" dataBound="0" tableColumnId="14167"/>
      <queryTableField id="2226" dataBound="0" tableColumnId="14168"/>
      <queryTableField id="2225" dataBound="0" tableColumnId="14169"/>
      <queryTableField id="2224" dataBound="0" tableColumnId="14170"/>
      <queryTableField id="2223" dataBound="0" tableColumnId="14171"/>
      <queryTableField id="2222" dataBound="0" tableColumnId="14172"/>
      <queryTableField id="2221" dataBound="0" tableColumnId="14173"/>
      <queryTableField id="2220" dataBound="0" tableColumnId="14174"/>
      <queryTableField id="2219" dataBound="0" tableColumnId="14175"/>
      <queryTableField id="2218" dataBound="0" tableColumnId="14176"/>
      <queryTableField id="2217" dataBound="0" tableColumnId="14177"/>
      <queryTableField id="2216" dataBound="0" tableColumnId="14178"/>
      <queryTableField id="2215" dataBound="0" tableColumnId="14179"/>
      <queryTableField id="2214" dataBound="0" tableColumnId="14180"/>
      <queryTableField id="2213" dataBound="0" tableColumnId="14181"/>
      <queryTableField id="2212" dataBound="0" tableColumnId="14182"/>
      <queryTableField id="2211" dataBound="0" tableColumnId="14183"/>
      <queryTableField id="2210" dataBound="0" tableColumnId="14184"/>
      <queryTableField id="2209" dataBound="0" tableColumnId="14185"/>
      <queryTableField id="2208" dataBound="0" tableColumnId="14186"/>
      <queryTableField id="2207" dataBound="0" tableColumnId="14187"/>
      <queryTableField id="2206" dataBound="0" tableColumnId="14188"/>
      <queryTableField id="2205" dataBound="0" tableColumnId="14189"/>
      <queryTableField id="2204" dataBound="0" tableColumnId="14190"/>
      <queryTableField id="2203" dataBound="0" tableColumnId="14191"/>
      <queryTableField id="2202" dataBound="0" tableColumnId="14192"/>
      <queryTableField id="2201" dataBound="0" tableColumnId="14193"/>
      <queryTableField id="2200" dataBound="0" tableColumnId="14194"/>
      <queryTableField id="2199" dataBound="0" tableColumnId="14195"/>
      <queryTableField id="2198" dataBound="0" tableColumnId="14196"/>
      <queryTableField id="2197" dataBound="0" tableColumnId="14197"/>
      <queryTableField id="2196" dataBound="0" tableColumnId="14198"/>
      <queryTableField id="2195" dataBound="0" tableColumnId="14199"/>
      <queryTableField id="2194" dataBound="0" tableColumnId="14200"/>
      <queryTableField id="2193" dataBound="0" tableColumnId="14201"/>
      <queryTableField id="2192" dataBound="0" tableColumnId="14202"/>
      <queryTableField id="2191" dataBound="0" tableColumnId="14203"/>
      <queryTableField id="2190" dataBound="0" tableColumnId="14204"/>
      <queryTableField id="2189" dataBound="0" tableColumnId="14205"/>
      <queryTableField id="2188" dataBound="0" tableColumnId="14206"/>
      <queryTableField id="2187" dataBound="0" tableColumnId="14207"/>
      <queryTableField id="2186" dataBound="0" tableColumnId="14208"/>
      <queryTableField id="2185" dataBound="0" tableColumnId="14209"/>
      <queryTableField id="2184" dataBound="0" tableColumnId="14210"/>
      <queryTableField id="2183" dataBound="0" tableColumnId="14211"/>
      <queryTableField id="2182" dataBound="0" tableColumnId="14212"/>
      <queryTableField id="2181" dataBound="0" tableColumnId="14213"/>
      <queryTableField id="2180" dataBound="0" tableColumnId="14214"/>
      <queryTableField id="2179" dataBound="0" tableColumnId="14215"/>
      <queryTableField id="2178" dataBound="0" tableColumnId="14216"/>
      <queryTableField id="2177" dataBound="0" tableColumnId="14217"/>
      <queryTableField id="2176" dataBound="0" tableColumnId="14218"/>
      <queryTableField id="2175" dataBound="0" tableColumnId="14219"/>
      <queryTableField id="2174" dataBound="0" tableColumnId="14220"/>
      <queryTableField id="2173" dataBound="0" tableColumnId="14221"/>
      <queryTableField id="2172" dataBound="0" tableColumnId="14222"/>
      <queryTableField id="2171" dataBound="0" tableColumnId="14223"/>
      <queryTableField id="2170" dataBound="0" tableColumnId="14224"/>
      <queryTableField id="2169" dataBound="0" tableColumnId="14225"/>
      <queryTableField id="2168" dataBound="0" tableColumnId="14226"/>
      <queryTableField id="2167" dataBound="0" tableColumnId="14227"/>
      <queryTableField id="2166" dataBound="0" tableColumnId="14228"/>
      <queryTableField id="2165" dataBound="0" tableColumnId="14229"/>
      <queryTableField id="2164" dataBound="0" tableColumnId="14230"/>
      <queryTableField id="2163" dataBound="0" tableColumnId="14231"/>
      <queryTableField id="2162" dataBound="0" tableColumnId="14232"/>
      <queryTableField id="2161" dataBound="0" tableColumnId="14233"/>
      <queryTableField id="2160" dataBound="0" tableColumnId="14234"/>
      <queryTableField id="2159" dataBound="0" tableColumnId="14235"/>
      <queryTableField id="2158" dataBound="0" tableColumnId="14236"/>
      <queryTableField id="2157" dataBound="0" tableColumnId="14237"/>
      <queryTableField id="2156" dataBound="0" tableColumnId="14238"/>
      <queryTableField id="2155" dataBound="0" tableColumnId="14239"/>
      <queryTableField id="2154" dataBound="0" tableColumnId="14240"/>
      <queryTableField id="2153" dataBound="0" tableColumnId="14241"/>
      <queryTableField id="2152" dataBound="0" tableColumnId="14242"/>
      <queryTableField id="2151" dataBound="0" tableColumnId="14243"/>
      <queryTableField id="2150" dataBound="0" tableColumnId="14244"/>
      <queryTableField id="2149" dataBound="0" tableColumnId="14245"/>
      <queryTableField id="2148" dataBound="0" tableColumnId="14246"/>
      <queryTableField id="2147" dataBound="0" tableColumnId="14247"/>
      <queryTableField id="2146" dataBound="0" tableColumnId="14248"/>
      <queryTableField id="2145" dataBound="0" tableColumnId="14249"/>
      <queryTableField id="2144" dataBound="0" tableColumnId="14250"/>
      <queryTableField id="2143" dataBound="0" tableColumnId="14251"/>
      <queryTableField id="2142" dataBound="0" tableColumnId="14252"/>
      <queryTableField id="2141" dataBound="0" tableColumnId="14253"/>
      <queryTableField id="2140" dataBound="0" tableColumnId="14254"/>
      <queryTableField id="2139" dataBound="0" tableColumnId="14255"/>
      <queryTableField id="2138" dataBound="0" tableColumnId="14256"/>
      <queryTableField id="2137" dataBound="0" tableColumnId="14257"/>
      <queryTableField id="2136" dataBound="0" tableColumnId="14258"/>
      <queryTableField id="2135" dataBound="0" tableColumnId="14259"/>
      <queryTableField id="2134" dataBound="0" tableColumnId="14260"/>
      <queryTableField id="2133" dataBound="0" tableColumnId="14261"/>
      <queryTableField id="2132" dataBound="0" tableColumnId="14262"/>
      <queryTableField id="2131" dataBound="0" tableColumnId="14263"/>
      <queryTableField id="2130" dataBound="0" tableColumnId="14264"/>
      <queryTableField id="2129" dataBound="0" tableColumnId="14265"/>
      <queryTableField id="2128" dataBound="0" tableColumnId="14266"/>
      <queryTableField id="2127" dataBound="0" tableColumnId="14267"/>
      <queryTableField id="2126" dataBound="0" tableColumnId="14268"/>
      <queryTableField id="2125" dataBound="0" tableColumnId="14269"/>
      <queryTableField id="2124" dataBound="0" tableColumnId="14270"/>
      <queryTableField id="2123" dataBound="0" tableColumnId="14271"/>
      <queryTableField id="2122" dataBound="0" tableColumnId="14272"/>
      <queryTableField id="2121" dataBound="0" tableColumnId="14273"/>
      <queryTableField id="2120" dataBound="0" tableColumnId="14274"/>
      <queryTableField id="2119" dataBound="0" tableColumnId="14275"/>
      <queryTableField id="2118" dataBound="0" tableColumnId="14276"/>
      <queryTableField id="2117" dataBound="0" tableColumnId="14277"/>
      <queryTableField id="2116" dataBound="0" tableColumnId="14278"/>
      <queryTableField id="2115" dataBound="0" tableColumnId="14279"/>
      <queryTableField id="2114" dataBound="0" tableColumnId="14280"/>
      <queryTableField id="2113" dataBound="0" tableColumnId="14281"/>
      <queryTableField id="2112" dataBound="0" tableColumnId="14282"/>
      <queryTableField id="2111" dataBound="0" tableColumnId="14283"/>
      <queryTableField id="2110" dataBound="0" tableColumnId="14284"/>
      <queryTableField id="2109" dataBound="0" tableColumnId="14285"/>
      <queryTableField id="2108" dataBound="0" tableColumnId="14286"/>
      <queryTableField id="2107" dataBound="0" tableColumnId="14287"/>
      <queryTableField id="2106" dataBound="0" tableColumnId="14288"/>
      <queryTableField id="2105" dataBound="0" tableColumnId="14289"/>
      <queryTableField id="2104" dataBound="0" tableColumnId="14290"/>
      <queryTableField id="2103" dataBound="0" tableColumnId="14291"/>
      <queryTableField id="2102" dataBound="0" tableColumnId="14292"/>
      <queryTableField id="2101" dataBound="0" tableColumnId="14293"/>
      <queryTableField id="2100" dataBound="0" tableColumnId="14294"/>
      <queryTableField id="2099" dataBound="0" tableColumnId="14295"/>
      <queryTableField id="2098" dataBound="0" tableColumnId="14296"/>
      <queryTableField id="2097" dataBound="0" tableColumnId="14297"/>
      <queryTableField id="2096" dataBound="0" tableColumnId="14298"/>
      <queryTableField id="2095" dataBound="0" tableColumnId="14299"/>
      <queryTableField id="2094" dataBound="0" tableColumnId="14300"/>
      <queryTableField id="2093" dataBound="0" tableColumnId="14301"/>
      <queryTableField id="2092" dataBound="0" tableColumnId="14302"/>
      <queryTableField id="2091" dataBound="0" tableColumnId="14303"/>
      <queryTableField id="2090" dataBound="0" tableColumnId="14304"/>
      <queryTableField id="2089" dataBound="0" tableColumnId="14305"/>
      <queryTableField id="2088" dataBound="0" tableColumnId="14306"/>
      <queryTableField id="2087" dataBound="0" tableColumnId="14307"/>
      <queryTableField id="2086" dataBound="0" tableColumnId="14308"/>
      <queryTableField id="2085" dataBound="0" tableColumnId="14309"/>
      <queryTableField id="2084" dataBound="0" tableColumnId="14310"/>
      <queryTableField id="2083" dataBound="0" tableColumnId="14311"/>
      <queryTableField id="2082" dataBound="0" tableColumnId="14312"/>
      <queryTableField id="2081" dataBound="0" tableColumnId="14313"/>
      <queryTableField id="2080" dataBound="0" tableColumnId="14314"/>
      <queryTableField id="2079" dataBound="0" tableColumnId="14315"/>
      <queryTableField id="2078" dataBound="0" tableColumnId="14316"/>
      <queryTableField id="2077" dataBound="0" tableColumnId="14317"/>
      <queryTableField id="2076" dataBound="0" tableColumnId="14318"/>
      <queryTableField id="2075" dataBound="0" tableColumnId="14319"/>
      <queryTableField id="2074" dataBound="0" tableColumnId="14320"/>
      <queryTableField id="2073" dataBound="0" tableColumnId="14321"/>
      <queryTableField id="2072" dataBound="0" tableColumnId="14322"/>
      <queryTableField id="2071" dataBound="0" tableColumnId="14323"/>
      <queryTableField id="2070" dataBound="0" tableColumnId="14324"/>
      <queryTableField id="2069" dataBound="0" tableColumnId="14325"/>
      <queryTableField id="2068" dataBound="0" tableColumnId="14326"/>
      <queryTableField id="2067" dataBound="0" tableColumnId="14327"/>
      <queryTableField id="2066" dataBound="0" tableColumnId="14328"/>
      <queryTableField id="2065" dataBound="0" tableColumnId="14329"/>
      <queryTableField id="2064" dataBound="0" tableColumnId="14330"/>
      <queryTableField id="2063" dataBound="0" tableColumnId="14331"/>
      <queryTableField id="2062" dataBound="0" tableColumnId="14332"/>
      <queryTableField id="2061" dataBound="0" tableColumnId="14333"/>
      <queryTableField id="2060" dataBound="0" tableColumnId="14334"/>
      <queryTableField id="2059" dataBound="0" tableColumnId="14335"/>
      <queryTableField id="2058" dataBound="0" tableColumnId="14336"/>
      <queryTableField id="2057" dataBound="0" tableColumnId="14337"/>
      <queryTableField id="2056" dataBound="0" tableColumnId="14338"/>
      <queryTableField id="2055" dataBound="0" tableColumnId="14339"/>
      <queryTableField id="2054" dataBound="0" tableColumnId="14340"/>
      <queryTableField id="2053" dataBound="0" tableColumnId="14341"/>
      <queryTableField id="2052" dataBound="0" tableColumnId="14342"/>
      <queryTableField id="2051" dataBound="0" tableColumnId="14343"/>
      <queryTableField id="2050" dataBound="0" tableColumnId="14344"/>
      <queryTableField id="2049" dataBound="0" tableColumnId="14345"/>
      <queryTableField id="2048" dataBound="0" tableColumnId="14346"/>
      <queryTableField id="2047" dataBound="0" tableColumnId="14347"/>
      <queryTableField id="2046" dataBound="0" tableColumnId="14348"/>
      <queryTableField id="2045" dataBound="0" tableColumnId="14349"/>
      <queryTableField id="2044" dataBound="0" tableColumnId="14350"/>
      <queryTableField id="2043" dataBound="0" tableColumnId="14351"/>
      <queryTableField id="2042" dataBound="0" tableColumnId="14352"/>
      <queryTableField id="2041" dataBound="0" tableColumnId="14353"/>
      <queryTableField id="2040" dataBound="0" tableColumnId="14354"/>
      <queryTableField id="2039" dataBound="0" tableColumnId="14355"/>
      <queryTableField id="2038" dataBound="0" tableColumnId="14356"/>
      <queryTableField id="2037" dataBound="0" tableColumnId="14357"/>
      <queryTableField id="2036" dataBound="0" tableColumnId="14358"/>
      <queryTableField id="2035" dataBound="0" tableColumnId="14359"/>
      <queryTableField id="2034" dataBound="0" tableColumnId="14360"/>
      <queryTableField id="2033" dataBound="0" tableColumnId="14361"/>
      <queryTableField id="2032" dataBound="0" tableColumnId="14362"/>
      <queryTableField id="2031" dataBound="0" tableColumnId="14363"/>
      <queryTableField id="2030" dataBound="0" tableColumnId="14364"/>
      <queryTableField id="2029" dataBound="0" tableColumnId="14365"/>
      <queryTableField id="2028" dataBound="0" tableColumnId="14366"/>
      <queryTableField id="2027" dataBound="0" tableColumnId="14367"/>
      <queryTableField id="2026" dataBound="0" tableColumnId="14368"/>
      <queryTableField id="2025" dataBound="0" tableColumnId="14369"/>
      <queryTableField id="2024" dataBound="0" tableColumnId="14370"/>
      <queryTableField id="2023" dataBound="0" tableColumnId="14371"/>
      <queryTableField id="2022" dataBound="0" tableColumnId="14372"/>
      <queryTableField id="2021" dataBound="0" tableColumnId="14373"/>
      <queryTableField id="2020" dataBound="0" tableColumnId="14374"/>
      <queryTableField id="2019" dataBound="0" tableColumnId="14375"/>
      <queryTableField id="2018" dataBound="0" tableColumnId="14376"/>
      <queryTableField id="2017" dataBound="0" tableColumnId="14377"/>
      <queryTableField id="2016" dataBound="0" tableColumnId="14378"/>
      <queryTableField id="2015" dataBound="0" tableColumnId="14379"/>
      <queryTableField id="2014" dataBound="0" tableColumnId="14380"/>
      <queryTableField id="2013" dataBound="0" tableColumnId="14381"/>
      <queryTableField id="2012" dataBound="0" tableColumnId="14382"/>
      <queryTableField id="2011" dataBound="0" tableColumnId="14383"/>
      <queryTableField id="2010" dataBound="0" tableColumnId="14384"/>
      <queryTableField id="2009" dataBound="0" tableColumnId="14385"/>
      <queryTableField id="2008" dataBound="0" tableColumnId="14386"/>
      <queryTableField id="2007" dataBound="0" tableColumnId="14387"/>
      <queryTableField id="2006" dataBound="0" tableColumnId="14388"/>
      <queryTableField id="2005" dataBound="0" tableColumnId="14389"/>
      <queryTableField id="2004" dataBound="0" tableColumnId="14390"/>
      <queryTableField id="2003" dataBound="0" tableColumnId="14391"/>
      <queryTableField id="2002" dataBound="0" tableColumnId="14392"/>
      <queryTableField id="2001" dataBound="0" tableColumnId="14393"/>
      <queryTableField id="2000" dataBound="0" tableColumnId="14394"/>
      <queryTableField id="1999" dataBound="0" tableColumnId="14395"/>
      <queryTableField id="1998" dataBound="0" tableColumnId="14396"/>
      <queryTableField id="1997" dataBound="0" tableColumnId="14397"/>
      <queryTableField id="1996" dataBound="0" tableColumnId="14398"/>
      <queryTableField id="1995" dataBound="0" tableColumnId="14399"/>
      <queryTableField id="1994" dataBound="0" tableColumnId="14400"/>
      <queryTableField id="1993" dataBound="0" tableColumnId="14401"/>
      <queryTableField id="1992" dataBound="0" tableColumnId="14402"/>
      <queryTableField id="1991" dataBound="0" tableColumnId="14403"/>
      <queryTableField id="1990" dataBound="0" tableColumnId="14404"/>
      <queryTableField id="1989" dataBound="0" tableColumnId="14405"/>
      <queryTableField id="1988" dataBound="0" tableColumnId="14406"/>
      <queryTableField id="1987" dataBound="0" tableColumnId="14407"/>
      <queryTableField id="1986" dataBound="0" tableColumnId="14408"/>
      <queryTableField id="1985" dataBound="0" tableColumnId="14409"/>
      <queryTableField id="1984" dataBound="0" tableColumnId="14410"/>
      <queryTableField id="1983" dataBound="0" tableColumnId="14411"/>
      <queryTableField id="1982" dataBound="0" tableColumnId="14412"/>
      <queryTableField id="1981" dataBound="0" tableColumnId="14413"/>
      <queryTableField id="1980" dataBound="0" tableColumnId="14414"/>
      <queryTableField id="1979" dataBound="0" tableColumnId="14415"/>
      <queryTableField id="1978" dataBound="0" tableColumnId="14416"/>
      <queryTableField id="1977" dataBound="0" tableColumnId="14417"/>
      <queryTableField id="1976" dataBound="0" tableColumnId="14418"/>
      <queryTableField id="1975" dataBound="0" tableColumnId="14419"/>
      <queryTableField id="1974" dataBound="0" tableColumnId="14420"/>
      <queryTableField id="1973" dataBound="0" tableColumnId="14421"/>
      <queryTableField id="1972" dataBound="0" tableColumnId="14422"/>
      <queryTableField id="1971" dataBound="0" tableColumnId="14423"/>
      <queryTableField id="1970" dataBound="0" tableColumnId="14424"/>
      <queryTableField id="1969" dataBound="0" tableColumnId="14425"/>
      <queryTableField id="1968" dataBound="0" tableColumnId="14426"/>
      <queryTableField id="1967" dataBound="0" tableColumnId="14427"/>
      <queryTableField id="1966" dataBound="0" tableColumnId="14428"/>
      <queryTableField id="1965" dataBound="0" tableColumnId="14429"/>
      <queryTableField id="1964" dataBound="0" tableColumnId="14430"/>
      <queryTableField id="1963" dataBound="0" tableColumnId="14431"/>
      <queryTableField id="1962" dataBound="0" tableColumnId="14432"/>
      <queryTableField id="1961" dataBound="0" tableColumnId="14433"/>
      <queryTableField id="1960" dataBound="0" tableColumnId="14434"/>
      <queryTableField id="1959" dataBound="0" tableColumnId="14435"/>
      <queryTableField id="1958" dataBound="0" tableColumnId="14436"/>
      <queryTableField id="1957" dataBound="0" tableColumnId="14437"/>
      <queryTableField id="1956" dataBound="0" tableColumnId="14438"/>
      <queryTableField id="1955" dataBound="0" tableColumnId="14439"/>
      <queryTableField id="1954" dataBound="0" tableColumnId="14440"/>
      <queryTableField id="1953" dataBound="0" tableColumnId="14441"/>
      <queryTableField id="1952" dataBound="0" tableColumnId="14442"/>
      <queryTableField id="1951" dataBound="0" tableColumnId="14443"/>
      <queryTableField id="1950" dataBound="0" tableColumnId="14444"/>
      <queryTableField id="1949" dataBound="0" tableColumnId="14445"/>
      <queryTableField id="1948" dataBound="0" tableColumnId="14446"/>
      <queryTableField id="1947" dataBound="0" tableColumnId="14447"/>
      <queryTableField id="1946" dataBound="0" tableColumnId="14448"/>
      <queryTableField id="1945" dataBound="0" tableColumnId="14449"/>
      <queryTableField id="1944" dataBound="0" tableColumnId="14450"/>
      <queryTableField id="1943" dataBound="0" tableColumnId="14451"/>
      <queryTableField id="1942" dataBound="0" tableColumnId="14452"/>
      <queryTableField id="1941" dataBound="0" tableColumnId="14453"/>
      <queryTableField id="1940" dataBound="0" tableColumnId="14454"/>
      <queryTableField id="1939" dataBound="0" tableColumnId="14455"/>
      <queryTableField id="1938" dataBound="0" tableColumnId="14456"/>
      <queryTableField id="1937" dataBound="0" tableColumnId="14457"/>
      <queryTableField id="1936" dataBound="0" tableColumnId="14458"/>
      <queryTableField id="1935" dataBound="0" tableColumnId="14459"/>
      <queryTableField id="1934" dataBound="0" tableColumnId="14460"/>
      <queryTableField id="1933" dataBound="0" tableColumnId="14461"/>
      <queryTableField id="1932" dataBound="0" tableColumnId="14462"/>
      <queryTableField id="1931" dataBound="0" tableColumnId="14463"/>
      <queryTableField id="1930" dataBound="0" tableColumnId="14464"/>
      <queryTableField id="1929" dataBound="0" tableColumnId="14465"/>
      <queryTableField id="1928" dataBound="0" tableColumnId="14466"/>
      <queryTableField id="1927" dataBound="0" tableColumnId="14467"/>
      <queryTableField id="1926" dataBound="0" tableColumnId="14468"/>
      <queryTableField id="1925" dataBound="0" tableColumnId="14469"/>
      <queryTableField id="1924" dataBound="0" tableColumnId="14470"/>
      <queryTableField id="1923" dataBound="0" tableColumnId="14471"/>
      <queryTableField id="1922" dataBound="0" tableColumnId="14472"/>
      <queryTableField id="1921" dataBound="0" tableColumnId="14473"/>
      <queryTableField id="1920" dataBound="0" tableColumnId="14474"/>
      <queryTableField id="1919" dataBound="0" tableColumnId="14475"/>
      <queryTableField id="1918" dataBound="0" tableColumnId="14476"/>
      <queryTableField id="1917" dataBound="0" tableColumnId="14477"/>
      <queryTableField id="1916" dataBound="0" tableColumnId="14478"/>
      <queryTableField id="1915" dataBound="0" tableColumnId="14479"/>
      <queryTableField id="1914" dataBound="0" tableColumnId="14480"/>
      <queryTableField id="1913" dataBound="0" tableColumnId="14481"/>
      <queryTableField id="1912" dataBound="0" tableColumnId="14482"/>
      <queryTableField id="1911" dataBound="0" tableColumnId="14483"/>
      <queryTableField id="1910" dataBound="0" tableColumnId="14484"/>
      <queryTableField id="1909" dataBound="0" tableColumnId="14485"/>
      <queryTableField id="1908" dataBound="0" tableColumnId="14486"/>
      <queryTableField id="1907" dataBound="0" tableColumnId="14487"/>
      <queryTableField id="1906" dataBound="0" tableColumnId="14488"/>
      <queryTableField id="1905" dataBound="0" tableColumnId="14489"/>
      <queryTableField id="1904" dataBound="0" tableColumnId="14490"/>
      <queryTableField id="1903" dataBound="0" tableColumnId="14491"/>
      <queryTableField id="1902" dataBound="0" tableColumnId="14492"/>
      <queryTableField id="1901" dataBound="0" tableColumnId="14493"/>
      <queryTableField id="1900" dataBound="0" tableColumnId="14494"/>
      <queryTableField id="1899" dataBound="0" tableColumnId="14495"/>
      <queryTableField id="1898" dataBound="0" tableColumnId="14496"/>
      <queryTableField id="1897" dataBound="0" tableColumnId="14497"/>
      <queryTableField id="1896" dataBound="0" tableColumnId="14498"/>
      <queryTableField id="1895" dataBound="0" tableColumnId="14499"/>
      <queryTableField id="1894" dataBound="0" tableColumnId="14500"/>
      <queryTableField id="1893" dataBound="0" tableColumnId="14501"/>
      <queryTableField id="1892" dataBound="0" tableColumnId="14502"/>
      <queryTableField id="1891" dataBound="0" tableColumnId="14503"/>
      <queryTableField id="1890" dataBound="0" tableColumnId="14504"/>
      <queryTableField id="1889" dataBound="0" tableColumnId="14505"/>
      <queryTableField id="1888" dataBound="0" tableColumnId="14506"/>
      <queryTableField id="1887" dataBound="0" tableColumnId="14507"/>
      <queryTableField id="1886" dataBound="0" tableColumnId="14508"/>
      <queryTableField id="1885" dataBound="0" tableColumnId="14509"/>
      <queryTableField id="1884" dataBound="0" tableColumnId="14510"/>
      <queryTableField id="1883" dataBound="0" tableColumnId="14511"/>
      <queryTableField id="1882" dataBound="0" tableColumnId="14512"/>
      <queryTableField id="1881" dataBound="0" tableColumnId="14513"/>
      <queryTableField id="1880" dataBound="0" tableColumnId="14514"/>
      <queryTableField id="1879" dataBound="0" tableColumnId="14515"/>
      <queryTableField id="1878" dataBound="0" tableColumnId="14516"/>
      <queryTableField id="1877" dataBound="0" tableColumnId="14517"/>
      <queryTableField id="1876" dataBound="0" tableColumnId="14518"/>
      <queryTableField id="1875" dataBound="0" tableColumnId="14519"/>
      <queryTableField id="1874" dataBound="0" tableColumnId="14520"/>
      <queryTableField id="1873" dataBound="0" tableColumnId="14521"/>
      <queryTableField id="1872" dataBound="0" tableColumnId="14522"/>
      <queryTableField id="1871" dataBound="0" tableColumnId="14523"/>
      <queryTableField id="1870" dataBound="0" tableColumnId="14524"/>
      <queryTableField id="1869" dataBound="0" tableColumnId="14525"/>
      <queryTableField id="1868" dataBound="0" tableColumnId="14526"/>
      <queryTableField id="1867" dataBound="0" tableColumnId="14527"/>
      <queryTableField id="1866" dataBound="0" tableColumnId="14528"/>
      <queryTableField id="1865" dataBound="0" tableColumnId="14529"/>
      <queryTableField id="1864" dataBound="0" tableColumnId="14530"/>
      <queryTableField id="1863" dataBound="0" tableColumnId="14531"/>
      <queryTableField id="1862" dataBound="0" tableColumnId="14532"/>
      <queryTableField id="1861" dataBound="0" tableColumnId="14533"/>
      <queryTableField id="1860" dataBound="0" tableColumnId="14534"/>
      <queryTableField id="1859" dataBound="0" tableColumnId="14535"/>
      <queryTableField id="1858" dataBound="0" tableColumnId="14536"/>
      <queryTableField id="1857" dataBound="0" tableColumnId="14537"/>
      <queryTableField id="1856" dataBound="0" tableColumnId="14538"/>
      <queryTableField id="1855" dataBound="0" tableColumnId="14539"/>
      <queryTableField id="1854" dataBound="0" tableColumnId="14540"/>
      <queryTableField id="1853" dataBound="0" tableColumnId="14541"/>
      <queryTableField id="1852" dataBound="0" tableColumnId="14542"/>
      <queryTableField id="1851" dataBound="0" tableColumnId="14543"/>
      <queryTableField id="1850" dataBound="0" tableColumnId="14544"/>
      <queryTableField id="1849" dataBound="0" tableColumnId="14545"/>
      <queryTableField id="1848" dataBound="0" tableColumnId="14546"/>
      <queryTableField id="1847" dataBound="0" tableColumnId="14547"/>
      <queryTableField id="1846" dataBound="0" tableColumnId="14548"/>
      <queryTableField id="1845" dataBound="0" tableColumnId="14549"/>
      <queryTableField id="1844" dataBound="0" tableColumnId="14550"/>
      <queryTableField id="1843" dataBound="0" tableColumnId="14551"/>
      <queryTableField id="1842" dataBound="0" tableColumnId="14552"/>
      <queryTableField id="1841" dataBound="0" tableColumnId="14553"/>
      <queryTableField id="1840" dataBound="0" tableColumnId="14554"/>
      <queryTableField id="1839" dataBound="0" tableColumnId="14555"/>
      <queryTableField id="1838" dataBound="0" tableColumnId="14556"/>
      <queryTableField id="1837" dataBound="0" tableColumnId="14557"/>
      <queryTableField id="1836" dataBound="0" tableColumnId="14558"/>
      <queryTableField id="1835" dataBound="0" tableColumnId="14559"/>
      <queryTableField id="1834" dataBound="0" tableColumnId="14560"/>
      <queryTableField id="1833" dataBound="0" tableColumnId="14561"/>
      <queryTableField id="1832" dataBound="0" tableColumnId="14562"/>
      <queryTableField id="1831" dataBound="0" tableColumnId="14563"/>
      <queryTableField id="1830" dataBound="0" tableColumnId="14564"/>
      <queryTableField id="1829" dataBound="0" tableColumnId="14565"/>
      <queryTableField id="1828" dataBound="0" tableColumnId="14566"/>
      <queryTableField id="1827" dataBound="0" tableColumnId="14567"/>
      <queryTableField id="1826" dataBound="0" tableColumnId="14568"/>
      <queryTableField id="1825" dataBound="0" tableColumnId="14569"/>
      <queryTableField id="1824" dataBound="0" tableColumnId="14570"/>
      <queryTableField id="1823" dataBound="0" tableColumnId="14571"/>
      <queryTableField id="1822" dataBound="0" tableColumnId="14572"/>
      <queryTableField id="1821" dataBound="0" tableColumnId="14573"/>
      <queryTableField id="1820" dataBound="0" tableColumnId="14574"/>
      <queryTableField id="1819" dataBound="0" tableColumnId="14575"/>
      <queryTableField id="1818" dataBound="0" tableColumnId="14576"/>
      <queryTableField id="1817" dataBound="0" tableColumnId="14577"/>
      <queryTableField id="1816" dataBound="0" tableColumnId="14578"/>
      <queryTableField id="1815" dataBound="0" tableColumnId="14579"/>
      <queryTableField id="1814" dataBound="0" tableColumnId="14580"/>
      <queryTableField id="1813" dataBound="0" tableColumnId="14581"/>
      <queryTableField id="1812" dataBound="0" tableColumnId="14582"/>
      <queryTableField id="1811" dataBound="0" tableColumnId="14583"/>
      <queryTableField id="1810" dataBound="0" tableColumnId="14584"/>
      <queryTableField id="1809" dataBound="0" tableColumnId="14585"/>
      <queryTableField id="1808" dataBound="0" tableColumnId="14586"/>
      <queryTableField id="1807" dataBound="0" tableColumnId="14587"/>
      <queryTableField id="1806" dataBound="0" tableColumnId="14588"/>
      <queryTableField id="1805" dataBound="0" tableColumnId="14589"/>
      <queryTableField id="1804" dataBound="0" tableColumnId="14590"/>
      <queryTableField id="1803" dataBound="0" tableColumnId="14591"/>
      <queryTableField id="1802" dataBound="0" tableColumnId="14592"/>
      <queryTableField id="1801" dataBound="0" tableColumnId="14593"/>
      <queryTableField id="1800" dataBound="0" tableColumnId="14594"/>
      <queryTableField id="1799" dataBound="0" tableColumnId="14595"/>
      <queryTableField id="1798" dataBound="0" tableColumnId="14596"/>
      <queryTableField id="1797" dataBound="0" tableColumnId="14597"/>
      <queryTableField id="1796" dataBound="0" tableColumnId="14598"/>
      <queryTableField id="1795" dataBound="0" tableColumnId="14599"/>
      <queryTableField id="1794" dataBound="0" tableColumnId="14600"/>
      <queryTableField id="1793" dataBound="0" tableColumnId="14601"/>
      <queryTableField id="1792" dataBound="0" tableColumnId="14602"/>
      <queryTableField id="1791" dataBound="0" tableColumnId="14603"/>
      <queryTableField id="1790" dataBound="0" tableColumnId="14604"/>
      <queryTableField id="1789" dataBound="0" tableColumnId="14605"/>
      <queryTableField id="1788" dataBound="0" tableColumnId="14606"/>
      <queryTableField id="1787" dataBound="0" tableColumnId="14607"/>
      <queryTableField id="1786" dataBound="0" tableColumnId="14608"/>
      <queryTableField id="1785" dataBound="0" tableColumnId="14609"/>
      <queryTableField id="1784" dataBound="0" tableColumnId="14610"/>
      <queryTableField id="1783" dataBound="0" tableColumnId="14611"/>
      <queryTableField id="1782" dataBound="0" tableColumnId="14612"/>
      <queryTableField id="1781" dataBound="0" tableColumnId="14613"/>
      <queryTableField id="1780" dataBound="0" tableColumnId="14614"/>
      <queryTableField id="1779" dataBound="0" tableColumnId="14615"/>
      <queryTableField id="1778" dataBound="0" tableColumnId="14616"/>
      <queryTableField id="1777" dataBound="0" tableColumnId="14617"/>
      <queryTableField id="1776" dataBound="0" tableColumnId="14618"/>
      <queryTableField id="1775" dataBound="0" tableColumnId="14619"/>
      <queryTableField id="1774" dataBound="0" tableColumnId="14620"/>
      <queryTableField id="1773" dataBound="0" tableColumnId="14621"/>
      <queryTableField id="1772" dataBound="0" tableColumnId="14622"/>
      <queryTableField id="1771" dataBound="0" tableColumnId="14623"/>
      <queryTableField id="1770" dataBound="0" tableColumnId="14624"/>
      <queryTableField id="1769" dataBound="0" tableColumnId="14625"/>
      <queryTableField id="1768" dataBound="0" tableColumnId="14626"/>
      <queryTableField id="1767" dataBound="0" tableColumnId="14627"/>
      <queryTableField id="1766" dataBound="0" tableColumnId="14628"/>
      <queryTableField id="1765" dataBound="0" tableColumnId="14629"/>
      <queryTableField id="1764" dataBound="0" tableColumnId="14630"/>
      <queryTableField id="1763" dataBound="0" tableColumnId="14631"/>
      <queryTableField id="1762" dataBound="0" tableColumnId="14632"/>
      <queryTableField id="1761" dataBound="0" tableColumnId="14633"/>
      <queryTableField id="1760" dataBound="0" tableColumnId="14634"/>
      <queryTableField id="1759" dataBound="0" tableColumnId="14635"/>
      <queryTableField id="1758" dataBound="0" tableColumnId="14636"/>
      <queryTableField id="1757" dataBound="0" tableColumnId="14637"/>
      <queryTableField id="1756" dataBound="0" tableColumnId="14638"/>
      <queryTableField id="1755" dataBound="0" tableColumnId="14639"/>
      <queryTableField id="1754" dataBound="0" tableColumnId="14640"/>
      <queryTableField id="1753" dataBound="0" tableColumnId="14641"/>
      <queryTableField id="1752" dataBound="0" tableColumnId="14642"/>
      <queryTableField id="1751" dataBound="0" tableColumnId="14643"/>
      <queryTableField id="1750" dataBound="0" tableColumnId="14644"/>
      <queryTableField id="1749" dataBound="0" tableColumnId="14645"/>
      <queryTableField id="1748" dataBound="0" tableColumnId="14646"/>
      <queryTableField id="1747" dataBound="0" tableColumnId="14647"/>
      <queryTableField id="1746" dataBound="0" tableColumnId="14648"/>
      <queryTableField id="1745" dataBound="0" tableColumnId="14649"/>
      <queryTableField id="1744" dataBound="0" tableColumnId="14650"/>
      <queryTableField id="1743" dataBound="0" tableColumnId="14651"/>
      <queryTableField id="1742" dataBound="0" tableColumnId="14652"/>
      <queryTableField id="1741" dataBound="0" tableColumnId="14653"/>
      <queryTableField id="1740" dataBound="0" tableColumnId="14654"/>
      <queryTableField id="1739" dataBound="0" tableColumnId="14655"/>
      <queryTableField id="1738" dataBound="0" tableColumnId="14656"/>
      <queryTableField id="1737" dataBound="0" tableColumnId="14657"/>
      <queryTableField id="1736" dataBound="0" tableColumnId="14658"/>
      <queryTableField id="1735" dataBound="0" tableColumnId="14659"/>
      <queryTableField id="1734" dataBound="0" tableColumnId="14660"/>
      <queryTableField id="1733" dataBound="0" tableColumnId="14661"/>
      <queryTableField id="1732" dataBound="0" tableColumnId="14662"/>
      <queryTableField id="1731" dataBound="0" tableColumnId="14663"/>
      <queryTableField id="1730" dataBound="0" tableColumnId="14664"/>
      <queryTableField id="1729" dataBound="0" tableColumnId="14665"/>
      <queryTableField id="1728" dataBound="0" tableColumnId="14666"/>
      <queryTableField id="1727" dataBound="0" tableColumnId="14667"/>
      <queryTableField id="1726" dataBound="0" tableColumnId="14668"/>
      <queryTableField id="1725" dataBound="0" tableColumnId="14669"/>
      <queryTableField id="1724" dataBound="0" tableColumnId="14670"/>
      <queryTableField id="1723" dataBound="0" tableColumnId="14671"/>
      <queryTableField id="1722" dataBound="0" tableColumnId="14672"/>
      <queryTableField id="1721" dataBound="0" tableColumnId="14673"/>
      <queryTableField id="1720" dataBound="0" tableColumnId="14674"/>
      <queryTableField id="1719" dataBound="0" tableColumnId="14675"/>
      <queryTableField id="1718" dataBound="0" tableColumnId="14676"/>
      <queryTableField id="1717" dataBound="0" tableColumnId="14677"/>
      <queryTableField id="1716" dataBound="0" tableColumnId="14678"/>
      <queryTableField id="1715" dataBound="0" tableColumnId="14679"/>
      <queryTableField id="1714" dataBound="0" tableColumnId="14680"/>
      <queryTableField id="1713" dataBound="0" tableColumnId="14681"/>
      <queryTableField id="1712" dataBound="0" tableColumnId="14682"/>
      <queryTableField id="1711" dataBound="0" tableColumnId="14683"/>
      <queryTableField id="1710" dataBound="0" tableColumnId="14684"/>
      <queryTableField id="1709" dataBound="0" tableColumnId="14685"/>
      <queryTableField id="1708" dataBound="0" tableColumnId="14686"/>
      <queryTableField id="1707" dataBound="0" tableColumnId="14687"/>
      <queryTableField id="1706" dataBound="0" tableColumnId="14688"/>
      <queryTableField id="1705" dataBound="0" tableColumnId="14689"/>
      <queryTableField id="1704" dataBound="0" tableColumnId="14690"/>
      <queryTableField id="1703" dataBound="0" tableColumnId="14691"/>
      <queryTableField id="1702" dataBound="0" tableColumnId="14692"/>
      <queryTableField id="1701" dataBound="0" tableColumnId="14693"/>
      <queryTableField id="1700" dataBound="0" tableColumnId="14694"/>
      <queryTableField id="1699" dataBound="0" tableColumnId="14695"/>
      <queryTableField id="1698" dataBound="0" tableColumnId="14696"/>
      <queryTableField id="1697" dataBound="0" tableColumnId="14697"/>
      <queryTableField id="1696" dataBound="0" tableColumnId="14698"/>
      <queryTableField id="1695" dataBound="0" tableColumnId="14699"/>
      <queryTableField id="1694" dataBound="0" tableColumnId="14700"/>
      <queryTableField id="1693" dataBound="0" tableColumnId="14701"/>
      <queryTableField id="1692" dataBound="0" tableColumnId="14702"/>
      <queryTableField id="1691" dataBound="0" tableColumnId="14703"/>
      <queryTableField id="1690" dataBound="0" tableColumnId="14704"/>
      <queryTableField id="1689" dataBound="0" tableColumnId="14705"/>
      <queryTableField id="1688" dataBound="0" tableColumnId="14706"/>
      <queryTableField id="1687" dataBound="0" tableColumnId="14707"/>
      <queryTableField id="1686" dataBound="0" tableColumnId="14708"/>
      <queryTableField id="1685" dataBound="0" tableColumnId="14709"/>
      <queryTableField id="1684" dataBound="0" tableColumnId="14710"/>
      <queryTableField id="1683" dataBound="0" tableColumnId="14711"/>
      <queryTableField id="1682" dataBound="0" tableColumnId="14712"/>
      <queryTableField id="1681" dataBound="0" tableColumnId="14713"/>
      <queryTableField id="1680" dataBound="0" tableColumnId="14714"/>
      <queryTableField id="1679" dataBound="0" tableColumnId="14715"/>
      <queryTableField id="1678" dataBound="0" tableColumnId="14716"/>
      <queryTableField id="1677" dataBound="0" tableColumnId="14717"/>
      <queryTableField id="1676" dataBound="0" tableColumnId="14718"/>
      <queryTableField id="1675" dataBound="0" tableColumnId="14719"/>
      <queryTableField id="1674" dataBound="0" tableColumnId="14720"/>
      <queryTableField id="1673" dataBound="0" tableColumnId="14721"/>
      <queryTableField id="1672" dataBound="0" tableColumnId="14722"/>
      <queryTableField id="1671" dataBound="0" tableColumnId="14723"/>
      <queryTableField id="1670" dataBound="0" tableColumnId="14724"/>
      <queryTableField id="1669" dataBound="0" tableColumnId="14725"/>
      <queryTableField id="1668" dataBound="0" tableColumnId="14726"/>
      <queryTableField id="1667" dataBound="0" tableColumnId="14727"/>
      <queryTableField id="1666" dataBound="0" tableColumnId="14728"/>
      <queryTableField id="1665" dataBound="0" tableColumnId="14729"/>
      <queryTableField id="1664" dataBound="0" tableColumnId="14730"/>
      <queryTableField id="1663" dataBound="0" tableColumnId="14731"/>
      <queryTableField id="1662" dataBound="0" tableColumnId="14732"/>
      <queryTableField id="1661" dataBound="0" tableColumnId="14733"/>
      <queryTableField id="1660" dataBound="0" tableColumnId="14734"/>
      <queryTableField id="1659" dataBound="0" tableColumnId="14735"/>
      <queryTableField id="1658" dataBound="0" tableColumnId="14736"/>
      <queryTableField id="1657" dataBound="0" tableColumnId="14737"/>
      <queryTableField id="1656" dataBound="0" tableColumnId="14738"/>
      <queryTableField id="1655" dataBound="0" tableColumnId="14739"/>
      <queryTableField id="1654" dataBound="0" tableColumnId="14740"/>
      <queryTableField id="1653" dataBound="0" tableColumnId="14741"/>
      <queryTableField id="1652" dataBound="0" tableColumnId="14742"/>
      <queryTableField id="1651" dataBound="0" tableColumnId="14743"/>
      <queryTableField id="1650" dataBound="0" tableColumnId="14744"/>
      <queryTableField id="1649" dataBound="0" tableColumnId="14745"/>
      <queryTableField id="1648" dataBound="0" tableColumnId="14746"/>
      <queryTableField id="1647" dataBound="0" tableColumnId="14747"/>
      <queryTableField id="1646" dataBound="0" tableColumnId="14748"/>
      <queryTableField id="1645" dataBound="0" tableColumnId="14749"/>
      <queryTableField id="1644" dataBound="0" tableColumnId="14750"/>
      <queryTableField id="1643" dataBound="0" tableColumnId="14751"/>
      <queryTableField id="1642" dataBound="0" tableColumnId="14752"/>
      <queryTableField id="1641" dataBound="0" tableColumnId="14753"/>
      <queryTableField id="1640" dataBound="0" tableColumnId="14754"/>
      <queryTableField id="1639" dataBound="0" tableColumnId="14755"/>
      <queryTableField id="1638" dataBound="0" tableColumnId="14756"/>
      <queryTableField id="1637" dataBound="0" tableColumnId="14757"/>
      <queryTableField id="1636" dataBound="0" tableColumnId="14758"/>
      <queryTableField id="1635" dataBound="0" tableColumnId="14759"/>
      <queryTableField id="1634" dataBound="0" tableColumnId="14760"/>
      <queryTableField id="1633" dataBound="0" tableColumnId="14761"/>
      <queryTableField id="1632" dataBound="0" tableColumnId="14762"/>
      <queryTableField id="1631" dataBound="0" tableColumnId="14763"/>
      <queryTableField id="1630" dataBound="0" tableColumnId="14764"/>
      <queryTableField id="1629" dataBound="0" tableColumnId="14765"/>
      <queryTableField id="1628" dataBound="0" tableColumnId="14766"/>
      <queryTableField id="1627" dataBound="0" tableColumnId="14767"/>
      <queryTableField id="1626" dataBound="0" tableColumnId="14768"/>
      <queryTableField id="1625" dataBound="0" tableColumnId="14769"/>
      <queryTableField id="1624" dataBound="0" tableColumnId="14770"/>
      <queryTableField id="1623" dataBound="0" tableColumnId="14771"/>
      <queryTableField id="1622" dataBound="0" tableColumnId="14772"/>
      <queryTableField id="1621" dataBound="0" tableColumnId="14773"/>
      <queryTableField id="1620" dataBound="0" tableColumnId="14774"/>
      <queryTableField id="1619" dataBound="0" tableColumnId="14775"/>
      <queryTableField id="1618" dataBound="0" tableColumnId="14776"/>
      <queryTableField id="1617" dataBound="0" tableColumnId="14777"/>
      <queryTableField id="1616" dataBound="0" tableColumnId="14778"/>
      <queryTableField id="1615" dataBound="0" tableColumnId="14779"/>
      <queryTableField id="1614" dataBound="0" tableColumnId="14780"/>
      <queryTableField id="1613" dataBound="0" tableColumnId="14781"/>
      <queryTableField id="1612" dataBound="0" tableColumnId="14782"/>
      <queryTableField id="1611" dataBound="0" tableColumnId="14783"/>
      <queryTableField id="1610" dataBound="0" tableColumnId="14784"/>
      <queryTableField id="1609" dataBound="0" tableColumnId="14785"/>
      <queryTableField id="1608" dataBound="0" tableColumnId="14786"/>
      <queryTableField id="1607" dataBound="0" tableColumnId="14787"/>
      <queryTableField id="1606" dataBound="0" tableColumnId="14788"/>
      <queryTableField id="1605" dataBound="0" tableColumnId="14789"/>
      <queryTableField id="1604" dataBound="0" tableColumnId="14790"/>
      <queryTableField id="1603" dataBound="0" tableColumnId="14791"/>
      <queryTableField id="1602" dataBound="0" tableColumnId="14792"/>
      <queryTableField id="1601" dataBound="0" tableColumnId="14793"/>
      <queryTableField id="1600" dataBound="0" tableColumnId="14794"/>
      <queryTableField id="1599" dataBound="0" tableColumnId="14795"/>
      <queryTableField id="1598" dataBound="0" tableColumnId="14796"/>
      <queryTableField id="1597" dataBound="0" tableColumnId="14797"/>
      <queryTableField id="1596" dataBound="0" tableColumnId="14798"/>
      <queryTableField id="1595" dataBound="0" tableColumnId="14799"/>
      <queryTableField id="1594" dataBound="0" tableColumnId="14800"/>
      <queryTableField id="1593" dataBound="0" tableColumnId="14801"/>
      <queryTableField id="1592" dataBound="0" tableColumnId="14802"/>
      <queryTableField id="1591" dataBound="0" tableColumnId="14803"/>
      <queryTableField id="1590" dataBound="0" tableColumnId="14804"/>
      <queryTableField id="1589" dataBound="0" tableColumnId="14805"/>
      <queryTableField id="1588" dataBound="0" tableColumnId="14806"/>
      <queryTableField id="1587" dataBound="0" tableColumnId="14807"/>
      <queryTableField id="1586" dataBound="0" tableColumnId="14808"/>
      <queryTableField id="1585" dataBound="0" tableColumnId="14809"/>
      <queryTableField id="1584" dataBound="0" tableColumnId="14810"/>
      <queryTableField id="1583" dataBound="0" tableColumnId="14811"/>
      <queryTableField id="1582" dataBound="0" tableColumnId="14812"/>
      <queryTableField id="1581" dataBound="0" tableColumnId="14813"/>
      <queryTableField id="1580" dataBound="0" tableColumnId="14814"/>
      <queryTableField id="1579" dataBound="0" tableColumnId="14815"/>
      <queryTableField id="1578" dataBound="0" tableColumnId="14816"/>
      <queryTableField id="1577" dataBound="0" tableColumnId="14817"/>
      <queryTableField id="1576" dataBound="0" tableColumnId="14818"/>
      <queryTableField id="1575" dataBound="0" tableColumnId="14819"/>
      <queryTableField id="1574" dataBound="0" tableColumnId="14820"/>
      <queryTableField id="1573" dataBound="0" tableColumnId="14821"/>
      <queryTableField id="1572" dataBound="0" tableColumnId="14822"/>
      <queryTableField id="1571" dataBound="0" tableColumnId="14823"/>
      <queryTableField id="1570" dataBound="0" tableColumnId="14824"/>
      <queryTableField id="1569" dataBound="0" tableColumnId="14825"/>
      <queryTableField id="1568" dataBound="0" tableColumnId="14826"/>
      <queryTableField id="1567" dataBound="0" tableColumnId="14827"/>
      <queryTableField id="1566" dataBound="0" tableColumnId="14828"/>
      <queryTableField id="1565" dataBound="0" tableColumnId="14829"/>
      <queryTableField id="1564" dataBound="0" tableColumnId="14830"/>
      <queryTableField id="1563" dataBound="0" tableColumnId="14831"/>
      <queryTableField id="1562" dataBound="0" tableColumnId="14832"/>
      <queryTableField id="1561" dataBound="0" tableColumnId="14833"/>
      <queryTableField id="1560" dataBound="0" tableColumnId="14834"/>
      <queryTableField id="1559" dataBound="0" tableColumnId="14835"/>
      <queryTableField id="1558" dataBound="0" tableColumnId="14836"/>
      <queryTableField id="1557" dataBound="0" tableColumnId="14837"/>
      <queryTableField id="1556" dataBound="0" tableColumnId="14838"/>
      <queryTableField id="1555" dataBound="0" tableColumnId="14839"/>
      <queryTableField id="1554" dataBound="0" tableColumnId="14840"/>
      <queryTableField id="1553" dataBound="0" tableColumnId="14841"/>
      <queryTableField id="1552" dataBound="0" tableColumnId="14842"/>
      <queryTableField id="1551" dataBound="0" tableColumnId="14843"/>
      <queryTableField id="1550" dataBound="0" tableColumnId="14844"/>
      <queryTableField id="1549" dataBound="0" tableColumnId="14845"/>
      <queryTableField id="1548" dataBound="0" tableColumnId="14846"/>
      <queryTableField id="1547" dataBound="0" tableColumnId="14847"/>
      <queryTableField id="1546" dataBound="0" tableColumnId="14848"/>
      <queryTableField id="1545" dataBound="0" tableColumnId="14849"/>
      <queryTableField id="1544" dataBound="0" tableColumnId="14850"/>
      <queryTableField id="1543" dataBound="0" tableColumnId="14851"/>
      <queryTableField id="1542" dataBound="0" tableColumnId="14852"/>
      <queryTableField id="1541" dataBound="0" tableColumnId="14853"/>
      <queryTableField id="1540" dataBound="0" tableColumnId="14854"/>
      <queryTableField id="1539" dataBound="0" tableColumnId="14855"/>
      <queryTableField id="1538" dataBound="0" tableColumnId="14856"/>
      <queryTableField id="1537" dataBound="0" tableColumnId="14857"/>
      <queryTableField id="1536" dataBound="0" tableColumnId="14858"/>
      <queryTableField id="1535" dataBound="0" tableColumnId="14859"/>
      <queryTableField id="1534" dataBound="0" tableColumnId="14860"/>
      <queryTableField id="1533" dataBound="0" tableColumnId="14861"/>
      <queryTableField id="1532" dataBound="0" tableColumnId="14862"/>
      <queryTableField id="1531" dataBound="0" tableColumnId="14863"/>
      <queryTableField id="1530" dataBound="0" tableColumnId="14864"/>
      <queryTableField id="1529" dataBound="0" tableColumnId="14865"/>
      <queryTableField id="1528" dataBound="0" tableColumnId="14866"/>
      <queryTableField id="1527" dataBound="0" tableColumnId="14867"/>
      <queryTableField id="1526" dataBound="0" tableColumnId="14868"/>
      <queryTableField id="1525" dataBound="0" tableColumnId="14869"/>
      <queryTableField id="1524" dataBound="0" tableColumnId="14870"/>
      <queryTableField id="1523" dataBound="0" tableColumnId="14871"/>
      <queryTableField id="1522" dataBound="0" tableColumnId="14872"/>
      <queryTableField id="1521" dataBound="0" tableColumnId="14873"/>
      <queryTableField id="1520" dataBound="0" tableColumnId="14874"/>
      <queryTableField id="1519" dataBound="0" tableColumnId="14875"/>
      <queryTableField id="1518" dataBound="0" tableColumnId="14876"/>
      <queryTableField id="1517" dataBound="0" tableColumnId="14877"/>
      <queryTableField id="1516" dataBound="0" tableColumnId="14878"/>
      <queryTableField id="1515" dataBound="0" tableColumnId="14879"/>
      <queryTableField id="1514" dataBound="0" tableColumnId="14880"/>
      <queryTableField id="1513" dataBound="0" tableColumnId="14881"/>
      <queryTableField id="1512" dataBound="0" tableColumnId="14882"/>
      <queryTableField id="1511" dataBound="0" tableColumnId="14883"/>
      <queryTableField id="1510" dataBound="0" tableColumnId="14884"/>
      <queryTableField id="1509" dataBound="0" tableColumnId="14885"/>
      <queryTableField id="1508" dataBound="0" tableColumnId="14886"/>
      <queryTableField id="1507" dataBound="0" tableColumnId="14887"/>
      <queryTableField id="1506" dataBound="0" tableColumnId="14888"/>
      <queryTableField id="1505" dataBound="0" tableColumnId="14889"/>
      <queryTableField id="1504" dataBound="0" tableColumnId="14890"/>
      <queryTableField id="1503" dataBound="0" tableColumnId="14891"/>
      <queryTableField id="1502" dataBound="0" tableColumnId="14892"/>
      <queryTableField id="1501" dataBound="0" tableColumnId="14893"/>
      <queryTableField id="1500" dataBound="0" tableColumnId="14894"/>
      <queryTableField id="1499" dataBound="0" tableColumnId="14895"/>
      <queryTableField id="1498" dataBound="0" tableColumnId="14896"/>
      <queryTableField id="1497" dataBound="0" tableColumnId="14897"/>
      <queryTableField id="1496" dataBound="0" tableColumnId="14898"/>
      <queryTableField id="1495" dataBound="0" tableColumnId="14899"/>
      <queryTableField id="1494" dataBound="0" tableColumnId="14900"/>
      <queryTableField id="1493" dataBound="0" tableColumnId="14901"/>
      <queryTableField id="1492" dataBound="0" tableColumnId="14902"/>
      <queryTableField id="1491" dataBound="0" tableColumnId="14903"/>
      <queryTableField id="1490" dataBound="0" tableColumnId="14904"/>
      <queryTableField id="1489" dataBound="0" tableColumnId="14905"/>
      <queryTableField id="1488" dataBound="0" tableColumnId="14906"/>
      <queryTableField id="1487" dataBound="0" tableColumnId="14907"/>
      <queryTableField id="1486" dataBound="0" tableColumnId="14908"/>
      <queryTableField id="1485" dataBound="0" tableColumnId="14909"/>
      <queryTableField id="1484" dataBound="0" tableColumnId="14910"/>
      <queryTableField id="1483" dataBound="0" tableColumnId="14911"/>
      <queryTableField id="1482" dataBound="0" tableColumnId="14912"/>
      <queryTableField id="1481" dataBound="0" tableColumnId="14913"/>
      <queryTableField id="1480" dataBound="0" tableColumnId="14914"/>
      <queryTableField id="1479" dataBound="0" tableColumnId="14915"/>
      <queryTableField id="1478" dataBound="0" tableColumnId="14916"/>
      <queryTableField id="1477" dataBound="0" tableColumnId="14917"/>
      <queryTableField id="1476" dataBound="0" tableColumnId="14918"/>
      <queryTableField id="1475" dataBound="0" tableColumnId="14919"/>
      <queryTableField id="1474" dataBound="0" tableColumnId="14920"/>
      <queryTableField id="1473" dataBound="0" tableColumnId="14921"/>
      <queryTableField id="1472" dataBound="0" tableColumnId="14922"/>
      <queryTableField id="1471" dataBound="0" tableColumnId="14923"/>
      <queryTableField id="1470" dataBound="0" tableColumnId="14924"/>
      <queryTableField id="1469" dataBound="0" tableColumnId="14925"/>
      <queryTableField id="1468" dataBound="0" tableColumnId="14926"/>
      <queryTableField id="1467" dataBound="0" tableColumnId="14927"/>
      <queryTableField id="1466" dataBound="0" tableColumnId="14928"/>
      <queryTableField id="1465" dataBound="0" tableColumnId="14929"/>
      <queryTableField id="1464" dataBound="0" tableColumnId="14930"/>
      <queryTableField id="1463" dataBound="0" tableColumnId="14931"/>
      <queryTableField id="1462" dataBound="0" tableColumnId="14932"/>
      <queryTableField id="1461" dataBound="0" tableColumnId="14933"/>
      <queryTableField id="1460" dataBound="0" tableColumnId="14934"/>
      <queryTableField id="1459" dataBound="0" tableColumnId="14935"/>
      <queryTableField id="1458" dataBound="0" tableColumnId="14936"/>
      <queryTableField id="1457" dataBound="0" tableColumnId="14937"/>
      <queryTableField id="1456" dataBound="0" tableColumnId="14938"/>
      <queryTableField id="1455" dataBound="0" tableColumnId="14939"/>
      <queryTableField id="1454" dataBound="0" tableColumnId="14940"/>
      <queryTableField id="1453" dataBound="0" tableColumnId="14941"/>
      <queryTableField id="1452" dataBound="0" tableColumnId="14942"/>
      <queryTableField id="1451" dataBound="0" tableColumnId="14943"/>
      <queryTableField id="1450" dataBound="0" tableColumnId="14944"/>
      <queryTableField id="1449" dataBound="0" tableColumnId="14945"/>
      <queryTableField id="1448" dataBound="0" tableColumnId="14946"/>
      <queryTableField id="1447" dataBound="0" tableColumnId="14947"/>
      <queryTableField id="1446" dataBound="0" tableColumnId="14948"/>
      <queryTableField id="1445" dataBound="0" tableColumnId="14949"/>
      <queryTableField id="1444" dataBound="0" tableColumnId="14950"/>
      <queryTableField id="1443" dataBound="0" tableColumnId="14951"/>
      <queryTableField id="1442" dataBound="0" tableColumnId="14952"/>
      <queryTableField id="1441" dataBound="0" tableColumnId="14953"/>
      <queryTableField id="1440" dataBound="0" tableColumnId="14954"/>
      <queryTableField id="1439" dataBound="0" tableColumnId="14955"/>
      <queryTableField id="1438" dataBound="0" tableColumnId="14956"/>
      <queryTableField id="1437" dataBound="0" tableColumnId="14957"/>
      <queryTableField id="1436" dataBound="0" tableColumnId="14958"/>
      <queryTableField id="1435" dataBound="0" tableColumnId="14959"/>
      <queryTableField id="1434" dataBound="0" tableColumnId="14960"/>
      <queryTableField id="1433" dataBound="0" tableColumnId="14961"/>
      <queryTableField id="1432" dataBound="0" tableColumnId="14962"/>
      <queryTableField id="1431" dataBound="0" tableColumnId="14963"/>
      <queryTableField id="1430" dataBound="0" tableColumnId="14964"/>
      <queryTableField id="1429" dataBound="0" tableColumnId="14965"/>
      <queryTableField id="1428" dataBound="0" tableColumnId="14966"/>
      <queryTableField id="1427" dataBound="0" tableColumnId="14967"/>
      <queryTableField id="1426" dataBound="0" tableColumnId="14968"/>
      <queryTableField id="1425" dataBound="0" tableColumnId="14969"/>
      <queryTableField id="1424" dataBound="0" tableColumnId="14970"/>
      <queryTableField id="1423" dataBound="0" tableColumnId="14971"/>
      <queryTableField id="1422" dataBound="0" tableColumnId="14972"/>
      <queryTableField id="1421" dataBound="0" tableColumnId="14973"/>
      <queryTableField id="1420" dataBound="0" tableColumnId="14974"/>
      <queryTableField id="1419" dataBound="0" tableColumnId="14975"/>
      <queryTableField id="1418" dataBound="0" tableColumnId="14976"/>
      <queryTableField id="1417" dataBound="0" tableColumnId="14977"/>
      <queryTableField id="1416" dataBound="0" tableColumnId="14978"/>
      <queryTableField id="1415" dataBound="0" tableColumnId="14979"/>
      <queryTableField id="1414" dataBound="0" tableColumnId="14980"/>
      <queryTableField id="1413" dataBound="0" tableColumnId="14981"/>
      <queryTableField id="1412" dataBound="0" tableColumnId="14982"/>
      <queryTableField id="1411" dataBound="0" tableColumnId="14983"/>
      <queryTableField id="1410" dataBound="0" tableColumnId="14984"/>
      <queryTableField id="1409" dataBound="0" tableColumnId="14985"/>
      <queryTableField id="1408" dataBound="0" tableColumnId="14986"/>
      <queryTableField id="1407" dataBound="0" tableColumnId="14987"/>
      <queryTableField id="1406" dataBound="0" tableColumnId="14988"/>
      <queryTableField id="1405" dataBound="0" tableColumnId="14989"/>
      <queryTableField id="1404" dataBound="0" tableColumnId="14990"/>
      <queryTableField id="1403" dataBound="0" tableColumnId="14991"/>
      <queryTableField id="1402" dataBound="0" tableColumnId="14992"/>
      <queryTableField id="1401" dataBound="0" tableColumnId="14993"/>
      <queryTableField id="1400" dataBound="0" tableColumnId="14994"/>
      <queryTableField id="1399" dataBound="0" tableColumnId="14995"/>
      <queryTableField id="1398" dataBound="0" tableColumnId="14996"/>
      <queryTableField id="1397" dataBound="0" tableColumnId="14997"/>
      <queryTableField id="1396" dataBound="0" tableColumnId="14998"/>
      <queryTableField id="1395" dataBound="0" tableColumnId="14999"/>
      <queryTableField id="1394" dataBound="0" tableColumnId="15000"/>
      <queryTableField id="1393" dataBound="0" tableColumnId="15001"/>
      <queryTableField id="1392" dataBound="0" tableColumnId="15002"/>
      <queryTableField id="1391" dataBound="0" tableColumnId="15003"/>
      <queryTableField id="1390" dataBound="0" tableColumnId="15004"/>
      <queryTableField id="1389" dataBound="0" tableColumnId="15005"/>
      <queryTableField id="1388" dataBound="0" tableColumnId="15006"/>
      <queryTableField id="1387" dataBound="0" tableColumnId="15007"/>
      <queryTableField id="1386" dataBound="0" tableColumnId="15008"/>
      <queryTableField id="1385" dataBound="0" tableColumnId="15009"/>
      <queryTableField id="1384" dataBound="0" tableColumnId="15010"/>
      <queryTableField id="1383" dataBound="0" tableColumnId="15011"/>
      <queryTableField id="1382" dataBound="0" tableColumnId="15012"/>
      <queryTableField id="1381" dataBound="0" tableColumnId="15013"/>
      <queryTableField id="1380" dataBound="0" tableColumnId="15014"/>
      <queryTableField id="1379" dataBound="0" tableColumnId="15015"/>
      <queryTableField id="1378" dataBound="0" tableColumnId="15016"/>
      <queryTableField id="1377" dataBound="0" tableColumnId="15017"/>
      <queryTableField id="1376" dataBound="0" tableColumnId="15018"/>
      <queryTableField id="1375" dataBound="0" tableColumnId="15019"/>
      <queryTableField id="1374" dataBound="0" tableColumnId="15020"/>
      <queryTableField id="1373" dataBound="0" tableColumnId="15021"/>
      <queryTableField id="1372" dataBound="0" tableColumnId="15022"/>
      <queryTableField id="1371" dataBound="0" tableColumnId="15023"/>
      <queryTableField id="1370" dataBound="0" tableColumnId="15024"/>
      <queryTableField id="1369" dataBound="0" tableColumnId="15025"/>
      <queryTableField id="1368" dataBound="0" tableColumnId="15026"/>
      <queryTableField id="1367" dataBound="0" tableColumnId="15027"/>
      <queryTableField id="1366" dataBound="0" tableColumnId="15028"/>
      <queryTableField id="1365" dataBound="0" tableColumnId="15029"/>
      <queryTableField id="1364" dataBound="0" tableColumnId="15030"/>
      <queryTableField id="1363" dataBound="0" tableColumnId="15031"/>
      <queryTableField id="1362" dataBound="0" tableColumnId="15032"/>
      <queryTableField id="1361" dataBound="0" tableColumnId="15033"/>
      <queryTableField id="1360" dataBound="0" tableColumnId="15034"/>
      <queryTableField id="1359" dataBound="0" tableColumnId="15035"/>
      <queryTableField id="1358" dataBound="0" tableColumnId="15036"/>
      <queryTableField id="1357" dataBound="0" tableColumnId="15037"/>
      <queryTableField id="1356" dataBound="0" tableColumnId="15038"/>
      <queryTableField id="1355" dataBound="0" tableColumnId="15039"/>
      <queryTableField id="1354" dataBound="0" tableColumnId="15040"/>
      <queryTableField id="1353" dataBound="0" tableColumnId="15041"/>
      <queryTableField id="1352" dataBound="0" tableColumnId="15042"/>
      <queryTableField id="1351" dataBound="0" tableColumnId="15043"/>
      <queryTableField id="1350" dataBound="0" tableColumnId="15044"/>
      <queryTableField id="1349" dataBound="0" tableColumnId="15045"/>
      <queryTableField id="1348" dataBound="0" tableColumnId="15046"/>
      <queryTableField id="1347" dataBound="0" tableColumnId="15047"/>
      <queryTableField id="1346" dataBound="0" tableColumnId="15048"/>
      <queryTableField id="1345" dataBound="0" tableColumnId="15049"/>
      <queryTableField id="1344" dataBound="0" tableColumnId="15050"/>
      <queryTableField id="1343" dataBound="0" tableColumnId="15051"/>
      <queryTableField id="1342" dataBound="0" tableColumnId="15052"/>
      <queryTableField id="1341" dataBound="0" tableColumnId="15053"/>
      <queryTableField id="1340" dataBound="0" tableColumnId="15054"/>
      <queryTableField id="1339" dataBound="0" tableColumnId="15055"/>
      <queryTableField id="1338" dataBound="0" tableColumnId="15056"/>
      <queryTableField id="1337" dataBound="0" tableColumnId="15057"/>
      <queryTableField id="1336" dataBound="0" tableColumnId="15058"/>
      <queryTableField id="1335" dataBound="0" tableColumnId="15059"/>
      <queryTableField id="1334" dataBound="0" tableColumnId="15060"/>
      <queryTableField id="1333" dataBound="0" tableColumnId="15061"/>
      <queryTableField id="1332" dataBound="0" tableColumnId="15062"/>
      <queryTableField id="1331" dataBound="0" tableColumnId="15063"/>
      <queryTableField id="1330" dataBound="0" tableColumnId="15064"/>
      <queryTableField id="1329" dataBound="0" tableColumnId="15065"/>
      <queryTableField id="1328" dataBound="0" tableColumnId="15066"/>
      <queryTableField id="1327" dataBound="0" tableColumnId="15067"/>
      <queryTableField id="1326" dataBound="0" tableColumnId="15068"/>
      <queryTableField id="1325" dataBound="0" tableColumnId="15069"/>
      <queryTableField id="1324" dataBound="0" tableColumnId="15070"/>
      <queryTableField id="1323" dataBound="0" tableColumnId="15071"/>
      <queryTableField id="1322" dataBound="0" tableColumnId="15072"/>
      <queryTableField id="1321" dataBound="0" tableColumnId="15073"/>
      <queryTableField id="1320" dataBound="0" tableColumnId="15074"/>
      <queryTableField id="1319" dataBound="0" tableColumnId="15075"/>
      <queryTableField id="1318" dataBound="0" tableColumnId="15076"/>
      <queryTableField id="1317" dataBound="0" tableColumnId="15077"/>
      <queryTableField id="1316" dataBound="0" tableColumnId="15078"/>
      <queryTableField id="1315" dataBound="0" tableColumnId="15079"/>
      <queryTableField id="1314" dataBound="0" tableColumnId="15080"/>
      <queryTableField id="1313" dataBound="0" tableColumnId="15081"/>
      <queryTableField id="1312" dataBound="0" tableColumnId="15082"/>
      <queryTableField id="1311" dataBound="0" tableColumnId="15083"/>
      <queryTableField id="1310" dataBound="0" tableColumnId="15084"/>
      <queryTableField id="1309" dataBound="0" tableColumnId="15085"/>
      <queryTableField id="1308" dataBound="0" tableColumnId="15086"/>
      <queryTableField id="1307" dataBound="0" tableColumnId="15087"/>
      <queryTableField id="1306" dataBound="0" tableColumnId="15088"/>
      <queryTableField id="1305" dataBound="0" tableColumnId="15089"/>
      <queryTableField id="1304" dataBound="0" tableColumnId="15090"/>
      <queryTableField id="1303" dataBound="0" tableColumnId="15091"/>
      <queryTableField id="1302" dataBound="0" tableColumnId="15092"/>
      <queryTableField id="1301" dataBound="0" tableColumnId="15093"/>
      <queryTableField id="1300" dataBound="0" tableColumnId="15094"/>
      <queryTableField id="1299" dataBound="0" tableColumnId="15095"/>
      <queryTableField id="1298" dataBound="0" tableColumnId="15096"/>
      <queryTableField id="1297" dataBound="0" tableColumnId="15097"/>
      <queryTableField id="1296" dataBound="0" tableColumnId="15098"/>
      <queryTableField id="1295" dataBound="0" tableColumnId="15099"/>
      <queryTableField id="1294" dataBound="0" tableColumnId="15100"/>
      <queryTableField id="1293" dataBound="0" tableColumnId="15101"/>
      <queryTableField id="1292" dataBound="0" tableColumnId="15102"/>
      <queryTableField id="1291" dataBound="0" tableColumnId="15103"/>
      <queryTableField id="1290" dataBound="0" tableColumnId="15104"/>
      <queryTableField id="1289" dataBound="0" tableColumnId="15105"/>
      <queryTableField id="1288" dataBound="0" tableColumnId="15106"/>
      <queryTableField id="1287" dataBound="0" tableColumnId="15107"/>
      <queryTableField id="1286" dataBound="0" tableColumnId="15108"/>
      <queryTableField id="1285" dataBound="0" tableColumnId="15109"/>
      <queryTableField id="1284" dataBound="0" tableColumnId="15110"/>
      <queryTableField id="1283" dataBound="0" tableColumnId="15111"/>
      <queryTableField id="1282" dataBound="0" tableColumnId="15112"/>
      <queryTableField id="1281" dataBound="0" tableColumnId="15113"/>
      <queryTableField id="1280" dataBound="0" tableColumnId="15114"/>
      <queryTableField id="1279" dataBound="0" tableColumnId="15115"/>
      <queryTableField id="1278" dataBound="0" tableColumnId="15116"/>
      <queryTableField id="1277" dataBound="0" tableColumnId="15117"/>
      <queryTableField id="1276" dataBound="0" tableColumnId="15118"/>
      <queryTableField id="1275" dataBound="0" tableColumnId="15119"/>
      <queryTableField id="1274" dataBound="0" tableColumnId="15120"/>
      <queryTableField id="1273" dataBound="0" tableColumnId="15121"/>
      <queryTableField id="1272" dataBound="0" tableColumnId="15122"/>
      <queryTableField id="1271" dataBound="0" tableColumnId="15123"/>
      <queryTableField id="1270" dataBound="0" tableColumnId="15124"/>
      <queryTableField id="1269" dataBound="0" tableColumnId="15125"/>
      <queryTableField id="1268" dataBound="0" tableColumnId="15126"/>
      <queryTableField id="1267" dataBound="0" tableColumnId="15127"/>
      <queryTableField id="1266" dataBound="0" tableColumnId="15128"/>
      <queryTableField id="1265" dataBound="0" tableColumnId="15129"/>
      <queryTableField id="1264" dataBound="0" tableColumnId="15130"/>
      <queryTableField id="1263" dataBound="0" tableColumnId="15131"/>
      <queryTableField id="1262" dataBound="0" tableColumnId="15132"/>
      <queryTableField id="1261" dataBound="0" tableColumnId="15133"/>
      <queryTableField id="1260" dataBound="0" tableColumnId="15134"/>
      <queryTableField id="1259" dataBound="0" tableColumnId="15135"/>
      <queryTableField id="1258" dataBound="0" tableColumnId="15136"/>
      <queryTableField id="1257" dataBound="0" tableColumnId="15137"/>
      <queryTableField id="1256" dataBound="0" tableColumnId="15138"/>
      <queryTableField id="1255" dataBound="0" tableColumnId="15139"/>
      <queryTableField id="1254" dataBound="0" tableColumnId="15140"/>
      <queryTableField id="1253" dataBound="0" tableColumnId="15141"/>
      <queryTableField id="1252" dataBound="0" tableColumnId="15142"/>
      <queryTableField id="1251" dataBound="0" tableColumnId="15143"/>
      <queryTableField id="1250" dataBound="0" tableColumnId="15144"/>
      <queryTableField id="1249" dataBound="0" tableColumnId="15145"/>
      <queryTableField id="1248" dataBound="0" tableColumnId="15146"/>
      <queryTableField id="1247" dataBound="0" tableColumnId="15147"/>
      <queryTableField id="1246" dataBound="0" tableColumnId="15148"/>
      <queryTableField id="1245" dataBound="0" tableColumnId="15149"/>
      <queryTableField id="1244" dataBound="0" tableColumnId="15150"/>
      <queryTableField id="1243" dataBound="0" tableColumnId="15151"/>
      <queryTableField id="1242" dataBound="0" tableColumnId="15152"/>
      <queryTableField id="1241" dataBound="0" tableColumnId="15153"/>
      <queryTableField id="1240" dataBound="0" tableColumnId="15154"/>
      <queryTableField id="1239" dataBound="0" tableColumnId="15155"/>
      <queryTableField id="1238" dataBound="0" tableColumnId="15156"/>
      <queryTableField id="1237" dataBound="0" tableColumnId="15157"/>
      <queryTableField id="1236" dataBound="0" tableColumnId="15158"/>
      <queryTableField id="1235" dataBound="0" tableColumnId="15159"/>
      <queryTableField id="1234" dataBound="0" tableColumnId="15160"/>
      <queryTableField id="1233" dataBound="0" tableColumnId="15161"/>
      <queryTableField id="1232" dataBound="0" tableColumnId="15162"/>
      <queryTableField id="1231" dataBound="0" tableColumnId="15163"/>
      <queryTableField id="1230" dataBound="0" tableColumnId="15164"/>
      <queryTableField id="1229" dataBound="0" tableColumnId="15165"/>
      <queryTableField id="1228" dataBound="0" tableColumnId="15166"/>
      <queryTableField id="1227" dataBound="0" tableColumnId="15167"/>
      <queryTableField id="1226" dataBound="0" tableColumnId="15168"/>
      <queryTableField id="1225" dataBound="0" tableColumnId="15169"/>
      <queryTableField id="1224" dataBound="0" tableColumnId="15170"/>
      <queryTableField id="1223" dataBound="0" tableColumnId="15171"/>
      <queryTableField id="1222" dataBound="0" tableColumnId="15172"/>
      <queryTableField id="1221" dataBound="0" tableColumnId="15173"/>
      <queryTableField id="1220" dataBound="0" tableColumnId="15174"/>
      <queryTableField id="1219" dataBound="0" tableColumnId="15175"/>
      <queryTableField id="1218" dataBound="0" tableColumnId="15176"/>
      <queryTableField id="1217" dataBound="0" tableColumnId="15177"/>
      <queryTableField id="1216" dataBound="0" tableColumnId="15178"/>
      <queryTableField id="1215" dataBound="0" tableColumnId="15179"/>
      <queryTableField id="1214" dataBound="0" tableColumnId="15180"/>
      <queryTableField id="1213" dataBound="0" tableColumnId="15181"/>
      <queryTableField id="1212" dataBound="0" tableColumnId="15182"/>
      <queryTableField id="1211" dataBound="0" tableColumnId="15183"/>
      <queryTableField id="1210" dataBound="0" tableColumnId="15184"/>
      <queryTableField id="1209" dataBound="0" tableColumnId="15185"/>
      <queryTableField id="1208" dataBound="0" tableColumnId="15186"/>
      <queryTableField id="1207" dataBound="0" tableColumnId="15187"/>
      <queryTableField id="1206" dataBound="0" tableColumnId="15188"/>
      <queryTableField id="1205" dataBound="0" tableColumnId="15189"/>
      <queryTableField id="1204" dataBound="0" tableColumnId="15190"/>
      <queryTableField id="1203" dataBound="0" tableColumnId="15191"/>
      <queryTableField id="1202" dataBound="0" tableColumnId="15192"/>
      <queryTableField id="1201" dataBound="0" tableColumnId="15193"/>
      <queryTableField id="1200" dataBound="0" tableColumnId="15194"/>
      <queryTableField id="1199" dataBound="0" tableColumnId="15195"/>
      <queryTableField id="1198" dataBound="0" tableColumnId="15196"/>
      <queryTableField id="1197" dataBound="0" tableColumnId="15197"/>
      <queryTableField id="1196" dataBound="0" tableColumnId="15198"/>
      <queryTableField id="1195" dataBound="0" tableColumnId="15199"/>
      <queryTableField id="1194" dataBound="0" tableColumnId="15200"/>
      <queryTableField id="1193" dataBound="0" tableColumnId="15201"/>
      <queryTableField id="1192" dataBound="0" tableColumnId="15202"/>
      <queryTableField id="1191" dataBound="0" tableColumnId="15203"/>
      <queryTableField id="1190" dataBound="0" tableColumnId="15204"/>
      <queryTableField id="1189" dataBound="0" tableColumnId="15205"/>
      <queryTableField id="1188" dataBound="0" tableColumnId="15206"/>
      <queryTableField id="1187" dataBound="0" tableColumnId="15207"/>
      <queryTableField id="1186" dataBound="0" tableColumnId="15208"/>
      <queryTableField id="1185" dataBound="0" tableColumnId="15209"/>
      <queryTableField id="1184" dataBound="0" tableColumnId="15210"/>
      <queryTableField id="1183" dataBound="0" tableColumnId="15211"/>
      <queryTableField id="1182" dataBound="0" tableColumnId="15212"/>
      <queryTableField id="1181" dataBound="0" tableColumnId="15213"/>
      <queryTableField id="1180" dataBound="0" tableColumnId="15214"/>
      <queryTableField id="1179" dataBound="0" tableColumnId="15215"/>
      <queryTableField id="1178" dataBound="0" tableColumnId="15216"/>
      <queryTableField id="1177" dataBound="0" tableColumnId="15217"/>
      <queryTableField id="1176" dataBound="0" tableColumnId="15218"/>
      <queryTableField id="1175" dataBound="0" tableColumnId="15219"/>
      <queryTableField id="1174" dataBound="0" tableColumnId="15220"/>
      <queryTableField id="1173" dataBound="0" tableColumnId="15221"/>
      <queryTableField id="1172" dataBound="0" tableColumnId="15222"/>
      <queryTableField id="1171" dataBound="0" tableColumnId="15223"/>
      <queryTableField id="1170" dataBound="0" tableColumnId="15224"/>
      <queryTableField id="1169" dataBound="0" tableColumnId="15225"/>
      <queryTableField id="1168" dataBound="0" tableColumnId="15226"/>
      <queryTableField id="1167" dataBound="0" tableColumnId="15227"/>
      <queryTableField id="1166" dataBound="0" tableColumnId="15228"/>
      <queryTableField id="1165" dataBound="0" tableColumnId="15229"/>
      <queryTableField id="1164" dataBound="0" tableColumnId="15230"/>
      <queryTableField id="1163" dataBound="0" tableColumnId="15231"/>
      <queryTableField id="1162" dataBound="0" tableColumnId="15232"/>
      <queryTableField id="1161" dataBound="0" tableColumnId="15233"/>
      <queryTableField id="1160" dataBound="0" tableColumnId="15234"/>
      <queryTableField id="1159" dataBound="0" tableColumnId="15235"/>
      <queryTableField id="1158" dataBound="0" tableColumnId="15236"/>
      <queryTableField id="1157" dataBound="0" tableColumnId="15237"/>
      <queryTableField id="1156" dataBound="0" tableColumnId="15238"/>
      <queryTableField id="1155" dataBound="0" tableColumnId="15239"/>
      <queryTableField id="1154" dataBound="0" tableColumnId="15240"/>
      <queryTableField id="1153" dataBound="0" tableColumnId="15241"/>
      <queryTableField id="1152" dataBound="0" tableColumnId="15242"/>
      <queryTableField id="1151" dataBound="0" tableColumnId="15243"/>
      <queryTableField id="1150" dataBound="0" tableColumnId="15244"/>
      <queryTableField id="1149" dataBound="0" tableColumnId="15245"/>
      <queryTableField id="1148" dataBound="0" tableColumnId="15246"/>
      <queryTableField id="1147" dataBound="0" tableColumnId="15247"/>
      <queryTableField id="1146" dataBound="0" tableColumnId="15248"/>
      <queryTableField id="1145" dataBound="0" tableColumnId="15249"/>
      <queryTableField id="1144" dataBound="0" tableColumnId="15250"/>
      <queryTableField id="1143" dataBound="0" tableColumnId="15251"/>
      <queryTableField id="1142" dataBound="0" tableColumnId="15252"/>
      <queryTableField id="1141" dataBound="0" tableColumnId="15253"/>
      <queryTableField id="1140" dataBound="0" tableColumnId="15254"/>
      <queryTableField id="1139" dataBound="0" tableColumnId="15255"/>
      <queryTableField id="1138" dataBound="0" tableColumnId="15256"/>
      <queryTableField id="1137" dataBound="0" tableColumnId="15257"/>
      <queryTableField id="1136" dataBound="0" tableColumnId="15258"/>
      <queryTableField id="1135" dataBound="0" tableColumnId="15259"/>
      <queryTableField id="1134" dataBound="0" tableColumnId="15260"/>
      <queryTableField id="1133" dataBound="0" tableColumnId="15261"/>
      <queryTableField id="1132" dataBound="0" tableColumnId="15262"/>
      <queryTableField id="1131" dataBound="0" tableColumnId="15263"/>
      <queryTableField id="1130" dataBound="0" tableColumnId="15264"/>
      <queryTableField id="1129" dataBound="0" tableColumnId="15265"/>
      <queryTableField id="1128" dataBound="0" tableColumnId="15266"/>
      <queryTableField id="1127" dataBound="0" tableColumnId="15267"/>
      <queryTableField id="1126" dataBound="0" tableColumnId="15268"/>
      <queryTableField id="1125" dataBound="0" tableColumnId="15269"/>
      <queryTableField id="1124" dataBound="0" tableColumnId="15270"/>
      <queryTableField id="1123" dataBound="0" tableColumnId="15271"/>
      <queryTableField id="1122" dataBound="0" tableColumnId="15272"/>
      <queryTableField id="1121" dataBound="0" tableColumnId="15273"/>
      <queryTableField id="1120" dataBound="0" tableColumnId="15274"/>
      <queryTableField id="1119" dataBound="0" tableColumnId="15275"/>
      <queryTableField id="1118" dataBound="0" tableColumnId="15276"/>
      <queryTableField id="1117" dataBound="0" tableColumnId="15277"/>
      <queryTableField id="1116" dataBound="0" tableColumnId="15278"/>
      <queryTableField id="1115" dataBound="0" tableColumnId="15279"/>
      <queryTableField id="1114" dataBound="0" tableColumnId="15280"/>
      <queryTableField id="1113" dataBound="0" tableColumnId="15281"/>
      <queryTableField id="1112" dataBound="0" tableColumnId="15282"/>
      <queryTableField id="1111" dataBound="0" tableColumnId="15283"/>
      <queryTableField id="1110" dataBound="0" tableColumnId="15284"/>
      <queryTableField id="1109" dataBound="0" tableColumnId="15285"/>
      <queryTableField id="1108" dataBound="0" tableColumnId="15286"/>
      <queryTableField id="1107" dataBound="0" tableColumnId="15287"/>
      <queryTableField id="1106" dataBound="0" tableColumnId="15288"/>
      <queryTableField id="1105" dataBound="0" tableColumnId="15289"/>
      <queryTableField id="1104" dataBound="0" tableColumnId="15290"/>
      <queryTableField id="1103" dataBound="0" tableColumnId="15291"/>
      <queryTableField id="1102" dataBound="0" tableColumnId="15292"/>
      <queryTableField id="1101" dataBound="0" tableColumnId="15293"/>
      <queryTableField id="1100" dataBound="0" tableColumnId="15294"/>
      <queryTableField id="1099" dataBound="0" tableColumnId="15295"/>
      <queryTableField id="1098" dataBound="0" tableColumnId="15296"/>
      <queryTableField id="1097" dataBound="0" tableColumnId="15297"/>
      <queryTableField id="1096" dataBound="0" tableColumnId="15298"/>
      <queryTableField id="1095" dataBound="0" tableColumnId="15299"/>
      <queryTableField id="1094" dataBound="0" tableColumnId="15300"/>
      <queryTableField id="1093" dataBound="0" tableColumnId="15301"/>
      <queryTableField id="1092" dataBound="0" tableColumnId="15302"/>
      <queryTableField id="1091" dataBound="0" tableColumnId="15303"/>
      <queryTableField id="1090" dataBound="0" tableColumnId="15304"/>
      <queryTableField id="1089" dataBound="0" tableColumnId="15305"/>
      <queryTableField id="1088" dataBound="0" tableColumnId="15306"/>
      <queryTableField id="1087" dataBound="0" tableColumnId="15307"/>
      <queryTableField id="1086" dataBound="0" tableColumnId="15308"/>
      <queryTableField id="1085" dataBound="0" tableColumnId="15309"/>
      <queryTableField id="1084" dataBound="0" tableColumnId="15310"/>
      <queryTableField id="1083" dataBound="0" tableColumnId="15311"/>
      <queryTableField id="1082" dataBound="0" tableColumnId="15312"/>
      <queryTableField id="1081" dataBound="0" tableColumnId="15313"/>
      <queryTableField id="1080" dataBound="0" tableColumnId="15314"/>
      <queryTableField id="1079" dataBound="0" tableColumnId="15315"/>
      <queryTableField id="1078" dataBound="0" tableColumnId="15316"/>
      <queryTableField id="1077" dataBound="0" tableColumnId="15317"/>
      <queryTableField id="1076" dataBound="0" tableColumnId="15318"/>
      <queryTableField id="1075" dataBound="0" tableColumnId="15319"/>
      <queryTableField id="1074" dataBound="0" tableColumnId="15320"/>
      <queryTableField id="1073" dataBound="0" tableColumnId="15321"/>
      <queryTableField id="1072" dataBound="0" tableColumnId="15322"/>
      <queryTableField id="1071" dataBound="0" tableColumnId="15323"/>
      <queryTableField id="1070" dataBound="0" tableColumnId="15324"/>
      <queryTableField id="1069" dataBound="0" tableColumnId="15325"/>
      <queryTableField id="1068" dataBound="0" tableColumnId="15326"/>
      <queryTableField id="1067" dataBound="0" tableColumnId="15327"/>
      <queryTableField id="1066" dataBound="0" tableColumnId="15328"/>
      <queryTableField id="1065" dataBound="0" tableColumnId="15329"/>
      <queryTableField id="1064" dataBound="0" tableColumnId="15330"/>
      <queryTableField id="1063" dataBound="0" tableColumnId="15331"/>
      <queryTableField id="1062" dataBound="0" tableColumnId="15332"/>
      <queryTableField id="1061" dataBound="0" tableColumnId="15333"/>
      <queryTableField id="1060" dataBound="0" tableColumnId="15334"/>
      <queryTableField id="1059" dataBound="0" tableColumnId="15335"/>
      <queryTableField id="1058" dataBound="0" tableColumnId="15336"/>
      <queryTableField id="1057" dataBound="0" tableColumnId="15337"/>
      <queryTableField id="1056" dataBound="0" tableColumnId="15338"/>
      <queryTableField id="1055" dataBound="0" tableColumnId="15339"/>
      <queryTableField id="1054" dataBound="0" tableColumnId="15340"/>
      <queryTableField id="1053" dataBound="0" tableColumnId="15341"/>
      <queryTableField id="1052" dataBound="0" tableColumnId="15342"/>
      <queryTableField id="1051" dataBound="0" tableColumnId="15343"/>
      <queryTableField id="1050" dataBound="0" tableColumnId="15344"/>
      <queryTableField id="1049" dataBound="0" tableColumnId="15345"/>
      <queryTableField id="1048" dataBound="0" tableColumnId="15346"/>
      <queryTableField id="1047" dataBound="0" tableColumnId="15347"/>
      <queryTableField id="1046" dataBound="0" tableColumnId="15348"/>
      <queryTableField id="1045" dataBound="0" tableColumnId="15349"/>
      <queryTableField id="1044" dataBound="0" tableColumnId="15350"/>
      <queryTableField id="1043" dataBound="0" tableColumnId="15351"/>
      <queryTableField id="1042" dataBound="0" tableColumnId="15352"/>
      <queryTableField id="1041" dataBound="0" tableColumnId="15353"/>
      <queryTableField id="1040" dataBound="0" tableColumnId="15354"/>
      <queryTableField id="1039" dataBound="0" tableColumnId="15355"/>
      <queryTableField id="1038" dataBound="0" tableColumnId="15356"/>
      <queryTableField id="1037" dataBound="0" tableColumnId="15357"/>
      <queryTableField id="1036" dataBound="0" tableColumnId="15358"/>
      <queryTableField id="1035" dataBound="0" tableColumnId="15359"/>
      <queryTableField id="1034" dataBound="0" tableColumnId="15360"/>
      <queryTableField id="1033" dataBound="0" tableColumnId="15361"/>
      <queryTableField id="1032" dataBound="0" tableColumnId="15362"/>
      <queryTableField id="1031" dataBound="0" tableColumnId="15363"/>
      <queryTableField id="1030" dataBound="0" tableColumnId="15364"/>
      <queryTableField id="1029" dataBound="0" tableColumnId="15365"/>
      <queryTableField id="1028" dataBound="0" tableColumnId="15366"/>
      <queryTableField id="1027" dataBound="0" tableColumnId="15367"/>
      <queryTableField id="1026" dataBound="0" tableColumnId="15368"/>
      <queryTableField id="1025" dataBound="0" tableColumnId="15369"/>
      <queryTableField id="1024" dataBound="0" tableColumnId="15370"/>
      <queryTableField id="1023" dataBound="0" tableColumnId="15371"/>
      <queryTableField id="1022" dataBound="0" tableColumnId="15372"/>
      <queryTableField id="1021" dataBound="0" tableColumnId="15373"/>
      <queryTableField id="1020" dataBound="0" tableColumnId="15374"/>
      <queryTableField id="1019" dataBound="0" tableColumnId="15375"/>
      <queryTableField id="1018" dataBound="0" tableColumnId="15376"/>
      <queryTableField id="1017" dataBound="0" tableColumnId="15377"/>
      <queryTableField id="1016" dataBound="0" tableColumnId="15378"/>
      <queryTableField id="1015" dataBound="0" tableColumnId="15379"/>
      <queryTableField id="1014" dataBound="0" tableColumnId="15380"/>
      <queryTableField id="1013" dataBound="0" tableColumnId="15381"/>
      <queryTableField id="1012" dataBound="0" tableColumnId="15382"/>
      <queryTableField id="1011" dataBound="0" tableColumnId="15383"/>
      <queryTableField id="1010" dataBound="0" tableColumnId="15384"/>
      <queryTableField id="1009" dataBound="0" tableColumnId="15385"/>
      <queryTableField id="1008" dataBound="0" tableColumnId="15386"/>
      <queryTableField id="1007" dataBound="0" tableColumnId="15387"/>
      <queryTableField id="1006" dataBound="0" tableColumnId="15388"/>
      <queryTableField id="1005" dataBound="0" tableColumnId="15389"/>
      <queryTableField id="1004" dataBound="0" tableColumnId="15390"/>
      <queryTableField id="1003" dataBound="0" tableColumnId="15391"/>
      <queryTableField id="1002" dataBound="0" tableColumnId="15392"/>
      <queryTableField id="1001" dataBound="0" tableColumnId="15393"/>
      <queryTableField id="1000" dataBound="0" tableColumnId="15394"/>
      <queryTableField id="999" dataBound="0" tableColumnId="15395"/>
      <queryTableField id="998" dataBound="0" tableColumnId="15396"/>
      <queryTableField id="997" dataBound="0" tableColumnId="15397"/>
      <queryTableField id="996" dataBound="0" tableColumnId="15398"/>
      <queryTableField id="995" dataBound="0" tableColumnId="15399"/>
      <queryTableField id="994" dataBound="0" tableColumnId="15400"/>
      <queryTableField id="993" dataBound="0" tableColumnId="15401"/>
      <queryTableField id="992" dataBound="0" tableColumnId="15402"/>
      <queryTableField id="991" dataBound="0" tableColumnId="15403"/>
      <queryTableField id="990" dataBound="0" tableColumnId="15404"/>
      <queryTableField id="989" dataBound="0" tableColumnId="15405"/>
      <queryTableField id="988" dataBound="0" tableColumnId="15406"/>
      <queryTableField id="987" dataBound="0" tableColumnId="15407"/>
      <queryTableField id="986" dataBound="0" tableColumnId="15408"/>
      <queryTableField id="985" dataBound="0" tableColumnId="15409"/>
      <queryTableField id="984" dataBound="0" tableColumnId="15410"/>
      <queryTableField id="983" dataBound="0" tableColumnId="15411"/>
      <queryTableField id="982" dataBound="0" tableColumnId="15412"/>
      <queryTableField id="981" dataBound="0" tableColumnId="15413"/>
      <queryTableField id="980" dataBound="0" tableColumnId="15414"/>
      <queryTableField id="979" dataBound="0" tableColumnId="15415"/>
      <queryTableField id="978" dataBound="0" tableColumnId="15416"/>
      <queryTableField id="977" dataBound="0" tableColumnId="15417"/>
      <queryTableField id="976" dataBound="0" tableColumnId="15418"/>
      <queryTableField id="975" dataBound="0" tableColumnId="15419"/>
      <queryTableField id="974" dataBound="0" tableColumnId="15420"/>
      <queryTableField id="973" dataBound="0" tableColumnId="15421"/>
      <queryTableField id="972" dataBound="0" tableColumnId="15422"/>
      <queryTableField id="971" dataBound="0" tableColumnId="15423"/>
      <queryTableField id="970" dataBound="0" tableColumnId="15424"/>
      <queryTableField id="969" dataBound="0" tableColumnId="15425"/>
      <queryTableField id="968" dataBound="0" tableColumnId="15426"/>
      <queryTableField id="967" dataBound="0" tableColumnId="15427"/>
      <queryTableField id="966" dataBound="0" tableColumnId="15428"/>
      <queryTableField id="965" dataBound="0" tableColumnId="15429"/>
      <queryTableField id="964" dataBound="0" tableColumnId="15430"/>
      <queryTableField id="963" dataBound="0" tableColumnId="15431"/>
      <queryTableField id="962" dataBound="0" tableColumnId="15432"/>
      <queryTableField id="961" dataBound="0" tableColumnId="15433"/>
      <queryTableField id="960" dataBound="0" tableColumnId="15434"/>
      <queryTableField id="959" dataBound="0" tableColumnId="15435"/>
      <queryTableField id="958" dataBound="0" tableColumnId="15436"/>
      <queryTableField id="957" dataBound="0" tableColumnId="15437"/>
      <queryTableField id="956" dataBound="0" tableColumnId="15438"/>
      <queryTableField id="955" dataBound="0" tableColumnId="15439"/>
      <queryTableField id="954" dataBound="0" tableColumnId="15440"/>
      <queryTableField id="953" dataBound="0" tableColumnId="15441"/>
      <queryTableField id="952" dataBound="0" tableColumnId="15442"/>
      <queryTableField id="951" dataBound="0" tableColumnId="15443"/>
      <queryTableField id="950" dataBound="0" tableColumnId="15444"/>
      <queryTableField id="949" dataBound="0" tableColumnId="15445"/>
      <queryTableField id="948" dataBound="0" tableColumnId="15446"/>
      <queryTableField id="947" dataBound="0" tableColumnId="15447"/>
      <queryTableField id="946" dataBound="0" tableColumnId="15448"/>
      <queryTableField id="945" dataBound="0" tableColumnId="15449"/>
      <queryTableField id="944" dataBound="0" tableColumnId="15450"/>
      <queryTableField id="943" dataBound="0" tableColumnId="15451"/>
      <queryTableField id="942" dataBound="0" tableColumnId="15452"/>
      <queryTableField id="941" dataBound="0" tableColumnId="15453"/>
      <queryTableField id="940" dataBound="0" tableColumnId="15454"/>
      <queryTableField id="939" dataBound="0" tableColumnId="15455"/>
      <queryTableField id="938" dataBound="0" tableColumnId="15456"/>
      <queryTableField id="937" dataBound="0" tableColumnId="15457"/>
      <queryTableField id="936" dataBound="0" tableColumnId="15458"/>
      <queryTableField id="935" dataBound="0" tableColumnId="15459"/>
      <queryTableField id="934" dataBound="0" tableColumnId="15460"/>
      <queryTableField id="933" dataBound="0" tableColumnId="15461"/>
      <queryTableField id="932" dataBound="0" tableColumnId="15462"/>
      <queryTableField id="931" dataBound="0" tableColumnId="15463"/>
      <queryTableField id="930" dataBound="0" tableColumnId="15464"/>
      <queryTableField id="929" dataBound="0" tableColumnId="15465"/>
      <queryTableField id="928" dataBound="0" tableColumnId="15466"/>
      <queryTableField id="927" dataBound="0" tableColumnId="15467"/>
      <queryTableField id="926" dataBound="0" tableColumnId="15468"/>
      <queryTableField id="925" dataBound="0" tableColumnId="15469"/>
      <queryTableField id="924" dataBound="0" tableColumnId="15470"/>
      <queryTableField id="923" dataBound="0" tableColumnId="15471"/>
      <queryTableField id="922" dataBound="0" tableColumnId="15472"/>
      <queryTableField id="921" dataBound="0" tableColumnId="15473"/>
      <queryTableField id="920" dataBound="0" tableColumnId="15474"/>
      <queryTableField id="919" dataBound="0" tableColumnId="15475"/>
      <queryTableField id="918" dataBound="0" tableColumnId="15476"/>
      <queryTableField id="917" dataBound="0" tableColumnId="15477"/>
      <queryTableField id="916" dataBound="0" tableColumnId="15478"/>
      <queryTableField id="915" dataBound="0" tableColumnId="15479"/>
      <queryTableField id="914" dataBound="0" tableColumnId="15480"/>
      <queryTableField id="913" dataBound="0" tableColumnId="15481"/>
      <queryTableField id="912" dataBound="0" tableColumnId="15482"/>
      <queryTableField id="911" dataBound="0" tableColumnId="15483"/>
      <queryTableField id="910" dataBound="0" tableColumnId="15484"/>
      <queryTableField id="909" dataBound="0" tableColumnId="15485"/>
      <queryTableField id="908" dataBound="0" tableColumnId="15486"/>
      <queryTableField id="907" dataBound="0" tableColumnId="15487"/>
      <queryTableField id="906" dataBound="0" tableColumnId="15488"/>
      <queryTableField id="905" dataBound="0" tableColumnId="15489"/>
      <queryTableField id="904" dataBound="0" tableColumnId="15490"/>
      <queryTableField id="903" dataBound="0" tableColumnId="15491"/>
      <queryTableField id="902" dataBound="0" tableColumnId="15492"/>
      <queryTableField id="901" dataBound="0" tableColumnId="15493"/>
      <queryTableField id="900" dataBound="0" tableColumnId="15494"/>
      <queryTableField id="899" dataBound="0" tableColumnId="15495"/>
      <queryTableField id="898" dataBound="0" tableColumnId="15496"/>
      <queryTableField id="897" dataBound="0" tableColumnId="15497"/>
      <queryTableField id="896" dataBound="0" tableColumnId="15498"/>
      <queryTableField id="895" dataBound="0" tableColumnId="15499"/>
      <queryTableField id="894" dataBound="0" tableColumnId="15500"/>
      <queryTableField id="893" dataBound="0" tableColumnId="15501"/>
      <queryTableField id="892" dataBound="0" tableColumnId="15502"/>
      <queryTableField id="891" dataBound="0" tableColumnId="15503"/>
      <queryTableField id="890" dataBound="0" tableColumnId="15504"/>
      <queryTableField id="889" dataBound="0" tableColumnId="15505"/>
      <queryTableField id="888" dataBound="0" tableColumnId="15506"/>
      <queryTableField id="887" dataBound="0" tableColumnId="15507"/>
      <queryTableField id="886" dataBound="0" tableColumnId="15508"/>
      <queryTableField id="885" dataBound="0" tableColumnId="15509"/>
      <queryTableField id="884" dataBound="0" tableColumnId="15510"/>
      <queryTableField id="883" dataBound="0" tableColumnId="15511"/>
      <queryTableField id="882" dataBound="0" tableColumnId="15512"/>
      <queryTableField id="881" dataBound="0" tableColumnId="15513"/>
      <queryTableField id="880" dataBound="0" tableColumnId="15514"/>
      <queryTableField id="879" dataBound="0" tableColumnId="15515"/>
      <queryTableField id="878" dataBound="0" tableColumnId="15516"/>
      <queryTableField id="877" dataBound="0" tableColumnId="15517"/>
      <queryTableField id="876" dataBound="0" tableColumnId="15518"/>
      <queryTableField id="875" dataBound="0" tableColumnId="15519"/>
      <queryTableField id="874" dataBound="0" tableColumnId="15520"/>
      <queryTableField id="873" dataBound="0" tableColumnId="15521"/>
      <queryTableField id="872" dataBound="0" tableColumnId="15522"/>
      <queryTableField id="871" dataBound="0" tableColumnId="15523"/>
      <queryTableField id="870" dataBound="0" tableColumnId="15524"/>
      <queryTableField id="869" dataBound="0" tableColumnId="15525"/>
      <queryTableField id="868" dataBound="0" tableColumnId="15526"/>
      <queryTableField id="867" dataBound="0" tableColumnId="15527"/>
      <queryTableField id="866" dataBound="0" tableColumnId="15528"/>
      <queryTableField id="865" dataBound="0" tableColumnId="15529"/>
      <queryTableField id="864" dataBound="0" tableColumnId="15530"/>
      <queryTableField id="863" dataBound="0" tableColumnId="15531"/>
      <queryTableField id="862" dataBound="0" tableColumnId="15532"/>
      <queryTableField id="861" dataBound="0" tableColumnId="15533"/>
      <queryTableField id="860" dataBound="0" tableColumnId="15534"/>
      <queryTableField id="859" dataBound="0" tableColumnId="15535"/>
      <queryTableField id="858" dataBound="0" tableColumnId="15536"/>
      <queryTableField id="857" dataBound="0" tableColumnId="15537"/>
      <queryTableField id="856" dataBound="0" tableColumnId="15538"/>
      <queryTableField id="855" dataBound="0" tableColumnId="15539"/>
      <queryTableField id="854" dataBound="0" tableColumnId="15540"/>
      <queryTableField id="853" dataBound="0" tableColumnId="15541"/>
      <queryTableField id="852" dataBound="0" tableColumnId="15542"/>
      <queryTableField id="851" dataBound="0" tableColumnId="15543"/>
      <queryTableField id="850" dataBound="0" tableColumnId="15544"/>
      <queryTableField id="849" dataBound="0" tableColumnId="15545"/>
      <queryTableField id="848" dataBound="0" tableColumnId="15546"/>
      <queryTableField id="847" dataBound="0" tableColumnId="15547"/>
      <queryTableField id="846" dataBound="0" tableColumnId="15548"/>
      <queryTableField id="845" dataBound="0" tableColumnId="15549"/>
      <queryTableField id="844" dataBound="0" tableColumnId="15550"/>
      <queryTableField id="843" dataBound="0" tableColumnId="15551"/>
      <queryTableField id="842" dataBound="0" tableColumnId="15552"/>
      <queryTableField id="841" dataBound="0" tableColumnId="15553"/>
      <queryTableField id="840" dataBound="0" tableColumnId="15554"/>
      <queryTableField id="839" dataBound="0" tableColumnId="15555"/>
      <queryTableField id="838" dataBound="0" tableColumnId="15556"/>
      <queryTableField id="837" dataBound="0" tableColumnId="15557"/>
      <queryTableField id="836" dataBound="0" tableColumnId="15558"/>
      <queryTableField id="835" dataBound="0" tableColumnId="15559"/>
      <queryTableField id="834" dataBound="0" tableColumnId="15560"/>
      <queryTableField id="833" dataBound="0" tableColumnId="15561"/>
      <queryTableField id="832" dataBound="0" tableColumnId="15562"/>
      <queryTableField id="831" dataBound="0" tableColumnId="15563"/>
      <queryTableField id="830" dataBound="0" tableColumnId="15564"/>
      <queryTableField id="829" dataBound="0" tableColumnId="15565"/>
      <queryTableField id="828" dataBound="0" tableColumnId="15566"/>
      <queryTableField id="827" dataBound="0" tableColumnId="15567"/>
      <queryTableField id="826" dataBound="0" tableColumnId="15568"/>
      <queryTableField id="825" dataBound="0" tableColumnId="15569"/>
      <queryTableField id="824" dataBound="0" tableColumnId="15570"/>
      <queryTableField id="823" dataBound="0" tableColumnId="15571"/>
      <queryTableField id="822" dataBound="0" tableColumnId="15572"/>
      <queryTableField id="821" dataBound="0" tableColumnId="15573"/>
      <queryTableField id="820" dataBound="0" tableColumnId="15574"/>
      <queryTableField id="819" dataBound="0" tableColumnId="15575"/>
      <queryTableField id="818" dataBound="0" tableColumnId="15576"/>
      <queryTableField id="817" dataBound="0" tableColumnId="15577"/>
      <queryTableField id="816" dataBound="0" tableColumnId="15578"/>
      <queryTableField id="815" dataBound="0" tableColumnId="15579"/>
      <queryTableField id="814" dataBound="0" tableColumnId="15580"/>
      <queryTableField id="813" dataBound="0" tableColumnId="15581"/>
      <queryTableField id="812" dataBound="0" tableColumnId="15582"/>
      <queryTableField id="811" dataBound="0" tableColumnId="15583"/>
      <queryTableField id="810" dataBound="0" tableColumnId="15584"/>
      <queryTableField id="809" dataBound="0" tableColumnId="15585"/>
      <queryTableField id="808" dataBound="0" tableColumnId="15586"/>
      <queryTableField id="807" dataBound="0" tableColumnId="15587"/>
      <queryTableField id="806" dataBound="0" tableColumnId="15588"/>
      <queryTableField id="805" dataBound="0" tableColumnId="15589"/>
      <queryTableField id="804" dataBound="0" tableColumnId="15590"/>
      <queryTableField id="803" dataBound="0" tableColumnId="15591"/>
      <queryTableField id="802" dataBound="0" tableColumnId="15592"/>
      <queryTableField id="801" dataBound="0" tableColumnId="15593"/>
      <queryTableField id="800" dataBound="0" tableColumnId="15594"/>
      <queryTableField id="799" dataBound="0" tableColumnId="15595"/>
      <queryTableField id="798" dataBound="0" tableColumnId="15596"/>
      <queryTableField id="797" dataBound="0" tableColumnId="15597"/>
      <queryTableField id="796" dataBound="0" tableColumnId="15598"/>
      <queryTableField id="795" dataBound="0" tableColumnId="15599"/>
      <queryTableField id="794" dataBound="0" tableColumnId="15600"/>
      <queryTableField id="793" dataBound="0" tableColumnId="15601"/>
      <queryTableField id="792" dataBound="0" tableColumnId="15602"/>
      <queryTableField id="791" dataBound="0" tableColumnId="15603"/>
      <queryTableField id="790" dataBound="0" tableColumnId="15604"/>
      <queryTableField id="789" dataBound="0" tableColumnId="15605"/>
      <queryTableField id="788" dataBound="0" tableColumnId="15606"/>
      <queryTableField id="787" dataBound="0" tableColumnId="15607"/>
      <queryTableField id="786" dataBound="0" tableColumnId="15608"/>
      <queryTableField id="785" dataBound="0" tableColumnId="15609"/>
      <queryTableField id="784" dataBound="0" tableColumnId="15610"/>
      <queryTableField id="783" dataBound="0" tableColumnId="15611"/>
      <queryTableField id="782" dataBound="0" tableColumnId="15612"/>
      <queryTableField id="781" dataBound="0" tableColumnId="15613"/>
      <queryTableField id="780" dataBound="0" tableColumnId="15614"/>
      <queryTableField id="779" dataBound="0" tableColumnId="15615"/>
      <queryTableField id="778" dataBound="0" tableColumnId="15616"/>
      <queryTableField id="777" dataBound="0" tableColumnId="15617"/>
      <queryTableField id="776" dataBound="0" tableColumnId="15618"/>
      <queryTableField id="775" dataBound="0" tableColumnId="15619"/>
      <queryTableField id="774" dataBound="0" tableColumnId="15620"/>
      <queryTableField id="773" dataBound="0" tableColumnId="15621"/>
      <queryTableField id="772" dataBound="0" tableColumnId="15622"/>
      <queryTableField id="771" dataBound="0" tableColumnId="15623"/>
      <queryTableField id="770" dataBound="0" tableColumnId="15624"/>
      <queryTableField id="769" dataBound="0" tableColumnId="15625"/>
      <queryTableField id="768" dataBound="0" tableColumnId="15626"/>
      <queryTableField id="767" dataBound="0" tableColumnId="15627"/>
      <queryTableField id="766" dataBound="0" tableColumnId="15628"/>
      <queryTableField id="765" dataBound="0" tableColumnId="15629"/>
      <queryTableField id="764" dataBound="0" tableColumnId="15630"/>
      <queryTableField id="763" dataBound="0" tableColumnId="15631"/>
      <queryTableField id="762" dataBound="0" tableColumnId="15632"/>
      <queryTableField id="761" dataBound="0" tableColumnId="15633"/>
      <queryTableField id="760" dataBound="0" tableColumnId="15634"/>
      <queryTableField id="759" dataBound="0" tableColumnId="15635"/>
      <queryTableField id="758" dataBound="0" tableColumnId="15636"/>
      <queryTableField id="757" dataBound="0" tableColumnId="15637"/>
      <queryTableField id="756" dataBound="0" tableColumnId="15638"/>
      <queryTableField id="755" dataBound="0" tableColumnId="15639"/>
      <queryTableField id="754" dataBound="0" tableColumnId="15640"/>
      <queryTableField id="753" dataBound="0" tableColumnId="15641"/>
      <queryTableField id="752" dataBound="0" tableColumnId="15642"/>
      <queryTableField id="751" dataBound="0" tableColumnId="15643"/>
      <queryTableField id="750" dataBound="0" tableColumnId="15644"/>
      <queryTableField id="749" dataBound="0" tableColumnId="15645"/>
      <queryTableField id="748" dataBound="0" tableColumnId="15646"/>
      <queryTableField id="747" dataBound="0" tableColumnId="15647"/>
      <queryTableField id="746" dataBound="0" tableColumnId="15648"/>
      <queryTableField id="745" dataBound="0" tableColumnId="15649"/>
      <queryTableField id="744" dataBound="0" tableColumnId="15650"/>
      <queryTableField id="743" dataBound="0" tableColumnId="15651"/>
      <queryTableField id="742" dataBound="0" tableColumnId="15652"/>
      <queryTableField id="741" dataBound="0" tableColumnId="15653"/>
      <queryTableField id="740" dataBound="0" tableColumnId="15654"/>
      <queryTableField id="739" dataBound="0" tableColumnId="15655"/>
      <queryTableField id="738" dataBound="0" tableColumnId="15656"/>
      <queryTableField id="737" dataBound="0" tableColumnId="15657"/>
      <queryTableField id="736" dataBound="0" tableColumnId="15658"/>
      <queryTableField id="735" dataBound="0" tableColumnId="15659"/>
      <queryTableField id="734" dataBound="0" tableColumnId="15660"/>
      <queryTableField id="733" dataBound="0" tableColumnId="15661"/>
      <queryTableField id="732" dataBound="0" tableColumnId="15662"/>
      <queryTableField id="731" dataBound="0" tableColumnId="15663"/>
      <queryTableField id="730" dataBound="0" tableColumnId="15664"/>
      <queryTableField id="729" dataBound="0" tableColumnId="15665"/>
      <queryTableField id="728" dataBound="0" tableColumnId="15666"/>
      <queryTableField id="727" dataBound="0" tableColumnId="15667"/>
      <queryTableField id="726" dataBound="0" tableColumnId="15668"/>
      <queryTableField id="725" dataBound="0" tableColumnId="15669"/>
      <queryTableField id="724" dataBound="0" tableColumnId="15670"/>
      <queryTableField id="723" dataBound="0" tableColumnId="15671"/>
      <queryTableField id="722" dataBound="0" tableColumnId="15672"/>
      <queryTableField id="721" dataBound="0" tableColumnId="15673"/>
      <queryTableField id="720" dataBound="0" tableColumnId="15674"/>
      <queryTableField id="719" dataBound="0" tableColumnId="15675"/>
      <queryTableField id="718" dataBound="0" tableColumnId="15676"/>
      <queryTableField id="717" dataBound="0" tableColumnId="15677"/>
      <queryTableField id="716" dataBound="0" tableColumnId="15678"/>
      <queryTableField id="715" dataBound="0" tableColumnId="15679"/>
      <queryTableField id="714" dataBound="0" tableColumnId="15680"/>
      <queryTableField id="713" dataBound="0" tableColumnId="15681"/>
      <queryTableField id="712" dataBound="0" tableColumnId="15682"/>
      <queryTableField id="711" dataBound="0" tableColumnId="15683"/>
      <queryTableField id="710" dataBound="0" tableColumnId="15684"/>
      <queryTableField id="709" dataBound="0" tableColumnId="15685"/>
      <queryTableField id="708" dataBound="0" tableColumnId="15686"/>
      <queryTableField id="707" dataBound="0" tableColumnId="15687"/>
      <queryTableField id="706" dataBound="0" tableColumnId="15688"/>
      <queryTableField id="705" dataBound="0" tableColumnId="15689"/>
      <queryTableField id="704" dataBound="0" tableColumnId="15690"/>
      <queryTableField id="703" dataBound="0" tableColumnId="15691"/>
      <queryTableField id="702" dataBound="0" tableColumnId="15692"/>
      <queryTableField id="701" dataBound="0" tableColumnId="15693"/>
      <queryTableField id="700" dataBound="0" tableColumnId="15694"/>
      <queryTableField id="699" dataBound="0" tableColumnId="15695"/>
      <queryTableField id="698" dataBound="0" tableColumnId="15696"/>
      <queryTableField id="697" dataBound="0" tableColumnId="15697"/>
      <queryTableField id="696" dataBound="0" tableColumnId="15698"/>
      <queryTableField id="695" dataBound="0" tableColumnId="15699"/>
      <queryTableField id="694" dataBound="0" tableColumnId="15700"/>
      <queryTableField id="693" dataBound="0" tableColumnId="15701"/>
      <queryTableField id="692" dataBound="0" tableColumnId="15702"/>
      <queryTableField id="691" dataBound="0" tableColumnId="15703"/>
      <queryTableField id="690" dataBound="0" tableColumnId="15704"/>
      <queryTableField id="689" dataBound="0" tableColumnId="15705"/>
      <queryTableField id="688" dataBound="0" tableColumnId="15706"/>
      <queryTableField id="687" dataBound="0" tableColumnId="15707"/>
      <queryTableField id="686" dataBound="0" tableColumnId="15708"/>
      <queryTableField id="685" dataBound="0" tableColumnId="15709"/>
      <queryTableField id="684" dataBound="0" tableColumnId="15710"/>
      <queryTableField id="683" dataBound="0" tableColumnId="15711"/>
      <queryTableField id="682" dataBound="0" tableColumnId="15712"/>
      <queryTableField id="681" dataBound="0" tableColumnId="15713"/>
      <queryTableField id="680" dataBound="0" tableColumnId="15714"/>
      <queryTableField id="679" dataBound="0" tableColumnId="15715"/>
      <queryTableField id="678" dataBound="0" tableColumnId="15716"/>
      <queryTableField id="677" dataBound="0" tableColumnId="15717"/>
      <queryTableField id="676" dataBound="0" tableColumnId="15718"/>
      <queryTableField id="675" dataBound="0" tableColumnId="15719"/>
      <queryTableField id="674" dataBound="0" tableColumnId="15720"/>
      <queryTableField id="673" dataBound="0" tableColumnId="15721"/>
      <queryTableField id="672" dataBound="0" tableColumnId="15722"/>
      <queryTableField id="671" dataBound="0" tableColumnId="15723"/>
      <queryTableField id="670" dataBound="0" tableColumnId="15724"/>
      <queryTableField id="669" dataBound="0" tableColumnId="15725"/>
      <queryTableField id="668" dataBound="0" tableColumnId="15726"/>
      <queryTableField id="667" dataBound="0" tableColumnId="15727"/>
      <queryTableField id="666" dataBound="0" tableColumnId="15728"/>
      <queryTableField id="665" dataBound="0" tableColumnId="15729"/>
      <queryTableField id="664" dataBound="0" tableColumnId="15730"/>
      <queryTableField id="663" dataBound="0" tableColumnId="15731"/>
      <queryTableField id="662" dataBound="0" tableColumnId="15732"/>
      <queryTableField id="661" dataBound="0" tableColumnId="15733"/>
      <queryTableField id="660" dataBound="0" tableColumnId="15734"/>
      <queryTableField id="659" dataBound="0" tableColumnId="15735"/>
      <queryTableField id="658" dataBound="0" tableColumnId="15736"/>
      <queryTableField id="657" dataBound="0" tableColumnId="15737"/>
      <queryTableField id="656" dataBound="0" tableColumnId="15738"/>
      <queryTableField id="655" dataBound="0" tableColumnId="15739"/>
      <queryTableField id="654" dataBound="0" tableColumnId="15740"/>
      <queryTableField id="653" dataBound="0" tableColumnId="15741"/>
      <queryTableField id="652" dataBound="0" tableColumnId="15742"/>
      <queryTableField id="651" dataBound="0" tableColumnId="15743"/>
      <queryTableField id="650" dataBound="0" tableColumnId="15744"/>
      <queryTableField id="649" dataBound="0" tableColumnId="15745"/>
      <queryTableField id="648" dataBound="0" tableColumnId="15746"/>
      <queryTableField id="647" dataBound="0" tableColumnId="15747"/>
      <queryTableField id="646" dataBound="0" tableColumnId="15748"/>
      <queryTableField id="645" dataBound="0" tableColumnId="15749"/>
      <queryTableField id="644" dataBound="0" tableColumnId="15750"/>
      <queryTableField id="643" dataBound="0" tableColumnId="15751"/>
      <queryTableField id="642" dataBound="0" tableColumnId="15752"/>
      <queryTableField id="641" dataBound="0" tableColumnId="15753"/>
      <queryTableField id="640" dataBound="0" tableColumnId="15754"/>
      <queryTableField id="639" dataBound="0" tableColumnId="15755"/>
      <queryTableField id="638" dataBound="0" tableColumnId="15756"/>
      <queryTableField id="637" dataBound="0" tableColumnId="15757"/>
      <queryTableField id="636" dataBound="0" tableColumnId="15758"/>
      <queryTableField id="635" dataBound="0" tableColumnId="15759"/>
      <queryTableField id="634" dataBound="0" tableColumnId="15760"/>
      <queryTableField id="633" dataBound="0" tableColumnId="15761"/>
      <queryTableField id="632" dataBound="0" tableColumnId="15762"/>
      <queryTableField id="631" dataBound="0" tableColumnId="15763"/>
      <queryTableField id="630" dataBound="0" tableColumnId="15764"/>
      <queryTableField id="629" dataBound="0" tableColumnId="15765"/>
      <queryTableField id="628" dataBound="0" tableColumnId="15766"/>
      <queryTableField id="627" dataBound="0" tableColumnId="15767"/>
      <queryTableField id="626" dataBound="0" tableColumnId="15768"/>
      <queryTableField id="625" dataBound="0" tableColumnId="15769"/>
      <queryTableField id="624" dataBound="0" tableColumnId="15770"/>
      <queryTableField id="623" dataBound="0" tableColumnId="15771"/>
      <queryTableField id="622" dataBound="0" tableColumnId="15772"/>
      <queryTableField id="621" dataBound="0" tableColumnId="15773"/>
      <queryTableField id="620" dataBound="0" tableColumnId="15774"/>
      <queryTableField id="619" dataBound="0" tableColumnId="15775"/>
      <queryTableField id="618" dataBound="0" tableColumnId="15776"/>
      <queryTableField id="617" dataBound="0" tableColumnId="15777"/>
      <queryTableField id="616" dataBound="0" tableColumnId="15778"/>
      <queryTableField id="615" dataBound="0" tableColumnId="15779"/>
      <queryTableField id="614" dataBound="0" tableColumnId="15780"/>
      <queryTableField id="613" dataBound="0" tableColumnId="15781"/>
      <queryTableField id="612" dataBound="0" tableColumnId="15782"/>
      <queryTableField id="611" dataBound="0" tableColumnId="15783"/>
      <queryTableField id="610" dataBound="0" tableColumnId="15784"/>
      <queryTableField id="609" dataBound="0" tableColumnId="15785"/>
      <queryTableField id="608" dataBound="0" tableColumnId="15786"/>
      <queryTableField id="607" dataBound="0" tableColumnId="15787"/>
      <queryTableField id="606" dataBound="0" tableColumnId="15788"/>
      <queryTableField id="605" dataBound="0" tableColumnId="15789"/>
      <queryTableField id="604" dataBound="0" tableColumnId="15790"/>
      <queryTableField id="603" dataBound="0" tableColumnId="15791"/>
      <queryTableField id="602" dataBound="0" tableColumnId="15792"/>
      <queryTableField id="601" dataBound="0" tableColumnId="15793"/>
      <queryTableField id="600" dataBound="0" tableColumnId="15794"/>
      <queryTableField id="599" dataBound="0" tableColumnId="15795"/>
      <queryTableField id="598" dataBound="0" tableColumnId="15796"/>
      <queryTableField id="597" dataBound="0" tableColumnId="15797"/>
      <queryTableField id="596" dataBound="0" tableColumnId="15798"/>
      <queryTableField id="595" dataBound="0" tableColumnId="15799"/>
      <queryTableField id="594" dataBound="0" tableColumnId="15800"/>
      <queryTableField id="593" dataBound="0" tableColumnId="15801"/>
      <queryTableField id="592" dataBound="0" tableColumnId="15802"/>
      <queryTableField id="591" dataBound="0" tableColumnId="15803"/>
      <queryTableField id="590" dataBound="0" tableColumnId="15804"/>
      <queryTableField id="589" dataBound="0" tableColumnId="15805"/>
      <queryTableField id="588" dataBound="0" tableColumnId="15806"/>
      <queryTableField id="587" dataBound="0" tableColumnId="15807"/>
      <queryTableField id="586" dataBound="0" tableColumnId="15808"/>
      <queryTableField id="585" dataBound="0" tableColumnId="15809"/>
      <queryTableField id="584" dataBound="0" tableColumnId="15810"/>
      <queryTableField id="583" dataBound="0" tableColumnId="15811"/>
      <queryTableField id="582" dataBound="0" tableColumnId="15812"/>
      <queryTableField id="581" dataBound="0" tableColumnId="15813"/>
      <queryTableField id="580" dataBound="0" tableColumnId="15814"/>
      <queryTableField id="579" dataBound="0" tableColumnId="15815"/>
      <queryTableField id="578" dataBound="0" tableColumnId="15816"/>
      <queryTableField id="577" dataBound="0" tableColumnId="15817"/>
      <queryTableField id="576" dataBound="0" tableColumnId="15818"/>
      <queryTableField id="575" dataBound="0" tableColumnId="15819"/>
      <queryTableField id="574" dataBound="0" tableColumnId="15820"/>
      <queryTableField id="573" dataBound="0" tableColumnId="15821"/>
      <queryTableField id="572" dataBound="0" tableColumnId="15822"/>
      <queryTableField id="571" dataBound="0" tableColumnId="15823"/>
      <queryTableField id="570" dataBound="0" tableColumnId="15824"/>
      <queryTableField id="569" dataBound="0" tableColumnId="15825"/>
      <queryTableField id="568" dataBound="0" tableColumnId="15826"/>
      <queryTableField id="567" dataBound="0" tableColumnId="15827"/>
      <queryTableField id="566" dataBound="0" tableColumnId="15828"/>
      <queryTableField id="565" dataBound="0" tableColumnId="15829"/>
      <queryTableField id="564" dataBound="0" tableColumnId="15830"/>
      <queryTableField id="563" dataBound="0" tableColumnId="15831"/>
      <queryTableField id="562" dataBound="0" tableColumnId="15832"/>
      <queryTableField id="561" dataBound="0" tableColumnId="15833"/>
      <queryTableField id="560" dataBound="0" tableColumnId="15834"/>
      <queryTableField id="559" dataBound="0" tableColumnId="15835"/>
      <queryTableField id="558" dataBound="0" tableColumnId="15836"/>
      <queryTableField id="557" dataBound="0" tableColumnId="15837"/>
      <queryTableField id="556" dataBound="0" tableColumnId="15838"/>
      <queryTableField id="555" dataBound="0" tableColumnId="15839"/>
      <queryTableField id="554" dataBound="0" tableColumnId="15840"/>
      <queryTableField id="553" dataBound="0" tableColumnId="15841"/>
      <queryTableField id="552" dataBound="0" tableColumnId="15842"/>
      <queryTableField id="551" dataBound="0" tableColumnId="15843"/>
      <queryTableField id="550" dataBound="0" tableColumnId="15844"/>
      <queryTableField id="549" dataBound="0" tableColumnId="15845"/>
      <queryTableField id="548" dataBound="0" tableColumnId="15846"/>
      <queryTableField id="547" dataBound="0" tableColumnId="15847"/>
      <queryTableField id="546" dataBound="0" tableColumnId="15848"/>
      <queryTableField id="545" dataBound="0" tableColumnId="15849"/>
      <queryTableField id="544" dataBound="0" tableColumnId="15850"/>
      <queryTableField id="543" dataBound="0" tableColumnId="15851"/>
      <queryTableField id="542" dataBound="0" tableColumnId="15852"/>
      <queryTableField id="541" dataBound="0" tableColumnId="15853"/>
      <queryTableField id="540" dataBound="0" tableColumnId="15854"/>
      <queryTableField id="539" dataBound="0" tableColumnId="15855"/>
      <queryTableField id="538" dataBound="0" tableColumnId="15856"/>
      <queryTableField id="537" dataBound="0" tableColumnId="15857"/>
      <queryTableField id="536" dataBound="0" tableColumnId="15858"/>
      <queryTableField id="535" dataBound="0" tableColumnId="15859"/>
      <queryTableField id="534" dataBound="0" tableColumnId="15860"/>
      <queryTableField id="533" dataBound="0" tableColumnId="15861"/>
      <queryTableField id="532" dataBound="0" tableColumnId="15862"/>
      <queryTableField id="531" dataBound="0" tableColumnId="15863"/>
      <queryTableField id="530" dataBound="0" tableColumnId="15864"/>
      <queryTableField id="529" dataBound="0" tableColumnId="15865"/>
      <queryTableField id="528" dataBound="0" tableColumnId="15866"/>
      <queryTableField id="527" dataBound="0" tableColumnId="15867"/>
      <queryTableField id="526" dataBound="0" tableColumnId="15868"/>
      <queryTableField id="525" dataBound="0" tableColumnId="15869"/>
      <queryTableField id="524" dataBound="0" tableColumnId="15870"/>
      <queryTableField id="523" dataBound="0" tableColumnId="15871"/>
      <queryTableField id="522" dataBound="0" tableColumnId="15872"/>
      <queryTableField id="521" dataBound="0" tableColumnId="15873"/>
      <queryTableField id="520" dataBound="0" tableColumnId="15874"/>
      <queryTableField id="519" dataBound="0" tableColumnId="15875"/>
      <queryTableField id="518" dataBound="0" tableColumnId="15876"/>
      <queryTableField id="517" dataBound="0" tableColumnId="15877"/>
      <queryTableField id="516" dataBound="0" tableColumnId="15878"/>
      <queryTableField id="515" dataBound="0" tableColumnId="15879"/>
      <queryTableField id="514" dataBound="0" tableColumnId="15880"/>
      <queryTableField id="513" dataBound="0" tableColumnId="15881"/>
      <queryTableField id="512" dataBound="0" tableColumnId="15882"/>
      <queryTableField id="511" dataBound="0" tableColumnId="15883"/>
      <queryTableField id="510" dataBound="0" tableColumnId="15884"/>
      <queryTableField id="509" dataBound="0" tableColumnId="15885"/>
      <queryTableField id="508" dataBound="0" tableColumnId="15886"/>
      <queryTableField id="507" dataBound="0" tableColumnId="15887"/>
      <queryTableField id="506" dataBound="0" tableColumnId="15888"/>
      <queryTableField id="505" dataBound="0" tableColumnId="15889"/>
      <queryTableField id="504" dataBound="0" tableColumnId="15890"/>
      <queryTableField id="503" dataBound="0" tableColumnId="15891"/>
      <queryTableField id="502" dataBound="0" tableColumnId="15892"/>
      <queryTableField id="501" dataBound="0" tableColumnId="15893"/>
      <queryTableField id="500" dataBound="0" tableColumnId="15894"/>
      <queryTableField id="499" dataBound="0" tableColumnId="15895"/>
      <queryTableField id="498" dataBound="0" tableColumnId="15896"/>
      <queryTableField id="497" dataBound="0" tableColumnId="15897"/>
      <queryTableField id="496" dataBound="0" tableColumnId="15898"/>
      <queryTableField id="495" dataBound="0" tableColumnId="15899"/>
      <queryTableField id="494" dataBound="0" tableColumnId="15900"/>
      <queryTableField id="493" dataBound="0" tableColumnId="15901"/>
      <queryTableField id="492" dataBound="0" tableColumnId="15902"/>
      <queryTableField id="491" dataBound="0" tableColumnId="15903"/>
      <queryTableField id="490" dataBound="0" tableColumnId="15904"/>
      <queryTableField id="489" dataBound="0" tableColumnId="15905"/>
      <queryTableField id="488" dataBound="0" tableColumnId="15906"/>
      <queryTableField id="487" dataBound="0" tableColumnId="15907"/>
      <queryTableField id="486" dataBound="0" tableColumnId="15908"/>
      <queryTableField id="485" dataBound="0" tableColumnId="15909"/>
      <queryTableField id="484" dataBound="0" tableColumnId="15910"/>
      <queryTableField id="483" dataBound="0" tableColumnId="15911"/>
      <queryTableField id="482" dataBound="0" tableColumnId="15912"/>
      <queryTableField id="481" dataBound="0" tableColumnId="15913"/>
      <queryTableField id="480" dataBound="0" tableColumnId="15914"/>
      <queryTableField id="479" dataBound="0" tableColumnId="15915"/>
      <queryTableField id="478" dataBound="0" tableColumnId="15916"/>
      <queryTableField id="477" dataBound="0" tableColumnId="15917"/>
      <queryTableField id="476" dataBound="0" tableColumnId="15918"/>
      <queryTableField id="475" dataBound="0" tableColumnId="15919"/>
      <queryTableField id="474" dataBound="0" tableColumnId="15920"/>
      <queryTableField id="473" dataBound="0" tableColumnId="15921"/>
      <queryTableField id="472" dataBound="0" tableColumnId="15922"/>
      <queryTableField id="471" dataBound="0" tableColumnId="15923"/>
      <queryTableField id="470" dataBound="0" tableColumnId="15924"/>
      <queryTableField id="469" dataBound="0" tableColumnId="15925"/>
      <queryTableField id="468" dataBound="0" tableColumnId="15926"/>
      <queryTableField id="467" dataBound="0" tableColumnId="15927"/>
      <queryTableField id="466" dataBound="0" tableColumnId="15928"/>
      <queryTableField id="465" dataBound="0" tableColumnId="15929"/>
      <queryTableField id="464" dataBound="0" tableColumnId="15930"/>
      <queryTableField id="463" dataBound="0" tableColumnId="15931"/>
      <queryTableField id="462" dataBound="0" tableColumnId="15932"/>
      <queryTableField id="461" dataBound="0" tableColumnId="15933"/>
      <queryTableField id="460" dataBound="0" tableColumnId="15934"/>
      <queryTableField id="459" dataBound="0" tableColumnId="15935"/>
      <queryTableField id="458" dataBound="0" tableColumnId="15936"/>
      <queryTableField id="457" dataBound="0" tableColumnId="15937"/>
      <queryTableField id="456" dataBound="0" tableColumnId="15938"/>
      <queryTableField id="455" dataBound="0" tableColumnId="15939"/>
      <queryTableField id="454" dataBound="0" tableColumnId="15940"/>
      <queryTableField id="453" dataBound="0" tableColumnId="15941"/>
      <queryTableField id="452" dataBound="0" tableColumnId="15942"/>
      <queryTableField id="451" dataBound="0" tableColumnId="15943"/>
      <queryTableField id="450" dataBound="0" tableColumnId="15944"/>
      <queryTableField id="449" dataBound="0" tableColumnId="15945"/>
      <queryTableField id="448" dataBound="0" tableColumnId="15946"/>
      <queryTableField id="447" dataBound="0" tableColumnId="15947"/>
      <queryTableField id="446" dataBound="0" tableColumnId="15948"/>
      <queryTableField id="445" dataBound="0" tableColumnId="15949"/>
      <queryTableField id="444" dataBound="0" tableColumnId="15950"/>
      <queryTableField id="443" dataBound="0" tableColumnId="15951"/>
      <queryTableField id="442" dataBound="0" tableColumnId="15952"/>
      <queryTableField id="441" dataBound="0" tableColumnId="15953"/>
      <queryTableField id="440" dataBound="0" tableColumnId="15954"/>
      <queryTableField id="439" dataBound="0" tableColumnId="15955"/>
      <queryTableField id="438" dataBound="0" tableColumnId="15956"/>
      <queryTableField id="437" dataBound="0" tableColumnId="15957"/>
      <queryTableField id="436" dataBound="0" tableColumnId="15958"/>
      <queryTableField id="435" dataBound="0" tableColumnId="15959"/>
      <queryTableField id="434" dataBound="0" tableColumnId="15960"/>
      <queryTableField id="433" dataBound="0" tableColumnId="15961"/>
      <queryTableField id="432" dataBound="0" tableColumnId="15962"/>
      <queryTableField id="431" dataBound="0" tableColumnId="15963"/>
      <queryTableField id="430" dataBound="0" tableColumnId="15964"/>
      <queryTableField id="429" dataBound="0" tableColumnId="15965"/>
      <queryTableField id="428" dataBound="0" tableColumnId="15966"/>
      <queryTableField id="427" dataBound="0" tableColumnId="15967"/>
      <queryTableField id="426" dataBound="0" tableColumnId="15968"/>
      <queryTableField id="425" dataBound="0" tableColumnId="15969"/>
      <queryTableField id="424" dataBound="0" tableColumnId="15970"/>
      <queryTableField id="423" dataBound="0" tableColumnId="15971"/>
      <queryTableField id="422" dataBound="0" tableColumnId="15972"/>
      <queryTableField id="421" dataBound="0" tableColumnId="15973"/>
      <queryTableField id="420" dataBound="0" tableColumnId="15974"/>
      <queryTableField id="419" dataBound="0" tableColumnId="15975"/>
      <queryTableField id="418" dataBound="0" tableColumnId="15976"/>
      <queryTableField id="417" dataBound="0" tableColumnId="15977"/>
      <queryTableField id="416" dataBound="0" tableColumnId="15978"/>
      <queryTableField id="415" dataBound="0" tableColumnId="15979"/>
      <queryTableField id="414" dataBound="0" tableColumnId="15980"/>
      <queryTableField id="413" dataBound="0" tableColumnId="15981"/>
      <queryTableField id="412" dataBound="0" tableColumnId="15982"/>
      <queryTableField id="411" dataBound="0" tableColumnId="15983"/>
      <queryTableField id="410" dataBound="0" tableColumnId="15984"/>
      <queryTableField id="409" dataBound="0" tableColumnId="15985"/>
      <queryTableField id="408" dataBound="0" tableColumnId="15986"/>
      <queryTableField id="407" dataBound="0" tableColumnId="15987"/>
      <queryTableField id="406" dataBound="0" tableColumnId="15988"/>
      <queryTableField id="405" dataBound="0" tableColumnId="15989"/>
      <queryTableField id="404" dataBound="0" tableColumnId="15990"/>
      <queryTableField id="403" dataBound="0" tableColumnId="15991"/>
      <queryTableField id="402" dataBound="0" tableColumnId="15992"/>
      <queryTableField id="401" dataBound="0" tableColumnId="15993"/>
      <queryTableField id="400" dataBound="0" tableColumnId="15994"/>
      <queryTableField id="399" dataBound="0" tableColumnId="15995"/>
      <queryTableField id="398" dataBound="0" tableColumnId="15996"/>
      <queryTableField id="397" dataBound="0" tableColumnId="15997"/>
      <queryTableField id="396" dataBound="0" tableColumnId="15998"/>
      <queryTableField id="395" dataBound="0" tableColumnId="15999"/>
      <queryTableField id="394" dataBound="0" tableColumnId="16000"/>
      <queryTableField id="393" dataBound="0" tableColumnId="16001"/>
      <queryTableField id="392" dataBound="0" tableColumnId="16002"/>
      <queryTableField id="391" dataBound="0" tableColumnId="16003"/>
      <queryTableField id="390" dataBound="0" tableColumnId="16004"/>
      <queryTableField id="389" dataBound="0" tableColumnId="16005"/>
      <queryTableField id="388" dataBound="0" tableColumnId="16006"/>
      <queryTableField id="387" dataBound="0" tableColumnId="16007"/>
      <queryTableField id="386" dataBound="0" tableColumnId="16008"/>
      <queryTableField id="385" dataBound="0" tableColumnId="16009"/>
      <queryTableField id="384" dataBound="0" tableColumnId="16010"/>
      <queryTableField id="383" dataBound="0" tableColumnId="16011"/>
      <queryTableField id="382" dataBound="0" tableColumnId="16012"/>
      <queryTableField id="381" dataBound="0" tableColumnId="16013"/>
      <queryTableField id="380" dataBound="0" tableColumnId="16014"/>
      <queryTableField id="379" dataBound="0" tableColumnId="16015"/>
      <queryTableField id="378" dataBound="0" tableColumnId="16016"/>
      <queryTableField id="377" dataBound="0" tableColumnId="16017"/>
      <queryTableField id="376" dataBound="0" tableColumnId="16018"/>
      <queryTableField id="375" dataBound="0" tableColumnId="16019"/>
      <queryTableField id="374" dataBound="0" tableColumnId="16020"/>
      <queryTableField id="373" dataBound="0" tableColumnId="16021"/>
      <queryTableField id="372" dataBound="0" tableColumnId="16022"/>
      <queryTableField id="371" dataBound="0" tableColumnId="16023"/>
      <queryTableField id="370" dataBound="0" tableColumnId="16024"/>
      <queryTableField id="369" dataBound="0" tableColumnId="16025"/>
      <queryTableField id="368" dataBound="0" tableColumnId="16026"/>
      <queryTableField id="367" dataBound="0" tableColumnId="16027"/>
      <queryTableField id="366" dataBound="0" tableColumnId="16028"/>
      <queryTableField id="365" dataBound="0" tableColumnId="16029"/>
      <queryTableField id="364" dataBound="0" tableColumnId="16030"/>
      <queryTableField id="363" dataBound="0" tableColumnId="16031"/>
      <queryTableField id="362" dataBound="0" tableColumnId="16032"/>
      <queryTableField id="361" dataBound="0" tableColumnId="16033"/>
      <queryTableField id="360" dataBound="0" tableColumnId="16034"/>
      <queryTableField id="359" dataBound="0" tableColumnId="16035"/>
      <queryTableField id="358" dataBound="0" tableColumnId="16036"/>
      <queryTableField id="357" dataBound="0" tableColumnId="16037"/>
      <queryTableField id="356" dataBound="0" tableColumnId="16038"/>
      <queryTableField id="355" dataBound="0" tableColumnId="16039"/>
      <queryTableField id="354" dataBound="0" tableColumnId="16040"/>
      <queryTableField id="353" dataBound="0" tableColumnId="16041"/>
      <queryTableField id="352" dataBound="0" tableColumnId="16042"/>
      <queryTableField id="351" dataBound="0" tableColumnId="16043"/>
      <queryTableField id="350" dataBound="0" tableColumnId="16044"/>
      <queryTableField id="349" dataBound="0" tableColumnId="16045"/>
      <queryTableField id="348" dataBound="0" tableColumnId="16046"/>
      <queryTableField id="347" dataBound="0" tableColumnId="16047"/>
      <queryTableField id="346" dataBound="0" tableColumnId="16048"/>
      <queryTableField id="345" dataBound="0" tableColumnId="16049"/>
      <queryTableField id="344" dataBound="0" tableColumnId="16050"/>
      <queryTableField id="343" dataBound="0" tableColumnId="16051"/>
      <queryTableField id="342" dataBound="0" tableColumnId="16052"/>
      <queryTableField id="341" dataBound="0" tableColumnId="16053"/>
      <queryTableField id="340" dataBound="0" tableColumnId="16054"/>
      <queryTableField id="339" dataBound="0" tableColumnId="16055"/>
      <queryTableField id="338" dataBound="0" tableColumnId="16056"/>
      <queryTableField id="337" dataBound="0" tableColumnId="16057"/>
      <queryTableField id="336" dataBound="0" tableColumnId="16058"/>
      <queryTableField id="335" dataBound="0" tableColumnId="16059"/>
      <queryTableField id="334" dataBound="0" tableColumnId="16060"/>
      <queryTableField id="333" dataBound="0" tableColumnId="16061"/>
      <queryTableField id="332" dataBound="0" tableColumnId="16062"/>
      <queryTableField id="331" dataBound="0" tableColumnId="16063"/>
      <queryTableField id="330" dataBound="0" tableColumnId="16064"/>
      <queryTableField id="329" dataBound="0" tableColumnId="16065"/>
      <queryTableField id="328" dataBound="0" tableColumnId="16066"/>
      <queryTableField id="327" dataBound="0" tableColumnId="16067"/>
      <queryTableField id="326" dataBound="0" tableColumnId="16068"/>
      <queryTableField id="325" dataBound="0" tableColumnId="16069"/>
      <queryTableField id="324" dataBound="0" tableColumnId="16070"/>
      <queryTableField id="323" dataBound="0" tableColumnId="16071"/>
      <queryTableField id="322" dataBound="0" tableColumnId="16072"/>
      <queryTableField id="321" dataBound="0" tableColumnId="16073"/>
      <queryTableField id="320" dataBound="0" tableColumnId="16074"/>
      <queryTableField id="319" dataBound="0" tableColumnId="16075"/>
      <queryTableField id="318" dataBound="0" tableColumnId="16076"/>
      <queryTableField id="317" dataBound="0" tableColumnId="16077"/>
      <queryTableField id="316" dataBound="0" tableColumnId="16078"/>
      <queryTableField id="315" dataBound="0" tableColumnId="16079"/>
      <queryTableField id="314" dataBound="0" tableColumnId="16080"/>
      <queryTableField id="313" dataBound="0" tableColumnId="16081"/>
      <queryTableField id="312" dataBound="0" tableColumnId="16082"/>
      <queryTableField id="311" dataBound="0" tableColumnId="16083"/>
      <queryTableField id="310" dataBound="0" tableColumnId="16084"/>
      <queryTableField id="309" dataBound="0" tableColumnId="16085"/>
      <queryTableField id="308" dataBound="0" tableColumnId="16086"/>
      <queryTableField id="307" dataBound="0" tableColumnId="16087"/>
      <queryTableField id="306" dataBound="0" tableColumnId="16088"/>
      <queryTableField id="305" dataBound="0" tableColumnId="16089"/>
      <queryTableField id="304" dataBound="0" tableColumnId="16090"/>
      <queryTableField id="303" dataBound="0" tableColumnId="16091"/>
      <queryTableField id="302" dataBound="0" tableColumnId="16092"/>
      <queryTableField id="301" dataBound="0" tableColumnId="16093"/>
      <queryTableField id="300" dataBound="0" tableColumnId="16094"/>
      <queryTableField id="299" dataBound="0" tableColumnId="16095"/>
      <queryTableField id="298" dataBound="0" tableColumnId="16096"/>
      <queryTableField id="297" dataBound="0" tableColumnId="16097"/>
      <queryTableField id="296" dataBound="0" tableColumnId="16098"/>
      <queryTableField id="295" dataBound="0" tableColumnId="16099"/>
      <queryTableField id="294" dataBound="0" tableColumnId="16100"/>
      <queryTableField id="293" dataBound="0" tableColumnId="16101"/>
      <queryTableField id="292" dataBound="0" tableColumnId="16102"/>
      <queryTableField id="291" dataBound="0" tableColumnId="16103"/>
      <queryTableField id="290" dataBound="0" tableColumnId="16104"/>
      <queryTableField id="289" dataBound="0" tableColumnId="16105"/>
      <queryTableField id="288" dataBound="0" tableColumnId="16106"/>
      <queryTableField id="287" dataBound="0" tableColumnId="16107"/>
      <queryTableField id="286" dataBound="0" tableColumnId="16108"/>
      <queryTableField id="285" dataBound="0" tableColumnId="16109"/>
      <queryTableField id="284" dataBound="0" tableColumnId="16110"/>
      <queryTableField id="283" dataBound="0" tableColumnId="16111"/>
      <queryTableField id="282" dataBound="0" tableColumnId="16112"/>
      <queryTableField id="281" dataBound="0" tableColumnId="16113"/>
      <queryTableField id="280" dataBound="0" tableColumnId="16114"/>
      <queryTableField id="279" dataBound="0" tableColumnId="16115"/>
      <queryTableField id="278" dataBound="0" tableColumnId="16116"/>
      <queryTableField id="277" dataBound="0" tableColumnId="16117"/>
      <queryTableField id="276" dataBound="0" tableColumnId="16118"/>
      <queryTableField id="275" dataBound="0" tableColumnId="16119"/>
      <queryTableField id="274" dataBound="0" tableColumnId="16120"/>
      <queryTableField id="273" dataBound="0" tableColumnId="16121"/>
      <queryTableField id="272" dataBound="0" tableColumnId="16122"/>
      <queryTableField id="271" dataBound="0" tableColumnId="16123"/>
      <queryTableField id="270" dataBound="0" tableColumnId="16124"/>
      <queryTableField id="269" dataBound="0" tableColumnId="16125"/>
      <queryTableField id="268" dataBound="0" tableColumnId="16126"/>
      <queryTableField id="267" dataBound="0" tableColumnId="16127"/>
      <queryTableField id="266" dataBound="0" tableColumnId="16128"/>
      <queryTableField id="265" dataBound="0" tableColumnId="16129"/>
      <queryTableField id="264" dataBound="0" tableColumnId="16130"/>
      <queryTableField id="263" dataBound="0" tableColumnId="16131"/>
      <queryTableField id="262" dataBound="0" tableColumnId="16132"/>
      <queryTableField id="261" dataBound="0" tableColumnId="16133"/>
      <queryTableField id="260" dataBound="0" tableColumnId="16134"/>
      <queryTableField id="259" dataBound="0" tableColumnId="16135"/>
      <queryTableField id="258" dataBound="0" tableColumnId="16136"/>
      <queryTableField id="257" dataBound="0" tableColumnId="16137"/>
      <queryTableField id="256" dataBound="0" tableColumnId="16138"/>
      <queryTableField id="255" dataBound="0" tableColumnId="16139"/>
      <queryTableField id="254" dataBound="0" tableColumnId="16140"/>
      <queryTableField id="253" dataBound="0" tableColumnId="16141"/>
      <queryTableField id="252" dataBound="0" tableColumnId="16142"/>
      <queryTableField id="251" dataBound="0" tableColumnId="16143"/>
      <queryTableField id="250" dataBound="0" tableColumnId="16144"/>
      <queryTableField id="249" dataBound="0" tableColumnId="16145"/>
      <queryTableField id="248" dataBound="0" tableColumnId="16146"/>
      <queryTableField id="247" dataBound="0" tableColumnId="16147"/>
      <queryTableField id="246" dataBound="0" tableColumnId="16148"/>
      <queryTableField id="245" dataBound="0" tableColumnId="16149"/>
      <queryTableField id="244" dataBound="0" tableColumnId="16150"/>
      <queryTableField id="243" dataBound="0" tableColumnId="16151"/>
      <queryTableField id="242" dataBound="0" tableColumnId="16152"/>
      <queryTableField id="241" dataBound="0" tableColumnId="16153"/>
      <queryTableField id="240" dataBound="0" tableColumnId="16154"/>
      <queryTableField id="239" dataBound="0" tableColumnId="16155"/>
      <queryTableField id="238" dataBound="0" tableColumnId="16156"/>
      <queryTableField id="237" dataBound="0" tableColumnId="16157"/>
      <queryTableField id="236" dataBound="0" tableColumnId="16158"/>
      <queryTableField id="235" dataBound="0" tableColumnId="16159"/>
      <queryTableField id="234" dataBound="0" tableColumnId="16160"/>
      <queryTableField id="233" dataBound="0" tableColumnId="16161"/>
      <queryTableField id="232" dataBound="0" tableColumnId="16162"/>
      <queryTableField id="231" dataBound="0" tableColumnId="16163"/>
      <queryTableField id="230" dataBound="0" tableColumnId="16164"/>
      <queryTableField id="229" dataBound="0" tableColumnId="16165"/>
      <queryTableField id="228" dataBound="0" tableColumnId="16166"/>
      <queryTableField id="227" dataBound="0" tableColumnId="16167"/>
      <queryTableField id="226" dataBound="0" tableColumnId="16168"/>
      <queryTableField id="225" dataBound="0" tableColumnId="16169"/>
      <queryTableField id="224" dataBound="0" tableColumnId="16170"/>
      <queryTableField id="223" dataBound="0" tableColumnId="16171"/>
      <queryTableField id="222" dataBound="0" tableColumnId="16172"/>
      <queryTableField id="221" dataBound="0" tableColumnId="16173"/>
      <queryTableField id="220" dataBound="0" tableColumnId="16174"/>
      <queryTableField id="219" dataBound="0" tableColumnId="16175"/>
      <queryTableField id="218" dataBound="0" tableColumnId="16176"/>
      <queryTableField id="217" dataBound="0" tableColumnId="16177"/>
      <queryTableField id="216" dataBound="0" tableColumnId="16178"/>
      <queryTableField id="215" dataBound="0" tableColumnId="16179"/>
      <queryTableField id="214" dataBound="0" tableColumnId="16180"/>
      <queryTableField id="213" dataBound="0" tableColumnId="16181"/>
      <queryTableField id="212" dataBound="0" tableColumnId="16182"/>
      <queryTableField id="211" dataBound="0" tableColumnId="16183"/>
      <queryTableField id="210" dataBound="0" tableColumnId="16184"/>
      <queryTableField id="209" dataBound="0" tableColumnId="16185"/>
      <queryTableField id="208" dataBound="0" tableColumnId="16186"/>
      <queryTableField id="207" dataBound="0" tableColumnId="16187"/>
      <queryTableField id="206" dataBound="0" tableColumnId="16188"/>
      <queryTableField id="205" dataBound="0" tableColumnId="16189"/>
      <queryTableField id="204" dataBound="0" tableColumnId="16190"/>
      <queryTableField id="203" dataBound="0" tableColumnId="16191"/>
      <queryTableField id="202" dataBound="0" tableColumnId="16192"/>
      <queryTableField id="201" dataBound="0" tableColumnId="16193"/>
      <queryTableField id="200" dataBound="0" tableColumnId="16194"/>
      <queryTableField id="199" dataBound="0" tableColumnId="16195"/>
      <queryTableField id="198" dataBound="0" tableColumnId="16196"/>
      <queryTableField id="197" dataBound="0" tableColumnId="16197"/>
      <queryTableField id="196" dataBound="0" tableColumnId="16198"/>
      <queryTableField id="195" dataBound="0" tableColumnId="16199"/>
      <queryTableField id="194" dataBound="0" tableColumnId="16200"/>
      <queryTableField id="193" dataBound="0" tableColumnId="16201"/>
      <queryTableField id="192" dataBound="0" tableColumnId="16202"/>
      <queryTableField id="191" dataBound="0" tableColumnId="16203"/>
      <queryTableField id="190" dataBound="0" tableColumnId="16204"/>
      <queryTableField id="189" dataBound="0" tableColumnId="16205"/>
      <queryTableField id="188" dataBound="0" tableColumnId="16206"/>
      <queryTableField id="187" dataBound="0" tableColumnId="16207"/>
      <queryTableField id="186" dataBound="0" tableColumnId="16208"/>
      <queryTableField id="185" dataBound="0" tableColumnId="16209"/>
      <queryTableField id="184" dataBound="0" tableColumnId="16210"/>
      <queryTableField id="183" dataBound="0" tableColumnId="16211"/>
      <queryTableField id="182" dataBound="0" tableColumnId="16212"/>
      <queryTableField id="181" dataBound="0" tableColumnId="16213"/>
      <queryTableField id="180" dataBound="0" tableColumnId="16214"/>
      <queryTableField id="179" dataBound="0" tableColumnId="16215"/>
      <queryTableField id="178" dataBound="0" tableColumnId="16216"/>
      <queryTableField id="177" dataBound="0" tableColumnId="16217"/>
      <queryTableField id="176" dataBound="0" tableColumnId="16218"/>
      <queryTableField id="175" dataBound="0" tableColumnId="16219"/>
      <queryTableField id="174" dataBound="0" tableColumnId="16220"/>
      <queryTableField id="173" dataBound="0" tableColumnId="16221"/>
      <queryTableField id="172" dataBound="0" tableColumnId="16222"/>
      <queryTableField id="171" dataBound="0" tableColumnId="16223"/>
      <queryTableField id="170" dataBound="0" tableColumnId="16224"/>
      <queryTableField id="169" dataBound="0" tableColumnId="16225"/>
      <queryTableField id="168" dataBound="0" tableColumnId="16226"/>
      <queryTableField id="167" dataBound="0" tableColumnId="16227"/>
      <queryTableField id="166" dataBound="0" tableColumnId="16228"/>
      <queryTableField id="165" dataBound="0" tableColumnId="16229"/>
      <queryTableField id="164" dataBound="0" tableColumnId="16230"/>
      <queryTableField id="163" dataBound="0" tableColumnId="16231"/>
      <queryTableField id="162" dataBound="0" tableColumnId="16232"/>
      <queryTableField id="161" dataBound="0" tableColumnId="16233"/>
      <queryTableField id="160" dataBound="0" tableColumnId="16234"/>
      <queryTableField id="159" dataBound="0" tableColumnId="16235"/>
      <queryTableField id="158" dataBound="0" tableColumnId="16236"/>
      <queryTableField id="157" dataBound="0" tableColumnId="16237"/>
      <queryTableField id="156" dataBound="0" tableColumnId="16238"/>
      <queryTableField id="155" dataBound="0" tableColumnId="16239"/>
      <queryTableField id="154" dataBound="0" tableColumnId="16240"/>
      <queryTableField id="153" dataBound="0" tableColumnId="16241"/>
      <queryTableField id="152" dataBound="0" tableColumnId="16242"/>
      <queryTableField id="151" dataBound="0" tableColumnId="16243"/>
      <queryTableField id="150" dataBound="0" tableColumnId="16244"/>
      <queryTableField id="149" dataBound="0" tableColumnId="16245"/>
      <queryTableField id="148" dataBound="0" tableColumnId="16246"/>
      <queryTableField id="147" dataBound="0" tableColumnId="16247"/>
      <queryTableField id="146" dataBound="0" tableColumnId="16248"/>
      <queryTableField id="145" dataBound="0" tableColumnId="16249"/>
      <queryTableField id="144" dataBound="0" tableColumnId="16250"/>
      <queryTableField id="143" dataBound="0" tableColumnId="16251"/>
      <queryTableField id="142" dataBound="0" tableColumnId="16252"/>
      <queryTableField id="141" dataBound="0" tableColumnId="16253"/>
      <queryTableField id="140" dataBound="0" tableColumnId="16254"/>
      <queryTableField id="139" dataBound="0" tableColumnId="16255"/>
      <queryTableField id="138" dataBound="0" tableColumnId="16256"/>
      <queryTableField id="137" dataBound="0" tableColumnId="16257"/>
      <queryTableField id="136" dataBound="0" tableColumnId="16258"/>
      <queryTableField id="135" dataBound="0" tableColumnId="16259"/>
      <queryTableField id="134" dataBound="0" tableColumnId="16260"/>
      <queryTableField id="133" dataBound="0" tableColumnId="16261"/>
      <queryTableField id="132" dataBound="0" tableColumnId="16262"/>
      <queryTableField id="131" dataBound="0" tableColumnId="16263"/>
      <queryTableField id="130" dataBound="0" tableColumnId="16264"/>
      <queryTableField id="129" dataBound="0" tableColumnId="16265"/>
      <queryTableField id="128" dataBound="0" tableColumnId="16266"/>
      <queryTableField id="127" dataBound="0" tableColumnId="16267"/>
      <queryTableField id="126" dataBound="0" tableColumnId="16268"/>
      <queryTableField id="125" dataBound="0" tableColumnId="16269"/>
      <queryTableField id="124" dataBound="0" tableColumnId="16270"/>
      <queryTableField id="123" dataBound="0" tableColumnId="16271"/>
      <queryTableField id="122" dataBound="0" tableColumnId="16272"/>
      <queryTableField id="121" dataBound="0" tableColumnId="16273"/>
      <queryTableField id="120" dataBound="0" tableColumnId="16274"/>
      <queryTableField id="119" dataBound="0" tableColumnId="16275"/>
      <queryTableField id="118" dataBound="0" tableColumnId="16276"/>
      <queryTableField id="117" dataBound="0" tableColumnId="16277"/>
      <queryTableField id="116" dataBound="0" tableColumnId="16278"/>
      <queryTableField id="115" dataBound="0" tableColumnId="16279"/>
      <queryTableField id="114" dataBound="0" tableColumnId="16280"/>
      <queryTableField id="113" dataBound="0" tableColumnId="16281"/>
      <queryTableField id="112" dataBound="0" tableColumnId="16282"/>
      <queryTableField id="111" dataBound="0" tableColumnId="16283"/>
      <queryTableField id="110" dataBound="0" tableColumnId="16284"/>
      <queryTableField id="109" dataBound="0" tableColumnId="16285"/>
      <queryTableField id="108" dataBound="0" tableColumnId="16286"/>
      <queryTableField id="107" dataBound="0" tableColumnId="16287"/>
      <queryTableField id="106" dataBound="0" tableColumnId="16288"/>
      <queryTableField id="105" dataBound="0" tableColumnId="16289"/>
      <queryTableField id="104" dataBound="0" tableColumnId="16290"/>
      <queryTableField id="103" dataBound="0" tableColumnId="16291"/>
      <queryTableField id="102" dataBound="0" tableColumnId="16292"/>
      <queryTableField id="101" dataBound="0" tableColumnId="16293"/>
      <queryTableField id="100" dataBound="0" tableColumnId="16294"/>
      <queryTableField id="99" dataBound="0" tableColumnId="16295"/>
      <queryTableField id="98" dataBound="0" tableColumnId="16296"/>
      <queryTableField id="97" dataBound="0" tableColumnId="16297"/>
      <queryTableField id="96" dataBound="0" tableColumnId="16298"/>
      <queryTableField id="95" dataBound="0" tableColumnId="16299"/>
      <queryTableField id="94" dataBound="0" tableColumnId="16300"/>
      <queryTableField id="93" dataBound="0" tableColumnId="16301"/>
      <queryTableField id="92" dataBound="0" tableColumnId="16302"/>
      <queryTableField id="91" dataBound="0" tableColumnId="16303"/>
      <queryTableField id="90" dataBound="0" tableColumnId="16304"/>
      <queryTableField id="89" dataBound="0" tableColumnId="16305"/>
      <queryTableField id="88" dataBound="0" tableColumnId="16306"/>
      <queryTableField id="87" dataBound="0" tableColumnId="16307"/>
      <queryTableField id="86" dataBound="0" tableColumnId="16308"/>
      <queryTableField id="85" dataBound="0" tableColumnId="16309"/>
      <queryTableField id="84" dataBound="0" tableColumnId="16310"/>
      <queryTableField id="83" dataBound="0" tableColumnId="16311"/>
      <queryTableField id="82" dataBound="0" tableColumnId="16312"/>
      <queryTableField id="81" dataBound="0" tableColumnId="16313"/>
      <queryTableField id="80" dataBound="0" tableColumnId="16314"/>
      <queryTableField id="79" dataBound="0" tableColumnId="16315"/>
      <queryTableField id="78" dataBound="0" tableColumnId="16316"/>
      <queryTableField id="77" dataBound="0" tableColumnId="16317"/>
      <queryTableField id="76" dataBound="0" tableColumnId="16318"/>
      <queryTableField id="75" dataBound="0" tableColumnId="16319"/>
      <queryTableField id="74" dataBound="0" tableColumnId="16320"/>
      <queryTableField id="73" dataBound="0" tableColumnId="16321"/>
      <queryTableField id="72" dataBound="0" tableColumnId="16322"/>
      <queryTableField id="71" dataBound="0" tableColumnId="16323"/>
      <queryTableField id="70" dataBound="0" tableColumnId="16324"/>
      <queryTableField id="69" dataBound="0" tableColumnId="16325"/>
      <queryTableField id="68" dataBound="0" tableColumnId="16326"/>
      <queryTableField id="67" dataBound="0" tableColumnId="16327"/>
      <queryTableField id="66" dataBound="0" tableColumnId="16328"/>
      <queryTableField id="65" dataBound="0" tableColumnId="16329"/>
      <queryTableField id="64" dataBound="0" tableColumnId="16330"/>
      <queryTableField id="63" dataBound="0" tableColumnId="16331"/>
      <queryTableField id="62" dataBound="0" tableColumnId="16332"/>
      <queryTableField id="61" dataBound="0" tableColumnId="16333"/>
      <queryTableField id="60" dataBound="0" tableColumnId="16334"/>
      <queryTableField id="59" dataBound="0" tableColumnId="16335"/>
      <queryTableField id="58" dataBound="0" tableColumnId="16336"/>
      <queryTableField id="57" dataBound="0" tableColumnId="16337"/>
      <queryTableField id="56" dataBound="0" tableColumnId="16338"/>
      <queryTableField id="55" dataBound="0" tableColumnId="16339"/>
      <queryTableField id="54" dataBound="0" tableColumnId="16340"/>
      <queryTableField id="53" dataBound="0" tableColumnId="16341"/>
      <queryTableField id="52" dataBound="0" tableColumnId="16342"/>
      <queryTableField id="51" dataBound="0" tableColumnId="16343"/>
      <queryTableField id="50" dataBound="0" tableColumnId="16344"/>
      <queryTableField id="49" dataBound="0" tableColumnId="16345"/>
      <queryTableField id="48" dataBound="0" tableColumnId="16346"/>
      <queryTableField id="47" dataBound="0" tableColumnId="16347"/>
      <queryTableField id="46" dataBound="0" tableColumnId="16348"/>
      <queryTableField id="45" dataBound="0" tableColumnId="16349"/>
      <queryTableField id="44" dataBound="0" tableColumnId="16350"/>
      <queryTableField id="43" dataBound="0" tableColumnId="16351"/>
      <queryTableField id="42" dataBound="0" tableColumnId="16352"/>
      <queryTableField id="41" dataBound="0" tableColumnId="16353"/>
      <queryTableField id="40" dataBound="0" tableColumnId="16354"/>
      <queryTableField id="39" dataBound="0" tableColumnId="16355"/>
      <queryTableField id="38" dataBound="0" tableColumnId="16356"/>
      <queryTableField id="37" dataBound="0" tableColumnId="16357"/>
      <queryTableField id="36" dataBound="0" tableColumnId="16358"/>
      <queryTableField id="35" dataBound="0" tableColumnId="16359"/>
      <queryTableField id="34" dataBound="0" tableColumnId="16360"/>
      <queryTableField id="33" dataBound="0" tableColumnId="16361"/>
      <queryTableField id="32" dataBound="0" tableColumnId="16362"/>
      <queryTableField id="31" dataBound="0" tableColumnId="16363"/>
      <queryTableField id="30" dataBound="0" tableColumnId="16364"/>
      <queryTableField id="29" dataBound="0" tableColumnId="16365"/>
      <queryTableField id="28" dataBound="0" tableColumnId="16366"/>
      <queryTableField id="27" dataBound="0" tableColumnId="16367"/>
      <queryTableField id="26" dataBound="0" tableColumnId="16368"/>
      <queryTableField id="25" dataBound="0" tableColumnId="16369"/>
      <queryTableField id="24" dataBound="0" tableColumnId="16370"/>
      <queryTableField id="23" dataBound="0" tableColumnId="16371"/>
      <queryTableField id="22" dataBound="0" tableColumnId="16372"/>
      <queryTableField id="21" dataBound="0" tableColumnId="16373"/>
      <queryTableField id="20" dataBound="0" tableColumnId="16374"/>
      <queryTableField id="19" dataBound="0" tableColumnId="16375"/>
      <queryTableField id="18" dataBound="0" tableColumnId="16376"/>
      <queryTableField id="17" dataBound="0" tableColumnId="16377"/>
      <queryTableField id="16" dataBound="0" tableColumnId="16378"/>
      <queryTableField id="15" dataBound="0" tableColumnId="16379"/>
      <queryTableField id="14" dataBound="0" tableColumnId="16380"/>
      <queryTableField id="13" dataBound="0" tableColumnId="16381"/>
      <queryTableField id="12" dataBound="0" tableColumnId="16382"/>
      <queryTableField id="11" dataBound="0" tableColumnId="16383"/>
      <queryTableField id="10" dataBound="0" tableColumnId="16384"/>
      <queryTableField id="9" dataBound="0" tableColumnId="16385"/>
    </queryTableFields>
  </queryTableRefresh>
</queryTable>
</file>

<file path=xl/queryTables/queryTable34.xml><?xml version="1.0" encoding="utf-8"?>
<queryTable xmlns="http://schemas.openxmlformats.org/spreadsheetml/2006/main" name="s-srs-v01_pds RAP Attacks_Operational" connectionId="55" autoFormatId="16" applyNumberFormats="0" applyBorderFormats="0" applyFontFormats="0" applyPatternFormats="0" applyAlignmentFormats="0" applyWidthHeightFormats="0">
  <queryTableRefresh nextId="8">
    <queryTableFields count="6">
      <queryTableField id="2" name="FinYear" tableColumnId="2"/>
      <queryTableField id="3" name="Objects thrown at firefighters/appliances" tableColumnId="3"/>
      <queryTableField id="4" name="Other acts of aggression" tableColumnId="4"/>
      <queryTableField id="5" name="Verbal abuse" tableColumnId="5"/>
      <queryTableField id="6" name="Physical abuse" tableColumnId="6"/>
      <queryTableField id="7" name="Total" tableColumnId="7"/>
    </queryTableFields>
    <queryTableDeletedFields count="1">
      <deletedField name="Op"/>
    </queryTableDeletedFields>
  </queryTableRefresh>
</queryTable>
</file>

<file path=xl/queryTables/queryTable35.xml><?xml version="1.0" encoding="utf-8"?>
<queryTable xmlns="http://schemas.openxmlformats.org/spreadsheetml/2006/main" name="s-srs-v01_pds RAP Injuries_Operational" connectionId="59" autoFormatId="16" applyNumberFormats="0" applyBorderFormats="0" applyFontFormats="0" applyPatternFormats="0" applyAlignmentFormats="0" applyWidthHeightFormats="0">
  <queryTableRefresh nextId="8">
    <queryTableFields count="6">
      <queryTableField id="2" name="FinYear" tableColumnId="2"/>
      <queryTableField id="3" name="Objects thrown at firefighters/appliances" tableColumnId="3"/>
      <queryTableField id="4" name="Other acts of aggression" tableColumnId="4"/>
      <queryTableField id="5" name="Verbal abuse" tableColumnId="5"/>
      <queryTableField id="6" name="Physical abuse" tableColumnId="6"/>
      <queryTableField id="7" name="Total" tableColumnId="7"/>
    </queryTableFields>
    <queryTableDeletedFields count="1">
      <deletedField name="Op"/>
    </queryTableDeletedFields>
  </queryTableRefresh>
</queryTable>
</file>

<file path=xl/queryTables/queryTable36.xml><?xml version="1.0" encoding="utf-8"?>
<queryTable xmlns="http://schemas.openxmlformats.org/spreadsheetml/2006/main" name="s-srs-v01_pds RAP Attacks_Non_Operational" connectionId="54" autoFormatId="16" applyNumberFormats="0" applyBorderFormats="0" applyFontFormats="0" applyPatternFormats="0" applyAlignmentFormats="0" applyWidthHeightFormats="0">
  <queryTableRefresh nextId="8">
    <queryTableFields count="6">
      <queryTableField id="2" name="FinYear" tableColumnId="2"/>
      <queryTableField id="3" name="Objects thrown at firefighters/appliances" tableColumnId="3"/>
      <queryTableField id="4" name="Other acts of aggression" tableColumnId="4"/>
      <queryTableField id="5" name="Verbal abuse" tableColumnId="5"/>
      <queryTableField id="6" name="Physical abuse" tableColumnId="6"/>
      <queryTableField id="7" name="Total" tableColumnId="7"/>
    </queryTableFields>
    <queryTableDeletedFields count="1">
      <deletedField name="Op"/>
    </queryTableDeletedFields>
  </queryTableRefresh>
</queryTable>
</file>

<file path=xl/queryTables/queryTable37.xml><?xml version="1.0" encoding="utf-8"?>
<queryTable xmlns="http://schemas.openxmlformats.org/spreadsheetml/2006/main" name="s-srs-v01_pds RAP Injuries_Non_Operational" connectionId="58" autoFormatId="16" applyNumberFormats="0" applyBorderFormats="0" applyFontFormats="0" applyPatternFormats="0" applyAlignmentFormats="0" applyWidthHeightFormats="0">
  <queryTableRefresh nextId="8">
    <queryTableFields count="6">
      <queryTableField id="2" name="FinYear" tableColumnId="2"/>
      <queryTableField id="3" name="Objects thrown at firefighters/appliances" tableColumnId="3"/>
      <queryTableField id="4" name="Other acts of aggression" tableColumnId="4"/>
      <queryTableField id="5" name="Verbal abuse" tableColumnId="5"/>
      <queryTableField id="6" name="Physical abuse" tableColumnId="6"/>
      <queryTableField id="7" name="Total" tableColumnId="7"/>
    </queryTableFields>
    <queryTableDeletedFields count="1">
      <deletedField name="Op"/>
    </queryTableDeletedFields>
  </queryTableRefresh>
</queryTable>
</file>

<file path=xl/queryTables/queryTable38.xml><?xml version="1.0" encoding="utf-8"?>
<queryTable xmlns="http://schemas.openxmlformats.org/spreadsheetml/2006/main" name="ExternalData_1" connectionId="45" autoFormatId="16" applyNumberFormats="0" applyBorderFormats="0" applyFontFormats="0" applyPatternFormats="0" applyAlignmentFormats="0" applyWidthHeightFormats="0">
  <queryTableRefresh nextId="10">
    <queryTableFields count="8">
      <queryTableField id="1" name="LA Code" tableColumnId="8"/>
      <queryTableField id="2" name="Local Authority" tableColumnId="2"/>
      <queryTableField id="8" name="2015-16" tableColumnId="1"/>
      <queryTableField id="3" name="2016-17" tableColumnId="3"/>
      <queryTableField id="4" name="2017-18" tableColumnId="4"/>
      <queryTableField id="5" name="2018-19" tableColumnId="5"/>
      <queryTableField id="6" name="2019-20" tableColumnId="6"/>
      <queryTableField id="7" name="2020-21" tableColumnId="7"/>
    </queryTableFields>
  </queryTableRefresh>
</queryTable>
</file>

<file path=xl/queryTables/queryTable39.xml><?xml version="1.0" encoding="utf-8"?>
<queryTable xmlns="http://schemas.openxmlformats.org/spreadsheetml/2006/main" name="s-srs-v01_pds RAP HFSV_Outcome" connectionId="56" autoFormatId="16" applyNumberFormats="0" applyBorderFormats="0" applyFontFormats="0" applyPatternFormats="0" applyAlignmentFormats="0" applyWidthHeightFormats="0">
  <queryTableRefresh nextId="8">
    <queryTableFields count="7">
      <queryTableField id="1" name="Year" tableColumnId="1"/>
      <queryTableField id="2" name="HFSV - alarms installed" tableColumnId="2"/>
      <queryTableField id="3" name="HFSV - advice only" tableColumnId="3"/>
      <queryTableField id="4" name="Total HFSV" tableColumnId="4"/>
      <queryTableField id="5" name="Smoke alarms installed during HFSV" tableColumnId="5"/>
      <queryTableField id="6" name="New" tableColumnId="6"/>
      <queryTableField id="7" name="Replacement" tableColumnId="7"/>
    </queryTableFields>
  </queryTableRefresh>
</queryTable>
</file>

<file path=xl/queryTables/queryTable4.xml><?xml version="1.0" encoding="utf-8"?>
<queryTable xmlns="http://schemas.openxmlformats.org/spreadsheetml/2006/main" name="ExternalData_3" connectionId="39" autoFormatId="16" applyNumberFormats="0" applyBorderFormats="0" applyFontFormats="0" applyPatternFormats="0" applyAlignmentFormats="0" applyWidthHeightFormats="0">
  <queryTableRefresh nextId="8">
    <queryTableFields count="7">
      <queryTableField id="1" name="Year" tableColumnId="8"/>
      <queryTableField id="2" name="WholeTime Operational" tableColumnId="2"/>
      <queryTableField id="3" name="Retained Duty System" tableColumnId="3"/>
      <queryTableField id="4" name="RDS Fulltime" tableColumnId="4"/>
      <queryTableField id="5" name="Control" tableColumnId="5"/>
      <queryTableField id="6" name="Support" tableColumnId="6"/>
      <queryTableField id="7" name="Volunteer" tableColumnId="7"/>
    </queryTableFields>
  </queryTableRefresh>
</queryTable>
</file>

<file path=xl/queryTables/queryTable40.xml><?xml version="1.0" encoding="utf-8"?>
<queryTable xmlns="http://schemas.openxmlformats.org/spreadsheetml/2006/main" name="ExternalData_1" connectionId="3" autoFormatId="16" applyNumberFormats="0" applyBorderFormats="0" applyFontFormats="0" applyPatternFormats="0" applyAlignmentFormats="0" applyWidthHeightFormats="0">
  <queryTableRefresh nextId="7" unboundColumnsRight="1">
    <queryTableFields count="6">
      <queryTableField id="1" name="Year" tableColumnId="6"/>
      <queryTableField id="2" name="In One Year" tableColumnId="2"/>
      <queryTableField id="3" name="Over Three Years" tableColumnId="3"/>
      <queryTableField id="4" name="Over Five Years" tableColumnId="4"/>
      <queryTableField id="5" name="Non-repeat Visits" tableColumnId="5"/>
      <queryTableField id="6" dataBound="0" tableColumnId="7"/>
    </queryTableFields>
  </queryTableRefresh>
</queryTable>
</file>

<file path=xl/queryTables/queryTable41.xml><?xml version="1.0" encoding="utf-8"?>
<queryTable xmlns="http://schemas.openxmlformats.org/spreadsheetml/2006/main" name="ExternalData_2" connectionId="1" autoFormatId="16" applyNumberFormats="0" applyBorderFormats="0" applyFontFormats="0" applyPatternFormats="0" applyAlignmentFormats="0" applyWidthHeightFormats="0">
  <queryTableRefresh nextId="5">
    <queryTableFields count="4">
      <queryTableField id="1" name="Year" tableColumnId="5"/>
      <queryTableField id="2" name="In One Year" tableColumnId="2"/>
      <queryTableField id="3" name="Over Three Years" tableColumnId="3"/>
      <queryTableField id="4" name="Over Five Years" tableColumnId="4"/>
    </queryTableFields>
  </queryTableRefresh>
</queryTable>
</file>

<file path=xl/queryTables/queryTable42.xml><?xml version="1.0" encoding="utf-8"?>
<queryTable xmlns="http://schemas.openxmlformats.org/spreadsheetml/2006/main" name="ExternalData_1" connectionId="4" autoFormatId="16" applyNumberFormats="0" applyBorderFormats="0" applyFontFormats="0" applyPatternFormats="0" applyAlignmentFormats="0" applyWidthHeightFormats="0">
  <queryTableRefresh nextId="5">
    <queryTableFields count="4">
      <queryTableField id="1" name="Year" tableColumnId="5"/>
      <queryTableField id="2" name="In One Year" tableColumnId="2"/>
      <queryTableField id="3" name="Over Three Years" tableColumnId="3"/>
      <queryTableField id="4" name="Over Five Years" tableColumnId="4"/>
    </queryTableFields>
  </queryTableRefresh>
</queryTable>
</file>

<file path=xl/queryTables/queryTable43.xml><?xml version="1.0" encoding="utf-8"?>
<queryTable xmlns="http://schemas.openxmlformats.org/spreadsheetml/2006/main" name="ExternalData_2" connectionId="2" autoFormatId="16" applyNumberFormats="0" applyBorderFormats="0" applyFontFormats="0" applyPatternFormats="0" applyAlignmentFormats="0" applyWidthHeightFormats="0">
  <queryTableRefresh nextId="5">
    <queryTableFields count="4">
      <queryTableField id="1" name="Year" tableColumnId="5"/>
      <queryTableField id="2" name="In One Year" tableColumnId="2"/>
      <queryTableField id="3" name="Over Three Years" tableColumnId="3"/>
      <queryTableField id="4" name="Over Five Years" tableColumnId="4"/>
    </queryTableFields>
  </queryTableRefresh>
</queryTable>
</file>

<file path=xl/queryTables/queryTable44.xml><?xml version="1.0" encoding="utf-8"?>
<queryTable xmlns="http://schemas.openxmlformats.org/spreadsheetml/2006/main" name="s-srs-v01_pds RAP Residents_Age_Profile" connectionId="60" autoFormatId="16" applyNumberFormats="0" applyBorderFormats="0" applyFontFormats="0" applyPatternFormats="0" applyAlignmentFormats="0" applyWidthHeightFormats="0">
  <queryTableRefresh nextId="9">
    <queryTableFields count="8">
      <queryTableField id="1" name="Year" tableColumnId="1"/>
      <queryTableField id="2" name="Under 5s" tableColumnId="2"/>
      <queryTableField id="3" name="5 to 10" tableColumnId="3"/>
      <queryTableField id="4" name="11 to 16" tableColumnId="4"/>
      <queryTableField id="5" name="17 to 30" tableColumnId="5"/>
      <queryTableField id="6" name="31 to 60" tableColumnId="6"/>
      <queryTableField id="7" name="Over 60" tableColumnId="7"/>
      <queryTableField id="8" name="All Residents" tableColumnId="8"/>
    </queryTableFields>
  </queryTableRefresh>
</queryTable>
</file>

<file path=xl/queryTables/queryTable45.xml><?xml version="1.0" encoding="utf-8"?>
<queryTable xmlns="http://schemas.openxmlformats.org/spreadsheetml/2006/main" name="ExternalData_1" connectionId="7" autoFormatId="16" applyNumberFormats="0" applyBorderFormats="0" applyFontFormats="0" applyPatternFormats="0" applyAlignmentFormats="0" applyWidthHeightFormats="0">
  <queryTableRefresh nextId="9">
    <queryTableFields count="8">
      <queryTableField id="1" name="Year" tableColumnId="9"/>
      <queryTableField id="2" name="Under 5s" tableColumnId="2"/>
      <queryTableField id="3" name="5 to 10" tableColumnId="3"/>
      <queryTableField id="4" name="11 to 16" tableColumnId="4"/>
      <queryTableField id="5" name="17 to 30" tableColumnId="5"/>
      <queryTableField id="6" name="31 to 60" tableColumnId="6"/>
      <queryTableField id="7" name="Over 60" tableColumnId="7"/>
      <queryTableField id="8" name="All Residents" tableColumnId="8"/>
    </queryTableFields>
  </queryTableRefresh>
</queryTable>
</file>

<file path=xl/queryTables/queryTable46.xml><?xml version="1.0" encoding="utf-8"?>
<queryTable xmlns="http://schemas.openxmlformats.org/spreadsheetml/2006/main" name="ExternalData_1" connectionId="6" autoFormatId="16" applyNumberFormats="0" applyBorderFormats="0" applyFontFormats="0" applyPatternFormats="0" applyAlignmentFormats="0" applyWidthHeightFormats="0">
  <queryTableRefresh nextId="8">
    <queryTableFields count="7">
      <queryTableField id="1" name="Tenure" tableColumnId="8"/>
      <queryTableField id="2" name="2015-16" tableColumnId="2"/>
      <queryTableField id="3" name="2016-17" tableColumnId="3"/>
      <queryTableField id="4" name="2017-18" tableColumnId="4"/>
      <queryTableField id="5" name="2018-19" tableColumnId="5"/>
      <queryTableField id="6" name="2019-20" tableColumnId="6"/>
      <queryTableField id="7" name="2020-21" tableColumnId="7"/>
    </queryTableFields>
  </queryTableRefresh>
</queryTable>
</file>

<file path=xl/queryTables/queryTable47.xml><?xml version="1.0" encoding="utf-8"?>
<queryTable xmlns="http://schemas.openxmlformats.org/spreadsheetml/2006/main" name="s-srs-v01_pds RAP SIMD_Visits" connectionId="62" autoFormatId="16" applyNumberFormats="0" applyBorderFormats="0" applyFontFormats="0" applyPatternFormats="0" applyAlignmentFormats="0" applyWidthHeightFormats="0">
  <queryTableRefresh nextId="8">
    <queryTableFields count="7">
      <queryTableField id="1" name="Year" tableColumnId="1"/>
      <queryTableField id="2" name="1 - Most Deprived 20%" tableColumnId="2"/>
      <queryTableField id="3" name="2" tableColumnId="3"/>
      <queryTableField id="4" name="3" tableColumnId="4"/>
      <queryTableField id="5" name="4" tableColumnId="5"/>
      <queryTableField id="6" name="5 - Least Deprived 20%" tableColumnId="6"/>
      <queryTableField id="7" name="All Scotland" tableColumnId="7"/>
    </queryTableFields>
  </queryTableRefresh>
</queryTable>
</file>

<file path=xl/queryTables/queryTable48.xml><?xml version="1.0" encoding="utf-8"?>
<queryTable xmlns="http://schemas.openxmlformats.org/spreadsheetml/2006/main" name="ExternalData_1" connectionId="9" autoFormatId="16" applyNumberFormats="0" applyBorderFormats="0" applyFontFormats="0" applyPatternFormats="0" applyAlignmentFormats="0" applyWidthHeightFormats="0">
  <queryTableRefresh nextId="8">
    <queryTableFields count="7">
      <queryTableField id="1" name="Year" tableColumnId="8"/>
      <queryTableField id="2" name="1 - Most Deprived 20%" tableColumnId="2"/>
      <queryTableField id="3" name="2" tableColumnId="3"/>
      <queryTableField id="4" name="3" tableColumnId="4"/>
      <queryTableField id="5" name="4" tableColumnId="5"/>
      <queryTableField id="6" name="5 - Least Deprived 20%" tableColumnId="6"/>
      <queryTableField id="7" name="All Scotland" tableColumnId="7"/>
    </queryTableFields>
  </queryTableRefresh>
</queryTable>
</file>

<file path=xl/queryTables/queryTable49.xml><?xml version="1.0" encoding="utf-8"?>
<queryTable xmlns="http://schemas.openxmlformats.org/spreadsheetml/2006/main" name="s-srs-v01_pds RAP SIMD_Alarms" connectionId="61" autoFormatId="16" applyNumberFormats="0" applyBorderFormats="0" applyFontFormats="0" applyPatternFormats="0" applyAlignmentFormats="0" applyWidthHeightFormats="0">
  <queryTableRefresh nextId="8">
    <queryTableFields count="7">
      <queryTableField id="1" name="Year" tableColumnId="1"/>
      <queryTableField id="2" name="1 - Most Deprived 20%" tableColumnId="2"/>
      <queryTableField id="3" name="2" tableColumnId="3"/>
      <queryTableField id="4" name="3" tableColumnId="4"/>
      <queryTableField id="5" name="4" tableColumnId="5"/>
      <queryTableField id="6" name="5 - Least Deprived 20%" tableColumnId="6"/>
      <queryTableField id="7" name="All Scotland" tableColumnId="7"/>
    </queryTableFields>
  </queryTableRefresh>
</queryTable>
</file>

<file path=xl/queryTables/queryTable5.xml><?xml version="1.0" encoding="utf-8"?>
<queryTable xmlns="http://schemas.openxmlformats.org/spreadsheetml/2006/main" name="ExternalData_1" connectionId="23" autoFormatId="16" applyNumberFormats="0" applyBorderFormats="0" applyFontFormats="0" applyPatternFormats="0" applyAlignmentFormats="0" applyWidthHeightFormats="0">
  <queryTableRefresh nextId="6">
    <queryTableFields count="5">
      <queryTableField id="1" name="Year" tableColumnId="6"/>
      <queryTableField id="2" name="Operational Crewing" tableColumnId="2"/>
      <queryTableField id="3" name="Incident Command Officers" tableColumnId="3"/>
      <queryTableField id="4" name="Office Duties" tableColumnId="4"/>
      <queryTableField id="5" name="Trainees" tableColumnId="5"/>
    </queryTableFields>
  </queryTableRefresh>
</queryTable>
</file>

<file path=xl/queryTables/queryTable50.xml><?xml version="1.0" encoding="utf-8"?>
<queryTable xmlns="http://schemas.openxmlformats.org/spreadsheetml/2006/main" name="ExternalData_1" connectionId="8" autoFormatId="16" applyNumberFormats="0" applyBorderFormats="0" applyFontFormats="0" applyPatternFormats="0" applyAlignmentFormats="0" applyWidthHeightFormats="0">
  <queryTableRefresh nextId="8">
    <queryTableFields count="7">
      <queryTableField id="1" name="Year" tableColumnId="8"/>
      <queryTableField id="2" name="1 - Most Deprived 20%" tableColumnId="2"/>
      <queryTableField id="3" name="2" tableColumnId="3"/>
      <queryTableField id="4" name="3" tableColumnId="4"/>
      <queryTableField id="5" name="4" tableColumnId="5"/>
      <queryTableField id="6" name="5 - Least Deprived 20%" tableColumnId="6"/>
      <queryTableField id="7" name="All Scotland" tableColumnId="7"/>
    </queryTableFields>
  </queryTableRefresh>
</queryTable>
</file>

<file path=xl/queryTables/queryTable51.xml><?xml version="1.0" encoding="utf-8"?>
<queryTable xmlns="http://schemas.openxmlformats.org/spreadsheetml/2006/main" name="ExternalData_1" connectionId="10" autoFormatId="16" applyNumberFormats="0" applyBorderFormats="0" applyFontFormats="0" applyPatternFormats="0" applyAlignmentFormats="0" applyWidthHeightFormats="0">
  <queryTableRefresh nextId="9">
    <queryTableFields count="8">
      <queryTableField id="1" name="Year" tableColumnId="9"/>
      <queryTableField id="2" name="1 - Large Urban Areas" tableColumnId="2"/>
      <queryTableField id="3" name="2 - Other Urban Areas" tableColumnId="3"/>
      <queryTableField id="4" name="3 - Accessible Small Towns" tableColumnId="4"/>
      <queryTableField id="5" name="4 - Remote Small Towns" tableColumnId="5"/>
      <queryTableField id="6" name="5 - Accessible Rural" tableColumnId="6"/>
      <queryTableField id="7" name="6 - Remote Rural" tableColumnId="7"/>
      <queryTableField id="8" name="All Scotland" tableColumnId="8"/>
    </queryTableFields>
  </queryTableRefresh>
</queryTable>
</file>

<file path=xl/queryTables/queryTable52.xml><?xml version="1.0" encoding="utf-8"?>
<queryTable xmlns="http://schemas.openxmlformats.org/spreadsheetml/2006/main" name="ExternalData_3" connectionId="11" autoFormatId="16" applyNumberFormats="0" applyBorderFormats="0" applyFontFormats="0" applyPatternFormats="0" applyAlignmentFormats="0" applyWidthHeightFormats="0">
  <queryTableRefresh nextId="9">
    <queryTableFields count="8">
      <queryTableField id="1" name="Year" tableColumnId="9"/>
      <queryTableField id="2" name="1 - Large Urban Areas" tableColumnId="2"/>
      <queryTableField id="3" name="2 - Other Urban Areas" tableColumnId="3"/>
      <queryTableField id="4" name="3 - Accessible Small Towns" tableColumnId="4"/>
      <queryTableField id="5" name="4 - Remote Small Towns" tableColumnId="5"/>
      <queryTableField id="6" name="5 - Accessible Rural" tableColumnId="6"/>
      <queryTableField id="7" name="6 - Remote Rural" tableColumnId="7"/>
      <queryTableField id="8" name="All Scotland" tableColumnId="8"/>
    </queryTableFields>
  </queryTableRefresh>
</queryTable>
</file>

<file path=xl/queryTables/queryTable53.xml><?xml version="1.0" encoding="utf-8"?>
<queryTable xmlns="http://schemas.openxmlformats.org/spreadsheetml/2006/main" name="s-srs-v01_pds RAP HFSV_Rate_LA_All" connectionId="57" autoFormatId="16" applyNumberFormats="0" applyBorderFormats="0" applyFontFormats="0" applyPatternFormats="0" applyAlignmentFormats="0" applyWidthHeightFormats="0">
  <queryTableRefresh nextId="17">
    <queryTableFields count="15">
      <queryTableField id="2" name="Council" tableColumnId="2"/>
      <queryTableField id="3" name="GSSCode" tableColumnId="3"/>
      <queryTableField id="4" name="HFSV - alarms installed" tableColumnId="4"/>
      <queryTableField id="5" name="HFSV - advice only" tableColumnId="5"/>
      <queryTableField id="6" name="Total HFSV" tableColumnId="6"/>
      <queryTableField id="7" name="TotalNewAlarms" tableColumnId="7"/>
      <queryTableField id="8" name="TotalReplacedAlarms" tableColumnId="8"/>
      <queryTableField id="9" name="TotalAlarms" tableColumnId="9"/>
      <queryTableField id="10" name="Dwellings" tableColumnId="10"/>
      <queryTableField id="11" name="VisitsPer100Dwelling" tableColumnId="11"/>
      <queryTableField id="12" name="AlarmsPer100Dwelling" tableColumnId="12"/>
      <queryTableField id="13" name="Households" tableColumnId="13"/>
      <queryTableField id="14" name="VisitsPer100Household" tableColumnId="14"/>
      <queryTableField id="15" name="AlarmsPer100Household" tableColumnId="15"/>
      <queryTableField id="16" name="Year" tableColumnId="1"/>
    </queryTableFields>
  </queryTableRefresh>
</queryTable>
</file>

<file path=xl/queryTables/queryTable54.xml><?xml version="1.0" encoding="utf-8"?>
<queryTable xmlns="http://schemas.openxmlformats.org/spreadsheetml/2006/main" name="ExternalData_1" connectionId="5" autoFormatId="16" applyNumberFormats="0" applyBorderFormats="0" applyFontFormats="0" applyPatternFormats="0" applyAlignmentFormats="0" applyWidthHeightFormats="0">
  <queryTableRefresh nextId="16">
    <queryTableFields count="15">
      <queryTableField id="1" name="FisYr" tableColumnId="16"/>
      <queryTableField id="2" name="Council" tableColumnId="2"/>
      <queryTableField id="3" name="GSSCode" tableColumnId="3"/>
      <queryTableField id="4" name="HFSV - alarms installed" tableColumnId="4"/>
      <queryTableField id="5" name="HFSV - advice only" tableColumnId="5"/>
      <queryTableField id="6" name="Total HFSV" tableColumnId="6"/>
      <queryTableField id="7" name="TotalNewAlarms" tableColumnId="7"/>
      <queryTableField id="8" name="TotalReplacedAlarms" tableColumnId="8"/>
      <queryTableField id="9" name="TotalAlarms" tableColumnId="9"/>
      <queryTableField id="10" name="Dwellings" tableColumnId="10"/>
      <queryTableField id="11" name="VisitsPer100Dwelling" tableColumnId="11"/>
      <queryTableField id="12" name="AlarmsPer100Dwelling" tableColumnId="12"/>
      <queryTableField id="13" name="Households" tableColumnId="13"/>
      <queryTableField id="14" name="VisitsPer100Household" tableColumnId="14"/>
      <queryTableField id="15" name="AlarmsPer100Household" tableColumnId="15"/>
    </queryTableFields>
  </queryTableRefresh>
</queryTable>
</file>

<file path=xl/queryTables/queryTable55.xml><?xml version="1.0" encoding="utf-8"?>
<queryTable xmlns="http://schemas.openxmlformats.org/spreadsheetml/2006/main" name="ExternalData_1" connectionId="53" autoFormatId="16" applyNumberFormats="0" applyBorderFormats="0" applyFontFormats="0" applyPatternFormats="0" applyAlignmentFormats="0" applyWidthHeightFormats="0">
  <queryTableRefresh nextId="8">
    <queryTableFields count="6">
      <queryTableField id="1" name="Year" tableColumnId="7"/>
      <queryTableField id="2" name="Audits" tableColumnId="2"/>
      <queryTableField id="3" name="Post Fire Short Audits" tableColumnId="3"/>
      <queryTableField id="4" name="Site Visits" tableColumnId="4"/>
      <queryTableField id="5" name="Consultations" tableColumnId="5"/>
      <queryTableField id="6" name="Fire Engineering Consultation" tableColumnId="6"/>
    </queryTableFields>
  </queryTableRefresh>
</queryTable>
</file>

<file path=xl/queryTables/queryTable56.xml><?xml version="1.0" encoding="utf-8"?>
<queryTable xmlns="http://schemas.openxmlformats.org/spreadsheetml/2006/main" name="ExternalData_1" connectionId="46" autoFormatId="16" applyNumberFormats="0" applyBorderFormats="0" applyFontFormats="0" applyPatternFormats="0" applyAlignmentFormats="0" applyWidthHeightFormats="0">
  <queryTableRefresh nextId="14">
    <queryTableFields count="13">
      <queryTableField id="1" name="Premises type" tableColumnId="14"/>
      <queryTableField id="2" name="2009-10" tableColumnId="2"/>
      <queryTableField id="3" name="2010-11" tableColumnId="3"/>
      <queryTableField id="4" name="2011-12" tableColumnId="4"/>
      <queryTableField id="5" name="2012-13" tableColumnId="5"/>
      <queryTableField id="6" name="2013-14" tableColumnId="6"/>
      <queryTableField id="7" name="2014-15" tableColumnId="7"/>
      <queryTableField id="8" name="2015-16" tableColumnId="8"/>
      <queryTableField id="9" name="2016-17" tableColumnId="9"/>
      <queryTableField id="10" name="2017-18" tableColumnId="10"/>
      <queryTableField id="11" name="2018-19" tableColumnId="11"/>
      <queryTableField id="12" name="2019-20" tableColumnId="12"/>
      <queryTableField id="13" name="2020-21" tableColumnId="13"/>
    </queryTableFields>
  </queryTableRefresh>
</queryTable>
</file>

<file path=xl/queryTables/queryTable57.xml><?xml version="1.0" encoding="utf-8"?>
<queryTable xmlns="http://schemas.openxmlformats.org/spreadsheetml/2006/main" name="ExternalData_1" connectionId="47" autoFormatId="16" applyNumberFormats="0" applyBorderFormats="0" applyFontFormats="0" applyPatternFormats="0" applyAlignmentFormats="0" applyWidthHeightFormats="0">
  <queryTableRefresh nextId="19">
    <queryTableFields count="18">
      <queryTableField id="1" name="Year" tableColumnId="19"/>
      <queryTableField id="2" name="Local Authority" tableColumnId="2"/>
      <queryTableField id="3" name="LA Code" tableColumnId="3"/>
      <queryTableField id="4" name="Hospital / Prison" tableColumnId="4"/>
      <queryTableField id="5" name="Care Home" tableColumnId="5"/>
      <queryTableField id="6" name="HMO" tableColumnId="6"/>
      <queryTableField id="7" name="Hostel" tableColumnId="7"/>
      <queryTableField id="8" name="Hotel" tableColumnId="8"/>
      <queryTableField id="9" name="Other Sleeping Accommodation" tableColumnId="9"/>
      <queryTableField id="10" name="Further Education" tableColumnId="10"/>
      <queryTableField id="11" name="Public Building" tableColumnId="11"/>
      <queryTableField id="12" name="Licensed Premises" tableColumnId="12"/>
      <queryTableField id="13" name="School" tableColumnId="13"/>
      <queryTableField id="14" name="Shop" tableColumnId="14"/>
      <queryTableField id="15" name="Other Sleeping Accomm" tableColumnId="15"/>
      <queryTableField id="16" name="Factory or Warehouse" tableColumnId="16"/>
      <queryTableField id="17" name="Office" tableColumnId="17"/>
      <queryTableField id="18" name="Other Workplace" tableColumnId="18"/>
    </queryTableFields>
  </queryTableRefresh>
</queryTable>
</file>

<file path=xl/queryTables/queryTable58.xml><?xml version="1.0" encoding="utf-8"?>
<queryTable xmlns="http://schemas.openxmlformats.org/spreadsheetml/2006/main" name="ExternalData_1" connectionId="49" autoFormatId="16" applyNumberFormats="0" applyBorderFormats="0" applyFontFormats="0" applyPatternFormats="0" applyAlignmentFormats="0" applyWidthHeightFormats="0">
  <queryTableRefresh nextId="12">
    <queryTableFields count="11">
      <queryTableField id="1" name="FisYr" tableColumnId="12"/>
      <queryTableField id="2" name="FSEC" tableColumnId="2"/>
      <queryTableField id="3" name="Type of Premises" tableColumnId="3"/>
      <queryTableField id="4" name="A_Tally" tableColumnId="4"/>
      <queryTableField id="5" name="A_Hours" tableColumnId="5"/>
      <queryTableField id="6" name="B_Tally" tableColumnId="6"/>
      <queryTableField id="7" name="B_Hours" tableColumnId="7"/>
      <queryTableField id="8" name="Enforcement_Tally" tableColumnId="8"/>
      <queryTableField id="9" name="Enforcement_Hours" tableColumnId="9"/>
      <queryTableField id="10" name="Prohibition_Tally" tableColumnId="10"/>
      <queryTableField id="11" name="Prohibition_Hours" tableColumnId="11"/>
    </queryTableFields>
  </queryTableRefresh>
</queryTable>
</file>

<file path=xl/queryTables/queryTable59.xml><?xml version="1.0" encoding="utf-8"?>
<queryTable xmlns="http://schemas.openxmlformats.org/spreadsheetml/2006/main" name="ExternalData_3" connectionId="50" autoFormatId="16" applyNumberFormats="0" applyBorderFormats="0" applyFontFormats="0" applyPatternFormats="0" applyAlignmentFormats="0" applyWidthHeightFormats="0">
  <queryTableRefresh nextId="12">
    <queryTableFields count="11">
      <queryTableField id="1" name="FisYr" tableColumnId="10"/>
      <queryTableField id="2" name="A_Tally" tableColumnId="2"/>
      <queryTableField id="3" name="A_Hours" tableColumnId="3"/>
      <queryTableField id="4" name="B_Tally" tableColumnId="4"/>
      <queryTableField id="5" name="B_Hours" tableColumnId="5"/>
      <queryTableField id="11" dataBound="0" tableColumnId="11"/>
      <queryTableField id="10" dataBound="0" tableColumnId="12"/>
      <queryTableField id="6" name="Enforcement_Tally" tableColumnId="6"/>
      <queryTableField id="7" name="Enforcement_Hours" tableColumnId="7"/>
      <queryTableField id="8" name="Prohibition_Tally" tableColumnId="8"/>
      <queryTableField id="9" name="Prohibition_Hours" tableColumnId="9"/>
    </queryTableFields>
  </queryTableRefresh>
</queryTable>
</file>

<file path=xl/queryTables/queryTable6.xml><?xml version="1.0" encoding="utf-8"?>
<queryTable xmlns="http://schemas.openxmlformats.org/spreadsheetml/2006/main" name="ExternalData_1" connectionId="24" autoFormatId="16" applyNumberFormats="0" applyBorderFormats="0" applyFontFormats="0" applyPatternFormats="0" applyAlignmentFormats="0" applyWidthHeightFormats="0">
  <queryTableRefresh nextId="8">
    <queryTableFields count="7">
      <queryTableField id="1" name="Year" tableColumnId="8"/>
      <queryTableField id="2" name="ReportingLevel" tableColumnId="2"/>
      <queryTableField id="3" name="lvl" tableColumnId="3"/>
      <queryTableField id="4" name="Operational Crewing" tableColumnId="4"/>
      <queryTableField id="5" name="Incident Command Officers" tableColumnId="5"/>
      <queryTableField id="6" name="Office Duties" tableColumnId="6"/>
      <queryTableField id="7" name="Trainees" tableColumnId="7"/>
    </queryTableFields>
  </queryTableRefresh>
</queryTable>
</file>

<file path=xl/queryTables/queryTable60.xml><?xml version="1.0" encoding="utf-8"?>
<queryTable xmlns="http://schemas.openxmlformats.org/spreadsheetml/2006/main" name="ExternalData_1" connectionId="48" autoFormatId="16" applyNumberFormats="0" applyBorderFormats="0" applyFontFormats="0" applyPatternFormats="0" applyAlignmentFormats="0" applyWidthHeightFormats="0">
  <queryTableRefresh nextId="12">
    <queryTableFields count="11">
      <queryTableField id="1" name="FisYr" tableColumnId="12"/>
      <queryTableField id="2" name="Council" tableColumnId="2"/>
      <queryTableField id="3" name="GSSCode" tableColumnId="3"/>
      <queryTableField id="4" name="A_Tally" tableColumnId="4"/>
      <queryTableField id="5" name="A_Hours" tableColumnId="5"/>
      <queryTableField id="6" name="B_Tally" tableColumnId="6"/>
      <queryTableField id="7" name="B_Hours" tableColumnId="7"/>
      <queryTableField id="8" name="Enforcement_Tally" tableColumnId="8"/>
      <queryTableField id="9" name="Enforcement_Hours" tableColumnId="9"/>
      <queryTableField id="10" name="Prohibition_Tally" tableColumnId="10"/>
      <queryTableField id="11" name="Prohibition_Hours" tableColumnId="11"/>
    </queryTableFields>
  </queryTableRefresh>
</queryTable>
</file>

<file path=xl/queryTables/queryTable61.xml><?xml version="1.0" encoding="utf-8"?>
<queryTable xmlns="http://schemas.openxmlformats.org/spreadsheetml/2006/main" name="ExternalData_1" connectionId="51" autoFormatId="16" applyNumberFormats="0" applyBorderFormats="0" applyFontFormats="0" applyPatternFormats="0" applyAlignmentFormats="0" applyWidthHeightFormats="0">
  <queryTableRefresh nextId="6" unboundColumnsRight="1">
    <queryTableFields count="5">
      <queryTableField id="1" name="Year" tableColumnId="5"/>
      <queryTableField id="2" name="Enforcement Notice" tableColumnId="2"/>
      <queryTableField id="3" name="Prohibition Notice" tableColumnId="3"/>
      <queryTableField id="4" name="Alterations Notice" tableColumnId="4"/>
      <queryTableField id="5" dataBound="0" tableColumnId="6"/>
    </queryTableFields>
  </queryTableRefresh>
</queryTable>
</file>

<file path=xl/queryTables/queryTable62.xml><?xml version="1.0" encoding="utf-8"?>
<queryTable xmlns="http://schemas.openxmlformats.org/spreadsheetml/2006/main" name="ExternalData_1" connectionId="52" autoFormatId="16" applyNumberFormats="0" applyBorderFormats="0" applyFontFormats="0" applyPatternFormats="0" applyAlignmentFormats="0" applyWidthHeightFormats="0">
  <queryTableRefresh nextId="12">
    <queryTableFields count="10">
      <queryTableField id="1" name="Year" tableColumnId="10"/>
      <queryTableField id="2" name="FSEC" tableColumnId="2"/>
      <queryTableField id="3" name="PremisesType" tableColumnId="3"/>
      <queryTableField id="4" name="VL" tableColumnId="4"/>
      <queryTableField id="5" name="L" tableColumnId="5"/>
      <queryTableField id="6" name="M" tableColumnId="6"/>
      <queryTableField id="7" name="H" tableColumnId="7"/>
      <queryTableField id="8" name="VH" tableColumnId="8"/>
      <queryTableField id="10" name="Not Known" tableColumnId="1"/>
      <queryTableField id="9" name="Total" tableColumnId="9"/>
    </queryTableFields>
  </queryTableRefresh>
</queryTable>
</file>

<file path=xl/queryTables/queryTable7.xml><?xml version="1.0" encoding="utf-8"?>
<queryTable xmlns="http://schemas.openxmlformats.org/spreadsheetml/2006/main" name="ExternalData_1" connectionId="20" autoFormatId="16" applyNumberFormats="0" applyBorderFormats="0" applyFontFormats="0" applyPatternFormats="0" applyAlignmentFormats="0" applyWidthHeightFormats="0">
  <queryTableRefresh nextId="13" unboundColumnsRight="1">
    <queryTableFields count="10">
      <queryTableField id="1" name="Year" tableColumnId="10"/>
      <queryTableField id="2" name="Directorate" tableColumnId="2"/>
      <queryTableField id="3" name="Unit" tableColumnId="3"/>
      <queryTableField id="4" name="Wholetime Operational" tableColumnId="4"/>
      <queryTableField id="5" name="Retained Duty System" tableColumnId="5"/>
      <queryTableField id="6" name="Retained Full-time" tableColumnId="6"/>
      <queryTableField id="7" name="Control" tableColumnId="7"/>
      <queryTableField id="8" name="Support" tableColumnId="8"/>
      <queryTableField id="9" name="Volunteer" tableColumnId="9"/>
      <queryTableField id="10" dataBound="0" tableColumnId="1"/>
    </queryTableFields>
  </queryTableRefresh>
</queryTable>
</file>

<file path=xl/queryTables/queryTable8.xml><?xml version="1.0" encoding="utf-8"?>
<queryTable xmlns="http://schemas.openxmlformats.org/spreadsheetml/2006/main" name="ExternalData_2" connectionId="19" autoFormatId="16" applyNumberFormats="0" applyBorderFormats="0" applyFontFormats="0" applyPatternFormats="0" applyAlignmentFormats="0" applyWidthHeightFormats="0">
  <queryTableRefresh nextId="15" unboundColumnsRight="1">
    <queryTableFields count="9">
      <queryTableField id="12" name="Year" tableColumnId="9"/>
      <queryTableField id="2" name="Directorate" tableColumnId="2"/>
      <queryTableField id="3" name="Unit" tableColumnId="3"/>
      <queryTableField id="4" name="Wholetime Operational" tableColumnId="4"/>
      <queryTableField id="5" name="Retained Duty System" tableColumnId="5"/>
      <queryTableField id="6" name="Retained Full-time" tableColumnId="6"/>
      <queryTableField id="7" name="Control" tableColumnId="7"/>
      <queryTableField id="8" name="Support" tableColumnId="8"/>
      <queryTableField id="14" dataBound="0" tableColumnId="10"/>
    </queryTableFields>
  </queryTableRefresh>
</queryTable>
</file>

<file path=xl/queryTables/queryTable9.xml><?xml version="1.0" encoding="utf-8"?>
<queryTable xmlns="http://schemas.openxmlformats.org/spreadsheetml/2006/main" name="ExternalData_1" connectionId="30" autoFormatId="16" applyNumberFormats="0" applyBorderFormats="0" applyFontFormats="0" applyPatternFormats="0" applyAlignmentFormats="0" applyWidthHeightFormats="0">
  <queryTableRefresh nextId="8">
    <queryTableFields count="7">
      <queryTableField id="1" name="Year" tableColumnId="8"/>
      <queryTableField id="2" name="ReportingLevel" tableColumnId="2"/>
      <queryTableField id="3" name="Wholetime Operational" tableColumnId="3"/>
      <queryTableField id="4" name="RDS" tableColumnId="4"/>
      <queryTableField id="5" name="Control" tableColumnId="5"/>
      <queryTableField id="6" name="Support" tableColumnId="6"/>
      <queryTableField id="7" name="Volunteer" tableColumnId="7"/>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inYear5" sourceName="FinYear">
  <pivotTables>
    <pivotTable tabId="132" name="PivotTable4"/>
  </pivotTables>
  <data>
    <tabular pivotCacheId="114" sortOrder="descending">
      <items count="2">
        <i x="1" s="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FisYr20" sourceName="FisYr">
  <pivotTables>
    <pivotTable tabId="159" name="PivotTable5"/>
  </pivotTables>
  <data>
    <tabular pivotCacheId="126" sortOrder="descending">
      <items count="7">
        <i x="6" s="1"/>
        <i x="5"/>
        <i x="4"/>
        <i x="3"/>
        <i x="2"/>
        <i x="1"/>
        <i x="0"/>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Year2" sourceName="Year">
  <pivotTables>
    <pivotTable tabId="161" name="PivotTable6"/>
  </pivotTables>
  <data>
    <tabular pivotCacheId="127" sortOrder="descending">
      <items count="7">
        <i x="5" s="1"/>
        <i x="4"/>
        <i x="3"/>
        <i x="2"/>
        <i x="6"/>
        <i x="1"/>
        <i x="0"/>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Year3" sourceName="Year">
  <pivotTables>
    <pivotTable tabId="164" name="PivotTable1"/>
  </pivotTables>
  <data>
    <tabular pivotCacheId="128" sortOrder="descending">
      <items count="8">
        <i x="6" s="1"/>
        <i x="5"/>
        <i x="7"/>
        <i x="4"/>
        <i x="3"/>
        <i x="2"/>
        <i x="1"/>
        <i x="0"/>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Year5" sourceName="Year">
  <pivotTables>
    <pivotTable tabId="168" name="PivotTable3"/>
  </pivotTables>
  <data>
    <tabular pivotCacheId="129" sortOrder="descending">
      <items count="8">
        <i x="7" s="1"/>
        <i x="6"/>
        <i x="5"/>
        <i x="4"/>
        <i x="3"/>
        <i x="2"/>
        <i x="1"/>
        <i x="0"/>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Year4" sourceName="Year">
  <pivotTables>
    <pivotTable tabId="170" name="PivotTable1"/>
  </pivotTables>
  <data>
    <tabular pivotCacheId="130" sortOrder="descending">
      <items count="4">
        <i x="3" s="1"/>
        <i x="2"/>
        <i x="1"/>
        <i x="0"/>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Year6" sourceName="Year">
  <pivotTables>
    <pivotTable tabId="172" name="PivotTable2"/>
  </pivotTables>
  <data>
    <tabular pivotCacheId="131" sortOrder="descending">
      <items count="3">
        <i x="2" s="1"/>
        <i x="1"/>
        <i x="0"/>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Year8" sourceName="Year">
  <pivotTables>
    <pivotTable tabId="174" name="PivotTable1"/>
  </pivotTables>
  <data>
    <tabular pivotCacheId="132" sortOrder="descending">
      <items count="4">
        <i x="2" s="1"/>
        <i x="1"/>
        <i x="0"/>
        <i x="3"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9" sourceName="Year">
  <pivotTables>
    <pivotTable tabId="179" name="PivotTable4"/>
  </pivotTables>
  <data>
    <tabular pivotCacheId="133" sortOrder="descending">
      <items count="8">
        <i x="7" s="1"/>
        <i x="6"/>
        <i x="5"/>
        <i x="4"/>
        <i x="3"/>
        <i x="2"/>
        <i x="1"/>
        <i x="0"/>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Year10" sourceName="Year">
  <pivotTables>
    <pivotTable tabId="183" name="PivotTable6"/>
  </pivotTables>
  <data>
    <tabular pivotCacheId="134" sortOrder="descending">
      <items count="8">
        <i x="7" s="1"/>
        <i x="6"/>
        <i x="5"/>
        <i x="4"/>
        <i x="3"/>
        <i x="2"/>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Year11" sourceName="Year">
  <pivotTables>
    <pivotTable tabId="185" name="PivotTable7"/>
  </pivotTables>
  <data>
    <tabular pivotCacheId="135" sortOrder="descending">
      <items count="3">
        <i x="2" s="1"/>
        <i x="1"/>
        <i x="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inYear6" sourceName="FinYear">
  <pivotTables>
    <pivotTable tabId="132" name="PivotTable5"/>
  </pivotTables>
  <data>
    <tabular pivotCacheId="107" sortOrder="descending">
      <items count="2">
        <i x="1"/>
        <i x="0"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Year12" sourceName="Year">
  <pivotTables>
    <pivotTable tabId="187" name="PivotTable8"/>
  </pivotTables>
  <data>
    <tabular pivotCacheId="136" sortOrder="descending">
      <items count="8">
        <i x="7" s="1"/>
        <i x="6"/>
        <i x="5"/>
        <i x="4"/>
        <i x="3"/>
        <i x="2"/>
        <i x="1"/>
        <i x="0"/>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Year13" sourceName="Year">
  <pivotTables>
    <pivotTable tabId="189" name="PivotTable9"/>
  </pivotTables>
  <data>
    <tabular pivotCacheId="137" sortOrder="descending">
      <items count="8">
        <i x="7" s="1"/>
        <i x="6"/>
        <i x="5"/>
        <i x="4"/>
        <i x="3"/>
        <i x="2"/>
        <i x="1"/>
        <i x="0"/>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Year14" sourceName="Year">
  <pivotTables>
    <pivotTable tabId="192" name="PivotTable11"/>
  </pivotTables>
  <data>
    <tabular pivotCacheId="138" sortOrder="descending">
      <items count="8">
        <i x="7" s="1"/>
        <i x="6"/>
        <i x="5"/>
        <i x="4"/>
        <i x="3"/>
        <i x="2"/>
        <i x="1"/>
        <i x="0"/>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Year15" sourceName="Year">
  <pivotTables>
    <pivotTable tabId="195" name="PivotTable1"/>
  </pivotTables>
  <data>
    <tabular pivotCacheId="139" sortOrder="descending">
      <items count="8">
        <i x="7" s="1"/>
        <i x="6"/>
        <i x="5"/>
        <i x="4"/>
        <i x="3"/>
        <i x="2"/>
        <i x="1"/>
        <i x="0"/>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Year16" sourceName="Year">
  <pivotTables>
    <pivotTable tabId="197" name="PivotTable2"/>
  </pivotTables>
  <data>
    <tabular pivotCacheId="140" sortOrder="descending">
      <items count="9">
        <i x="7" s="1"/>
        <i x="6"/>
        <i x="5"/>
        <i x="4"/>
        <i x="3"/>
        <i x="2"/>
        <i x="1"/>
        <i x="0"/>
        <i x="8"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Year17" sourceName="Year">
  <pivotTables>
    <pivotTable tabId="199" name="PivotTable3"/>
  </pivotTables>
  <data>
    <tabular pivotCacheId="141" sortOrder="descending">
      <items count="8">
        <i x="7" s="1"/>
        <i x="6"/>
        <i x="5"/>
        <i x="4"/>
        <i x="3"/>
        <i x="2"/>
        <i x="1"/>
        <i x="0"/>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Year18" sourceName="Year">
  <pivotTables>
    <pivotTable tabId="201" name="PivotTable4"/>
  </pivotTables>
  <data>
    <tabular pivotCacheId="142" sortOrder="descending">
      <items count="9">
        <i x="7" s="1"/>
        <i x="6"/>
        <i x="5"/>
        <i x="4"/>
        <i x="3"/>
        <i x="2"/>
        <i x="1"/>
        <i x="0"/>
        <i x="8" nd="1"/>
      </items>
    </tabular>
  </data>
  <extLst>
    <x:ext xmlns:x15="http://schemas.microsoft.com/office/spreadsheetml/2010/11/main" uri="{470722E0-AACD-4C17-9CDC-17EF765DBC7E}">
      <x15:slicerCacheHideItemsWithNoData/>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Year19" sourceName="Year">
  <pivotTables>
    <pivotTable tabId="203" name="PivotTable5"/>
  </pivotTables>
  <data>
    <tabular pivotCacheId="143" sortOrder="descending">
      <items count="8">
        <i x="7" s="1"/>
        <i x="6"/>
        <i x="5"/>
        <i x="4"/>
        <i x="3"/>
        <i x="2"/>
        <i x="1"/>
        <i x="0"/>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Year20" sourceName="Year">
  <pivotTables>
    <pivotTable tabId="207" name="PivotTable7"/>
  </pivotTables>
  <data>
    <tabular pivotCacheId="144" sortOrder="descending">
      <items count="8">
        <i x="7" s="1"/>
        <i x="6"/>
        <i x="5"/>
        <i x="4"/>
        <i x="3"/>
        <i x="2"/>
        <i x="1"/>
        <i x="0"/>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Year21" sourceName="Year">
  <pivotTables>
    <pivotTable tabId="209" name="PivotTable8"/>
  </pivotTables>
  <data>
    <tabular pivotCacheId="145" sortOrder="descending">
      <items count="7">
        <i x="6" s="1"/>
        <i x="5"/>
        <i x="4"/>
        <i x="3"/>
        <i x="2"/>
        <i x="1"/>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FisYr15" sourceName="FisYr">
  <pivotTables>
    <pivotTable tabId="135" name="PivotTable1"/>
  </pivotTables>
  <data>
    <tabular pivotCacheId="105" sortOrder="descending">
      <items count="3">
        <i x="1" s="1"/>
        <i x="0"/>
        <i x="2" nd="1"/>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Year22" sourceName="Year">
  <pivotTables>
    <pivotTable tabId="215" name="PivotTable10"/>
  </pivotTables>
  <data>
    <tabular pivotCacheId="146" sortOrder="descending">
      <items count="3">
        <i x="2" s="1"/>
        <i x="1"/>
        <i x="0"/>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Year23" sourceName="Year">
  <pivotTables>
    <pivotTable tabId="217" name="PivotTable11"/>
  </pivotTables>
  <data>
    <tabular pivotCacheId="147" sortOrder="descending">
      <items count="8">
        <i x="7" s="1"/>
        <i x="6"/>
        <i x="5"/>
        <i x="4"/>
        <i x="3"/>
        <i x="2"/>
        <i x="1"/>
        <i x="0"/>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Year24" sourceName="Year">
  <pivotTables>
    <pivotTable tabId="223" name="PivotTable2"/>
  </pivotTables>
  <data>
    <tabular pivotCacheId="148" sortOrder="descending">
      <items count="3">
        <i x="2" s="1"/>
        <i x="1"/>
        <i x="0"/>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Year25" sourceName="Year">
  <pivotTables>
    <pivotTable tabId="226" name="PivotTable4"/>
  </pivotTables>
  <data>
    <tabular pivotCacheId="149" sortOrder="descending">
      <items count="7">
        <i x="2" s="1"/>
        <i x="1"/>
        <i x="0"/>
        <i x="3"/>
        <i x="4"/>
        <i x="5"/>
        <i x="6"/>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FisYr3" sourceName="FisYr">
  <pivotTables>
    <pivotTable tabId="231" name="PivotTable4"/>
  </pivotTables>
  <data>
    <tabular pivotCacheId="151" sortOrder="descending">
      <items count="3">
        <i x="2" s="1"/>
        <i x="1"/>
        <i x="0"/>
      </items>
    </tabular>
  </data>
</slicerCacheDefinition>
</file>

<file path=xl/slicerCaches/slicerCache35.xml><?xml version="1.0" encoding="utf-8"?>
<slicerCacheDefinition xmlns="http://schemas.microsoft.com/office/spreadsheetml/2009/9/main" xmlns:mc="http://schemas.openxmlformats.org/markup-compatibility/2006" xmlns:x="http://schemas.openxmlformats.org/spreadsheetml/2006/main" mc:Ignorable="x" name="Slicer_Year26" sourceName="Year">
  <pivotTables>
    <pivotTable tabId="205" name="PivotTable6"/>
  </pivotTables>
  <data>
    <tabular pivotCacheId="152" sortOrder="descending">
      <items count="8">
        <i x="7" s="1"/>
        <i x="6"/>
        <i x="5"/>
        <i x="4"/>
        <i x="3"/>
        <i x="2"/>
        <i x="1"/>
        <i x="0"/>
      </items>
    </tabular>
  </data>
</slicerCacheDefinition>
</file>

<file path=xl/slicerCaches/slicerCache36.xml><?xml version="1.0" encoding="utf-8"?>
<slicerCacheDefinition xmlns="http://schemas.microsoft.com/office/spreadsheetml/2009/9/main" xmlns:mc="http://schemas.openxmlformats.org/markup-compatibility/2006" xmlns:x="http://schemas.openxmlformats.org/spreadsheetml/2006/main" mc:Ignorable="x" name="Slicer_Year27" sourceName="Year">
  <pivotTables>
    <pivotTable tabId="236" name="PivotTable1"/>
  </pivotTables>
  <data>
    <tabular pivotCacheId="153" sortOrder="descending">
      <items count="8">
        <i x="7" s="1"/>
        <i x="6"/>
        <i x="5"/>
        <i x="4"/>
        <i x="3"/>
        <i x="2"/>
        <i x="1"/>
        <i x="0"/>
      </items>
    </tabular>
  </data>
</slicerCacheDefinition>
</file>

<file path=xl/slicerCaches/slicerCache37.xml><?xml version="1.0" encoding="utf-8"?>
<slicerCacheDefinition xmlns="http://schemas.microsoft.com/office/spreadsheetml/2009/9/main" xmlns:mc="http://schemas.openxmlformats.org/markup-compatibility/2006" xmlns:x="http://schemas.openxmlformats.org/spreadsheetml/2006/main" mc:Ignorable="x" name="Slicer_FisYr" sourceName="FisYr">
  <pivotTables>
    <pivotTable tabId="242" name="PivotTable1"/>
  </pivotTables>
  <data>
    <tabular pivotCacheId="155" sortOrder="descending">
      <items count="8">
        <i x="7" s="1"/>
        <i x="6"/>
        <i x="5"/>
        <i x="4"/>
        <i x="3"/>
        <i x="2"/>
        <i x="1"/>
        <i x="0"/>
      </items>
    </tabular>
  </data>
</slicerCacheDefinition>
</file>

<file path=xl/slicerCaches/slicerCache38.xml><?xml version="1.0" encoding="utf-8"?>
<slicerCacheDefinition xmlns="http://schemas.microsoft.com/office/spreadsheetml/2009/9/main" xmlns:mc="http://schemas.openxmlformats.org/markup-compatibility/2006" xmlns:x="http://schemas.openxmlformats.org/spreadsheetml/2006/main" mc:Ignorable="x" name="Slicer_Year7" sourceName="Year">
  <extLst>
    <x:ext xmlns:x15="http://schemas.microsoft.com/office/spreadsheetml/2010/11/main" uri="{2F2917AC-EB37-4324-AD4E-5DD8C200BD13}">
      <x15:tableSlicerCache tableId="41" column="9" sortOrder="descending"/>
    </x:ext>
  </extLst>
</slicerCacheDefinition>
</file>

<file path=xl/slicerCaches/slicerCache39.xml><?xml version="1.0" encoding="utf-8"?>
<slicerCacheDefinition xmlns="http://schemas.microsoft.com/office/spreadsheetml/2009/9/main" xmlns:mc="http://schemas.openxmlformats.org/markup-compatibility/2006" xmlns:x="http://schemas.openxmlformats.org/spreadsheetml/2006/main" mc:Ignorable="x" name="Slicer_Year28" sourceName="Year">
  <extLst>
    <x:ext xmlns:x15="http://schemas.microsoft.com/office/spreadsheetml/2010/11/main" uri="{2F2917AC-EB37-4324-AD4E-5DD8C200BD13}">
      <x15:tableSlicerCache tableId="68" column="10" sortOrder="descending"/>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FisYr16" sourceName="FisYr">
  <pivotTables>
    <pivotTable tabId="135" name="PivotTable2"/>
  </pivotTables>
  <data>
    <tabular pivotCacheId="105" sortOrder="descending">
      <items count="3">
        <i x="1" s="1"/>
        <i x="0"/>
        <i x="2" nd="1"/>
      </items>
    </tabular>
  </data>
</slicerCacheDefinition>
</file>

<file path=xl/slicerCaches/slicerCache40.xml><?xml version="1.0" encoding="utf-8"?>
<slicerCacheDefinition xmlns="http://schemas.microsoft.com/office/spreadsheetml/2009/9/main" xmlns:mc="http://schemas.openxmlformats.org/markup-compatibility/2006" xmlns:x="http://schemas.openxmlformats.org/spreadsheetml/2006/main" mc:Ignorable="x" name="Slicer_Year29" sourceName="Year">
  <extLst>
    <x:ext xmlns:x15="http://schemas.microsoft.com/office/spreadsheetml/2010/11/main" uri="{2F2917AC-EB37-4324-AD4E-5DD8C200BD13}">
      <x15:tableSlicerCache tableId="69" column="9" sortOrder="descending"/>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FisYr8" sourceName="FisYr">
  <pivotTables>
    <pivotTable tabId="132" name="PivotTable3"/>
  </pivotTables>
  <data>
    <tabular pivotCacheId="108" sortOrder="descending">
      <items count="2">
        <i x="1" s="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FisYr13" sourceName="FisYr">
  <pivotTables>
    <pivotTable tabId="132" name="PivotTable6"/>
  </pivotTables>
  <data>
    <tabular pivotCacheId="109" sortOrder="descending">
      <items count="2">
        <i x="1" s="1"/>
        <i x="0"/>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Year" sourceName="Year">
  <pivotTables>
    <pivotTable tabId="150" name="PivotTable1"/>
  </pivotTables>
  <data>
    <tabular pivotCacheId="123" sortOrder="descending">
      <items count="9">
        <i x="7" s="1"/>
        <i x="6"/>
        <i x="5"/>
        <i x="4"/>
        <i x="3"/>
        <i x="2"/>
        <i x="1"/>
        <i x="0"/>
        <i x="8"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Year1" sourceName="Year">
  <pivotTables>
    <pivotTable tabId="154" name="PivotTable2"/>
  </pivotTables>
  <data>
    <tabular pivotCacheId="124" sortOrder="descending">
      <items count="7">
        <i x="6" s="1"/>
        <i x="5"/>
        <i x="4"/>
        <i x="3"/>
        <i x="2"/>
        <i x="1"/>
        <i x="0"/>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FisYr19" sourceName="FisYr">
  <pivotTables>
    <pivotTable tabId="157" name="PivotTable3"/>
  </pivotTables>
  <data>
    <tabular pivotCacheId="125" sortOrder="descending">
      <items count="8">
        <i x="6" s="1"/>
        <i x="5"/>
        <i x="4"/>
        <i x="3"/>
        <i x="2"/>
        <i x="1"/>
        <i x="0"/>
        <i x="7"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62" cache="Slicer_FisYr3" caption="Year" columnCount="3" showCaption="0"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Year 26" cache="Slicer_Year8" caption="Year" columnCount="3" showCaption="0"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Year 67" cache="Slicer_Year28" caption="Year" columnCount="3" showCaption="0" rowHeight="241300"/>
  <slicer name="Year 68" cache="Slicer_Year29" caption="Year" columnCount="3" showCaption="0"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FisYr 22" cache="Slicer_FisYr15" caption="FisYr" columnCount="2" showCaption="0" rowHeight="241300"/>
  <slicer name="FisYr 24" cache="Slicer_FisYr16" caption="FisYr" columnCount="2" showCaption="0" rowHeight="241300"/>
</slicers>
</file>

<file path=xl/slicers/slicer13.xml><?xml version="1.0" encoding="utf-8"?>
<slicers xmlns="http://schemas.microsoft.com/office/spreadsheetml/2009/9/main" xmlns:mc="http://schemas.openxmlformats.org/markup-compatibility/2006" xmlns:x="http://schemas.openxmlformats.org/spreadsheetml/2006/main" mc:Ignorable="x">
  <slicer name="Year 27" cache="Slicer_Year9" caption="Year" columnCount="8" rowHeight="241300"/>
</slicers>
</file>

<file path=xl/slicers/slicer14.xml><?xml version="1.0" encoding="utf-8"?>
<slicers xmlns="http://schemas.microsoft.com/office/spreadsheetml/2009/9/main" xmlns:mc="http://schemas.openxmlformats.org/markup-compatibility/2006" xmlns:x="http://schemas.openxmlformats.org/spreadsheetml/2006/main" mc:Ignorable="x">
  <slicer name="Year 28" cache="Slicer_Year9" caption="Year" columnCount="8" showCaption="0" rowHeight="241300"/>
</slicers>
</file>

<file path=xl/slicers/slicer15.xml><?xml version="1.0" encoding="utf-8"?>
<slicers xmlns="http://schemas.microsoft.com/office/spreadsheetml/2009/9/main" xmlns:mc="http://schemas.openxmlformats.org/markup-compatibility/2006" xmlns:x="http://schemas.openxmlformats.org/spreadsheetml/2006/main" mc:Ignorable="x">
  <slicer name="Year 65" cache="Slicer_Year27" caption="Year" columnCount="8" rowHeight="241300"/>
</slicers>
</file>

<file path=xl/slicers/slicer16.xml><?xml version="1.0" encoding="utf-8"?>
<slicers xmlns="http://schemas.microsoft.com/office/spreadsheetml/2009/9/main" xmlns:mc="http://schemas.openxmlformats.org/markup-compatibility/2006" xmlns:x="http://schemas.openxmlformats.org/spreadsheetml/2006/main" mc:Ignorable="x">
  <slicer name="Year 66" cache="Slicer_Year27" caption="Year" columnCount="8" showCaption="0" rowHeight="241300"/>
</slicers>
</file>

<file path=xl/slicers/slicer17.xml><?xml version="1.0" encoding="utf-8"?>
<slicers xmlns="http://schemas.microsoft.com/office/spreadsheetml/2009/9/main" xmlns:mc="http://schemas.openxmlformats.org/markup-compatibility/2006" xmlns:x="http://schemas.openxmlformats.org/spreadsheetml/2006/main" mc:Ignorable="x">
  <slicer name="Year 1" cache="Slicer_Year10" caption="Year" columnCount="8" rowHeight="241300"/>
</slicers>
</file>

<file path=xl/slicers/slicer18.xml><?xml version="1.0" encoding="utf-8"?>
<slicers xmlns="http://schemas.microsoft.com/office/spreadsheetml/2009/9/main" xmlns:mc="http://schemas.openxmlformats.org/markup-compatibility/2006" xmlns:x="http://schemas.openxmlformats.org/spreadsheetml/2006/main" mc:Ignorable="x">
  <slicer name="Year 29" cache="Slicer_Year10" caption="Year" columnCount="8" showCaption="0" rowHeight="241300"/>
</slicers>
</file>

<file path=xl/slicers/slicer19.xml><?xml version="1.0" encoding="utf-8"?>
<slicers xmlns="http://schemas.microsoft.com/office/spreadsheetml/2009/9/main" xmlns:mc="http://schemas.openxmlformats.org/markup-compatibility/2006" xmlns:x="http://schemas.openxmlformats.org/spreadsheetml/2006/main" mc:Ignorable="x">
  <slicer name="Year 30" cache="Slicer_Year11" caption="Year" columnCount="3"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Year" cache="Slicer_FisYr3" caption="Year" columnCount="3" rowHeight="241300"/>
</slicers>
</file>

<file path=xl/slicers/slicer20.xml><?xml version="1.0" encoding="utf-8"?>
<slicers xmlns="http://schemas.microsoft.com/office/spreadsheetml/2009/9/main" xmlns:mc="http://schemas.openxmlformats.org/markup-compatibility/2006" xmlns:x="http://schemas.openxmlformats.org/spreadsheetml/2006/main" mc:Ignorable="x">
  <slicer name="Year 31" cache="Slicer_Year11" caption="Year" columnCount="3" showCaption="0" rowHeight="241300"/>
</slicers>
</file>

<file path=xl/slicers/slicer21.xml><?xml version="1.0" encoding="utf-8"?>
<slicers xmlns="http://schemas.microsoft.com/office/spreadsheetml/2009/9/main" xmlns:mc="http://schemas.openxmlformats.org/markup-compatibility/2006" xmlns:x="http://schemas.openxmlformats.org/spreadsheetml/2006/main" mc:Ignorable="x">
  <slicer name="Year 32" cache="Slicer_Year12" caption="Year" columnCount="8" rowHeight="241300"/>
</slicers>
</file>

<file path=xl/slicers/slicer22.xml><?xml version="1.0" encoding="utf-8"?>
<slicers xmlns="http://schemas.microsoft.com/office/spreadsheetml/2009/9/main" xmlns:mc="http://schemas.openxmlformats.org/markup-compatibility/2006" xmlns:x="http://schemas.openxmlformats.org/spreadsheetml/2006/main" mc:Ignorable="x">
  <slicer name="Year 33" cache="Slicer_Year12" caption="Year" columnCount="8" showCaption="0" rowHeight="241300"/>
</slicers>
</file>

<file path=xl/slicers/slicer23.xml><?xml version="1.0" encoding="utf-8"?>
<slicers xmlns="http://schemas.microsoft.com/office/spreadsheetml/2009/9/main" xmlns:mc="http://schemas.openxmlformats.org/markup-compatibility/2006" xmlns:x="http://schemas.openxmlformats.org/spreadsheetml/2006/main" mc:Ignorable="x">
  <slicer name="Year 34" cache="Slicer_Year13" caption="Year" columnCount="8" rowHeight="241300"/>
</slicers>
</file>

<file path=xl/slicers/slicer24.xml><?xml version="1.0" encoding="utf-8"?>
<slicers xmlns="http://schemas.microsoft.com/office/spreadsheetml/2009/9/main" xmlns:mc="http://schemas.openxmlformats.org/markup-compatibility/2006" xmlns:x="http://schemas.openxmlformats.org/spreadsheetml/2006/main" mc:Ignorable="x">
  <slicer name="Year 35" cache="Slicer_Year13" caption="Year" columnCount="8" showCaption="0" rowHeight="241300"/>
</slicers>
</file>

<file path=xl/slicers/slicer25.xml><?xml version="1.0" encoding="utf-8"?>
<slicers xmlns="http://schemas.microsoft.com/office/spreadsheetml/2009/9/main" xmlns:mc="http://schemas.openxmlformats.org/markup-compatibility/2006" xmlns:x="http://schemas.openxmlformats.org/spreadsheetml/2006/main" mc:Ignorable="x">
  <slicer name="Year 36" cache="Slicer_Year14" caption="Year" columnCount="8" rowHeight="241300"/>
</slicers>
</file>

<file path=xl/slicers/slicer26.xml><?xml version="1.0" encoding="utf-8"?>
<slicers xmlns="http://schemas.microsoft.com/office/spreadsheetml/2009/9/main" xmlns:mc="http://schemas.openxmlformats.org/markup-compatibility/2006" xmlns:x="http://schemas.openxmlformats.org/spreadsheetml/2006/main" mc:Ignorable="x">
  <slicer name="Year 37" cache="Slicer_Year14" caption="Year" columnCount="8" showCaption="0" rowHeight="241300"/>
</slicers>
</file>

<file path=xl/slicers/slicer27.xml><?xml version="1.0" encoding="utf-8"?>
<slicers xmlns="http://schemas.microsoft.com/office/spreadsheetml/2009/9/main" xmlns:mc="http://schemas.openxmlformats.org/markup-compatibility/2006" xmlns:x="http://schemas.openxmlformats.org/spreadsheetml/2006/main" mc:Ignorable="x">
  <slicer name="Year 39" cache="Slicer_Year15" caption="Year" columnCount="8" rowHeight="241300"/>
</slicers>
</file>

<file path=xl/slicers/slicer28.xml><?xml version="1.0" encoding="utf-8"?>
<slicers xmlns="http://schemas.microsoft.com/office/spreadsheetml/2009/9/main" xmlns:mc="http://schemas.openxmlformats.org/markup-compatibility/2006" xmlns:x="http://schemas.openxmlformats.org/spreadsheetml/2006/main" mc:Ignorable="x">
  <slicer name="Year 56" cache="Slicer_Year23" caption="Year" columnCount="8" rowHeight="241300"/>
</slicers>
</file>

<file path=xl/slicers/slicer29.xml><?xml version="1.0" encoding="utf-8"?>
<slicers xmlns="http://schemas.microsoft.com/office/spreadsheetml/2009/9/main" xmlns:mc="http://schemas.openxmlformats.org/markup-compatibility/2006" xmlns:x="http://schemas.openxmlformats.org/spreadsheetml/2006/main" mc:Ignorable="x">
  <slicer name="Year 40" cache="Slicer_Year15" caption="Year" columnCount="8" showCaption="0" rowHeight="241300"/>
  <slicer name="Year 57" cache="Slicer_Year23" caption="Year" columnCount="8" showCaption="0"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Year 59" cache="Slicer_Year24" caption="Year" columnCount="3" showCaption="0" rowHeight="241300"/>
</slicers>
</file>

<file path=xl/slicers/slicer30.xml><?xml version="1.0" encoding="utf-8"?>
<slicers xmlns="http://schemas.microsoft.com/office/spreadsheetml/2009/9/main" xmlns:mc="http://schemas.openxmlformats.org/markup-compatibility/2006" xmlns:x="http://schemas.openxmlformats.org/spreadsheetml/2006/main" mc:Ignorable="x">
  <slicer name="Year 41" cache="Slicer_Year16" caption="Year" columnCount="8" rowHeight="241300"/>
</slicers>
</file>

<file path=xl/slicers/slicer31.xml><?xml version="1.0" encoding="utf-8"?>
<slicers xmlns="http://schemas.microsoft.com/office/spreadsheetml/2009/9/main" xmlns:mc="http://schemas.openxmlformats.org/markup-compatibility/2006" xmlns:x="http://schemas.openxmlformats.org/spreadsheetml/2006/main" mc:Ignorable="x">
  <slicer name="Year 42" cache="Slicer_Year16" caption="Year" columnCount="8" showCaption="0" rowHeight="241300"/>
</slicers>
</file>

<file path=xl/slicers/slicer32.xml><?xml version="1.0" encoding="utf-8"?>
<slicers xmlns="http://schemas.microsoft.com/office/spreadsheetml/2009/9/main" xmlns:mc="http://schemas.openxmlformats.org/markup-compatibility/2006" xmlns:x="http://schemas.openxmlformats.org/spreadsheetml/2006/main" mc:Ignorable="x">
  <slicer name="Year 43" cache="Slicer_Year17" caption="Year" columnCount="8" rowHeight="241300"/>
</slicers>
</file>

<file path=xl/slicers/slicer33.xml><?xml version="1.0" encoding="utf-8"?>
<slicers xmlns="http://schemas.microsoft.com/office/spreadsheetml/2009/9/main" xmlns:mc="http://schemas.openxmlformats.org/markup-compatibility/2006" xmlns:x="http://schemas.openxmlformats.org/spreadsheetml/2006/main" mc:Ignorable="x">
  <slicer name="Year 45" cache="Slicer_Year17" caption="Year" columnCount="8" showCaption="0" rowHeight="241300"/>
</slicers>
</file>

<file path=xl/slicers/slicer34.xml><?xml version="1.0" encoding="utf-8"?>
<slicers xmlns="http://schemas.microsoft.com/office/spreadsheetml/2009/9/main" xmlns:mc="http://schemas.openxmlformats.org/markup-compatibility/2006" xmlns:x="http://schemas.openxmlformats.org/spreadsheetml/2006/main" mc:Ignorable="x">
  <slicer name="Year 46" cache="Slicer_Year18" caption="Year" columnCount="8" rowHeight="241300"/>
</slicers>
</file>

<file path=xl/slicers/slicer35.xml><?xml version="1.0" encoding="utf-8"?>
<slicers xmlns="http://schemas.microsoft.com/office/spreadsheetml/2009/9/main" xmlns:mc="http://schemas.openxmlformats.org/markup-compatibility/2006" xmlns:x="http://schemas.openxmlformats.org/spreadsheetml/2006/main" mc:Ignorable="x">
  <slicer name="Year 47" cache="Slicer_Year18" caption="Year" columnCount="8" showCaption="0" rowHeight="241300"/>
</slicers>
</file>

<file path=xl/slicers/slicer36.xml><?xml version="1.0" encoding="utf-8"?>
<slicers xmlns="http://schemas.microsoft.com/office/spreadsheetml/2009/9/main" xmlns:mc="http://schemas.openxmlformats.org/markup-compatibility/2006" xmlns:x="http://schemas.openxmlformats.org/spreadsheetml/2006/main" mc:Ignorable="x">
  <slicer name="Year 48" cache="Slicer_Year19" caption="Year" columnCount="8" rowHeight="241300"/>
</slicers>
</file>

<file path=xl/slicers/slicer37.xml><?xml version="1.0" encoding="utf-8"?>
<slicers xmlns="http://schemas.microsoft.com/office/spreadsheetml/2009/9/main" xmlns:mc="http://schemas.openxmlformats.org/markup-compatibility/2006" xmlns:x="http://schemas.openxmlformats.org/spreadsheetml/2006/main" mc:Ignorable="x">
  <slicer name="Year 63" cache="Slicer_Year26" caption="Year" columnCount="8" rowHeight="241300"/>
</slicers>
</file>

<file path=xl/slicers/slicer38.xml><?xml version="1.0" encoding="utf-8"?>
<slicers xmlns="http://schemas.microsoft.com/office/spreadsheetml/2009/9/main" xmlns:mc="http://schemas.openxmlformats.org/markup-compatibility/2006" xmlns:x="http://schemas.openxmlformats.org/spreadsheetml/2006/main" mc:Ignorable="x">
  <slicer name="Year 49" cache="Slicer_Year19" caption="Year" columnCount="8" showCaption="0" rowHeight="241300"/>
  <slicer name="Year 64" cache="Slicer_Year26" caption="Year" columnCount="8" showCaption="0" rowHeight="241300"/>
</slicers>
</file>

<file path=xl/slicers/slicer39.xml><?xml version="1.0" encoding="utf-8"?>
<slicers xmlns="http://schemas.microsoft.com/office/spreadsheetml/2009/9/main" xmlns:mc="http://schemas.openxmlformats.org/markup-compatibility/2006" xmlns:x="http://schemas.openxmlformats.org/spreadsheetml/2006/main" mc:Ignorable="x">
  <slicer name="Year 50" cache="Slicer_Year20" caption="Year" columnCount="8"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Year 58" cache="Slicer_Year24" caption="Year" columnCount="3" rowHeight="241300"/>
</slicers>
</file>

<file path=xl/slicers/slicer40.xml><?xml version="1.0" encoding="utf-8"?>
<slicers xmlns="http://schemas.microsoft.com/office/spreadsheetml/2009/9/main" xmlns:mc="http://schemas.openxmlformats.org/markup-compatibility/2006" xmlns:x="http://schemas.openxmlformats.org/spreadsheetml/2006/main" mc:Ignorable="x">
  <slicer name="Year 51" cache="Slicer_Year20" caption="Year" columnCount="8" showCaption="0" rowHeight="241300"/>
</slicers>
</file>

<file path=xl/slicers/slicer41.xml><?xml version="1.0" encoding="utf-8"?>
<slicers xmlns="http://schemas.microsoft.com/office/spreadsheetml/2009/9/main" xmlns:mc="http://schemas.openxmlformats.org/markup-compatibility/2006" xmlns:x="http://schemas.openxmlformats.org/spreadsheetml/2006/main" mc:Ignorable="x">
  <slicer name="Year 14" cache="Slicer_Year3" caption="Year" columnCount="8" rowHeight="241300"/>
</slicers>
</file>

<file path=xl/slicers/slicer42.xml><?xml version="1.0" encoding="utf-8"?>
<slicers xmlns="http://schemas.microsoft.com/office/spreadsheetml/2009/9/main" xmlns:mc="http://schemas.openxmlformats.org/markup-compatibility/2006" xmlns:x="http://schemas.openxmlformats.org/spreadsheetml/2006/main" mc:Ignorable="x">
  <slicer name="Year 15" cache="Slicer_Year3" caption="Year" columnCount="8" showCaption="0" rowHeight="241300"/>
</slicers>
</file>

<file path=xl/slicers/slicer43.xml><?xml version="1.0" encoding="utf-8"?>
<slicers xmlns="http://schemas.microsoft.com/office/spreadsheetml/2009/9/main" xmlns:mc="http://schemas.openxmlformats.org/markup-compatibility/2006" xmlns:x="http://schemas.openxmlformats.org/spreadsheetml/2006/main" mc:Ignorable="x">
  <slicer name="Year 52" cache="Slicer_Year21" caption="Year" columnCount="7" rowHeight="241300"/>
</slicers>
</file>

<file path=xl/slicers/slicer44.xml><?xml version="1.0" encoding="utf-8"?>
<slicers xmlns="http://schemas.microsoft.com/office/spreadsheetml/2009/9/main" xmlns:mc="http://schemas.openxmlformats.org/markup-compatibility/2006" xmlns:x="http://schemas.openxmlformats.org/spreadsheetml/2006/main" mc:Ignorable="x">
  <slicer name="Year 53" cache="Slicer_Year21" caption="Year" columnCount="7" showCaption="0" rowHeight="241300"/>
</slicers>
</file>

<file path=xl/slicers/slicer45.xml><?xml version="1.0" encoding="utf-8"?>
<slicers xmlns="http://schemas.microsoft.com/office/spreadsheetml/2009/9/main" xmlns:mc="http://schemas.openxmlformats.org/markup-compatibility/2006" xmlns:x="http://schemas.openxmlformats.org/spreadsheetml/2006/main" mc:Ignorable="x">
  <slicer name="Year 18" cache="Slicer_Year5" caption="Year" columnCount="8" rowHeight="241300"/>
</slicers>
</file>

<file path=xl/slicers/slicer46.xml><?xml version="1.0" encoding="utf-8"?>
<slicers xmlns="http://schemas.microsoft.com/office/spreadsheetml/2009/9/main" xmlns:mc="http://schemas.openxmlformats.org/markup-compatibility/2006" xmlns:x="http://schemas.openxmlformats.org/spreadsheetml/2006/main" mc:Ignorable="x">
  <slicer name="Year 19" cache="Slicer_Year5" caption="Year" columnCount="8" showCaption="0" rowHeight="241300"/>
  <slicer name="Year 20" cache="Slicer_Year5" caption="Year" columnCount="8" showCaption="0" rowHeight="241300"/>
</slicers>
</file>

<file path=xl/slicers/slicer47.xml><?xml version="1.0" encoding="utf-8"?>
<slicers xmlns="http://schemas.microsoft.com/office/spreadsheetml/2009/9/main" xmlns:mc="http://schemas.openxmlformats.org/markup-compatibility/2006" xmlns:x="http://schemas.openxmlformats.org/spreadsheetml/2006/main" mc:Ignorable="x">
  <slicer name="Year 16" cache="Slicer_Year4" caption="Year" columnCount="4" rowHeight="241300"/>
</slicers>
</file>

<file path=xl/slicers/slicer48.xml><?xml version="1.0" encoding="utf-8"?>
<slicers xmlns="http://schemas.microsoft.com/office/spreadsheetml/2009/9/main" xmlns:mc="http://schemas.openxmlformats.org/markup-compatibility/2006" xmlns:x="http://schemas.openxmlformats.org/spreadsheetml/2006/main" mc:Ignorable="x">
  <slicer name="Year 17" cache="Slicer_Year4" caption="Year" columnCount="4" showCaption="0" rowHeight="241300"/>
  <slicer name="Year 21" cache="Slicer_Year4" caption="Year" columnCount="4" showCaption="0" rowHeight="241300"/>
</slicers>
</file>

<file path=xl/slicers/slicer49.xml><?xml version="1.0" encoding="utf-8"?>
<slicers xmlns="http://schemas.microsoft.com/office/spreadsheetml/2009/9/main" xmlns:mc="http://schemas.openxmlformats.org/markup-compatibility/2006" xmlns:x="http://schemas.openxmlformats.org/spreadsheetml/2006/main" mc:Ignorable="x">
  <slicer name="FinYear 7" cache="Slicer_FinYear5" caption="FinYear" columnCount="2" showCaption="0" rowHeight="241300"/>
  <slicer name="FinYear 6" cache="Slicer_FinYear6" caption="FinYear" columnCount="2" showCaption="0" rowHeight="241300"/>
  <slicer name="FisYr 27" cache="Slicer_FisYr8" caption="FisYr" columnCount="2" showCaption="0" rowHeight="241300"/>
  <slicer name="FisYr 26" cache="Slicer_FisYr13" caption="FisYr" columnCount="2" showCaption="0"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Year 60" cache="Slicer_Year25" caption="Year" columnCount="7" rowHeight="241300"/>
</slicers>
</file>

<file path=xl/slicers/slicer50.xml><?xml version="1.0" encoding="utf-8"?>
<slicers xmlns="http://schemas.microsoft.com/office/spreadsheetml/2009/9/main" xmlns:mc="http://schemas.openxmlformats.org/markup-compatibility/2006" xmlns:x="http://schemas.openxmlformats.org/spreadsheetml/2006/main" mc:Ignorable="x">
  <slicer name="FinYear 4" cache="Slicer_FinYear5" caption="FinYear" columnCount="2" showCaption="0" rowHeight="241300"/>
  <slicer name="FinYear 5" cache="Slicer_FinYear6" caption="FinYear" columnCount="2" showCaption="0" rowHeight="241300"/>
  <slicer name="FisYr 17" cache="Slicer_FisYr8" caption="FisYr" columnCount="2" showCaption="0" rowHeight="241300"/>
  <slicer name="FisYr 20" cache="Slicer_FisYr13" caption="FisYr" columnCount="2" showCaption="0" rowHeight="241300"/>
</slicers>
</file>

<file path=xl/slicers/slicer51.xml><?xml version="1.0" encoding="utf-8"?>
<slicers xmlns="http://schemas.microsoft.com/office/spreadsheetml/2009/9/main" xmlns:mc="http://schemas.openxmlformats.org/markup-compatibility/2006" xmlns:x="http://schemas.openxmlformats.org/spreadsheetml/2006/main" mc:Ignorable="x">
  <slicer name="Year 22" cache="Slicer_Year6" caption="Year" columnCount="3" rowHeight="241300"/>
</slicers>
</file>

<file path=xl/slicers/slicer52.xml><?xml version="1.0" encoding="utf-8"?>
<slicers xmlns="http://schemas.microsoft.com/office/spreadsheetml/2009/9/main" xmlns:mc="http://schemas.openxmlformats.org/markup-compatibility/2006" xmlns:x="http://schemas.openxmlformats.org/spreadsheetml/2006/main" mc:Ignorable="x">
  <slicer name="Year 23" cache="Slicer_Year7" caption="Year" columnCount="3" rowHeight="241300"/>
</slicers>
</file>

<file path=xl/slicers/slicer53.xml><?xml version="1.0" encoding="utf-8"?>
<slicers xmlns="http://schemas.microsoft.com/office/spreadsheetml/2009/9/main" xmlns:mc="http://schemas.openxmlformats.org/markup-compatibility/2006" xmlns:x="http://schemas.openxmlformats.org/spreadsheetml/2006/main" mc:Ignorable="x">
  <slicer name="Year 24" cache="Slicer_Year6" caption="Year" columnCount="3" showCaption="0" rowHeight="241300"/>
</slicers>
</file>

<file path=xl/slicers/slicer54.xml><?xml version="1.0" encoding="utf-8"?>
<slicers xmlns="http://schemas.microsoft.com/office/spreadsheetml/2009/9/main" xmlns:mc="http://schemas.openxmlformats.org/markup-compatibility/2006" xmlns:x="http://schemas.openxmlformats.org/spreadsheetml/2006/main" mc:Ignorable="x">
  <slicer name="Year 2" cache="Slicer_Year" caption="Year" columnCount="8" rowHeight="241300"/>
</slicers>
</file>

<file path=xl/slicers/slicer55.xml><?xml version="1.0" encoding="utf-8"?>
<slicers xmlns="http://schemas.microsoft.com/office/spreadsheetml/2009/9/main" xmlns:mc="http://schemas.openxmlformats.org/markup-compatibility/2006" xmlns:x="http://schemas.openxmlformats.org/spreadsheetml/2006/main" mc:Ignorable="x">
  <slicer name="FisYr" cache="Slicer_FisYr" caption="FisYr" columnCount="8" rowHeight="241300"/>
</slicers>
</file>

<file path=xl/slicers/slicer56.xml><?xml version="1.0" encoding="utf-8"?>
<slicers xmlns="http://schemas.microsoft.com/office/spreadsheetml/2009/9/main" xmlns:mc="http://schemas.openxmlformats.org/markup-compatibility/2006" xmlns:x="http://schemas.openxmlformats.org/spreadsheetml/2006/main" mc:Ignorable="x">
  <slicer name="FisYr 1" cache="Slicer_FisYr" caption="Year" columnCount="8" showCaption="0" rowHeight="241300"/>
</slicers>
</file>

<file path=xl/slicers/slicer57.xml><?xml version="1.0" encoding="utf-8"?>
<slicers xmlns="http://schemas.microsoft.com/office/spreadsheetml/2009/9/main" xmlns:mc="http://schemas.openxmlformats.org/markup-compatibility/2006" xmlns:x="http://schemas.openxmlformats.org/spreadsheetml/2006/main" mc:Ignorable="x">
  <slicer name="FisYr 2" cache="Slicer_FisYr" caption="Year" columnCount="8" showCaption="0" rowHeight="241300"/>
</slicers>
</file>

<file path=xl/slicers/slicer58.xml><?xml version="1.0" encoding="utf-8"?>
<slicers xmlns="http://schemas.microsoft.com/office/spreadsheetml/2009/9/main" xmlns:mc="http://schemas.openxmlformats.org/markup-compatibility/2006" xmlns:x="http://schemas.openxmlformats.org/spreadsheetml/2006/main" mc:Ignorable="x">
  <slicer name="Year 5" cache="Slicer_Year" caption="Year" columnCount="8" showCaption="0" rowHeight="241300"/>
</slicers>
</file>

<file path=xl/slicers/slicer59.xml><?xml version="1.0" encoding="utf-8"?>
<slicers xmlns="http://schemas.microsoft.com/office/spreadsheetml/2009/9/main" xmlns:mc="http://schemas.openxmlformats.org/markup-compatibility/2006" xmlns:x="http://schemas.openxmlformats.org/spreadsheetml/2006/main" mc:Ignorable="x">
  <slicer name="Year 6" cache="Slicer_Year1" caption="Year" columnCount="7"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Year 61" cache="Slicer_Year25" caption="Year" columnCount="7" showCaption="0" rowHeight="241300"/>
</slicers>
</file>

<file path=xl/slicers/slicer60.xml><?xml version="1.0" encoding="utf-8"?>
<slicers xmlns="http://schemas.microsoft.com/office/spreadsheetml/2009/9/main" xmlns:mc="http://schemas.openxmlformats.org/markup-compatibility/2006" xmlns:x="http://schemas.openxmlformats.org/spreadsheetml/2006/main" mc:Ignorable="x">
  <slicer name="Year 7" cache="Slicer_Year1" caption="Year" columnCount="7" showCaption="0" rowHeight="241300"/>
</slicers>
</file>

<file path=xl/slicers/slicer61.xml><?xml version="1.0" encoding="utf-8"?>
<slicers xmlns="http://schemas.microsoft.com/office/spreadsheetml/2009/9/main" xmlns:mc="http://schemas.openxmlformats.org/markup-compatibility/2006" xmlns:x="http://schemas.openxmlformats.org/spreadsheetml/2006/main" mc:Ignorable="x">
  <slicer name="Year 10" cache="Slicer_FisYr20" caption="Year" columnCount="7" rowHeight="241300"/>
</slicers>
</file>

<file path=xl/slicers/slicer62.xml><?xml version="1.0" encoding="utf-8"?>
<slicers xmlns="http://schemas.microsoft.com/office/spreadsheetml/2009/9/main" xmlns:mc="http://schemas.openxmlformats.org/markup-compatibility/2006" xmlns:x="http://schemas.openxmlformats.org/spreadsheetml/2006/main" mc:Ignorable="x">
  <slicer name="Year 11" cache="Slicer_FisYr20" caption="Year" columnCount="7" showCaption="0" rowHeight="241300"/>
</slicers>
</file>

<file path=xl/slicers/slicer63.xml><?xml version="1.0" encoding="utf-8"?>
<slicers xmlns="http://schemas.microsoft.com/office/spreadsheetml/2009/9/main" xmlns:mc="http://schemas.openxmlformats.org/markup-compatibility/2006" xmlns:x="http://schemas.openxmlformats.org/spreadsheetml/2006/main" mc:Ignorable="x">
  <slicer name="Year 8" cache="Slicer_FisYr19" caption="Year" columnCount="7" rowHeight="241300"/>
</slicers>
</file>

<file path=xl/slicers/slicer64.xml><?xml version="1.0" encoding="utf-8"?>
<slicers xmlns="http://schemas.microsoft.com/office/spreadsheetml/2009/9/main" xmlns:mc="http://schemas.openxmlformats.org/markup-compatibility/2006" xmlns:x="http://schemas.openxmlformats.org/spreadsheetml/2006/main" mc:Ignorable="x">
  <slicer name="Year 9" cache="Slicer_FisYr19" caption="Year" columnCount="7" showCaption="0" rowHeight="241300"/>
</slicers>
</file>

<file path=xl/slicers/slicer65.xml><?xml version="1.0" encoding="utf-8"?>
<slicers xmlns="http://schemas.microsoft.com/office/spreadsheetml/2009/9/main" xmlns:mc="http://schemas.openxmlformats.org/markup-compatibility/2006" xmlns:x="http://schemas.openxmlformats.org/spreadsheetml/2006/main" mc:Ignorable="x">
  <slicer name="Year 12" cache="Slicer_Year2" caption="Year" columnCount="7" rowHeight="241300"/>
</slicers>
</file>

<file path=xl/slicers/slicer66.xml><?xml version="1.0" encoding="utf-8"?>
<slicers xmlns="http://schemas.microsoft.com/office/spreadsheetml/2009/9/main" xmlns:mc="http://schemas.openxmlformats.org/markup-compatibility/2006" xmlns:x="http://schemas.openxmlformats.org/spreadsheetml/2006/main" mc:Ignorable="x">
  <slicer name="Year 13" cache="Slicer_Year2" caption="Year" columnCount="7" showCaption="0" rowHeight="241300"/>
  <slicer name="Year 38" cache="Slicer_Year2" caption="Year" columnCount="7" showCaption="0"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Year 54" cache="Slicer_Year22" caption="Year" columnCount="3"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Year 55" cache="Slicer_Year22" caption="Year" columnCount="3" showCaption="0"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Year 25" cache="Slicer_Year8" caption="Year" columnCount="3" rowHeight="241300"/>
</slicers>
</file>

<file path=xl/tables/_rels/table10.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31.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33.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1.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32.xml"/></Relationships>
</file>

<file path=xl/tables/_rels/table37.xml.rels><?xml version="1.0" encoding="UTF-8" standalone="yes"?>
<Relationships xmlns="http://schemas.openxmlformats.org/package/2006/relationships"><Relationship Id="rId1" Type="http://schemas.openxmlformats.org/officeDocument/2006/relationships/queryTable" Target="../queryTables/queryTable33.xml"/></Relationships>
</file>

<file path=xl/tables/_rels/table38.xml.rels><?xml version="1.0" encoding="UTF-8" standalone="yes"?>
<Relationships xmlns="http://schemas.openxmlformats.org/package/2006/relationships"><Relationship Id="rId1" Type="http://schemas.openxmlformats.org/officeDocument/2006/relationships/queryTable" Target="../queryTables/queryTable34.xml"/></Relationships>
</file>

<file path=xl/tables/_rels/table39.xml.rels><?xml version="1.0" encoding="UTF-8" standalone="yes"?>
<Relationships xmlns="http://schemas.openxmlformats.org/package/2006/relationships"><Relationship Id="rId1" Type="http://schemas.openxmlformats.org/officeDocument/2006/relationships/queryTable" Target="../queryTables/queryTable35.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0.xml.rels><?xml version="1.0" encoding="UTF-8" standalone="yes"?>
<Relationships xmlns="http://schemas.openxmlformats.org/package/2006/relationships"><Relationship Id="rId1" Type="http://schemas.openxmlformats.org/officeDocument/2006/relationships/queryTable" Target="../queryTables/queryTable36.xml"/></Relationships>
</file>

<file path=xl/tables/_rels/table41.xml.rels><?xml version="1.0" encoding="UTF-8" standalone="yes"?>
<Relationships xmlns="http://schemas.openxmlformats.org/package/2006/relationships"><Relationship Id="rId1" Type="http://schemas.openxmlformats.org/officeDocument/2006/relationships/queryTable" Target="../queryTables/queryTable37.xml"/></Relationships>
</file>

<file path=xl/tables/_rels/table42.xml.rels><?xml version="1.0" encoding="UTF-8" standalone="yes"?>
<Relationships xmlns="http://schemas.openxmlformats.org/package/2006/relationships"><Relationship Id="rId1" Type="http://schemas.openxmlformats.org/officeDocument/2006/relationships/queryTable" Target="../queryTables/queryTable38.xml"/></Relationships>
</file>

<file path=xl/tables/_rels/table43.xml.rels><?xml version="1.0" encoding="UTF-8" standalone="yes"?>
<Relationships xmlns="http://schemas.openxmlformats.org/package/2006/relationships"><Relationship Id="rId1" Type="http://schemas.openxmlformats.org/officeDocument/2006/relationships/queryTable" Target="../queryTables/queryTable39.xml"/></Relationships>
</file>

<file path=xl/tables/_rels/table44.xml.rels><?xml version="1.0" encoding="UTF-8" standalone="yes"?>
<Relationships xmlns="http://schemas.openxmlformats.org/package/2006/relationships"><Relationship Id="rId1" Type="http://schemas.openxmlformats.org/officeDocument/2006/relationships/queryTable" Target="../queryTables/queryTable40.xml"/></Relationships>
</file>

<file path=xl/tables/_rels/table45.xml.rels><?xml version="1.0" encoding="UTF-8" standalone="yes"?>
<Relationships xmlns="http://schemas.openxmlformats.org/package/2006/relationships"><Relationship Id="rId1" Type="http://schemas.openxmlformats.org/officeDocument/2006/relationships/queryTable" Target="../queryTables/queryTable41.xml"/></Relationships>
</file>

<file path=xl/tables/_rels/table46.xml.rels><?xml version="1.0" encoding="UTF-8" standalone="yes"?>
<Relationships xmlns="http://schemas.openxmlformats.org/package/2006/relationships"><Relationship Id="rId1" Type="http://schemas.openxmlformats.org/officeDocument/2006/relationships/queryTable" Target="../queryTables/queryTable42.xml"/></Relationships>
</file>

<file path=xl/tables/_rels/table47.xml.rels><?xml version="1.0" encoding="UTF-8" standalone="yes"?>
<Relationships xmlns="http://schemas.openxmlformats.org/package/2006/relationships"><Relationship Id="rId1" Type="http://schemas.openxmlformats.org/officeDocument/2006/relationships/queryTable" Target="../queryTables/queryTable43.xml"/></Relationships>
</file>

<file path=xl/tables/_rels/table48.xml.rels><?xml version="1.0" encoding="UTF-8" standalone="yes"?>
<Relationships xmlns="http://schemas.openxmlformats.org/package/2006/relationships"><Relationship Id="rId1" Type="http://schemas.openxmlformats.org/officeDocument/2006/relationships/queryTable" Target="../queryTables/queryTable44.xml"/></Relationships>
</file>

<file path=xl/tables/_rels/table49.xml.rels><?xml version="1.0" encoding="UTF-8" standalone="yes"?>
<Relationships xmlns="http://schemas.openxmlformats.org/package/2006/relationships"><Relationship Id="rId1" Type="http://schemas.openxmlformats.org/officeDocument/2006/relationships/queryTable" Target="../queryTables/queryTable45.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0.xml.rels><?xml version="1.0" encoding="UTF-8" standalone="yes"?>
<Relationships xmlns="http://schemas.openxmlformats.org/package/2006/relationships"><Relationship Id="rId1" Type="http://schemas.openxmlformats.org/officeDocument/2006/relationships/queryTable" Target="../queryTables/queryTable46.xml"/></Relationships>
</file>

<file path=xl/tables/_rels/table51.xml.rels><?xml version="1.0" encoding="UTF-8" standalone="yes"?>
<Relationships xmlns="http://schemas.openxmlformats.org/package/2006/relationships"><Relationship Id="rId1" Type="http://schemas.openxmlformats.org/officeDocument/2006/relationships/queryTable" Target="../queryTables/queryTable47.xml"/></Relationships>
</file>

<file path=xl/tables/_rels/table52.xml.rels><?xml version="1.0" encoding="UTF-8" standalone="yes"?>
<Relationships xmlns="http://schemas.openxmlformats.org/package/2006/relationships"><Relationship Id="rId1" Type="http://schemas.openxmlformats.org/officeDocument/2006/relationships/queryTable" Target="../queryTables/queryTable48.xml"/></Relationships>
</file>

<file path=xl/tables/_rels/table53.xml.rels><?xml version="1.0" encoding="UTF-8" standalone="yes"?>
<Relationships xmlns="http://schemas.openxmlformats.org/package/2006/relationships"><Relationship Id="rId1" Type="http://schemas.openxmlformats.org/officeDocument/2006/relationships/queryTable" Target="../queryTables/queryTable49.xml"/></Relationships>
</file>

<file path=xl/tables/_rels/table54.xml.rels><?xml version="1.0" encoding="UTF-8" standalone="yes"?>
<Relationships xmlns="http://schemas.openxmlformats.org/package/2006/relationships"><Relationship Id="rId1" Type="http://schemas.openxmlformats.org/officeDocument/2006/relationships/queryTable" Target="../queryTables/queryTable50.xml"/></Relationships>
</file>

<file path=xl/tables/_rels/table55.xml.rels><?xml version="1.0" encoding="UTF-8" standalone="yes"?>
<Relationships xmlns="http://schemas.openxmlformats.org/package/2006/relationships"><Relationship Id="rId1" Type="http://schemas.openxmlformats.org/officeDocument/2006/relationships/queryTable" Target="../queryTables/queryTable51.xml"/></Relationships>
</file>

<file path=xl/tables/_rels/table56.xml.rels><?xml version="1.0" encoding="UTF-8" standalone="yes"?>
<Relationships xmlns="http://schemas.openxmlformats.org/package/2006/relationships"><Relationship Id="rId1" Type="http://schemas.openxmlformats.org/officeDocument/2006/relationships/queryTable" Target="../queryTables/queryTable52.xml"/></Relationships>
</file>

<file path=xl/tables/_rels/table57.xml.rels><?xml version="1.0" encoding="UTF-8" standalone="yes"?>
<Relationships xmlns="http://schemas.openxmlformats.org/package/2006/relationships"><Relationship Id="rId1" Type="http://schemas.openxmlformats.org/officeDocument/2006/relationships/queryTable" Target="../queryTables/queryTable53.xml"/></Relationships>
</file>

<file path=xl/tables/_rels/table58.xml.rels><?xml version="1.0" encoding="UTF-8" standalone="yes"?>
<Relationships xmlns="http://schemas.openxmlformats.org/package/2006/relationships"><Relationship Id="rId1" Type="http://schemas.openxmlformats.org/officeDocument/2006/relationships/queryTable" Target="../queryTables/queryTable54.xml"/></Relationships>
</file>

<file path=xl/tables/_rels/table59.xml.rels><?xml version="1.0" encoding="UTF-8" standalone="yes"?>
<Relationships xmlns="http://schemas.openxmlformats.org/package/2006/relationships"><Relationship Id="rId1" Type="http://schemas.openxmlformats.org/officeDocument/2006/relationships/queryTable" Target="../queryTables/queryTable5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0.xml.rels><?xml version="1.0" encoding="UTF-8" standalone="yes"?>
<Relationships xmlns="http://schemas.openxmlformats.org/package/2006/relationships"><Relationship Id="rId1" Type="http://schemas.openxmlformats.org/officeDocument/2006/relationships/queryTable" Target="../queryTables/queryTable56.xml"/></Relationships>
</file>

<file path=xl/tables/_rels/table61.xml.rels><?xml version="1.0" encoding="UTF-8" standalone="yes"?>
<Relationships xmlns="http://schemas.openxmlformats.org/package/2006/relationships"><Relationship Id="rId1" Type="http://schemas.openxmlformats.org/officeDocument/2006/relationships/queryTable" Target="../queryTables/queryTable57.xml"/></Relationships>
</file>

<file path=xl/tables/_rels/table62.xml.rels><?xml version="1.0" encoding="UTF-8" standalone="yes"?>
<Relationships xmlns="http://schemas.openxmlformats.org/package/2006/relationships"><Relationship Id="rId1" Type="http://schemas.openxmlformats.org/officeDocument/2006/relationships/queryTable" Target="../queryTables/queryTable58.xml"/></Relationships>
</file>

<file path=xl/tables/_rels/table63.xml.rels><?xml version="1.0" encoding="UTF-8" standalone="yes"?>
<Relationships xmlns="http://schemas.openxmlformats.org/package/2006/relationships"><Relationship Id="rId1" Type="http://schemas.openxmlformats.org/officeDocument/2006/relationships/queryTable" Target="../queryTables/queryTable59.xml"/></Relationships>
</file>

<file path=xl/tables/_rels/table64.xml.rels><?xml version="1.0" encoding="UTF-8" standalone="yes"?>
<Relationships xmlns="http://schemas.openxmlformats.org/package/2006/relationships"><Relationship Id="rId1" Type="http://schemas.openxmlformats.org/officeDocument/2006/relationships/queryTable" Target="../queryTables/queryTable60.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61.xml"/></Relationships>
</file>

<file path=xl/tables/_rels/table66.xml.rels><?xml version="1.0" encoding="UTF-8" standalone="yes"?>
<Relationships xmlns="http://schemas.openxmlformats.org/package/2006/relationships"><Relationship Id="rId1" Type="http://schemas.openxmlformats.org/officeDocument/2006/relationships/queryTable" Target="../queryTables/queryTable62.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id="1" name="Table1" displayName="Table1" ref="A1:A4" totalsRowShown="0">
  <autoFilter ref="A1:A4"/>
  <tableColumns count="1">
    <tableColumn id="1" name="FisYr"/>
  </tableColumns>
  <tableStyleInfo name="TableStyleMedium2" showFirstColumn="0" showLastColumn="0" showRowStripes="1" showColumnStripes="0"/>
</table>
</file>

<file path=xl/tables/table10.xml><?xml version="1.0" encoding="utf-8"?>
<table xmlns="http://schemas.openxmlformats.org/spreadsheetml/2006/main" id="48" name="hrod_HR_GeographicStructure" displayName="hrod_HR_GeographicStructure" ref="A1:G33" tableType="queryTable" totalsRowShown="0">
  <autoFilter ref="A1:G33"/>
  <tableColumns count="7">
    <tableColumn id="8" uniqueName="8" name="Year" queryTableFieldId="1" dataDxfId="16769"/>
    <tableColumn id="2" uniqueName="2" name="ReportingLevel" queryTableFieldId="2" dataDxfId="16768"/>
    <tableColumn id="3" uniqueName="3" name="Wholetime Operational" queryTableFieldId="3"/>
    <tableColumn id="4" uniqueName="4" name="RDS" queryTableFieldId="4"/>
    <tableColumn id="5" uniqueName="5" name="Control" queryTableFieldId="5"/>
    <tableColumn id="6" uniqueName="6" name="Support" queryTableFieldId="6"/>
    <tableColumn id="7" uniqueName="7" name="Volunteer" queryTableFieldId="7"/>
  </tableColumns>
  <tableStyleInfo name="TableStyleMedium7" showFirstColumn="0" showLastColumn="0" showRowStripes="1" showColumnStripes="0"/>
</table>
</file>

<file path=xl/tables/table11.xml><?xml version="1.0" encoding="utf-8"?>
<table xmlns="http://schemas.openxmlformats.org/spreadsheetml/2006/main" id="49" name="hrod_HR_StaffSmallArea" displayName="hrod_HR_StaffSmallArea" ref="A1:I509" tableType="queryTable" totalsRowShown="0">
  <autoFilter ref="A1:I509"/>
  <tableColumns count="9">
    <tableColumn id="10" uniqueName="10" name="Year" queryTableFieldId="1" dataDxfId="16767"/>
    <tableColumn id="2" uniqueName="2" name="ReportingLevel" queryTableFieldId="2" dataDxfId="16766"/>
    <tableColumn id="3" uniqueName="3" name="lvl" queryTableFieldId="3" dataDxfId="16765"/>
    <tableColumn id="4" uniqueName="4" name="Wholetime Operational" queryTableFieldId="4"/>
    <tableColumn id="5" uniqueName="5" name="Retained Duty System" queryTableFieldId="5"/>
    <tableColumn id="6" uniqueName="6" name="Control" queryTableFieldId="6"/>
    <tableColumn id="7" uniqueName="7" name="Support" queryTableFieldId="7"/>
    <tableColumn id="8" uniqueName="8" name="Volunteer" queryTableFieldId="8"/>
    <tableColumn id="9" uniqueName="9" name="Total" queryTableFieldId="9"/>
  </tableColumns>
  <tableStyleInfo name="TableStyleMedium7" showFirstColumn="0" showLastColumn="0" showRowStripes="1" showColumnStripes="0"/>
</table>
</file>

<file path=xl/tables/table12.xml><?xml version="1.0" encoding="utf-8"?>
<table xmlns="http://schemas.openxmlformats.org/spreadsheetml/2006/main" id="6" name="hrod_HR_StaffSmallArea__2" displayName="hrod_HR_StaffSmallArea__2" ref="A1:K423" tableType="queryTable" totalsRowShown="0">
  <autoFilter ref="A1:K423">
    <filterColumn colId="0">
      <filters>
        <filter val="2017-18"/>
      </filters>
    </filterColumn>
    <filterColumn colId="2">
      <filters>
        <filter val="Midlothian"/>
      </filters>
    </filterColumn>
  </autoFilter>
  <tableColumns count="11">
    <tableColumn id="11" uniqueName="11" name="Year" queryTableFieldId="1" dataDxfId="16764"/>
    <tableColumn id="2" uniqueName="2" name="ReportingLevel" queryTableFieldId="2" dataDxfId="16763"/>
    <tableColumn id="3" uniqueName="3" name="lvl" queryTableFieldId="3" dataDxfId="16762"/>
    <tableColumn id="4" uniqueName="4" name="Code" queryTableFieldId="4" dataDxfId="16761"/>
    <tableColumn id="5" uniqueName="5" name="Total" queryTableFieldId="5"/>
    <tableColumn id="6" uniqueName="6" name="Control" queryTableFieldId="6"/>
    <tableColumn id="12" uniqueName="12" name="RDS Fulltime" queryTableFieldId="11"/>
    <tableColumn id="7" uniqueName="7" name="RDS" queryTableFieldId="7"/>
    <tableColumn id="8" uniqueName="8" name="Support" queryTableFieldId="8"/>
    <tableColumn id="9" uniqueName="9" name="Vol" queryTableFieldId="9"/>
    <tableColumn id="10" uniqueName="10" name="WT" queryTableFieldId="10"/>
  </tableColumns>
  <tableStyleInfo name="TableStyleMedium7" showFirstColumn="0" showLastColumn="0" showRowStripes="1" showColumnStripes="0"/>
</table>
</file>

<file path=xl/tables/table13.xml><?xml version="1.0" encoding="utf-8"?>
<table xmlns="http://schemas.openxmlformats.org/spreadsheetml/2006/main" id="2" name="Table2" displayName="Table2" ref="A11:I43" totalsRowShown="0" headerRowDxfId="16760" dataDxfId="16758" headerRowBorderDxfId="16759">
  <tableColumns count="9">
    <tableColumn id="1" name="LA Code" dataDxfId="16757" dataCellStyle="Normal_Sheet1"/>
    <tableColumn id="2" name="Local Authority Area" dataDxfId="16756" dataCellStyle="Normal_Sheet1"/>
    <tableColumn id="3" name="Wholetime Operational" dataDxfId="16755" dataCellStyle="Normal 4">
      <calculatedColumnFormula>StaffSmallAreaPivot!B5</calculatedColumnFormula>
    </tableColumn>
    <tableColumn id="4" name="Retained Duty System" dataDxfId="16754" dataCellStyle="Normal 4">
      <calculatedColumnFormula>StaffSmallAreaPivot!C5</calculatedColumnFormula>
    </tableColumn>
    <tableColumn id="5" name="Retained Full-time" dataDxfId="16753" dataCellStyle="Normal 4">
      <calculatedColumnFormula>StaffSmallAreaPivot!D5</calculatedColumnFormula>
    </tableColumn>
    <tableColumn id="6" name="Control" dataDxfId="16752" dataCellStyle="Normal 4">
      <calculatedColumnFormula>StaffSmallAreaPivot!E5</calculatedColumnFormula>
    </tableColumn>
    <tableColumn id="7" name="Support" dataDxfId="16751" dataCellStyle="Normal 4">
      <calculatedColumnFormula>StaffSmallAreaPivot!F5</calculatedColumnFormula>
    </tableColumn>
    <tableColumn id="8" name="Volunteer" dataDxfId="16750" dataCellStyle="Normal 4">
      <calculatedColumnFormula>StaffSmallAreaPivot!G5</calculatedColumnFormula>
    </tableColumn>
    <tableColumn id="10" name="All Staff Total" dataDxfId="16749">
      <calculatedColumnFormula>SUM(C12:H12)</calculatedColumnFormula>
    </tableColumn>
  </tableColumns>
  <tableStyleInfo showFirstColumn="0" showLastColumn="0" showRowStripes="1" showColumnStripes="0"/>
</table>
</file>

<file path=xl/tables/table14.xml><?xml version="1.0" encoding="utf-8"?>
<table xmlns="http://schemas.openxmlformats.org/spreadsheetml/2006/main" id="3" name="Table3" displayName="Table3" ref="A46:I63" totalsRowShown="0" headerRowDxfId="16748">
  <tableColumns count="9">
    <tableColumn id="1" name="LSO Code" dataDxfId="16747" dataCellStyle="Normal_Sheet1"/>
    <tableColumn id="2" name="Local Senior Officer Area" dataDxfId="16746" dataCellStyle="Normal_Sheet1"/>
    <tableColumn id="3" name="Wholetime Operational" dataDxfId="16745" dataCellStyle="Normal 4">
      <calculatedColumnFormula>StaffSmallAreaPivot!B39</calculatedColumnFormula>
    </tableColumn>
    <tableColumn id="4" name="Retained Duty System" dataDxfId="16744" dataCellStyle="Normal_Sheet1">
      <calculatedColumnFormula>StaffSmallAreaPivot!C39</calculatedColumnFormula>
    </tableColumn>
    <tableColumn id="5" name="Retained Full-time" dataDxfId="16743" dataCellStyle="Normal_Sheet1">
      <calculatedColumnFormula>StaffSmallAreaPivot!D39</calculatedColumnFormula>
    </tableColumn>
    <tableColumn id="6" name="Control" dataDxfId="16742" dataCellStyle="Normal_Sheet1">
      <calculatedColumnFormula>StaffSmallAreaPivot!E39</calculatedColumnFormula>
    </tableColumn>
    <tableColumn id="7" name="Support" dataDxfId="16741" dataCellStyle="Normal 4">
      <calculatedColumnFormula>StaffSmallAreaPivot!F39</calculatedColumnFormula>
    </tableColumn>
    <tableColumn id="8" name="Volunteer" dataDxfId="16740" dataCellStyle="Normal 4">
      <calculatedColumnFormula>StaffSmallAreaPivot!G39</calculatedColumnFormula>
    </tableColumn>
    <tableColumn id="9" name="All Staff Total" dataDxfId="16739">
      <calculatedColumnFormula>SUM(C47:H47)</calculatedColumnFormula>
    </tableColumn>
  </tableColumns>
  <tableStyleInfo showFirstColumn="0" showLastColumn="0" showRowStripes="1" showColumnStripes="0"/>
</table>
</file>

<file path=xl/tables/table15.xml><?xml version="1.0" encoding="utf-8"?>
<table xmlns="http://schemas.openxmlformats.org/spreadsheetml/2006/main" id="4" name="Table4" displayName="Table4" ref="A66:I69" totalsRowShown="0" headerRowDxfId="16738">
  <tableColumns count="9">
    <tableColumn id="1" name="SDA Code" dataDxfId="16737" dataCellStyle="Normal_Sheet1"/>
    <tableColumn id="2" name="Service Delivery Area" dataDxfId="16736" dataCellStyle="Normal_Sheet1"/>
    <tableColumn id="3" name="Wholetime Operational" dataDxfId="16735" dataCellStyle="Normal 4">
      <calculatedColumnFormula>GETPIVOTDATA("Sum of WT",StaffSmallAreaPivot!$A$3,"ReportingLevel","3:SDA","lvl","North")</calculatedColumnFormula>
    </tableColumn>
    <tableColumn id="4" name="Retained Duty System" dataDxfId="16734" dataCellStyle="Normal_Sheet1">
      <calculatedColumnFormula>StaffSmallAreaPivot!C58</calculatedColumnFormula>
    </tableColumn>
    <tableColumn id="5" name="Retained Full-time" dataDxfId="16733" dataCellStyle="Normal_Sheet1">
      <calculatedColumnFormula>StaffSmallAreaPivot!D58</calculatedColumnFormula>
    </tableColumn>
    <tableColumn id="6" name="Control" dataDxfId="16732" dataCellStyle="Normal_Sheet1">
      <calculatedColumnFormula>StaffSmallAreaPivot!E58</calculatedColumnFormula>
    </tableColumn>
    <tableColumn id="7" name="Support" dataDxfId="16731" dataCellStyle="Normal 4">
      <calculatedColumnFormula>StaffSmallAreaPivot!F58</calculatedColumnFormula>
    </tableColumn>
    <tableColumn id="8" name="Volunteer" dataDxfId="16730" dataCellStyle="Normal 4">
      <calculatedColumnFormula>StaffSmallAreaPivot!G58</calculatedColumnFormula>
    </tableColumn>
    <tableColumn id="9" name="All Staff Total" dataDxfId="16729">
      <calculatedColumnFormula>SUM(C67:H67)</calculatedColumnFormula>
    </tableColumn>
  </tableColumns>
  <tableStyleInfo showFirstColumn="0" showLastColumn="0" showRowStripes="1" showColumnStripes="0"/>
</table>
</file>

<file path=xl/tables/table16.xml><?xml version="1.0" encoding="utf-8"?>
<table xmlns="http://schemas.openxmlformats.org/spreadsheetml/2006/main" id="50" name="hrod_HR_Role" displayName="hrod_HR_Role" ref="A1:J36" tableType="queryTable" totalsRowShown="0">
  <autoFilter ref="A1:J36"/>
  <tableColumns count="10">
    <tableColumn id="11" uniqueName="11" name="Year" queryTableFieldId="1" dataDxfId="16728"/>
    <tableColumn id="2" uniqueName="2" name="Type" queryTableFieldId="2" dataDxfId="16727"/>
    <tableColumn id="3" uniqueName="3" name="Brigade Manager" queryTableFieldId="3"/>
    <tableColumn id="4" uniqueName="4" name="Area Manager" queryTableFieldId="4"/>
    <tableColumn id="5" uniqueName="5" name="Group Manager" queryTableFieldId="5"/>
    <tableColumn id="6" uniqueName="6" name="Station Manager" queryTableFieldId="6"/>
    <tableColumn id="7" uniqueName="7" name="Watch Manager" queryTableFieldId="7"/>
    <tableColumn id="8" uniqueName="8" name="Crew Manager" queryTableFieldId="8"/>
    <tableColumn id="9" uniqueName="9" name="Firefighter" queryTableFieldId="9"/>
    <tableColumn id="10" uniqueName="10" name="Total" queryTableFieldId="10"/>
  </tableColumns>
  <tableStyleInfo name="TableStyleMedium7" showFirstColumn="0" showLastColumn="0" showRowStripes="1" showColumnStripes="0"/>
</table>
</file>

<file path=xl/tables/table17.xml><?xml version="1.0" encoding="utf-8"?>
<table xmlns="http://schemas.openxmlformats.org/spreadsheetml/2006/main" id="51" name="hrod_HR_Role_DutySystem" displayName="hrod_HR_Role_DutySystem" ref="A1:I13" tableType="queryTable" totalsRowShown="0">
  <autoFilter ref="A1:I13"/>
  <tableColumns count="9">
    <tableColumn id="10" uniqueName="10" name="Year" queryTableFieldId="1" dataDxfId="16726"/>
    <tableColumn id="2" uniqueName="2" name="EmployeeGroup" queryTableFieldId="2" dataDxfId="16725"/>
    <tableColumn id="3" uniqueName="3" name="Brigade Commander" queryTableFieldId="3" dataDxfId="16724"/>
    <tableColumn id="4" uniqueName="4" name="Area Commander" queryTableFieldId="4" dataDxfId="16723"/>
    <tableColumn id="5" uniqueName="5" name="Group Commander" queryTableFieldId="5" dataDxfId="16722"/>
    <tableColumn id="6" uniqueName="6" name="Station Commander" queryTableFieldId="6" dataDxfId="16721"/>
    <tableColumn id="7" uniqueName="7" name="Watch Commander" queryTableFieldId="7" dataDxfId="16720"/>
    <tableColumn id="8" uniqueName="8" name="Crew Commander" queryTableFieldId="8" dataDxfId="16719"/>
    <tableColumn id="9" uniqueName="9" name="Firefighter" queryTableFieldId="9" dataDxfId="16718"/>
  </tableColumns>
  <tableStyleInfo name="TableStyleMedium7" showFirstColumn="0" showLastColumn="0" showRowStripes="1" showColumnStripes="0"/>
</table>
</file>

<file path=xl/tables/table18.xml><?xml version="1.0" encoding="utf-8"?>
<table xmlns="http://schemas.openxmlformats.org/spreadsheetml/2006/main" id="52" name="hrod_HR_Role_Area" displayName="hrod_HR_Role_Area" ref="A1:J33" tableType="queryTable" totalsRowShown="0">
  <autoFilter ref="A1:J33"/>
  <tableColumns count="10">
    <tableColumn id="11" uniqueName="11" name="Year" queryTableFieldId="1" dataDxfId="16717"/>
    <tableColumn id="2" uniqueName="2" name="ReportingLevel" queryTableFieldId="2" dataDxfId="16716"/>
    <tableColumn id="3" uniqueName="3" name="Brigade Manager" queryTableFieldId="3"/>
    <tableColumn id="4" uniqueName="4" name="Area Manager" queryTableFieldId="4"/>
    <tableColumn id="5" uniqueName="5" name="Group Manager" queryTableFieldId="5"/>
    <tableColumn id="6" uniqueName="6" name="Station Manager" queryTableFieldId="6"/>
    <tableColumn id="7" uniqueName="7" name="Watch Manager" queryTableFieldId="7"/>
    <tableColumn id="8" uniqueName="8" name="Crew Manager" queryTableFieldId="8"/>
    <tableColumn id="9" uniqueName="9" name="Firefighter" queryTableFieldId="9"/>
    <tableColumn id="10" uniqueName="10" name="Total" queryTableFieldId="10"/>
  </tableColumns>
  <tableStyleInfo name="TableStyleMedium7" showFirstColumn="0" showLastColumn="0" showRowStripes="1" showColumnStripes="0"/>
</table>
</file>

<file path=xl/tables/table19.xml><?xml version="1.0" encoding="utf-8"?>
<table xmlns="http://schemas.openxmlformats.org/spreadsheetml/2006/main" id="53" name="hrod_HR_WT_RoleArea" displayName="hrod_HR_WT_RoleArea" ref="A1:J425" tableType="queryTable" totalsRowShown="0">
  <autoFilter ref="A1:J425">
    <filterColumn colId="0">
      <filters>
        <filter val="2019-20"/>
        <filter val="2020-21"/>
      </filters>
    </filterColumn>
    <filterColumn colId="1">
      <filters>
        <filter val="2:LSO"/>
      </filters>
    </filterColumn>
  </autoFilter>
  <tableColumns count="10">
    <tableColumn id="11" uniqueName="11" name="Year" queryTableFieldId="1" dataDxfId="16715"/>
    <tableColumn id="2" uniqueName="2" name="ReportingLevel" queryTableFieldId="2" dataDxfId="16714"/>
    <tableColumn id="3" uniqueName="3" name="lvl" queryTableFieldId="3" dataDxfId="16713"/>
    <tableColumn id="4" uniqueName="4" name="Brigade Manager" queryTableFieldId="4"/>
    <tableColumn id="5" uniqueName="5" name="Area Manager" queryTableFieldId="5"/>
    <tableColumn id="6" uniqueName="6" name="Group Manager" queryTableFieldId="6"/>
    <tableColumn id="7" uniqueName="7" name="Station Manager" queryTableFieldId="7"/>
    <tableColumn id="8" uniqueName="8" name="Watch Manager" queryTableFieldId="8"/>
    <tableColumn id="9" uniqueName="9" name="Crew Manager" queryTableFieldId="9"/>
    <tableColumn id="10" uniqueName="10" name="Firefighter" queryTableFieldId="10"/>
  </tableColumns>
  <tableStyleInfo name="TableStyleMedium7" showFirstColumn="0" showLastColumn="0" showRowStripes="1" showColumnStripes="0"/>
</table>
</file>

<file path=xl/tables/table2.xml><?xml version="1.0" encoding="utf-8"?>
<table xmlns="http://schemas.openxmlformats.org/spreadsheetml/2006/main" id="63" name="fleet_National" displayName="fleet_National" ref="A1:N10" tableType="queryTable" totalsRowShown="0">
  <autoFilter ref="A1:N10"/>
  <sortState ref="A2:N10">
    <sortCondition ref="A2"/>
  </sortState>
  <tableColumns count="14">
    <tableColumn id="15" uniqueName="15" name="Year" queryTableFieldId="1" dataDxfId="16837"/>
    <tableColumn id="2" uniqueName="2" name="Pumping Appliances" queryTableFieldId="2" dataDxfId="16836"/>
    <tableColumn id="3" uniqueName="3" name="Aerial Appliances" queryTableFieldId="3" dataDxfId="16835"/>
    <tableColumn id="4" uniqueName="4" name="Resilience Appliances" queryTableFieldId="4" dataDxfId="16834"/>
    <tableColumn id="5" uniqueName="5" name="Fire Boats" queryTableFieldId="5" dataDxfId="16833"/>
    <tableColumn id="6" uniqueName="6" name="Vehicles for Rescue Work" queryTableFieldId="6" dataDxfId="16832"/>
    <tableColumn id="7" uniqueName="7" name="Small Firefighting Vehicles" queryTableFieldId="7" dataDxfId="16831"/>
    <tableColumn id="8" uniqueName="8" name="Other" queryTableFieldId="8" dataDxfId="16830"/>
    <tableColumn id="9" uniqueName="9" name="Total Appliances" queryTableFieldId="9" dataDxfId="16829"/>
    <tableColumn id="10" uniqueName="10" name="Officer Response Vehicles" queryTableFieldId="10" dataDxfId="16828"/>
    <tableColumn id="11" uniqueName="11" name="Reserve Appliances" queryTableFieldId="11" dataDxfId="16827"/>
    <tableColumn id="12" uniqueName="12" name="Training Appliances" queryTableFieldId="12" dataDxfId="16826"/>
    <tableColumn id="13" uniqueName="13" name="Other Fleet Vehicles (excl Officer Response Vehicles)" queryTableFieldId="13" dataDxfId="16825"/>
    <tableColumn id="14" uniqueName="14" name="Total Vehicles (incl boats)" queryTableFieldId="14" dataDxfId="16824"/>
  </tableColumns>
  <tableStyleInfo name="TableStyleMedium7" showFirstColumn="0" showLastColumn="0" showRowStripes="1" showColumnStripes="0"/>
</table>
</file>

<file path=xl/tables/table20.xml><?xml version="1.0" encoding="utf-8"?>
<table xmlns="http://schemas.openxmlformats.org/spreadsheetml/2006/main" id="54" name="hrod_HR_RDS_RoleArea" displayName="hrod_HR_RDS_RoleArea" ref="A1:G257" tableType="queryTable" totalsRowShown="0">
  <autoFilter ref="A1:G257">
    <filterColumn colId="0">
      <filters>
        <filter val="2020-21"/>
      </filters>
    </filterColumn>
  </autoFilter>
  <tableColumns count="7">
    <tableColumn id="8" uniqueName="8" name="Year" queryTableFieldId="1" dataDxfId="16712"/>
    <tableColumn id="2" uniqueName="2" name="ReportingLevel" queryTableFieldId="2" dataDxfId="16711"/>
    <tableColumn id="3" uniqueName="3" name="Area" queryTableFieldId="3" dataDxfId="16710"/>
    <tableColumn id="4" uniqueName="4" name="GSS Code" queryTableFieldId="4" dataDxfId="16709"/>
    <tableColumn id="5" uniqueName="5" name="Watch Manager" queryTableFieldId="5"/>
    <tableColumn id="6" uniqueName="6" name="Crew Manager" queryTableFieldId="6"/>
    <tableColumn id="7" uniqueName="7" name="Firefighter" queryTableFieldId="7"/>
  </tableColumns>
  <tableStyleInfo name="TableStyleMedium7" showFirstColumn="0" showLastColumn="0" showRowStripes="1" showColumnStripes="0"/>
</table>
</file>

<file path=xl/tables/table21.xml><?xml version="1.0" encoding="utf-8"?>
<table xmlns="http://schemas.openxmlformats.org/spreadsheetml/2006/main" id="47" name="hrod_HR_CS_RoleArea" displayName="hrod_HR_CS_RoleArea" ref="A1:J9" tableType="queryTable" totalsRowShown="0">
  <autoFilter ref="A1:J9"/>
  <tableColumns count="10">
    <tableColumn id="11" uniqueName="11" name="Year" queryTableFieldId="1" dataDxfId="16708"/>
    <tableColumn id="2" uniqueName="2" name="ReportingLevel" queryTableFieldId="2" dataDxfId="16707"/>
    <tableColumn id="3" uniqueName="3" name="Area" queryTableFieldId="3" dataDxfId="16706"/>
    <tableColumn id="4" uniqueName="4" name="GSS Code" queryTableFieldId="4" dataDxfId="16705"/>
    <tableColumn id="5" uniqueName="5" name="Area Manager" queryTableFieldId="5" dataDxfId="16704"/>
    <tableColumn id="6" uniqueName="6" name="Group Manager" queryTableFieldId="6" dataDxfId="16703"/>
    <tableColumn id="7" uniqueName="7" name="Station Manager" queryTableFieldId="7" dataDxfId="16702"/>
    <tableColumn id="8" uniqueName="8" name="Watch Manager" queryTableFieldId="8" dataDxfId="16701"/>
    <tableColumn id="9" uniqueName="9" name="Crew Manager" queryTableFieldId="9" dataDxfId="16700"/>
    <tableColumn id="10" uniqueName="10" name="Control Operator" queryTableFieldId="10" dataDxfId="16699"/>
  </tableColumns>
  <tableStyleInfo name="TableStyleMedium7" showFirstColumn="0" showLastColumn="0" showRowStripes="1" showColumnStripes="0"/>
</table>
</file>

<file path=xl/tables/table22.xml><?xml version="1.0" encoding="utf-8"?>
<table xmlns="http://schemas.openxmlformats.org/spreadsheetml/2006/main" id="65" name="hrod_HR_CS_RoleArea_Support" displayName="hrod_HR_CS_RoleArea_Support" ref="A1:L33" tableType="queryTable" totalsRowShown="0">
  <autoFilter ref="A1:L33"/>
  <tableColumns count="12">
    <tableColumn id="13" uniqueName="13" name="Year" queryTableFieldId="1" dataDxfId="16698"/>
    <tableColumn id="2" uniqueName="2" name="ReportingLevel" queryTableFieldId="2" dataDxfId="16697"/>
    <tableColumn id="3" uniqueName="3" name="Code" queryTableFieldId="3" dataDxfId="16696"/>
    <tableColumn id="4" uniqueName="4" name="lvl" queryTableFieldId="4" dataDxfId="16695"/>
    <tableColumn id="5" uniqueName="5" name="Director" queryTableFieldId="5"/>
    <tableColumn id="6" uniqueName="6" name="Service Manager" queryTableFieldId="6"/>
    <tableColumn id="7" uniqueName="7" name="Team Leader" queryTableFieldId="7"/>
    <tableColumn id="8" uniqueName="8" name="Professional" queryTableFieldId="8"/>
    <tableColumn id="9" uniqueName="9" name="Specialist Technical" queryTableFieldId="9"/>
    <tableColumn id="10" uniqueName="10" name="Tech Support" queryTableFieldId="10"/>
    <tableColumn id="11" uniqueName="11" name="Administration" queryTableFieldId="11"/>
    <tableColumn id="12" uniqueName="12" name="Total" queryTableFieldId="12"/>
  </tableColumns>
  <tableStyleInfo name="TableStyleMedium7" showFirstColumn="0" showLastColumn="0" showRowStripes="1" showColumnStripes="0"/>
</table>
</file>

<file path=xl/tables/table23.xml><?xml version="1.0" encoding="utf-8"?>
<table xmlns="http://schemas.openxmlformats.org/spreadsheetml/2006/main" id="55" name="hrod_HR_Vol_RoleArea" displayName="hrod_HR_Vol_RoleArea" ref="A1:H258" tableType="queryTable" totalsRowShown="0">
  <autoFilter ref="A1:H258">
    <filterColumn colId="0">
      <filters>
        <filter val="2017-18"/>
        <filter val="2020-21"/>
      </filters>
    </filterColumn>
  </autoFilter>
  <tableColumns count="8">
    <tableColumn id="9" uniqueName="9" name="Year" queryTableFieldId="1" dataDxfId="16694"/>
    <tableColumn id="2" uniqueName="2" name="ReportingLevel" queryTableFieldId="2" dataDxfId="16693"/>
    <tableColumn id="3" uniqueName="3" name="Code" queryTableFieldId="3" dataDxfId="16692"/>
    <tableColumn id="4" uniqueName="4" name="lvl" queryTableFieldId="4" dataDxfId="16691"/>
    <tableColumn id="5" uniqueName="5" name="Total" queryTableFieldId="5"/>
    <tableColumn id="6" uniqueName="6" name="Watch Manager" queryTableFieldId="6"/>
    <tableColumn id="7" uniqueName="7" name="Crew Manager" queryTableFieldId="7"/>
    <tableColumn id="8" uniqueName="8" name="Firefighter" queryTableFieldId="8"/>
  </tableColumns>
  <tableStyleInfo name="TableStyleMedium7" showFirstColumn="0" showLastColumn="0" showRowStripes="1" showColumnStripes="0"/>
</table>
</file>

<file path=xl/tables/table24.xml><?xml version="1.0" encoding="utf-8"?>
<table xmlns="http://schemas.openxmlformats.org/spreadsheetml/2006/main" id="56" name="hrod_HR_WT_FTE_RoleArea" displayName="hrod_HR_WT_FTE_RoleArea" ref="A1:L443" tableType="queryTable" totalsRowShown="0">
  <autoFilter ref="A1:L443"/>
  <tableColumns count="12">
    <tableColumn id="13" uniqueName="13" name="Year" queryTableFieldId="1" dataDxfId="16690"/>
    <tableColumn id="2" uniqueName="2" name="ReportingLevel" queryTableFieldId="2" dataDxfId="16689"/>
    <tableColumn id="3" uniqueName="3" name="Code" queryTableFieldId="3" dataDxfId="16688"/>
    <tableColumn id="4" uniqueName="4" name="lvl" queryTableFieldId="4" dataDxfId="16687"/>
    <tableColumn id="5" uniqueName="5" name="Total" queryTableFieldId="5"/>
    <tableColumn id="6" uniqueName="6" name="Area Manager" queryTableFieldId="6"/>
    <tableColumn id="7" uniqueName="7" name="Brigade Manager" queryTableFieldId="7"/>
    <tableColumn id="8" uniqueName="8" name="Crew Manager" queryTableFieldId="8"/>
    <tableColumn id="9" uniqueName="9" name="Firefighter" queryTableFieldId="9"/>
    <tableColumn id="10" uniqueName="10" name="Group Manager" queryTableFieldId="10"/>
    <tableColumn id="11" uniqueName="11" name="Station Manager" queryTableFieldId="11"/>
    <tableColumn id="12" uniqueName="12" name="Watch Manager" queryTableFieldId="12"/>
  </tableColumns>
  <tableStyleInfo name="TableStyleMedium7" showFirstColumn="0" showLastColumn="0" showRowStripes="1" showColumnStripes="0"/>
</table>
</file>

<file path=xl/tables/table25.xml><?xml version="1.0" encoding="utf-8"?>
<table xmlns="http://schemas.openxmlformats.org/spreadsheetml/2006/main" id="57" name="hrod_HR_RDS_FTE_RoleArea" displayName="hrod_HR_RDS_FTE_RoleArea" ref="A1:H256" tableType="queryTable" totalsRowShown="0">
  <autoFilter ref="A1:H256">
    <filterColumn colId="0">
      <filters>
        <filter val="2016-17"/>
      </filters>
    </filterColumn>
  </autoFilter>
  <tableColumns count="8">
    <tableColumn id="9" uniqueName="9" name="Year" queryTableFieldId="1" dataDxfId="16686"/>
    <tableColumn id="2" uniqueName="2" name="ReportingLevel" queryTableFieldId="2" dataDxfId="16685"/>
    <tableColumn id="3" uniqueName="3" name="Code" queryTableFieldId="3" dataDxfId="16684"/>
    <tableColumn id="4" uniqueName="4" name="lvl" queryTableFieldId="4" dataDxfId="16683"/>
    <tableColumn id="5" uniqueName="5" name="Total" queryTableFieldId="5"/>
    <tableColumn id="6" uniqueName="6" name="Watch Manager" queryTableFieldId="6"/>
    <tableColumn id="7" uniqueName="7" name="Crew Manager" queryTableFieldId="7"/>
    <tableColumn id="8" uniqueName="8" name="Firefighter" queryTableFieldId="8"/>
  </tableColumns>
  <tableStyleInfo name="TableStyleMedium7" showFirstColumn="0" showLastColumn="0" showRowStripes="1" showColumnStripes="0"/>
</table>
</file>

<file path=xl/tables/table26.xml><?xml version="1.0" encoding="utf-8"?>
<table xmlns="http://schemas.openxmlformats.org/spreadsheetml/2006/main" id="58" name="hrod_HR_CS_FTE_RoleArea_Control" displayName="hrod_HR_CS_FTE_RoleArea_Control" ref="A1:K9" tableType="queryTable" totalsRowShown="0">
  <autoFilter ref="A1:K9"/>
  <tableColumns count="11">
    <tableColumn id="12" uniqueName="12" name="Year" queryTableFieldId="1" dataDxfId="16682"/>
    <tableColumn id="2" uniqueName="2" name="ReportingLevel" queryTableFieldId="2" dataDxfId="16681"/>
    <tableColumn id="3" uniqueName="3" name="lvl" queryTableFieldId="3" dataDxfId="16680"/>
    <tableColumn id="4" uniqueName="4" name="Code" queryTableFieldId="4" dataDxfId="16679"/>
    <tableColumn id="5" uniqueName="5" name="Total" queryTableFieldId="5" dataDxfId="16678"/>
    <tableColumn id="6" uniqueName="6" name="Area Manager" queryTableFieldId="6" dataDxfId="16677"/>
    <tableColumn id="7" uniqueName="7" name="Group Manager" queryTableFieldId="7" dataDxfId="16676"/>
    <tableColumn id="8" uniqueName="8" name="Station Manager" queryTableFieldId="8" dataDxfId="16675"/>
    <tableColumn id="9" uniqueName="9" name="Watch Manager" queryTableFieldId="9" dataDxfId="16674"/>
    <tableColumn id="10" uniqueName="10" name="Crew Manager" queryTableFieldId="10" dataDxfId="16673"/>
    <tableColumn id="11" uniqueName="11" name="Control Operator" queryTableFieldId="11" dataDxfId="16672"/>
  </tableColumns>
  <tableStyleInfo name="TableStyleMedium7" showFirstColumn="0" showLastColumn="0" showRowStripes="1" showColumnStripes="0"/>
</table>
</file>

<file path=xl/tables/table27.xml><?xml version="1.0" encoding="utf-8"?>
<table xmlns="http://schemas.openxmlformats.org/spreadsheetml/2006/main" id="59" name="hrod_HR_CS_FTE_RoleArea_Support" displayName="hrod_HR_CS_FTE_RoleArea_Support" ref="A1:L31" tableType="queryTable" totalsRowShown="0">
  <autoFilter ref="A1:L31">
    <filterColumn colId="0">
      <filters>
        <filter val="2015-16"/>
        <filter val="2016-17"/>
      </filters>
    </filterColumn>
  </autoFilter>
  <tableColumns count="12">
    <tableColumn id="13" uniqueName="13" name="Year" queryTableFieldId="1" dataDxfId="16671"/>
    <tableColumn id="2" uniqueName="2" name="Code" queryTableFieldId="2" dataDxfId="16670"/>
    <tableColumn id="3" uniqueName="3" name="ReportingLevel" queryTableFieldId="3" dataDxfId="16669"/>
    <tableColumn id="4" uniqueName="4" name="lvl" queryTableFieldId="4" dataDxfId="16668"/>
    <tableColumn id="5" uniqueName="5" name="Director" queryTableFieldId="5"/>
    <tableColumn id="6" uniqueName="6" name="Service Manager" queryTableFieldId="6"/>
    <tableColumn id="7" uniqueName="7" name="Team Leader" queryTableFieldId="7"/>
    <tableColumn id="8" uniqueName="8" name="Professional" queryTableFieldId="8"/>
    <tableColumn id="9" uniqueName="9" name="Specialist Technical" queryTableFieldId="9"/>
    <tableColumn id="10" uniqueName="10" name="Tech Support" queryTableFieldId="10"/>
    <tableColumn id="11" uniqueName="11" name="Administration" queryTableFieldId="11"/>
    <tableColumn id="12" uniqueName="12" name="Total" queryTableFieldId="12"/>
  </tableColumns>
  <tableStyleInfo name="TableStyleMedium7" showFirstColumn="0" showLastColumn="0" showRowStripes="1" showColumnStripes="0"/>
</table>
</file>

<file path=xl/tables/table28.xml><?xml version="1.0" encoding="utf-8"?>
<table xmlns="http://schemas.openxmlformats.org/spreadsheetml/2006/main" id="45" name="hrod_HR_Gender_Timeseries" displayName="hrod_HR_Gender_Timeseries" ref="A10:M21" tableType="queryTable" totalsRowShown="0">
  <autoFilter ref="A10:M21"/>
  <tableColumns count="13">
    <tableColumn id="14" uniqueName="14" name="Year" queryTableFieldId="1" dataDxfId="16667"/>
    <tableColumn id="2" uniqueName="2" name="WTFemale" queryTableFieldId="2" dataDxfId="16666"/>
    <tableColumn id="3" uniqueName="3" name="WTMale" queryTableFieldId="3" dataDxfId="16665"/>
    <tableColumn id="4" uniqueName="4" name="RDSFemale" queryTableFieldId="4" dataDxfId="16664"/>
    <tableColumn id="5" uniqueName="5" name="RDSMale" queryTableFieldId="5" dataDxfId="16663"/>
    <tableColumn id="6" uniqueName="6" name="RDS FulltimeFemale" queryTableFieldId="6" dataDxfId="16662"/>
    <tableColumn id="7" uniqueName="7" name="RDS FulltimeMale" queryTableFieldId="7" dataDxfId="16661"/>
    <tableColumn id="8" uniqueName="8" name="ControlFemale" queryTableFieldId="8" dataDxfId="16660"/>
    <tableColumn id="9" uniqueName="9" name="ControlMale" queryTableFieldId="9" dataDxfId="16659"/>
    <tableColumn id="10" uniqueName="10" name="SupportFemale" queryTableFieldId="10" dataDxfId="16658"/>
    <tableColumn id="11" uniqueName="11" name="SupportMale" queryTableFieldId="11" dataDxfId="16657"/>
    <tableColumn id="12" uniqueName="12" name="VolFemale" queryTableFieldId="12" dataDxfId="16656"/>
    <tableColumn id="13" uniqueName="13" name="VolMale" queryTableFieldId="13" dataDxfId="16655"/>
  </tableColumns>
  <tableStyleInfo showFirstColumn="0" showLastColumn="0" showRowStripes="1" showColumnStripes="0"/>
</table>
</file>

<file path=xl/tables/table29.xml><?xml version="1.0" encoding="utf-8"?>
<table xmlns="http://schemas.openxmlformats.org/spreadsheetml/2006/main" id="60" name="hrod_HR_Gender" displayName="hrod_HR_Gender" ref="A1:E44" tableType="queryTable" totalsRowShown="0">
  <autoFilter ref="A1:E44"/>
  <tableColumns count="5">
    <tableColumn id="6" uniqueName="6" name="Year" queryTableFieldId="1" dataDxfId="16654"/>
    <tableColumn id="2" uniqueName="2" name="Type" queryTableFieldId="2" dataDxfId="16653"/>
    <tableColumn id="3" uniqueName="3" name="Total" queryTableFieldId="3"/>
    <tableColumn id="4" uniqueName="4" name="Female" queryTableFieldId="4"/>
    <tableColumn id="5" uniqueName="5" name="Male" queryTableFieldId="5"/>
  </tableColumns>
  <tableStyleInfo name="TableStyleMedium7" showFirstColumn="0" showLastColumn="0" showRowStripes="1" showColumnStripes="0"/>
</table>
</file>

<file path=xl/tables/table3.xml><?xml version="1.0" encoding="utf-8"?>
<table xmlns="http://schemas.openxmlformats.org/spreadsheetml/2006/main" id="64" name="fleet_LocalAuthority" displayName="fleet_LocalAuthority" ref="A1:J97" tableType="queryTable" totalsRowShown="0">
  <autoFilter ref="A1:J97"/>
  <tableColumns count="10">
    <tableColumn id="11" uniqueName="11" name="Year" queryTableFieldId="1" dataDxfId="16823"/>
    <tableColumn id="2" uniqueName="2" name="LA Code" queryTableFieldId="2" dataDxfId="16822"/>
    <tableColumn id="3" uniqueName="3" name="Local Authority Area" queryTableFieldId="3" dataDxfId="16821"/>
    <tableColumn id="4" uniqueName="4" name="Pumping Appliances" queryTableFieldId="4"/>
    <tableColumn id="5" uniqueName="5" name="Aerial Appliances" queryTableFieldId="5"/>
    <tableColumn id="6" uniqueName="6" name="Resilience Appliances" queryTableFieldId="6"/>
    <tableColumn id="7" uniqueName="7" name="Vehicles for Rescue Work" queryTableFieldId="7"/>
    <tableColumn id="8" uniqueName="8" name="Small Firefighting Vehicles" queryTableFieldId="8"/>
    <tableColumn id="9" uniqueName="9" name="Other Operational" queryTableFieldId="9"/>
    <tableColumn id="10" uniqueName="10" name="Total Appliances" queryTableFieldId="10"/>
  </tableColumns>
  <tableStyleInfo name="TableStyleMedium7" showFirstColumn="0" showLastColumn="0" showRowStripes="1" showColumnStripes="0"/>
</table>
</file>

<file path=xl/tables/table30.xml><?xml version="1.0" encoding="utf-8"?>
<table xmlns="http://schemas.openxmlformats.org/spreadsheetml/2006/main" id="38" name="hrod_HR_Gender_Role" displayName="hrod_HR_Gender_Role" ref="A1:F207" tableType="queryTable" totalsRowShown="0">
  <autoFilter ref="A1:F207">
    <filterColumn colId="0">
      <filters>
        <filter val="2017-18"/>
      </filters>
    </filterColumn>
    <filterColumn colId="1">
      <filters>
        <filter val="WT"/>
      </filters>
    </filterColumn>
  </autoFilter>
  <tableColumns count="6">
    <tableColumn id="7" uniqueName="7" name="Year" queryTableFieldId="1" dataDxfId="16652"/>
    <tableColumn id="2" uniqueName="2" name="Type" queryTableFieldId="2" dataDxfId="16651"/>
    <tableColumn id="3" uniqueName="3" name="PostConv" queryTableFieldId="3" dataDxfId="16650"/>
    <tableColumn id="4" uniqueName="4" name="Total" queryTableFieldId="4" dataDxfId="16649"/>
    <tableColumn id="5" uniqueName="5" name="Female" queryTableFieldId="5" dataDxfId="16648"/>
    <tableColumn id="6" uniqueName="6" name="Male" queryTableFieldId="6" dataDxfId="16647"/>
  </tableColumns>
  <tableStyleInfo name="TableStyleMedium7" showFirstColumn="0" showLastColumn="0" showRowStripes="1" showColumnStripes="0"/>
</table>
</file>

<file path=xl/tables/table31.xml><?xml version="1.0" encoding="utf-8"?>
<table xmlns="http://schemas.openxmlformats.org/spreadsheetml/2006/main" id="61" name="hrod_HR_FTE_Gender_Role" displayName="hrod_HR_FTE_Gender_Role" ref="A1:F161" tableType="queryTable" totalsRowShown="0">
  <autoFilter ref="A1:F161"/>
  <tableColumns count="6">
    <tableColumn id="7" uniqueName="7" name="Year" queryTableFieldId="1" dataDxfId="16646"/>
    <tableColumn id="2" uniqueName="2" name="Type" queryTableFieldId="2" dataDxfId="16645"/>
    <tableColumn id="3" uniqueName="3" name="PostConv" queryTableFieldId="3" dataDxfId="16644"/>
    <tableColumn id="4" uniqueName="4" name="Total" queryTableFieldId="4"/>
    <tableColumn id="5" uniqueName="5" name="Female" queryTableFieldId="5"/>
    <tableColumn id="6" uniqueName="6" name="Male" queryTableFieldId="6"/>
  </tableColumns>
  <tableStyleInfo name="TableStyleMedium7" showFirstColumn="0" showLastColumn="0" showRowStripes="1" showColumnStripes="0"/>
</table>
</file>

<file path=xl/tables/table32.xml><?xml version="1.0" encoding="utf-8"?>
<table xmlns="http://schemas.openxmlformats.org/spreadsheetml/2006/main" id="40" name="hrod_HR_Age__2" displayName="hrod_HR_Age__2" ref="A1:I94" tableType="queryTable" totalsRowShown="0">
  <autoFilter ref="A1:I94">
    <filterColumn colId="0">
      <filters>
        <filter val="2017-18"/>
        <filter val="2020-21"/>
      </filters>
    </filterColumn>
  </autoFilter>
  <tableColumns count="9">
    <tableColumn id="10" uniqueName="10" name="Year" queryTableFieldId="1" dataDxfId="16643"/>
    <tableColumn id="2" uniqueName="2" name="Wholetime Operational" queryTableFieldId="2"/>
    <tableColumn id="3" uniqueName="3" name="Retained Duty System" queryTableFieldId="3"/>
    <tableColumn id="4" uniqueName="4" name="Retained Full-time" queryTableFieldId="4"/>
    <tableColumn id="5" uniqueName="5" name="Control" queryTableFieldId="5"/>
    <tableColumn id="6" uniqueName="6" name="Support Staff" queryTableFieldId="6"/>
    <tableColumn id="7" uniqueName="7" name="Volunteer" queryTableFieldId="7"/>
    <tableColumn id="8" uniqueName="8" name="Attribute" queryTableFieldId="8" dataDxfId="16642"/>
    <tableColumn id="9" uniqueName="9" name="Value" queryTableFieldId="9" dataDxfId="16641"/>
  </tableColumns>
  <tableStyleInfo name="TableStyleMedium7" showFirstColumn="0" showLastColumn="0" showRowStripes="1" showColumnStripes="0"/>
</table>
</file>

<file path=xl/tables/table33.xml><?xml version="1.0" encoding="utf-8"?>
<table xmlns="http://schemas.openxmlformats.org/spreadsheetml/2006/main" id="37" name="hrod_HR_Service" displayName="hrod_HR_Service" ref="A1:G37" tableType="queryTable" totalsRowShown="0">
  <autoFilter ref="A1:G37"/>
  <tableColumns count="7">
    <tableColumn id="8" uniqueName="8" name="Year" queryTableFieldId="1" dataDxfId="16640"/>
    <tableColumn id="2" uniqueName="2" name="Service Length (Years)" queryTableFieldId="2" dataDxfId="16639"/>
    <tableColumn id="3" uniqueName="3" name="Wholetime Operational" queryTableFieldId="3" dataDxfId="16638"/>
    <tableColumn id="4" uniqueName="4" name="Retained Duty System" queryTableFieldId="4" dataDxfId="16637"/>
    <tableColumn id="5" uniqueName="5" name="Retained Full-time" queryTableFieldId="5" dataDxfId="16636"/>
    <tableColumn id="6" uniqueName="6" name="Control" queryTableFieldId="6" dataDxfId="16635"/>
    <tableColumn id="7" uniqueName="7" name="Volunteer" queryTableFieldId="7" dataDxfId="16634"/>
  </tableColumns>
  <tableStyleInfo name="TableStyleMedium7" showFirstColumn="0" showLastColumn="0" showRowStripes="1" showColumnStripes="0"/>
</table>
</file>

<file path=xl/tables/table34.xml><?xml version="1.0" encoding="utf-8"?>
<table xmlns="http://schemas.openxmlformats.org/spreadsheetml/2006/main" id="62" name="hrod_HR_Ethnicity" displayName="hrod_HR_Ethnicity" ref="A1:E73" tableType="queryTable" totalsRowShown="0">
  <autoFilter ref="A1:E73"/>
  <tableColumns count="5">
    <tableColumn id="6" uniqueName="6" name="FisYr" queryTableFieldId="1" dataDxfId="16633"/>
    <tableColumn id="2" uniqueName="2" name="Type" queryTableFieldId="2" dataDxfId="16632"/>
    <tableColumn id="3" uniqueName="3" name="White" queryTableFieldId="3"/>
    <tableColumn id="4" uniqueName="4" name="Ethnic Minority" queryTableFieldId="4"/>
    <tableColumn id="5" uniqueName="5" name="Not Stated" queryTableFieldId="5"/>
  </tableColumns>
  <tableStyleInfo name="TableStyleMedium7" showFirstColumn="0" showLastColumn="0" showRowStripes="1" showColumnStripes="0"/>
</table>
</file>

<file path=xl/tables/table35.xml><?xml version="1.0" encoding="utf-8"?>
<table xmlns="http://schemas.openxmlformats.org/spreadsheetml/2006/main" id="39" name="hrod_HR_Disability_Known" displayName="hrod_HR_Disability_Known" ref="A9:I19" tableType="queryTable" totalsRowShown="0" headerRowDxfId="16631" headerRowBorderDxfId="16630">
  <tableColumns count="9">
    <tableColumn id="10" uniqueName="10" name="Year" queryTableFieldId="1" dataDxfId="16629"/>
    <tableColumn id="2" uniqueName="2" name="Wholetime Operational" queryTableFieldId="2" dataDxfId="16628"/>
    <tableColumn id="3" uniqueName="3" name="Retained Duty System" queryTableFieldId="3" dataDxfId="16627"/>
    <tableColumn id="4" uniqueName="4" name="Retained Full-time" queryTableFieldId="4" dataDxfId="16626"/>
    <tableColumn id="5" uniqueName="5" name="Control" queryTableFieldId="5" dataDxfId="16625"/>
    <tableColumn id="6" uniqueName="6" name="Support" queryTableFieldId="6" dataDxfId="16624"/>
    <tableColumn id="7" uniqueName="7" name="Volunteer" queryTableFieldId="7" dataDxfId="16623"/>
    <tableColumn id="8" uniqueName="8" name="Total" queryTableFieldId="8" dataDxfId="16622"/>
    <tableColumn id="9" uniqueName="9" name="Total (excluding volunters)" queryTableFieldId="9" dataDxfId="16621"/>
  </tableColumns>
  <tableStyleInfo showFirstColumn="0" showLastColumn="0" showRowStripes="1" showColumnStripes="0"/>
</table>
</file>

<file path=xl/tables/table36.xml><?xml version="1.0" encoding="utf-8"?>
<table xmlns="http://schemas.openxmlformats.org/spreadsheetml/2006/main" id="66" name="hrod_HR_Disability_NotKnown" displayName="hrod_HR_Disability_NotKnown" ref="A30:I37" tableType="queryTable" totalsRowShown="0" headerRowDxfId="16620" headerRowBorderDxfId="16619">
  <tableColumns count="9">
    <tableColumn id="10" uniqueName="10" name="Year" queryTableFieldId="1" dataDxfId="16618"/>
    <tableColumn id="2" uniqueName="2" name="Wholetime Operational" queryTableFieldId="2" dataDxfId="16617"/>
    <tableColumn id="3" uniqueName="3" name="Retained Duty System" queryTableFieldId="3" dataDxfId="16616"/>
    <tableColumn id="4" uniqueName="4" name="Retained Full-time" queryTableFieldId="4" dataDxfId="16615"/>
    <tableColumn id="5" uniqueName="5" name="Control" queryTableFieldId="5" dataDxfId="16614"/>
    <tableColumn id="6" uniqueName="6" name="Support" queryTableFieldId="6" dataDxfId="16613"/>
    <tableColumn id="7" uniqueName="7" name="Volunteer" queryTableFieldId="7" dataDxfId="16612"/>
    <tableColumn id="8" uniqueName="8" name="Total" queryTableFieldId="8" dataDxfId="16611"/>
    <tableColumn id="9" uniqueName="9" name="Total (excluding volunters)" queryTableFieldId="9" dataDxfId="16610"/>
  </tableColumns>
  <tableStyleInfo showFirstColumn="0" showLastColumn="0" showRowStripes="1" showColumnStripes="0"/>
</table>
</file>

<file path=xl/tables/table37.xml><?xml version="1.0" encoding="utf-8"?>
<table xmlns="http://schemas.openxmlformats.org/spreadsheetml/2006/main" id="41" name="hrod_HR_Leavers" displayName="hrod_HR_Leavers" ref="A1:XFD34" tableType="queryTable" totalsRowShown="0">
  <autoFilter ref="A1:XFD34">
    <filterColumn colId="0">
      <filters>
        <filter val="2018-19"/>
      </filters>
    </filterColumn>
  </autoFilter>
  <tableColumns count="16384">
    <tableColumn id="9" uniqueName="9" name="Year" queryTableFieldId="1" dataDxfId="16609"/>
    <tableColumn id="2" uniqueName="2" name="Reason for Leaving" queryTableFieldId="2" dataDxfId="16608"/>
    <tableColumn id="3" uniqueName="3" name="Wholetime Operational" queryTableFieldId="3" dataDxfId="16607"/>
    <tableColumn id="4" uniqueName="4" name="Retained Duty System" queryTableFieldId="4" dataDxfId="16606"/>
    <tableColumn id="5" uniqueName="5" name="Control" queryTableFieldId="5" dataDxfId="16605"/>
    <tableColumn id="6" uniqueName="6" name="Support" queryTableFieldId="6" dataDxfId="16604"/>
    <tableColumn id="7" uniqueName="7" name="Volunteers" queryTableFieldId="7" dataDxfId="16603"/>
    <tableColumn id="8" uniqueName="8" name="Total" queryTableFieldId="8" dataDxfId="16602"/>
    <tableColumn id="10" uniqueName="10" name="Column1" queryTableFieldId="16384" dataDxfId="16601"/>
    <tableColumn id="11" uniqueName="11" name="Column2" queryTableFieldId="16383" dataDxfId="16600"/>
    <tableColumn id="12" uniqueName="12" name="Column3" queryTableFieldId="16382" dataDxfId="16599"/>
    <tableColumn id="13" uniqueName="13" name="Column4" queryTableFieldId="16381" dataDxfId="16598"/>
    <tableColumn id="14" uniqueName="14" name="Column5" queryTableFieldId="16380" dataDxfId="16597"/>
    <tableColumn id="15" uniqueName="15" name="Column6" queryTableFieldId="16379" dataDxfId="16596"/>
    <tableColumn id="16" uniqueName="16" name="Column7" queryTableFieldId="16378" dataDxfId="16595"/>
    <tableColumn id="17" uniqueName="17" name="Column8" queryTableFieldId="16377" dataDxfId="16594"/>
    <tableColumn id="18" uniqueName="18" name="Column9" queryTableFieldId="16376" dataDxfId="16593"/>
    <tableColumn id="19" uniqueName="19" name="Column10" queryTableFieldId="16375" dataDxfId="16592"/>
    <tableColumn id="20" uniqueName="20" name="Column11" queryTableFieldId="16374" dataDxfId="16591"/>
    <tableColumn id="21" uniqueName="21" name="Column12" queryTableFieldId="16373" dataDxfId="16590"/>
    <tableColumn id="22" uniqueName="22" name="Column13" queryTableFieldId="16372" dataDxfId="16589"/>
    <tableColumn id="23" uniqueName="23" name="Column14" queryTableFieldId="16371" dataDxfId="16588"/>
    <tableColumn id="24" uniqueName="24" name="Column15" queryTableFieldId="16370" dataDxfId="16587"/>
    <tableColumn id="25" uniqueName="25" name="Column16" queryTableFieldId="16369" dataDxfId="16586"/>
    <tableColumn id="26" uniqueName="26" name="Column17" queryTableFieldId="16368" dataDxfId="16585"/>
    <tableColumn id="27" uniqueName="27" name="Column18" queryTableFieldId="16367" dataDxfId="16584"/>
    <tableColumn id="28" uniqueName="28" name="Column19" queryTableFieldId="16366" dataDxfId="16583"/>
    <tableColumn id="29" uniqueName="29" name="Column20" queryTableFieldId="16365" dataDxfId="16582"/>
    <tableColumn id="30" uniqueName="30" name="Column21" queryTableFieldId="16364" dataDxfId="16581"/>
    <tableColumn id="31" uniqueName="31" name="Column22" queryTableFieldId="16363" dataDxfId="16580"/>
    <tableColumn id="32" uniqueName="32" name="Column23" queryTableFieldId="16362" dataDxfId="16579"/>
    <tableColumn id="33" uniqueName="33" name="Column24" queryTableFieldId="16361" dataDxfId="16578"/>
    <tableColumn id="34" uniqueName="34" name="Column25" queryTableFieldId="16360" dataDxfId="16577"/>
    <tableColumn id="35" uniqueName="35" name="Column26" queryTableFieldId="16359" dataDxfId="16576"/>
    <tableColumn id="36" uniqueName="36" name="Column27" queryTableFieldId="16358" dataDxfId="16575"/>
    <tableColumn id="37" uniqueName="37" name="Column28" queryTableFieldId="16357" dataDxfId="16574"/>
    <tableColumn id="38" uniqueName="38" name="Column29" queryTableFieldId="16356" dataDxfId="16573"/>
    <tableColumn id="39" uniqueName="39" name="Column30" queryTableFieldId="16355" dataDxfId="16572"/>
    <tableColumn id="40" uniqueName="40" name="Column31" queryTableFieldId="16354" dataDxfId="16571"/>
    <tableColumn id="41" uniqueName="41" name="Column32" queryTableFieldId="16353" dataDxfId="16570"/>
    <tableColumn id="42" uniqueName="42" name="Column33" queryTableFieldId="16352" dataDxfId="16569"/>
    <tableColumn id="43" uniqueName="43" name="Column34" queryTableFieldId="16351" dataDxfId="16568"/>
    <tableColumn id="44" uniqueName="44" name="Column35" queryTableFieldId="16350" dataDxfId="16567"/>
    <tableColumn id="45" uniqueName="45" name="Column36" queryTableFieldId="16349" dataDxfId="16566"/>
    <tableColumn id="46" uniqueName="46" name="Column37" queryTableFieldId="16348" dataDxfId="16565"/>
    <tableColumn id="47" uniqueName="47" name="Column38" queryTableFieldId="16347" dataDxfId="16564"/>
    <tableColumn id="48" uniqueName="48" name="Column39" queryTableFieldId="16346" dataDxfId="16563"/>
    <tableColumn id="49" uniqueName="49" name="Column40" queryTableFieldId="16345" dataDxfId="16562"/>
    <tableColumn id="50" uniqueName="50" name="Column41" queryTableFieldId="16344" dataDxfId="16561"/>
    <tableColumn id="51" uniqueName="51" name="Column42" queryTableFieldId="16343" dataDxfId="16560"/>
    <tableColumn id="52" uniqueName="52" name="Column43" queryTableFieldId="16342" dataDxfId="16559"/>
    <tableColumn id="53" uniqueName="53" name="Column44" queryTableFieldId="16341" dataDxfId="16558"/>
    <tableColumn id="54" uniqueName="54" name="Column45" queryTableFieldId="16340" dataDxfId="16557"/>
    <tableColumn id="55" uniqueName="55" name="Column46" queryTableFieldId="16339" dataDxfId="16556"/>
    <tableColumn id="56" uniqueName="56" name="Column47" queryTableFieldId="16338" dataDxfId="16555"/>
    <tableColumn id="57" uniqueName="57" name="Column48" queryTableFieldId="16337" dataDxfId="16554"/>
    <tableColumn id="58" uniqueName="58" name="Column49" queryTableFieldId="16336" dataDxfId="16553"/>
    <tableColumn id="59" uniqueName="59" name="Column50" queryTableFieldId="16335" dataDxfId="16552"/>
    <tableColumn id="60" uniqueName="60" name="Column51" queryTableFieldId="16334" dataDxfId="16551"/>
    <tableColumn id="61" uniqueName="61" name="Column52" queryTableFieldId="16333" dataDxfId="16550"/>
    <tableColumn id="62" uniqueName="62" name="Column53" queryTableFieldId="16332" dataDxfId="16549"/>
    <tableColumn id="63" uniqueName="63" name="Column54" queryTableFieldId="16331" dataDxfId="16548"/>
    <tableColumn id="64" uniqueName="64" name="Column55" queryTableFieldId="16330" dataDxfId="16547"/>
    <tableColumn id="65" uniqueName="65" name="Column56" queryTableFieldId="16329" dataDxfId="16546"/>
    <tableColumn id="66" uniqueName="66" name="Column57" queryTableFieldId="16328" dataDxfId="16545"/>
    <tableColumn id="67" uniqueName="67" name="Column58" queryTableFieldId="16327" dataDxfId="16544"/>
    <tableColumn id="68" uniqueName="68" name="Column59" queryTableFieldId="16326" dataDxfId="16543"/>
    <tableColumn id="69" uniqueName="69" name="Column60" queryTableFieldId="16325" dataDxfId="16542"/>
    <tableColumn id="70" uniqueName="70" name="Column61" queryTableFieldId="16324" dataDxfId="16541"/>
    <tableColumn id="71" uniqueName="71" name="Column62" queryTableFieldId="16323" dataDxfId="16540"/>
    <tableColumn id="72" uniqueName="72" name="Column63" queryTableFieldId="16322" dataDxfId="16539"/>
    <tableColumn id="73" uniqueName="73" name="Column64" queryTableFieldId="16321" dataDxfId="16538"/>
    <tableColumn id="74" uniqueName="74" name="Column65" queryTableFieldId="16320" dataDxfId="16537"/>
    <tableColumn id="75" uniqueName="75" name="Column66" queryTableFieldId="16319" dataDxfId="16536"/>
    <tableColumn id="76" uniqueName="76" name="Column67" queryTableFieldId="16318" dataDxfId="16535"/>
    <tableColumn id="77" uniqueName="77" name="Column68" queryTableFieldId="16317" dataDxfId="16534"/>
    <tableColumn id="78" uniqueName="78" name="Column69" queryTableFieldId="16316" dataDxfId="16533"/>
    <tableColumn id="79" uniqueName="79" name="Column70" queryTableFieldId="16315" dataDxfId="16532"/>
    <tableColumn id="80" uniqueName="80" name="Column71" queryTableFieldId="16314" dataDxfId="16531"/>
    <tableColumn id="81" uniqueName="81" name="Column72" queryTableFieldId="16313" dataDxfId="16530"/>
    <tableColumn id="82" uniqueName="82" name="Column73" queryTableFieldId="16312" dataDxfId="16529"/>
    <tableColumn id="83" uniqueName="83" name="Column74" queryTableFieldId="16311" dataDxfId="16528"/>
    <tableColumn id="84" uniqueName="84" name="Column75" queryTableFieldId="16310" dataDxfId="16527"/>
    <tableColumn id="85" uniqueName="85" name="Column76" queryTableFieldId="16309" dataDxfId="16526"/>
    <tableColumn id="86" uniqueName="86" name="Column77" queryTableFieldId="16308" dataDxfId="16525"/>
    <tableColumn id="87" uniqueName="87" name="Column78" queryTableFieldId="16307" dataDxfId="16524"/>
    <tableColumn id="88" uniqueName="88" name="Column79" queryTableFieldId="16306" dataDxfId="16523"/>
    <tableColumn id="89" uniqueName="89" name="Column80" queryTableFieldId="16305" dataDxfId="16522"/>
    <tableColumn id="90" uniqueName="90" name="Column81" queryTableFieldId="16304" dataDxfId="16521"/>
    <tableColumn id="91" uniqueName="91" name="Column82" queryTableFieldId="16303" dataDxfId="16520"/>
    <tableColumn id="92" uniqueName="92" name="Column83" queryTableFieldId="16302" dataDxfId="16519"/>
    <tableColumn id="93" uniqueName="93" name="Column84" queryTableFieldId="16301" dataDxfId="16518"/>
    <tableColumn id="94" uniqueName="94" name="Column85" queryTableFieldId="16300" dataDxfId="16517"/>
    <tableColumn id="95" uniqueName="95" name="Column86" queryTableFieldId="16299" dataDxfId="16516"/>
    <tableColumn id="96" uniqueName="96" name="Column87" queryTableFieldId="16298" dataDxfId="16515"/>
    <tableColumn id="97" uniqueName="97" name="Column88" queryTableFieldId="16297" dataDxfId="16514"/>
    <tableColumn id="98" uniqueName="98" name="Column89" queryTableFieldId="16296" dataDxfId="16513"/>
    <tableColumn id="99" uniqueName="99" name="Column90" queryTableFieldId="16295" dataDxfId="16512"/>
    <tableColumn id="100" uniqueName="100" name="Column91" queryTableFieldId="16294" dataDxfId="16511"/>
    <tableColumn id="101" uniqueName="101" name="Column92" queryTableFieldId="16293" dataDxfId="16510"/>
    <tableColumn id="102" uniqueName="102" name="Column93" queryTableFieldId="16292" dataDxfId="16509"/>
    <tableColumn id="103" uniqueName="103" name="Column94" queryTableFieldId="16291" dataDxfId="16508"/>
    <tableColumn id="104" uniqueName="104" name="Column95" queryTableFieldId="16290" dataDxfId="16507"/>
    <tableColumn id="105" uniqueName="105" name="Column96" queryTableFieldId="16289" dataDxfId="16506"/>
    <tableColumn id="106" uniqueName="106" name="Column97" queryTableFieldId="16288" dataDxfId="16505"/>
    <tableColumn id="107" uniqueName="107" name="Column98" queryTableFieldId="16287" dataDxfId="16504"/>
    <tableColumn id="108" uniqueName="108" name="Column99" queryTableFieldId="16286" dataDxfId="16503"/>
    <tableColumn id="109" uniqueName="109" name="Column100" queryTableFieldId="16285" dataDxfId="16502"/>
    <tableColumn id="110" uniqueName="110" name="Column101" queryTableFieldId="16284" dataDxfId="16501"/>
    <tableColumn id="111" uniqueName="111" name="Column102" queryTableFieldId="16283" dataDxfId="16500"/>
    <tableColumn id="112" uniqueName="112" name="Column103" queryTableFieldId="16282" dataDxfId="16499"/>
    <tableColumn id="113" uniqueName="113" name="Column104" queryTableFieldId="16281" dataDxfId="16498"/>
    <tableColumn id="114" uniqueName="114" name="Column105" queryTableFieldId="16280" dataDxfId="16497"/>
    <tableColumn id="115" uniqueName="115" name="Column106" queryTableFieldId="16279" dataDxfId="16496"/>
    <tableColumn id="116" uniqueName="116" name="Column107" queryTableFieldId="16278" dataDxfId="16495"/>
    <tableColumn id="117" uniqueName="117" name="Column108" queryTableFieldId="16277" dataDxfId="16494"/>
    <tableColumn id="118" uniqueName="118" name="Column109" queryTableFieldId="16276" dataDxfId="16493"/>
    <tableColumn id="119" uniqueName="119" name="Column110" queryTableFieldId="16275" dataDxfId="16492"/>
    <tableColumn id="120" uniqueName="120" name="Column111" queryTableFieldId="16274" dataDxfId="16491"/>
    <tableColumn id="121" uniqueName="121" name="Column112" queryTableFieldId="16273" dataDxfId="16490"/>
    <tableColumn id="122" uniqueName="122" name="Column113" queryTableFieldId="16272" dataDxfId="16489"/>
    <tableColumn id="123" uniqueName="123" name="Column114" queryTableFieldId="16271" dataDxfId="16488"/>
    <tableColumn id="124" uniqueName="124" name="Column115" queryTableFieldId="16270" dataDxfId="16487"/>
    <tableColumn id="125" uniqueName="125" name="Column116" queryTableFieldId="16269" dataDxfId="16486"/>
    <tableColumn id="126" uniqueName="126" name="Column117" queryTableFieldId="16268" dataDxfId="16485"/>
    <tableColumn id="127" uniqueName="127" name="Column118" queryTableFieldId="16267" dataDxfId="16484"/>
    <tableColumn id="128" uniqueName="128" name="Column119" queryTableFieldId="16266" dataDxfId="16483"/>
    <tableColumn id="129" uniqueName="129" name="Column120" queryTableFieldId="16265" dataDxfId="16482"/>
    <tableColumn id="130" uniqueName="130" name="Column121" queryTableFieldId="16264" dataDxfId="16481"/>
    <tableColumn id="131" uniqueName="131" name="Column122" queryTableFieldId="16263" dataDxfId="16480"/>
    <tableColumn id="132" uniqueName="132" name="Column123" queryTableFieldId="16262" dataDxfId="16479"/>
    <tableColumn id="133" uniqueName="133" name="Column124" queryTableFieldId="16261" dataDxfId="16478"/>
    <tableColumn id="134" uniqueName="134" name="Column125" queryTableFieldId="16260" dataDxfId="16477"/>
    <tableColumn id="135" uniqueName="135" name="Column126" queryTableFieldId="16259" dataDxfId="16476"/>
    <tableColumn id="136" uniqueName="136" name="Column127" queryTableFieldId="16258" dataDxfId="16475"/>
    <tableColumn id="137" uniqueName="137" name="Column128" queryTableFieldId="16257" dataDxfId="16474"/>
    <tableColumn id="138" uniqueName="138" name="Column129" queryTableFieldId="16256" dataDxfId="16473"/>
    <tableColumn id="139" uniqueName="139" name="Column130" queryTableFieldId="16255" dataDxfId="16472"/>
    <tableColumn id="140" uniqueName="140" name="Column131" queryTableFieldId="16254" dataDxfId="16471"/>
    <tableColumn id="141" uniqueName="141" name="Column132" queryTableFieldId="16253" dataDxfId="16470"/>
    <tableColumn id="142" uniqueName="142" name="Column133" queryTableFieldId="16252" dataDxfId="16469"/>
    <tableColumn id="143" uniqueName="143" name="Column134" queryTableFieldId="16251" dataDxfId="16468"/>
    <tableColumn id="144" uniqueName="144" name="Column135" queryTableFieldId="16250" dataDxfId="16467"/>
    <tableColumn id="145" uniqueName="145" name="Column136" queryTableFieldId="16249" dataDxfId="16466"/>
    <tableColumn id="146" uniqueName="146" name="Column137" queryTableFieldId="16248" dataDxfId="16465"/>
    <tableColumn id="147" uniqueName="147" name="Column138" queryTableFieldId="16247" dataDxfId="16464"/>
    <tableColumn id="148" uniqueName="148" name="Column139" queryTableFieldId="16246" dataDxfId="16463"/>
    <tableColumn id="149" uniqueName="149" name="Column140" queryTableFieldId="16245" dataDxfId="16462"/>
    <tableColumn id="150" uniqueName="150" name="Column141" queryTableFieldId="16244" dataDxfId="16461"/>
    <tableColumn id="151" uniqueName="151" name="Column142" queryTableFieldId="16243" dataDxfId="16460"/>
    <tableColumn id="152" uniqueName="152" name="Column143" queryTableFieldId="16242" dataDxfId="16459"/>
    <tableColumn id="153" uniqueName="153" name="Column144" queryTableFieldId="16241" dataDxfId="16458"/>
    <tableColumn id="154" uniqueName="154" name="Column145" queryTableFieldId="16240" dataDxfId="16457"/>
    <tableColumn id="155" uniqueName="155" name="Column146" queryTableFieldId="16239" dataDxfId="16456"/>
    <tableColumn id="156" uniqueName="156" name="Column147" queryTableFieldId="16238" dataDxfId="16455"/>
    <tableColumn id="157" uniqueName="157" name="Column148" queryTableFieldId="16237" dataDxfId="16454"/>
    <tableColumn id="158" uniqueName="158" name="Column149" queryTableFieldId="16236" dataDxfId="16453"/>
    <tableColumn id="159" uniqueName="159" name="Column150" queryTableFieldId="16235" dataDxfId="16452"/>
    <tableColumn id="160" uniqueName="160" name="Column151" queryTableFieldId="16234" dataDxfId="16451"/>
    <tableColumn id="161" uniqueName="161" name="Column152" queryTableFieldId="16233" dataDxfId="16450"/>
    <tableColumn id="162" uniqueName="162" name="Column153" queryTableFieldId="16232" dataDxfId="16449"/>
    <tableColumn id="163" uniqueName="163" name="Column154" queryTableFieldId="16231" dataDxfId="16448"/>
    <tableColumn id="164" uniqueName="164" name="Column155" queryTableFieldId="16230" dataDxfId="16447"/>
    <tableColumn id="165" uniqueName="165" name="Column156" queryTableFieldId="16229" dataDxfId="16446"/>
    <tableColumn id="166" uniqueName="166" name="Column157" queryTableFieldId="16228" dataDxfId="16445"/>
    <tableColumn id="167" uniqueName="167" name="Column158" queryTableFieldId="16227" dataDxfId="16444"/>
    <tableColumn id="168" uniqueName="168" name="Column159" queryTableFieldId="16226" dataDxfId="16443"/>
    <tableColumn id="169" uniqueName="169" name="Column160" queryTableFieldId="16225" dataDxfId="16442"/>
    <tableColumn id="170" uniqueName="170" name="Column161" queryTableFieldId="16224" dataDxfId="16441"/>
    <tableColumn id="171" uniqueName="171" name="Column162" queryTableFieldId="16223" dataDxfId="16440"/>
    <tableColumn id="172" uniqueName="172" name="Column163" queryTableFieldId="16222" dataDxfId="16439"/>
    <tableColumn id="173" uniqueName="173" name="Column164" queryTableFieldId="16221" dataDxfId="16438"/>
    <tableColumn id="174" uniqueName="174" name="Column165" queryTableFieldId="16220" dataDxfId="16437"/>
    <tableColumn id="175" uniqueName="175" name="Column166" queryTableFieldId="16219" dataDxfId="16436"/>
    <tableColumn id="176" uniqueName="176" name="Column167" queryTableFieldId="16218" dataDxfId="16435"/>
    <tableColumn id="177" uniqueName="177" name="Column168" queryTableFieldId="16217" dataDxfId="16434"/>
    <tableColumn id="178" uniqueName="178" name="Column169" queryTableFieldId="16216" dataDxfId="16433"/>
    <tableColumn id="179" uniqueName="179" name="Column170" queryTableFieldId="16215" dataDxfId="16432"/>
    <tableColumn id="180" uniqueName="180" name="Column171" queryTableFieldId="16214" dataDxfId="16431"/>
    <tableColumn id="181" uniqueName="181" name="Column172" queryTableFieldId="16213" dataDxfId="16430"/>
    <tableColumn id="182" uniqueName="182" name="Column173" queryTableFieldId="16212" dataDxfId="16429"/>
    <tableColumn id="183" uniqueName="183" name="Column174" queryTableFieldId="16211" dataDxfId="16428"/>
    <tableColumn id="184" uniqueName="184" name="Column175" queryTableFieldId="16210" dataDxfId="16427"/>
    <tableColumn id="185" uniqueName="185" name="Column176" queryTableFieldId="16209" dataDxfId="16426"/>
    <tableColumn id="186" uniqueName="186" name="Column177" queryTableFieldId="16208" dataDxfId="16425"/>
    <tableColumn id="187" uniqueName="187" name="Column178" queryTableFieldId="16207" dataDxfId="16424"/>
    <tableColumn id="188" uniqueName="188" name="Column179" queryTableFieldId="16206" dataDxfId="16423"/>
    <tableColumn id="189" uniqueName="189" name="Column180" queryTableFieldId="16205" dataDxfId="16422"/>
    <tableColumn id="190" uniqueName="190" name="Column181" queryTableFieldId="16204" dataDxfId="16421"/>
    <tableColumn id="191" uniqueName="191" name="Column182" queryTableFieldId="16203" dataDxfId="16420"/>
    <tableColumn id="192" uniqueName="192" name="Column183" queryTableFieldId="16202" dataDxfId="16419"/>
    <tableColumn id="193" uniqueName="193" name="Column184" queryTableFieldId="16201" dataDxfId="16418"/>
    <tableColumn id="194" uniqueName="194" name="Column185" queryTableFieldId="16200" dataDxfId="16417"/>
    <tableColumn id="195" uniqueName="195" name="Column186" queryTableFieldId="16199" dataDxfId="16416"/>
    <tableColumn id="196" uniqueName="196" name="Column187" queryTableFieldId="16198" dataDxfId="16415"/>
    <tableColumn id="197" uniqueName="197" name="Column188" queryTableFieldId="16197" dataDxfId="16414"/>
    <tableColumn id="198" uniqueName="198" name="Column189" queryTableFieldId="16196" dataDxfId="16413"/>
    <tableColumn id="199" uniqueName="199" name="Column190" queryTableFieldId="16195" dataDxfId="16412"/>
    <tableColumn id="200" uniqueName="200" name="Column191" queryTableFieldId="16194" dataDxfId="16411"/>
    <tableColumn id="201" uniqueName="201" name="Column192" queryTableFieldId="16193" dataDxfId="16410"/>
    <tableColumn id="202" uniqueName="202" name="Column193" queryTableFieldId="16192" dataDxfId="16409"/>
    <tableColumn id="203" uniqueName="203" name="Column194" queryTableFieldId="16191" dataDxfId="16408"/>
    <tableColumn id="204" uniqueName="204" name="Column195" queryTableFieldId="16190" dataDxfId="16407"/>
    <tableColumn id="205" uniqueName="205" name="Column196" queryTableFieldId="16189" dataDxfId="16406"/>
    <tableColumn id="206" uniqueName="206" name="Column197" queryTableFieldId="16188" dataDxfId="16405"/>
    <tableColumn id="207" uniqueName="207" name="Column198" queryTableFieldId="16187" dataDxfId="16404"/>
    <tableColumn id="208" uniqueName="208" name="Column199" queryTableFieldId="16186" dataDxfId="16403"/>
    <tableColumn id="209" uniqueName="209" name="Column200" queryTableFieldId="16185" dataDxfId="16402"/>
    <tableColumn id="210" uniqueName="210" name="Column201" queryTableFieldId="16184" dataDxfId="16401"/>
    <tableColumn id="211" uniqueName="211" name="Column202" queryTableFieldId="16183" dataDxfId="16400"/>
    <tableColumn id="212" uniqueName="212" name="Column203" queryTableFieldId="16182" dataDxfId="16399"/>
    <tableColumn id="213" uniqueName="213" name="Column204" queryTableFieldId="16181" dataDxfId="16398"/>
    <tableColumn id="214" uniqueName="214" name="Column205" queryTableFieldId="16180" dataDxfId="16397"/>
    <tableColumn id="215" uniqueName="215" name="Column206" queryTableFieldId="16179" dataDxfId="16396"/>
    <tableColumn id="216" uniqueName="216" name="Column207" queryTableFieldId="16178" dataDxfId="16395"/>
    <tableColumn id="217" uniqueName="217" name="Column208" queryTableFieldId="16177" dataDxfId="16394"/>
    <tableColumn id="218" uniqueName="218" name="Column209" queryTableFieldId="16176" dataDxfId="16393"/>
    <tableColumn id="219" uniqueName="219" name="Column210" queryTableFieldId="16175" dataDxfId="16392"/>
    <tableColumn id="220" uniqueName="220" name="Column211" queryTableFieldId="16174" dataDxfId="16391"/>
    <tableColumn id="221" uniqueName="221" name="Column212" queryTableFieldId="16173" dataDxfId="16390"/>
    <tableColumn id="222" uniqueName="222" name="Column213" queryTableFieldId="16172" dataDxfId="16389"/>
    <tableColumn id="223" uniqueName="223" name="Column214" queryTableFieldId="16171" dataDxfId="16388"/>
    <tableColumn id="224" uniqueName="224" name="Column215" queryTableFieldId="16170" dataDxfId="16387"/>
    <tableColumn id="225" uniqueName="225" name="Column216" queryTableFieldId="16169" dataDxfId="16386"/>
    <tableColumn id="226" uniqueName="226" name="Column217" queryTableFieldId="16168" dataDxfId="16385"/>
    <tableColumn id="227" uniqueName="227" name="Column218" queryTableFieldId="16167" dataDxfId="16384"/>
    <tableColumn id="228" uniqueName="228" name="Column219" queryTableFieldId="16166" dataDxfId="16383"/>
    <tableColumn id="229" uniqueName="229" name="Column220" queryTableFieldId="16165" dataDxfId="16382"/>
    <tableColumn id="230" uniqueName="230" name="Column221" queryTableFieldId="16164" dataDxfId="16381"/>
    <tableColumn id="231" uniqueName="231" name="Column222" queryTableFieldId="16163" dataDxfId="16380"/>
    <tableColumn id="232" uniqueName="232" name="Column223" queryTableFieldId="16162" dataDxfId="16379"/>
    <tableColumn id="233" uniqueName="233" name="Column224" queryTableFieldId="16161" dataDxfId="16378"/>
    <tableColumn id="234" uniqueName="234" name="Column225" queryTableFieldId="16160" dataDxfId="16377"/>
    <tableColumn id="235" uniqueName="235" name="Column226" queryTableFieldId="16159" dataDxfId="16376"/>
    <tableColumn id="236" uniqueName="236" name="Column227" queryTableFieldId="16158" dataDxfId="16375"/>
    <tableColumn id="237" uniqueName="237" name="Column228" queryTableFieldId="16157" dataDxfId="16374"/>
    <tableColumn id="238" uniqueName="238" name="Column229" queryTableFieldId="16156" dataDxfId="16373"/>
    <tableColumn id="239" uniqueName="239" name="Column230" queryTableFieldId="16155" dataDxfId="16372"/>
    <tableColumn id="240" uniqueName="240" name="Column231" queryTableFieldId="16154" dataDxfId="16371"/>
    <tableColumn id="241" uniqueName="241" name="Column232" queryTableFieldId="16153" dataDxfId="16370"/>
    <tableColumn id="242" uniqueName="242" name="Column233" queryTableFieldId="16152" dataDxfId="16369"/>
    <tableColumn id="243" uniqueName="243" name="Column234" queryTableFieldId="16151" dataDxfId="16368"/>
    <tableColumn id="244" uniqueName="244" name="Column235" queryTableFieldId="16150" dataDxfId="16367"/>
    <tableColumn id="245" uniqueName="245" name="Column236" queryTableFieldId="16149" dataDxfId="16366"/>
    <tableColumn id="246" uniqueName="246" name="Column237" queryTableFieldId="16148" dataDxfId="16365"/>
    <tableColumn id="247" uniqueName="247" name="Column238" queryTableFieldId="16147" dataDxfId="16364"/>
    <tableColumn id="248" uniqueName="248" name="Column239" queryTableFieldId="16146" dataDxfId="16363"/>
    <tableColumn id="249" uniqueName="249" name="Column240" queryTableFieldId="16145" dataDxfId="16362"/>
    <tableColumn id="250" uniqueName="250" name="Column241" queryTableFieldId="16144" dataDxfId="16361"/>
    <tableColumn id="251" uniqueName="251" name="Column242" queryTableFieldId="16143" dataDxfId="16360"/>
    <tableColumn id="252" uniqueName="252" name="Column243" queryTableFieldId="16142" dataDxfId="16359"/>
    <tableColumn id="253" uniqueName="253" name="Column244" queryTableFieldId="16141" dataDxfId="16358"/>
    <tableColumn id="254" uniqueName="254" name="Column245" queryTableFieldId="16140" dataDxfId="16357"/>
    <tableColumn id="255" uniqueName="255" name="Column246" queryTableFieldId="16139" dataDxfId="16356"/>
    <tableColumn id="256" uniqueName="256" name="Column247" queryTableFieldId="16138" dataDxfId="16355"/>
    <tableColumn id="257" uniqueName="257" name="Column248" queryTableFieldId="16137" dataDxfId="16354"/>
    <tableColumn id="258" uniqueName="258" name="Column249" queryTableFieldId="16136" dataDxfId="16353"/>
    <tableColumn id="259" uniqueName="259" name="Column250" queryTableFieldId="16135" dataDxfId="16352"/>
    <tableColumn id="260" uniqueName="260" name="Column251" queryTableFieldId="16134" dataDxfId="16351"/>
    <tableColumn id="261" uniqueName="261" name="Column252" queryTableFieldId="16133" dataDxfId="16350"/>
    <tableColumn id="262" uniqueName="262" name="Column253" queryTableFieldId="16132" dataDxfId="16349"/>
    <tableColumn id="263" uniqueName="263" name="Column254" queryTableFieldId="16131" dataDxfId="16348"/>
    <tableColumn id="264" uniqueName="264" name="Column255" queryTableFieldId="16130" dataDxfId="16347"/>
    <tableColumn id="265" uniqueName="265" name="Column256" queryTableFieldId="16129" dataDxfId="16346"/>
    <tableColumn id="266" uniqueName="266" name="Column257" queryTableFieldId="16128" dataDxfId="16345"/>
    <tableColumn id="267" uniqueName="267" name="Column258" queryTableFieldId="16127" dataDxfId="16344"/>
    <tableColumn id="268" uniqueName="268" name="Column259" queryTableFieldId="16126" dataDxfId="16343"/>
    <tableColumn id="269" uniqueName="269" name="Column260" queryTableFieldId="16125" dataDxfId="16342"/>
    <tableColumn id="270" uniqueName="270" name="Column261" queryTableFieldId="16124" dataDxfId="16341"/>
    <tableColumn id="271" uniqueName="271" name="Column262" queryTableFieldId="16123" dataDxfId="16340"/>
    <tableColumn id="272" uniqueName="272" name="Column263" queryTableFieldId="16122" dataDxfId="16339"/>
    <tableColumn id="273" uniqueName="273" name="Column264" queryTableFieldId="16121" dataDxfId="16338"/>
    <tableColumn id="274" uniqueName="274" name="Column265" queryTableFieldId="16120" dataDxfId="16337"/>
    <tableColumn id="275" uniqueName="275" name="Column266" queryTableFieldId="16119" dataDxfId="16336"/>
    <tableColumn id="276" uniqueName="276" name="Column267" queryTableFieldId="16118" dataDxfId="16335"/>
    <tableColumn id="277" uniqueName="277" name="Column268" queryTableFieldId="16117" dataDxfId="16334"/>
    <tableColumn id="278" uniqueName="278" name="Column269" queryTableFieldId="16116" dataDxfId="16333"/>
    <tableColumn id="279" uniqueName="279" name="Column270" queryTableFieldId="16115" dataDxfId="16332"/>
    <tableColumn id="280" uniqueName="280" name="Column271" queryTableFieldId="16114" dataDxfId="16331"/>
    <tableColumn id="281" uniqueName="281" name="Column272" queryTableFieldId="16113" dataDxfId="16330"/>
    <tableColumn id="282" uniqueName="282" name="Column273" queryTableFieldId="16112" dataDxfId="16329"/>
    <tableColumn id="283" uniqueName="283" name="Column274" queryTableFieldId="16111" dataDxfId="16328"/>
    <tableColumn id="284" uniqueName="284" name="Column275" queryTableFieldId="16110" dataDxfId="16327"/>
    <tableColumn id="285" uniqueName="285" name="Column276" queryTableFieldId="16109" dataDxfId="16326"/>
    <tableColumn id="286" uniqueName="286" name="Column277" queryTableFieldId="16108" dataDxfId="16325"/>
    <tableColumn id="287" uniqueName="287" name="Column278" queryTableFieldId="16107" dataDxfId="16324"/>
    <tableColumn id="288" uniqueName="288" name="Column279" queryTableFieldId="16106" dataDxfId="16323"/>
    <tableColumn id="289" uniqueName="289" name="Column280" queryTableFieldId="16105" dataDxfId="16322"/>
    <tableColumn id="290" uniqueName="290" name="Column281" queryTableFieldId="16104" dataDxfId="16321"/>
    <tableColumn id="291" uniqueName="291" name="Column282" queryTableFieldId="16103" dataDxfId="16320"/>
    <tableColumn id="292" uniqueName="292" name="Column283" queryTableFieldId="16102" dataDxfId="16319"/>
    <tableColumn id="293" uniqueName="293" name="Column284" queryTableFieldId="16101" dataDxfId="16318"/>
    <tableColumn id="294" uniqueName="294" name="Column285" queryTableFieldId="16100" dataDxfId="16317"/>
    <tableColumn id="295" uniqueName="295" name="Column286" queryTableFieldId="16099" dataDxfId="16316"/>
    <tableColumn id="296" uniqueName="296" name="Column287" queryTableFieldId="16098" dataDxfId="16315"/>
    <tableColumn id="297" uniqueName="297" name="Column288" queryTableFieldId="16097" dataDxfId="16314"/>
    <tableColumn id="298" uniqueName="298" name="Column289" queryTableFieldId="16096" dataDxfId="16313"/>
    <tableColumn id="299" uniqueName="299" name="Column290" queryTableFieldId="16095" dataDxfId="16312"/>
    <tableColumn id="300" uniqueName="300" name="Column291" queryTableFieldId="16094" dataDxfId="16311"/>
    <tableColumn id="301" uniqueName="301" name="Column292" queryTableFieldId="16093" dataDxfId="16310"/>
    <tableColumn id="302" uniqueName="302" name="Column293" queryTableFieldId="16092" dataDxfId="16309"/>
    <tableColumn id="303" uniqueName="303" name="Column294" queryTableFieldId="16091" dataDxfId="16308"/>
    <tableColumn id="304" uniqueName="304" name="Column295" queryTableFieldId="16090" dataDxfId="16307"/>
    <tableColumn id="305" uniqueName="305" name="Column296" queryTableFieldId="16089" dataDxfId="16306"/>
    <tableColumn id="306" uniqueName="306" name="Column297" queryTableFieldId="16088" dataDxfId="16305"/>
    <tableColumn id="307" uniqueName="307" name="Column298" queryTableFieldId="16087" dataDxfId="16304"/>
    <tableColumn id="308" uniqueName="308" name="Column299" queryTableFieldId="16086" dataDxfId="16303"/>
    <tableColumn id="309" uniqueName="309" name="Column300" queryTableFieldId="16085" dataDxfId="16302"/>
    <tableColumn id="310" uniqueName="310" name="Column301" queryTableFieldId="16084" dataDxfId="16301"/>
    <tableColumn id="311" uniqueName="311" name="Column302" queryTableFieldId="16083" dataDxfId="16300"/>
    <tableColumn id="312" uniqueName="312" name="Column303" queryTableFieldId="16082" dataDxfId="16299"/>
    <tableColumn id="313" uniqueName="313" name="Column304" queryTableFieldId="16081" dataDxfId="16298"/>
    <tableColumn id="314" uniqueName="314" name="Column305" queryTableFieldId="16080" dataDxfId="16297"/>
    <tableColumn id="315" uniqueName="315" name="Column306" queryTableFieldId="16079" dataDxfId="16296"/>
    <tableColumn id="316" uniqueName="316" name="Column307" queryTableFieldId="16078" dataDxfId="16295"/>
    <tableColumn id="317" uniqueName="317" name="Column308" queryTableFieldId="16077" dataDxfId="16294"/>
    <tableColumn id="318" uniqueName="318" name="Column309" queryTableFieldId="16076" dataDxfId="16293"/>
    <tableColumn id="319" uniqueName="319" name="Column310" queryTableFieldId="16075" dataDxfId="16292"/>
    <tableColumn id="320" uniqueName="320" name="Column311" queryTableFieldId="16074" dataDxfId="16291"/>
    <tableColumn id="321" uniqueName="321" name="Column312" queryTableFieldId="16073" dataDxfId="16290"/>
    <tableColumn id="322" uniqueName="322" name="Column313" queryTableFieldId="16072" dataDxfId="16289"/>
    <tableColumn id="323" uniqueName="323" name="Column314" queryTableFieldId="16071" dataDxfId="16288"/>
    <tableColumn id="324" uniqueName="324" name="Column315" queryTableFieldId="16070" dataDxfId="16287"/>
    <tableColumn id="325" uniqueName="325" name="Column316" queryTableFieldId="16069" dataDxfId="16286"/>
    <tableColumn id="326" uniqueName="326" name="Column317" queryTableFieldId="16068" dataDxfId="16285"/>
    <tableColumn id="327" uniqueName="327" name="Column318" queryTableFieldId="16067" dataDxfId="16284"/>
    <tableColumn id="328" uniqueName="328" name="Column319" queryTableFieldId="16066" dataDxfId="16283"/>
    <tableColumn id="329" uniqueName="329" name="Column320" queryTableFieldId="16065" dataDxfId="16282"/>
    <tableColumn id="330" uniqueName="330" name="Column321" queryTableFieldId="16064" dataDxfId="16281"/>
    <tableColumn id="331" uniqueName="331" name="Column322" queryTableFieldId="16063" dataDxfId="16280"/>
    <tableColumn id="332" uniqueName="332" name="Column323" queryTableFieldId="16062" dataDxfId="16279"/>
    <tableColumn id="333" uniqueName="333" name="Column324" queryTableFieldId="16061" dataDxfId="16278"/>
    <tableColumn id="334" uniqueName="334" name="Column325" queryTableFieldId="16060" dataDxfId="16277"/>
    <tableColumn id="335" uniqueName="335" name="Column326" queryTableFieldId="16059" dataDxfId="16276"/>
    <tableColumn id="336" uniqueName="336" name="Column327" queryTableFieldId="16058" dataDxfId="16275"/>
    <tableColumn id="337" uniqueName="337" name="Column328" queryTableFieldId="16057" dataDxfId="16274"/>
    <tableColumn id="338" uniqueName="338" name="Column329" queryTableFieldId="16056" dataDxfId="16273"/>
    <tableColumn id="339" uniqueName="339" name="Column330" queryTableFieldId="16055" dataDxfId="16272"/>
    <tableColumn id="340" uniqueName="340" name="Column331" queryTableFieldId="16054" dataDxfId="16271"/>
    <tableColumn id="341" uniqueName="341" name="Column332" queryTableFieldId="16053" dataDxfId="16270"/>
    <tableColumn id="342" uniqueName="342" name="Column333" queryTableFieldId="16052" dataDxfId="16269"/>
    <tableColumn id="343" uniqueName="343" name="Column334" queryTableFieldId="16051" dataDxfId="16268"/>
    <tableColumn id="344" uniqueName="344" name="Column335" queryTableFieldId="16050" dataDxfId="16267"/>
    <tableColumn id="345" uniqueName="345" name="Column336" queryTableFieldId="16049" dataDxfId="16266"/>
    <tableColumn id="346" uniqueName="346" name="Column337" queryTableFieldId="16048" dataDxfId="16265"/>
    <tableColumn id="347" uniqueName="347" name="Column338" queryTableFieldId="16047" dataDxfId="16264"/>
    <tableColumn id="348" uniqueName="348" name="Column339" queryTableFieldId="16046" dataDxfId="16263"/>
    <tableColumn id="349" uniqueName="349" name="Column340" queryTableFieldId="16045" dataDxfId="16262"/>
    <tableColumn id="350" uniqueName="350" name="Column341" queryTableFieldId="16044" dataDxfId="16261"/>
    <tableColumn id="351" uniqueName="351" name="Column342" queryTableFieldId="16043" dataDxfId="16260"/>
    <tableColumn id="352" uniqueName="352" name="Column343" queryTableFieldId="16042" dataDxfId="16259"/>
    <tableColumn id="353" uniqueName="353" name="Column344" queryTableFieldId="16041" dataDxfId="16258"/>
    <tableColumn id="354" uniqueName="354" name="Column345" queryTableFieldId="16040" dataDxfId="16257"/>
    <tableColumn id="355" uniqueName="355" name="Column346" queryTableFieldId="16039" dataDxfId="16256"/>
    <tableColumn id="356" uniqueName="356" name="Column347" queryTableFieldId="16038" dataDxfId="16255"/>
    <tableColumn id="357" uniqueName="357" name="Column348" queryTableFieldId="16037" dataDxfId="16254"/>
    <tableColumn id="358" uniqueName="358" name="Column349" queryTableFieldId="16036" dataDxfId="16253"/>
    <tableColumn id="359" uniqueName="359" name="Column350" queryTableFieldId="16035" dataDxfId="16252"/>
    <tableColumn id="360" uniqueName="360" name="Column351" queryTableFieldId="16034" dataDxfId="16251"/>
    <tableColumn id="361" uniqueName="361" name="Column352" queryTableFieldId="16033" dataDxfId="16250"/>
    <tableColumn id="362" uniqueName="362" name="Column353" queryTableFieldId="16032" dataDxfId="16249"/>
    <tableColumn id="363" uniqueName="363" name="Column354" queryTableFieldId="16031" dataDxfId="16248"/>
    <tableColumn id="364" uniqueName="364" name="Column355" queryTableFieldId="16030" dataDxfId="16247"/>
    <tableColumn id="365" uniqueName="365" name="Column356" queryTableFieldId="16029" dataDxfId="16246"/>
    <tableColumn id="366" uniqueName="366" name="Column357" queryTableFieldId="16028" dataDxfId="16245"/>
    <tableColumn id="367" uniqueName="367" name="Column358" queryTableFieldId="16027" dataDxfId="16244"/>
    <tableColumn id="368" uniqueName="368" name="Column359" queryTableFieldId="16026" dataDxfId="16243"/>
    <tableColumn id="369" uniqueName="369" name="Column360" queryTableFieldId="16025" dataDxfId="16242"/>
    <tableColumn id="370" uniqueName="370" name="Column361" queryTableFieldId="16024" dataDxfId="16241"/>
    <tableColumn id="371" uniqueName="371" name="Column362" queryTableFieldId="16023" dataDxfId="16240"/>
    <tableColumn id="372" uniqueName="372" name="Column363" queryTableFieldId="16022" dataDxfId="16239"/>
    <tableColumn id="373" uniqueName="373" name="Column364" queryTableFieldId="16021" dataDxfId="16238"/>
    <tableColumn id="374" uniqueName="374" name="Column365" queryTableFieldId="16020" dataDxfId="16237"/>
    <tableColumn id="375" uniqueName="375" name="Column366" queryTableFieldId="16019" dataDxfId="16236"/>
    <tableColumn id="376" uniqueName="376" name="Column367" queryTableFieldId="16018" dataDxfId="16235"/>
    <tableColumn id="377" uniqueName="377" name="Column368" queryTableFieldId="16017" dataDxfId="16234"/>
    <tableColumn id="378" uniqueName="378" name="Column369" queryTableFieldId="16016" dataDxfId="16233"/>
    <tableColumn id="379" uniqueName="379" name="Column370" queryTableFieldId="16015" dataDxfId="16232"/>
    <tableColumn id="380" uniqueName="380" name="Column371" queryTableFieldId="16014" dataDxfId="16231"/>
    <tableColumn id="381" uniqueName="381" name="Column372" queryTableFieldId="16013" dataDxfId="16230"/>
    <tableColumn id="382" uniqueName="382" name="Column373" queryTableFieldId="16012" dataDxfId="16229"/>
    <tableColumn id="383" uniqueName="383" name="Column374" queryTableFieldId="16011" dataDxfId="16228"/>
    <tableColumn id="384" uniqueName="384" name="Column375" queryTableFieldId="16010" dataDxfId="16227"/>
    <tableColumn id="385" uniqueName="385" name="Column376" queryTableFieldId="16009" dataDxfId="16226"/>
    <tableColumn id="386" uniqueName="386" name="Column377" queryTableFieldId="16008" dataDxfId="16225"/>
    <tableColumn id="387" uniqueName="387" name="Column378" queryTableFieldId="16007" dataDxfId="16224"/>
    <tableColumn id="388" uniqueName="388" name="Column379" queryTableFieldId="16006" dataDxfId="16223"/>
    <tableColumn id="389" uniqueName="389" name="Column380" queryTableFieldId="16005" dataDxfId="16222"/>
    <tableColumn id="390" uniqueName="390" name="Column381" queryTableFieldId="16004" dataDxfId="16221"/>
    <tableColumn id="391" uniqueName="391" name="Column382" queryTableFieldId="16003" dataDxfId="16220"/>
    <tableColumn id="392" uniqueName="392" name="Column383" queryTableFieldId="16002" dataDxfId="16219"/>
    <tableColumn id="393" uniqueName="393" name="Column384" queryTableFieldId="16001" dataDxfId="16218"/>
    <tableColumn id="394" uniqueName="394" name="Column385" queryTableFieldId="16000" dataDxfId="16217"/>
    <tableColumn id="395" uniqueName="395" name="Column386" queryTableFieldId="15999" dataDxfId="16216"/>
    <tableColumn id="396" uniqueName="396" name="Column387" queryTableFieldId="15998" dataDxfId="16215"/>
    <tableColumn id="397" uniqueName="397" name="Column388" queryTableFieldId="15997" dataDxfId="16214"/>
    <tableColumn id="398" uniqueName="398" name="Column389" queryTableFieldId="15996" dataDxfId="16213"/>
    <tableColumn id="399" uniqueName="399" name="Column390" queryTableFieldId="15995" dataDxfId="16212"/>
    <tableColumn id="400" uniqueName="400" name="Column391" queryTableFieldId="15994" dataDxfId="16211"/>
    <tableColumn id="401" uniqueName="401" name="Column392" queryTableFieldId="15993" dataDxfId="16210"/>
    <tableColumn id="402" uniqueName="402" name="Column393" queryTableFieldId="15992" dataDxfId="16209"/>
    <tableColumn id="403" uniqueName="403" name="Column394" queryTableFieldId="15991" dataDxfId="16208"/>
    <tableColumn id="404" uniqueName="404" name="Column395" queryTableFieldId="15990" dataDxfId="16207"/>
    <tableColumn id="405" uniqueName="405" name="Column396" queryTableFieldId="15989" dataDxfId="16206"/>
    <tableColumn id="406" uniqueName="406" name="Column397" queryTableFieldId="15988" dataDxfId="16205"/>
    <tableColumn id="407" uniqueName="407" name="Column398" queryTableFieldId="15987" dataDxfId="16204"/>
    <tableColumn id="408" uniqueName="408" name="Column399" queryTableFieldId="15986" dataDxfId="16203"/>
    <tableColumn id="409" uniqueName="409" name="Column400" queryTableFieldId="15985" dataDxfId="16202"/>
    <tableColumn id="410" uniqueName="410" name="Column401" queryTableFieldId="15984" dataDxfId="16201"/>
    <tableColumn id="411" uniqueName="411" name="Column402" queryTableFieldId="15983" dataDxfId="16200"/>
    <tableColumn id="412" uniqueName="412" name="Column403" queryTableFieldId="15982" dataDxfId="16199"/>
    <tableColumn id="413" uniqueName="413" name="Column404" queryTableFieldId="15981" dataDxfId="16198"/>
    <tableColumn id="414" uniqueName="414" name="Column405" queryTableFieldId="15980" dataDxfId="16197"/>
    <tableColumn id="415" uniqueName="415" name="Column406" queryTableFieldId="15979" dataDxfId="16196"/>
    <tableColumn id="416" uniqueName="416" name="Column407" queryTableFieldId="15978" dataDxfId="16195"/>
    <tableColumn id="417" uniqueName="417" name="Column408" queryTableFieldId="15977" dataDxfId="16194"/>
    <tableColumn id="418" uniqueName="418" name="Column409" queryTableFieldId="15976" dataDxfId="16193"/>
    <tableColumn id="419" uniqueName="419" name="Column410" queryTableFieldId="15975" dataDxfId="16192"/>
    <tableColumn id="420" uniqueName="420" name="Column411" queryTableFieldId="15974" dataDxfId="16191"/>
    <tableColumn id="421" uniqueName="421" name="Column412" queryTableFieldId="15973" dataDxfId="16190"/>
    <tableColumn id="422" uniqueName="422" name="Column413" queryTableFieldId="15972" dataDxfId="16189"/>
    <tableColumn id="423" uniqueName="423" name="Column414" queryTableFieldId="15971" dataDxfId="16188"/>
    <tableColumn id="424" uniqueName="424" name="Column415" queryTableFieldId="15970" dataDxfId="16187"/>
    <tableColumn id="425" uniqueName="425" name="Column416" queryTableFieldId="15969" dataDxfId="16186"/>
    <tableColumn id="426" uniqueName="426" name="Column417" queryTableFieldId="15968" dataDxfId="16185"/>
    <tableColumn id="427" uniqueName="427" name="Column418" queryTableFieldId="15967" dataDxfId="16184"/>
    <tableColumn id="428" uniqueName="428" name="Column419" queryTableFieldId="15966" dataDxfId="16183"/>
    <tableColumn id="429" uniqueName="429" name="Column420" queryTableFieldId="15965" dataDxfId="16182"/>
    <tableColumn id="430" uniqueName="430" name="Column421" queryTableFieldId="15964" dataDxfId="16181"/>
    <tableColumn id="431" uniqueName="431" name="Column422" queryTableFieldId="15963" dataDxfId="16180"/>
    <tableColumn id="432" uniqueName="432" name="Column423" queryTableFieldId="15962" dataDxfId="16179"/>
    <tableColumn id="433" uniqueName="433" name="Column424" queryTableFieldId="15961" dataDxfId="16178"/>
    <tableColumn id="434" uniqueName="434" name="Column425" queryTableFieldId="15960" dataDxfId="16177"/>
    <tableColumn id="435" uniqueName="435" name="Column426" queryTableFieldId="15959" dataDxfId="16176"/>
    <tableColumn id="436" uniqueName="436" name="Column427" queryTableFieldId="15958" dataDxfId="16175"/>
    <tableColumn id="437" uniqueName="437" name="Column428" queryTableFieldId="15957" dataDxfId="16174"/>
    <tableColumn id="438" uniqueName="438" name="Column429" queryTableFieldId="15956" dataDxfId="16173"/>
    <tableColumn id="439" uniqueName="439" name="Column430" queryTableFieldId="15955" dataDxfId="16172"/>
    <tableColumn id="440" uniqueName="440" name="Column431" queryTableFieldId="15954" dataDxfId="16171"/>
    <tableColumn id="441" uniqueName="441" name="Column432" queryTableFieldId="15953" dataDxfId="16170"/>
    <tableColumn id="442" uniqueName="442" name="Column433" queryTableFieldId="15952" dataDxfId="16169"/>
    <tableColumn id="443" uniqueName="443" name="Column434" queryTableFieldId="15951" dataDxfId="16168"/>
    <tableColumn id="444" uniqueName="444" name="Column435" queryTableFieldId="15950" dataDxfId="16167"/>
    <tableColumn id="445" uniqueName="445" name="Column436" queryTableFieldId="15949" dataDxfId="16166"/>
    <tableColumn id="446" uniqueName="446" name="Column437" queryTableFieldId="15948" dataDxfId="16165"/>
    <tableColumn id="447" uniqueName="447" name="Column438" queryTableFieldId="15947" dataDxfId="16164"/>
    <tableColumn id="448" uniqueName="448" name="Column439" queryTableFieldId="15946" dataDxfId="16163"/>
    <tableColumn id="449" uniqueName="449" name="Column440" queryTableFieldId="15945" dataDxfId="16162"/>
    <tableColumn id="450" uniqueName="450" name="Column441" queryTableFieldId="15944" dataDxfId="16161"/>
    <tableColumn id="451" uniqueName="451" name="Column442" queryTableFieldId="15943" dataDxfId="16160"/>
    <tableColumn id="452" uniqueName="452" name="Column443" queryTableFieldId="15942" dataDxfId="16159"/>
    <tableColumn id="453" uniqueName="453" name="Column444" queryTableFieldId="15941" dataDxfId="16158"/>
    <tableColumn id="454" uniqueName="454" name="Column445" queryTableFieldId="15940" dataDxfId="16157"/>
    <tableColumn id="455" uniqueName="455" name="Column446" queryTableFieldId="15939" dataDxfId="16156"/>
    <tableColumn id="456" uniqueName="456" name="Column447" queryTableFieldId="15938" dataDxfId="16155"/>
    <tableColumn id="457" uniqueName="457" name="Column448" queryTableFieldId="15937" dataDxfId="16154"/>
    <tableColumn id="458" uniqueName="458" name="Column449" queryTableFieldId="15936" dataDxfId="16153"/>
    <tableColumn id="459" uniqueName="459" name="Column450" queryTableFieldId="15935" dataDxfId="16152"/>
    <tableColumn id="460" uniqueName="460" name="Column451" queryTableFieldId="15934" dataDxfId="16151"/>
    <tableColumn id="461" uniqueName="461" name="Column452" queryTableFieldId="15933" dataDxfId="16150"/>
    <tableColumn id="462" uniqueName="462" name="Column453" queryTableFieldId="15932" dataDxfId="16149"/>
    <tableColumn id="463" uniqueName="463" name="Column454" queryTableFieldId="15931" dataDxfId="16148"/>
    <tableColumn id="464" uniqueName="464" name="Column455" queryTableFieldId="15930" dataDxfId="16147"/>
    <tableColumn id="465" uniqueName="465" name="Column456" queryTableFieldId="15929" dataDxfId="16146"/>
    <tableColumn id="466" uniqueName="466" name="Column457" queryTableFieldId="15928" dataDxfId="16145"/>
    <tableColumn id="467" uniqueName="467" name="Column458" queryTableFieldId="15927" dataDxfId="16144"/>
    <tableColumn id="468" uniqueName="468" name="Column459" queryTableFieldId="15926" dataDxfId="16143"/>
    <tableColumn id="469" uniqueName="469" name="Column460" queryTableFieldId="15925" dataDxfId="16142"/>
    <tableColumn id="470" uniqueName="470" name="Column461" queryTableFieldId="15924" dataDxfId="16141"/>
    <tableColumn id="471" uniqueName="471" name="Column462" queryTableFieldId="15923" dataDxfId="16140"/>
    <tableColumn id="472" uniqueName="472" name="Column463" queryTableFieldId="15922" dataDxfId="16139"/>
    <tableColumn id="473" uniqueName="473" name="Column464" queryTableFieldId="15921" dataDxfId="16138"/>
    <tableColumn id="474" uniqueName="474" name="Column465" queryTableFieldId="15920" dataDxfId="16137"/>
    <tableColumn id="475" uniqueName="475" name="Column466" queryTableFieldId="15919" dataDxfId="16136"/>
    <tableColumn id="476" uniqueName="476" name="Column467" queryTableFieldId="15918" dataDxfId="16135"/>
    <tableColumn id="477" uniqueName="477" name="Column468" queryTableFieldId="15917" dataDxfId="16134"/>
    <tableColumn id="478" uniqueName="478" name="Column469" queryTableFieldId="15916" dataDxfId="16133"/>
    <tableColumn id="479" uniqueName="479" name="Column470" queryTableFieldId="15915" dataDxfId="16132"/>
    <tableColumn id="480" uniqueName="480" name="Column471" queryTableFieldId="15914" dataDxfId="16131"/>
    <tableColumn id="481" uniqueName="481" name="Column472" queryTableFieldId="15913" dataDxfId="16130"/>
    <tableColumn id="482" uniqueName="482" name="Column473" queryTableFieldId="15912" dataDxfId="16129"/>
    <tableColumn id="483" uniqueName="483" name="Column474" queryTableFieldId="15911" dataDxfId="16128"/>
    <tableColumn id="484" uniqueName="484" name="Column475" queryTableFieldId="15910" dataDxfId="16127"/>
    <tableColumn id="485" uniqueName="485" name="Column476" queryTableFieldId="15909" dataDxfId="16126"/>
    <tableColumn id="486" uniqueName="486" name="Column477" queryTableFieldId="15908" dataDxfId="16125"/>
    <tableColumn id="487" uniqueName="487" name="Column478" queryTableFieldId="15907" dataDxfId="16124"/>
    <tableColumn id="488" uniqueName="488" name="Column479" queryTableFieldId="15906" dataDxfId="16123"/>
    <tableColumn id="489" uniqueName="489" name="Column480" queryTableFieldId="15905" dataDxfId="16122"/>
    <tableColumn id="490" uniqueName="490" name="Column481" queryTableFieldId="15904" dataDxfId="16121"/>
    <tableColumn id="491" uniqueName="491" name="Column482" queryTableFieldId="15903" dataDxfId="16120"/>
    <tableColumn id="492" uniqueName="492" name="Column483" queryTableFieldId="15902" dataDxfId="16119"/>
    <tableColumn id="493" uniqueName="493" name="Column484" queryTableFieldId="15901" dataDxfId="16118"/>
    <tableColumn id="494" uniqueName="494" name="Column485" queryTableFieldId="15900" dataDxfId="16117"/>
    <tableColumn id="495" uniqueName="495" name="Column486" queryTableFieldId="15899" dataDxfId="16116"/>
    <tableColumn id="496" uniqueName="496" name="Column487" queryTableFieldId="15898" dataDxfId="16115"/>
    <tableColumn id="497" uniqueName="497" name="Column488" queryTableFieldId="15897" dataDxfId="16114"/>
    <tableColumn id="498" uniqueName="498" name="Column489" queryTableFieldId="15896" dataDxfId="16113"/>
    <tableColumn id="499" uniqueName="499" name="Column490" queryTableFieldId="15895" dataDxfId="16112"/>
    <tableColumn id="500" uniqueName="500" name="Column491" queryTableFieldId="15894" dataDxfId="16111"/>
    <tableColumn id="501" uniqueName="501" name="Column492" queryTableFieldId="15893" dataDxfId="16110"/>
    <tableColumn id="502" uniqueName="502" name="Column493" queryTableFieldId="15892" dataDxfId="16109"/>
    <tableColumn id="503" uniqueName="503" name="Column494" queryTableFieldId="15891" dataDxfId="16108"/>
    <tableColumn id="504" uniqueName="504" name="Column495" queryTableFieldId="15890" dataDxfId="16107"/>
    <tableColumn id="505" uniqueName="505" name="Column496" queryTableFieldId="15889" dataDxfId="16106"/>
    <tableColumn id="506" uniqueName="506" name="Column497" queryTableFieldId="15888" dataDxfId="16105"/>
    <tableColumn id="507" uniqueName="507" name="Column498" queryTableFieldId="15887" dataDxfId="16104"/>
    <tableColumn id="508" uniqueName="508" name="Column499" queryTableFieldId="15886" dataDxfId="16103"/>
    <tableColumn id="509" uniqueName="509" name="Column500" queryTableFieldId="15885" dataDxfId="16102"/>
    <tableColumn id="510" uniqueName="510" name="Column501" queryTableFieldId="15884" dataDxfId="16101"/>
    <tableColumn id="511" uniqueName="511" name="Column502" queryTableFieldId="15883" dataDxfId="16100"/>
    <tableColumn id="512" uniqueName="512" name="Column503" queryTableFieldId="15882" dataDxfId="16099"/>
    <tableColumn id="513" uniqueName="513" name="Column504" queryTableFieldId="15881" dataDxfId="16098"/>
    <tableColumn id="514" uniqueName="514" name="Column505" queryTableFieldId="15880" dataDxfId="16097"/>
    <tableColumn id="515" uniqueName="515" name="Column506" queryTableFieldId="15879" dataDxfId="16096"/>
    <tableColumn id="516" uniqueName="516" name="Column507" queryTableFieldId="15878" dataDxfId="16095"/>
    <tableColumn id="517" uniqueName="517" name="Column508" queryTableFieldId="15877" dataDxfId="16094"/>
    <tableColumn id="518" uniqueName="518" name="Column509" queryTableFieldId="15876" dataDxfId="16093"/>
    <tableColumn id="519" uniqueName="519" name="Column510" queryTableFieldId="15875" dataDxfId="16092"/>
    <tableColumn id="520" uniqueName="520" name="Column511" queryTableFieldId="15874" dataDxfId="16091"/>
    <tableColumn id="521" uniqueName="521" name="Column512" queryTableFieldId="15873" dataDxfId="16090"/>
    <tableColumn id="522" uniqueName="522" name="Column513" queryTableFieldId="15872" dataDxfId="16089"/>
    <tableColumn id="523" uniqueName="523" name="Column514" queryTableFieldId="15871" dataDxfId="16088"/>
    <tableColumn id="524" uniqueName="524" name="Column515" queryTableFieldId="15870" dataDxfId="16087"/>
    <tableColumn id="525" uniqueName="525" name="Column516" queryTableFieldId="15869" dataDxfId="16086"/>
    <tableColumn id="526" uniqueName="526" name="Column517" queryTableFieldId="15868" dataDxfId="16085"/>
    <tableColumn id="527" uniqueName="527" name="Column518" queryTableFieldId="15867" dataDxfId="16084"/>
    <tableColumn id="528" uniqueName="528" name="Column519" queryTableFieldId="15866" dataDxfId="16083"/>
    <tableColumn id="529" uniqueName="529" name="Column520" queryTableFieldId="15865" dataDxfId="16082"/>
    <tableColumn id="530" uniqueName="530" name="Column521" queryTableFieldId="15864" dataDxfId="16081"/>
    <tableColumn id="531" uniqueName="531" name="Column522" queryTableFieldId="15863" dataDxfId="16080"/>
    <tableColumn id="532" uniqueName="532" name="Column523" queryTableFieldId="15862" dataDxfId="16079"/>
    <tableColumn id="533" uniqueName="533" name="Column524" queryTableFieldId="15861" dataDxfId="16078"/>
    <tableColumn id="534" uniqueName="534" name="Column525" queryTableFieldId="15860" dataDxfId="16077"/>
    <tableColumn id="535" uniqueName="535" name="Column526" queryTableFieldId="15859" dataDxfId="16076"/>
    <tableColumn id="536" uniqueName="536" name="Column527" queryTableFieldId="15858" dataDxfId="16075"/>
    <tableColumn id="537" uniqueName="537" name="Column528" queryTableFieldId="15857" dataDxfId="16074"/>
    <tableColumn id="538" uniqueName="538" name="Column529" queryTableFieldId="15856" dataDxfId="16073"/>
    <tableColumn id="539" uniqueName="539" name="Column530" queryTableFieldId="15855" dataDxfId="16072"/>
    <tableColumn id="540" uniqueName="540" name="Column531" queryTableFieldId="15854" dataDxfId="16071"/>
    <tableColumn id="541" uniqueName="541" name="Column532" queryTableFieldId="15853" dataDxfId="16070"/>
    <tableColumn id="542" uniqueName="542" name="Column533" queryTableFieldId="15852" dataDxfId="16069"/>
    <tableColumn id="543" uniqueName="543" name="Column534" queryTableFieldId="15851" dataDxfId="16068"/>
    <tableColumn id="544" uniqueName="544" name="Column535" queryTableFieldId="15850" dataDxfId="16067"/>
    <tableColumn id="545" uniqueName="545" name="Column536" queryTableFieldId="15849" dataDxfId="16066"/>
    <tableColumn id="546" uniqueName="546" name="Column537" queryTableFieldId="15848" dataDxfId="16065"/>
    <tableColumn id="547" uniqueName="547" name="Column538" queryTableFieldId="15847" dataDxfId="16064"/>
    <tableColumn id="548" uniqueName="548" name="Column539" queryTableFieldId="15846" dataDxfId="16063"/>
    <tableColumn id="549" uniqueName="549" name="Column540" queryTableFieldId="15845" dataDxfId="16062"/>
    <tableColumn id="550" uniqueName="550" name="Column541" queryTableFieldId="15844" dataDxfId="16061"/>
    <tableColumn id="551" uniqueName="551" name="Column542" queryTableFieldId="15843" dataDxfId="16060"/>
    <tableColumn id="552" uniqueName="552" name="Column543" queryTableFieldId="15842" dataDxfId="16059"/>
    <tableColumn id="553" uniqueName="553" name="Column544" queryTableFieldId="15841" dataDxfId="16058"/>
    <tableColumn id="554" uniqueName="554" name="Column545" queryTableFieldId="15840" dataDxfId="16057"/>
    <tableColumn id="555" uniqueName="555" name="Column546" queryTableFieldId="15839" dataDxfId="16056"/>
    <tableColumn id="556" uniqueName="556" name="Column547" queryTableFieldId="15838" dataDxfId="16055"/>
    <tableColumn id="557" uniqueName="557" name="Column548" queryTableFieldId="15837" dataDxfId="16054"/>
    <tableColumn id="558" uniqueName="558" name="Column549" queryTableFieldId="15836" dataDxfId="16053"/>
    <tableColumn id="559" uniqueName="559" name="Column550" queryTableFieldId="15835" dataDxfId="16052"/>
    <tableColumn id="560" uniqueName="560" name="Column551" queryTableFieldId="15834" dataDxfId="16051"/>
    <tableColumn id="561" uniqueName="561" name="Column552" queryTableFieldId="15833" dataDxfId="16050"/>
    <tableColumn id="562" uniqueName="562" name="Column553" queryTableFieldId="15832" dataDxfId="16049"/>
    <tableColumn id="563" uniqueName="563" name="Column554" queryTableFieldId="15831" dataDxfId="16048"/>
    <tableColumn id="564" uniqueName="564" name="Column555" queryTableFieldId="15830" dataDxfId="16047"/>
    <tableColumn id="565" uniqueName="565" name="Column556" queryTableFieldId="15829" dataDxfId="16046"/>
    <tableColumn id="566" uniqueName="566" name="Column557" queryTableFieldId="15828" dataDxfId="16045"/>
    <tableColumn id="567" uniqueName="567" name="Column558" queryTableFieldId="15827" dataDxfId="16044"/>
    <tableColumn id="568" uniqueName="568" name="Column559" queryTableFieldId="15826" dataDxfId="16043"/>
    <tableColumn id="569" uniqueName="569" name="Column560" queryTableFieldId="15825" dataDxfId="16042"/>
    <tableColumn id="570" uniqueName="570" name="Column561" queryTableFieldId="15824" dataDxfId="16041"/>
    <tableColumn id="571" uniqueName="571" name="Column562" queryTableFieldId="15823" dataDxfId="16040"/>
    <tableColumn id="572" uniqueName="572" name="Column563" queryTableFieldId="15822" dataDxfId="16039"/>
    <tableColumn id="573" uniqueName="573" name="Column564" queryTableFieldId="15821" dataDxfId="16038"/>
    <tableColumn id="574" uniqueName="574" name="Column565" queryTableFieldId="15820" dataDxfId="16037"/>
    <tableColumn id="575" uniqueName="575" name="Column566" queryTableFieldId="15819" dataDxfId="16036"/>
    <tableColumn id="576" uniqueName="576" name="Column567" queryTableFieldId="15818" dataDxfId="16035"/>
    <tableColumn id="577" uniqueName="577" name="Column568" queryTableFieldId="15817" dataDxfId="16034"/>
    <tableColumn id="578" uniqueName="578" name="Column569" queryTableFieldId="15816" dataDxfId="16033"/>
    <tableColumn id="579" uniqueName="579" name="Column570" queryTableFieldId="15815" dataDxfId="16032"/>
    <tableColumn id="580" uniqueName="580" name="Column571" queryTableFieldId="15814" dataDxfId="16031"/>
    <tableColumn id="581" uniqueName="581" name="Column572" queryTableFieldId="15813" dataDxfId="16030"/>
    <tableColumn id="582" uniqueName="582" name="Column573" queryTableFieldId="15812" dataDxfId="16029"/>
    <tableColumn id="583" uniqueName="583" name="Column574" queryTableFieldId="15811" dataDxfId="16028"/>
    <tableColumn id="584" uniqueName="584" name="Column575" queryTableFieldId="15810" dataDxfId="16027"/>
    <tableColumn id="585" uniqueName="585" name="Column576" queryTableFieldId="15809" dataDxfId="16026"/>
    <tableColumn id="586" uniqueName="586" name="Column577" queryTableFieldId="15808" dataDxfId="16025"/>
    <tableColumn id="587" uniqueName="587" name="Column578" queryTableFieldId="15807" dataDxfId="16024"/>
    <tableColumn id="588" uniqueName="588" name="Column579" queryTableFieldId="15806" dataDxfId="16023"/>
    <tableColumn id="589" uniqueName="589" name="Column580" queryTableFieldId="15805" dataDxfId="16022"/>
    <tableColumn id="590" uniqueName="590" name="Column581" queryTableFieldId="15804" dataDxfId="16021"/>
    <tableColumn id="591" uniqueName="591" name="Column582" queryTableFieldId="15803" dataDxfId="16020"/>
    <tableColumn id="592" uniqueName="592" name="Column583" queryTableFieldId="15802" dataDxfId="16019"/>
    <tableColumn id="593" uniqueName="593" name="Column584" queryTableFieldId="15801" dataDxfId="16018"/>
    <tableColumn id="594" uniqueName="594" name="Column585" queryTableFieldId="15800" dataDxfId="16017"/>
    <tableColumn id="595" uniqueName="595" name="Column586" queryTableFieldId="15799" dataDxfId="16016"/>
    <tableColumn id="596" uniqueName="596" name="Column587" queryTableFieldId="15798" dataDxfId="16015"/>
    <tableColumn id="597" uniqueName="597" name="Column588" queryTableFieldId="15797" dataDxfId="16014"/>
    <tableColumn id="598" uniqueName="598" name="Column589" queryTableFieldId="15796" dataDxfId="16013"/>
    <tableColumn id="599" uniqueName="599" name="Column590" queryTableFieldId="15795" dataDxfId="16012"/>
    <tableColumn id="600" uniqueName="600" name="Column591" queryTableFieldId="15794" dataDxfId="16011"/>
    <tableColumn id="601" uniqueName="601" name="Column592" queryTableFieldId="15793" dataDxfId="16010"/>
    <tableColumn id="602" uniqueName="602" name="Column593" queryTableFieldId="15792" dataDxfId="16009"/>
    <tableColumn id="603" uniqueName="603" name="Column594" queryTableFieldId="15791" dataDxfId="16008"/>
    <tableColumn id="604" uniqueName="604" name="Column595" queryTableFieldId="15790" dataDxfId="16007"/>
    <tableColumn id="605" uniqueName="605" name="Column596" queryTableFieldId="15789" dataDxfId="16006"/>
    <tableColumn id="606" uniqueName="606" name="Column597" queryTableFieldId="15788" dataDxfId="16005"/>
    <tableColumn id="607" uniqueName="607" name="Column598" queryTableFieldId="15787" dataDxfId="16004"/>
    <tableColumn id="608" uniqueName="608" name="Column599" queryTableFieldId="15786" dataDxfId="16003"/>
    <tableColumn id="609" uniqueName="609" name="Column600" queryTableFieldId="15785" dataDxfId="16002"/>
    <tableColumn id="610" uniqueName="610" name="Column601" queryTableFieldId="15784" dataDxfId="16001"/>
    <tableColumn id="611" uniqueName="611" name="Column602" queryTableFieldId="15783" dataDxfId="16000"/>
    <tableColumn id="612" uniqueName="612" name="Column603" queryTableFieldId="15782" dataDxfId="15999"/>
    <tableColumn id="613" uniqueName="613" name="Column604" queryTableFieldId="15781" dataDxfId="15998"/>
    <tableColumn id="614" uniqueName="614" name="Column605" queryTableFieldId="15780" dataDxfId="15997"/>
    <tableColumn id="615" uniqueName="615" name="Column606" queryTableFieldId="15779" dataDxfId="15996"/>
    <tableColumn id="616" uniqueName="616" name="Column607" queryTableFieldId="15778" dataDxfId="15995"/>
    <tableColumn id="617" uniqueName="617" name="Column608" queryTableFieldId="15777" dataDxfId="15994"/>
    <tableColumn id="618" uniqueName="618" name="Column609" queryTableFieldId="15776" dataDxfId="15993"/>
    <tableColumn id="619" uniqueName="619" name="Column610" queryTableFieldId="15775" dataDxfId="15992"/>
    <tableColumn id="620" uniqueName="620" name="Column611" queryTableFieldId="15774" dataDxfId="15991"/>
    <tableColumn id="621" uniqueName="621" name="Column612" queryTableFieldId="15773" dataDxfId="15990"/>
    <tableColumn id="622" uniqueName="622" name="Column613" queryTableFieldId="15772" dataDxfId="15989"/>
    <tableColumn id="623" uniqueName="623" name="Column614" queryTableFieldId="15771" dataDxfId="15988"/>
    <tableColumn id="624" uniqueName="624" name="Column615" queryTableFieldId="15770" dataDxfId="15987"/>
    <tableColumn id="625" uniqueName="625" name="Column616" queryTableFieldId="15769" dataDxfId="15986"/>
    <tableColumn id="626" uniqueName="626" name="Column617" queryTableFieldId="15768" dataDxfId="15985"/>
    <tableColumn id="627" uniqueName="627" name="Column618" queryTableFieldId="15767" dataDxfId="15984"/>
    <tableColumn id="628" uniqueName="628" name="Column619" queryTableFieldId="15766" dataDxfId="15983"/>
    <tableColumn id="629" uniqueName="629" name="Column620" queryTableFieldId="15765" dataDxfId="15982"/>
    <tableColumn id="630" uniqueName="630" name="Column621" queryTableFieldId="15764" dataDxfId="15981"/>
    <tableColumn id="631" uniqueName="631" name="Column622" queryTableFieldId="15763" dataDxfId="15980"/>
    <tableColumn id="632" uniqueName="632" name="Column623" queryTableFieldId="15762" dataDxfId="15979"/>
    <tableColumn id="633" uniqueName="633" name="Column624" queryTableFieldId="15761" dataDxfId="15978"/>
    <tableColumn id="634" uniqueName="634" name="Column625" queryTableFieldId="15760" dataDxfId="15977"/>
    <tableColumn id="635" uniqueName="635" name="Column626" queryTableFieldId="15759" dataDxfId="15976"/>
    <tableColumn id="636" uniqueName="636" name="Column627" queryTableFieldId="15758" dataDxfId="15975"/>
    <tableColumn id="637" uniqueName="637" name="Column628" queryTableFieldId="15757" dataDxfId="15974"/>
    <tableColumn id="638" uniqueName="638" name="Column629" queryTableFieldId="15756" dataDxfId="15973"/>
    <tableColumn id="639" uniqueName="639" name="Column630" queryTableFieldId="15755" dataDxfId="15972"/>
    <tableColumn id="640" uniqueName="640" name="Column631" queryTableFieldId="15754" dataDxfId="15971"/>
    <tableColumn id="641" uniqueName="641" name="Column632" queryTableFieldId="15753" dataDxfId="15970"/>
    <tableColumn id="642" uniqueName="642" name="Column633" queryTableFieldId="15752" dataDxfId="15969"/>
    <tableColumn id="643" uniqueName="643" name="Column634" queryTableFieldId="15751" dataDxfId="15968"/>
    <tableColumn id="644" uniqueName="644" name="Column635" queryTableFieldId="15750" dataDxfId="15967"/>
    <tableColumn id="645" uniqueName="645" name="Column636" queryTableFieldId="15749" dataDxfId="15966"/>
    <tableColumn id="646" uniqueName="646" name="Column637" queryTableFieldId="15748" dataDxfId="15965"/>
    <tableColumn id="647" uniqueName="647" name="Column638" queryTableFieldId="15747" dataDxfId="15964"/>
    <tableColumn id="648" uniqueName="648" name="Column639" queryTableFieldId="15746" dataDxfId="15963"/>
    <tableColumn id="649" uniqueName="649" name="Column640" queryTableFieldId="15745" dataDxfId="15962"/>
    <tableColumn id="650" uniqueName="650" name="Column641" queryTableFieldId="15744" dataDxfId="15961"/>
    <tableColumn id="651" uniqueName="651" name="Column642" queryTableFieldId="15743" dataDxfId="15960"/>
    <tableColumn id="652" uniqueName="652" name="Column643" queryTableFieldId="15742" dataDxfId="15959"/>
    <tableColumn id="653" uniqueName="653" name="Column644" queryTableFieldId="15741" dataDxfId="15958"/>
    <tableColumn id="654" uniqueName="654" name="Column645" queryTableFieldId="15740" dataDxfId="15957"/>
    <tableColumn id="655" uniqueName="655" name="Column646" queryTableFieldId="15739" dataDxfId="15956"/>
    <tableColumn id="656" uniqueName="656" name="Column647" queryTableFieldId="15738" dataDxfId="15955"/>
    <tableColumn id="657" uniqueName="657" name="Column648" queryTableFieldId="15737" dataDxfId="15954"/>
    <tableColumn id="658" uniqueName="658" name="Column649" queryTableFieldId="15736" dataDxfId="15953"/>
    <tableColumn id="659" uniqueName="659" name="Column650" queryTableFieldId="15735" dataDxfId="15952"/>
    <tableColumn id="660" uniqueName="660" name="Column651" queryTableFieldId="15734" dataDxfId="15951"/>
    <tableColumn id="661" uniqueName="661" name="Column652" queryTableFieldId="15733" dataDxfId="15950"/>
    <tableColumn id="662" uniqueName="662" name="Column653" queryTableFieldId="15732" dataDxfId="15949"/>
    <tableColumn id="663" uniqueName="663" name="Column654" queryTableFieldId="15731" dataDxfId="15948"/>
    <tableColumn id="664" uniqueName="664" name="Column655" queryTableFieldId="15730" dataDxfId="15947"/>
    <tableColumn id="665" uniqueName="665" name="Column656" queryTableFieldId="15729" dataDxfId="15946"/>
    <tableColumn id="666" uniqueName="666" name="Column657" queryTableFieldId="15728" dataDxfId="15945"/>
    <tableColumn id="667" uniqueName="667" name="Column658" queryTableFieldId="15727" dataDxfId="15944"/>
    <tableColumn id="668" uniqueName="668" name="Column659" queryTableFieldId="15726" dataDxfId="15943"/>
    <tableColumn id="669" uniqueName="669" name="Column660" queryTableFieldId="15725" dataDxfId="15942"/>
    <tableColumn id="670" uniqueName="670" name="Column661" queryTableFieldId="15724" dataDxfId="15941"/>
    <tableColumn id="671" uniqueName="671" name="Column662" queryTableFieldId="15723" dataDxfId="15940"/>
    <tableColumn id="672" uniqueName="672" name="Column663" queryTableFieldId="15722" dataDxfId="15939"/>
    <tableColumn id="673" uniqueName="673" name="Column664" queryTableFieldId="15721" dataDxfId="15938"/>
    <tableColumn id="674" uniqueName="674" name="Column665" queryTableFieldId="15720" dataDxfId="15937"/>
    <tableColumn id="675" uniqueName="675" name="Column666" queryTableFieldId="15719" dataDxfId="15936"/>
    <tableColumn id="676" uniqueName="676" name="Column667" queryTableFieldId="15718" dataDxfId="15935"/>
    <tableColumn id="677" uniqueName="677" name="Column668" queryTableFieldId="15717" dataDxfId="15934"/>
    <tableColumn id="678" uniqueName="678" name="Column669" queryTableFieldId="15716" dataDxfId="15933"/>
    <tableColumn id="679" uniqueName="679" name="Column670" queryTableFieldId="15715" dataDxfId="15932"/>
    <tableColumn id="680" uniqueName="680" name="Column671" queryTableFieldId="15714" dataDxfId="15931"/>
    <tableColumn id="681" uniqueName="681" name="Column672" queryTableFieldId="15713" dataDxfId="15930"/>
    <tableColumn id="682" uniqueName="682" name="Column673" queryTableFieldId="15712" dataDxfId="15929"/>
    <tableColumn id="683" uniqueName="683" name="Column674" queryTableFieldId="15711" dataDxfId="15928"/>
    <tableColumn id="684" uniqueName="684" name="Column675" queryTableFieldId="15710" dataDxfId="15927"/>
    <tableColumn id="685" uniqueName="685" name="Column676" queryTableFieldId="15709" dataDxfId="15926"/>
    <tableColumn id="686" uniqueName="686" name="Column677" queryTableFieldId="15708" dataDxfId="15925"/>
    <tableColumn id="687" uniqueName="687" name="Column678" queryTableFieldId="15707" dataDxfId="15924"/>
    <tableColumn id="688" uniqueName="688" name="Column679" queryTableFieldId="15706" dataDxfId="15923"/>
    <tableColumn id="689" uniqueName="689" name="Column680" queryTableFieldId="15705" dataDxfId="15922"/>
    <tableColumn id="690" uniqueName="690" name="Column681" queryTableFieldId="15704" dataDxfId="15921"/>
    <tableColumn id="691" uniqueName="691" name="Column682" queryTableFieldId="15703" dataDxfId="15920"/>
    <tableColumn id="692" uniqueName="692" name="Column683" queryTableFieldId="15702" dataDxfId="15919"/>
    <tableColumn id="693" uniqueName="693" name="Column684" queryTableFieldId="15701" dataDxfId="15918"/>
    <tableColumn id="694" uniqueName="694" name="Column685" queryTableFieldId="15700" dataDxfId="15917"/>
    <tableColumn id="695" uniqueName="695" name="Column686" queryTableFieldId="15699" dataDxfId="15916"/>
    <tableColumn id="696" uniqueName="696" name="Column687" queryTableFieldId="15698" dataDxfId="15915"/>
    <tableColumn id="697" uniqueName="697" name="Column688" queryTableFieldId="15697" dataDxfId="15914"/>
    <tableColumn id="698" uniqueName="698" name="Column689" queryTableFieldId="15696" dataDxfId="15913"/>
    <tableColumn id="699" uniqueName="699" name="Column690" queryTableFieldId="15695" dataDxfId="15912"/>
    <tableColumn id="700" uniqueName="700" name="Column691" queryTableFieldId="15694" dataDxfId="15911"/>
    <tableColumn id="701" uniqueName="701" name="Column692" queryTableFieldId="15693" dataDxfId="15910"/>
    <tableColumn id="702" uniqueName="702" name="Column693" queryTableFieldId="15692" dataDxfId="15909"/>
    <tableColumn id="703" uniqueName="703" name="Column694" queryTableFieldId="15691" dataDxfId="15908"/>
    <tableColumn id="704" uniqueName="704" name="Column695" queryTableFieldId="15690" dataDxfId="15907"/>
    <tableColumn id="705" uniqueName="705" name="Column696" queryTableFieldId="15689" dataDxfId="15906"/>
    <tableColumn id="706" uniqueName="706" name="Column697" queryTableFieldId="15688" dataDxfId="15905"/>
    <tableColumn id="707" uniqueName="707" name="Column698" queryTableFieldId="15687" dataDxfId="15904"/>
    <tableColumn id="708" uniqueName="708" name="Column699" queryTableFieldId="15686" dataDxfId="15903"/>
    <tableColumn id="709" uniqueName="709" name="Column700" queryTableFieldId="15685" dataDxfId="15902"/>
    <tableColumn id="710" uniqueName="710" name="Column701" queryTableFieldId="15684" dataDxfId="15901"/>
    <tableColumn id="711" uniqueName="711" name="Column702" queryTableFieldId="15683" dataDxfId="15900"/>
    <tableColumn id="712" uniqueName="712" name="Column703" queryTableFieldId="15682" dataDxfId="15899"/>
    <tableColumn id="713" uniqueName="713" name="Column704" queryTableFieldId="15681" dataDxfId="15898"/>
    <tableColumn id="714" uniqueName="714" name="Column705" queryTableFieldId="15680" dataDxfId="15897"/>
    <tableColumn id="715" uniqueName="715" name="Column706" queryTableFieldId="15679" dataDxfId="15896"/>
    <tableColumn id="716" uniqueName="716" name="Column707" queryTableFieldId="15678" dataDxfId="15895"/>
    <tableColumn id="717" uniqueName="717" name="Column708" queryTableFieldId="15677" dataDxfId="15894"/>
    <tableColumn id="718" uniqueName="718" name="Column709" queryTableFieldId="15676" dataDxfId="15893"/>
    <tableColumn id="719" uniqueName="719" name="Column710" queryTableFieldId="15675" dataDxfId="15892"/>
    <tableColumn id="720" uniqueName="720" name="Column711" queryTableFieldId="15674" dataDxfId="15891"/>
    <tableColumn id="721" uniqueName="721" name="Column712" queryTableFieldId="15673" dataDxfId="15890"/>
    <tableColumn id="722" uniqueName="722" name="Column713" queryTableFieldId="15672" dataDxfId="15889"/>
    <tableColumn id="723" uniqueName="723" name="Column714" queryTableFieldId="15671" dataDxfId="15888"/>
    <tableColumn id="724" uniqueName="724" name="Column715" queryTableFieldId="15670" dataDxfId="15887"/>
    <tableColumn id="725" uniqueName="725" name="Column716" queryTableFieldId="15669" dataDxfId="15886"/>
    <tableColumn id="726" uniqueName="726" name="Column717" queryTableFieldId="15668" dataDxfId="15885"/>
    <tableColumn id="727" uniqueName="727" name="Column718" queryTableFieldId="15667" dataDxfId="15884"/>
    <tableColumn id="728" uniqueName="728" name="Column719" queryTableFieldId="15666" dataDxfId="15883"/>
    <tableColumn id="729" uniqueName="729" name="Column720" queryTableFieldId="15665" dataDxfId="15882"/>
    <tableColumn id="730" uniqueName="730" name="Column721" queryTableFieldId="15664" dataDxfId="15881"/>
    <tableColumn id="731" uniqueName="731" name="Column722" queryTableFieldId="15663" dataDxfId="15880"/>
    <tableColumn id="732" uniqueName="732" name="Column723" queryTableFieldId="15662" dataDxfId="15879"/>
    <tableColumn id="733" uniqueName="733" name="Column724" queryTableFieldId="15661" dataDxfId="15878"/>
    <tableColumn id="734" uniqueName="734" name="Column725" queryTableFieldId="15660" dataDxfId="15877"/>
    <tableColumn id="735" uniqueName="735" name="Column726" queryTableFieldId="15659" dataDxfId="15876"/>
    <tableColumn id="736" uniqueName="736" name="Column727" queryTableFieldId="15658" dataDxfId="15875"/>
    <tableColumn id="737" uniqueName="737" name="Column728" queryTableFieldId="15657" dataDxfId="15874"/>
    <tableColumn id="738" uniqueName="738" name="Column729" queryTableFieldId="15656" dataDxfId="15873"/>
    <tableColumn id="739" uniqueName="739" name="Column730" queryTableFieldId="15655" dataDxfId="15872"/>
    <tableColumn id="740" uniqueName="740" name="Column731" queryTableFieldId="15654" dataDxfId="15871"/>
    <tableColumn id="741" uniqueName="741" name="Column732" queryTableFieldId="15653" dataDxfId="15870"/>
    <tableColumn id="742" uniqueName="742" name="Column733" queryTableFieldId="15652" dataDxfId="15869"/>
    <tableColumn id="743" uniqueName="743" name="Column734" queryTableFieldId="15651" dataDxfId="15868"/>
    <tableColumn id="744" uniqueName="744" name="Column735" queryTableFieldId="15650" dataDxfId="15867"/>
    <tableColumn id="745" uniqueName="745" name="Column736" queryTableFieldId="15649" dataDxfId="15866"/>
    <tableColumn id="746" uniqueName="746" name="Column737" queryTableFieldId="15648" dataDxfId="15865"/>
    <tableColumn id="747" uniqueName="747" name="Column738" queryTableFieldId="15647" dataDxfId="15864"/>
    <tableColumn id="748" uniqueName="748" name="Column739" queryTableFieldId="15646" dataDxfId="15863"/>
    <tableColumn id="749" uniqueName="749" name="Column740" queryTableFieldId="15645" dataDxfId="15862"/>
    <tableColumn id="750" uniqueName="750" name="Column741" queryTableFieldId="15644" dataDxfId="15861"/>
    <tableColumn id="751" uniqueName="751" name="Column742" queryTableFieldId="15643" dataDxfId="15860"/>
    <tableColumn id="752" uniqueName="752" name="Column743" queryTableFieldId="15642" dataDxfId="15859"/>
    <tableColumn id="753" uniqueName="753" name="Column744" queryTableFieldId="15641" dataDxfId="15858"/>
    <tableColumn id="754" uniqueName="754" name="Column745" queryTableFieldId="15640" dataDxfId="15857"/>
    <tableColumn id="755" uniqueName="755" name="Column746" queryTableFieldId="15639" dataDxfId="15856"/>
    <tableColumn id="756" uniqueName="756" name="Column747" queryTableFieldId="15638" dataDxfId="15855"/>
    <tableColumn id="757" uniqueName="757" name="Column748" queryTableFieldId="15637" dataDxfId="15854"/>
    <tableColumn id="758" uniqueName="758" name="Column749" queryTableFieldId="15636" dataDxfId="15853"/>
    <tableColumn id="759" uniqueName="759" name="Column750" queryTableFieldId="15635" dataDxfId="15852"/>
    <tableColumn id="760" uniqueName="760" name="Column751" queryTableFieldId="15634" dataDxfId="15851"/>
    <tableColumn id="761" uniqueName="761" name="Column752" queryTableFieldId="15633" dataDxfId="15850"/>
    <tableColumn id="762" uniqueName="762" name="Column753" queryTableFieldId="15632" dataDxfId="15849"/>
    <tableColumn id="763" uniqueName="763" name="Column754" queryTableFieldId="15631" dataDxfId="15848"/>
    <tableColumn id="764" uniqueName="764" name="Column755" queryTableFieldId="15630" dataDxfId="15847"/>
    <tableColumn id="765" uniqueName="765" name="Column756" queryTableFieldId="15629" dataDxfId="15846"/>
    <tableColumn id="766" uniqueName="766" name="Column757" queryTableFieldId="15628" dataDxfId="15845"/>
    <tableColumn id="767" uniqueName="767" name="Column758" queryTableFieldId="15627" dataDxfId="15844"/>
    <tableColumn id="768" uniqueName="768" name="Column759" queryTableFieldId="15626" dataDxfId="15843"/>
    <tableColumn id="769" uniqueName="769" name="Column760" queryTableFieldId="15625" dataDxfId="15842"/>
    <tableColumn id="770" uniqueName="770" name="Column761" queryTableFieldId="15624" dataDxfId="15841"/>
    <tableColumn id="771" uniqueName="771" name="Column762" queryTableFieldId="15623" dataDxfId="15840"/>
    <tableColumn id="772" uniqueName="772" name="Column763" queryTableFieldId="15622" dataDxfId="15839"/>
    <tableColumn id="773" uniqueName="773" name="Column764" queryTableFieldId="15621" dataDxfId="15838"/>
    <tableColumn id="774" uniqueName="774" name="Column765" queryTableFieldId="15620" dataDxfId="15837"/>
    <tableColumn id="775" uniqueName="775" name="Column766" queryTableFieldId="15619" dataDxfId="15836"/>
    <tableColumn id="776" uniqueName="776" name="Column767" queryTableFieldId="15618" dataDxfId="15835"/>
    <tableColumn id="777" uniqueName="777" name="Column768" queryTableFieldId="15617" dataDxfId="15834"/>
    <tableColumn id="778" uniqueName="778" name="Column769" queryTableFieldId="15616" dataDxfId="15833"/>
    <tableColumn id="779" uniqueName="779" name="Column770" queryTableFieldId="15615" dataDxfId="15832"/>
    <tableColumn id="780" uniqueName="780" name="Column771" queryTableFieldId="15614" dataDxfId="15831"/>
    <tableColumn id="781" uniqueName="781" name="Column772" queryTableFieldId="15613" dataDxfId="15830"/>
    <tableColumn id="782" uniqueName="782" name="Column773" queryTableFieldId="15612" dataDxfId="15829"/>
    <tableColumn id="783" uniqueName="783" name="Column774" queryTableFieldId="15611" dataDxfId="15828"/>
    <tableColumn id="784" uniqueName="784" name="Column775" queryTableFieldId="15610" dataDxfId="15827"/>
    <tableColumn id="785" uniqueName="785" name="Column776" queryTableFieldId="15609" dataDxfId="15826"/>
    <tableColumn id="786" uniqueName="786" name="Column777" queryTableFieldId="15608" dataDxfId="15825"/>
    <tableColumn id="787" uniqueName="787" name="Column778" queryTableFieldId="15607" dataDxfId="15824"/>
    <tableColumn id="788" uniqueName="788" name="Column779" queryTableFieldId="15606" dataDxfId="15823"/>
    <tableColumn id="789" uniqueName="789" name="Column780" queryTableFieldId="15605" dataDxfId="15822"/>
    <tableColumn id="790" uniqueName="790" name="Column781" queryTableFieldId="15604" dataDxfId="15821"/>
    <tableColumn id="791" uniqueName="791" name="Column782" queryTableFieldId="15603" dataDxfId="15820"/>
    <tableColumn id="792" uniqueName="792" name="Column783" queryTableFieldId="15602" dataDxfId="15819"/>
    <tableColumn id="793" uniqueName="793" name="Column784" queryTableFieldId="15601" dataDxfId="15818"/>
    <tableColumn id="794" uniqueName="794" name="Column785" queryTableFieldId="15600" dataDxfId="15817"/>
    <tableColumn id="795" uniqueName="795" name="Column786" queryTableFieldId="15599" dataDxfId="15816"/>
    <tableColumn id="796" uniqueName="796" name="Column787" queryTableFieldId="15598" dataDxfId="15815"/>
    <tableColumn id="797" uniqueName="797" name="Column788" queryTableFieldId="15597" dataDxfId="15814"/>
    <tableColumn id="798" uniqueName="798" name="Column789" queryTableFieldId="15596" dataDxfId="15813"/>
    <tableColumn id="799" uniqueName="799" name="Column790" queryTableFieldId="15595" dataDxfId="15812"/>
    <tableColumn id="800" uniqueName="800" name="Column791" queryTableFieldId="15594" dataDxfId="15811"/>
    <tableColumn id="801" uniqueName="801" name="Column792" queryTableFieldId="15593" dataDxfId="15810"/>
    <tableColumn id="802" uniqueName="802" name="Column793" queryTableFieldId="15592" dataDxfId="15809"/>
    <tableColumn id="803" uniqueName="803" name="Column794" queryTableFieldId="15591" dataDxfId="15808"/>
    <tableColumn id="804" uniqueName="804" name="Column795" queryTableFieldId="15590" dataDxfId="15807"/>
    <tableColumn id="805" uniqueName="805" name="Column796" queryTableFieldId="15589" dataDxfId="15806"/>
    <tableColumn id="806" uniqueName="806" name="Column797" queryTableFieldId="15588" dataDxfId="15805"/>
    <tableColumn id="807" uniqueName="807" name="Column798" queryTableFieldId="15587" dataDxfId="15804"/>
    <tableColumn id="808" uniqueName="808" name="Column799" queryTableFieldId="15586" dataDxfId="15803"/>
    <tableColumn id="809" uniqueName="809" name="Column800" queryTableFieldId="15585" dataDxfId="15802"/>
    <tableColumn id="810" uniqueName="810" name="Column801" queryTableFieldId="15584" dataDxfId="15801"/>
    <tableColumn id="811" uniqueName="811" name="Column802" queryTableFieldId="15583" dataDxfId="15800"/>
    <tableColumn id="812" uniqueName="812" name="Column803" queryTableFieldId="15582" dataDxfId="15799"/>
    <tableColumn id="813" uniqueName="813" name="Column804" queryTableFieldId="15581" dataDxfId="15798"/>
    <tableColumn id="814" uniqueName="814" name="Column805" queryTableFieldId="15580" dataDxfId="15797"/>
    <tableColumn id="815" uniqueName="815" name="Column806" queryTableFieldId="15579" dataDxfId="15796"/>
    <tableColumn id="816" uniqueName="816" name="Column807" queryTableFieldId="15578" dataDxfId="15795"/>
    <tableColumn id="817" uniqueName="817" name="Column808" queryTableFieldId="15577" dataDxfId="15794"/>
    <tableColumn id="818" uniqueName="818" name="Column809" queryTableFieldId="15576" dataDxfId="15793"/>
    <tableColumn id="819" uniqueName="819" name="Column810" queryTableFieldId="15575" dataDxfId="15792"/>
    <tableColumn id="820" uniqueName="820" name="Column811" queryTableFieldId="15574" dataDxfId="15791"/>
    <tableColumn id="821" uniqueName="821" name="Column812" queryTableFieldId="15573" dataDxfId="15790"/>
    <tableColumn id="822" uniqueName="822" name="Column813" queryTableFieldId="15572" dataDxfId="15789"/>
    <tableColumn id="823" uniqueName="823" name="Column814" queryTableFieldId="15571" dataDxfId="15788"/>
    <tableColumn id="824" uniqueName="824" name="Column815" queryTableFieldId="15570" dataDxfId="15787"/>
    <tableColumn id="825" uniqueName="825" name="Column816" queryTableFieldId="15569" dataDxfId="15786"/>
    <tableColumn id="826" uniqueName="826" name="Column817" queryTableFieldId="15568" dataDxfId="15785"/>
    <tableColumn id="827" uniqueName="827" name="Column818" queryTableFieldId="15567" dataDxfId="15784"/>
    <tableColumn id="828" uniqueName="828" name="Column819" queryTableFieldId="15566" dataDxfId="15783"/>
    <tableColumn id="829" uniqueName="829" name="Column820" queryTableFieldId="15565" dataDxfId="15782"/>
    <tableColumn id="830" uniqueName="830" name="Column821" queryTableFieldId="15564" dataDxfId="15781"/>
    <tableColumn id="831" uniqueName="831" name="Column822" queryTableFieldId="15563" dataDxfId="15780"/>
    <tableColumn id="832" uniqueName="832" name="Column823" queryTableFieldId="15562" dataDxfId="15779"/>
    <tableColumn id="833" uniqueName="833" name="Column824" queryTableFieldId="15561" dataDxfId="15778"/>
    <tableColumn id="834" uniqueName="834" name="Column825" queryTableFieldId="15560" dataDxfId="15777"/>
    <tableColumn id="835" uniqueName="835" name="Column826" queryTableFieldId="15559" dataDxfId="15776"/>
    <tableColumn id="836" uniqueName="836" name="Column827" queryTableFieldId="15558" dataDxfId="15775"/>
    <tableColumn id="837" uniqueName="837" name="Column828" queryTableFieldId="15557" dataDxfId="15774"/>
    <tableColumn id="838" uniqueName="838" name="Column829" queryTableFieldId="15556" dataDxfId="15773"/>
    <tableColumn id="839" uniqueName="839" name="Column830" queryTableFieldId="15555" dataDxfId="15772"/>
    <tableColumn id="840" uniqueName="840" name="Column831" queryTableFieldId="15554" dataDxfId="15771"/>
    <tableColumn id="841" uniqueName="841" name="Column832" queryTableFieldId="15553" dataDxfId="15770"/>
    <tableColumn id="842" uniqueName="842" name="Column833" queryTableFieldId="15552" dataDxfId="15769"/>
    <tableColumn id="843" uniqueName="843" name="Column834" queryTableFieldId="15551" dataDxfId="15768"/>
    <tableColumn id="844" uniqueName="844" name="Column835" queryTableFieldId="15550" dataDxfId="15767"/>
    <tableColumn id="845" uniqueName="845" name="Column836" queryTableFieldId="15549" dataDxfId="15766"/>
    <tableColumn id="846" uniqueName="846" name="Column837" queryTableFieldId="15548" dataDxfId="15765"/>
    <tableColumn id="847" uniqueName="847" name="Column838" queryTableFieldId="15547" dataDxfId="15764"/>
    <tableColumn id="848" uniqueName="848" name="Column839" queryTableFieldId="15546" dataDxfId="15763"/>
    <tableColumn id="849" uniqueName="849" name="Column840" queryTableFieldId="15545" dataDxfId="15762"/>
    <tableColumn id="850" uniqueName="850" name="Column841" queryTableFieldId="15544" dataDxfId="15761"/>
    <tableColumn id="851" uniqueName="851" name="Column842" queryTableFieldId="15543" dataDxfId="15760"/>
    <tableColumn id="852" uniqueName="852" name="Column843" queryTableFieldId="15542" dataDxfId="15759"/>
    <tableColumn id="853" uniqueName="853" name="Column844" queryTableFieldId="15541" dataDxfId="15758"/>
    <tableColumn id="854" uniqueName="854" name="Column845" queryTableFieldId="15540" dataDxfId="15757"/>
    <tableColumn id="855" uniqueName="855" name="Column846" queryTableFieldId="15539" dataDxfId="15756"/>
    <tableColumn id="856" uniqueName="856" name="Column847" queryTableFieldId="15538" dataDxfId="15755"/>
    <tableColumn id="857" uniqueName="857" name="Column848" queryTableFieldId="15537" dataDxfId="15754"/>
    <tableColumn id="858" uniqueName="858" name="Column849" queryTableFieldId="15536" dataDxfId="15753"/>
    <tableColumn id="859" uniqueName="859" name="Column850" queryTableFieldId="15535" dataDxfId="15752"/>
    <tableColumn id="860" uniqueName="860" name="Column851" queryTableFieldId="15534" dataDxfId="15751"/>
    <tableColumn id="861" uniqueName="861" name="Column852" queryTableFieldId="15533" dataDxfId="15750"/>
    <tableColumn id="862" uniqueName="862" name="Column853" queryTableFieldId="15532" dataDxfId="15749"/>
    <tableColumn id="863" uniqueName="863" name="Column854" queryTableFieldId="15531" dataDxfId="15748"/>
    <tableColumn id="864" uniqueName="864" name="Column855" queryTableFieldId="15530" dataDxfId="15747"/>
    <tableColumn id="865" uniqueName="865" name="Column856" queryTableFieldId="15529" dataDxfId="15746"/>
    <tableColumn id="866" uniqueName="866" name="Column857" queryTableFieldId="15528" dataDxfId="15745"/>
    <tableColumn id="867" uniqueName="867" name="Column858" queryTableFieldId="15527" dataDxfId="15744"/>
    <tableColumn id="868" uniqueName="868" name="Column859" queryTableFieldId="15526" dataDxfId="15743"/>
    <tableColumn id="869" uniqueName="869" name="Column860" queryTableFieldId="15525" dataDxfId="15742"/>
    <tableColumn id="870" uniqueName="870" name="Column861" queryTableFieldId="15524" dataDxfId="15741"/>
    <tableColumn id="871" uniqueName="871" name="Column862" queryTableFieldId="15523" dataDxfId="15740"/>
    <tableColumn id="872" uniqueName="872" name="Column863" queryTableFieldId="15522" dataDxfId="15739"/>
    <tableColumn id="873" uniqueName="873" name="Column864" queryTableFieldId="15521" dataDxfId="15738"/>
    <tableColumn id="874" uniqueName="874" name="Column865" queryTableFieldId="15520" dataDxfId="15737"/>
    <tableColumn id="875" uniqueName="875" name="Column866" queryTableFieldId="15519" dataDxfId="15736"/>
    <tableColumn id="876" uniqueName="876" name="Column867" queryTableFieldId="15518" dataDxfId="15735"/>
    <tableColumn id="877" uniqueName="877" name="Column868" queryTableFieldId="15517" dataDxfId="15734"/>
    <tableColumn id="878" uniqueName="878" name="Column869" queryTableFieldId="15516" dataDxfId="15733"/>
    <tableColumn id="879" uniqueName="879" name="Column870" queryTableFieldId="15515" dataDxfId="15732"/>
    <tableColumn id="880" uniqueName="880" name="Column871" queryTableFieldId="15514" dataDxfId="15731"/>
    <tableColumn id="881" uniqueName="881" name="Column872" queryTableFieldId="15513" dataDxfId="15730"/>
    <tableColumn id="882" uniqueName="882" name="Column873" queryTableFieldId="15512" dataDxfId="15729"/>
    <tableColumn id="883" uniqueName="883" name="Column874" queryTableFieldId="15511" dataDxfId="15728"/>
    <tableColumn id="884" uniqueName="884" name="Column875" queryTableFieldId="15510" dataDxfId="15727"/>
    <tableColumn id="885" uniqueName="885" name="Column876" queryTableFieldId="15509" dataDxfId="15726"/>
    <tableColumn id="886" uniqueName="886" name="Column877" queryTableFieldId="15508" dataDxfId="15725"/>
    <tableColumn id="887" uniqueName="887" name="Column878" queryTableFieldId="15507" dataDxfId="15724"/>
    <tableColumn id="888" uniqueName="888" name="Column879" queryTableFieldId="15506" dataDxfId="15723"/>
    <tableColumn id="889" uniqueName="889" name="Column880" queryTableFieldId="15505" dataDxfId="15722"/>
    <tableColumn id="890" uniqueName="890" name="Column881" queryTableFieldId="15504" dataDxfId="15721"/>
    <tableColumn id="891" uniqueName="891" name="Column882" queryTableFieldId="15503" dataDxfId="15720"/>
    <tableColumn id="892" uniqueName="892" name="Column883" queryTableFieldId="15502" dataDxfId="15719"/>
    <tableColumn id="893" uniqueName="893" name="Column884" queryTableFieldId="15501" dataDxfId="15718"/>
    <tableColumn id="894" uniqueName="894" name="Column885" queryTableFieldId="15500" dataDxfId="15717"/>
    <tableColumn id="895" uniqueName="895" name="Column886" queryTableFieldId="15499" dataDxfId="15716"/>
    <tableColumn id="896" uniqueName="896" name="Column887" queryTableFieldId="15498" dataDxfId="15715"/>
    <tableColumn id="897" uniqueName="897" name="Column888" queryTableFieldId="15497" dataDxfId="15714"/>
    <tableColumn id="898" uniqueName="898" name="Column889" queryTableFieldId="15496" dataDxfId="15713"/>
    <tableColumn id="899" uniqueName="899" name="Column890" queryTableFieldId="15495" dataDxfId="15712"/>
    <tableColumn id="900" uniqueName="900" name="Column891" queryTableFieldId="15494" dataDxfId="15711"/>
    <tableColumn id="901" uniqueName="901" name="Column892" queryTableFieldId="15493" dataDxfId="15710"/>
    <tableColumn id="902" uniqueName="902" name="Column893" queryTableFieldId="15492" dataDxfId="15709"/>
    <tableColumn id="903" uniqueName="903" name="Column894" queryTableFieldId="15491" dataDxfId="15708"/>
    <tableColumn id="904" uniqueName="904" name="Column895" queryTableFieldId="15490" dataDxfId="15707"/>
    <tableColumn id="905" uniqueName="905" name="Column896" queryTableFieldId="15489" dataDxfId="15706"/>
    <tableColumn id="906" uniqueName="906" name="Column897" queryTableFieldId="15488" dataDxfId="15705"/>
    <tableColumn id="907" uniqueName="907" name="Column898" queryTableFieldId="15487" dataDxfId="15704"/>
    <tableColumn id="908" uniqueName="908" name="Column899" queryTableFieldId="15486" dataDxfId="15703"/>
    <tableColumn id="909" uniqueName="909" name="Column900" queryTableFieldId="15485" dataDxfId="15702"/>
    <tableColumn id="910" uniqueName="910" name="Column901" queryTableFieldId="15484" dataDxfId="15701"/>
    <tableColumn id="911" uniqueName="911" name="Column902" queryTableFieldId="15483" dataDxfId="15700"/>
    <tableColumn id="912" uniqueName="912" name="Column903" queryTableFieldId="15482" dataDxfId="15699"/>
    <tableColumn id="913" uniqueName="913" name="Column904" queryTableFieldId="15481" dataDxfId="15698"/>
    <tableColumn id="914" uniqueName="914" name="Column905" queryTableFieldId="15480" dataDxfId="15697"/>
    <tableColumn id="915" uniqueName="915" name="Column906" queryTableFieldId="15479" dataDxfId="15696"/>
    <tableColumn id="916" uniqueName="916" name="Column907" queryTableFieldId="15478" dataDxfId="15695"/>
    <tableColumn id="917" uniqueName="917" name="Column908" queryTableFieldId="15477" dataDxfId="15694"/>
    <tableColumn id="918" uniqueName="918" name="Column909" queryTableFieldId="15476" dataDxfId="15693"/>
    <tableColumn id="919" uniqueName="919" name="Column910" queryTableFieldId="15475" dataDxfId="15692"/>
    <tableColumn id="920" uniqueName="920" name="Column911" queryTableFieldId="15474" dataDxfId="15691"/>
    <tableColumn id="921" uniqueName="921" name="Column912" queryTableFieldId="15473" dataDxfId="15690"/>
    <tableColumn id="922" uniqueName="922" name="Column913" queryTableFieldId="15472" dataDxfId="15689"/>
    <tableColumn id="923" uniqueName="923" name="Column914" queryTableFieldId="15471" dataDxfId="15688"/>
    <tableColumn id="924" uniqueName="924" name="Column915" queryTableFieldId="15470" dataDxfId="15687"/>
    <tableColumn id="925" uniqueName="925" name="Column916" queryTableFieldId="15469" dataDxfId="15686"/>
    <tableColumn id="926" uniqueName="926" name="Column917" queryTableFieldId="15468" dataDxfId="15685"/>
    <tableColumn id="927" uniqueName="927" name="Column918" queryTableFieldId="15467" dataDxfId="15684"/>
    <tableColumn id="928" uniqueName="928" name="Column919" queryTableFieldId="15466" dataDxfId="15683"/>
    <tableColumn id="929" uniqueName="929" name="Column920" queryTableFieldId="15465" dataDxfId="15682"/>
    <tableColumn id="930" uniqueName="930" name="Column921" queryTableFieldId="15464" dataDxfId="15681"/>
    <tableColumn id="931" uniqueName="931" name="Column922" queryTableFieldId="15463" dataDxfId="15680"/>
    <tableColumn id="932" uniqueName="932" name="Column923" queryTableFieldId="15462" dataDxfId="15679"/>
    <tableColumn id="933" uniqueName="933" name="Column924" queryTableFieldId="15461" dataDxfId="15678"/>
    <tableColumn id="934" uniqueName="934" name="Column925" queryTableFieldId="15460" dataDxfId="15677"/>
    <tableColumn id="935" uniqueName="935" name="Column926" queryTableFieldId="15459" dataDxfId="15676"/>
    <tableColumn id="936" uniqueName="936" name="Column927" queryTableFieldId="15458" dataDxfId="15675"/>
    <tableColumn id="937" uniqueName="937" name="Column928" queryTableFieldId="15457" dataDxfId="15674"/>
    <tableColumn id="938" uniqueName="938" name="Column929" queryTableFieldId="15456" dataDxfId="15673"/>
    <tableColumn id="939" uniqueName="939" name="Column930" queryTableFieldId="15455" dataDxfId="15672"/>
    <tableColumn id="940" uniqueName="940" name="Column931" queryTableFieldId="15454" dataDxfId="15671"/>
    <tableColumn id="941" uniqueName="941" name="Column932" queryTableFieldId="15453" dataDxfId="15670"/>
    <tableColumn id="942" uniqueName="942" name="Column933" queryTableFieldId="15452" dataDxfId="15669"/>
    <tableColumn id="943" uniqueName="943" name="Column934" queryTableFieldId="15451" dataDxfId="15668"/>
    <tableColumn id="944" uniqueName="944" name="Column935" queryTableFieldId="15450" dataDxfId="15667"/>
    <tableColumn id="945" uniqueName="945" name="Column936" queryTableFieldId="15449" dataDxfId="15666"/>
    <tableColumn id="946" uniqueName="946" name="Column937" queryTableFieldId="15448" dataDxfId="15665"/>
    <tableColumn id="947" uniqueName="947" name="Column938" queryTableFieldId="15447" dataDxfId="15664"/>
    <tableColumn id="948" uniqueName="948" name="Column939" queryTableFieldId="15446" dataDxfId="15663"/>
    <tableColumn id="949" uniqueName="949" name="Column940" queryTableFieldId="15445" dataDxfId="15662"/>
    <tableColumn id="950" uniqueName="950" name="Column941" queryTableFieldId="15444" dataDxfId="15661"/>
    <tableColumn id="951" uniqueName="951" name="Column942" queryTableFieldId="15443" dataDxfId="15660"/>
    <tableColumn id="952" uniqueName="952" name="Column943" queryTableFieldId="15442" dataDxfId="15659"/>
    <tableColumn id="953" uniqueName="953" name="Column944" queryTableFieldId="15441" dataDxfId="15658"/>
    <tableColumn id="954" uniqueName="954" name="Column945" queryTableFieldId="15440" dataDxfId="15657"/>
    <tableColumn id="955" uniqueName="955" name="Column946" queryTableFieldId="15439" dataDxfId="15656"/>
    <tableColumn id="956" uniqueName="956" name="Column947" queryTableFieldId="15438" dataDxfId="15655"/>
    <tableColumn id="957" uniqueName="957" name="Column948" queryTableFieldId="15437" dataDxfId="15654"/>
    <tableColumn id="958" uniqueName="958" name="Column949" queryTableFieldId="15436" dataDxfId="15653"/>
    <tableColumn id="959" uniqueName="959" name="Column950" queryTableFieldId="15435" dataDxfId="15652"/>
    <tableColumn id="960" uniqueName="960" name="Column951" queryTableFieldId="15434" dataDxfId="15651"/>
    <tableColumn id="961" uniqueName="961" name="Column952" queryTableFieldId="15433" dataDxfId="15650"/>
    <tableColumn id="962" uniqueName="962" name="Column953" queryTableFieldId="15432" dataDxfId="15649"/>
    <tableColumn id="963" uniqueName="963" name="Column954" queryTableFieldId="15431" dataDxfId="15648"/>
    <tableColumn id="964" uniqueName="964" name="Column955" queryTableFieldId="15430" dataDxfId="15647"/>
    <tableColumn id="965" uniqueName="965" name="Column956" queryTableFieldId="15429" dataDxfId="15646"/>
    <tableColumn id="966" uniqueName="966" name="Column957" queryTableFieldId="15428" dataDxfId="15645"/>
    <tableColumn id="967" uniqueName="967" name="Column958" queryTableFieldId="15427" dataDxfId="15644"/>
    <tableColumn id="968" uniqueName="968" name="Column959" queryTableFieldId="15426" dataDxfId="15643"/>
    <tableColumn id="969" uniqueName="969" name="Column960" queryTableFieldId="15425" dataDxfId="15642"/>
    <tableColumn id="970" uniqueName="970" name="Column961" queryTableFieldId="15424" dataDxfId="15641"/>
    <tableColumn id="971" uniqueName="971" name="Column962" queryTableFieldId="15423" dataDxfId="15640"/>
    <tableColumn id="972" uniqueName="972" name="Column963" queryTableFieldId="15422" dataDxfId="15639"/>
    <tableColumn id="973" uniqueName="973" name="Column964" queryTableFieldId="15421" dataDxfId="15638"/>
    <tableColumn id="974" uniqueName="974" name="Column965" queryTableFieldId="15420" dataDxfId="15637"/>
    <tableColumn id="975" uniqueName="975" name="Column966" queryTableFieldId="15419" dataDxfId="15636"/>
    <tableColumn id="976" uniqueName="976" name="Column967" queryTableFieldId="15418" dataDxfId="15635"/>
    <tableColumn id="977" uniqueName="977" name="Column968" queryTableFieldId="15417" dataDxfId="15634"/>
    <tableColumn id="978" uniqueName="978" name="Column969" queryTableFieldId="15416" dataDxfId="15633"/>
    <tableColumn id="979" uniqueName="979" name="Column970" queryTableFieldId="15415" dataDxfId="15632"/>
    <tableColumn id="980" uniqueName="980" name="Column971" queryTableFieldId="15414" dataDxfId="15631"/>
    <tableColumn id="981" uniqueName="981" name="Column972" queryTableFieldId="15413" dataDxfId="15630"/>
    <tableColumn id="982" uniqueName="982" name="Column973" queryTableFieldId="15412" dataDxfId="15629"/>
    <tableColumn id="983" uniqueName="983" name="Column974" queryTableFieldId="15411" dataDxfId="15628"/>
    <tableColumn id="984" uniqueName="984" name="Column975" queryTableFieldId="15410" dataDxfId="15627"/>
    <tableColumn id="985" uniqueName="985" name="Column976" queryTableFieldId="15409" dataDxfId="15626"/>
    <tableColumn id="986" uniqueName="986" name="Column977" queryTableFieldId="15408" dataDxfId="15625"/>
    <tableColumn id="987" uniqueName="987" name="Column978" queryTableFieldId="15407" dataDxfId="15624"/>
    <tableColumn id="988" uniqueName="988" name="Column979" queryTableFieldId="15406" dataDxfId="15623"/>
    <tableColumn id="989" uniqueName="989" name="Column980" queryTableFieldId="15405" dataDxfId="15622"/>
    <tableColumn id="990" uniqueName="990" name="Column981" queryTableFieldId="15404" dataDxfId="15621"/>
    <tableColumn id="991" uniqueName="991" name="Column982" queryTableFieldId="15403" dataDxfId="15620"/>
    <tableColumn id="992" uniqueName="992" name="Column983" queryTableFieldId="15402" dataDxfId="15619"/>
    <tableColumn id="993" uniqueName="993" name="Column984" queryTableFieldId="15401" dataDxfId="15618"/>
    <tableColumn id="994" uniqueName="994" name="Column985" queryTableFieldId="15400" dataDxfId="15617"/>
    <tableColumn id="995" uniqueName="995" name="Column986" queryTableFieldId="15399" dataDxfId="15616"/>
    <tableColumn id="996" uniqueName="996" name="Column987" queryTableFieldId="15398" dataDxfId="15615"/>
    <tableColumn id="997" uniqueName="997" name="Column988" queryTableFieldId="15397" dataDxfId="15614"/>
    <tableColumn id="998" uniqueName="998" name="Column989" queryTableFieldId="15396" dataDxfId="15613"/>
    <tableColumn id="999" uniqueName="999" name="Column990" queryTableFieldId="15395" dataDxfId="15612"/>
    <tableColumn id="1000" uniqueName="1000" name="Column991" queryTableFieldId="15394" dataDxfId="15611"/>
    <tableColumn id="1001" uniqueName="1001" name="Column992" queryTableFieldId="15393" dataDxfId="15610"/>
    <tableColumn id="1002" uniqueName="1002" name="Column993" queryTableFieldId="15392" dataDxfId="15609"/>
    <tableColumn id="1003" uniqueName="1003" name="Column994" queryTableFieldId="15391" dataDxfId="15608"/>
    <tableColumn id="1004" uniqueName="1004" name="Column995" queryTableFieldId="15390" dataDxfId="15607"/>
    <tableColumn id="1005" uniqueName="1005" name="Column996" queryTableFieldId="15389" dataDxfId="15606"/>
    <tableColumn id="1006" uniqueName="1006" name="Column997" queryTableFieldId="15388" dataDxfId="15605"/>
    <tableColumn id="1007" uniqueName="1007" name="Column998" queryTableFieldId="15387" dataDxfId="15604"/>
    <tableColumn id="1008" uniqueName="1008" name="Column999" queryTableFieldId="15386" dataDxfId="15603"/>
    <tableColumn id="1009" uniqueName="1009" name="Column1000" queryTableFieldId="15385" dataDxfId="15602"/>
    <tableColumn id="1010" uniqueName="1010" name="Column1001" queryTableFieldId="15384" dataDxfId="15601"/>
    <tableColumn id="1011" uniqueName="1011" name="Column1002" queryTableFieldId="15383" dataDxfId="15600"/>
    <tableColumn id="1012" uniqueName="1012" name="Column1003" queryTableFieldId="15382" dataDxfId="15599"/>
    <tableColumn id="1013" uniqueName="1013" name="Column1004" queryTableFieldId="15381" dataDxfId="15598"/>
    <tableColumn id="1014" uniqueName="1014" name="Column1005" queryTableFieldId="15380" dataDxfId="15597"/>
    <tableColumn id="1015" uniqueName="1015" name="Column1006" queryTableFieldId="15379" dataDxfId="15596"/>
    <tableColumn id="1016" uniqueName="1016" name="Column1007" queryTableFieldId="15378" dataDxfId="15595"/>
    <tableColumn id="1017" uniqueName="1017" name="Column1008" queryTableFieldId="15377" dataDxfId="15594"/>
    <tableColumn id="1018" uniqueName="1018" name="Column1009" queryTableFieldId="15376" dataDxfId="15593"/>
    <tableColumn id="1019" uniqueName="1019" name="Column1010" queryTableFieldId="15375" dataDxfId="15592"/>
    <tableColumn id="1020" uniqueName="1020" name="Column1011" queryTableFieldId="15374" dataDxfId="15591"/>
    <tableColumn id="1021" uniqueName="1021" name="Column1012" queryTableFieldId="15373" dataDxfId="15590"/>
    <tableColumn id="1022" uniqueName="1022" name="Column1013" queryTableFieldId="15372" dataDxfId="15589"/>
    <tableColumn id="1023" uniqueName="1023" name="Column1014" queryTableFieldId="15371" dataDxfId="15588"/>
    <tableColumn id="1024" uniqueName="1024" name="Column1015" queryTableFieldId="15370" dataDxfId="15587"/>
    <tableColumn id="1025" uniqueName="1025" name="Column1016" queryTableFieldId="15369" dataDxfId="15586"/>
    <tableColumn id="1026" uniqueName="1026" name="Column1017" queryTableFieldId="15368" dataDxfId="15585"/>
    <tableColumn id="1027" uniqueName="1027" name="Column1018" queryTableFieldId="15367" dataDxfId="15584"/>
    <tableColumn id="1028" uniqueName="1028" name="Column1019" queryTableFieldId="15366" dataDxfId="15583"/>
    <tableColumn id="1029" uniqueName="1029" name="Column1020" queryTableFieldId="15365" dataDxfId="15582"/>
    <tableColumn id="1030" uniqueName="1030" name="Column1021" queryTableFieldId="15364" dataDxfId="15581"/>
    <tableColumn id="1031" uniqueName="1031" name="Column1022" queryTableFieldId="15363" dataDxfId="15580"/>
    <tableColumn id="1032" uniqueName="1032" name="Column1023" queryTableFieldId="15362" dataDxfId="15579"/>
    <tableColumn id="1033" uniqueName="1033" name="Column1024" queryTableFieldId="15361" dataDxfId="15578"/>
    <tableColumn id="1034" uniqueName="1034" name="Column1025" queryTableFieldId="15360" dataDxfId="15577"/>
    <tableColumn id="1035" uniqueName="1035" name="Column1026" queryTableFieldId="15359" dataDxfId="15576"/>
    <tableColumn id="1036" uniqueName="1036" name="Column1027" queryTableFieldId="15358" dataDxfId="15575"/>
    <tableColumn id="1037" uniqueName="1037" name="Column1028" queryTableFieldId="15357" dataDxfId="15574"/>
    <tableColumn id="1038" uniqueName="1038" name="Column1029" queryTableFieldId="15356" dataDxfId="15573"/>
    <tableColumn id="1039" uniqueName="1039" name="Column1030" queryTableFieldId="15355" dataDxfId="15572"/>
    <tableColumn id="1040" uniqueName="1040" name="Column1031" queryTableFieldId="15354" dataDxfId="15571"/>
    <tableColumn id="1041" uniqueName="1041" name="Column1032" queryTableFieldId="15353" dataDxfId="15570"/>
    <tableColumn id="1042" uniqueName="1042" name="Column1033" queryTableFieldId="15352" dataDxfId="15569"/>
    <tableColumn id="1043" uniqueName="1043" name="Column1034" queryTableFieldId="15351" dataDxfId="15568"/>
    <tableColumn id="1044" uniqueName="1044" name="Column1035" queryTableFieldId="15350" dataDxfId="15567"/>
    <tableColumn id="1045" uniqueName="1045" name="Column1036" queryTableFieldId="15349" dataDxfId="15566"/>
    <tableColumn id="1046" uniqueName="1046" name="Column1037" queryTableFieldId="15348" dataDxfId="15565"/>
    <tableColumn id="1047" uniqueName="1047" name="Column1038" queryTableFieldId="15347" dataDxfId="15564"/>
    <tableColumn id="1048" uniqueName="1048" name="Column1039" queryTableFieldId="15346" dataDxfId="15563"/>
    <tableColumn id="1049" uniqueName="1049" name="Column1040" queryTableFieldId="15345" dataDxfId="15562"/>
    <tableColumn id="1050" uniqueName="1050" name="Column1041" queryTableFieldId="15344" dataDxfId="15561"/>
    <tableColumn id="1051" uniqueName="1051" name="Column1042" queryTableFieldId="15343" dataDxfId="15560"/>
    <tableColumn id="1052" uniqueName="1052" name="Column1043" queryTableFieldId="15342" dataDxfId="15559"/>
    <tableColumn id="1053" uniqueName="1053" name="Column1044" queryTableFieldId="15341" dataDxfId="15558"/>
    <tableColumn id="1054" uniqueName="1054" name="Column1045" queryTableFieldId="15340" dataDxfId="15557"/>
    <tableColumn id="1055" uniqueName="1055" name="Column1046" queryTableFieldId="15339" dataDxfId="15556"/>
    <tableColumn id="1056" uniqueName="1056" name="Column1047" queryTableFieldId="15338" dataDxfId="15555"/>
    <tableColumn id="1057" uniqueName="1057" name="Column1048" queryTableFieldId="15337" dataDxfId="15554"/>
    <tableColumn id="1058" uniqueName="1058" name="Column1049" queryTableFieldId="15336" dataDxfId="15553"/>
    <tableColumn id="1059" uniqueName="1059" name="Column1050" queryTableFieldId="15335" dataDxfId="15552"/>
    <tableColumn id="1060" uniqueName="1060" name="Column1051" queryTableFieldId="15334" dataDxfId="15551"/>
    <tableColumn id="1061" uniqueName="1061" name="Column1052" queryTableFieldId="15333" dataDxfId="15550"/>
    <tableColumn id="1062" uniqueName="1062" name="Column1053" queryTableFieldId="15332" dataDxfId="15549"/>
    <tableColumn id="1063" uniqueName="1063" name="Column1054" queryTableFieldId="15331" dataDxfId="15548"/>
    <tableColumn id="1064" uniqueName="1064" name="Column1055" queryTableFieldId="15330" dataDxfId="15547"/>
    <tableColumn id="1065" uniqueName="1065" name="Column1056" queryTableFieldId="15329" dataDxfId="15546"/>
    <tableColumn id="1066" uniqueName="1066" name="Column1057" queryTableFieldId="15328" dataDxfId="15545"/>
    <tableColumn id="1067" uniqueName="1067" name="Column1058" queryTableFieldId="15327" dataDxfId="15544"/>
    <tableColumn id="1068" uniqueName="1068" name="Column1059" queryTableFieldId="15326" dataDxfId="15543"/>
    <tableColumn id="1069" uniqueName="1069" name="Column1060" queryTableFieldId="15325" dataDxfId="15542"/>
    <tableColumn id="1070" uniqueName="1070" name="Column1061" queryTableFieldId="15324" dataDxfId="15541"/>
    <tableColumn id="1071" uniqueName="1071" name="Column1062" queryTableFieldId="15323" dataDxfId="15540"/>
    <tableColumn id="1072" uniqueName="1072" name="Column1063" queryTableFieldId="15322" dataDxfId="15539"/>
    <tableColumn id="1073" uniqueName="1073" name="Column1064" queryTableFieldId="15321" dataDxfId="15538"/>
    <tableColumn id="1074" uniqueName="1074" name="Column1065" queryTableFieldId="15320" dataDxfId="15537"/>
    <tableColumn id="1075" uniqueName="1075" name="Column1066" queryTableFieldId="15319" dataDxfId="15536"/>
    <tableColumn id="1076" uniqueName="1076" name="Column1067" queryTableFieldId="15318" dataDxfId="15535"/>
    <tableColumn id="1077" uniqueName="1077" name="Column1068" queryTableFieldId="15317" dataDxfId="15534"/>
    <tableColumn id="1078" uniqueName="1078" name="Column1069" queryTableFieldId="15316" dataDxfId="15533"/>
    <tableColumn id="1079" uniqueName="1079" name="Column1070" queryTableFieldId="15315" dataDxfId="15532"/>
    <tableColumn id="1080" uniqueName="1080" name="Column1071" queryTableFieldId="15314" dataDxfId="15531"/>
    <tableColumn id="1081" uniqueName="1081" name="Column1072" queryTableFieldId="15313" dataDxfId="15530"/>
    <tableColumn id="1082" uniqueName="1082" name="Column1073" queryTableFieldId="15312" dataDxfId="15529"/>
    <tableColumn id="1083" uniqueName="1083" name="Column1074" queryTableFieldId="15311" dataDxfId="15528"/>
    <tableColumn id="1084" uniqueName="1084" name="Column1075" queryTableFieldId="15310" dataDxfId="15527"/>
    <tableColumn id="1085" uniqueName="1085" name="Column1076" queryTableFieldId="15309" dataDxfId="15526"/>
    <tableColumn id="1086" uniqueName="1086" name="Column1077" queryTableFieldId="15308" dataDxfId="15525"/>
    <tableColumn id="1087" uniqueName="1087" name="Column1078" queryTableFieldId="15307" dataDxfId="15524"/>
    <tableColumn id="1088" uniqueName="1088" name="Column1079" queryTableFieldId="15306" dataDxfId="15523"/>
    <tableColumn id="1089" uniqueName="1089" name="Column1080" queryTableFieldId="15305" dataDxfId="15522"/>
    <tableColumn id="1090" uniqueName="1090" name="Column1081" queryTableFieldId="15304" dataDxfId="15521"/>
    <tableColumn id="1091" uniqueName="1091" name="Column1082" queryTableFieldId="15303" dataDxfId="15520"/>
    <tableColumn id="1092" uniqueName="1092" name="Column1083" queryTableFieldId="15302" dataDxfId="15519"/>
    <tableColumn id="1093" uniqueName="1093" name="Column1084" queryTableFieldId="15301" dataDxfId="15518"/>
    <tableColumn id="1094" uniqueName="1094" name="Column1085" queryTableFieldId="15300" dataDxfId="15517"/>
    <tableColumn id="1095" uniqueName="1095" name="Column1086" queryTableFieldId="15299" dataDxfId="15516"/>
    <tableColumn id="1096" uniqueName="1096" name="Column1087" queryTableFieldId="15298" dataDxfId="15515"/>
    <tableColumn id="1097" uniqueName="1097" name="Column1088" queryTableFieldId="15297" dataDxfId="15514"/>
    <tableColumn id="1098" uniqueName="1098" name="Column1089" queryTableFieldId="15296" dataDxfId="15513"/>
    <tableColumn id="1099" uniqueName="1099" name="Column1090" queryTableFieldId="15295" dataDxfId="15512"/>
    <tableColumn id="1100" uniqueName="1100" name="Column1091" queryTableFieldId="15294" dataDxfId="15511"/>
    <tableColumn id="1101" uniqueName="1101" name="Column1092" queryTableFieldId="15293" dataDxfId="15510"/>
    <tableColumn id="1102" uniqueName="1102" name="Column1093" queryTableFieldId="15292" dataDxfId="15509"/>
    <tableColumn id="1103" uniqueName="1103" name="Column1094" queryTableFieldId="15291" dataDxfId="15508"/>
    <tableColumn id="1104" uniqueName="1104" name="Column1095" queryTableFieldId="15290" dataDxfId="15507"/>
    <tableColumn id="1105" uniqueName="1105" name="Column1096" queryTableFieldId="15289" dataDxfId="15506"/>
    <tableColumn id="1106" uniqueName="1106" name="Column1097" queryTableFieldId="15288" dataDxfId="15505"/>
    <tableColumn id="1107" uniqueName="1107" name="Column1098" queryTableFieldId="15287" dataDxfId="15504"/>
    <tableColumn id="1108" uniqueName="1108" name="Column1099" queryTableFieldId="15286" dataDxfId="15503"/>
    <tableColumn id="1109" uniqueName="1109" name="Column1100" queryTableFieldId="15285" dataDxfId="15502"/>
    <tableColumn id="1110" uniqueName="1110" name="Column1101" queryTableFieldId="15284" dataDxfId="15501"/>
    <tableColumn id="1111" uniqueName="1111" name="Column1102" queryTableFieldId="15283" dataDxfId="15500"/>
    <tableColumn id="1112" uniqueName="1112" name="Column1103" queryTableFieldId="15282" dataDxfId="15499"/>
    <tableColumn id="1113" uniqueName="1113" name="Column1104" queryTableFieldId="15281" dataDxfId="15498"/>
    <tableColumn id="1114" uniqueName="1114" name="Column1105" queryTableFieldId="15280" dataDxfId="15497"/>
    <tableColumn id="1115" uniqueName="1115" name="Column1106" queryTableFieldId="15279" dataDxfId="15496"/>
    <tableColumn id="1116" uniqueName="1116" name="Column1107" queryTableFieldId="15278" dataDxfId="15495"/>
    <tableColumn id="1117" uniqueName="1117" name="Column1108" queryTableFieldId="15277" dataDxfId="15494"/>
    <tableColumn id="1118" uniqueName="1118" name="Column1109" queryTableFieldId="15276" dataDxfId="15493"/>
    <tableColumn id="1119" uniqueName="1119" name="Column1110" queryTableFieldId="15275" dataDxfId="15492"/>
    <tableColumn id="1120" uniqueName="1120" name="Column1111" queryTableFieldId="15274" dataDxfId="15491"/>
    <tableColumn id="1121" uniqueName="1121" name="Column1112" queryTableFieldId="15273" dataDxfId="15490"/>
    <tableColumn id="1122" uniqueName="1122" name="Column1113" queryTableFieldId="15272" dataDxfId="15489"/>
    <tableColumn id="1123" uniqueName="1123" name="Column1114" queryTableFieldId="15271" dataDxfId="15488"/>
    <tableColumn id="1124" uniqueName="1124" name="Column1115" queryTableFieldId="15270" dataDxfId="15487"/>
    <tableColumn id="1125" uniqueName="1125" name="Column1116" queryTableFieldId="15269" dataDxfId="15486"/>
    <tableColumn id="1126" uniqueName="1126" name="Column1117" queryTableFieldId="15268" dataDxfId="15485"/>
    <tableColumn id="1127" uniqueName="1127" name="Column1118" queryTableFieldId="15267" dataDxfId="15484"/>
    <tableColumn id="1128" uniqueName="1128" name="Column1119" queryTableFieldId="15266" dataDxfId="15483"/>
    <tableColumn id="1129" uniqueName="1129" name="Column1120" queryTableFieldId="15265" dataDxfId="15482"/>
    <tableColumn id="1130" uniqueName="1130" name="Column1121" queryTableFieldId="15264" dataDxfId="15481"/>
    <tableColumn id="1131" uniqueName="1131" name="Column1122" queryTableFieldId="15263" dataDxfId="15480"/>
    <tableColumn id="1132" uniqueName="1132" name="Column1123" queryTableFieldId="15262" dataDxfId="15479"/>
    <tableColumn id="1133" uniqueName="1133" name="Column1124" queryTableFieldId="15261" dataDxfId="15478"/>
    <tableColumn id="1134" uniqueName="1134" name="Column1125" queryTableFieldId="15260" dataDxfId="15477"/>
    <tableColumn id="1135" uniqueName="1135" name="Column1126" queryTableFieldId="15259" dataDxfId="15476"/>
    <tableColumn id="1136" uniqueName="1136" name="Column1127" queryTableFieldId="15258" dataDxfId="15475"/>
    <tableColumn id="1137" uniqueName="1137" name="Column1128" queryTableFieldId="15257" dataDxfId="15474"/>
    <tableColumn id="1138" uniqueName="1138" name="Column1129" queryTableFieldId="15256" dataDxfId="15473"/>
    <tableColumn id="1139" uniqueName="1139" name="Column1130" queryTableFieldId="15255" dataDxfId="15472"/>
    <tableColumn id="1140" uniqueName="1140" name="Column1131" queryTableFieldId="15254" dataDxfId="15471"/>
    <tableColumn id="1141" uniqueName="1141" name="Column1132" queryTableFieldId="15253" dataDxfId="15470"/>
    <tableColumn id="1142" uniqueName="1142" name="Column1133" queryTableFieldId="15252" dataDxfId="15469"/>
    <tableColumn id="1143" uniqueName="1143" name="Column1134" queryTableFieldId="15251" dataDxfId="15468"/>
    <tableColumn id="1144" uniqueName="1144" name="Column1135" queryTableFieldId="15250" dataDxfId="15467"/>
    <tableColumn id="1145" uniqueName="1145" name="Column1136" queryTableFieldId="15249" dataDxfId="15466"/>
    <tableColumn id="1146" uniqueName="1146" name="Column1137" queryTableFieldId="15248" dataDxfId="15465"/>
    <tableColumn id="1147" uniqueName="1147" name="Column1138" queryTableFieldId="15247" dataDxfId="15464"/>
    <tableColumn id="1148" uniqueName="1148" name="Column1139" queryTableFieldId="15246" dataDxfId="15463"/>
    <tableColumn id="1149" uniqueName="1149" name="Column1140" queryTableFieldId="15245" dataDxfId="15462"/>
    <tableColumn id="1150" uniqueName="1150" name="Column1141" queryTableFieldId="15244" dataDxfId="15461"/>
    <tableColumn id="1151" uniqueName="1151" name="Column1142" queryTableFieldId="15243" dataDxfId="15460"/>
    <tableColumn id="1152" uniqueName="1152" name="Column1143" queryTableFieldId="15242" dataDxfId="15459"/>
    <tableColumn id="1153" uniqueName="1153" name="Column1144" queryTableFieldId="15241" dataDxfId="15458"/>
    <tableColumn id="1154" uniqueName="1154" name="Column1145" queryTableFieldId="15240" dataDxfId="15457"/>
    <tableColumn id="1155" uniqueName="1155" name="Column1146" queryTableFieldId="15239" dataDxfId="15456"/>
    <tableColumn id="1156" uniqueName="1156" name="Column1147" queryTableFieldId="15238" dataDxfId="15455"/>
    <tableColumn id="1157" uniqueName="1157" name="Column1148" queryTableFieldId="15237" dataDxfId="15454"/>
    <tableColumn id="1158" uniqueName="1158" name="Column1149" queryTableFieldId="15236" dataDxfId="15453"/>
    <tableColumn id="1159" uniqueName="1159" name="Column1150" queryTableFieldId="15235" dataDxfId="15452"/>
    <tableColumn id="1160" uniqueName="1160" name="Column1151" queryTableFieldId="15234" dataDxfId="15451"/>
    <tableColumn id="1161" uniqueName="1161" name="Column1152" queryTableFieldId="15233" dataDxfId="15450"/>
    <tableColumn id="1162" uniqueName="1162" name="Column1153" queryTableFieldId="15232" dataDxfId="15449"/>
    <tableColumn id="1163" uniqueName="1163" name="Column1154" queryTableFieldId="15231" dataDxfId="15448"/>
    <tableColumn id="1164" uniqueName="1164" name="Column1155" queryTableFieldId="15230" dataDxfId="15447"/>
    <tableColumn id="1165" uniqueName="1165" name="Column1156" queryTableFieldId="15229" dataDxfId="15446"/>
    <tableColumn id="1166" uniqueName="1166" name="Column1157" queryTableFieldId="15228" dataDxfId="15445"/>
    <tableColumn id="1167" uniqueName="1167" name="Column1158" queryTableFieldId="15227" dataDxfId="15444"/>
    <tableColumn id="1168" uniqueName="1168" name="Column1159" queryTableFieldId="15226" dataDxfId="15443"/>
    <tableColumn id="1169" uniqueName="1169" name="Column1160" queryTableFieldId="15225" dataDxfId="15442"/>
    <tableColumn id="1170" uniqueName="1170" name="Column1161" queryTableFieldId="15224" dataDxfId="15441"/>
    <tableColumn id="1171" uniqueName="1171" name="Column1162" queryTableFieldId="15223" dataDxfId="15440"/>
    <tableColumn id="1172" uniqueName="1172" name="Column1163" queryTableFieldId="15222" dataDxfId="15439"/>
    <tableColumn id="1173" uniqueName="1173" name="Column1164" queryTableFieldId="15221" dataDxfId="15438"/>
    <tableColumn id="1174" uniqueName="1174" name="Column1165" queryTableFieldId="15220" dataDxfId="15437"/>
    <tableColumn id="1175" uniqueName="1175" name="Column1166" queryTableFieldId="15219" dataDxfId="15436"/>
    <tableColumn id="1176" uniqueName="1176" name="Column1167" queryTableFieldId="15218" dataDxfId="15435"/>
    <tableColumn id="1177" uniqueName="1177" name="Column1168" queryTableFieldId="15217" dataDxfId="15434"/>
    <tableColumn id="1178" uniqueName="1178" name="Column1169" queryTableFieldId="15216" dataDxfId="15433"/>
    <tableColumn id="1179" uniqueName="1179" name="Column1170" queryTableFieldId="15215" dataDxfId="15432"/>
    <tableColumn id="1180" uniqueName="1180" name="Column1171" queryTableFieldId="15214" dataDxfId="15431"/>
    <tableColumn id="1181" uniqueName="1181" name="Column1172" queryTableFieldId="15213" dataDxfId="15430"/>
    <tableColumn id="1182" uniqueName="1182" name="Column1173" queryTableFieldId="15212" dataDxfId="15429"/>
    <tableColumn id="1183" uniqueName="1183" name="Column1174" queryTableFieldId="15211" dataDxfId="15428"/>
    <tableColumn id="1184" uniqueName="1184" name="Column1175" queryTableFieldId="15210" dataDxfId="15427"/>
    <tableColumn id="1185" uniqueName="1185" name="Column1176" queryTableFieldId="15209" dataDxfId="15426"/>
    <tableColumn id="1186" uniqueName="1186" name="Column1177" queryTableFieldId="15208" dataDxfId="15425"/>
    <tableColumn id="1187" uniqueName="1187" name="Column1178" queryTableFieldId="15207" dataDxfId="15424"/>
    <tableColumn id="1188" uniqueName="1188" name="Column1179" queryTableFieldId="15206" dataDxfId="15423"/>
    <tableColumn id="1189" uniqueName="1189" name="Column1180" queryTableFieldId="15205" dataDxfId="15422"/>
    <tableColumn id="1190" uniqueName="1190" name="Column1181" queryTableFieldId="15204" dataDxfId="15421"/>
    <tableColumn id="1191" uniqueName="1191" name="Column1182" queryTableFieldId="15203" dataDxfId="15420"/>
    <tableColumn id="1192" uniqueName="1192" name="Column1183" queryTableFieldId="15202" dataDxfId="15419"/>
    <tableColumn id="1193" uniqueName="1193" name="Column1184" queryTableFieldId="15201" dataDxfId="15418"/>
    <tableColumn id="1194" uniqueName="1194" name="Column1185" queryTableFieldId="15200" dataDxfId="15417"/>
    <tableColumn id="1195" uniqueName="1195" name="Column1186" queryTableFieldId="15199" dataDxfId="15416"/>
    <tableColumn id="1196" uniqueName="1196" name="Column1187" queryTableFieldId="15198" dataDxfId="15415"/>
    <tableColumn id="1197" uniqueName="1197" name="Column1188" queryTableFieldId="15197" dataDxfId="15414"/>
    <tableColumn id="1198" uniqueName="1198" name="Column1189" queryTableFieldId="15196" dataDxfId="15413"/>
    <tableColumn id="1199" uniqueName="1199" name="Column1190" queryTableFieldId="15195" dataDxfId="15412"/>
    <tableColumn id="1200" uniqueName="1200" name="Column1191" queryTableFieldId="15194" dataDxfId="15411"/>
    <tableColumn id="1201" uniqueName="1201" name="Column1192" queryTableFieldId="15193" dataDxfId="15410"/>
    <tableColumn id="1202" uniqueName="1202" name="Column1193" queryTableFieldId="15192" dataDxfId="15409"/>
    <tableColumn id="1203" uniqueName="1203" name="Column1194" queryTableFieldId="15191" dataDxfId="15408"/>
    <tableColumn id="1204" uniqueName="1204" name="Column1195" queryTableFieldId="15190" dataDxfId="15407"/>
    <tableColumn id="1205" uniqueName="1205" name="Column1196" queryTableFieldId="15189" dataDxfId="15406"/>
    <tableColumn id="1206" uniqueName="1206" name="Column1197" queryTableFieldId="15188" dataDxfId="15405"/>
    <tableColumn id="1207" uniqueName="1207" name="Column1198" queryTableFieldId="15187" dataDxfId="15404"/>
    <tableColumn id="1208" uniqueName="1208" name="Column1199" queryTableFieldId="15186" dataDxfId="15403"/>
    <tableColumn id="1209" uniqueName="1209" name="Column1200" queryTableFieldId="15185" dataDxfId="15402"/>
    <tableColumn id="1210" uniqueName="1210" name="Column1201" queryTableFieldId="15184" dataDxfId="15401"/>
    <tableColumn id="1211" uniqueName="1211" name="Column1202" queryTableFieldId="15183" dataDxfId="15400"/>
    <tableColumn id="1212" uniqueName="1212" name="Column1203" queryTableFieldId="15182" dataDxfId="15399"/>
    <tableColumn id="1213" uniqueName="1213" name="Column1204" queryTableFieldId="15181" dataDxfId="15398"/>
    <tableColumn id="1214" uniqueName="1214" name="Column1205" queryTableFieldId="15180" dataDxfId="15397"/>
    <tableColumn id="1215" uniqueName="1215" name="Column1206" queryTableFieldId="15179" dataDxfId="15396"/>
    <tableColumn id="1216" uniqueName="1216" name="Column1207" queryTableFieldId="15178" dataDxfId="15395"/>
    <tableColumn id="1217" uniqueName="1217" name="Column1208" queryTableFieldId="15177" dataDxfId="15394"/>
    <tableColumn id="1218" uniqueName="1218" name="Column1209" queryTableFieldId="15176" dataDxfId="15393"/>
    <tableColumn id="1219" uniqueName="1219" name="Column1210" queryTableFieldId="15175" dataDxfId="15392"/>
    <tableColumn id="1220" uniqueName="1220" name="Column1211" queryTableFieldId="15174" dataDxfId="15391"/>
    <tableColumn id="1221" uniqueName="1221" name="Column1212" queryTableFieldId="15173" dataDxfId="15390"/>
    <tableColumn id="1222" uniqueName="1222" name="Column1213" queryTableFieldId="15172" dataDxfId="15389"/>
    <tableColumn id="1223" uniqueName="1223" name="Column1214" queryTableFieldId="15171" dataDxfId="15388"/>
    <tableColumn id="1224" uniqueName="1224" name="Column1215" queryTableFieldId="15170" dataDxfId="15387"/>
    <tableColumn id="1225" uniqueName="1225" name="Column1216" queryTableFieldId="15169" dataDxfId="15386"/>
    <tableColumn id="1226" uniqueName="1226" name="Column1217" queryTableFieldId="15168" dataDxfId="15385"/>
    <tableColumn id="1227" uniqueName="1227" name="Column1218" queryTableFieldId="15167" dataDxfId="15384"/>
    <tableColumn id="1228" uniqueName="1228" name="Column1219" queryTableFieldId="15166" dataDxfId="15383"/>
    <tableColumn id="1229" uniqueName="1229" name="Column1220" queryTableFieldId="15165" dataDxfId="15382"/>
    <tableColumn id="1230" uniqueName="1230" name="Column1221" queryTableFieldId="15164" dataDxfId="15381"/>
    <tableColumn id="1231" uniqueName="1231" name="Column1222" queryTableFieldId="15163" dataDxfId="15380"/>
    <tableColumn id="1232" uniqueName="1232" name="Column1223" queryTableFieldId="15162" dataDxfId="15379"/>
    <tableColumn id="1233" uniqueName="1233" name="Column1224" queryTableFieldId="15161" dataDxfId="15378"/>
    <tableColumn id="1234" uniqueName="1234" name="Column1225" queryTableFieldId="15160" dataDxfId="15377"/>
    <tableColumn id="1235" uniqueName="1235" name="Column1226" queryTableFieldId="15159" dataDxfId="15376"/>
    <tableColumn id="1236" uniqueName="1236" name="Column1227" queryTableFieldId="15158" dataDxfId="15375"/>
    <tableColumn id="1237" uniqueName="1237" name="Column1228" queryTableFieldId="15157" dataDxfId="15374"/>
    <tableColumn id="1238" uniqueName="1238" name="Column1229" queryTableFieldId="15156" dataDxfId="15373"/>
    <tableColumn id="1239" uniqueName="1239" name="Column1230" queryTableFieldId="15155" dataDxfId="15372"/>
    <tableColumn id="1240" uniqueName="1240" name="Column1231" queryTableFieldId="15154" dataDxfId="15371"/>
    <tableColumn id="1241" uniqueName="1241" name="Column1232" queryTableFieldId="15153" dataDxfId="15370"/>
    <tableColumn id="1242" uniqueName="1242" name="Column1233" queryTableFieldId="15152" dataDxfId="15369"/>
    <tableColumn id="1243" uniqueName="1243" name="Column1234" queryTableFieldId="15151" dataDxfId="15368"/>
    <tableColumn id="1244" uniqueName="1244" name="Column1235" queryTableFieldId="15150" dataDxfId="15367"/>
    <tableColumn id="1245" uniqueName="1245" name="Column1236" queryTableFieldId="15149" dataDxfId="15366"/>
    <tableColumn id="1246" uniqueName="1246" name="Column1237" queryTableFieldId="15148" dataDxfId="15365"/>
    <tableColumn id="1247" uniqueName="1247" name="Column1238" queryTableFieldId="15147" dataDxfId="15364"/>
    <tableColumn id="1248" uniqueName="1248" name="Column1239" queryTableFieldId="15146" dataDxfId="15363"/>
    <tableColumn id="1249" uniqueName="1249" name="Column1240" queryTableFieldId="15145" dataDxfId="15362"/>
    <tableColumn id="1250" uniqueName="1250" name="Column1241" queryTableFieldId="15144" dataDxfId="15361"/>
    <tableColumn id="1251" uniqueName="1251" name="Column1242" queryTableFieldId="15143" dataDxfId="15360"/>
    <tableColumn id="1252" uniqueName="1252" name="Column1243" queryTableFieldId="15142" dataDxfId="15359"/>
    <tableColumn id="1253" uniqueName="1253" name="Column1244" queryTableFieldId="15141" dataDxfId="15358"/>
    <tableColumn id="1254" uniqueName="1254" name="Column1245" queryTableFieldId="15140" dataDxfId="15357"/>
    <tableColumn id="1255" uniqueName="1255" name="Column1246" queryTableFieldId="15139" dataDxfId="15356"/>
    <tableColumn id="1256" uniqueName="1256" name="Column1247" queryTableFieldId="15138" dataDxfId="15355"/>
    <tableColumn id="1257" uniqueName="1257" name="Column1248" queryTableFieldId="15137" dataDxfId="15354"/>
    <tableColumn id="1258" uniqueName="1258" name="Column1249" queryTableFieldId="15136" dataDxfId="15353"/>
    <tableColumn id="1259" uniqueName="1259" name="Column1250" queryTableFieldId="15135" dataDxfId="15352"/>
    <tableColumn id="1260" uniqueName="1260" name="Column1251" queryTableFieldId="15134" dataDxfId="15351"/>
    <tableColumn id="1261" uniqueName="1261" name="Column1252" queryTableFieldId="15133" dataDxfId="15350"/>
    <tableColumn id="1262" uniqueName="1262" name="Column1253" queryTableFieldId="15132" dataDxfId="15349"/>
    <tableColumn id="1263" uniqueName="1263" name="Column1254" queryTableFieldId="15131" dataDxfId="15348"/>
    <tableColumn id="1264" uniqueName="1264" name="Column1255" queryTableFieldId="15130" dataDxfId="15347"/>
    <tableColumn id="1265" uniqueName="1265" name="Column1256" queryTableFieldId="15129" dataDxfId="15346"/>
    <tableColumn id="1266" uniqueName="1266" name="Column1257" queryTableFieldId="15128" dataDxfId="15345"/>
    <tableColumn id="1267" uniqueName="1267" name="Column1258" queryTableFieldId="15127" dataDxfId="15344"/>
    <tableColumn id="1268" uniqueName="1268" name="Column1259" queryTableFieldId="15126" dataDxfId="15343"/>
    <tableColumn id="1269" uniqueName="1269" name="Column1260" queryTableFieldId="15125" dataDxfId="15342"/>
    <tableColumn id="1270" uniqueName="1270" name="Column1261" queryTableFieldId="15124" dataDxfId="15341"/>
    <tableColumn id="1271" uniqueName="1271" name="Column1262" queryTableFieldId="15123" dataDxfId="15340"/>
    <tableColumn id="1272" uniqueName="1272" name="Column1263" queryTableFieldId="15122" dataDxfId="15339"/>
    <tableColumn id="1273" uniqueName="1273" name="Column1264" queryTableFieldId="15121" dataDxfId="15338"/>
    <tableColumn id="1274" uniqueName="1274" name="Column1265" queryTableFieldId="15120" dataDxfId="15337"/>
    <tableColumn id="1275" uniqueName="1275" name="Column1266" queryTableFieldId="15119" dataDxfId="15336"/>
    <tableColumn id="1276" uniqueName="1276" name="Column1267" queryTableFieldId="15118" dataDxfId="15335"/>
    <tableColumn id="1277" uniqueName="1277" name="Column1268" queryTableFieldId="15117" dataDxfId="15334"/>
    <tableColumn id="1278" uniqueName="1278" name="Column1269" queryTableFieldId="15116" dataDxfId="15333"/>
    <tableColumn id="1279" uniqueName="1279" name="Column1270" queryTableFieldId="15115" dataDxfId="15332"/>
    <tableColumn id="1280" uniqueName="1280" name="Column1271" queryTableFieldId="15114" dataDxfId="15331"/>
    <tableColumn id="1281" uniqueName="1281" name="Column1272" queryTableFieldId="15113" dataDxfId="15330"/>
    <tableColumn id="1282" uniqueName="1282" name="Column1273" queryTableFieldId="15112" dataDxfId="15329"/>
    <tableColumn id="1283" uniqueName="1283" name="Column1274" queryTableFieldId="15111" dataDxfId="15328"/>
    <tableColumn id="1284" uniqueName="1284" name="Column1275" queryTableFieldId="15110" dataDxfId="15327"/>
    <tableColumn id="1285" uniqueName="1285" name="Column1276" queryTableFieldId="15109" dataDxfId="15326"/>
    <tableColumn id="1286" uniqueName="1286" name="Column1277" queryTableFieldId="15108" dataDxfId="15325"/>
    <tableColumn id="1287" uniqueName="1287" name="Column1278" queryTableFieldId="15107" dataDxfId="15324"/>
    <tableColumn id="1288" uniqueName="1288" name="Column1279" queryTableFieldId="15106" dataDxfId="15323"/>
    <tableColumn id="1289" uniqueName="1289" name="Column1280" queryTableFieldId="15105" dataDxfId="15322"/>
    <tableColumn id="1290" uniqueName="1290" name="Column1281" queryTableFieldId="15104" dataDxfId="15321"/>
    <tableColumn id="1291" uniqueName="1291" name="Column1282" queryTableFieldId="15103" dataDxfId="15320"/>
    <tableColumn id="1292" uniqueName="1292" name="Column1283" queryTableFieldId="15102" dataDxfId="15319"/>
    <tableColumn id="1293" uniqueName="1293" name="Column1284" queryTableFieldId="15101" dataDxfId="15318"/>
    <tableColumn id="1294" uniqueName="1294" name="Column1285" queryTableFieldId="15100" dataDxfId="15317"/>
    <tableColumn id="1295" uniqueName="1295" name="Column1286" queryTableFieldId="15099" dataDxfId="15316"/>
    <tableColumn id="1296" uniqueName="1296" name="Column1287" queryTableFieldId="15098" dataDxfId="15315"/>
    <tableColumn id="1297" uniqueName="1297" name="Column1288" queryTableFieldId="15097" dataDxfId="15314"/>
    <tableColumn id="1298" uniqueName="1298" name="Column1289" queryTableFieldId="15096" dataDxfId="15313"/>
    <tableColumn id="1299" uniqueName="1299" name="Column1290" queryTableFieldId="15095" dataDxfId="15312"/>
    <tableColumn id="1300" uniqueName="1300" name="Column1291" queryTableFieldId="15094" dataDxfId="15311"/>
    <tableColumn id="1301" uniqueName="1301" name="Column1292" queryTableFieldId="15093" dataDxfId="15310"/>
    <tableColumn id="1302" uniqueName="1302" name="Column1293" queryTableFieldId="15092" dataDxfId="15309"/>
    <tableColumn id="1303" uniqueName="1303" name="Column1294" queryTableFieldId="15091" dataDxfId="15308"/>
    <tableColumn id="1304" uniqueName="1304" name="Column1295" queryTableFieldId="15090" dataDxfId="15307"/>
    <tableColumn id="1305" uniqueName="1305" name="Column1296" queryTableFieldId="15089" dataDxfId="15306"/>
    <tableColumn id="1306" uniqueName="1306" name="Column1297" queryTableFieldId="15088" dataDxfId="15305"/>
    <tableColumn id="1307" uniqueName="1307" name="Column1298" queryTableFieldId="15087" dataDxfId="15304"/>
    <tableColumn id="1308" uniqueName="1308" name="Column1299" queryTableFieldId="15086" dataDxfId="15303"/>
    <tableColumn id="1309" uniqueName="1309" name="Column1300" queryTableFieldId="15085" dataDxfId="15302"/>
    <tableColumn id="1310" uniqueName="1310" name="Column1301" queryTableFieldId="15084" dataDxfId="15301"/>
    <tableColumn id="1311" uniqueName="1311" name="Column1302" queryTableFieldId="15083" dataDxfId="15300"/>
    <tableColumn id="1312" uniqueName="1312" name="Column1303" queryTableFieldId="15082" dataDxfId="15299"/>
    <tableColumn id="1313" uniqueName="1313" name="Column1304" queryTableFieldId="15081" dataDxfId="15298"/>
    <tableColumn id="1314" uniqueName="1314" name="Column1305" queryTableFieldId="15080" dataDxfId="15297"/>
    <tableColumn id="1315" uniqueName="1315" name="Column1306" queryTableFieldId="15079" dataDxfId="15296"/>
    <tableColumn id="1316" uniqueName="1316" name="Column1307" queryTableFieldId="15078" dataDxfId="15295"/>
    <tableColumn id="1317" uniqueName="1317" name="Column1308" queryTableFieldId="15077" dataDxfId="15294"/>
    <tableColumn id="1318" uniqueName="1318" name="Column1309" queryTableFieldId="15076" dataDxfId="15293"/>
    <tableColumn id="1319" uniqueName="1319" name="Column1310" queryTableFieldId="15075" dataDxfId="15292"/>
    <tableColumn id="1320" uniqueName="1320" name="Column1311" queryTableFieldId="15074" dataDxfId="15291"/>
    <tableColumn id="1321" uniqueName="1321" name="Column1312" queryTableFieldId="15073" dataDxfId="15290"/>
    <tableColumn id="1322" uniqueName="1322" name="Column1313" queryTableFieldId="15072" dataDxfId="15289"/>
    <tableColumn id="1323" uniqueName="1323" name="Column1314" queryTableFieldId="15071" dataDxfId="15288"/>
    <tableColumn id="1324" uniqueName="1324" name="Column1315" queryTableFieldId="15070" dataDxfId="15287"/>
    <tableColumn id="1325" uniqueName="1325" name="Column1316" queryTableFieldId="15069" dataDxfId="15286"/>
    <tableColumn id="1326" uniqueName="1326" name="Column1317" queryTableFieldId="15068" dataDxfId="15285"/>
    <tableColumn id="1327" uniqueName="1327" name="Column1318" queryTableFieldId="15067" dataDxfId="15284"/>
    <tableColumn id="1328" uniqueName="1328" name="Column1319" queryTableFieldId="15066" dataDxfId="15283"/>
    <tableColumn id="1329" uniqueName="1329" name="Column1320" queryTableFieldId="15065" dataDxfId="15282"/>
    <tableColumn id="1330" uniqueName="1330" name="Column1321" queryTableFieldId="15064" dataDxfId="15281"/>
    <tableColumn id="1331" uniqueName="1331" name="Column1322" queryTableFieldId="15063" dataDxfId="15280"/>
    <tableColumn id="1332" uniqueName="1332" name="Column1323" queryTableFieldId="15062" dataDxfId="15279"/>
    <tableColumn id="1333" uniqueName="1333" name="Column1324" queryTableFieldId="15061" dataDxfId="15278"/>
    <tableColumn id="1334" uniqueName="1334" name="Column1325" queryTableFieldId="15060" dataDxfId="15277"/>
    <tableColumn id="1335" uniqueName="1335" name="Column1326" queryTableFieldId="15059" dataDxfId="15276"/>
    <tableColumn id="1336" uniqueName="1336" name="Column1327" queryTableFieldId="15058" dataDxfId="15275"/>
    <tableColumn id="1337" uniqueName="1337" name="Column1328" queryTableFieldId="15057" dataDxfId="15274"/>
    <tableColumn id="1338" uniqueName="1338" name="Column1329" queryTableFieldId="15056" dataDxfId="15273"/>
    <tableColumn id="1339" uniqueName="1339" name="Column1330" queryTableFieldId="15055" dataDxfId="15272"/>
    <tableColumn id="1340" uniqueName="1340" name="Column1331" queryTableFieldId="15054" dataDxfId="15271"/>
    <tableColumn id="1341" uniqueName="1341" name="Column1332" queryTableFieldId="15053" dataDxfId="15270"/>
    <tableColumn id="1342" uniqueName="1342" name="Column1333" queryTableFieldId="15052" dataDxfId="15269"/>
    <tableColumn id="1343" uniqueName="1343" name="Column1334" queryTableFieldId="15051" dataDxfId="15268"/>
    <tableColumn id="1344" uniqueName="1344" name="Column1335" queryTableFieldId="15050" dataDxfId="15267"/>
    <tableColumn id="1345" uniqueName="1345" name="Column1336" queryTableFieldId="15049" dataDxfId="15266"/>
    <tableColumn id="1346" uniqueName="1346" name="Column1337" queryTableFieldId="15048" dataDxfId="15265"/>
    <tableColumn id="1347" uniqueName="1347" name="Column1338" queryTableFieldId="15047" dataDxfId="15264"/>
    <tableColumn id="1348" uniqueName="1348" name="Column1339" queryTableFieldId="15046" dataDxfId="15263"/>
    <tableColumn id="1349" uniqueName="1349" name="Column1340" queryTableFieldId="15045" dataDxfId="15262"/>
    <tableColumn id="1350" uniqueName="1350" name="Column1341" queryTableFieldId="15044" dataDxfId="15261"/>
    <tableColumn id="1351" uniqueName="1351" name="Column1342" queryTableFieldId="15043" dataDxfId="15260"/>
    <tableColumn id="1352" uniqueName="1352" name="Column1343" queryTableFieldId="15042" dataDxfId="15259"/>
    <tableColumn id="1353" uniqueName="1353" name="Column1344" queryTableFieldId="15041" dataDxfId="15258"/>
    <tableColumn id="1354" uniqueName="1354" name="Column1345" queryTableFieldId="15040" dataDxfId="15257"/>
    <tableColumn id="1355" uniqueName="1355" name="Column1346" queryTableFieldId="15039" dataDxfId="15256"/>
    <tableColumn id="1356" uniqueName="1356" name="Column1347" queryTableFieldId="15038" dataDxfId="15255"/>
    <tableColumn id="1357" uniqueName="1357" name="Column1348" queryTableFieldId="15037" dataDxfId="15254"/>
    <tableColumn id="1358" uniqueName="1358" name="Column1349" queryTableFieldId="15036" dataDxfId="15253"/>
    <tableColumn id="1359" uniqueName="1359" name="Column1350" queryTableFieldId="15035" dataDxfId="15252"/>
    <tableColumn id="1360" uniqueName="1360" name="Column1351" queryTableFieldId="15034" dataDxfId="15251"/>
    <tableColumn id="1361" uniqueName="1361" name="Column1352" queryTableFieldId="15033" dataDxfId="15250"/>
    <tableColumn id="1362" uniqueName="1362" name="Column1353" queryTableFieldId="15032" dataDxfId="15249"/>
    <tableColumn id="1363" uniqueName="1363" name="Column1354" queryTableFieldId="15031" dataDxfId="15248"/>
    <tableColumn id="1364" uniqueName="1364" name="Column1355" queryTableFieldId="15030" dataDxfId="15247"/>
    <tableColumn id="1365" uniqueName="1365" name="Column1356" queryTableFieldId="15029" dataDxfId="15246"/>
    <tableColumn id="1366" uniqueName="1366" name="Column1357" queryTableFieldId="15028" dataDxfId="15245"/>
    <tableColumn id="1367" uniqueName="1367" name="Column1358" queryTableFieldId="15027" dataDxfId="15244"/>
    <tableColumn id="1368" uniqueName="1368" name="Column1359" queryTableFieldId="15026" dataDxfId="15243"/>
    <tableColumn id="1369" uniqueName="1369" name="Column1360" queryTableFieldId="15025" dataDxfId="15242"/>
    <tableColumn id="1370" uniqueName="1370" name="Column1361" queryTableFieldId="15024" dataDxfId="15241"/>
    <tableColumn id="1371" uniqueName="1371" name="Column1362" queryTableFieldId="15023" dataDxfId="15240"/>
    <tableColumn id="1372" uniqueName="1372" name="Column1363" queryTableFieldId="15022" dataDxfId="15239"/>
    <tableColumn id="1373" uniqueName="1373" name="Column1364" queryTableFieldId="15021" dataDxfId="15238"/>
    <tableColumn id="1374" uniqueName="1374" name="Column1365" queryTableFieldId="15020" dataDxfId="15237"/>
    <tableColumn id="1375" uniqueName="1375" name="Column1366" queryTableFieldId="15019" dataDxfId="15236"/>
    <tableColumn id="1376" uniqueName="1376" name="Column1367" queryTableFieldId="15018" dataDxfId="15235"/>
    <tableColumn id="1377" uniqueName="1377" name="Column1368" queryTableFieldId="15017" dataDxfId="15234"/>
    <tableColumn id="1378" uniqueName="1378" name="Column1369" queryTableFieldId="15016" dataDxfId="15233"/>
    <tableColumn id="1379" uniqueName="1379" name="Column1370" queryTableFieldId="15015" dataDxfId="15232"/>
    <tableColumn id="1380" uniqueName="1380" name="Column1371" queryTableFieldId="15014" dataDxfId="15231"/>
    <tableColumn id="1381" uniqueName="1381" name="Column1372" queryTableFieldId="15013" dataDxfId="15230"/>
    <tableColumn id="1382" uniqueName="1382" name="Column1373" queryTableFieldId="15012" dataDxfId="15229"/>
    <tableColumn id="1383" uniqueName="1383" name="Column1374" queryTableFieldId="15011" dataDxfId="15228"/>
    <tableColumn id="1384" uniqueName="1384" name="Column1375" queryTableFieldId="15010" dataDxfId="15227"/>
    <tableColumn id="1385" uniqueName="1385" name="Column1376" queryTableFieldId="15009" dataDxfId="15226"/>
    <tableColumn id="1386" uniqueName="1386" name="Column1377" queryTableFieldId="15008" dataDxfId="15225"/>
    <tableColumn id="1387" uniqueName="1387" name="Column1378" queryTableFieldId="15007" dataDxfId="15224"/>
    <tableColumn id="1388" uniqueName="1388" name="Column1379" queryTableFieldId="15006" dataDxfId="15223"/>
    <tableColumn id="1389" uniqueName="1389" name="Column1380" queryTableFieldId="15005" dataDxfId="15222"/>
    <tableColumn id="1390" uniqueName="1390" name="Column1381" queryTableFieldId="15004" dataDxfId="15221"/>
    <tableColumn id="1391" uniqueName="1391" name="Column1382" queryTableFieldId="15003" dataDxfId="15220"/>
    <tableColumn id="1392" uniqueName="1392" name="Column1383" queryTableFieldId="15002" dataDxfId="15219"/>
    <tableColumn id="1393" uniqueName="1393" name="Column1384" queryTableFieldId="15001" dataDxfId="15218"/>
    <tableColumn id="1394" uniqueName="1394" name="Column1385" queryTableFieldId="15000" dataDxfId="15217"/>
    <tableColumn id="1395" uniqueName="1395" name="Column1386" queryTableFieldId="14999" dataDxfId="15216"/>
    <tableColumn id="1396" uniqueName="1396" name="Column1387" queryTableFieldId="14998" dataDxfId="15215"/>
    <tableColumn id="1397" uniqueName="1397" name="Column1388" queryTableFieldId="14997" dataDxfId="15214"/>
    <tableColumn id="1398" uniqueName="1398" name="Column1389" queryTableFieldId="14996" dataDxfId="15213"/>
    <tableColumn id="1399" uniqueName="1399" name="Column1390" queryTableFieldId="14995" dataDxfId="15212"/>
    <tableColumn id="1400" uniqueName="1400" name="Column1391" queryTableFieldId="14994" dataDxfId="15211"/>
    <tableColumn id="1401" uniqueName="1401" name="Column1392" queryTableFieldId="14993" dataDxfId="15210"/>
    <tableColumn id="1402" uniqueName="1402" name="Column1393" queryTableFieldId="14992" dataDxfId="15209"/>
    <tableColumn id="1403" uniqueName="1403" name="Column1394" queryTableFieldId="14991" dataDxfId="15208"/>
    <tableColumn id="1404" uniqueName="1404" name="Column1395" queryTableFieldId="14990" dataDxfId="15207"/>
    <tableColumn id="1405" uniqueName="1405" name="Column1396" queryTableFieldId="14989" dataDxfId="15206"/>
    <tableColumn id="1406" uniqueName="1406" name="Column1397" queryTableFieldId="14988" dataDxfId="15205"/>
    <tableColumn id="1407" uniqueName="1407" name="Column1398" queryTableFieldId="14987" dataDxfId="15204"/>
    <tableColumn id="1408" uniqueName="1408" name="Column1399" queryTableFieldId="14986" dataDxfId="15203"/>
    <tableColumn id="1409" uniqueName="1409" name="Column1400" queryTableFieldId="14985" dataDxfId="15202"/>
    <tableColumn id="1410" uniqueName="1410" name="Column1401" queryTableFieldId="14984" dataDxfId="15201"/>
    <tableColumn id="1411" uniqueName="1411" name="Column1402" queryTableFieldId="14983" dataDxfId="15200"/>
    <tableColumn id="1412" uniqueName="1412" name="Column1403" queryTableFieldId="14982" dataDxfId="15199"/>
    <tableColumn id="1413" uniqueName="1413" name="Column1404" queryTableFieldId="14981" dataDxfId="15198"/>
    <tableColumn id="1414" uniqueName="1414" name="Column1405" queryTableFieldId="14980" dataDxfId="15197"/>
    <tableColumn id="1415" uniqueName="1415" name="Column1406" queryTableFieldId="14979" dataDxfId="15196"/>
    <tableColumn id="1416" uniqueName="1416" name="Column1407" queryTableFieldId="14978" dataDxfId="15195"/>
    <tableColumn id="1417" uniqueName="1417" name="Column1408" queryTableFieldId="14977" dataDxfId="15194"/>
    <tableColumn id="1418" uniqueName="1418" name="Column1409" queryTableFieldId="14976" dataDxfId="15193"/>
    <tableColumn id="1419" uniqueName="1419" name="Column1410" queryTableFieldId="14975" dataDxfId="15192"/>
    <tableColumn id="1420" uniqueName="1420" name="Column1411" queryTableFieldId="14974" dataDxfId="15191"/>
    <tableColumn id="1421" uniqueName="1421" name="Column1412" queryTableFieldId="14973" dataDxfId="15190"/>
    <tableColumn id="1422" uniqueName="1422" name="Column1413" queryTableFieldId="14972" dataDxfId="15189"/>
    <tableColumn id="1423" uniqueName="1423" name="Column1414" queryTableFieldId="14971" dataDxfId="15188"/>
    <tableColumn id="1424" uniqueName="1424" name="Column1415" queryTableFieldId="14970" dataDxfId="15187"/>
    <tableColumn id="1425" uniqueName="1425" name="Column1416" queryTableFieldId="14969" dataDxfId="15186"/>
    <tableColumn id="1426" uniqueName="1426" name="Column1417" queryTableFieldId="14968" dataDxfId="15185"/>
    <tableColumn id="1427" uniqueName="1427" name="Column1418" queryTableFieldId="14967" dataDxfId="15184"/>
    <tableColumn id="1428" uniqueName="1428" name="Column1419" queryTableFieldId="14966" dataDxfId="15183"/>
    <tableColumn id="1429" uniqueName="1429" name="Column1420" queryTableFieldId="14965" dataDxfId="15182"/>
    <tableColumn id="1430" uniqueName="1430" name="Column1421" queryTableFieldId="14964" dataDxfId="15181"/>
    <tableColumn id="1431" uniqueName="1431" name="Column1422" queryTableFieldId="14963" dataDxfId="15180"/>
    <tableColumn id="1432" uniqueName="1432" name="Column1423" queryTableFieldId="14962" dataDxfId="15179"/>
    <tableColumn id="1433" uniqueName="1433" name="Column1424" queryTableFieldId="14961" dataDxfId="15178"/>
    <tableColumn id="1434" uniqueName="1434" name="Column1425" queryTableFieldId="14960" dataDxfId="15177"/>
    <tableColumn id="1435" uniqueName="1435" name="Column1426" queryTableFieldId="14959" dataDxfId="15176"/>
    <tableColumn id="1436" uniqueName="1436" name="Column1427" queryTableFieldId="14958" dataDxfId="15175"/>
    <tableColumn id="1437" uniqueName="1437" name="Column1428" queryTableFieldId="14957" dataDxfId="15174"/>
    <tableColumn id="1438" uniqueName="1438" name="Column1429" queryTableFieldId="14956" dataDxfId="15173"/>
    <tableColumn id="1439" uniqueName="1439" name="Column1430" queryTableFieldId="14955" dataDxfId="15172"/>
    <tableColumn id="1440" uniqueName="1440" name="Column1431" queryTableFieldId="14954" dataDxfId="15171"/>
    <tableColumn id="1441" uniqueName="1441" name="Column1432" queryTableFieldId="14953" dataDxfId="15170"/>
    <tableColumn id="1442" uniqueName="1442" name="Column1433" queryTableFieldId="14952" dataDxfId="15169"/>
    <tableColumn id="1443" uniqueName="1443" name="Column1434" queryTableFieldId="14951" dataDxfId="15168"/>
    <tableColumn id="1444" uniqueName="1444" name="Column1435" queryTableFieldId="14950" dataDxfId="15167"/>
    <tableColumn id="1445" uniqueName="1445" name="Column1436" queryTableFieldId="14949" dataDxfId="15166"/>
    <tableColumn id="1446" uniqueName="1446" name="Column1437" queryTableFieldId="14948" dataDxfId="15165"/>
    <tableColumn id="1447" uniqueName="1447" name="Column1438" queryTableFieldId="14947" dataDxfId="15164"/>
    <tableColumn id="1448" uniqueName="1448" name="Column1439" queryTableFieldId="14946" dataDxfId="15163"/>
    <tableColumn id="1449" uniqueName="1449" name="Column1440" queryTableFieldId="14945" dataDxfId="15162"/>
    <tableColumn id="1450" uniqueName="1450" name="Column1441" queryTableFieldId="14944" dataDxfId="15161"/>
    <tableColumn id="1451" uniqueName="1451" name="Column1442" queryTableFieldId="14943" dataDxfId="15160"/>
    <tableColumn id="1452" uniqueName="1452" name="Column1443" queryTableFieldId="14942" dataDxfId="15159"/>
    <tableColumn id="1453" uniqueName="1453" name="Column1444" queryTableFieldId="14941" dataDxfId="15158"/>
    <tableColumn id="1454" uniqueName="1454" name="Column1445" queryTableFieldId="14940" dataDxfId="15157"/>
    <tableColumn id="1455" uniqueName="1455" name="Column1446" queryTableFieldId="14939" dataDxfId="15156"/>
    <tableColumn id="1456" uniqueName="1456" name="Column1447" queryTableFieldId="14938" dataDxfId="15155"/>
    <tableColumn id="1457" uniqueName="1457" name="Column1448" queryTableFieldId="14937" dataDxfId="15154"/>
    <tableColumn id="1458" uniqueName="1458" name="Column1449" queryTableFieldId="14936" dataDxfId="15153"/>
    <tableColumn id="1459" uniqueName="1459" name="Column1450" queryTableFieldId="14935" dataDxfId="15152"/>
    <tableColumn id="1460" uniqueName="1460" name="Column1451" queryTableFieldId="14934" dataDxfId="15151"/>
    <tableColumn id="1461" uniqueName="1461" name="Column1452" queryTableFieldId="14933" dataDxfId="15150"/>
    <tableColumn id="1462" uniqueName="1462" name="Column1453" queryTableFieldId="14932" dataDxfId="15149"/>
    <tableColumn id="1463" uniqueName="1463" name="Column1454" queryTableFieldId="14931" dataDxfId="15148"/>
    <tableColumn id="1464" uniqueName="1464" name="Column1455" queryTableFieldId="14930" dataDxfId="15147"/>
    <tableColumn id="1465" uniqueName="1465" name="Column1456" queryTableFieldId="14929" dataDxfId="15146"/>
    <tableColumn id="1466" uniqueName="1466" name="Column1457" queryTableFieldId="14928" dataDxfId="15145"/>
    <tableColumn id="1467" uniqueName="1467" name="Column1458" queryTableFieldId="14927" dataDxfId="15144"/>
    <tableColumn id="1468" uniqueName="1468" name="Column1459" queryTableFieldId="14926" dataDxfId="15143"/>
    <tableColumn id="1469" uniqueName="1469" name="Column1460" queryTableFieldId="14925" dataDxfId="15142"/>
    <tableColumn id="1470" uniqueName="1470" name="Column1461" queryTableFieldId="14924" dataDxfId="15141"/>
    <tableColumn id="1471" uniqueName="1471" name="Column1462" queryTableFieldId="14923" dataDxfId="15140"/>
    <tableColumn id="1472" uniqueName="1472" name="Column1463" queryTableFieldId="14922" dataDxfId="15139"/>
    <tableColumn id="1473" uniqueName="1473" name="Column1464" queryTableFieldId="14921" dataDxfId="15138"/>
    <tableColumn id="1474" uniqueName="1474" name="Column1465" queryTableFieldId="14920" dataDxfId="15137"/>
    <tableColumn id="1475" uniqueName="1475" name="Column1466" queryTableFieldId="14919" dataDxfId="15136"/>
    <tableColumn id="1476" uniqueName="1476" name="Column1467" queryTableFieldId="14918" dataDxfId="15135"/>
    <tableColumn id="1477" uniqueName="1477" name="Column1468" queryTableFieldId="14917" dataDxfId="15134"/>
    <tableColumn id="1478" uniqueName="1478" name="Column1469" queryTableFieldId="14916" dataDxfId="15133"/>
    <tableColumn id="1479" uniqueName="1479" name="Column1470" queryTableFieldId="14915" dataDxfId="15132"/>
    <tableColumn id="1480" uniqueName="1480" name="Column1471" queryTableFieldId="14914" dataDxfId="15131"/>
    <tableColumn id="1481" uniqueName="1481" name="Column1472" queryTableFieldId="14913" dataDxfId="15130"/>
    <tableColumn id="1482" uniqueName="1482" name="Column1473" queryTableFieldId="14912" dataDxfId="15129"/>
    <tableColumn id="1483" uniqueName="1483" name="Column1474" queryTableFieldId="14911" dataDxfId="15128"/>
    <tableColumn id="1484" uniqueName="1484" name="Column1475" queryTableFieldId="14910" dataDxfId="15127"/>
    <tableColumn id="1485" uniqueName="1485" name="Column1476" queryTableFieldId="14909" dataDxfId="15126"/>
    <tableColumn id="1486" uniqueName="1486" name="Column1477" queryTableFieldId="14908" dataDxfId="15125"/>
    <tableColumn id="1487" uniqueName="1487" name="Column1478" queryTableFieldId="14907" dataDxfId="15124"/>
    <tableColumn id="1488" uniqueName="1488" name="Column1479" queryTableFieldId="14906" dataDxfId="15123"/>
    <tableColumn id="1489" uniqueName="1489" name="Column1480" queryTableFieldId="14905" dataDxfId="15122"/>
    <tableColumn id="1490" uniqueName="1490" name="Column1481" queryTableFieldId="14904" dataDxfId="15121"/>
    <tableColumn id="1491" uniqueName="1491" name="Column1482" queryTableFieldId="14903" dataDxfId="15120"/>
    <tableColumn id="1492" uniqueName="1492" name="Column1483" queryTableFieldId="14902" dataDxfId="15119"/>
    <tableColumn id="1493" uniqueName="1493" name="Column1484" queryTableFieldId="14901" dataDxfId="15118"/>
    <tableColumn id="1494" uniqueName="1494" name="Column1485" queryTableFieldId="14900" dataDxfId="15117"/>
    <tableColumn id="1495" uniqueName="1495" name="Column1486" queryTableFieldId="14899" dataDxfId="15116"/>
    <tableColumn id="1496" uniqueName="1496" name="Column1487" queryTableFieldId="14898" dataDxfId="15115"/>
    <tableColumn id="1497" uniqueName="1497" name="Column1488" queryTableFieldId="14897" dataDxfId="15114"/>
    <tableColumn id="1498" uniqueName="1498" name="Column1489" queryTableFieldId="14896" dataDxfId="15113"/>
    <tableColumn id="1499" uniqueName="1499" name="Column1490" queryTableFieldId="14895" dataDxfId="15112"/>
    <tableColumn id="1500" uniqueName="1500" name="Column1491" queryTableFieldId="14894" dataDxfId="15111"/>
    <tableColumn id="1501" uniqueName="1501" name="Column1492" queryTableFieldId="14893" dataDxfId="15110"/>
    <tableColumn id="1502" uniqueName="1502" name="Column1493" queryTableFieldId="14892" dataDxfId="15109"/>
    <tableColumn id="1503" uniqueName="1503" name="Column1494" queryTableFieldId="14891" dataDxfId="15108"/>
    <tableColumn id="1504" uniqueName="1504" name="Column1495" queryTableFieldId="14890" dataDxfId="15107"/>
    <tableColumn id="1505" uniqueName="1505" name="Column1496" queryTableFieldId="14889" dataDxfId="15106"/>
    <tableColumn id="1506" uniqueName="1506" name="Column1497" queryTableFieldId="14888" dataDxfId="15105"/>
    <tableColumn id="1507" uniqueName="1507" name="Column1498" queryTableFieldId="14887" dataDxfId="15104"/>
    <tableColumn id="1508" uniqueName="1508" name="Column1499" queryTableFieldId="14886" dataDxfId="15103"/>
    <tableColumn id="1509" uniqueName="1509" name="Column1500" queryTableFieldId="14885" dataDxfId="15102"/>
    <tableColumn id="1510" uniqueName="1510" name="Column1501" queryTableFieldId="14884" dataDxfId="15101"/>
    <tableColumn id="1511" uniqueName="1511" name="Column1502" queryTableFieldId="14883" dataDxfId="15100"/>
    <tableColumn id="1512" uniqueName="1512" name="Column1503" queryTableFieldId="14882" dataDxfId="15099"/>
    <tableColumn id="1513" uniqueName="1513" name="Column1504" queryTableFieldId="14881" dataDxfId="15098"/>
    <tableColumn id="1514" uniqueName="1514" name="Column1505" queryTableFieldId="14880" dataDxfId="15097"/>
    <tableColumn id="1515" uniqueName="1515" name="Column1506" queryTableFieldId="14879" dataDxfId="15096"/>
    <tableColumn id="1516" uniqueName="1516" name="Column1507" queryTableFieldId="14878" dataDxfId="15095"/>
    <tableColumn id="1517" uniqueName="1517" name="Column1508" queryTableFieldId="14877" dataDxfId="15094"/>
    <tableColumn id="1518" uniqueName="1518" name="Column1509" queryTableFieldId="14876" dataDxfId="15093"/>
    <tableColumn id="1519" uniqueName="1519" name="Column1510" queryTableFieldId="14875" dataDxfId="15092"/>
    <tableColumn id="1520" uniqueName="1520" name="Column1511" queryTableFieldId="14874" dataDxfId="15091"/>
    <tableColumn id="1521" uniqueName="1521" name="Column1512" queryTableFieldId="14873" dataDxfId="15090"/>
    <tableColumn id="1522" uniqueName="1522" name="Column1513" queryTableFieldId="14872" dataDxfId="15089"/>
    <tableColumn id="1523" uniqueName="1523" name="Column1514" queryTableFieldId="14871" dataDxfId="15088"/>
    <tableColumn id="1524" uniqueName="1524" name="Column1515" queryTableFieldId="14870" dataDxfId="15087"/>
    <tableColumn id="1525" uniqueName="1525" name="Column1516" queryTableFieldId="14869" dataDxfId="15086"/>
    <tableColumn id="1526" uniqueName="1526" name="Column1517" queryTableFieldId="14868" dataDxfId="15085"/>
    <tableColumn id="1527" uniqueName="1527" name="Column1518" queryTableFieldId="14867" dataDxfId="15084"/>
    <tableColumn id="1528" uniqueName="1528" name="Column1519" queryTableFieldId="14866" dataDxfId="15083"/>
    <tableColumn id="1529" uniqueName="1529" name="Column1520" queryTableFieldId="14865" dataDxfId="15082"/>
    <tableColumn id="1530" uniqueName="1530" name="Column1521" queryTableFieldId="14864" dataDxfId="15081"/>
    <tableColumn id="1531" uniqueName="1531" name="Column1522" queryTableFieldId="14863" dataDxfId="15080"/>
    <tableColumn id="1532" uniqueName="1532" name="Column1523" queryTableFieldId="14862" dataDxfId="15079"/>
    <tableColumn id="1533" uniqueName="1533" name="Column1524" queryTableFieldId="14861" dataDxfId="15078"/>
    <tableColumn id="1534" uniqueName="1534" name="Column1525" queryTableFieldId="14860" dataDxfId="15077"/>
    <tableColumn id="1535" uniqueName="1535" name="Column1526" queryTableFieldId="14859" dataDxfId="15076"/>
    <tableColumn id="1536" uniqueName="1536" name="Column1527" queryTableFieldId="14858" dataDxfId="15075"/>
    <tableColumn id="1537" uniqueName="1537" name="Column1528" queryTableFieldId="14857" dataDxfId="15074"/>
    <tableColumn id="1538" uniqueName="1538" name="Column1529" queryTableFieldId="14856" dataDxfId="15073"/>
    <tableColumn id="1539" uniqueName="1539" name="Column1530" queryTableFieldId="14855" dataDxfId="15072"/>
    <tableColumn id="1540" uniqueName="1540" name="Column1531" queryTableFieldId="14854" dataDxfId="15071"/>
    <tableColumn id="1541" uniqueName="1541" name="Column1532" queryTableFieldId="14853" dataDxfId="15070"/>
    <tableColumn id="1542" uniqueName="1542" name="Column1533" queryTableFieldId="14852" dataDxfId="15069"/>
    <tableColumn id="1543" uniqueName="1543" name="Column1534" queryTableFieldId="14851" dataDxfId="15068"/>
    <tableColumn id="1544" uniqueName="1544" name="Column1535" queryTableFieldId="14850" dataDxfId="15067"/>
    <tableColumn id="1545" uniqueName="1545" name="Column1536" queryTableFieldId="14849" dataDxfId="15066"/>
    <tableColumn id="1546" uniqueName="1546" name="Column1537" queryTableFieldId="14848" dataDxfId="15065"/>
    <tableColumn id="1547" uniqueName="1547" name="Column1538" queryTableFieldId="14847" dataDxfId="15064"/>
    <tableColumn id="1548" uniqueName="1548" name="Column1539" queryTableFieldId="14846" dataDxfId="15063"/>
    <tableColumn id="1549" uniqueName="1549" name="Column1540" queryTableFieldId="14845" dataDxfId="15062"/>
    <tableColumn id="1550" uniqueName="1550" name="Column1541" queryTableFieldId="14844" dataDxfId="15061"/>
    <tableColumn id="1551" uniqueName="1551" name="Column1542" queryTableFieldId="14843" dataDxfId="15060"/>
    <tableColumn id="1552" uniqueName="1552" name="Column1543" queryTableFieldId="14842" dataDxfId="15059"/>
    <tableColumn id="1553" uniqueName="1553" name="Column1544" queryTableFieldId="14841" dataDxfId="15058"/>
    <tableColumn id="1554" uniqueName="1554" name="Column1545" queryTableFieldId="14840" dataDxfId="15057"/>
    <tableColumn id="1555" uniqueName="1555" name="Column1546" queryTableFieldId="14839" dataDxfId="15056"/>
    <tableColumn id="1556" uniqueName="1556" name="Column1547" queryTableFieldId="14838" dataDxfId="15055"/>
    <tableColumn id="1557" uniqueName="1557" name="Column1548" queryTableFieldId="14837" dataDxfId="15054"/>
    <tableColumn id="1558" uniqueName="1558" name="Column1549" queryTableFieldId="14836" dataDxfId="15053"/>
    <tableColumn id="1559" uniqueName="1559" name="Column1550" queryTableFieldId="14835" dataDxfId="15052"/>
    <tableColumn id="1560" uniqueName="1560" name="Column1551" queryTableFieldId="14834" dataDxfId="15051"/>
    <tableColumn id="1561" uniqueName="1561" name="Column1552" queryTableFieldId="14833" dataDxfId="15050"/>
    <tableColumn id="1562" uniqueName="1562" name="Column1553" queryTableFieldId="14832" dataDxfId="15049"/>
    <tableColumn id="1563" uniqueName="1563" name="Column1554" queryTableFieldId="14831" dataDxfId="15048"/>
    <tableColumn id="1564" uniqueName="1564" name="Column1555" queryTableFieldId="14830" dataDxfId="15047"/>
    <tableColumn id="1565" uniqueName="1565" name="Column1556" queryTableFieldId="14829" dataDxfId="15046"/>
    <tableColumn id="1566" uniqueName="1566" name="Column1557" queryTableFieldId="14828" dataDxfId="15045"/>
    <tableColumn id="1567" uniqueName="1567" name="Column1558" queryTableFieldId="14827" dataDxfId="15044"/>
    <tableColumn id="1568" uniqueName="1568" name="Column1559" queryTableFieldId="14826" dataDxfId="15043"/>
    <tableColumn id="1569" uniqueName="1569" name="Column1560" queryTableFieldId="14825" dataDxfId="15042"/>
    <tableColumn id="1570" uniqueName="1570" name="Column1561" queryTableFieldId="14824" dataDxfId="15041"/>
    <tableColumn id="1571" uniqueName="1571" name="Column1562" queryTableFieldId="14823" dataDxfId="15040"/>
    <tableColumn id="1572" uniqueName="1572" name="Column1563" queryTableFieldId="14822" dataDxfId="15039"/>
    <tableColumn id="1573" uniqueName="1573" name="Column1564" queryTableFieldId="14821" dataDxfId="15038"/>
    <tableColumn id="1574" uniqueName="1574" name="Column1565" queryTableFieldId="14820" dataDxfId="15037"/>
    <tableColumn id="1575" uniqueName="1575" name="Column1566" queryTableFieldId="14819" dataDxfId="15036"/>
    <tableColumn id="1576" uniqueName="1576" name="Column1567" queryTableFieldId="14818" dataDxfId="15035"/>
    <tableColumn id="1577" uniqueName="1577" name="Column1568" queryTableFieldId="14817" dataDxfId="15034"/>
    <tableColumn id="1578" uniqueName="1578" name="Column1569" queryTableFieldId="14816" dataDxfId="15033"/>
    <tableColumn id="1579" uniqueName="1579" name="Column1570" queryTableFieldId="14815" dataDxfId="15032"/>
    <tableColumn id="1580" uniqueName="1580" name="Column1571" queryTableFieldId="14814" dataDxfId="15031"/>
    <tableColumn id="1581" uniqueName="1581" name="Column1572" queryTableFieldId="14813" dataDxfId="15030"/>
    <tableColumn id="1582" uniqueName="1582" name="Column1573" queryTableFieldId="14812" dataDxfId="15029"/>
    <tableColumn id="1583" uniqueName="1583" name="Column1574" queryTableFieldId="14811" dataDxfId="15028"/>
    <tableColumn id="1584" uniqueName="1584" name="Column1575" queryTableFieldId="14810" dataDxfId="15027"/>
    <tableColumn id="1585" uniqueName="1585" name="Column1576" queryTableFieldId="14809" dataDxfId="15026"/>
    <tableColumn id="1586" uniqueName="1586" name="Column1577" queryTableFieldId="14808" dataDxfId="15025"/>
    <tableColumn id="1587" uniqueName="1587" name="Column1578" queryTableFieldId="14807" dataDxfId="15024"/>
    <tableColumn id="1588" uniqueName="1588" name="Column1579" queryTableFieldId="14806" dataDxfId="15023"/>
    <tableColumn id="1589" uniqueName="1589" name="Column1580" queryTableFieldId="14805" dataDxfId="15022"/>
    <tableColumn id="1590" uniqueName="1590" name="Column1581" queryTableFieldId="14804" dataDxfId="15021"/>
    <tableColumn id="1591" uniqueName="1591" name="Column1582" queryTableFieldId="14803" dataDxfId="15020"/>
    <tableColumn id="1592" uniqueName="1592" name="Column1583" queryTableFieldId="14802" dataDxfId="15019"/>
    <tableColumn id="1593" uniqueName="1593" name="Column1584" queryTableFieldId="14801" dataDxfId="15018"/>
    <tableColumn id="1594" uniqueName="1594" name="Column1585" queryTableFieldId="14800" dataDxfId="15017"/>
    <tableColumn id="1595" uniqueName="1595" name="Column1586" queryTableFieldId="14799" dataDxfId="15016"/>
    <tableColumn id="1596" uniqueName="1596" name="Column1587" queryTableFieldId="14798" dataDxfId="15015"/>
    <tableColumn id="1597" uniqueName="1597" name="Column1588" queryTableFieldId="14797" dataDxfId="15014"/>
    <tableColumn id="1598" uniqueName="1598" name="Column1589" queryTableFieldId="14796" dataDxfId="15013"/>
    <tableColumn id="1599" uniqueName="1599" name="Column1590" queryTableFieldId="14795" dataDxfId="15012"/>
    <tableColumn id="1600" uniqueName="1600" name="Column1591" queryTableFieldId="14794" dataDxfId="15011"/>
    <tableColumn id="1601" uniqueName="1601" name="Column1592" queryTableFieldId="14793" dataDxfId="15010"/>
    <tableColumn id="1602" uniqueName="1602" name="Column1593" queryTableFieldId="14792" dataDxfId="15009"/>
    <tableColumn id="1603" uniqueName="1603" name="Column1594" queryTableFieldId="14791" dataDxfId="15008"/>
    <tableColumn id="1604" uniqueName="1604" name="Column1595" queryTableFieldId="14790" dataDxfId="15007"/>
    <tableColumn id="1605" uniqueName="1605" name="Column1596" queryTableFieldId="14789" dataDxfId="15006"/>
    <tableColumn id="1606" uniqueName="1606" name="Column1597" queryTableFieldId="14788" dataDxfId="15005"/>
    <tableColumn id="1607" uniqueName="1607" name="Column1598" queryTableFieldId="14787" dataDxfId="15004"/>
    <tableColumn id="1608" uniqueName="1608" name="Column1599" queryTableFieldId="14786" dataDxfId="15003"/>
    <tableColumn id="1609" uniqueName="1609" name="Column1600" queryTableFieldId="14785" dataDxfId="15002"/>
    <tableColumn id="1610" uniqueName="1610" name="Column1601" queryTableFieldId="14784" dataDxfId="15001"/>
    <tableColumn id="1611" uniqueName="1611" name="Column1602" queryTableFieldId="14783" dataDxfId="15000"/>
    <tableColumn id="1612" uniqueName="1612" name="Column1603" queryTableFieldId="14782" dataDxfId="14999"/>
    <tableColumn id="1613" uniqueName="1613" name="Column1604" queryTableFieldId="14781" dataDxfId="14998"/>
    <tableColumn id="1614" uniqueName="1614" name="Column1605" queryTableFieldId="14780" dataDxfId="14997"/>
    <tableColumn id="1615" uniqueName="1615" name="Column1606" queryTableFieldId="14779" dataDxfId="14996"/>
    <tableColumn id="1616" uniqueName="1616" name="Column1607" queryTableFieldId="14778" dataDxfId="14995"/>
    <tableColumn id="1617" uniqueName="1617" name="Column1608" queryTableFieldId="14777" dataDxfId="14994"/>
    <tableColumn id="1618" uniqueName="1618" name="Column1609" queryTableFieldId="14776" dataDxfId="14993"/>
    <tableColumn id="1619" uniqueName="1619" name="Column1610" queryTableFieldId="14775" dataDxfId="14992"/>
    <tableColumn id="1620" uniqueName="1620" name="Column1611" queryTableFieldId="14774" dataDxfId="14991"/>
    <tableColumn id="1621" uniqueName="1621" name="Column1612" queryTableFieldId="14773" dataDxfId="14990"/>
    <tableColumn id="1622" uniqueName="1622" name="Column1613" queryTableFieldId="14772" dataDxfId="14989"/>
    <tableColumn id="1623" uniqueName="1623" name="Column1614" queryTableFieldId="14771" dataDxfId="14988"/>
    <tableColumn id="1624" uniqueName="1624" name="Column1615" queryTableFieldId="14770" dataDxfId="14987"/>
    <tableColumn id="1625" uniqueName="1625" name="Column1616" queryTableFieldId="14769" dataDxfId="14986"/>
    <tableColumn id="1626" uniqueName="1626" name="Column1617" queryTableFieldId="14768" dataDxfId="14985"/>
    <tableColumn id="1627" uniqueName="1627" name="Column1618" queryTableFieldId="14767" dataDxfId="14984"/>
    <tableColumn id="1628" uniqueName="1628" name="Column1619" queryTableFieldId="14766" dataDxfId="14983"/>
    <tableColumn id="1629" uniqueName="1629" name="Column1620" queryTableFieldId="14765" dataDxfId="14982"/>
    <tableColumn id="1630" uniqueName="1630" name="Column1621" queryTableFieldId="14764" dataDxfId="14981"/>
    <tableColumn id="1631" uniqueName="1631" name="Column1622" queryTableFieldId="14763" dataDxfId="14980"/>
    <tableColumn id="1632" uniqueName="1632" name="Column1623" queryTableFieldId="14762" dataDxfId="14979"/>
    <tableColumn id="1633" uniqueName="1633" name="Column1624" queryTableFieldId="14761" dataDxfId="14978"/>
    <tableColumn id="1634" uniqueName="1634" name="Column1625" queryTableFieldId="14760" dataDxfId="14977"/>
    <tableColumn id="1635" uniqueName="1635" name="Column1626" queryTableFieldId="14759" dataDxfId="14976"/>
    <tableColumn id="1636" uniqueName="1636" name="Column1627" queryTableFieldId="14758" dataDxfId="14975"/>
    <tableColumn id="1637" uniqueName="1637" name="Column1628" queryTableFieldId="14757" dataDxfId="14974"/>
    <tableColumn id="1638" uniqueName="1638" name="Column1629" queryTableFieldId="14756" dataDxfId="14973"/>
    <tableColumn id="1639" uniqueName="1639" name="Column1630" queryTableFieldId="14755" dataDxfId="14972"/>
    <tableColumn id="1640" uniqueName="1640" name="Column1631" queryTableFieldId="14754" dataDxfId="14971"/>
    <tableColumn id="1641" uniqueName="1641" name="Column1632" queryTableFieldId="14753" dataDxfId="14970"/>
    <tableColumn id="1642" uniqueName="1642" name="Column1633" queryTableFieldId="14752" dataDxfId="14969"/>
    <tableColumn id="1643" uniqueName="1643" name="Column1634" queryTableFieldId="14751" dataDxfId="14968"/>
    <tableColumn id="1644" uniqueName="1644" name="Column1635" queryTableFieldId="14750" dataDxfId="14967"/>
    <tableColumn id="1645" uniqueName="1645" name="Column1636" queryTableFieldId="14749" dataDxfId="14966"/>
    <tableColumn id="1646" uniqueName="1646" name="Column1637" queryTableFieldId="14748" dataDxfId="14965"/>
    <tableColumn id="1647" uniqueName="1647" name="Column1638" queryTableFieldId="14747" dataDxfId="14964"/>
    <tableColumn id="1648" uniqueName="1648" name="Column1639" queryTableFieldId="14746" dataDxfId="14963"/>
    <tableColumn id="1649" uniqueName="1649" name="Column1640" queryTableFieldId="14745" dataDxfId="14962"/>
    <tableColumn id="1650" uniqueName="1650" name="Column1641" queryTableFieldId="14744" dataDxfId="14961"/>
    <tableColumn id="1651" uniqueName="1651" name="Column1642" queryTableFieldId="14743" dataDxfId="14960"/>
    <tableColumn id="1652" uniqueName="1652" name="Column1643" queryTableFieldId="14742" dataDxfId="14959"/>
    <tableColumn id="1653" uniqueName="1653" name="Column1644" queryTableFieldId="14741" dataDxfId="14958"/>
    <tableColumn id="1654" uniqueName="1654" name="Column1645" queryTableFieldId="14740" dataDxfId="14957"/>
    <tableColumn id="1655" uniqueName="1655" name="Column1646" queryTableFieldId="14739" dataDxfId="14956"/>
    <tableColumn id="1656" uniqueName="1656" name="Column1647" queryTableFieldId="14738" dataDxfId="14955"/>
    <tableColumn id="1657" uniqueName="1657" name="Column1648" queryTableFieldId="14737" dataDxfId="14954"/>
    <tableColumn id="1658" uniqueName="1658" name="Column1649" queryTableFieldId="14736" dataDxfId="14953"/>
    <tableColumn id="1659" uniqueName="1659" name="Column1650" queryTableFieldId="14735" dataDxfId="14952"/>
    <tableColumn id="1660" uniqueName="1660" name="Column1651" queryTableFieldId="14734" dataDxfId="14951"/>
    <tableColumn id="1661" uniqueName="1661" name="Column1652" queryTableFieldId="14733" dataDxfId="14950"/>
    <tableColumn id="1662" uniqueName="1662" name="Column1653" queryTableFieldId="14732" dataDxfId="14949"/>
    <tableColumn id="1663" uniqueName="1663" name="Column1654" queryTableFieldId="14731" dataDxfId="14948"/>
    <tableColumn id="1664" uniqueName="1664" name="Column1655" queryTableFieldId="14730" dataDxfId="14947"/>
    <tableColumn id="1665" uniqueName="1665" name="Column1656" queryTableFieldId="14729" dataDxfId="14946"/>
    <tableColumn id="1666" uniqueName="1666" name="Column1657" queryTableFieldId="14728" dataDxfId="14945"/>
    <tableColumn id="1667" uniqueName="1667" name="Column1658" queryTableFieldId="14727" dataDxfId="14944"/>
    <tableColumn id="1668" uniqueName="1668" name="Column1659" queryTableFieldId="14726" dataDxfId="14943"/>
    <tableColumn id="1669" uniqueName="1669" name="Column1660" queryTableFieldId="14725" dataDxfId="14942"/>
    <tableColumn id="1670" uniqueName="1670" name="Column1661" queryTableFieldId="14724" dataDxfId="14941"/>
    <tableColumn id="1671" uniqueName="1671" name="Column1662" queryTableFieldId="14723" dataDxfId="14940"/>
    <tableColumn id="1672" uniqueName="1672" name="Column1663" queryTableFieldId="14722" dataDxfId="14939"/>
    <tableColumn id="1673" uniqueName="1673" name="Column1664" queryTableFieldId="14721" dataDxfId="14938"/>
    <tableColumn id="1674" uniqueName="1674" name="Column1665" queryTableFieldId="14720" dataDxfId="14937"/>
    <tableColumn id="1675" uniqueName="1675" name="Column1666" queryTableFieldId="14719" dataDxfId="14936"/>
    <tableColumn id="1676" uniqueName="1676" name="Column1667" queryTableFieldId="14718" dataDxfId="14935"/>
    <tableColumn id="1677" uniqueName="1677" name="Column1668" queryTableFieldId="14717" dataDxfId="14934"/>
    <tableColumn id="1678" uniqueName="1678" name="Column1669" queryTableFieldId="14716" dataDxfId="14933"/>
    <tableColumn id="1679" uniqueName="1679" name="Column1670" queryTableFieldId="14715" dataDxfId="14932"/>
    <tableColumn id="1680" uniqueName="1680" name="Column1671" queryTableFieldId="14714" dataDxfId="14931"/>
    <tableColumn id="1681" uniqueName="1681" name="Column1672" queryTableFieldId="14713" dataDxfId="14930"/>
    <tableColumn id="1682" uniqueName="1682" name="Column1673" queryTableFieldId="14712" dataDxfId="14929"/>
    <tableColumn id="1683" uniqueName="1683" name="Column1674" queryTableFieldId="14711" dataDxfId="14928"/>
    <tableColumn id="1684" uniqueName="1684" name="Column1675" queryTableFieldId="14710" dataDxfId="14927"/>
    <tableColumn id="1685" uniqueName="1685" name="Column1676" queryTableFieldId="14709" dataDxfId="14926"/>
    <tableColumn id="1686" uniqueName="1686" name="Column1677" queryTableFieldId="14708" dataDxfId="14925"/>
    <tableColumn id="1687" uniqueName="1687" name="Column1678" queryTableFieldId="14707" dataDxfId="14924"/>
    <tableColumn id="1688" uniqueName="1688" name="Column1679" queryTableFieldId="14706" dataDxfId="14923"/>
    <tableColumn id="1689" uniqueName="1689" name="Column1680" queryTableFieldId="14705" dataDxfId="14922"/>
    <tableColumn id="1690" uniqueName="1690" name="Column1681" queryTableFieldId="14704" dataDxfId="14921"/>
    <tableColumn id="1691" uniqueName="1691" name="Column1682" queryTableFieldId="14703" dataDxfId="14920"/>
    <tableColumn id="1692" uniqueName="1692" name="Column1683" queryTableFieldId="14702" dataDxfId="14919"/>
    <tableColumn id="1693" uniqueName="1693" name="Column1684" queryTableFieldId="14701" dataDxfId="14918"/>
    <tableColumn id="1694" uniqueName="1694" name="Column1685" queryTableFieldId="14700" dataDxfId="14917"/>
    <tableColumn id="1695" uniqueName="1695" name="Column1686" queryTableFieldId="14699" dataDxfId="14916"/>
    <tableColumn id="1696" uniqueName="1696" name="Column1687" queryTableFieldId="14698" dataDxfId="14915"/>
    <tableColumn id="1697" uniqueName="1697" name="Column1688" queryTableFieldId="14697" dataDxfId="14914"/>
    <tableColumn id="1698" uniqueName="1698" name="Column1689" queryTableFieldId="14696" dataDxfId="14913"/>
    <tableColumn id="1699" uniqueName="1699" name="Column1690" queryTableFieldId="14695" dataDxfId="14912"/>
    <tableColumn id="1700" uniqueName="1700" name="Column1691" queryTableFieldId="14694" dataDxfId="14911"/>
    <tableColumn id="1701" uniqueName="1701" name="Column1692" queryTableFieldId="14693" dataDxfId="14910"/>
    <tableColumn id="1702" uniqueName="1702" name="Column1693" queryTableFieldId="14692" dataDxfId="14909"/>
    <tableColumn id="1703" uniqueName="1703" name="Column1694" queryTableFieldId="14691" dataDxfId="14908"/>
    <tableColumn id="1704" uniqueName="1704" name="Column1695" queryTableFieldId="14690" dataDxfId="14907"/>
    <tableColumn id="1705" uniqueName="1705" name="Column1696" queryTableFieldId="14689" dataDxfId="14906"/>
    <tableColumn id="1706" uniqueName="1706" name="Column1697" queryTableFieldId="14688" dataDxfId="14905"/>
    <tableColumn id="1707" uniqueName="1707" name="Column1698" queryTableFieldId="14687" dataDxfId="14904"/>
    <tableColumn id="1708" uniqueName="1708" name="Column1699" queryTableFieldId="14686" dataDxfId="14903"/>
    <tableColumn id="1709" uniqueName="1709" name="Column1700" queryTableFieldId="14685" dataDxfId="14902"/>
    <tableColumn id="1710" uniqueName="1710" name="Column1701" queryTableFieldId="14684" dataDxfId="14901"/>
    <tableColumn id="1711" uniqueName="1711" name="Column1702" queryTableFieldId="14683" dataDxfId="14900"/>
    <tableColumn id="1712" uniqueName="1712" name="Column1703" queryTableFieldId="14682" dataDxfId="14899"/>
    <tableColumn id="1713" uniqueName="1713" name="Column1704" queryTableFieldId="14681" dataDxfId="14898"/>
    <tableColumn id="1714" uniqueName="1714" name="Column1705" queryTableFieldId="14680" dataDxfId="14897"/>
    <tableColumn id="1715" uniqueName="1715" name="Column1706" queryTableFieldId="14679" dataDxfId="14896"/>
    <tableColumn id="1716" uniqueName="1716" name="Column1707" queryTableFieldId="14678" dataDxfId="14895"/>
    <tableColumn id="1717" uniqueName="1717" name="Column1708" queryTableFieldId="14677" dataDxfId="14894"/>
    <tableColumn id="1718" uniqueName="1718" name="Column1709" queryTableFieldId="14676" dataDxfId="14893"/>
    <tableColumn id="1719" uniqueName="1719" name="Column1710" queryTableFieldId="14675" dataDxfId="14892"/>
    <tableColumn id="1720" uniqueName="1720" name="Column1711" queryTableFieldId="14674" dataDxfId="14891"/>
    <tableColumn id="1721" uniqueName="1721" name="Column1712" queryTableFieldId="14673" dataDxfId="14890"/>
    <tableColumn id="1722" uniqueName="1722" name="Column1713" queryTableFieldId="14672" dataDxfId="14889"/>
    <tableColumn id="1723" uniqueName="1723" name="Column1714" queryTableFieldId="14671" dataDxfId="14888"/>
    <tableColumn id="1724" uniqueName="1724" name="Column1715" queryTableFieldId="14670" dataDxfId="14887"/>
    <tableColumn id="1725" uniqueName="1725" name="Column1716" queryTableFieldId="14669" dataDxfId="14886"/>
    <tableColumn id="1726" uniqueName="1726" name="Column1717" queryTableFieldId="14668" dataDxfId="14885"/>
    <tableColumn id="1727" uniqueName="1727" name="Column1718" queryTableFieldId="14667" dataDxfId="14884"/>
    <tableColumn id="1728" uniqueName="1728" name="Column1719" queryTableFieldId="14666" dataDxfId="14883"/>
    <tableColumn id="1729" uniqueName="1729" name="Column1720" queryTableFieldId="14665" dataDxfId="14882"/>
    <tableColumn id="1730" uniqueName="1730" name="Column1721" queryTableFieldId="14664" dataDxfId="14881"/>
    <tableColumn id="1731" uniqueName="1731" name="Column1722" queryTableFieldId="14663" dataDxfId="14880"/>
    <tableColumn id="1732" uniqueName="1732" name="Column1723" queryTableFieldId="14662" dataDxfId="14879"/>
    <tableColumn id="1733" uniqueName="1733" name="Column1724" queryTableFieldId="14661" dataDxfId="14878"/>
    <tableColumn id="1734" uniqueName="1734" name="Column1725" queryTableFieldId="14660" dataDxfId="14877"/>
    <tableColumn id="1735" uniqueName="1735" name="Column1726" queryTableFieldId="14659" dataDxfId="14876"/>
    <tableColumn id="1736" uniqueName="1736" name="Column1727" queryTableFieldId="14658" dataDxfId="14875"/>
    <tableColumn id="1737" uniqueName="1737" name="Column1728" queryTableFieldId="14657" dataDxfId="14874"/>
    <tableColumn id="1738" uniqueName="1738" name="Column1729" queryTableFieldId="14656" dataDxfId="14873"/>
    <tableColumn id="1739" uniqueName="1739" name="Column1730" queryTableFieldId="14655" dataDxfId="14872"/>
    <tableColumn id="1740" uniqueName="1740" name="Column1731" queryTableFieldId="14654" dataDxfId="14871"/>
    <tableColumn id="1741" uniqueName="1741" name="Column1732" queryTableFieldId="14653" dataDxfId="14870"/>
    <tableColumn id="1742" uniqueName="1742" name="Column1733" queryTableFieldId="14652" dataDxfId="14869"/>
    <tableColumn id="1743" uniqueName="1743" name="Column1734" queryTableFieldId="14651" dataDxfId="14868"/>
    <tableColumn id="1744" uniqueName="1744" name="Column1735" queryTableFieldId="14650" dataDxfId="14867"/>
    <tableColumn id="1745" uniqueName="1745" name="Column1736" queryTableFieldId="14649" dataDxfId="14866"/>
    <tableColumn id="1746" uniqueName="1746" name="Column1737" queryTableFieldId="14648" dataDxfId="14865"/>
    <tableColumn id="1747" uniqueName="1747" name="Column1738" queryTableFieldId="14647" dataDxfId="14864"/>
    <tableColumn id="1748" uniqueName="1748" name="Column1739" queryTableFieldId="14646" dataDxfId="14863"/>
    <tableColumn id="1749" uniqueName="1749" name="Column1740" queryTableFieldId="14645" dataDxfId="14862"/>
    <tableColumn id="1750" uniqueName="1750" name="Column1741" queryTableFieldId="14644" dataDxfId="14861"/>
    <tableColumn id="1751" uniqueName="1751" name="Column1742" queryTableFieldId="14643" dataDxfId="14860"/>
    <tableColumn id="1752" uniqueName="1752" name="Column1743" queryTableFieldId="14642" dataDxfId="14859"/>
    <tableColumn id="1753" uniqueName="1753" name="Column1744" queryTableFieldId="14641" dataDxfId="14858"/>
    <tableColumn id="1754" uniqueName="1754" name="Column1745" queryTableFieldId="14640" dataDxfId="14857"/>
    <tableColumn id="1755" uniqueName="1755" name="Column1746" queryTableFieldId="14639" dataDxfId="14856"/>
    <tableColumn id="1756" uniqueName="1756" name="Column1747" queryTableFieldId="14638" dataDxfId="14855"/>
    <tableColumn id="1757" uniqueName="1757" name="Column1748" queryTableFieldId="14637" dataDxfId="14854"/>
    <tableColumn id="1758" uniqueName="1758" name="Column1749" queryTableFieldId="14636" dataDxfId="14853"/>
    <tableColumn id="1759" uniqueName="1759" name="Column1750" queryTableFieldId="14635" dataDxfId="14852"/>
    <tableColumn id="1760" uniqueName="1760" name="Column1751" queryTableFieldId="14634" dataDxfId="14851"/>
    <tableColumn id="1761" uniqueName="1761" name="Column1752" queryTableFieldId="14633" dataDxfId="14850"/>
    <tableColumn id="1762" uniqueName="1762" name="Column1753" queryTableFieldId="14632" dataDxfId="14849"/>
    <tableColumn id="1763" uniqueName="1763" name="Column1754" queryTableFieldId="14631" dataDxfId="14848"/>
    <tableColumn id="1764" uniqueName="1764" name="Column1755" queryTableFieldId="14630" dataDxfId="14847"/>
    <tableColumn id="1765" uniqueName="1765" name="Column1756" queryTableFieldId="14629" dataDxfId="14846"/>
    <tableColumn id="1766" uniqueName="1766" name="Column1757" queryTableFieldId="14628" dataDxfId="14845"/>
    <tableColumn id="1767" uniqueName="1767" name="Column1758" queryTableFieldId="14627" dataDxfId="14844"/>
    <tableColumn id="1768" uniqueName="1768" name="Column1759" queryTableFieldId="14626" dataDxfId="14843"/>
    <tableColumn id="1769" uniqueName="1769" name="Column1760" queryTableFieldId="14625" dataDxfId="14842"/>
    <tableColumn id="1770" uniqueName="1770" name="Column1761" queryTableFieldId="14624" dataDxfId="14841"/>
    <tableColumn id="1771" uniqueName="1771" name="Column1762" queryTableFieldId="14623" dataDxfId="14840"/>
    <tableColumn id="1772" uniqueName="1772" name="Column1763" queryTableFieldId="14622" dataDxfId="14839"/>
    <tableColumn id="1773" uniqueName="1773" name="Column1764" queryTableFieldId="14621" dataDxfId="14838"/>
    <tableColumn id="1774" uniqueName="1774" name="Column1765" queryTableFieldId="14620" dataDxfId="14837"/>
    <tableColumn id="1775" uniqueName="1775" name="Column1766" queryTableFieldId="14619" dataDxfId="14836"/>
    <tableColumn id="1776" uniqueName="1776" name="Column1767" queryTableFieldId="14618" dataDxfId="14835"/>
    <tableColumn id="1777" uniqueName="1777" name="Column1768" queryTableFieldId="14617" dataDxfId="14834"/>
    <tableColumn id="1778" uniqueName="1778" name="Column1769" queryTableFieldId="14616" dataDxfId="14833"/>
    <tableColumn id="1779" uniqueName="1779" name="Column1770" queryTableFieldId="14615" dataDxfId="14832"/>
    <tableColumn id="1780" uniqueName="1780" name="Column1771" queryTableFieldId="14614" dataDxfId="14831"/>
    <tableColumn id="1781" uniqueName="1781" name="Column1772" queryTableFieldId="14613" dataDxfId="14830"/>
    <tableColumn id="1782" uniqueName="1782" name="Column1773" queryTableFieldId="14612" dataDxfId="14829"/>
    <tableColumn id="1783" uniqueName="1783" name="Column1774" queryTableFieldId="14611" dataDxfId="14828"/>
    <tableColumn id="1784" uniqueName="1784" name="Column1775" queryTableFieldId="14610" dataDxfId="14827"/>
    <tableColumn id="1785" uniqueName="1785" name="Column1776" queryTableFieldId="14609" dataDxfId="14826"/>
    <tableColumn id="1786" uniqueName="1786" name="Column1777" queryTableFieldId="14608" dataDxfId="14825"/>
    <tableColumn id="1787" uniqueName="1787" name="Column1778" queryTableFieldId="14607" dataDxfId="14824"/>
    <tableColumn id="1788" uniqueName="1788" name="Column1779" queryTableFieldId="14606" dataDxfId="14823"/>
    <tableColumn id="1789" uniqueName="1789" name="Column1780" queryTableFieldId="14605" dataDxfId="14822"/>
    <tableColumn id="1790" uniqueName="1790" name="Column1781" queryTableFieldId="14604" dataDxfId="14821"/>
    <tableColumn id="1791" uniqueName="1791" name="Column1782" queryTableFieldId="14603" dataDxfId="14820"/>
    <tableColumn id="1792" uniqueName="1792" name="Column1783" queryTableFieldId="14602" dataDxfId="14819"/>
    <tableColumn id="1793" uniqueName="1793" name="Column1784" queryTableFieldId="14601" dataDxfId="14818"/>
    <tableColumn id="1794" uniqueName="1794" name="Column1785" queryTableFieldId="14600" dataDxfId="14817"/>
    <tableColumn id="1795" uniqueName="1795" name="Column1786" queryTableFieldId="14599" dataDxfId="14816"/>
    <tableColumn id="1796" uniqueName="1796" name="Column1787" queryTableFieldId="14598" dataDxfId="14815"/>
    <tableColumn id="1797" uniqueName="1797" name="Column1788" queryTableFieldId="14597" dataDxfId="14814"/>
    <tableColumn id="1798" uniqueName="1798" name="Column1789" queryTableFieldId="14596" dataDxfId="14813"/>
    <tableColumn id="1799" uniqueName="1799" name="Column1790" queryTableFieldId="14595" dataDxfId="14812"/>
    <tableColumn id="1800" uniqueName="1800" name="Column1791" queryTableFieldId="14594" dataDxfId="14811"/>
    <tableColumn id="1801" uniqueName="1801" name="Column1792" queryTableFieldId="14593" dataDxfId="14810"/>
    <tableColumn id="1802" uniqueName="1802" name="Column1793" queryTableFieldId="14592" dataDxfId="14809"/>
    <tableColumn id="1803" uniqueName="1803" name="Column1794" queryTableFieldId="14591" dataDxfId="14808"/>
    <tableColumn id="1804" uniqueName="1804" name="Column1795" queryTableFieldId="14590" dataDxfId="14807"/>
    <tableColumn id="1805" uniqueName="1805" name="Column1796" queryTableFieldId="14589" dataDxfId="14806"/>
    <tableColumn id="1806" uniqueName="1806" name="Column1797" queryTableFieldId="14588" dataDxfId="14805"/>
    <tableColumn id="1807" uniqueName="1807" name="Column1798" queryTableFieldId="14587" dataDxfId="14804"/>
    <tableColumn id="1808" uniqueName="1808" name="Column1799" queryTableFieldId="14586" dataDxfId="14803"/>
    <tableColumn id="1809" uniqueName="1809" name="Column1800" queryTableFieldId="14585" dataDxfId="14802"/>
    <tableColumn id="1810" uniqueName="1810" name="Column1801" queryTableFieldId="14584" dataDxfId="14801"/>
    <tableColumn id="1811" uniqueName="1811" name="Column1802" queryTableFieldId="14583" dataDxfId="14800"/>
    <tableColumn id="1812" uniqueName="1812" name="Column1803" queryTableFieldId="14582" dataDxfId="14799"/>
    <tableColumn id="1813" uniqueName="1813" name="Column1804" queryTableFieldId="14581" dataDxfId="14798"/>
    <tableColumn id="1814" uniqueName="1814" name="Column1805" queryTableFieldId="14580" dataDxfId="14797"/>
    <tableColumn id="1815" uniqueName="1815" name="Column1806" queryTableFieldId="14579" dataDxfId="14796"/>
    <tableColumn id="1816" uniqueName="1816" name="Column1807" queryTableFieldId="14578" dataDxfId="14795"/>
    <tableColumn id="1817" uniqueName="1817" name="Column1808" queryTableFieldId="14577" dataDxfId="14794"/>
    <tableColumn id="1818" uniqueName="1818" name="Column1809" queryTableFieldId="14576" dataDxfId="14793"/>
    <tableColumn id="1819" uniqueName="1819" name="Column1810" queryTableFieldId="14575" dataDxfId="14792"/>
    <tableColumn id="1820" uniqueName="1820" name="Column1811" queryTableFieldId="14574" dataDxfId="14791"/>
    <tableColumn id="1821" uniqueName="1821" name="Column1812" queryTableFieldId="14573" dataDxfId="14790"/>
    <tableColumn id="1822" uniqueName="1822" name="Column1813" queryTableFieldId="14572" dataDxfId="14789"/>
    <tableColumn id="1823" uniqueName="1823" name="Column1814" queryTableFieldId="14571" dataDxfId="14788"/>
    <tableColumn id="1824" uniqueName="1824" name="Column1815" queryTableFieldId="14570" dataDxfId="14787"/>
    <tableColumn id="1825" uniqueName="1825" name="Column1816" queryTableFieldId="14569" dataDxfId="14786"/>
    <tableColumn id="1826" uniqueName="1826" name="Column1817" queryTableFieldId="14568" dataDxfId="14785"/>
    <tableColumn id="1827" uniqueName="1827" name="Column1818" queryTableFieldId="14567" dataDxfId="14784"/>
    <tableColumn id="1828" uniqueName="1828" name="Column1819" queryTableFieldId="14566" dataDxfId="14783"/>
    <tableColumn id="1829" uniqueName="1829" name="Column1820" queryTableFieldId="14565" dataDxfId="14782"/>
    <tableColumn id="1830" uniqueName="1830" name="Column1821" queryTableFieldId="14564" dataDxfId="14781"/>
    <tableColumn id="1831" uniqueName="1831" name="Column1822" queryTableFieldId="14563" dataDxfId="14780"/>
    <tableColumn id="1832" uniqueName="1832" name="Column1823" queryTableFieldId="14562" dataDxfId="14779"/>
    <tableColumn id="1833" uniqueName="1833" name="Column1824" queryTableFieldId="14561" dataDxfId="14778"/>
    <tableColumn id="1834" uniqueName="1834" name="Column1825" queryTableFieldId="14560" dataDxfId="14777"/>
    <tableColumn id="1835" uniqueName="1835" name="Column1826" queryTableFieldId="14559" dataDxfId="14776"/>
    <tableColumn id="1836" uniqueName="1836" name="Column1827" queryTableFieldId="14558" dataDxfId="14775"/>
    <tableColumn id="1837" uniqueName="1837" name="Column1828" queryTableFieldId="14557" dataDxfId="14774"/>
    <tableColumn id="1838" uniqueName="1838" name="Column1829" queryTableFieldId="14556" dataDxfId="14773"/>
    <tableColumn id="1839" uniqueName="1839" name="Column1830" queryTableFieldId="14555" dataDxfId="14772"/>
    <tableColumn id="1840" uniqueName="1840" name="Column1831" queryTableFieldId="14554" dataDxfId="14771"/>
    <tableColumn id="1841" uniqueName="1841" name="Column1832" queryTableFieldId="14553" dataDxfId="14770"/>
    <tableColumn id="1842" uniqueName="1842" name="Column1833" queryTableFieldId="14552" dataDxfId="14769"/>
    <tableColumn id="1843" uniqueName="1843" name="Column1834" queryTableFieldId="14551" dataDxfId="14768"/>
    <tableColumn id="1844" uniqueName="1844" name="Column1835" queryTableFieldId="14550" dataDxfId="14767"/>
    <tableColumn id="1845" uniqueName="1845" name="Column1836" queryTableFieldId="14549" dataDxfId="14766"/>
    <tableColumn id="1846" uniqueName="1846" name="Column1837" queryTableFieldId="14548" dataDxfId="14765"/>
    <tableColumn id="1847" uniqueName="1847" name="Column1838" queryTableFieldId="14547" dataDxfId="14764"/>
    <tableColumn id="1848" uniqueName="1848" name="Column1839" queryTableFieldId="14546" dataDxfId="14763"/>
    <tableColumn id="1849" uniqueName="1849" name="Column1840" queryTableFieldId="14545" dataDxfId="14762"/>
    <tableColumn id="1850" uniqueName="1850" name="Column1841" queryTableFieldId="14544" dataDxfId="14761"/>
    <tableColumn id="1851" uniqueName="1851" name="Column1842" queryTableFieldId="14543" dataDxfId="14760"/>
    <tableColumn id="1852" uniqueName="1852" name="Column1843" queryTableFieldId="14542" dataDxfId="14759"/>
    <tableColumn id="1853" uniqueName="1853" name="Column1844" queryTableFieldId="14541" dataDxfId="14758"/>
    <tableColumn id="1854" uniqueName="1854" name="Column1845" queryTableFieldId="14540" dataDxfId="14757"/>
    <tableColumn id="1855" uniqueName="1855" name="Column1846" queryTableFieldId="14539" dataDxfId="14756"/>
    <tableColumn id="1856" uniqueName="1856" name="Column1847" queryTableFieldId="14538" dataDxfId="14755"/>
    <tableColumn id="1857" uniqueName="1857" name="Column1848" queryTableFieldId="14537" dataDxfId="14754"/>
    <tableColumn id="1858" uniqueName="1858" name="Column1849" queryTableFieldId="14536" dataDxfId="14753"/>
    <tableColumn id="1859" uniqueName="1859" name="Column1850" queryTableFieldId="14535" dataDxfId="14752"/>
    <tableColumn id="1860" uniqueName="1860" name="Column1851" queryTableFieldId="14534" dataDxfId="14751"/>
    <tableColumn id="1861" uniqueName="1861" name="Column1852" queryTableFieldId="14533" dataDxfId="14750"/>
    <tableColumn id="1862" uniqueName="1862" name="Column1853" queryTableFieldId="14532" dataDxfId="14749"/>
    <tableColumn id="1863" uniqueName="1863" name="Column1854" queryTableFieldId="14531" dataDxfId="14748"/>
    <tableColumn id="1864" uniqueName="1864" name="Column1855" queryTableFieldId="14530" dataDxfId="14747"/>
    <tableColumn id="1865" uniqueName="1865" name="Column1856" queryTableFieldId="14529" dataDxfId="14746"/>
    <tableColumn id="1866" uniqueName="1866" name="Column1857" queryTableFieldId="14528" dataDxfId="14745"/>
    <tableColumn id="1867" uniqueName="1867" name="Column1858" queryTableFieldId="14527" dataDxfId="14744"/>
    <tableColumn id="1868" uniqueName="1868" name="Column1859" queryTableFieldId="14526" dataDxfId="14743"/>
    <tableColumn id="1869" uniqueName="1869" name="Column1860" queryTableFieldId="14525" dataDxfId="14742"/>
    <tableColumn id="1870" uniqueName="1870" name="Column1861" queryTableFieldId="14524" dataDxfId="14741"/>
    <tableColumn id="1871" uniqueName="1871" name="Column1862" queryTableFieldId="14523" dataDxfId="14740"/>
    <tableColumn id="1872" uniqueName="1872" name="Column1863" queryTableFieldId="14522" dataDxfId="14739"/>
    <tableColumn id="1873" uniqueName="1873" name="Column1864" queryTableFieldId="14521" dataDxfId="14738"/>
    <tableColumn id="1874" uniqueName="1874" name="Column1865" queryTableFieldId="14520" dataDxfId="14737"/>
    <tableColumn id="1875" uniqueName="1875" name="Column1866" queryTableFieldId="14519" dataDxfId="14736"/>
    <tableColumn id="1876" uniqueName="1876" name="Column1867" queryTableFieldId="14518" dataDxfId="14735"/>
    <tableColumn id="1877" uniqueName="1877" name="Column1868" queryTableFieldId="14517" dataDxfId="14734"/>
    <tableColumn id="1878" uniqueName="1878" name="Column1869" queryTableFieldId="14516" dataDxfId="14733"/>
    <tableColumn id="1879" uniqueName="1879" name="Column1870" queryTableFieldId="14515" dataDxfId="14732"/>
    <tableColumn id="1880" uniqueName="1880" name="Column1871" queryTableFieldId="14514" dataDxfId="14731"/>
    <tableColumn id="1881" uniqueName="1881" name="Column1872" queryTableFieldId="14513" dataDxfId="14730"/>
    <tableColumn id="1882" uniqueName="1882" name="Column1873" queryTableFieldId="14512" dataDxfId="14729"/>
    <tableColumn id="1883" uniqueName="1883" name="Column1874" queryTableFieldId="14511" dataDxfId="14728"/>
    <tableColumn id="1884" uniqueName="1884" name="Column1875" queryTableFieldId="14510" dataDxfId="14727"/>
    <tableColumn id="1885" uniqueName="1885" name="Column1876" queryTableFieldId="14509" dataDxfId="14726"/>
    <tableColumn id="1886" uniqueName="1886" name="Column1877" queryTableFieldId="14508" dataDxfId="14725"/>
    <tableColumn id="1887" uniqueName="1887" name="Column1878" queryTableFieldId="14507" dataDxfId="14724"/>
    <tableColumn id="1888" uniqueName="1888" name="Column1879" queryTableFieldId="14506" dataDxfId="14723"/>
    <tableColumn id="1889" uniqueName="1889" name="Column1880" queryTableFieldId="14505" dataDxfId="14722"/>
    <tableColumn id="1890" uniqueName="1890" name="Column1881" queryTableFieldId="14504" dataDxfId="14721"/>
    <tableColumn id="1891" uniqueName="1891" name="Column1882" queryTableFieldId="14503" dataDxfId="14720"/>
    <tableColumn id="1892" uniqueName="1892" name="Column1883" queryTableFieldId="14502" dataDxfId="14719"/>
    <tableColumn id="1893" uniqueName="1893" name="Column1884" queryTableFieldId="14501" dataDxfId="14718"/>
    <tableColumn id="1894" uniqueName="1894" name="Column1885" queryTableFieldId="14500" dataDxfId="14717"/>
    <tableColumn id="1895" uniqueName="1895" name="Column1886" queryTableFieldId="14499" dataDxfId="14716"/>
    <tableColumn id="1896" uniqueName="1896" name="Column1887" queryTableFieldId="14498" dataDxfId="14715"/>
    <tableColumn id="1897" uniqueName="1897" name="Column1888" queryTableFieldId="14497" dataDxfId="14714"/>
    <tableColumn id="1898" uniqueName="1898" name="Column1889" queryTableFieldId="14496" dataDxfId="14713"/>
    <tableColumn id="1899" uniqueName="1899" name="Column1890" queryTableFieldId="14495" dataDxfId="14712"/>
    <tableColumn id="1900" uniqueName="1900" name="Column1891" queryTableFieldId="14494" dataDxfId="14711"/>
    <tableColumn id="1901" uniqueName="1901" name="Column1892" queryTableFieldId="14493" dataDxfId="14710"/>
    <tableColumn id="1902" uniqueName="1902" name="Column1893" queryTableFieldId="14492" dataDxfId="14709"/>
    <tableColumn id="1903" uniqueName="1903" name="Column1894" queryTableFieldId="14491" dataDxfId="14708"/>
    <tableColumn id="1904" uniqueName="1904" name="Column1895" queryTableFieldId="14490" dataDxfId="14707"/>
    <tableColumn id="1905" uniqueName="1905" name="Column1896" queryTableFieldId="14489" dataDxfId="14706"/>
    <tableColumn id="1906" uniqueName="1906" name="Column1897" queryTableFieldId="14488" dataDxfId="14705"/>
    <tableColumn id="1907" uniqueName="1907" name="Column1898" queryTableFieldId="14487" dataDxfId="14704"/>
    <tableColumn id="1908" uniqueName="1908" name="Column1899" queryTableFieldId="14486" dataDxfId="14703"/>
    <tableColumn id="1909" uniqueName="1909" name="Column1900" queryTableFieldId="14485" dataDxfId="14702"/>
    <tableColumn id="1910" uniqueName="1910" name="Column1901" queryTableFieldId="14484" dataDxfId="14701"/>
    <tableColumn id="1911" uniqueName="1911" name="Column1902" queryTableFieldId="14483" dataDxfId="14700"/>
    <tableColumn id="1912" uniqueName="1912" name="Column1903" queryTableFieldId="14482" dataDxfId="14699"/>
    <tableColumn id="1913" uniqueName="1913" name="Column1904" queryTableFieldId="14481" dataDxfId="14698"/>
    <tableColumn id="1914" uniqueName="1914" name="Column1905" queryTableFieldId="14480" dataDxfId="14697"/>
    <tableColumn id="1915" uniqueName="1915" name="Column1906" queryTableFieldId="14479" dataDxfId="14696"/>
    <tableColumn id="1916" uniqueName="1916" name="Column1907" queryTableFieldId="14478" dataDxfId="14695"/>
    <tableColumn id="1917" uniqueName="1917" name="Column1908" queryTableFieldId="14477" dataDxfId="14694"/>
    <tableColumn id="1918" uniqueName="1918" name="Column1909" queryTableFieldId="14476" dataDxfId="14693"/>
    <tableColumn id="1919" uniqueName="1919" name="Column1910" queryTableFieldId="14475" dataDxfId="14692"/>
    <tableColumn id="1920" uniqueName="1920" name="Column1911" queryTableFieldId="14474" dataDxfId="14691"/>
    <tableColumn id="1921" uniqueName="1921" name="Column1912" queryTableFieldId="14473" dataDxfId="14690"/>
    <tableColumn id="1922" uniqueName="1922" name="Column1913" queryTableFieldId="14472" dataDxfId="14689"/>
    <tableColumn id="1923" uniqueName="1923" name="Column1914" queryTableFieldId="14471" dataDxfId="14688"/>
    <tableColumn id="1924" uniqueName="1924" name="Column1915" queryTableFieldId="14470" dataDxfId="14687"/>
    <tableColumn id="1925" uniqueName="1925" name="Column1916" queryTableFieldId="14469" dataDxfId="14686"/>
    <tableColumn id="1926" uniqueName="1926" name="Column1917" queryTableFieldId="14468" dataDxfId="14685"/>
    <tableColumn id="1927" uniqueName="1927" name="Column1918" queryTableFieldId="14467" dataDxfId="14684"/>
    <tableColumn id="1928" uniqueName="1928" name="Column1919" queryTableFieldId="14466" dataDxfId="14683"/>
    <tableColumn id="1929" uniqueName="1929" name="Column1920" queryTableFieldId="14465" dataDxfId="14682"/>
    <tableColumn id="1930" uniqueName="1930" name="Column1921" queryTableFieldId="14464" dataDxfId="14681"/>
    <tableColumn id="1931" uniqueName="1931" name="Column1922" queryTableFieldId="14463" dataDxfId="14680"/>
    <tableColumn id="1932" uniqueName="1932" name="Column1923" queryTableFieldId="14462" dataDxfId="14679"/>
    <tableColumn id="1933" uniqueName="1933" name="Column1924" queryTableFieldId="14461" dataDxfId="14678"/>
    <tableColumn id="1934" uniqueName="1934" name="Column1925" queryTableFieldId="14460" dataDxfId="14677"/>
    <tableColumn id="1935" uniqueName="1935" name="Column1926" queryTableFieldId="14459" dataDxfId="14676"/>
    <tableColumn id="1936" uniqueName="1936" name="Column1927" queryTableFieldId="14458" dataDxfId="14675"/>
    <tableColumn id="1937" uniqueName="1937" name="Column1928" queryTableFieldId="14457" dataDxfId="14674"/>
    <tableColumn id="1938" uniqueName="1938" name="Column1929" queryTableFieldId="14456" dataDxfId="14673"/>
    <tableColumn id="1939" uniqueName="1939" name="Column1930" queryTableFieldId="14455" dataDxfId="14672"/>
    <tableColumn id="1940" uniqueName="1940" name="Column1931" queryTableFieldId="14454" dataDxfId="14671"/>
    <tableColumn id="1941" uniqueName="1941" name="Column1932" queryTableFieldId="14453" dataDxfId="14670"/>
    <tableColumn id="1942" uniqueName="1942" name="Column1933" queryTableFieldId="14452" dataDxfId="14669"/>
    <tableColumn id="1943" uniqueName="1943" name="Column1934" queryTableFieldId="14451" dataDxfId="14668"/>
    <tableColumn id="1944" uniqueName="1944" name="Column1935" queryTableFieldId="14450" dataDxfId="14667"/>
    <tableColumn id="1945" uniqueName="1945" name="Column1936" queryTableFieldId="14449" dataDxfId="14666"/>
    <tableColumn id="1946" uniqueName="1946" name="Column1937" queryTableFieldId="14448" dataDxfId="14665"/>
    <tableColumn id="1947" uniqueName="1947" name="Column1938" queryTableFieldId="14447" dataDxfId="14664"/>
    <tableColumn id="1948" uniqueName="1948" name="Column1939" queryTableFieldId="14446" dataDxfId="14663"/>
    <tableColumn id="1949" uniqueName="1949" name="Column1940" queryTableFieldId="14445" dataDxfId="14662"/>
    <tableColumn id="1950" uniqueName="1950" name="Column1941" queryTableFieldId="14444" dataDxfId="14661"/>
    <tableColumn id="1951" uniqueName="1951" name="Column1942" queryTableFieldId="14443" dataDxfId="14660"/>
    <tableColumn id="1952" uniqueName="1952" name="Column1943" queryTableFieldId="14442" dataDxfId="14659"/>
    <tableColumn id="1953" uniqueName="1953" name="Column1944" queryTableFieldId="14441" dataDxfId="14658"/>
    <tableColumn id="1954" uniqueName="1954" name="Column1945" queryTableFieldId="14440" dataDxfId="14657"/>
    <tableColumn id="1955" uniqueName="1955" name="Column1946" queryTableFieldId="14439" dataDxfId="14656"/>
    <tableColumn id="1956" uniqueName="1956" name="Column1947" queryTableFieldId="14438" dataDxfId="14655"/>
    <tableColumn id="1957" uniqueName="1957" name="Column1948" queryTableFieldId="14437" dataDxfId="14654"/>
    <tableColumn id="1958" uniqueName="1958" name="Column1949" queryTableFieldId="14436" dataDxfId="14653"/>
    <tableColumn id="1959" uniqueName="1959" name="Column1950" queryTableFieldId="14435" dataDxfId="14652"/>
    <tableColumn id="1960" uniqueName="1960" name="Column1951" queryTableFieldId="14434" dataDxfId="14651"/>
    <tableColumn id="1961" uniqueName="1961" name="Column1952" queryTableFieldId="14433" dataDxfId="14650"/>
    <tableColumn id="1962" uniqueName="1962" name="Column1953" queryTableFieldId="14432" dataDxfId="14649"/>
    <tableColumn id="1963" uniqueName="1963" name="Column1954" queryTableFieldId="14431" dataDxfId="14648"/>
    <tableColumn id="1964" uniqueName="1964" name="Column1955" queryTableFieldId="14430" dataDxfId="14647"/>
    <tableColumn id="1965" uniqueName="1965" name="Column1956" queryTableFieldId="14429" dataDxfId="14646"/>
    <tableColumn id="1966" uniqueName="1966" name="Column1957" queryTableFieldId="14428" dataDxfId="14645"/>
    <tableColumn id="1967" uniqueName="1967" name="Column1958" queryTableFieldId="14427" dataDxfId="14644"/>
    <tableColumn id="1968" uniqueName="1968" name="Column1959" queryTableFieldId="14426" dataDxfId="14643"/>
    <tableColumn id="1969" uniqueName="1969" name="Column1960" queryTableFieldId="14425" dataDxfId="14642"/>
    <tableColumn id="1970" uniqueName="1970" name="Column1961" queryTableFieldId="14424" dataDxfId="14641"/>
    <tableColumn id="1971" uniqueName="1971" name="Column1962" queryTableFieldId="14423" dataDxfId="14640"/>
    <tableColumn id="1972" uniqueName="1972" name="Column1963" queryTableFieldId="14422" dataDxfId="14639"/>
    <tableColumn id="1973" uniqueName="1973" name="Column1964" queryTableFieldId="14421" dataDxfId="14638"/>
    <tableColumn id="1974" uniqueName="1974" name="Column1965" queryTableFieldId="14420" dataDxfId="14637"/>
    <tableColumn id="1975" uniqueName="1975" name="Column1966" queryTableFieldId="14419" dataDxfId="14636"/>
    <tableColumn id="1976" uniqueName="1976" name="Column1967" queryTableFieldId="14418" dataDxfId="14635"/>
    <tableColumn id="1977" uniqueName="1977" name="Column1968" queryTableFieldId="14417" dataDxfId="14634"/>
    <tableColumn id="1978" uniqueName="1978" name="Column1969" queryTableFieldId="14416" dataDxfId="14633"/>
    <tableColumn id="1979" uniqueName="1979" name="Column1970" queryTableFieldId="14415" dataDxfId="14632"/>
    <tableColumn id="1980" uniqueName="1980" name="Column1971" queryTableFieldId="14414" dataDxfId="14631"/>
    <tableColumn id="1981" uniqueName="1981" name="Column1972" queryTableFieldId="14413" dataDxfId="14630"/>
    <tableColumn id="1982" uniqueName="1982" name="Column1973" queryTableFieldId="14412" dataDxfId="14629"/>
    <tableColumn id="1983" uniqueName="1983" name="Column1974" queryTableFieldId="14411" dataDxfId="14628"/>
    <tableColumn id="1984" uniqueName="1984" name="Column1975" queryTableFieldId="14410" dataDxfId="14627"/>
    <tableColumn id="1985" uniqueName="1985" name="Column1976" queryTableFieldId="14409" dataDxfId="14626"/>
    <tableColumn id="1986" uniqueName="1986" name="Column1977" queryTableFieldId="14408" dataDxfId="14625"/>
    <tableColumn id="1987" uniqueName="1987" name="Column1978" queryTableFieldId="14407" dataDxfId="14624"/>
    <tableColumn id="1988" uniqueName="1988" name="Column1979" queryTableFieldId="14406" dataDxfId="14623"/>
    <tableColumn id="1989" uniqueName="1989" name="Column1980" queryTableFieldId="14405" dataDxfId="14622"/>
    <tableColumn id="1990" uniqueName="1990" name="Column1981" queryTableFieldId="14404" dataDxfId="14621"/>
    <tableColumn id="1991" uniqueName="1991" name="Column1982" queryTableFieldId="14403" dataDxfId="14620"/>
    <tableColumn id="1992" uniqueName="1992" name="Column1983" queryTableFieldId="14402" dataDxfId="14619"/>
    <tableColumn id="1993" uniqueName="1993" name="Column1984" queryTableFieldId="14401" dataDxfId="14618"/>
    <tableColumn id="1994" uniqueName="1994" name="Column1985" queryTableFieldId="14400" dataDxfId="14617"/>
    <tableColumn id="1995" uniqueName="1995" name="Column1986" queryTableFieldId="14399" dataDxfId="14616"/>
    <tableColumn id="1996" uniqueName="1996" name="Column1987" queryTableFieldId="14398" dataDxfId="14615"/>
    <tableColumn id="1997" uniqueName="1997" name="Column1988" queryTableFieldId="14397" dataDxfId="14614"/>
    <tableColumn id="1998" uniqueName="1998" name="Column1989" queryTableFieldId="14396" dataDxfId="14613"/>
    <tableColumn id="1999" uniqueName="1999" name="Column1990" queryTableFieldId="14395" dataDxfId="14612"/>
    <tableColumn id="2000" uniqueName="2000" name="Column1991" queryTableFieldId="14394" dataDxfId="14611"/>
    <tableColumn id="2001" uniqueName="2001" name="Column1992" queryTableFieldId="14393" dataDxfId="14610"/>
    <tableColumn id="2002" uniqueName="2002" name="Column1993" queryTableFieldId="14392" dataDxfId="14609"/>
    <tableColumn id="2003" uniqueName="2003" name="Column1994" queryTableFieldId="14391" dataDxfId="14608"/>
    <tableColumn id="2004" uniqueName="2004" name="Column1995" queryTableFieldId="14390" dataDxfId="14607"/>
    <tableColumn id="2005" uniqueName="2005" name="Column1996" queryTableFieldId="14389" dataDxfId="14606"/>
    <tableColumn id="2006" uniqueName="2006" name="Column1997" queryTableFieldId="14388" dataDxfId="14605"/>
    <tableColumn id="2007" uniqueName="2007" name="Column1998" queryTableFieldId="14387" dataDxfId="14604"/>
    <tableColumn id="2008" uniqueName="2008" name="Column1999" queryTableFieldId="14386" dataDxfId="14603"/>
    <tableColumn id="2009" uniqueName="2009" name="Column2000" queryTableFieldId="14385" dataDxfId="14602"/>
    <tableColumn id="2010" uniqueName="2010" name="Column2001" queryTableFieldId="14384" dataDxfId="14601"/>
    <tableColumn id="2011" uniqueName="2011" name="Column2002" queryTableFieldId="14383" dataDxfId="14600"/>
    <tableColumn id="2012" uniqueName="2012" name="Column2003" queryTableFieldId="14382" dataDxfId="14599"/>
    <tableColumn id="2013" uniqueName="2013" name="Column2004" queryTableFieldId="14381" dataDxfId="14598"/>
    <tableColumn id="2014" uniqueName="2014" name="Column2005" queryTableFieldId="14380" dataDxfId="14597"/>
    <tableColumn id="2015" uniqueName="2015" name="Column2006" queryTableFieldId="14379" dataDxfId="14596"/>
    <tableColumn id="2016" uniqueName="2016" name="Column2007" queryTableFieldId="14378" dataDxfId="14595"/>
    <tableColumn id="2017" uniqueName="2017" name="Column2008" queryTableFieldId="14377" dataDxfId="14594"/>
    <tableColumn id="2018" uniqueName="2018" name="Column2009" queryTableFieldId="14376" dataDxfId="14593"/>
    <tableColumn id="2019" uniqueName="2019" name="Column2010" queryTableFieldId="14375" dataDxfId="14592"/>
    <tableColumn id="2020" uniqueName="2020" name="Column2011" queryTableFieldId="14374" dataDxfId="14591"/>
    <tableColumn id="2021" uniqueName="2021" name="Column2012" queryTableFieldId="14373" dataDxfId="14590"/>
    <tableColumn id="2022" uniqueName="2022" name="Column2013" queryTableFieldId="14372" dataDxfId="14589"/>
    <tableColumn id="2023" uniqueName="2023" name="Column2014" queryTableFieldId="14371" dataDxfId="14588"/>
    <tableColumn id="2024" uniqueName="2024" name="Column2015" queryTableFieldId="14370" dataDxfId="14587"/>
    <tableColumn id="2025" uniqueName="2025" name="Column2016" queryTableFieldId="14369" dataDxfId="14586"/>
    <tableColumn id="2026" uniqueName="2026" name="Column2017" queryTableFieldId="14368" dataDxfId="14585"/>
    <tableColumn id="2027" uniqueName="2027" name="Column2018" queryTableFieldId="14367" dataDxfId="14584"/>
    <tableColumn id="2028" uniqueName="2028" name="Column2019" queryTableFieldId="14366" dataDxfId="14583"/>
    <tableColumn id="2029" uniqueName="2029" name="Column2020" queryTableFieldId="14365" dataDxfId="14582"/>
    <tableColumn id="2030" uniqueName="2030" name="Column2021" queryTableFieldId="14364" dataDxfId="14581"/>
    <tableColumn id="2031" uniqueName="2031" name="Column2022" queryTableFieldId="14363" dataDxfId="14580"/>
    <tableColumn id="2032" uniqueName="2032" name="Column2023" queryTableFieldId="14362" dataDxfId="14579"/>
    <tableColumn id="2033" uniqueName="2033" name="Column2024" queryTableFieldId="14361" dataDxfId="14578"/>
    <tableColumn id="2034" uniqueName="2034" name="Column2025" queryTableFieldId="14360" dataDxfId="14577"/>
    <tableColumn id="2035" uniqueName="2035" name="Column2026" queryTableFieldId="14359" dataDxfId="14576"/>
    <tableColumn id="2036" uniqueName="2036" name="Column2027" queryTableFieldId="14358" dataDxfId="14575"/>
    <tableColumn id="2037" uniqueName="2037" name="Column2028" queryTableFieldId="14357" dataDxfId="14574"/>
    <tableColumn id="2038" uniqueName="2038" name="Column2029" queryTableFieldId="14356" dataDxfId="14573"/>
    <tableColumn id="2039" uniqueName="2039" name="Column2030" queryTableFieldId="14355" dataDxfId="14572"/>
    <tableColumn id="2040" uniqueName="2040" name="Column2031" queryTableFieldId="14354" dataDxfId="14571"/>
    <tableColumn id="2041" uniqueName="2041" name="Column2032" queryTableFieldId="14353" dataDxfId="14570"/>
    <tableColumn id="2042" uniqueName="2042" name="Column2033" queryTableFieldId="14352" dataDxfId="14569"/>
    <tableColumn id="2043" uniqueName="2043" name="Column2034" queryTableFieldId="14351" dataDxfId="14568"/>
    <tableColumn id="2044" uniqueName="2044" name="Column2035" queryTableFieldId="14350" dataDxfId="14567"/>
    <tableColumn id="2045" uniqueName="2045" name="Column2036" queryTableFieldId="14349" dataDxfId="14566"/>
    <tableColumn id="2046" uniqueName="2046" name="Column2037" queryTableFieldId="14348" dataDxfId="14565"/>
    <tableColumn id="2047" uniqueName="2047" name="Column2038" queryTableFieldId="14347" dataDxfId="14564"/>
    <tableColumn id="2048" uniqueName="2048" name="Column2039" queryTableFieldId="14346" dataDxfId="14563"/>
    <tableColumn id="2049" uniqueName="2049" name="Column2040" queryTableFieldId="14345" dataDxfId="14562"/>
    <tableColumn id="2050" uniqueName="2050" name="Column2041" queryTableFieldId="14344" dataDxfId="14561"/>
    <tableColumn id="2051" uniqueName="2051" name="Column2042" queryTableFieldId="14343" dataDxfId="14560"/>
    <tableColumn id="2052" uniqueName="2052" name="Column2043" queryTableFieldId="14342" dataDxfId="14559"/>
    <tableColumn id="2053" uniqueName="2053" name="Column2044" queryTableFieldId="14341" dataDxfId="14558"/>
    <tableColumn id="2054" uniqueName="2054" name="Column2045" queryTableFieldId="14340" dataDxfId="14557"/>
    <tableColumn id="2055" uniqueName="2055" name="Column2046" queryTableFieldId="14339" dataDxfId="14556"/>
    <tableColumn id="2056" uniqueName="2056" name="Column2047" queryTableFieldId="14338" dataDxfId="14555"/>
    <tableColumn id="2057" uniqueName="2057" name="Column2048" queryTableFieldId="14337" dataDxfId="14554"/>
    <tableColumn id="2058" uniqueName="2058" name="Column2049" queryTableFieldId="14336" dataDxfId="14553"/>
    <tableColumn id="2059" uniqueName="2059" name="Column2050" queryTableFieldId="14335" dataDxfId="14552"/>
    <tableColumn id="2060" uniqueName="2060" name="Column2051" queryTableFieldId="14334" dataDxfId="14551"/>
    <tableColumn id="2061" uniqueName="2061" name="Column2052" queryTableFieldId="14333" dataDxfId="14550"/>
    <tableColumn id="2062" uniqueName="2062" name="Column2053" queryTableFieldId="14332" dataDxfId="14549"/>
    <tableColumn id="2063" uniqueName="2063" name="Column2054" queryTableFieldId="14331" dataDxfId="14548"/>
    <tableColumn id="2064" uniqueName="2064" name="Column2055" queryTableFieldId="14330" dataDxfId="14547"/>
    <tableColumn id="2065" uniqueName="2065" name="Column2056" queryTableFieldId="14329" dataDxfId="14546"/>
    <tableColumn id="2066" uniqueName="2066" name="Column2057" queryTableFieldId="14328" dataDxfId="14545"/>
    <tableColumn id="2067" uniqueName="2067" name="Column2058" queryTableFieldId="14327" dataDxfId="14544"/>
    <tableColumn id="2068" uniqueName="2068" name="Column2059" queryTableFieldId="14326" dataDxfId="14543"/>
    <tableColumn id="2069" uniqueName="2069" name="Column2060" queryTableFieldId="14325" dataDxfId="14542"/>
    <tableColumn id="2070" uniqueName="2070" name="Column2061" queryTableFieldId="14324" dataDxfId="14541"/>
    <tableColumn id="2071" uniqueName="2071" name="Column2062" queryTableFieldId="14323" dataDxfId="14540"/>
    <tableColumn id="2072" uniqueName="2072" name="Column2063" queryTableFieldId="14322" dataDxfId="14539"/>
    <tableColumn id="2073" uniqueName="2073" name="Column2064" queryTableFieldId="14321" dataDxfId="14538"/>
    <tableColumn id="2074" uniqueName="2074" name="Column2065" queryTableFieldId="14320" dataDxfId="14537"/>
    <tableColumn id="2075" uniqueName="2075" name="Column2066" queryTableFieldId="14319" dataDxfId="14536"/>
    <tableColumn id="2076" uniqueName="2076" name="Column2067" queryTableFieldId="14318" dataDxfId="14535"/>
    <tableColumn id="2077" uniqueName="2077" name="Column2068" queryTableFieldId="14317" dataDxfId="14534"/>
    <tableColumn id="2078" uniqueName="2078" name="Column2069" queryTableFieldId="14316" dataDxfId="14533"/>
    <tableColumn id="2079" uniqueName="2079" name="Column2070" queryTableFieldId="14315" dataDxfId="14532"/>
    <tableColumn id="2080" uniqueName="2080" name="Column2071" queryTableFieldId="14314" dataDxfId="14531"/>
    <tableColumn id="2081" uniqueName="2081" name="Column2072" queryTableFieldId="14313" dataDxfId="14530"/>
    <tableColumn id="2082" uniqueName="2082" name="Column2073" queryTableFieldId="14312" dataDxfId="14529"/>
    <tableColumn id="2083" uniqueName="2083" name="Column2074" queryTableFieldId="14311" dataDxfId="14528"/>
    <tableColumn id="2084" uniqueName="2084" name="Column2075" queryTableFieldId="14310" dataDxfId="14527"/>
    <tableColumn id="2085" uniqueName="2085" name="Column2076" queryTableFieldId="14309" dataDxfId="14526"/>
    <tableColumn id="2086" uniqueName="2086" name="Column2077" queryTableFieldId="14308" dataDxfId="14525"/>
    <tableColumn id="2087" uniqueName="2087" name="Column2078" queryTableFieldId="14307" dataDxfId="14524"/>
    <tableColumn id="2088" uniqueName="2088" name="Column2079" queryTableFieldId="14306" dataDxfId="14523"/>
    <tableColumn id="2089" uniqueName="2089" name="Column2080" queryTableFieldId="14305" dataDxfId="14522"/>
    <tableColumn id="2090" uniqueName="2090" name="Column2081" queryTableFieldId="14304" dataDxfId="14521"/>
    <tableColumn id="2091" uniqueName="2091" name="Column2082" queryTableFieldId="14303" dataDxfId="14520"/>
    <tableColumn id="2092" uniqueName="2092" name="Column2083" queryTableFieldId="14302" dataDxfId="14519"/>
    <tableColumn id="2093" uniqueName="2093" name="Column2084" queryTableFieldId="14301" dataDxfId="14518"/>
    <tableColumn id="2094" uniqueName="2094" name="Column2085" queryTableFieldId="14300" dataDxfId="14517"/>
    <tableColumn id="2095" uniqueName="2095" name="Column2086" queryTableFieldId="14299" dataDxfId="14516"/>
    <tableColumn id="2096" uniqueName="2096" name="Column2087" queryTableFieldId="14298" dataDxfId="14515"/>
    <tableColumn id="2097" uniqueName="2097" name="Column2088" queryTableFieldId="14297" dataDxfId="14514"/>
    <tableColumn id="2098" uniqueName="2098" name="Column2089" queryTableFieldId="14296" dataDxfId="14513"/>
    <tableColumn id="2099" uniqueName="2099" name="Column2090" queryTableFieldId="14295" dataDxfId="14512"/>
    <tableColumn id="2100" uniqueName="2100" name="Column2091" queryTableFieldId="14294" dataDxfId="14511"/>
    <tableColumn id="2101" uniqueName="2101" name="Column2092" queryTableFieldId="14293" dataDxfId="14510"/>
    <tableColumn id="2102" uniqueName="2102" name="Column2093" queryTableFieldId="14292" dataDxfId="14509"/>
    <tableColumn id="2103" uniqueName="2103" name="Column2094" queryTableFieldId="14291" dataDxfId="14508"/>
    <tableColumn id="2104" uniqueName="2104" name="Column2095" queryTableFieldId="14290" dataDxfId="14507"/>
    <tableColumn id="2105" uniqueName="2105" name="Column2096" queryTableFieldId="14289" dataDxfId="14506"/>
    <tableColumn id="2106" uniqueName="2106" name="Column2097" queryTableFieldId="14288" dataDxfId="14505"/>
    <tableColumn id="2107" uniqueName="2107" name="Column2098" queryTableFieldId="14287" dataDxfId="14504"/>
    <tableColumn id="2108" uniqueName="2108" name="Column2099" queryTableFieldId="14286" dataDxfId="14503"/>
    <tableColumn id="2109" uniqueName="2109" name="Column2100" queryTableFieldId="14285" dataDxfId="14502"/>
    <tableColumn id="2110" uniqueName="2110" name="Column2101" queryTableFieldId="14284" dataDxfId="14501"/>
    <tableColumn id="2111" uniqueName="2111" name="Column2102" queryTableFieldId="14283" dataDxfId="14500"/>
    <tableColumn id="2112" uniqueName="2112" name="Column2103" queryTableFieldId="14282" dataDxfId="14499"/>
    <tableColumn id="2113" uniqueName="2113" name="Column2104" queryTableFieldId="14281" dataDxfId="14498"/>
    <tableColumn id="2114" uniqueName="2114" name="Column2105" queryTableFieldId="14280" dataDxfId="14497"/>
    <tableColumn id="2115" uniqueName="2115" name="Column2106" queryTableFieldId="14279" dataDxfId="14496"/>
    <tableColumn id="2116" uniqueName="2116" name="Column2107" queryTableFieldId="14278" dataDxfId="14495"/>
    <tableColumn id="2117" uniqueName="2117" name="Column2108" queryTableFieldId="14277" dataDxfId="14494"/>
    <tableColumn id="2118" uniqueName="2118" name="Column2109" queryTableFieldId="14276" dataDxfId="14493"/>
    <tableColumn id="2119" uniqueName="2119" name="Column2110" queryTableFieldId="14275" dataDxfId="14492"/>
    <tableColumn id="2120" uniqueName="2120" name="Column2111" queryTableFieldId="14274" dataDxfId="14491"/>
    <tableColumn id="2121" uniqueName="2121" name="Column2112" queryTableFieldId="14273" dataDxfId="14490"/>
    <tableColumn id="2122" uniqueName="2122" name="Column2113" queryTableFieldId="14272" dataDxfId="14489"/>
    <tableColumn id="2123" uniqueName="2123" name="Column2114" queryTableFieldId="14271" dataDxfId="14488"/>
    <tableColumn id="2124" uniqueName="2124" name="Column2115" queryTableFieldId="14270" dataDxfId="14487"/>
    <tableColumn id="2125" uniqueName="2125" name="Column2116" queryTableFieldId="14269" dataDxfId="14486"/>
    <tableColumn id="2126" uniqueName="2126" name="Column2117" queryTableFieldId="14268" dataDxfId="14485"/>
    <tableColumn id="2127" uniqueName="2127" name="Column2118" queryTableFieldId="14267" dataDxfId="14484"/>
    <tableColumn id="2128" uniqueName="2128" name="Column2119" queryTableFieldId="14266" dataDxfId="14483"/>
    <tableColumn id="2129" uniqueName="2129" name="Column2120" queryTableFieldId="14265" dataDxfId="14482"/>
    <tableColumn id="2130" uniqueName="2130" name="Column2121" queryTableFieldId="14264" dataDxfId="14481"/>
    <tableColumn id="2131" uniqueName="2131" name="Column2122" queryTableFieldId="14263" dataDxfId="14480"/>
    <tableColumn id="2132" uniqueName="2132" name="Column2123" queryTableFieldId="14262" dataDxfId="14479"/>
    <tableColumn id="2133" uniqueName="2133" name="Column2124" queryTableFieldId="14261" dataDxfId="14478"/>
    <tableColumn id="2134" uniqueName="2134" name="Column2125" queryTableFieldId="14260" dataDxfId="14477"/>
    <tableColumn id="2135" uniqueName="2135" name="Column2126" queryTableFieldId="14259" dataDxfId="14476"/>
    <tableColumn id="2136" uniqueName="2136" name="Column2127" queryTableFieldId="14258" dataDxfId="14475"/>
    <tableColumn id="2137" uniqueName="2137" name="Column2128" queryTableFieldId="14257" dataDxfId="14474"/>
    <tableColumn id="2138" uniqueName="2138" name="Column2129" queryTableFieldId="14256" dataDxfId="14473"/>
    <tableColumn id="2139" uniqueName="2139" name="Column2130" queryTableFieldId="14255" dataDxfId="14472"/>
    <tableColumn id="2140" uniqueName="2140" name="Column2131" queryTableFieldId="14254" dataDxfId="14471"/>
    <tableColumn id="2141" uniqueName="2141" name="Column2132" queryTableFieldId="14253" dataDxfId="14470"/>
    <tableColumn id="2142" uniqueName="2142" name="Column2133" queryTableFieldId="14252" dataDxfId="14469"/>
    <tableColumn id="2143" uniqueName="2143" name="Column2134" queryTableFieldId="14251" dataDxfId="14468"/>
    <tableColumn id="2144" uniqueName="2144" name="Column2135" queryTableFieldId="14250" dataDxfId="14467"/>
    <tableColumn id="2145" uniqueName="2145" name="Column2136" queryTableFieldId="14249" dataDxfId="14466"/>
    <tableColumn id="2146" uniqueName="2146" name="Column2137" queryTableFieldId="14248" dataDxfId="14465"/>
    <tableColumn id="2147" uniqueName="2147" name="Column2138" queryTableFieldId="14247" dataDxfId="14464"/>
    <tableColumn id="2148" uniqueName="2148" name="Column2139" queryTableFieldId="14246" dataDxfId="14463"/>
    <tableColumn id="2149" uniqueName="2149" name="Column2140" queryTableFieldId="14245" dataDxfId="14462"/>
    <tableColumn id="2150" uniqueName="2150" name="Column2141" queryTableFieldId="14244" dataDxfId="14461"/>
    <tableColumn id="2151" uniqueName="2151" name="Column2142" queryTableFieldId="14243" dataDxfId="14460"/>
    <tableColumn id="2152" uniqueName="2152" name="Column2143" queryTableFieldId="14242" dataDxfId="14459"/>
    <tableColumn id="2153" uniqueName="2153" name="Column2144" queryTableFieldId="14241" dataDxfId="14458"/>
    <tableColumn id="2154" uniqueName="2154" name="Column2145" queryTableFieldId="14240" dataDxfId="14457"/>
    <tableColumn id="2155" uniqueName="2155" name="Column2146" queryTableFieldId="14239" dataDxfId="14456"/>
    <tableColumn id="2156" uniqueName="2156" name="Column2147" queryTableFieldId="14238" dataDxfId="14455"/>
    <tableColumn id="2157" uniqueName="2157" name="Column2148" queryTableFieldId="14237" dataDxfId="14454"/>
    <tableColumn id="2158" uniqueName="2158" name="Column2149" queryTableFieldId="14236" dataDxfId="14453"/>
    <tableColumn id="2159" uniqueName="2159" name="Column2150" queryTableFieldId="14235" dataDxfId="14452"/>
    <tableColumn id="2160" uniqueName="2160" name="Column2151" queryTableFieldId="14234" dataDxfId="14451"/>
    <tableColumn id="2161" uniqueName="2161" name="Column2152" queryTableFieldId="14233" dataDxfId="14450"/>
    <tableColumn id="2162" uniqueName="2162" name="Column2153" queryTableFieldId="14232" dataDxfId="14449"/>
    <tableColumn id="2163" uniqueName="2163" name="Column2154" queryTableFieldId="14231" dataDxfId="14448"/>
    <tableColumn id="2164" uniqueName="2164" name="Column2155" queryTableFieldId="14230" dataDxfId="14447"/>
    <tableColumn id="2165" uniqueName="2165" name="Column2156" queryTableFieldId="14229" dataDxfId="14446"/>
    <tableColumn id="2166" uniqueName="2166" name="Column2157" queryTableFieldId="14228" dataDxfId="14445"/>
    <tableColumn id="2167" uniqueName="2167" name="Column2158" queryTableFieldId="14227" dataDxfId="14444"/>
    <tableColumn id="2168" uniqueName="2168" name="Column2159" queryTableFieldId="14226" dataDxfId="14443"/>
    <tableColumn id="2169" uniqueName="2169" name="Column2160" queryTableFieldId="14225" dataDxfId="14442"/>
    <tableColumn id="2170" uniqueName="2170" name="Column2161" queryTableFieldId="14224" dataDxfId="14441"/>
    <tableColumn id="2171" uniqueName="2171" name="Column2162" queryTableFieldId="14223" dataDxfId="14440"/>
    <tableColumn id="2172" uniqueName="2172" name="Column2163" queryTableFieldId="14222" dataDxfId="14439"/>
    <tableColumn id="2173" uniqueName="2173" name="Column2164" queryTableFieldId="14221" dataDxfId="14438"/>
    <tableColumn id="2174" uniqueName="2174" name="Column2165" queryTableFieldId="14220" dataDxfId="14437"/>
    <tableColumn id="2175" uniqueName="2175" name="Column2166" queryTableFieldId="14219" dataDxfId="14436"/>
    <tableColumn id="2176" uniqueName="2176" name="Column2167" queryTableFieldId="14218" dataDxfId="14435"/>
    <tableColumn id="2177" uniqueName="2177" name="Column2168" queryTableFieldId="14217" dataDxfId="14434"/>
    <tableColumn id="2178" uniqueName="2178" name="Column2169" queryTableFieldId="14216" dataDxfId="14433"/>
    <tableColumn id="2179" uniqueName="2179" name="Column2170" queryTableFieldId="14215" dataDxfId="14432"/>
    <tableColumn id="2180" uniqueName="2180" name="Column2171" queryTableFieldId="14214" dataDxfId="14431"/>
    <tableColumn id="2181" uniqueName="2181" name="Column2172" queryTableFieldId="14213" dataDxfId="14430"/>
    <tableColumn id="2182" uniqueName="2182" name="Column2173" queryTableFieldId="14212" dataDxfId="14429"/>
    <tableColumn id="2183" uniqueName="2183" name="Column2174" queryTableFieldId="14211" dataDxfId="14428"/>
    <tableColumn id="2184" uniqueName="2184" name="Column2175" queryTableFieldId="14210" dataDxfId="14427"/>
    <tableColumn id="2185" uniqueName="2185" name="Column2176" queryTableFieldId="14209" dataDxfId="14426"/>
    <tableColumn id="2186" uniqueName="2186" name="Column2177" queryTableFieldId="14208" dataDxfId="14425"/>
    <tableColumn id="2187" uniqueName="2187" name="Column2178" queryTableFieldId="14207" dataDxfId="14424"/>
    <tableColumn id="2188" uniqueName="2188" name="Column2179" queryTableFieldId="14206" dataDxfId="14423"/>
    <tableColumn id="2189" uniqueName="2189" name="Column2180" queryTableFieldId="14205" dataDxfId="14422"/>
    <tableColumn id="2190" uniqueName="2190" name="Column2181" queryTableFieldId="14204" dataDxfId="14421"/>
    <tableColumn id="2191" uniqueName="2191" name="Column2182" queryTableFieldId="14203" dataDxfId="14420"/>
    <tableColumn id="2192" uniqueName="2192" name="Column2183" queryTableFieldId="14202" dataDxfId="14419"/>
    <tableColumn id="2193" uniqueName="2193" name="Column2184" queryTableFieldId="14201" dataDxfId="14418"/>
    <tableColumn id="2194" uniqueName="2194" name="Column2185" queryTableFieldId="14200" dataDxfId="14417"/>
    <tableColumn id="2195" uniqueName="2195" name="Column2186" queryTableFieldId="14199" dataDxfId="14416"/>
    <tableColumn id="2196" uniqueName="2196" name="Column2187" queryTableFieldId="14198" dataDxfId="14415"/>
    <tableColumn id="2197" uniqueName="2197" name="Column2188" queryTableFieldId="14197" dataDxfId="14414"/>
    <tableColumn id="2198" uniqueName="2198" name="Column2189" queryTableFieldId="14196" dataDxfId="14413"/>
    <tableColumn id="2199" uniqueName="2199" name="Column2190" queryTableFieldId="14195" dataDxfId="14412"/>
    <tableColumn id="2200" uniqueName="2200" name="Column2191" queryTableFieldId="14194" dataDxfId="14411"/>
    <tableColumn id="2201" uniqueName="2201" name="Column2192" queryTableFieldId="14193" dataDxfId="14410"/>
    <tableColumn id="2202" uniqueName="2202" name="Column2193" queryTableFieldId="14192" dataDxfId="14409"/>
    <tableColumn id="2203" uniqueName="2203" name="Column2194" queryTableFieldId="14191" dataDxfId="14408"/>
    <tableColumn id="2204" uniqueName="2204" name="Column2195" queryTableFieldId="14190" dataDxfId="14407"/>
    <tableColumn id="2205" uniqueName="2205" name="Column2196" queryTableFieldId="14189" dataDxfId="14406"/>
    <tableColumn id="2206" uniqueName="2206" name="Column2197" queryTableFieldId="14188" dataDxfId="14405"/>
    <tableColumn id="2207" uniqueName="2207" name="Column2198" queryTableFieldId="14187" dataDxfId="14404"/>
    <tableColumn id="2208" uniqueName="2208" name="Column2199" queryTableFieldId="14186" dataDxfId="14403"/>
    <tableColumn id="2209" uniqueName="2209" name="Column2200" queryTableFieldId="14185" dataDxfId="14402"/>
    <tableColumn id="2210" uniqueName="2210" name="Column2201" queryTableFieldId="14184" dataDxfId="14401"/>
    <tableColumn id="2211" uniqueName="2211" name="Column2202" queryTableFieldId="14183" dataDxfId="14400"/>
    <tableColumn id="2212" uniqueName="2212" name="Column2203" queryTableFieldId="14182" dataDxfId="14399"/>
    <tableColumn id="2213" uniqueName="2213" name="Column2204" queryTableFieldId="14181" dataDxfId="14398"/>
    <tableColumn id="2214" uniqueName="2214" name="Column2205" queryTableFieldId="14180" dataDxfId="14397"/>
    <tableColumn id="2215" uniqueName="2215" name="Column2206" queryTableFieldId="14179" dataDxfId="14396"/>
    <tableColumn id="2216" uniqueName="2216" name="Column2207" queryTableFieldId="14178" dataDxfId="14395"/>
    <tableColumn id="2217" uniqueName="2217" name="Column2208" queryTableFieldId="14177" dataDxfId="14394"/>
    <tableColumn id="2218" uniqueName="2218" name="Column2209" queryTableFieldId="14176" dataDxfId="14393"/>
    <tableColumn id="2219" uniqueName="2219" name="Column2210" queryTableFieldId="14175" dataDxfId="14392"/>
    <tableColumn id="2220" uniqueName="2220" name="Column2211" queryTableFieldId="14174" dataDxfId="14391"/>
    <tableColumn id="2221" uniqueName="2221" name="Column2212" queryTableFieldId="14173" dataDxfId="14390"/>
    <tableColumn id="2222" uniqueName="2222" name="Column2213" queryTableFieldId="14172" dataDxfId="14389"/>
    <tableColumn id="2223" uniqueName="2223" name="Column2214" queryTableFieldId="14171" dataDxfId="14388"/>
    <tableColumn id="2224" uniqueName="2224" name="Column2215" queryTableFieldId="14170" dataDxfId="14387"/>
    <tableColumn id="2225" uniqueName="2225" name="Column2216" queryTableFieldId="14169" dataDxfId="14386"/>
    <tableColumn id="2226" uniqueName="2226" name="Column2217" queryTableFieldId="14168" dataDxfId="14385"/>
    <tableColumn id="2227" uniqueName="2227" name="Column2218" queryTableFieldId="14167" dataDxfId="14384"/>
    <tableColumn id="2228" uniqueName="2228" name="Column2219" queryTableFieldId="14166" dataDxfId="14383"/>
    <tableColumn id="2229" uniqueName="2229" name="Column2220" queryTableFieldId="14165" dataDxfId="14382"/>
    <tableColumn id="2230" uniqueName="2230" name="Column2221" queryTableFieldId="14164" dataDxfId="14381"/>
    <tableColumn id="2231" uniqueName="2231" name="Column2222" queryTableFieldId="14163" dataDxfId="14380"/>
    <tableColumn id="2232" uniqueName="2232" name="Column2223" queryTableFieldId="14162" dataDxfId="14379"/>
    <tableColumn id="2233" uniqueName="2233" name="Column2224" queryTableFieldId="14161" dataDxfId="14378"/>
    <tableColumn id="2234" uniqueName="2234" name="Column2225" queryTableFieldId="14160" dataDxfId="14377"/>
    <tableColumn id="2235" uniqueName="2235" name="Column2226" queryTableFieldId="14159" dataDxfId="14376"/>
    <tableColumn id="2236" uniqueName="2236" name="Column2227" queryTableFieldId="14158" dataDxfId="14375"/>
    <tableColumn id="2237" uniqueName="2237" name="Column2228" queryTableFieldId="14157" dataDxfId="14374"/>
    <tableColumn id="2238" uniqueName="2238" name="Column2229" queryTableFieldId="14156" dataDxfId="14373"/>
    <tableColumn id="2239" uniqueName="2239" name="Column2230" queryTableFieldId="14155" dataDxfId="14372"/>
    <tableColumn id="2240" uniqueName="2240" name="Column2231" queryTableFieldId="14154" dataDxfId="14371"/>
    <tableColumn id="2241" uniqueName="2241" name="Column2232" queryTableFieldId="14153" dataDxfId="14370"/>
    <tableColumn id="2242" uniqueName="2242" name="Column2233" queryTableFieldId="14152" dataDxfId="14369"/>
    <tableColumn id="2243" uniqueName="2243" name="Column2234" queryTableFieldId="14151" dataDxfId="14368"/>
    <tableColumn id="2244" uniqueName="2244" name="Column2235" queryTableFieldId="14150" dataDxfId="14367"/>
    <tableColumn id="2245" uniqueName="2245" name="Column2236" queryTableFieldId="14149" dataDxfId="14366"/>
    <tableColumn id="2246" uniqueName="2246" name="Column2237" queryTableFieldId="14148" dataDxfId="14365"/>
    <tableColumn id="2247" uniqueName="2247" name="Column2238" queryTableFieldId="14147" dataDxfId="14364"/>
    <tableColumn id="2248" uniqueName="2248" name="Column2239" queryTableFieldId="14146" dataDxfId="14363"/>
    <tableColumn id="2249" uniqueName="2249" name="Column2240" queryTableFieldId="14145" dataDxfId="14362"/>
    <tableColumn id="2250" uniqueName="2250" name="Column2241" queryTableFieldId="14144" dataDxfId="14361"/>
    <tableColumn id="2251" uniqueName="2251" name="Column2242" queryTableFieldId="14143" dataDxfId="14360"/>
    <tableColumn id="2252" uniqueName="2252" name="Column2243" queryTableFieldId="14142" dataDxfId="14359"/>
    <tableColumn id="2253" uniqueName="2253" name="Column2244" queryTableFieldId="14141" dataDxfId="14358"/>
    <tableColumn id="2254" uniqueName="2254" name="Column2245" queryTableFieldId="14140" dataDxfId="14357"/>
    <tableColumn id="2255" uniqueName="2255" name="Column2246" queryTableFieldId="14139" dataDxfId="14356"/>
    <tableColumn id="2256" uniqueName="2256" name="Column2247" queryTableFieldId="14138" dataDxfId="14355"/>
    <tableColumn id="2257" uniqueName="2257" name="Column2248" queryTableFieldId="14137" dataDxfId="14354"/>
    <tableColumn id="2258" uniqueName="2258" name="Column2249" queryTableFieldId="14136" dataDxfId="14353"/>
    <tableColumn id="2259" uniqueName="2259" name="Column2250" queryTableFieldId="14135" dataDxfId="14352"/>
    <tableColumn id="2260" uniqueName="2260" name="Column2251" queryTableFieldId="14134" dataDxfId="14351"/>
    <tableColumn id="2261" uniqueName="2261" name="Column2252" queryTableFieldId="14133" dataDxfId="14350"/>
    <tableColumn id="2262" uniqueName="2262" name="Column2253" queryTableFieldId="14132" dataDxfId="14349"/>
    <tableColumn id="2263" uniqueName="2263" name="Column2254" queryTableFieldId="14131" dataDxfId="14348"/>
    <tableColumn id="2264" uniqueName="2264" name="Column2255" queryTableFieldId="14130" dataDxfId="14347"/>
    <tableColumn id="2265" uniqueName="2265" name="Column2256" queryTableFieldId="14129" dataDxfId="14346"/>
    <tableColumn id="2266" uniqueName="2266" name="Column2257" queryTableFieldId="14128" dataDxfId="14345"/>
    <tableColumn id="2267" uniqueName="2267" name="Column2258" queryTableFieldId="14127" dataDxfId="14344"/>
    <tableColumn id="2268" uniqueName="2268" name="Column2259" queryTableFieldId="14126" dataDxfId="14343"/>
    <tableColumn id="2269" uniqueName="2269" name="Column2260" queryTableFieldId="14125" dataDxfId="14342"/>
    <tableColumn id="2270" uniqueName="2270" name="Column2261" queryTableFieldId="14124" dataDxfId="14341"/>
    <tableColumn id="2271" uniqueName="2271" name="Column2262" queryTableFieldId="14123" dataDxfId="14340"/>
    <tableColumn id="2272" uniqueName="2272" name="Column2263" queryTableFieldId="14122" dataDxfId="14339"/>
    <tableColumn id="2273" uniqueName="2273" name="Column2264" queryTableFieldId="14121" dataDxfId="14338"/>
    <tableColumn id="2274" uniqueName="2274" name="Column2265" queryTableFieldId="14120" dataDxfId="14337"/>
    <tableColumn id="2275" uniqueName="2275" name="Column2266" queryTableFieldId="14119" dataDxfId="14336"/>
    <tableColumn id="2276" uniqueName="2276" name="Column2267" queryTableFieldId="14118" dataDxfId="14335"/>
    <tableColumn id="2277" uniqueName="2277" name="Column2268" queryTableFieldId="14117" dataDxfId="14334"/>
    <tableColumn id="2278" uniqueName="2278" name="Column2269" queryTableFieldId="14116" dataDxfId="14333"/>
    <tableColumn id="2279" uniqueName="2279" name="Column2270" queryTableFieldId="14115" dataDxfId="14332"/>
    <tableColumn id="2280" uniqueName="2280" name="Column2271" queryTableFieldId="14114" dataDxfId="14331"/>
    <tableColumn id="2281" uniqueName="2281" name="Column2272" queryTableFieldId="14113" dataDxfId="14330"/>
    <tableColumn id="2282" uniqueName="2282" name="Column2273" queryTableFieldId="14112" dataDxfId="14329"/>
    <tableColumn id="2283" uniqueName="2283" name="Column2274" queryTableFieldId="14111" dataDxfId="14328"/>
    <tableColumn id="2284" uniqueName="2284" name="Column2275" queryTableFieldId="14110" dataDxfId="14327"/>
    <tableColumn id="2285" uniqueName="2285" name="Column2276" queryTableFieldId="14109" dataDxfId="14326"/>
    <tableColumn id="2286" uniqueName="2286" name="Column2277" queryTableFieldId="14108" dataDxfId="14325"/>
    <tableColumn id="2287" uniqueName="2287" name="Column2278" queryTableFieldId="14107" dataDxfId="14324"/>
    <tableColumn id="2288" uniqueName="2288" name="Column2279" queryTableFieldId="14106" dataDxfId="14323"/>
    <tableColumn id="2289" uniqueName="2289" name="Column2280" queryTableFieldId="14105" dataDxfId="14322"/>
    <tableColumn id="2290" uniqueName="2290" name="Column2281" queryTableFieldId="14104" dataDxfId="14321"/>
    <tableColumn id="2291" uniqueName="2291" name="Column2282" queryTableFieldId="14103" dataDxfId="14320"/>
    <tableColumn id="2292" uniqueName="2292" name="Column2283" queryTableFieldId="14102" dataDxfId="14319"/>
    <tableColumn id="2293" uniqueName="2293" name="Column2284" queryTableFieldId="14101" dataDxfId="14318"/>
    <tableColumn id="2294" uniqueName="2294" name="Column2285" queryTableFieldId="14100" dataDxfId="14317"/>
    <tableColumn id="2295" uniqueName="2295" name="Column2286" queryTableFieldId="14099" dataDxfId="14316"/>
    <tableColumn id="2296" uniqueName="2296" name="Column2287" queryTableFieldId="14098" dataDxfId="14315"/>
    <tableColumn id="2297" uniqueName="2297" name="Column2288" queryTableFieldId="14097" dataDxfId="14314"/>
    <tableColumn id="2298" uniqueName="2298" name="Column2289" queryTableFieldId="14096" dataDxfId="14313"/>
    <tableColumn id="2299" uniqueName="2299" name="Column2290" queryTableFieldId="14095" dataDxfId="14312"/>
    <tableColumn id="2300" uniqueName="2300" name="Column2291" queryTableFieldId="14094" dataDxfId="14311"/>
    <tableColumn id="2301" uniqueName="2301" name="Column2292" queryTableFieldId="14093" dataDxfId="14310"/>
    <tableColumn id="2302" uniqueName="2302" name="Column2293" queryTableFieldId="14092" dataDxfId="14309"/>
    <tableColumn id="2303" uniqueName="2303" name="Column2294" queryTableFieldId="14091" dataDxfId="14308"/>
    <tableColumn id="2304" uniqueName="2304" name="Column2295" queryTableFieldId="14090" dataDxfId="14307"/>
    <tableColumn id="2305" uniqueName="2305" name="Column2296" queryTableFieldId="14089" dataDxfId="14306"/>
    <tableColumn id="2306" uniqueName="2306" name="Column2297" queryTableFieldId="14088" dataDxfId="14305"/>
    <tableColumn id="2307" uniqueName="2307" name="Column2298" queryTableFieldId="14087" dataDxfId="14304"/>
    <tableColumn id="2308" uniqueName="2308" name="Column2299" queryTableFieldId="14086" dataDxfId="14303"/>
    <tableColumn id="2309" uniqueName="2309" name="Column2300" queryTableFieldId="14085" dataDxfId="14302"/>
    <tableColumn id="2310" uniqueName="2310" name="Column2301" queryTableFieldId="14084" dataDxfId="14301"/>
    <tableColumn id="2311" uniqueName="2311" name="Column2302" queryTableFieldId="14083" dataDxfId="14300"/>
    <tableColumn id="2312" uniqueName="2312" name="Column2303" queryTableFieldId="14082" dataDxfId="14299"/>
    <tableColumn id="2313" uniqueName="2313" name="Column2304" queryTableFieldId="14081" dataDxfId="14298"/>
    <tableColumn id="2314" uniqueName="2314" name="Column2305" queryTableFieldId="14080" dataDxfId="14297"/>
    <tableColumn id="2315" uniqueName="2315" name="Column2306" queryTableFieldId="14079" dataDxfId="14296"/>
    <tableColumn id="2316" uniqueName="2316" name="Column2307" queryTableFieldId="14078" dataDxfId="14295"/>
    <tableColumn id="2317" uniqueName="2317" name="Column2308" queryTableFieldId="14077" dataDxfId="14294"/>
    <tableColumn id="2318" uniqueName="2318" name="Column2309" queryTableFieldId="14076" dataDxfId="14293"/>
    <tableColumn id="2319" uniqueName="2319" name="Column2310" queryTableFieldId="14075" dataDxfId="14292"/>
    <tableColumn id="2320" uniqueName="2320" name="Column2311" queryTableFieldId="14074" dataDxfId="14291"/>
    <tableColumn id="2321" uniqueName="2321" name="Column2312" queryTableFieldId="14073" dataDxfId="14290"/>
    <tableColumn id="2322" uniqueName="2322" name="Column2313" queryTableFieldId="14072" dataDxfId="14289"/>
    <tableColumn id="2323" uniqueName="2323" name="Column2314" queryTableFieldId="14071" dataDxfId="14288"/>
    <tableColumn id="2324" uniqueName="2324" name="Column2315" queryTableFieldId="14070" dataDxfId="14287"/>
    <tableColumn id="2325" uniqueName="2325" name="Column2316" queryTableFieldId="14069" dataDxfId="14286"/>
    <tableColumn id="2326" uniqueName="2326" name="Column2317" queryTableFieldId="14068" dataDxfId="14285"/>
    <tableColumn id="2327" uniqueName="2327" name="Column2318" queryTableFieldId="14067" dataDxfId="14284"/>
    <tableColumn id="2328" uniqueName="2328" name="Column2319" queryTableFieldId="14066" dataDxfId="14283"/>
    <tableColumn id="2329" uniqueName="2329" name="Column2320" queryTableFieldId="14065" dataDxfId="14282"/>
    <tableColumn id="2330" uniqueName="2330" name="Column2321" queryTableFieldId="14064" dataDxfId="14281"/>
    <tableColumn id="2331" uniqueName="2331" name="Column2322" queryTableFieldId="14063" dataDxfId="14280"/>
    <tableColumn id="2332" uniqueName="2332" name="Column2323" queryTableFieldId="14062" dataDxfId="14279"/>
    <tableColumn id="2333" uniqueName="2333" name="Column2324" queryTableFieldId="14061" dataDxfId="14278"/>
    <tableColumn id="2334" uniqueName="2334" name="Column2325" queryTableFieldId="14060" dataDxfId="14277"/>
    <tableColumn id="2335" uniqueName="2335" name="Column2326" queryTableFieldId="14059" dataDxfId="14276"/>
    <tableColumn id="2336" uniqueName="2336" name="Column2327" queryTableFieldId="14058" dataDxfId="14275"/>
    <tableColumn id="2337" uniqueName="2337" name="Column2328" queryTableFieldId="14057" dataDxfId="14274"/>
    <tableColumn id="2338" uniqueName="2338" name="Column2329" queryTableFieldId="14056" dataDxfId="14273"/>
    <tableColumn id="2339" uniqueName="2339" name="Column2330" queryTableFieldId="14055" dataDxfId="14272"/>
    <tableColumn id="2340" uniqueName="2340" name="Column2331" queryTableFieldId="14054" dataDxfId="14271"/>
    <tableColumn id="2341" uniqueName="2341" name="Column2332" queryTableFieldId="14053" dataDxfId="14270"/>
    <tableColumn id="2342" uniqueName="2342" name="Column2333" queryTableFieldId="14052" dataDxfId="14269"/>
    <tableColumn id="2343" uniqueName="2343" name="Column2334" queryTableFieldId="14051" dataDxfId="14268"/>
    <tableColumn id="2344" uniqueName="2344" name="Column2335" queryTableFieldId="14050" dataDxfId="14267"/>
    <tableColumn id="2345" uniqueName="2345" name="Column2336" queryTableFieldId="14049" dataDxfId="14266"/>
    <tableColumn id="2346" uniqueName="2346" name="Column2337" queryTableFieldId="14048" dataDxfId="14265"/>
    <tableColumn id="2347" uniqueName="2347" name="Column2338" queryTableFieldId="14047" dataDxfId="14264"/>
    <tableColumn id="2348" uniqueName="2348" name="Column2339" queryTableFieldId="14046" dataDxfId="14263"/>
    <tableColumn id="2349" uniqueName="2349" name="Column2340" queryTableFieldId="14045" dataDxfId="14262"/>
    <tableColumn id="2350" uniqueName="2350" name="Column2341" queryTableFieldId="14044" dataDxfId="14261"/>
    <tableColumn id="2351" uniqueName="2351" name="Column2342" queryTableFieldId="14043" dataDxfId="14260"/>
    <tableColumn id="2352" uniqueName="2352" name="Column2343" queryTableFieldId="14042" dataDxfId="14259"/>
    <tableColumn id="2353" uniqueName="2353" name="Column2344" queryTableFieldId="14041" dataDxfId="14258"/>
    <tableColumn id="2354" uniqueName="2354" name="Column2345" queryTableFieldId="14040" dataDxfId="14257"/>
    <tableColumn id="2355" uniqueName="2355" name="Column2346" queryTableFieldId="14039" dataDxfId="14256"/>
    <tableColumn id="2356" uniqueName="2356" name="Column2347" queryTableFieldId="14038" dataDxfId="14255"/>
    <tableColumn id="2357" uniqueName="2357" name="Column2348" queryTableFieldId="14037" dataDxfId="14254"/>
    <tableColumn id="2358" uniqueName="2358" name="Column2349" queryTableFieldId="14036" dataDxfId="14253"/>
    <tableColumn id="2359" uniqueName="2359" name="Column2350" queryTableFieldId="14035" dataDxfId="14252"/>
    <tableColumn id="2360" uniqueName="2360" name="Column2351" queryTableFieldId="14034" dataDxfId="14251"/>
    <tableColumn id="2361" uniqueName="2361" name="Column2352" queryTableFieldId="14033" dataDxfId="14250"/>
    <tableColumn id="2362" uniqueName="2362" name="Column2353" queryTableFieldId="14032" dataDxfId="14249"/>
    <tableColumn id="2363" uniqueName="2363" name="Column2354" queryTableFieldId="14031" dataDxfId="14248"/>
    <tableColumn id="2364" uniqueName="2364" name="Column2355" queryTableFieldId="14030" dataDxfId="14247"/>
    <tableColumn id="2365" uniqueName="2365" name="Column2356" queryTableFieldId="14029" dataDxfId="14246"/>
    <tableColumn id="2366" uniqueName="2366" name="Column2357" queryTableFieldId="14028" dataDxfId="14245"/>
    <tableColumn id="2367" uniqueName="2367" name="Column2358" queryTableFieldId="14027" dataDxfId="14244"/>
    <tableColumn id="2368" uniqueName="2368" name="Column2359" queryTableFieldId="14026" dataDxfId="14243"/>
    <tableColumn id="2369" uniqueName="2369" name="Column2360" queryTableFieldId="14025" dataDxfId="14242"/>
    <tableColumn id="2370" uniqueName="2370" name="Column2361" queryTableFieldId="14024" dataDxfId="14241"/>
    <tableColumn id="2371" uniqueName="2371" name="Column2362" queryTableFieldId="14023" dataDxfId="14240"/>
    <tableColumn id="2372" uniqueName="2372" name="Column2363" queryTableFieldId="14022" dataDxfId="14239"/>
    <tableColumn id="2373" uniqueName="2373" name="Column2364" queryTableFieldId="14021" dataDxfId="14238"/>
    <tableColumn id="2374" uniqueName="2374" name="Column2365" queryTableFieldId="14020" dataDxfId="14237"/>
    <tableColumn id="2375" uniqueName="2375" name="Column2366" queryTableFieldId="14019" dataDxfId="14236"/>
    <tableColumn id="2376" uniqueName="2376" name="Column2367" queryTableFieldId="14018" dataDxfId="14235"/>
    <tableColumn id="2377" uniqueName="2377" name="Column2368" queryTableFieldId="14017" dataDxfId="14234"/>
    <tableColumn id="2378" uniqueName="2378" name="Column2369" queryTableFieldId="14016" dataDxfId="14233"/>
    <tableColumn id="2379" uniqueName="2379" name="Column2370" queryTableFieldId="14015" dataDxfId="14232"/>
    <tableColumn id="2380" uniqueName="2380" name="Column2371" queryTableFieldId="14014" dataDxfId="14231"/>
    <tableColumn id="2381" uniqueName="2381" name="Column2372" queryTableFieldId="14013" dataDxfId="14230"/>
    <tableColumn id="2382" uniqueName="2382" name="Column2373" queryTableFieldId="14012" dataDxfId="14229"/>
    <tableColumn id="2383" uniqueName="2383" name="Column2374" queryTableFieldId="14011" dataDxfId="14228"/>
    <tableColumn id="2384" uniqueName="2384" name="Column2375" queryTableFieldId="14010" dataDxfId="14227"/>
    <tableColumn id="2385" uniqueName="2385" name="Column2376" queryTableFieldId="14009" dataDxfId="14226"/>
    <tableColumn id="2386" uniqueName="2386" name="Column2377" queryTableFieldId="14008" dataDxfId="14225"/>
    <tableColumn id="2387" uniqueName="2387" name="Column2378" queryTableFieldId="14007" dataDxfId="14224"/>
    <tableColumn id="2388" uniqueName="2388" name="Column2379" queryTableFieldId="14006" dataDxfId="14223"/>
    <tableColumn id="2389" uniqueName="2389" name="Column2380" queryTableFieldId="14005" dataDxfId="14222"/>
    <tableColumn id="2390" uniqueName="2390" name="Column2381" queryTableFieldId="14004" dataDxfId="14221"/>
    <tableColumn id="2391" uniqueName="2391" name="Column2382" queryTableFieldId="14003" dataDxfId="14220"/>
    <tableColumn id="2392" uniqueName="2392" name="Column2383" queryTableFieldId="14002" dataDxfId="14219"/>
    <tableColumn id="2393" uniqueName="2393" name="Column2384" queryTableFieldId="14001" dataDxfId="14218"/>
    <tableColumn id="2394" uniqueName="2394" name="Column2385" queryTableFieldId="14000" dataDxfId="14217"/>
    <tableColumn id="2395" uniqueName="2395" name="Column2386" queryTableFieldId="13999" dataDxfId="14216"/>
    <tableColumn id="2396" uniqueName="2396" name="Column2387" queryTableFieldId="13998" dataDxfId="14215"/>
    <tableColumn id="2397" uniqueName="2397" name="Column2388" queryTableFieldId="13997" dataDxfId="14214"/>
    <tableColumn id="2398" uniqueName="2398" name="Column2389" queryTableFieldId="13996" dataDxfId="14213"/>
    <tableColumn id="2399" uniqueName="2399" name="Column2390" queryTableFieldId="13995" dataDxfId="14212"/>
    <tableColumn id="2400" uniqueName="2400" name="Column2391" queryTableFieldId="13994" dataDxfId="14211"/>
    <tableColumn id="2401" uniqueName="2401" name="Column2392" queryTableFieldId="13993" dataDxfId="14210"/>
    <tableColumn id="2402" uniqueName="2402" name="Column2393" queryTableFieldId="13992" dataDxfId="14209"/>
    <tableColumn id="2403" uniqueName="2403" name="Column2394" queryTableFieldId="13991" dataDxfId="14208"/>
    <tableColumn id="2404" uniqueName="2404" name="Column2395" queryTableFieldId="13990" dataDxfId="14207"/>
    <tableColumn id="2405" uniqueName="2405" name="Column2396" queryTableFieldId="13989" dataDxfId="14206"/>
    <tableColumn id="2406" uniqueName="2406" name="Column2397" queryTableFieldId="13988" dataDxfId="14205"/>
    <tableColumn id="2407" uniqueName="2407" name="Column2398" queryTableFieldId="13987" dataDxfId="14204"/>
    <tableColumn id="2408" uniqueName="2408" name="Column2399" queryTableFieldId="13986" dataDxfId="14203"/>
    <tableColumn id="2409" uniqueName="2409" name="Column2400" queryTableFieldId="13985" dataDxfId="14202"/>
    <tableColumn id="2410" uniqueName="2410" name="Column2401" queryTableFieldId="13984" dataDxfId="14201"/>
    <tableColumn id="2411" uniqueName="2411" name="Column2402" queryTableFieldId="13983" dataDxfId="14200"/>
    <tableColumn id="2412" uniqueName="2412" name="Column2403" queryTableFieldId="13982" dataDxfId="14199"/>
    <tableColumn id="2413" uniqueName="2413" name="Column2404" queryTableFieldId="13981" dataDxfId="14198"/>
    <tableColumn id="2414" uniqueName="2414" name="Column2405" queryTableFieldId="13980" dataDxfId="14197"/>
    <tableColumn id="2415" uniqueName="2415" name="Column2406" queryTableFieldId="13979" dataDxfId="14196"/>
    <tableColumn id="2416" uniqueName="2416" name="Column2407" queryTableFieldId="13978" dataDxfId="14195"/>
    <tableColumn id="2417" uniqueName="2417" name="Column2408" queryTableFieldId="13977" dataDxfId="14194"/>
    <tableColumn id="2418" uniqueName="2418" name="Column2409" queryTableFieldId="13976" dataDxfId="14193"/>
    <tableColumn id="2419" uniqueName="2419" name="Column2410" queryTableFieldId="13975" dataDxfId="14192"/>
    <tableColumn id="2420" uniqueName="2420" name="Column2411" queryTableFieldId="13974" dataDxfId="14191"/>
    <tableColumn id="2421" uniqueName="2421" name="Column2412" queryTableFieldId="13973" dataDxfId="14190"/>
    <tableColumn id="2422" uniqueName="2422" name="Column2413" queryTableFieldId="13972" dataDxfId="14189"/>
    <tableColumn id="2423" uniqueName="2423" name="Column2414" queryTableFieldId="13971" dataDxfId="14188"/>
    <tableColumn id="2424" uniqueName="2424" name="Column2415" queryTableFieldId="13970" dataDxfId="14187"/>
    <tableColumn id="2425" uniqueName="2425" name="Column2416" queryTableFieldId="13969" dataDxfId="14186"/>
    <tableColumn id="2426" uniqueName="2426" name="Column2417" queryTableFieldId="13968" dataDxfId="14185"/>
    <tableColumn id="2427" uniqueName="2427" name="Column2418" queryTableFieldId="13967" dataDxfId="14184"/>
    <tableColumn id="2428" uniqueName="2428" name="Column2419" queryTableFieldId="13966" dataDxfId="14183"/>
    <tableColumn id="2429" uniqueName="2429" name="Column2420" queryTableFieldId="13965" dataDxfId="14182"/>
    <tableColumn id="2430" uniqueName="2430" name="Column2421" queryTableFieldId="13964" dataDxfId="14181"/>
    <tableColumn id="2431" uniqueName="2431" name="Column2422" queryTableFieldId="13963" dataDxfId="14180"/>
    <tableColumn id="2432" uniqueName="2432" name="Column2423" queryTableFieldId="13962" dataDxfId="14179"/>
    <tableColumn id="2433" uniqueName="2433" name="Column2424" queryTableFieldId="13961" dataDxfId="14178"/>
    <tableColumn id="2434" uniqueName="2434" name="Column2425" queryTableFieldId="13960" dataDxfId="14177"/>
    <tableColumn id="2435" uniqueName="2435" name="Column2426" queryTableFieldId="13959" dataDxfId="14176"/>
    <tableColumn id="2436" uniqueName="2436" name="Column2427" queryTableFieldId="13958" dataDxfId="14175"/>
    <tableColumn id="2437" uniqueName="2437" name="Column2428" queryTableFieldId="13957" dataDxfId="14174"/>
    <tableColumn id="2438" uniqueName="2438" name="Column2429" queryTableFieldId="13956" dataDxfId="14173"/>
    <tableColumn id="2439" uniqueName="2439" name="Column2430" queryTableFieldId="13955" dataDxfId="14172"/>
    <tableColumn id="2440" uniqueName="2440" name="Column2431" queryTableFieldId="13954" dataDxfId="14171"/>
    <tableColumn id="2441" uniqueName="2441" name="Column2432" queryTableFieldId="13953" dataDxfId="14170"/>
    <tableColumn id="2442" uniqueName="2442" name="Column2433" queryTableFieldId="13952" dataDxfId="14169"/>
    <tableColumn id="2443" uniqueName="2443" name="Column2434" queryTableFieldId="13951" dataDxfId="14168"/>
    <tableColumn id="2444" uniqueName="2444" name="Column2435" queryTableFieldId="13950" dataDxfId="14167"/>
    <tableColumn id="2445" uniqueName="2445" name="Column2436" queryTableFieldId="13949" dataDxfId="14166"/>
    <tableColumn id="2446" uniqueName="2446" name="Column2437" queryTableFieldId="13948" dataDxfId="14165"/>
    <tableColumn id="2447" uniqueName="2447" name="Column2438" queryTableFieldId="13947" dataDxfId="14164"/>
    <tableColumn id="2448" uniqueName="2448" name="Column2439" queryTableFieldId="13946" dataDxfId="14163"/>
    <tableColumn id="2449" uniqueName="2449" name="Column2440" queryTableFieldId="13945" dataDxfId="14162"/>
    <tableColumn id="2450" uniqueName="2450" name="Column2441" queryTableFieldId="13944" dataDxfId="14161"/>
    <tableColumn id="2451" uniqueName="2451" name="Column2442" queryTableFieldId="13943" dataDxfId="14160"/>
    <tableColumn id="2452" uniqueName="2452" name="Column2443" queryTableFieldId="13942" dataDxfId="14159"/>
    <tableColumn id="2453" uniqueName="2453" name="Column2444" queryTableFieldId="13941" dataDxfId="14158"/>
    <tableColumn id="2454" uniqueName="2454" name="Column2445" queryTableFieldId="13940" dataDxfId="14157"/>
    <tableColumn id="2455" uniqueName="2455" name="Column2446" queryTableFieldId="13939" dataDxfId="14156"/>
    <tableColumn id="2456" uniqueName="2456" name="Column2447" queryTableFieldId="13938" dataDxfId="14155"/>
    <tableColumn id="2457" uniqueName="2457" name="Column2448" queryTableFieldId="13937" dataDxfId="14154"/>
    <tableColumn id="2458" uniqueName="2458" name="Column2449" queryTableFieldId="13936" dataDxfId="14153"/>
    <tableColumn id="2459" uniqueName="2459" name="Column2450" queryTableFieldId="13935" dataDxfId="14152"/>
    <tableColumn id="2460" uniqueName="2460" name="Column2451" queryTableFieldId="13934" dataDxfId="14151"/>
    <tableColumn id="2461" uniqueName="2461" name="Column2452" queryTableFieldId="13933" dataDxfId="14150"/>
    <tableColumn id="2462" uniqueName="2462" name="Column2453" queryTableFieldId="13932" dataDxfId="14149"/>
    <tableColumn id="2463" uniqueName="2463" name="Column2454" queryTableFieldId="13931" dataDxfId="14148"/>
    <tableColumn id="2464" uniqueName="2464" name="Column2455" queryTableFieldId="13930" dataDxfId="14147"/>
    <tableColumn id="2465" uniqueName="2465" name="Column2456" queryTableFieldId="13929" dataDxfId="14146"/>
    <tableColumn id="2466" uniqueName="2466" name="Column2457" queryTableFieldId="13928" dataDxfId="14145"/>
    <tableColumn id="2467" uniqueName="2467" name="Column2458" queryTableFieldId="13927" dataDxfId="14144"/>
    <tableColumn id="2468" uniqueName="2468" name="Column2459" queryTableFieldId="13926" dataDxfId="14143"/>
    <tableColumn id="2469" uniqueName="2469" name="Column2460" queryTableFieldId="13925" dataDxfId="14142"/>
    <tableColumn id="2470" uniqueName="2470" name="Column2461" queryTableFieldId="13924" dataDxfId="14141"/>
    <tableColumn id="2471" uniqueName="2471" name="Column2462" queryTableFieldId="13923" dataDxfId="14140"/>
    <tableColumn id="2472" uniqueName="2472" name="Column2463" queryTableFieldId="13922" dataDxfId="14139"/>
    <tableColumn id="2473" uniqueName="2473" name="Column2464" queryTableFieldId="13921" dataDxfId="14138"/>
    <tableColumn id="2474" uniqueName="2474" name="Column2465" queryTableFieldId="13920" dataDxfId="14137"/>
    <tableColumn id="2475" uniqueName="2475" name="Column2466" queryTableFieldId="13919" dataDxfId="14136"/>
    <tableColumn id="2476" uniqueName="2476" name="Column2467" queryTableFieldId="13918" dataDxfId="14135"/>
    <tableColumn id="2477" uniqueName="2477" name="Column2468" queryTableFieldId="13917" dataDxfId="14134"/>
    <tableColumn id="2478" uniqueName="2478" name="Column2469" queryTableFieldId="13916" dataDxfId="14133"/>
    <tableColumn id="2479" uniqueName="2479" name="Column2470" queryTableFieldId="13915" dataDxfId="14132"/>
    <tableColumn id="2480" uniqueName="2480" name="Column2471" queryTableFieldId="13914" dataDxfId="14131"/>
    <tableColumn id="2481" uniqueName="2481" name="Column2472" queryTableFieldId="13913" dataDxfId="14130"/>
    <tableColumn id="2482" uniqueName="2482" name="Column2473" queryTableFieldId="13912" dataDxfId="14129"/>
    <tableColumn id="2483" uniqueName="2483" name="Column2474" queryTableFieldId="13911" dataDxfId="14128"/>
    <tableColumn id="2484" uniqueName="2484" name="Column2475" queryTableFieldId="13910" dataDxfId="14127"/>
    <tableColumn id="2485" uniqueName="2485" name="Column2476" queryTableFieldId="13909" dataDxfId="14126"/>
    <tableColumn id="2486" uniqueName="2486" name="Column2477" queryTableFieldId="13908" dataDxfId="14125"/>
    <tableColumn id="2487" uniqueName="2487" name="Column2478" queryTableFieldId="13907" dataDxfId="14124"/>
    <tableColumn id="2488" uniqueName="2488" name="Column2479" queryTableFieldId="13906" dataDxfId="14123"/>
    <tableColumn id="2489" uniqueName="2489" name="Column2480" queryTableFieldId="13905" dataDxfId="14122"/>
    <tableColumn id="2490" uniqueName="2490" name="Column2481" queryTableFieldId="13904" dataDxfId="14121"/>
    <tableColumn id="2491" uniqueName="2491" name="Column2482" queryTableFieldId="13903" dataDxfId="14120"/>
    <tableColumn id="2492" uniqueName="2492" name="Column2483" queryTableFieldId="13902" dataDxfId="14119"/>
    <tableColumn id="2493" uniqueName="2493" name="Column2484" queryTableFieldId="13901" dataDxfId="14118"/>
    <tableColumn id="2494" uniqueName="2494" name="Column2485" queryTableFieldId="13900" dataDxfId="14117"/>
    <tableColumn id="2495" uniqueName="2495" name="Column2486" queryTableFieldId="13899" dataDxfId="14116"/>
    <tableColumn id="2496" uniqueName="2496" name="Column2487" queryTableFieldId="13898" dataDxfId="14115"/>
    <tableColumn id="2497" uniqueName="2497" name="Column2488" queryTableFieldId="13897" dataDxfId="14114"/>
    <tableColumn id="2498" uniqueName="2498" name="Column2489" queryTableFieldId="13896" dataDxfId="14113"/>
    <tableColumn id="2499" uniqueName="2499" name="Column2490" queryTableFieldId="13895" dataDxfId="14112"/>
    <tableColumn id="2500" uniqueName="2500" name="Column2491" queryTableFieldId="13894" dataDxfId="14111"/>
    <tableColumn id="2501" uniqueName="2501" name="Column2492" queryTableFieldId="13893" dataDxfId="14110"/>
    <tableColumn id="2502" uniqueName="2502" name="Column2493" queryTableFieldId="13892" dataDxfId="14109"/>
    <tableColumn id="2503" uniqueName="2503" name="Column2494" queryTableFieldId="13891" dataDxfId="14108"/>
    <tableColumn id="2504" uniqueName="2504" name="Column2495" queryTableFieldId="13890" dataDxfId="14107"/>
    <tableColumn id="2505" uniqueName="2505" name="Column2496" queryTableFieldId="13889" dataDxfId="14106"/>
    <tableColumn id="2506" uniqueName="2506" name="Column2497" queryTableFieldId="13888" dataDxfId="14105"/>
    <tableColumn id="2507" uniqueName="2507" name="Column2498" queryTableFieldId="13887" dataDxfId="14104"/>
    <tableColumn id="2508" uniqueName="2508" name="Column2499" queryTableFieldId="13886" dataDxfId="14103"/>
    <tableColumn id="2509" uniqueName="2509" name="Column2500" queryTableFieldId="13885" dataDxfId="14102"/>
    <tableColumn id="2510" uniqueName="2510" name="Column2501" queryTableFieldId="13884" dataDxfId="14101"/>
    <tableColumn id="2511" uniqueName="2511" name="Column2502" queryTableFieldId="13883" dataDxfId="14100"/>
    <tableColumn id="2512" uniqueName="2512" name="Column2503" queryTableFieldId="13882" dataDxfId="14099"/>
    <tableColumn id="2513" uniqueName="2513" name="Column2504" queryTableFieldId="13881" dataDxfId="14098"/>
    <tableColumn id="2514" uniqueName="2514" name="Column2505" queryTableFieldId="13880" dataDxfId="14097"/>
    <tableColumn id="2515" uniqueName="2515" name="Column2506" queryTableFieldId="13879" dataDxfId="14096"/>
    <tableColumn id="2516" uniqueName="2516" name="Column2507" queryTableFieldId="13878" dataDxfId="14095"/>
    <tableColumn id="2517" uniqueName="2517" name="Column2508" queryTableFieldId="13877" dataDxfId="14094"/>
    <tableColumn id="2518" uniqueName="2518" name="Column2509" queryTableFieldId="13876" dataDxfId="14093"/>
    <tableColumn id="2519" uniqueName="2519" name="Column2510" queryTableFieldId="13875" dataDxfId="14092"/>
    <tableColumn id="2520" uniqueName="2520" name="Column2511" queryTableFieldId="13874" dataDxfId="14091"/>
    <tableColumn id="2521" uniqueName="2521" name="Column2512" queryTableFieldId="13873" dataDxfId="14090"/>
    <tableColumn id="2522" uniqueName="2522" name="Column2513" queryTableFieldId="13872" dataDxfId="14089"/>
    <tableColumn id="2523" uniqueName="2523" name="Column2514" queryTableFieldId="13871" dataDxfId="14088"/>
    <tableColumn id="2524" uniqueName="2524" name="Column2515" queryTableFieldId="13870" dataDxfId="14087"/>
    <tableColumn id="2525" uniqueName="2525" name="Column2516" queryTableFieldId="13869" dataDxfId="14086"/>
    <tableColumn id="2526" uniqueName="2526" name="Column2517" queryTableFieldId="13868" dataDxfId="14085"/>
    <tableColumn id="2527" uniqueName="2527" name="Column2518" queryTableFieldId="13867" dataDxfId="14084"/>
    <tableColumn id="2528" uniqueName="2528" name="Column2519" queryTableFieldId="13866" dataDxfId="14083"/>
    <tableColumn id="2529" uniqueName="2529" name="Column2520" queryTableFieldId="13865" dataDxfId="14082"/>
    <tableColumn id="2530" uniqueName="2530" name="Column2521" queryTableFieldId="13864" dataDxfId="14081"/>
    <tableColumn id="2531" uniqueName="2531" name="Column2522" queryTableFieldId="13863" dataDxfId="14080"/>
    <tableColumn id="2532" uniqueName="2532" name="Column2523" queryTableFieldId="13862" dataDxfId="14079"/>
    <tableColumn id="2533" uniqueName="2533" name="Column2524" queryTableFieldId="13861" dataDxfId="14078"/>
    <tableColumn id="2534" uniqueName="2534" name="Column2525" queryTableFieldId="13860" dataDxfId="14077"/>
    <tableColumn id="2535" uniqueName="2535" name="Column2526" queryTableFieldId="13859" dataDxfId="14076"/>
    <tableColumn id="2536" uniqueName="2536" name="Column2527" queryTableFieldId="13858" dataDxfId="14075"/>
    <tableColumn id="2537" uniqueName="2537" name="Column2528" queryTableFieldId="13857" dataDxfId="14074"/>
    <tableColumn id="2538" uniqueName="2538" name="Column2529" queryTableFieldId="13856" dataDxfId="14073"/>
    <tableColumn id="2539" uniqueName="2539" name="Column2530" queryTableFieldId="13855" dataDxfId="14072"/>
    <tableColumn id="2540" uniqueName="2540" name="Column2531" queryTableFieldId="13854" dataDxfId="14071"/>
    <tableColumn id="2541" uniqueName="2541" name="Column2532" queryTableFieldId="13853" dataDxfId="14070"/>
    <tableColumn id="2542" uniqueName="2542" name="Column2533" queryTableFieldId="13852" dataDxfId="14069"/>
    <tableColumn id="2543" uniqueName="2543" name="Column2534" queryTableFieldId="13851" dataDxfId="14068"/>
    <tableColumn id="2544" uniqueName="2544" name="Column2535" queryTableFieldId="13850" dataDxfId="14067"/>
    <tableColumn id="2545" uniqueName="2545" name="Column2536" queryTableFieldId="13849" dataDxfId="14066"/>
    <tableColumn id="2546" uniqueName="2546" name="Column2537" queryTableFieldId="13848" dataDxfId="14065"/>
    <tableColumn id="2547" uniqueName="2547" name="Column2538" queryTableFieldId="13847" dataDxfId="14064"/>
    <tableColumn id="2548" uniqueName="2548" name="Column2539" queryTableFieldId="13846" dataDxfId="14063"/>
    <tableColumn id="2549" uniqueName="2549" name="Column2540" queryTableFieldId="13845" dataDxfId="14062"/>
    <tableColumn id="2550" uniqueName="2550" name="Column2541" queryTableFieldId="13844" dataDxfId="14061"/>
    <tableColumn id="2551" uniqueName="2551" name="Column2542" queryTableFieldId="13843" dataDxfId="14060"/>
    <tableColumn id="2552" uniqueName="2552" name="Column2543" queryTableFieldId="13842" dataDxfId="14059"/>
    <tableColumn id="2553" uniqueName="2553" name="Column2544" queryTableFieldId="13841" dataDxfId="14058"/>
    <tableColumn id="2554" uniqueName="2554" name="Column2545" queryTableFieldId="13840" dataDxfId="14057"/>
    <tableColumn id="2555" uniqueName="2555" name="Column2546" queryTableFieldId="13839" dataDxfId="14056"/>
    <tableColumn id="2556" uniqueName="2556" name="Column2547" queryTableFieldId="13838" dataDxfId="14055"/>
    <tableColumn id="2557" uniqueName="2557" name="Column2548" queryTableFieldId="13837" dataDxfId="14054"/>
    <tableColumn id="2558" uniqueName="2558" name="Column2549" queryTableFieldId="13836" dataDxfId="14053"/>
    <tableColumn id="2559" uniqueName="2559" name="Column2550" queryTableFieldId="13835" dataDxfId="14052"/>
    <tableColumn id="2560" uniqueName="2560" name="Column2551" queryTableFieldId="13834" dataDxfId="14051"/>
    <tableColumn id="2561" uniqueName="2561" name="Column2552" queryTableFieldId="13833" dataDxfId="14050"/>
    <tableColumn id="2562" uniqueName="2562" name="Column2553" queryTableFieldId="13832" dataDxfId="14049"/>
    <tableColumn id="2563" uniqueName="2563" name="Column2554" queryTableFieldId="13831" dataDxfId="14048"/>
    <tableColumn id="2564" uniqueName="2564" name="Column2555" queryTableFieldId="13830" dataDxfId="14047"/>
    <tableColumn id="2565" uniqueName="2565" name="Column2556" queryTableFieldId="13829" dataDxfId="14046"/>
    <tableColumn id="2566" uniqueName="2566" name="Column2557" queryTableFieldId="13828" dataDxfId="14045"/>
    <tableColumn id="2567" uniqueName="2567" name="Column2558" queryTableFieldId="13827" dataDxfId="14044"/>
    <tableColumn id="2568" uniqueName="2568" name="Column2559" queryTableFieldId="13826" dataDxfId="14043"/>
    <tableColumn id="2569" uniqueName="2569" name="Column2560" queryTableFieldId="13825" dataDxfId="14042"/>
    <tableColumn id="2570" uniqueName="2570" name="Column2561" queryTableFieldId="13824" dataDxfId="14041"/>
    <tableColumn id="2571" uniqueName="2571" name="Column2562" queryTableFieldId="13823" dataDxfId="14040"/>
    <tableColumn id="2572" uniqueName="2572" name="Column2563" queryTableFieldId="13822" dataDxfId="14039"/>
    <tableColumn id="2573" uniqueName="2573" name="Column2564" queryTableFieldId="13821" dataDxfId="14038"/>
    <tableColumn id="2574" uniqueName="2574" name="Column2565" queryTableFieldId="13820" dataDxfId="14037"/>
    <tableColumn id="2575" uniqueName="2575" name="Column2566" queryTableFieldId="13819" dataDxfId="14036"/>
    <tableColumn id="2576" uniqueName="2576" name="Column2567" queryTableFieldId="13818" dataDxfId="14035"/>
    <tableColumn id="2577" uniqueName="2577" name="Column2568" queryTableFieldId="13817" dataDxfId="14034"/>
    <tableColumn id="2578" uniqueName="2578" name="Column2569" queryTableFieldId="13816" dataDxfId="14033"/>
    <tableColumn id="2579" uniqueName="2579" name="Column2570" queryTableFieldId="13815" dataDxfId="14032"/>
    <tableColumn id="2580" uniqueName="2580" name="Column2571" queryTableFieldId="13814" dataDxfId="14031"/>
    <tableColumn id="2581" uniqueName="2581" name="Column2572" queryTableFieldId="13813" dataDxfId="14030"/>
    <tableColumn id="2582" uniqueName="2582" name="Column2573" queryTableFieldId="13812" dataDxfId="14029"/>
    <tableColumn id="2583" uniqueName="2583" name="Column2574" queryTableFieldId="13811" dataDxfId="14028"/>
    <tableColumn id="2584" uniqueName="2584" name="Column2575" queryTableFieldId="13810" dataDxfId="14027"/>
    <tableColumn id="2585" uniqueName="2585" name="Column2576" queryTableFieldId="13809" dataDxfId="14026"/>
    <tableColumn id="2586" uniqueName="2586" name="Column2577" queryTableFieldId="13808" dataDxfId="14025"/>
    <tableColumn id="2587" uniqueName="2587" name="Column2578" queryTableFieldId="13807" dataDxfId="14024"/>
    <tableColumn id="2588" uniqueName="2588" name="Column2579" queryTableFieldId="13806" dataDxfId="14023"/>
    <tableColumn id="2589" uniqueName="2589" name="Column2580" queryTableFieldId="13805" dataDxfId="14022"/>
    <tableColumn id="2590" uniqueName="2590" name="Column2581" queryTableFieldId="13804" dataDxfId="14021"/>
    <tableColumn id="2591" uniqueName="2591" name="Column2582" queryTableFieldId="13803" dataDxfId="14020"/>
    <tableColumn id="2592" uniqueName="2592" name="Column2583" queryTableFieldId="13802" dataDxfId="14019"/>
    <tableColumn id="2593" uniqueName="2593" name="Column2584" queryTableFieldId="13801" dataDxfId="14018"/>
    <tableColumn id="2594" uniqueName="2594" name="Column2585" queryTableFieldId="13800" dataDxfId="14017"/>
    <tableColumn id="2595" uniqueName="2595" name="Column2586" queryTableFieldId="13799" dataDxfId="14016"/>
    <tableColumn id="2596" uniqueName="2596" name="Column2587" queryTableFieldId="13798" dataDxfId="14015"/>
    <tableColumn id="2597" uniqueName="2597" name="Column2588" queryTableFieldId="13797" dataDxfId="14014"/>
    <tableColumn id="2598" uniqueName="2598" name="Column2589" queryTableFieldId="13796" dataDxfId="14013"/>
    <tableColumn id="2599" uniqueName="2599" name="Column2590" queryTableFieldId="13795" dataDxfId="14012"/>
    <tableColumn id="2600" uniqueName="2600" name="Column2591" queryTableFieldId="13794" dataDxfId="14011"/>
    <tableColumn id="2601" uniqueName="2601" name="Column2592" queryTableFieldId="13793" dataDxfId="14010"/>
    <tableColumn id="2602" uniqueName="2602" name="Column2593" queryTableFieldId="13792" dataDxfId="14009"/>
    <tableColumn id="2603" uniqueName="2603" name="Column2594" queryTableFieldId="13791" dataDxfId="14008"/>
    <tableColumn id="2604" uniqueName="2604" name="Column2595" queryTableFieldId="13790" dataDxfId="14007"/>
    <tableColumn id="2605" uniqueName="2605" name="Column2596" queryTableFieldId="13789" dataDxfId="14006"/>
    <tableColumn id="2606" uniqueName="2606" name="Column2597" queryTableFieldId="13788" dataDxfId="14005"/>
    <tableColumn id="2607" uniqueName="2607" name="Column2598" queryTableFieldId="13787" dataDxfId="14004"/>
    <tableColumn id="2608" uniqueName="2608" name="Column2599" queryTableFieldId="13786" dataDxfId="14003"/>
    <tableColumn id="2609" uniqueName="2609" name="Column2600" queryTableFieldId="13785" dataDxfId="14002"/>
    <tableColumn id="2610" uniqueName="2610" name="Column2601" queryTableFieldId="13784" dataDxfId="14001"/>
    <tableColumn id="2611" uniqueName="2611" name="Column2602" queryTableFieldId="13783" dataDxfId="14000"/>
    <tableColumn id="2612" uniqueName="2612" name="Column2603" queryTableFieldId="13782" dataDxfId="13999"/>
    <tableColumn id="2613" uniqueName="2613" name="Column2604" queryTableFieldId="13781" dataDxfId="13998"/>
    <tableColumn id="2614" uniqueName="2614" name="Column2605" queryTableFieldId="13780" dataDxfId="13997"/>
    <tableColumn id="2615" uniqueName="2615" name="Column2606" queryTableFieldId="13779" dataDxfId="13996"/>
    <tableColumn id="2616" uniqueName="2616" name="Column2607" queryTableFieldId="13778" dataDxfId="13995"/>
    <tableColumn id="2617" uniqueName="2617" name="Column2608" queryTableFieldId="13777" dataDxfId="13994"/>
    <tableColumn id="2618" uniqueName="2618" name="Column2609" queryTableFieldId="13776" dataDxfId="13993"/>
    <tableColumn id="2619" uniqueName="2619" name="Column2610" queryTableFieldId="13775" dataDxfId="13992"/>
    <tableColumn id="2620" uniqueName="2620" name="Column2611" queryTableFieldId="13774" dataDxfId="13991"/>
    <tableColumn id="2621" uniqueName="2621" name="Column2612" queryTableFieldId="13773" dataDxfId="13990"/>
    <tableColumn id="2622" uniqueName="2622" name="Column2613" queryTableFieldId="13772" dataDxfId="13989"/>
    <tableColumn id="2623" uniqueName="2623" name="Column2614" queryTableFieldId="13771" dataDxfId="13988"/>
    <tableColumn id="2624" uniqueName="2624" name="Column2615" queryTableFieldId="13770" dataDxfId="13987"/>
    <tableColumn id="2625" uniqueName="2625" name="Column2616" queryTableFieldId="13769" dataDxfId="13986"/>
    <tableColumn id="2626" uniqueName="2626" name="Column2617" queryTableFieldId="13768" dataDxfId="13985"/>
    <tableColumn id="2627" uniqueName="2627" name="Column2618" queryTableFieldId="13767" dataDxfId="13984"/>
    <tableColumn id="2628" uniqueName="2628" name="Column2619" queryTableFieldId="13766" dataDxfId="13983"/>
    <tableColumn id="2629" uniqueName="2629" name="Column2620" queryTableFieldId="13765" dataDxfId="13982"/>
    <tableColumn id="2630" uniqueName="2630" name="Column2621" queryTableFieldId="13764" dataDxfId="13981"/>
    <tableColumn id="2631" uniqueName="2631" name="Column2622" queryTableFieldId="13763" dataDxfId="13980"/>
    <tableColumn id="2632" uniqueName="2632" name="Column2623" queryTableFieldId="13762" dataDxfId="13979"/>
    <tableColumn id="2633" uniqueName="2633" name="Column2624" queryTableFieldId="13761" dataDxfId="13978"/>
    <tableColumn id="2634" uniqueName="2634" name="Column2625" queryTableFieldId="13760" dataDxfId="13977"/>
    <tableColumn id="2635" uniqueName="2635" name="Column2626" queryTableFieldId="13759" dataDxfId="13976"/>
    <tableColumn id="2636" uniqueName="2636" name="Column2627" queryTableFieldId="13758" dataDxfId="13975"/>
    <tableColumn id="2637" uniqueName="2637" name="Column2628" queryTableFieldId="13757" dataDxfId="13974"/>
    <tableColumn id="2638" uniqueName="2638" name="Column2629" queryTableFieldId="13756" dataDxfId="13973"/>
    <tableColumn id="2639" uniqueName="2639" name="Column2630" queryTableFieldId="13755" dataDxfId="13972"/>
    <tableColumn id="2640" uniqueName="2640" name="Column2631" queryTableFieldId="13754" dataDxfId="13971"/>
    <tableColumn id="2641" uniqueName="2641" name="Column2632" queryTableFieldId="13753" dataDxfId="13970"/>
    <tableColumn id="2642" uniqueName="2642" name="Column2633" queryTableFieldId="13752" dataDxfId="13969"/>
    <tableColumn id="2643" uniqueName="2643" name="Column2634" queryTableFieldId="13751" dataDxfId="13968"/>
    <tableColumn id="2644" uniqueName="2644" name="Column2635" queryTableFieldId="13750" dataDxfId="13967"/>
    <tableColumn id="2645" uniqueName="2645" name="Column2636" queryTableFieldId="13749" dataDxfId="13966"/>
    <tableColumn id="2646" uniqueName="2646" name="Column2637" queryTableFieldId="13748" dataDxfId="13965"/>
    <tableColumn id="2647" uniqueName="2647" name="Column2638" queryTableFieldId="13747" dataDxfId="13964"/>
    <tableColumn id="2648" uniqueName="2648" name="Column2639" queryTableFieldId="13746" dataDxfId="13963"/>
    <tableColumn id="2649" uniqueName="2649" name="Column2640" queryTableFieldId="13745" dataDxfId="13962"/>
    <tableColumn id="2650" uniqueName="2650" name="Column2641" queryTableFieldId="13744" dataDxfId="13961"/>
    <tableColumn id="2651" uniqueName="2651" name="Column2642" queryTableFieldId="13743" dataDxfId="13960"/>
    <tableColumn id="2652" uniqueName="2652" name="Column2643" queryTableFieldId="13742" dataDxfId="13959"/>
    <tableColumn id="2653" uniqueName="2653" name="Column2644" queryTableFieldId="13741" dataDxfId="13958"/>
    <tableColumn id="2654" uniqueName="2654" name="Column2645" queryTableFieldId="13740" dataDxfId="13957"/>
    <tableColumn id="2655" uniqueName="2655" name="Column2646" queryTableFieldId="13739" dataDxfId="13956"/>
    <tableColumn id="2656" uniqueName="2656" name="Column2647" queryTableFieldId="13738" dataDxfId="13955"/>
    <tableColumn id="2657" uniqueName="2657" name="Column2648" queryTableFieldId="13737" dataDxfId="13954"/>
    <tableColumn id="2658" uniqueName="2658" name="Column2649" queryTableFieldId="13736" dataDxfId="13953"/>
    <tableColumn id="2659" uniqueName="2659" name="Column2650" queryTableFieldId="13735" dataDxfId="13952"/>
    <tableColumn id="2660" uniqueName="2660" name="Column2651" queryTableFieldId="13734" dataDxfId="13951"/>
    <tableColumn id="2661" uniqueName="2661" name="Column2652" queryTableFieldId="13733" dataDxfId="13950"/>
    <tableColumn id="2662" uniqueName="2662" name="Column2653" queryTableFieldId="13732" dataDxfId="13949"/>
    <tableColumn id="2663" uniqueName="2663" name="Column2654" queryTableFieldId="13731" dataDxfId="13948"/>
    <tableColumn id="2664" uniqueName="2664" name="Column2655" queryTableFieldId="13730" dataDxfId="13947"/>
    <tableColumn id="2665" uniqueName="2665" name="Column2656" queryTableFieldId="13729" dataDxfId="13946"/>
    <tableColumn id="2666" uniqueName="2666" name="Column2657" queryTableFieldId="13728" dataDxfId="13945"/>
    <tableColumn id="2667" uniqueName="2667" name="Column2658" queryTableFieldId="13727" dataDxfId="13944"/>
    <tableColumn id="2668" uniqueName="2668" name="Column2659" queryTableFieldId="13726" dataDxfId="13943"/>
    <tableColumn id="2669" uniqueName="2669" name="Column2660" queryTableFieldId="13725" dataDxfId="13942"/>
    <tableColumn id="2670" uniqueName="2670" name="Column2661" queryTableFieldId="13724" dataDxfId="13941"/>
    <tableColumn id="2671" uniqueName="2671" name="Column2662" queryTableFieldId="13723" dataDxfId="13940"/>
    <tableColumn id="2672" uniqueName="2672" name="Column2663" queryTableFieldId="13722" dataDxfId="13939"/>
    <tableColumn id="2673" uniqueName="2673" name="Column2664" queryTableFieldId="13721" dataDxfId="13938"/>
    <tableColumn id="2674" uniqueName="2674" name="Column2665" queryTableFieldId="13720" dataDxfId="13937"/>
    <tableColumn id="2675" uniqueName="2675" name="Column2666" queryTableFieldId="13719" dataDxfId="13936"/>
    <tableColumn id="2676" uniqueName="2676" name="Column2667" queryTableFieldId="13718" dataDxfId="13935"/>
    <tableColumn id="2677" uniqueName="2677" name="Column2668" queryTableFieldId="13717" dataDxfId="13934"/>
    <tableColumn id="2678" uniqueName="2678" name="Column2669" queryTableFieldId="13716" dataDxfId="13933"/>
    <tableColumn id="2679" uniqueName="2679" name="Column2670" queryTableFieldId="13715" dataDxfId="13932"/>
    <tableColumn id="2680" uniqueName="2680" name="Column2671" queryTableFieldId="13714" dataDxfId="13931"/>
    <tableColumn id="2681" uniqueName="2681" name="Column2672" queryTableFieldId="13713" dataDxfId="13930"/>
    <tableColumn id="2682" uniqueName="2682" name="Column2673" queryTableFieldId="13712" dataDxfId="13929"/>
    <tableColumn id="2683" uniqueName="2683" name="Column2674" queryTableFieldId="13711" dataDxfId="13928"/>
    <tableColumn id="2684" uniqueName="2684" name="Column2675" queryTableFieldId="13710" dataDxfId="13927"/>
    <tableColumn id="2685" uniqueName="2685" name="Column2676" queryTableFieldId="13709" dataDxfId="13926"/>
    <tableColumn id="2686" uniqueName="2686" name="Column2677" queryTableFieldId="13708" dataDxfId="13925"/>
    <tableColumn id="2687" uniqueName="2687" name="Column2678" queryTableFieldId="13707" dataDxfId="13924"/>
    <tableColumn id="2688" uniqueName="2688" name="Column2679" queryTableFieldId="13706" dataDxfId="13923"/>
    <tableColumn id="2689" uniqueName="2689" name="Column2680" queryTableFieldId="13705" dataDxfId="13922"/>
    <tableColumn id="2690" uniqueName="2690" name="Column2681" queryTableFieldId="13704" dataDxfId="13921"/>
    <tableColumn id="2691" uniqueName="2691" name="Column2682" queryTableFieldId="13703" dataDxfId="13920"/>
    <tableColumn id="2692" uniqueName="2692" name="Column2683" queryTableFieldId="13702" dataDxfId="13919"/>
    <tableColumn id="2693" uniqueName="2693" name="Column2684" queryTableFieldId="13701" dataDxfId="13918"/>
    <tableColumn id="2694" uniqueName="2694" name="Column2685" queryTableFieldId="13700" dataDxfId="13917"/>
    <tableColumn id="2695" uniqueName="2695" name="Column2686" queryTableFieldId="13699" dataDxfId="13916"/>
    <tableColumn id="2696" uniqueName="2696" name="Column2687" queryTableFieldId="13698" dataDxfId="13915"/>
    <tableColumn id="2697" uniqueName="2697" name="Column2688" queryTableFieldId="13697" dataDxfId="13914"/>
    <tableColumn id="2698" uniqueName="2698" name="Column2689" queryTableFieldId="13696" dataDxfId="13913"/>
    <tableColumn id="2699" uniqueName="2699" name="Column2690" queryTableFieldId="13695" dataDxfId="13912"/>
    <tableColumn id="2700" uniqueName="2700" name="Column2691" queryTableFieldId="13694" dataDxfId="13911"/>
    <tableColumn id="2701" uniqueName="2701" name="Column2692" queryTableFieldId="13693" dataDxfId="13910"/>
    <tableColumn id="2702" uniqueName="2702" name="Column2693" queryTableFieldId="13692" dataDxfId="13909"/>
    <tableColumn id="2703" uniqueName="2703" name="Column2694" queryTableFieldId="13691" dataDxfId="13908"/>
    <tableColumn id="2704" uniqueName="2704" name="Column2695" queryTableFieldId="13690" dataDxfId="13907"/>
    <tableColumn id="2705" uniqueName="2705" name="Column2696" queryTableFieldId="13689" dataDxfId="13906"/>
    <tableColumn id="2706" uniqueName="2706" name="Column2697" queryTableFieldId="13688" dataDxfId="13905"/>
    <tableColumn id="2707" uniqueName="2707" name="Column2698" queryTableFieldId="13687" dataDxfId="13904"/>
    <tableColumn id="2708" uniqueName="2708" name="Column2699" queryTableFieldId="13686" dataDxfId="13903"/>
    <tableColumn id="2709" uniqueName="2709" name="Column2700" queryTableFieldId="13685" dataDxfId="13902"/>
    <tableColumn id="2710" uniqueName="2710" name="Column2701" queryTableFieldId="13684" dataDxfId="13901"/>
    <tableColumn id="2711" uniqueName="2711" name="Column2702" queryTableFieldId="13683" dataDxfId="13900"/>
    <tableColumn id="2712" uniqueName="2712" name="Column2703" queryTableFieldId="13682" dataDxfId="13899"/>
    <tableColumn id="2713" uniqueName="2713" name="Column2704" queryTableFieldId="13681" dataDxfId="13898"/>
    <tableColumn id="2714" uniqueName="2714" name="Column2705" queryTableFieldId="13680" dataDxfId="13897"/>
    <tableColumn id="2715" uniqueName="2715" name="Column2706" queryTableFieldId="13679" dataDxfId="13896"/>
    <tableColumn id="2716" uniqueName="2716" name="Column2707" queryTableFieldId="13678" dataDxfId="13895"/>
    <tableColumn id="2717" uniqueName="2717" name="Column2708" queryTableFieldId="13677" dataDxfId="13894"/>
    <tableColumn id="2718" uniqueName="2718" name="Column2709" queryTableFieldId="13676" dataDxfId="13893"/>
    <tableColumn id="2719" uniqueName="2719" name="Column2710" queryTableFieldId="13675" dataDxfId="13892"/>
    <tableColumn id="2720" uniqueName="2720" name="Column2711" queryTableFieldId="13674" dataDxfId="13891"/>
    <tableColumn id="2721" uniqueName="2721" name="Column2712" queryTableFieldId="13673" dataDxfId="13890"/>
    <tableColumn id="2722" uniqueName="2722" name="Column2713" queryTableFieldId="13672" dataDxfId="13889"/>
    <tableColumn id="2723" uniqueName="2723" name="Column2714" queryTableFieldId="13671" dataDxfId="13888"/>
    <tableColumn id="2724" uniqueName="2724" name="Column2715" queryTableFieldId="13670" dataDxfId="13887"/>
    <tableColumn id="2725" uniqueName="2725" name="Column2716" queryTableFieldId="13669" dataDxfId="13886"/>
    <tableColumn id="2726" uniqueName="2726" name="Column2717" queryTableFieldId="13668" dataDxfId="13885"/>
    <tableColumn id="2727" uniqueName="2727" name="Column2718" queryTableFieldId="13667" dataDxfId="13884"/>
    <tableColumn id="2728" uniqueName="2728" name="Column2719" queryTableFieldId="13666" dataDxfId="13883"/>
    <tableColumn id="2729" uniqueName="2729" name="Column2720" queryTableFieldId="13665" dataDxfId="13882"/>
    <tableColumn id="2730" uniqueName="2730" name="Column2721" queryTableFieldId="13664" dataDxfId="13881"/>
    <tableColumn id="2731" uniqueName="2731" name="Column2722" queryTableFieldId="13663" dataDxfId="13880"/>
    <tableColumn id="2732" uniqueName="2732" name="Column2723" queryTableFieldId="13662" dataDxfId="13879"/>
    <tableColumn id="2733" uniqueName="2733" name="Column2724" queryTableFieldId="13661" dataDxfId="13878"/>
    <tableColumn id="2734" uniqueName="2734" name="Column2725" queryTableFieldId="13660" dataDxfId="13877"/>
    <tableColumn id="2735" uniqueName="2735" name="Column2726" queryTableFieldId="13659" dataDxfId="13876"/>
    <tableColumn id="2736" uniqueName="2736" name="Column2727" queryTableFieldId="13658" dataDxfId="13875"/>
    <tableColumn id="2737" uniqueName="2737" name="Column2728" queryTableFieldId="13657" dataDxfId="13874"/>
    <tableColumn id="2738" uniqueName="2738" name="Column2729" queryTableFieldId="13656" dataDxfId="13873"/>
    <tableColumn id="2739" uniqueName="2739" name="Column2730" queryTableFieldId="13655" dataDxfId="13872"/>
    <tableColumn id="2740" uniqueName="2740" name="Column2731" queryTableFieldId="13654" dataDxfId="13871"/>
    <tableColumn id="2741" uniqueName="2741" name="Column2732" queryTableFieldId="13653" dataDxfId="13870"/>
    <tableColumn id="2742" uniqueName="2742" name="Column2733" queryTableFieldId="13652" dataDxfId="13869"/>
    <tableColumn id="2743" uniqueName="2743" name="Column2734" queryTableFieldId="13651" dataDxfId="13868"/>
    <tableColumn id="2744" uniqueName="2744" name="Column2735" queryTableFieldId="13650" dataDxfId="13867"/>
    <tableColumn id="2745" uniqueName="2745" name="Column2736" queryTableFieldId="13649" dataDxfId="13866"/>
    <tableColumn id="2746" uniqueName="2746" name="Column2737" queryTableFieldId="13648" dataDxfId="13865"/>
    <tableColumn id="2747" uniqueName="2747" name="Column2738" queryTableFieldId="13647" dataDxfId="13864"/>
    <tableColumn id="2748" uniqueName="2748" name="Column2739" queryTableFieldId="13646" dataDxfId="13863"/>
    <tableColumn id="2749" uniqueName="2749" name="Column2740" queryTableFieldId="13645" dataDxfId="13862"/>
    <tableColumn id="2750" uniqueName="2750" name="Column2741" queryTableFieldId="13644" dataDxfId="13861"/>
    <tableColumn id="2751" uniqueName="2751" name="Column2742" queryTableFieldId="13643" dataDxfId="13860"/>
    <tableColumn id="2752" uniqueName="2752" name="Column2743" queryTableFieldId="13642" dataDxfId="13859"/>
    <tableColumn id="2753" uniqueName="2753" name="Column2744" queryTableFieldId="13641" dataDxfId="13858"/>
    <tableColumn id="2754" uniqueName="2754" name="Column2745" queryTableFieldId="13640" dataDxfId="13857"/>
    <tableColumn id="2755" uniqueName="2755" name="Column2746" queryTableFieldId="13639" dataDxfId="13856"/>
    <tableColumn id="2756" uniqueName="2756" name="Column2747" queryTableFieldId="13638" dataDxfId="13855"/>
    <tableColumn id="2757" uniqueName="2757" name="Column2748" queryTableFieldId="13637" dataDxfId="13854"/>
    <tableColumn id="2758" uniqueName="2758" name="Column2749" queryTableFieldId="13636" dataDxfId="13853"/>
    <tableColumn id="2759" uniqueName="2759" name="Column2750" queryTableFieldId="13635" dataDxfId="13852"/>
    <tableColumn id="2760" uniqueName="2760" name="Column2751" queryTableFieldId="13634" dataDxfId="13851"/>
    <tableColumn id="2761" uniqueName="2761" name="Column2752" queryTableFieldId="13633" dataDxfId="13850"/>
    <tableColumn id="2762" uniqueName="2762" name="Column2753" queryTableFieldId="13632" dataDxfId="13849"/>
    <tableColumn id="2763" uniqueName="2763" name="Column2754" queryTableFieldId="13631" dataDxfId="13848"/>
    <tableColumn id="2764" uniqueName="2764" name="Column2755" queryTableFieldId="13630" dataDxfId="13847"/>
    <tableColumn id="2765" uniqueName="2765" name="Column2756" queryTableFieldId="13629" dataDxfId="13846"/>
    <tableColumn id="2766" uniqueName="2766" name="Column2757" queryTableFieldId="13628" dataDxfId="13845"/>
    <tableColumn id="2767" uniqueName="2767" name="Column2758" queryTableFieldId="13627" dataDxfId="13844"/>
    <tableColumn id="2768" uniqueName="2768" name="Column2759" queryTableFieldId="13626" dataDxfId="13843"/>
    <tableColumn id="2769" uniqueName="2769" name="Column2760" queryTableFieldId="13625" dataDxfId="13842"/>
    <tableColumn id="2770" uniqueName="2770" name="Column2761" queryTableFieldId="13624" dataDxfId="13841"/>
    <tableColumn id="2771" uniqueName="2771" name="Column2762" queryTableFieldId="13623" dataDxfId="13840"/>
    <tableColumn id="2772" uniqueName="2772" name="Column2763" queryTableFieldId="13622" dataDxfId="13839"/>
    <tableColumn id="2773" uniqueName="2773" name="Column2764" queryTableFieldId="13621" dataDxfId="13838"/>
    <tableColumn id="2774" uniqueName="2774" name="Column2765" queryTableFieldId="13620" dataDxfId="13837"/>
    <tableColumn id="2775" uniqueName="2775" name="Column2766" queryTableFieldId="13619" dataDxfId="13836"/>
    <tableColumn id="2776" uniqueName="2776" name="Column2767" queryTableFieldId="13618" dataDxfId="13835"/>
    <tableColumn id="2777" uniqueName="2777" name="Column2768" queryTableFieldId="13617" dataDxfId="13834"/>
    <tableColumn id="2778" uniqueName="2778" name="Column2769" queryTableFieldId="13616" dataDxfId="13833"/>
    <tableColumn id="2779" uniqueName="2779" name="Column2770" queryTableFieldId="13615" dataDxfId="13832"/>
    <tableColumn id="2780" uniqueName="2780" name="Column2771" queryTableFieldId="13614" dataDxfId="13831"/>
    <tableColumn id="2781" uniqueName="2781" name="Column2772" queryTableFieldId="13613" dataDxfId="13830"/>
    <tableColumn id="2782" uniqueName="2782" name="Column2773" queryTableFieldId="13612" dataDxfId="13829"/>
    <tableColumn id="2783" uniqueName="2783" name="Column2774" queryTableFieldId="13611" dataDxfId="13828"/>
    <tableColumn id="2784" uniqueName="2784" name="Column2775" queryTableFieldId="13610" dataDxfId="13827"/>
    <tableColumn id="2785" uniqueName="2785" name="Column2776" queryTableFieldId="13609" dataDxfId="13826"/>
    <tableColumn id="2786" uniqueName="2786" name="Column2777" queryTableFieldId="13608" dataDxfId="13825"/>
    <tableColumn id="2787" uniqueName="2787" name="Column2778" queryTableFieldId="13607" dataDxfId="13824"/>
    <tableColumn id="2788" uniqueName="2788" name="Column2779" queryTableFieldId="13606" dataDxfId="13823"/>
    <tableColumn id="2789" uniqueName="2789" name="Column2780" queryTableFieldId="13605" dataDxfId="13822"/>
    <tableColumn id="2790" uniqueName="2790" name="Column2781" queryTableFieldId="13604" dataDxfId="13821"/>
    <tableColumn id="2791" uniqueName="2791" name="Column2782" queryTableFieldId="13603" dataDxfId="13820"/>
    <tableColumn id="2792" uniqueName="2792" name="Column2783" queryTableFieldId="13602" dataDxfId="13819"/>
    <tableColumn id="2793" uniqueName="2793" name="Column2784" queryTableFieldId="13601" dataDxfId="13818"/>
    <tableColumn id="2794" uniqueName="2794" name="Column2785" queryTableFieldId="13600" dataDxfId="13817"/>
    <tableColumn id="2795" uniqueName="2795" name="Column2786" queryTableFieldId="13599" dataDxfId="13816"/>
    <tableColumn id="2796" uniqueName="2796" name="Column2787" queryTableFieldId="13598" dataDxfId="13815"/>
    <tableColumn id="2797" uniqueName="2797" name="Column2788" queryTableFieldId="13597" dataDxfId="13814"/>
    <tableColumn id="2798" uniqueName="2798" name="Column2789" queryTableFieldId="13596" dataDxfId="13813"/>
    <tableColumn id="2799" uniqueName="2799" name="Column2790" queryTableFieldId="13595" dataDxfId="13812"/>
    <tableColumn id="2800" uniqueName="2800" name="Column2791" queryTableFieldId="13594" dataDxfId="13811"/>
    <tableColumn id="2801" uniqueName="2801" name="Column2792" queryTableFieldId="13593" dataDxfId="13810"/>
    <tableColumn id="2802" uniqueName="2802" name="Column2793" queryTableFieldId="13592" dataDxfId="13809"/>
    <tableColumn id="2803" uniqueName="2803" name="Column2794" queryTableFieldId="13591" dataDxfId="13808"/>
    <tableColumn id="2804" uniqueName="2804" name="Column2795" queryTableFieldId="13590" dataDxfId="13807"/>
    <tableColumn id="2805" uniqueName="2805" name="Column2796" queryTableFieldId="13589" dataDxfId="13806"/>
    <tableColumn id="2806" uniqueName="2806" name="Column2797" queryTableFieldId="13588" dataDxfId="13805"/>
    <tableColumn id="2807" uniqueName="2807" name="Column2798" queryTableFieldId="13587" dataDxfId="13804"/>
    <tableColumn id="2808" uniqueName="2808" name="Column2799" queryTableFieldId="13586" dataDxfId="13803"/>
    <tableColumn id="2809" uniqueName="2809" name="Column2800" queryTableFieldId="13585" dataDxfId="13802"/>
    <tableColumn id="2810" uniqueName="2810" name="Column2801" queryTableFieldId="13584" dataDxfId="13801"/>
    <tableColumn id="2811" uniqueName="2811" name="Column2802" queryTableFieldId="13583" dataDxfId="13800"/>
    <tableColumn id="2812" uniqueName="2812" name="Column2803" queryTableFieldId="13582" dataDxfId="13799"/>
    <tableColumn id="2813" uniqueName="2813" name="Column2804" queryTableFieldId="13581" dataDxfId="13798"/>
    <tableColumn id="2814" uniqueName="2814" name="Column2805" queryTableFieldId="13580" dataDxfId="13797"/>
    <tableColumn id="2815" uniqueName="2815" name="Column2806" queryTableFieldId="13579" dataDxfId="13796"/>
    <tableColumn id="2816" uniqueName="2816" name="Column2807" queryTableFieldId="13578" dataDxfId="13795"/>
    <tableColumn id="2817" uniqueName="2817" name="Column2808" queryTableFieldId="13577" dataDxfId="13794"/>
    <tableColumn id="2818" uniqueName="2818" name="Column2809" queryTableFieldId="13576" dataDxfId="13793"/>
    <tableColumn id="2819" uniqueName="2819" name="Column2810" queryTableFieldId="13575" dataDxfId="13792"/>
    <tableColumn id="2820" uniqueName="2820" name="Column2811" queryTableFieldId="13574" dataDxfId="13791"/>
    <tableColumn id="2821" uniqueName="2821" name="Column2812" queryTableFieldId="13573" dataDxfId="13790"/>
    <tableColumn id="2822" uniqueName="2822" name="Column2813" queryTableFieldId="13572" dataDxfId="13789"/>
    <tableColumn id="2823" uniqueName="2823" name="Column2814" queryTableFieldId="13571" dataDxfId="13788"/>
    <tableColumn id="2824" uniqueName="2824" name="Column2815" queryTableFieldId="13570" dataDxfId="13787"/>
    <tableColumn id="2825" uniqueName="2825" name="Column2816" queryTableFieldId="13569" dataDxfId="13786"/>
    <tableColumn id="2826" uniqueName="2826" name="Column2817" queryTableFieldId="13568" dataDxfId="13785"/>
    <tableColumn id="2827" uniqueName="2827" name="Column2818" queryTableFieldId="13567" dataDxfId="13784"/>
    <tableColumn id="2828" uniqueName="2828" name="Column2819" queryTableFieldId="13566" dataDxfId="13783"/>
    <tableColumn id="2829" uniqueName="2829" name="Column2820" queryTableFieldId="13565" dataDxfId="13782"/>
    <tableColumn id="2830" uniqueName="2830" name="Column2821" queryTableFieldId="13564" dataDxfId="13781"/>
    <tableColumn id="2831" uniqueName="2831" name="Column2822" queryTableFieldId="13563" dataDxfId="13780"/>
    <tableColumn id="2832" uniqueName="2832" name="Column2823" queryTableFieldId="13562" dataDxfId="13779"/>
    <tableColumn id="2833" uniqueName="2833" name="Column2824" queryTableFieldId="13561" dataDxfId="13778"/>
    <tableColumn id="2834" uniqueName="2834" name="Column2825" queryTableFieldId="13560" dataDxfId="13777"/>
    <tableColumn id="2835" uniqueName="2835" name="Column2826" queryTableFieldId="13559" dataDxfId="13776"/>
    <tableColumn id="2836" uniqueName="2836" name="Column2827" queryTableFieldId="13558" dataDxfId="13775"/>
    <tableColumn id="2837" uniqueName="2837" name="Column2828" queryTableFieldId="13557" dataDxfId="13774"/>
    <tableColumn id="2838" uniqueName="2838" name="Column2829" queryTableFieldId="13556" dataDxfId="13773"/>
    <tableColumn id="2839" uniqueName="2839" name="Column2830" queryTableFieldId="13555" dataDxfId="13772"/>
    <tableColumn id="2840" uniqueName="2840" name="Column2831" queryTableFieldId="13554" dataDxfId="13771"/>
    <tableColumn id="2841" uniqueName="2841" name="Column2832" queryTableFieldId="13553" dataDxfId="13770"/>
    <tableColumn id="2842" uniqueName="2842" name="Column2833" queryTableFieldId="13552" dataDxfId="13769"/>
    <tableColumn id="2843" uniqueName="2843" name="Column2834" queryTableFieldId="13551" dataDxfId="13768"/>
    <tableColumn id="2844" uniqueName="2844" name="Column2835" queryTableFieldId="13550" dataDxfId="13767"/>
    <tableColumn id="2845" uniqueName="2845" name="Column2836" queryTableFieldId="13549" dataDxfId="13766"/>
    <tableColumn id="2846" uniqueName="2846" name="Column2837" queryTableFieldId="13548" dataDxfId="13765"/>
    <tableColumn id="2847" uniqueName="2847" name="Column2838" queryTableFieldId="13547" dataDxfId="13764"/>
    <tableColumn id="2848" uniqueName="2848" name="Column2839" queryTableFieldId="13546" dataDxfId="13763"/>
    <tableColumn id="2849" uniqueName="2849" name="Column2840" queryTableFieldId="13545" dataDxfId="13762"/>
    <tableColumn id="2850" uniqueName="2850" name="Column2841" queryTableFieldId="13544" dataDxfId="13761"/>
    <tableColumn id="2851" uniqueName="2851" name="Column2842" queryTableFieldId="13543" dataDxfId="13760"/>
    <tableColumn id="2852" uniqueName="2852" name="Column2843" queryTableFieldId="13542" dataDxfId="13759"/>
    <tableColumn id="2853" uniqueName="2853" name="Column2844" queryTableFieldId="13541" dataDxfId="13758"/>
    <tableColumn id="2854" uniqueName="2854" name="Column2845" queryTableFieldId="13540" dataDxfId="13757"/>
    <tableColumn id="2855" uniqueName="2855" name="Column2846" queryTableFieldId="13539" dataDxfId="13756"/>
    <tableColumn id="2856" uniqueName="2856" name="Column2847" queryTableFieldId="13538" dataDxfId="13755"/>
    <tableColumn id="2857" uniqueName="2857" name="Column2848" queryTableFieldId="13537" dataDxfId="13754"/>
    <tableColumn id="2858" uniqueName="2858" name="Column2849" queryTableFieldId="13536" dataDxfId="13753"/>
    <tableColumn id="2859" uniqueName="2859" name="Column2850" queryTableFieldId="13535" dataDxfId="13752"/>
    <tableColumn id="2860" uniqueName="2860" name="Column2851" queryTableFieldId="13534" dataDxfId="13751"/>
    <tableColumn id="2861" uniqueName="2861" name="Column2852" queryTableFieldId="13533" dataDxfId="13750"/>
    <tableColumn id="2862" uniqueName="2862" name="Column2853" queryTableFieldId="13532" dataDxfId="13749"/>
    <tableColumn id="2863" uniqueName="2863" name="Column2854" queryTableFieldId="13531" dataDxfId="13748"/>
    <tableColumn id="2864" uniqueName="2864" name="Column2855" queryTableFieldId="13530" dataDxfId="13747"/>
    <tableColumn id="2865" uniqueName="2865" name="Column2856" queryTableFieldId="13529" dataDxfId="13746"/>
    <tableColumn id="2866" uniqueName="2866" name="Column2857" queryTableFieldId="13528" dataDxfId="13745"/>
    <tableColumn id="2867" uniqueName="2867" name="Column2858" queryTableFieldId="13527" dataDxfId="13744"/>
    <tableColumn id="2868" uniqueName="2868" name="Column2859" queryTableFieldId="13526" dataDxfId="13743"/>
    <tableColumn id="2869" uniqueName="2869" name="Column2860" queryTableFieldId="13525" dataDxfId="13742"/>
    <tableColumn id="2870" uniqueName="2870" name="Column2861" queryTableFieldId="13524" dataDxfId="13741"/>
    <tableColumn id="2871" uniqueName="2871" name="Column2862" queryTableFieldId="13523" dataDxfId="13740"/>
    <tableColumn id="2872" uniqueName="2872" name="Column2863" queryTableFieldId="13522" dataDxfId="13739"/>
    <tableColumn id="2873" uniqueName="2873" name="Column2864" queryTableFieldId="13521" dataDxfId="13738"/>
    <tableColumn id="2874" uniqueName="2874" name="Column2865" queryTableFieldId="13520" dataDxfId="13737"/>
    <tableColumn id="2875" uniqueName="2875" name="Column2866" queryTableFieldId="13519" dataDxfId="13736"/>
    <tableColumn id="2876" uniqueName="2876" name="Column2867" queryTableFieldId="13518" dataDxfId="13735"/>
    <tableColumn id="2877" uniqueName="2877" name="Column2868" queryTableFieldId="13517" dataDxfId="13734"/>
    <tableColumn id="2878" uniqueName="2878" name="Column2869" queryTableFieldId="13516" dataDxfId="13733"/>
    <tableColumn id="2879" uniqueName="2879" name="Column2870" queryTableFieldId="13515" dataDxfId="13732"/>
    <tableColumn id="2880" uniqueName="2880" name="Column2871" queryTableFieldId="13514" dataDxfId="13731"/>
    <tableColumn id="2881" uniqueName="2881" name="Column2872" queryTableFieldId="13513" dataDxfId="13730"/>
    <tableColumn id="2882" uniqueName="2882" name="Column2873" queryTableFieldId="13512" dataDxfId="13729"/>
    <tableColumn id="2883" uniqueName="2883" name="Column2874" queryTableFieldId="13511" dataDxfId="13728"/>
    <tableColumn id="2884" uniqueName="2884" name="Column2875" queryTableFieldId="13510" dataDxfId="13727"/>
    <tableColumn id="2885" uniqueName="2885" name="Column2876" queryTableFieldId="13509" dataDxfId="13726"/>
    <tableColumn id="2886" uniqueName="2886" name="Column2877" queryTableFieldId="13508" dataDxfId="13725"/>
    <tableColumn id="2887" uniqueName="2887" name="Column2878" queryTableFieldId="13507" dataDxfId="13724"/>
    <tableColumn id="2888" uniqueName="2888" name="Column2879" queryTableFieldId="13506" dataDxfId="13723"/>
    <tableColumn id="2889" uniqueName="2889" name="Column2880" queryTableFieldId="13505" dataDxfId="13722"/>
    <tableColumn id="2890" uniqueName="2890" name="Column2881" queryTableFieldId="13504" dataDxfId="13721"/>
    <tableColumn id="2891" uniqueName="2891" name="Column2882" queryTableFieldId="13503" dataDxfId="13720"/>
    <tableColumn id="2892" uniqueName="2892" name="Column2883" queryTableFieldId="13502" dataDxfId="13719"/>
    <tableColumn id="2893" uniqueName="2893" name="Column2884" queryTableFieldId="13501" dataDxfId="13718"/>
    <tableColumn id="2894" uniqueName="2894" name="Column2885" queryTableFieldId="13500" dataDxfId="13717"/>
    <tableColumn id="2895" uniqueName="2895" name="Column2886" queryTableFieldId="13499" dataDxfId="13716"/>
    <tableColumn id="2896" uniqueName="2896" name="Column2887" queryTableFieldId="13498" dataDxfId="13715"/>
    <tableColumn id="2897" uniqueName="2897" name="Column2888" queryTableFieldId="13497" dataDxfId="13714"/>
    <tableColumn id="2898" uniqueName="2898" name="Column2889" queryTableFieldId="13496" dataDxfId="13713"/>
    <tableColumn id="2899" uniqueName="2899" name="Column2890" queryTableFieldId="13495" dataDxfId="13712"/>
    <tableColumn id="2900" uniqueName="2900" name="Column2891" queryTableFieldId="13494" dataDxfId="13711"/>
    <tableColumn id="2901" uniqueName="2901" name="Column2892" queryTableFieldId="13493" dataDxfId="13710"/>
    <tableColumn id="2902" uniqueName="2902" name="Column2893" queryTableFieldId="13492" dataDxfId="13709"/>
    <tableColumn id="2903" uniqueName="2903" name="Column2894" queryTableFieldId="13491" dataDxfId="13708"/>
    <tableColumn id="2904" uniqueName="2904" name="Column2895" queryTableFieldId="13490" dataDxfId="13707"/>
    <tableColumn id="2905" uniqueName="2905" name="Column2896" queryTableFieldId="13489" dataDxfId="13706"/>
    <tableColumn id="2906" uniqueName="2906" name="Column2897" queryTableFieldId="13488" dataDxfId="13705"/>
    <tableColumn id="2907" uniqueName="2907" name="Column2898" queryTableFieldId="13487" dataDxfId="13704"/>
    <tableColumn id="2908" uniqueName="2908" name="Column2899" queryTableFieldId="13486" dataDxfId="13703"/>
    <tableColumn id="2909" uniqueName="2909" name="Column2900" queryTableFieldId="13485" dataDxfId="13702"/>
    <tableColumn id="2910" uniqueName="2910" name="Column2901" queryTableFieldId="13484" dataDxfId="13701"/>
    <tableColumn id="2911" uniqueName="2911" name="Column2902" queryTableFieldId="13483" dataDxfId="13700"/>
    <tableColumn id="2912" uniqueName="2912" name="Column2903" queryTableFieldId="13482" dataDxfId="13699"/>
    <tableColumn id="2913" uniqueName="2913" name="Column2904" queryTableFieldId="13481" dataDxfId="13698"/>
    <tableColumn id="2914" uniqueName="2914" name="Column2905" queryTableFieldId="13480" dataDxfId="13697"/>
    <tableColumn id="2915" uniqueName="2915" name="Column2906" queryTableFieldId="13479" dataDxfId="13696"/>
    <tableColumn id="2916" uniqueName="2916" name="Column2907" queryTableFieldId="13478" dataDxfId="13695"/>
    <tableColumn id="2917" uniqueName="2917" name="Column2908" queryTableFieldId="13477" dataDxfId="13694"/>
    <tableColumn id="2918" uniqueName="2918" name="Column2909" queryTableFieldId="13476" dataDxfId="13693"/>
    <tableColumn id="2919" uniqueName="2919" name="Column2910" queryTableFieldId="13475" dataDxfId="13692"/>
    <tableColumn id="2920" uniqueName="2920" name="Column2911" queryTableFieldId="13474" dataDxfId="13691"/>
    <tableColumn id="2921" uniqueName="2921" name="Column2912" queryTableFieldId="13473" dataDxfId="13690"/>
    <tableColumn id="2922" uniqueName="2922" name="Column2913" queryTableFieldId="13472" dataDxfId="13689"/>
    <tableColumn id="2923" uniqueName="2923" name="Column2914" queryTableFieldId="13471" dataDxfId="13688"/>
    <tableColumn id="2924" uniqueName="2924" name="Column2915" queryTableFieldId="13470" dataDxfId="13687"/>
    <tableColumn id="2925" uniqueName="2925" name="Column2916" queryTableFieldId="13469" dataDxfId="13686"/>
    <tableColumn id="2926" uniqueName="2926" name="Column2917" queryTableFieldId="13468" dataDxfId="13685"/>
    <tableColumn id="2927" uniqueName="2927" name="Column2918" queryTableFieldId="13467" dataDxfId="13684"/>
    <tableColumn id="2928" uniqueName="2928" name="Column2919" queryTableFieldId="13466" dataDxfId="13683"/>
    <tableColumn id="2929" uniqueName="2929" name="Column2920" queryTableFieldId="13465" dataDxfId="13682"/>
    <tableColumn id="2930" uniqueName="2930" name="Column2921" queryTableFieldId="13464" dataDxfId="13681"/>
    <tableColumn id="2931" uniqueName="2931" name="Column2922" queryTableFieldId="13463" dataDxfId="13680"/>
    <tableColumn id="2932" uniqueName="2932" name="Column2923" queryTableFieldId="13462" dataDxfId="13679"/>
    <tableColumn id="2933" uniqueName="2933" name="Column2924" queryTableFieldId="13461" dataDxfId="13678"/>
    <tableColumn id="2934" uniqueName="2934" name="Column2925" queryTableFieldId="13460" dataDxfId="13677"/>
    <tableColumn id="2935" uniqueName="2935" name="Column2926" queryTableFieldId="13459" dataDxfId="13676"/>
    <tableColumn id="2936" uniqueName="2936" name="Column2927" queryTableFieldId="13458" dataDxfId="13675"/>
    <tableColumn id="2937" uniqueName="2937" name="Column2928" queryTableFieldId="13457" dataDxfId="13674"/>
    <tableColumn id="2938" uniqueName="2938" name="Column2929" queryTableFieldId="13456" dataDxfId="13673"/>
    <tableColumn id="2939" uniqueName="2939" name="Column2930" queryTableFieldId="13455" dataDxfId="13672"/>
    <tableColumn id="2940" uniqueName="2940" name="Column2931" queryTableFieldId="13454" dataDxfId="13671"/>
    <tableColumn id="2941" uniqueName="2941" name="Column2932" queryTableFieldId="13453" dataDxfId="13670"/>
    <tableColumn id="2942" uniqueName="2942" name="Column2933" queryTableFieldId="13452" dataDxfId="13669"/>
    <tableColumn id="2943" uniqueName="2943" name="Column2934" queryTableFieldId="13451" dataDxfId="13668"/>
    <tableColumn id="2944" uniqueName="2944" name="Column2935" queryTableFieldId="13450" dataDxfId="13667"/>
    <tableColumn id="2945" uniqueName="2945" name="Column2936" queryTableFieldId="13449" dataDxfId="13666"/>
    <tableColumn id="2946" uniqueName="2946" name="Column2937" queryTableFieldId="13448" dataDxfId="13665"/>
    <tableColumn id="2947" uniqueName="2947" name="Column2938" queryTableFieldId="13447" dataDxfId="13664"/>
    <tableColumn id="2948" uniqueName="2948" name="Column2939" queryTableFieldId="13446" dataDxfId="13663"/>
    <tableColumn id="2949" uniqueName="2949" name="Column2940" queryTableFieldId="13445" dataDxfId="13662"/>
    <tableColumn id="2950" uniqueName="2950" name="Column2941" queryTableFieldId="13444" dataDxfId="13661"/>
    <tableColumn id="2951" uniqueName="2951" name="Column2942" queryTableFieldId="13443" dataDxfId="13660"/>
    <tableColumn id="2952" uniqueName="2952" name="Column2943" queryTableFieldId="13442" dataDxfId="13659"/>
    <tableColumn id="2953" uniqueName="2953" name="Column2944" queryTableFieldId="13441" dataDxfId="13658"/>
    <tableColumn id="2954" uniqueName="2954" name="Column2945" queryTableFieldId="13440" dataDxfId="13657"/>
    <tableColumn id="2955" uniqueName="2955" name="Column2946" queryTableFieldId="13439" dataDxfId="13656"/>
    <tableColumn id="2956" uniqueName="2956" name="Column2947" queryTableFieldId="13438" dataDxfId="13655"/>
    <tableColumn id="2957" uniqueName="2957" name="Column2948" queryTableFieldId="13437" dataDxfId="13654"/>
    <tableColumn id="2958" uniqueName="2958" name="Column2949" queryTableFieldId="13436" dataDxfId="13653"/>
    <tableColumn id="2959" uniqueName="2959" name="Column2950" queryTableFieldId="13435" dataDxfId="13652"/>
    <tableColumn id="2960" uniqueName="2960" name="Column2951" queryTableFieldId="13434" dataDxfId="13651"/>
    <tableColumn id="2961" uniqueName="2961" name="Column2952" queryTableFieldId="13433" dataDxfId="13650"/>
    <tableColumn id="2962" uniqueName="2962" name="Column2953" queryTableFieldId="13432" dataDxfId="13649"/>
    <tableColumn id="2963" uniqueName="2963" name="Column2954" queryTableFieldId="13431" dataDxfId="13648"/>
    <tableColumn id="2964" uniqueName="2964" name="Column2955" queryTableFieldId="13430" dataDxfId="13647"/>
    <tableColumn id="2965" uniqueName="2965" name="Column2956" queryTableFieldId="13429" dataDxfId="13646"/>
    <tableColumn id="2966" uniqueName="2966" name="Column2957" queryTableFieldId="13428" dataDxfId="13645"/>
    <tableColumn id="2967" uniqueName="2967" name="Column2958" queryTableFieldId="13427" dataDxfId="13644"/>
    <tableColumn id="2968" uniqueName="2968" name="Column2959" queryTableFieldId="13426" dataDxfId="13643"/>
    <tableColumn id="2969" uniqueName="2969" name="Column2960" queryTableFieldId="13425" dataDxfId="13642"/>
    <tableColumn id="2970" uniqueName="2970" name="Column2961" queryTableFieldId="13424" dataDxfId="13641"/>
    <tableColumn id="2971" uniqueName="2971" name="Column2962" queryTableFieldId="13423" dataDxfId="13640"/>
    <tableColumn id="2972" uniqueName="2972" name="Column2963" queryTableFieldId="13422" dataDxfId="13639"/>
    <tableColumn id="2973" uniqueName="2973" name="Column2964" queryTableFieldId="13421" dataDxfId="13638"/>
    <tableColumn id="2974" uniqueName="2974" name="Column2965" queryTableFieldId="13420" dataDxfId="13637"/>
    <tableColumn id="2975" uniqueName="2975" name="Column2966" queryTableFieldId="13419" dataDxfId="13636"/>
    <tableColumn id="2976" uniqueName="2976" name="Column2967" queryTableFieldId="13418" dataDxfId="13635"/>
    <tableColumn id="2977" uniqueName="2977" name="Column2968" queryTableFieldId="13417" dataDxfId="13634"/>
    <tableColumn id="2978" uniqueName="2978" name="Column2969" queryTableFieldId="13416" dataDxfId="13633"/>
    <tableColumn id="2979" uniqueName="2979" name="Column2970" queryTableFieldId="13415" dataDxfId="13632"/>
    <tableColumn id="2980" uniqueName="2980" name="Column2971" queryTableFieldId="13414" dataDxfId="13631"/>
    <tableColumn id="2981" uniqueName="2981" name="Column2972" queryTableFieldId="13413" dataDxfId="13630"/>
    <tableColumn id="2982" uniqueName="2982" name="Column2973" queryTableFieldId="13412" dataDxfId="13629"/>
    <tableColumn id="2983" uniqueName="2983" name="Column2974" queryTableFieldId="13411" dataDxfId="13628"/>
    <tableColumn id="2984" uniqueName="2984" name="Column2975" queryTableFieldId="13410" dataDxfId="13627"/>
    <tableColumn id="2985" uniqueName="2985" name="Column2976" queryTableFieldId="13409" dataDxfId="13626"/>
    <tableColumn id="2986" uniqueName="2986" name="Column2977" queryTableFieldId="13408" dataDxfId="13625"/>
    <tableColumn id="2987" uniqueName="2987" name="Column2978" queryTableFieldId="13407" dataDxfId="13624"/>
    <tableColumn id="2988" uniqueName="2988" name="Column2979" queryTableFieldId="13406" dataDxfId="13623"/>
    <tableColumn id="2989" uniqueName="2989" name="Column2980" queryTableFieldId="13405" dataDxfId="13622"/>
    <tableColumn id="2990" uniqueName="2990" name="Column2981" queryTableFieldId="13404" dataDxfId="13621"/>
    <tableColumn id="2991" uniqueName="2991" name="Column2982" queryTableFieldId="13403" dataDxfId="13620"/>
    <tableColumn id="2992" uniqueName="2992" name="Column2983" queryTableFieldId="13402" dataDxfId="13619"/>
    <tableColumn id="2993" uniqueName="2993" name="Column2984" queryTableFieldId="13401" dataDxfId="13618"/>
    <tableColumn id="2994" uniqueName="2994" name="Column2985" queryTableFieldId="13400" dataDxfId="13617"/>
    <tableColumn id="2995" uniqueName="2995" name="Column2986" queryTableFieldId="13399" dataDxfId="13616"/>
    <tableColumn id="2996" uniqueName="2996" name="Column2987" queryTableFieldId="13398" dataDxfId="13615"/>
    <tableColumn id="2997" uniqueName="2997" name="Column2988" queryTableFieldId="13397" dataDxfId="13614"/>
    <tableColumn id="2998" uniqueName="2998" name="Column2989" queryTableFieldId="13396" dataDxfId="13613"/>
    <tableColumn id="2999" uniqueName="2999" name="Column2990" queryTableFieldId="13395" dataDxfId="13612"/>
    <tableColumn id="3000" uniqueName="3000" name="Column2991" queryTableFieldId="13394" dataDxfId="13611"/>
    <tableColumn id="3001" uniqueName="3001" name="Column2992" queryTableFieldId="13393" dataDxfId="13610"/>
    <tableColumn id="3002" uniqueName="3002" name="Column2993" queryTableFieldId="13392" dataDxfId="13609"/>
    <tableColumn id="3003" uniqueName="3003" name="Column2994" queryTableFieldId="13391" dataDxfId="13608"/>
    <tableColumn id="3004" uniqueName="3004" name="Column2995" queryTableFieldId="13390" dataDxfId="13607"/>
    <tableColumn id="3005" uniqueName="3005" name="Column2996" queryTableFieldId="13389" dataDxfId="13606"/>
    <tableColumn id="3006" uniqueName="3006" name="Column2997" queryTableFieldId="13388" dataDxfId="13605"/>
    <tableColumn id="3007" uniqueName="3007" name="Column2998" queryTableFieldId="13387" dataDxfId="13604"/>
    <tableColumn id="3008" uniqueName="3008" name="Column2999" queryTableFieldId="13386" dataDxfId="13603"/>
    <tableColumn id="3009" uniqueName="3009" name="Column3000" queryTableFieldId="13385" dataDxfId="13602"/>
    <tableColumn id="3010" uniqueName="3010" name="Column3001" queryTableFieldId="13384" dataDxfId="13601"/>
    <tableColumn id="3011" uniqueName="3011" name="Column3002" queryTableFieldId="13383" dataDxfId="13600"/>
    <tableColumn id="3012" uniqueName="3012" name="Column3003" queryTableFieldId="13382" dataDxfId="13599"/>
    <tableColumn id="3013" uniqueName="3013" name="Column3004" queryTableFieldId="13381" dataDxfId="13598"/>
    <tableColumn id="3014" uniqueName="3014" name="Column3005" queryTableFieldId="13380" dataDxfId="13597"/>
    <tableColumn id="3015" uniqueName="3015" name="Column3006" queryTableFieldId="13379" dataDxfId="13596"/>
    <tableColumn id="3016" uniqueName="3016" name="Column3007" queryTableFieldId="13378" dataDxfId="13595"/>
    <tableColumn id="3017" uniqueName="3017" name="Column3008" queryTableFieldId="13377" dataDxfId="13594"/>
    <tableColumn id="3018" uniqueName="3018" name="Column3009" queryTableFieldId="13376" dataDxfId="13593"/>
    <tableColumn id="3019" uniqueName="3019" name="Column3010" queryTableFieldId="13375" dataDxfId="13592"/>
    <tableColumn id="3020" uniqueName="3020" name="Column3011" queryTableFieldId="13374" dataDxfId="13591"/>
    <tableColumn id="3021" uniqueName="3021" name="Column3012" queryTableFieldId="13373" dataDxfId="13590"/>
    <tableColumn id="3022" uniqueName="3022" name="Column3013" queryTableFieldId="13372" dataDxfId="13589"/>
    <tableColumn id="3023" uniqueName="3023" name="Column3014" queryTableFieldId="13371" dataDxfId="13588"/>
    <tableColumn id="3024" uniqueName="3024" name="Column3015" queryTableFieldId="13370" dataDxfId="13587"/>
    <tableColumn id="3025" uniqueName="3025" name="Column3016" queryTableFieldId="13369" dataDxfId="13586"/>
    <tableColumn id="3026" uniqueName="3026" name="Column3017" queryTableFieldId="13368" dataDxfId="13585"/>
    <tableColumn id="3027" uniqueName="3027" name="Column3018" queryTableFieldId="13367" dataDxfId="13584"/>
    <tableColumn id="3028" uniqueName="3028" name="Column3019" queryTableFieldId="13366" dataDxfId="13583"/>
    <tableColumn id="3029" uniqueName="3029" name="Column3020" queryTableFieldId="13365" dataDxfId="13582"/>
    <tableColumn id="3030" uniqueName="3030" name="Column3021" queryTableFieldId="13364" dataDxfId="13581"/>
    <tableColumn id="3031" uniqueName="3031" name="Column3022" queryTableFieldId="13363" dataDxfId="13580"/>
    <tableColumn id="3032" uniqueName="3032" name="Column3023" queryTableFieldId="13362" dataDxfId="13579"/>
    <tableColumn id="3033" uniqueName="3033" name="Column3024" queryTableFieldId="13361" dataDxfId="13578"/>
    <tableColumn id="3034" uniqueName="3034" name="Column3025" queryTableFieldId="13360" dataDxfId="13577"/>
    <tableColumn id="3035" uniqueName="3035" name="Column3026" queryTableFieldId="13359" dataDxfId="13576"/>
    <tableColumn id="3036" uniqueName="3036" name="Column3027" queryTableFieldId="13358" dataDxfId="13575"/>
    <tableColumn id="3037" uniqueName="3037" name="Column3028" queryTableFieldId="13357" dataDxfId="13574"/>
    <tableColumn id="3038" uniqueName="3038" name="Column3029" queryTableFieldId="13356" dataDxfId="13573"/>
    <tableColumn id="3039" uniqueName="3039" name="Column3030" queryTableFieldId="13355" dataDxfId="13572"/>
    <tableColumn id="3040" uniqueName="3040" name="Column3031" queryTableFieldId="13354" dataDxfId="13571"/>
    <tableColumn id="3041" uniqueName="3041" name="Column3032" queryTableFieldId="13353" dataDxfId="13570"/>
    <tableColumn id="3042" uniqueName="3042" name="Column3033" queryTableFieldId="13352" dataDxfId="13569"/>
    <tableColumn id="3043" uniqueName="3043" name="Column3034" queryTableFieldId="13351" dataDxfId="13568"/>
    <tableColumn id="3044" uniqueName="3044" name="Column3035" queryTableFieldId="13350" dataDxfId="13567"/>
    <tableColumn id="3045" uniqueName="3045" name="Column3036" queryTableFieldId="13349" dataDxfId="13566"/>
    <tableColumn id="3046" uniqueName="3046" name="Column3037" queryTableFieldId="13348" dataDxfId="13565"/>
    <tableColumn id="3047" uniqueName="3047" name="Column3038" queryTableFieldId="13347" dataDxfId="13564"/>
    <tableColumn id="3048" uniqueName="3048" name="Column3039" queryTableFieldId="13346" dataDxfId="13563"/>
    <tableColumn id="3049" uniqueName="3049" name="Column3040" queryTableFieldId="13345" dataDxfId="13562"/>
    <tableColumn id="3050" uniqueName="3050" name="Column3041" queryTableFieldId="13344" dataDxfId="13561"/>
    <tableColumn id="3051" uniqueName="3051" name="Column3042" queryTableFieldId="13343" dataDxfId="13560"/>
    <tableColumn id="3052" uniqueName="3052" name="Column3043" queryTableFieldId="13342" dataDxfId="13559"/>
    <tableColumn id="3053" uniqueName="3053" name="Column3044" queryTableFieldId="13341" dataDxfId="13558"/>
    <tableColumn id="3054" uniqueName="3054" name="Column3045" queryTableFieldId="13340" dataDxfId="13557"/>
    <tableColumn id="3055" uniqueName="3055" name="Column3046" queryTableFieldId="13339" dataDxfId="13556"/>
    <tableColumn id="3056" uniqueName="3056" name="Column3047" queryTableFieldId="13338" dataDxfId="13555"/>
    <tableColumn id="3057" uniqueName="3057" name="Column3048" queryTableFieldId="13337" dataDxfId="13554"/>
    <tableColumn id="3058" uniqueName="3058" name="Column3049" queryTableFieldId="13336" dataDxfId="13553"/>
    <tableColumn id="3059" uniqueName="3059" name="Column3050" queryTableFieldId="13335" dataDxfId="13552"/>
    <tableColumn id="3060" uniqueName="3060" name="Column3051" queryTableFieldId="13334" dataDxfId="13551"/>
    <tableColumn id="3061" uniqueName="3061" name="Column3052" queryTableFieldId="13333" dataDxfId="13550"/>
    <tableColumn id="3062" uniqueName="3062" name="Column3053" queryTableFieldId="13332" dataDxfId="13549"/>
    <tableColumn id="3063" uniqueName="3063" name="Column3054" queryTableFieldId="13331" dataDxfId="13548"/>
    <tableColumn id="3064" uniqueName="3064" name="Column3055" queryTableFieldId="13330" dataDxfId="13547"/>
    <tableColumn id="3065" uniqueName="3065" name="Column3056" queryTableFieldId="13329" dataDxfId="13546"/>
    <tableColumn id="3066" uniqueName="3066" name="Column3057" queryTableFieldId="13328" dataDxfId="13545"/>
    <tableColumn id="3067" uniqueName="3067" name="Column3058" queryTableFieldId="13327" dataDxfId="13544"/>
    <tableColumn id="3068" uniqueName="3068" name="Column3059" queryTableFieldId="13326" dataDxfId="13543"/>
    <tableColumn id="3069" uniqueName="3069" name="Column3060" queryTableFieldId="13325" dataDxfId="13542"/>
    <tableColumn id="3070" uniqueName="3070" name="Column3061" queryTableFieldId="13324" dataDxfId="13541"/>
    <tableColumn id="3071" uniqueName="3071" name="Column3062" queryTableFieldId="13323" dataDxfId="13540"/>
    <tableColumn id="3072" uniqueName="3072" name="Column3063" queryTableFieldId="13322" dataDxfId="13539"/>
    <tableColumn id="3073" uniqueName="3073" name="Column3064" queryTableFieldId="13321" dataDxfId="13538"/>
    <tableColumn id="3074" uniqueName="3074" name="Column3065" queryTableFieldId="13320" dataDxfId="13537"/>
    <tableColumn id="3075" uniqueName="3075" name="Column3066" queryTableFieldId="13319" dataDxfId="13536"/>
    <tableColumn id="3076" uniqueName="3076" name="Column3067" queryTableFieldId="13318" dataDxfId="13535"/>
    <tableColumn id="3077" uniqueName="3077" name="Column3068" queryTableFieldId="13317" dataDxfId="13534"/>
    <tableColumn id="3078" uniqueName="3078" name="Column3069" queryTableFieldId="13316" dataDxfId="13533"/>
    <tableColumn id="3079" uniqueName="3079" name="Column3070" queryTableFieldId="13315" dataDxfId="13532"/>
    <tableColumn id="3080" uniqueName="3080" name="Column3071" queryTableFieldId="13314" dataDxfId="13531"/>
    <tableColumn id="3081" uniqueName="3081" name="Column3072" queryTableFieldId="13313" dataDxfId="13530"/>
    <tableColumn id="3082" uniqueName="3082" name="Column3073" queryTableFieldId="13312" dataDxfId="13529"/>
    <tableColumn id="3083" uniqueName="3083" name="Column3074" queryTableFieldId="13311" dataDxfId="13528"/>
    <tableColumn id="3084" uniqueName="3084" name="Column3075" queryTableFieldId="13310" dataDxfId="13527"/>
    <tableColumn id="3085" uniqueName="3085" name="Column3076" queryTableFieldId="13309" dataDxfId="13526"/>
    <tableColumn id="3086" uniqueName="3086" name="Column3077" queryTableFieldId="13308" dataDxfId="13525"/>
    <tableColumn id="3087" uniqueName="3087" name="Column3078" queryTableFieldId="13307" dataDxfId="13524"/>
    <tableColumn id="3088" uniqueName="3088" name="Column3079" queryTableFieldId="13306" dataDxfId="13523"/>
    <tableColumn id="3089" uniqueName="3089" name="Column3080" queryTableFieldId="13305" dataDxfId="13522"/>
    <tableColumn id="3090" uniqueName="3090" name="Column3081" queryTableFieldId="13304" dataDxfId="13521"/>
    <tableColumn id="3091" uniqueName="3091" name="Column3082" queryTableFieldId="13303" dataDxfId="13520"/>
    <tableColumn id="3092" uniqueName="3092" name="Column3083" queryTableFieldId="13302" dataDxfId="13519"/>
    <tableColumn id="3093" uniqueName="3093" name="Column3084" queryTableFieldId="13301" dataDxfId="13518"/>
    <tableColumn id="3094" uniqueName="3094" name="Column3085" queryTableFieldId="13300" dataDxfId="13517"/>
    <tableColumn id="3095" uniqueName="3095" name="Column3086" queryTableFieldId="13299" dataDxfId="13516"/>
    <tableColumn id="3096" uniqueName="3096" name="Column3087" queryTableFieldId="13298" dataDxfId="13515"/>
    <tableColumn id="3097" uniqueName="3097" name="Column3088" queryTableFieldId="13297" dataDxfId="13514"/>
    <tableColumn id="3098" uniqueName="3098" name="Column3089" queryTableFieldId="13296" dataDxfId="13513"/>
    <tableColumn id="3099" uniqueName="3099" name="Column3090" queryTableFieldId="13295" dataDxfId="13512"/>
    <tableColumn id="3100" uniqueName="3100" name="Column3091" queryTableFieldId="13294" dataDxfId="13511"/>
    <tableColumn id="3101" uniqueName="3101" name="Column3092" queryTableFieldId="13293" dataDxfId="13510"/>
    <tableColumn id="3102" uniqueName="3102" name="Column3093" queryTableFieldId="13292" dataDxfId="13509"/>
    <tableColumn id="3103" uniqueName="3103" name="Column3094" queryTableFieldId="13291" dataDxfId="13508"/>
    <tableColumn id="3104" uniqueName="3104" name="Column3095" queryTableFieldId="13290" dataDxfId="13507"/>
    <tableColumn id="3105" uniqueName="3105" name="Column3096" queryTableFieldId="13289" dataDxfId="13506"/>
    <tableColumn id="3106" uniqueName="3106" name="Column3097" queryTableFieldId="13288" dataDxfId="13505"/>
    <tableColumn id="3107" uniqueName="3107" name="Column3098" queryTableFieldId="13287" dataDxfId="13504"/>
    <tableColumn id="3108" uniqueName="3108" name="Column3099" queryTableFieldId="13286" dataDxfId="13503"/>
    <tableColumn id="3109" uniqueName="3109" name="Column3100" queryTableFieldId="13285" dataDxfId="13502"/>
    <tableColumn id="3110" uniqueName="3110" name="Column3101" queryTableFieldId="13284" dataDxfId="13501"/>
    <tableColumn id="3111" uniqueName="3111" name="Column3102" queryTableFieldId="13283" dataDxfId="13500"/>
    <tableColumn id="3112" uniqueName="3112" name="Column3103" queryTableFieldId="13282" dataDxfId="13499"/>
    <tableColumn id="3113" uniqueName="3113" name="Column3104" queryTableFieldId="13281" dataDxfId="13498"/>
    <tableColumn id="3114" uniqueName="3114" name="Column3105" queryTableFieldId="13280" dataDxfId="13497"/>
    <tableColumn id="3115" uniqueName="3115" name="Column3106" queryTableFieldId="13279" dataDxfId="13496"/>
    <tableColumn id="3116" uniqueName="3116" name="Column3107" queryTableFieldId="13278" dataDxfId="13495"/>
    <tableColumn id="3117" uniqueName="3117" name="Column3108" queryTableFieldId="13277" dataDxfId="13494"/>
    <tableColumn id="3118" uniqueName="3118" name="Column3109" queryTableFieldId="13276" dataDxfId="13493"/>
    <tableColumn id="3119" uniqueName="3119" name="Column3110" queryTableFieldId="13275" dataDxfId="13492"/>
    <tableColumn id="3120" uniqueName="3120" name="Column3111" queryTableFieldId="13274" dataDxfId="13491"/>
    <tableColumn id="3121" uniqueName="3121" name="Column3112" queryTableFieldId="13273" dataDxfId="13490"/>
    <tableColumn id="3122" uniqueName="3122" name="Column3113" queryTableFieldId="13272" dataDxfId="13489"/>
    <tableColumn id="3123" uniqueName="3123" name="Column3114" queryTableFieldId="13271" dataDxfId="13488"/>
    <tableColumn id="3124" uniqueName="3124" name="Column3115" queryTableFieldId="13270" dataDxfId="13487"/>
    <tableColumn id="3125" uniqueName="3125" name="Column3116" queryTableFieldId="13269" dataDxfId="13486"/>
    <tableColumn id="3126" uniqueName="3126" name="Column3117" queryTableFieldId="13268" dataDxfId="13485"/>
    <tableColumn id="3127" uniqueName="3127" name="Column3118" queryTableFieldId="13267" dataDxfId="13484"/>
    <tableColumn id="3128" uniqueName="3128" name="Column3119" queryTableFieldId="13266" dataDxfId="13483"/>
    <tableColumn id="3129" uniqueName="3129" name="Column3120" queryTableFieldId="13265" dataDxfId="13482"/>
    <tableColumn id="3130" uniqueName="3130" name="Column3121" queryTableFieldId="13264" dataDxfId="13481"/>
    <tableColumn id="3131" uniqueName="3131" name="Column3122" queryTableFieldId="13263" dataDxfId="13480"/>
    <tableColumn id="3132" uniqueName="3132" name="Column3123" queryTableFieldId="13262" dataDxfId="13479"/>
    <tableColumn id="3133" uniqueName="3133" name="Column3124" queryTableFieldId="13261" dataDxfId="13478"/>
    <tableColumn id="3134" uniqueName="3134" name="Column3125" queryTableFieldId="13260" dataDxfId="13477"/>
    <tableColumn id="3135" uniqueName="3135" name="Column3126" queryTableFieldId="13259" dataDxfId="13476"/>
    <tableColumn id="3136" uniqueName="3136" name="Column3127" queryTableFieldId="13258" dataDxfId="13475"/>
    <tableColumn id="3137" uniqueName="3137" name="Column3128" queryTableFieldId="13257" dataDxfId="13474"/>
    <tableColumn id="3138" uniqueName="3138" name="Column3129" queryTableFieldId="13256" dataDxfId="13473"/>
    <tableColumn id="3139" uniqueName="3139" name="Column3130" queryTableFieldId="13255" dataDxfId="13472"/>
    <tableColumn id="3140" uniqueName="3140" name="Column3131" queryTableFieldId="13254" dataDxfId="13471"/>
    <tableColumn id="3141" uniqueName="3141" name="Column3132" queryTableFieldId="13253" dataDxfId="13470"/>
    <tableColumn id="3142" uniqueName="3142" name="Column3133" queryTableFieldId="13252" dataDxfId="13469"/>
    <tableColumn id="3143" uniqueName="3143" name="Column3134" queryTableFieldId="13251" dataDxfId="13468"/>
    <tableColumn id="3144" uniqueName="3144" name="Column3135" queryTableFieldId="13250" dataDxfId="13467"/>
    <tableColumn id="3145" uniqueName="3145" name="Column3136" queryTableFieldId="13249" dataDxfId="13466"/>
    <tableColumn id="3146" uniqueName="3146" name="Column3137" queryTableFieldId="13248" dataDxfId="13465"/>
    <tableColumn id="3147" uniqueName="3147" name="Column3138" queryTableFieldId="13247" dataDxfId="13464"/>
    <tableColumn id="3148" uniqueName="3148" name="Column3139" queryTableFieldId="13246" dataDxfId="13463"/>
    <tableColumn id="3149" uniqueName="3149" name="Column3140" queryTableFieldId="13245" dataDxfId="13462"/>
    <tableColumn id="3150" uniqueName="3150" name="Column3141" queryTableFieldId="13244" dataDxfId="13461"/>
    <tableColumn id="3151" uniqueName="3151" name="Column3142" queryTableFieldId="13243" dataDxfId="13460"/>
    <tableColumn id="3152" uniqueName="3152" name="Column3143" queryTableFieldId="13242" dataDxfId="13459"/>
    <tableColumn id="3153" uniqueName="3153" name="Column3144" queryTableFieldId="13241" dataDxfId="13458"/>
    <tableColumn id="3154" uniqueName="3154" name="Column3145" queryTableFieldId="13240" dataDxfId="13457"/>
    <tableColumn id="3155" uniqueName="3155" name="Column3146" queryTableFieldId="13239" dataDxfId="13456"/>
    <tableColumn id="3156" uniqueName="3156" name="Column3147" queryTableFieldId="13238" dataDxfId="13455"/>
    <tableColumn id="3157" uniqueName="3157" name="Column3148" queryTableFieldId="13237" dataDxfId="13454"/>
    <tableColumn id="3158" uniqueName="3158" name="Column3149" queryTableFieldId="13236" dataDxfId="13453"/>
    <tableColumn id="3159" uniqueName="3159" name="Column3150" queryTableFieldId="13235" dataDxfId="13452"/>
    <tableColumn id="3160" uniqueName="3160" name="Column3151" queryTableFieldId="13234" dataDxfId="13451"/>
    <tableColumn id="3161" uniqueName="3161" name="Column3152" queryTableFieldId="13233" dataDxfId="13450"/>
    <tableColumn id="3162" uniqueName="3162" name="Column3153" queryTableFieldId="13232" dataDxfId="13449"/>
    <tableColumn id="3163" uniqueName="3163" name="Column3154" queryTableFieldId="13231" dataDxfId="13448"/>
    <tableColumn id="3164" uniqueName="3164" name="Column3155" queryTableFieldId="13230" dataDxfId="13447"/>
    <tableColumn id="3165" uniqueName="3165" name="Column3156" queryTableFieldId="13229" dataDxfId="13446"/>
    <tableColumn id="3166" uniqueName="3166" name="Column3157" queryTableFieldId="13228" dataDxfId="13445"/>
    <tableColumn id="3167" uniqueName="3167" name="Column3158" queryTableFieldId="13227" dataDxfId="13444"/>
    <tableColumn id="3168" uniqueName="3168" name="Column3159" queryTableFieldId="13226" dataDxfId="13443"/>
    <tableColumn id="3169" uniqueName="3169" name="Column3160" queryTableFieldId="13225" dataDxfId="13442"/>
    <tableColumn id="3170" uniqueName="3170" name="Column3161" queryTableFieldId="13224" dataDxfId="13441"/>
    <tableColumn id="3171" uniqueName="3171" name="Column3162" queryTableFieldId="13223" dataDxfId="13440"/>
    <tableColumn id="3172" uniqueName="3172" name="Column3163" queryTableFieldId="13222" dataDxfId="13439"/>
    <tableColumn id="3173" uniqueName="3173" name="Column3164" queryTableFieldId="13221" dataDxfId="13438"/>
    <tableColumn id="3174" uniqueName="3174" name="Column3165" queryTableFieldId="13220" dataDxfId="13437"/>
    <tableColumn id="3175" uniqueName="3175" name="Column3166" queryTableFieldId="13219" dataDxfId="13436"/>
    <tableColumn id="3176" uniqueName="3176" name="Column3167" queryTableFieldId="13218" dataDxfId="13435"/>
    <tableColumn id="3177" uniqueName="3177" name="Column3168" queryTableFieldId="13217" dataDxfId="13434"/>
    <tableColumn id="3178" uniqueName="3178" name="Column3169" queryTableFieldId="13216" dataDxfId="13433"/>
    <tableColumn id="3179" uniqueName="3179" name="Column3170" queryTableFieldId="13215" dataDxfId="13432"/>
    <tableColumn id="3180" uniqueName="3180" name="Column3171" queryTableFieldId="13214" dataDxfId="13431"/>
    <tableColumn id="3181" uniqueName="3181" name="Column3172" queryTableFieldId="13213" dataDxfId="13430"/>
    <tableColumn id="3182" uniqueName="3182" name="Column3173" queryTableFieldId="13212" dataDxfId="13429"/>
    <tableColumn id="3183" uniqueName="3183" name="Column3174" queryTableFieldId="13211" dataDxfId="13428"/>
    <tableColumn id="3184" uniqueName="3184" name="Column3175" queryTableFieldId="13210" dataDxfId="13427"/>
    <tableColumn id="3185" uniqueName="3185" name="Column3176" queryTableFieldId="13209" dataDxfId="13426"/>
    <tableColumn id="3186" uniqueName="3186" name="Column3177" queryTableFieldId="13208" dataDxfId="13425"/>
    <tableColumn id="3187" uniqueName="3187" name="Column3178" queryTableFieldId="13207" dataDxfId="13424"/>
    <tableColumn id="3188" uniqueName="3188" name="Column3179" queryTableFieldId="13206" dataDxfId="13423"/>
    <tableColumn id="3189" uniqueName="3189" name="Column3180" queryTableFieldId="13205" dataDxfId="13422"/>
    <tableColumn id="3190" uniqueName="3190" name="Column3181" queryTableFieldId="13204" dataDxfId="13421"/>
    <tableColumn id="3191" uniqueName="3191" name="Column3182" queryTableFieldId="13203" dataDxfId="13420"/>
    <tableColumn id="3192" uniqueName="3192" name="Column3183" queryTableFieldId="13202" dataDxfId="13419"/>
    <tableColumn id="3193" uniqueName="3193" name="Column3184" queryTableFieldId="13201" dataDxfId="13418"/>
    <tableColumn id="3194" uniqueName="3194" name="Column3185" queryTableFieldId="13200" dataDxfId="13417"/>
    <tableColumn id="3195" uniqueName="3195" name="Column3186" queryTableFieldId="13199" dataDxfId="13416"/>
    <tableColumn id="3196" uniqueName="3196" name="Column3187" queryTableFieldId="13198" dataDxfId="13415"/>
    <tableColumn id="3197" uniqueName="3197" name="Column3188" queryTableFieldId="13197" dataDxfId="13414"/>
    <tableColumn id="3198" uniqueName="3198" name="Column3189" queryTableFieldId="13196" dataDxfId="13413"/>
    <tableColumn id="3199" uniqueName="3199" name="Column3190" queryTableFieldId="13195" dataDxfId="13412"/>
    <tableColumn id="3200" uniqueName="3200" name="Column3191" queryTableFieldId="13194" dataDxfId="13411"/>
    <tableColumn id="3201" uniqueName="3201" name="Column3192" queryTableFieldId="13193" dataDxfId="13410"/>
    <tableColumn id="3202" uniqueName="3202" name="Column3193" queryTableFieldId="13192" dataDxfId="13409"/>
    <tableColumn id="3203" uniqueName="3203" name="Column3194" queryTableFieldId="13191" dataDxfId="13408"/>
    <tableColumn id="3204" uniqueName="3204" name="Column3195" queryTableFieldId="13190" dataDxfId="13407"/>
    <tableColumn id="3205" uniqueName="3205" name="Column3196" queryTableFieldId="13189" dataDxfId="13406"/>
    <tableColumn id="3206" uniqueName="3206" name="Column3197" queryTableFieldId="13188" dataDxfId="13405"/>
    <tableColumn id="3207" uniqueName="3207" name="Column3198" queryTableFieldId="13187" dataDxfId="13404"/>
    <tableColumn id="3208" uniqueName="3208" name="Column3199" queryTableFieldId="13186" dataDxfId="13403"/>
    <tableColumn id="3209" uniqueName="3209" name="Column3200" queryTableFieldId="13185" dataDxfId="13402"/>
    <tableColumn id="3210" uniqueName="3210" name="Column3201" queryTableFieldId="13184" dataDxfId="13401"/>
    <tableColumn id="3211" uniqueName="3211" name="Column3202" queryTableFieldId="13183" dataDxfId="13400"/>
    <tableColumn id="3212" uniqueName="3212" name="Column3203" queryTableFieldId="13182" dataDxfId="13399"/>
    <tableColumn id="3213" uniqueName="3213" name="Column3204" queryTableFieldId="13181" dataDxfId="13398"/>
    <tableColumn id="3214" uniqueName="3214" name="Column3205" queryTableFieldId="13180" dataDxfId="13397"/>
    <tableColumn id="3215" uniqueName="3215" name="Column3206" queryTableFieldId="13179" dataDxfId="13396"/>
    <tableColumn id="3216" uniqueName="3216" name="Column3207" queryTableFieldId="13178" dataDxfId="13395"/>
    <tableColumn id="3217" uniqueName="3217" name="Column3208" queryTableFieldId="13177" dataDxfId="13394"/>
    <tableColumn id="3218" uniqueName="3218" name="Column3209" queryTableFieldId="13176" dataDxfId="13393"/>
    <tableColumn id="3219" uniqueName="3219" name="Column3210" queryTableFieldId="13175" dataDxfId="13392"/>
    <tableColumn id="3220" uniqueName="3220" name="Column3211" queryTableFieldId="13174" dataDxfId="13391"/>
    <tableColumn id="3221" uniqueName="3221" name="Column3212" queryTableFieldId="13173" dataDxfId="13390"/>
    <tableColumn id="3222" uniqueName="3222" name="Column3213" queryTableFieldId="13172" dataDxfId="13389"/>
    <tableColumn id="3223" uniqueName="3223" name="Column3214" queryTableFieldId="13171" dataDxfId="13388"/>
    <tableColumn id="3224" uniqueName="3224" name="Column3215" queryTableFieldId="13170" dataDxfId="13387"/>
    <tableColumn id="3225" uniqueName="3225" name="Column3216" queryTableFieldId="13169" dataDxfId="13386"/>
    <tableColumn id="3226" uniqueName="3226" name="Column3217" queryTableFieldId="13168" dataDxfId="13385"/>
    <tableColumn id="3227" uniqueName="3227" name="Column3218" queryTableFieldId="13167" dataDxfId="13384"/>
    <tableColumn id="3228" uniqueName="3228" name="Column3219" queryTableFieldId="13166" dataDxfId="13383"/>
    <tableColumn id="3229" uniqueName="3229" name="Column3220" queryTableFieldId="13165" dataDxfId="13382"/>
    <tableColumn id="3230" uniqueName="3230" name="Column3221" queryTableFieldId="13164" dataDxfId="13381"/>
    <tableColumn id="3231" uniqueName="3231" name="Column3222" queryTableFieldId="13163" dataDxfId="13380"/>
    <tableColumn id="3232" uniqueName="3232" name="Column3223" queryTableFieldId="13162" dataDxfId="13379"/>
    <tableColumn id="3233" uniqueName="3233" name="Column3224" queryTableFieldId="13161" dataDxfId="13378"/>
    <tableColumn id="3234" uniqueName="3234" name="Column3225" queryTableFieldId="13160" dataDxfId="13377"/>
    <tableColumn id="3235" uniqueName="3235" name="Column3226" queryTableFieldId="13159" dataDxfId="13376"/>
    <tableColumn id="3236" uniqueName="3236" name="Column3227" queryTableFieldId="13158" dataDxfId="13375"/>
    <tableColumn id="3237" uniqueName="3237" name="Column3228" queryTableFieldId="13157" dataDxfId="13374"/>
    <tableColumn id="3238" uniqueName="3238" name="Column3229" queryTableFieldId="13156" dataDxfId="13373"/>
    <tableColumn id="3239" uniqueName="3239" name="Column3230" queryTableFieldId="13155" dataDxfId="13372"/>
    <tableColumn id="3240" uniqueName="3240" name="Column3231" queryTableFieldId="13154" dataDxfId="13371"/>
    <tableColumn id="3241" uniqueName="3241" name="Column3232" queryTableFieldId="13153" dataDxfId="13370"/>
    <tableColumn id="3242" uniqueName="3242" name="Column3233" queryTableFieldId="13152" dataDxfId="13369"/>
    <tableColumn id="3243" uniqueName="3243" name="Column3234" queryTableFieldId="13151" dataDxfId="13368"/>
    <tableColumn id="3244" uniqueName="3244" name="Column3235" queryTableFieldId="13150" dataDxfId="13367"/>
    <tableColumn id="3245" uniqueName="3245" name="Column3236" queryTableFieldId="13149" dataDxfId="13366"/>
    <tableColumn id="3246" uniqueName="3246" name="Column3237" queryTableFieldId="13148" dataDxfId="13365"/>
    <tableColumn id="3247" uniqueName="3247" name="Column3238" queryTableFieldId="13147" dataDxfId="13364"/>
    <tableColumn id="3248" uniqueName="3248" name="Column3239" queryTableFieldId="13146" dataDxfId="13363"/>
    <tableColumn id="3249" uniqueName="3249" name="Column3240" queryTableFieldId="13145" dataDxfId="13362"/>
    <tableColumn id="3250" uniqueName="3250" name="Column3241" queryTableFieldId="13144" dataDxfId="13361"/>
    <tableColumn id="3251" uniqueName="3251" name="Column3242" queryTableFieldId="13143" dataDxfId="13360"/>
    <tableColumn id="3252" uniqueName="3252" name="Column3243" queryTableFieldId="13142" dataDxfId="13359"/>
    <tableColumn id="3253" uniqueName="3253" name="Column3244" queryTableFieldId="13141" dataDxfId="13358"/>
    <tableColumn id="3254" uniqueName="3254" name="Column3245" queryTableFieldId="13140" dataDxfId="13357"/>
    <tableColumn id="3255" uniqueName="3255" name="Column3246" queryTableFieldId="13139" dataDxfId="13356"/>
    <tableColumn id="3256" uniqueName="3256" name="Column3247" queryTableFieldId="13138" dataDxfId="13355"/>
    <tableColumn id="3257" uniqueName="3257" name="Column3248" queryTableFieldId="13137" dataDxfId="13354"/>
    <tableColumn id="3258" uniqueName="3258" name="Column3249" queryTableFieldId="13136" dataDxfId="13353"/>
    <tableColumn id="3259" uniqueName="3259" name="Column3250" queryTableFieldId="13135" dataDxfId="13352"/>
    <tableColumn id="3260" uniqueName="3260" name="Column3251" queryTableFieldId="13134" dataDxfId="13351"/>
    <tableColumn id="3261" uniqueName="3261" name="Column3252" queryTableFieldId="13133" dataDxfId="13350"/>
    <tableColumn id="3262" uniqueName="3262" name="Column3253" queryTableFieldId="13132" dataDxfId="13349"/>
    <tableColumn id="3263" uniqueName="3263" name="Column3254" queryTableFieldId="13131" dataDxfId="13348"/>
    <tableColumn id="3264" uniqueName="3264" name="Column3255" queryTableFieldId="13130" dataDxfId="13347"/>
    <tableColumn id="3265" uniqueName="3265" name="Column3256" queryTableFieldId="13129" dataDxfId="13346"/>
    <tableColumn id="3266" uniqueName="3266" name="Column3257" queryTableFieldId="13128" dataDxfId="13345"/>
    <tableColumn id="3267" uniqueName="3267" name="Column3258" queryTableFieldId="13127" dataDxfId="13344"/>
    <tableColumn id="3268" uniqueName="3268" name="Column3259" queryTableFieldId="13126" dataDxfId="13343"/>
    <tableColumn id="3269" uniqueName="3269" name="Column3260" queryTableFieldId="13125" dataDxfId="13342"/>
    <tableColumn id="3270" uniqueName="3270" name="Column3261" queryTableFieldId="13124" dataDxfId="13341"/>
    <tableColumn id="3271" uniqueName="3271" name="Column3262" queryTableFieldId="13123" dataDxfId="13340"/>
    <tableColumn id="3272" uniqueName="3272" name="Column3263" queryTableFieldId="13122" dataDxfId="13339"/>
    <tableColumn id="3273" uniqueName="3273" name="Column3264" queryTableFieldId="13121" dataDxfId="13338"/>
    <tableColumn id="3274" uniqueName="3274" name="Column3265" queryTableFieldId="13120" dataDxfId="13337"/>
    <tableColumn id="3275" uniqueName="3275" name="Column3266" queryTableFieldId="13119" dataDxfId="13336"/>
    <tableColumn id="3276" uniqueName="3276" name="Column3267" queryTableFieldId="13118" dataDxfId="13335"/>
    <tableColumn id="3277" uniqueName="3277" name="Column3268" queryTableFieldId="13117" dataDxfId="13334"/>
    <tableColumn id="3278" uniqueName="3278" name="Column3269" queryTableFieldId="13116" dataDxfId="13333"/>
    <tableColumn id="3279" uniqueName="3279" name="Column3270" queryTableFieldId="13115" dataDxfId="13332"/>
    <tableColumn id="3280" uniqueName="3280" name="Column3271" queryTableFieldId="13114" dataDxfId="13331"/>
    <tableColumn id="3281" uniqueName="3281" name="Column3272" queryTableFieldId="13113" dataDxfId="13330"/>
    <tableColumn id="3282" uniqueName="3282" name="Column3273" queryTableFieldId="13112" dataDxfId="13329"/>
    <tableColumn id="3283" uniqueName="3283" name="Column3274" queryTableFieldId="13111" dataDxfId="13328"/>
    <tableColumn id="3284" uniqueName="3284" name="Column3275" queryTableFieldId="13110" dataDxfId="13327"/>
    <tableColumn id="3285" uniqueName="3285" name="Column3276" queryTableFieldId="13109" dataDxfId="13326"/>
    <tableColumn id="3286" uniqueName="3286" name="Column3277" queryTableFieldId="13108" dataDxfId="13325"/>
    <tableColumn id="3287" uniqueName="3287" name="Column3278" queryTableFieldId="13107" dataDxfId="13324"/>
    <tableColumn id="3288" uniqueName="3288" name="Column3279" queryTableFieldId="13106" dataDxfId="13323"/>
    <tableColumn id="3289" uniqueName="3289" name="Column3280" queryTableFieldId="13105" dataDxfId="13322"/>
    <tableColumn id="3290" uniqueName="3290" name="Column3281" queryTableFieldId="13104" dataDxfId="13321"/>
    <tableColumn id="3291" uniqueName="3291" name="Column3282" queryTableFieldId="13103" dataDxfId="13320"/>
    <tableColumn id="3292" uniqueName="3292" name="Column3283" queryTableFieldId="13102" dataDxfId="13319"/>
    <tableColumn id="3293" uniqueName="3293" name="Column3284" queryTableFieldId="13101" dataDxfId="13318"/>
    <tableColumn id="3294" uniqueName="3294" name="Column3285" queryTableFieldId="13100" dataDxfId="13317"/>
    <tableColumn id="3295" uniqueName="3295" name="Column3286" queryTableFieldId="13099" dataDxfId="13316"/>
    <tableColumn id="3296" uniqueName="3296" name="Column3287" queryTableFieldId="13098" dataDxfId="13315"/>
    <tableColumn id="3297" uniqueName="3297" name="Column3288" queryTableFieldId="13097" dataDxfId="13314"/>
    <tableColumn id="3298" uniqueName="3298" name="Column3289" queryTableFieldId="13096" dataDxfId="13313"/>
    <tableColumn id="3299" uniqueName="3299" name="Column3290" queryTableFieldId="13095" dataDxfId="13312"/>
    <tableColumn id="3300" uniqueName="3300" name="Column3291" queryTableFieldId="13094" dataDxfId="13311"/>
    <tableColumn id="3301" uniqueName="3301" name="Column3292" queryTableFieldId="13093" dataDxfId="13310"/>
    <tableColumn id="3302" uniqueName="3302" name="Column3293" queryTableFieldId="13092" dataDxfId="13309"/>
    <tableColumn id="3303" uniqueName="3303" name="Column3294" queryTableFieldId="13091" dataDxfId="13308"/>
    <tableColumn id="3304" uniqueName="3304" name="Column3295" queryTableFieldId="13090" dataDxfId="13307"/>
    <tableColumn id="3305" uniqueName="3305" name="Column3296" queryTableFieldId="13089" dataDxfId="13306"/>
    <tableColumn id="3306" uniqueName="3306" name="Column3297" queryTableFieldId="13088" dataDxfId="13305"/>
    <tableColumn id="3307" uniqueName="3307" name="Column3298" queryTableFieldId="13087" dataDxfId="13304"/>
    <tableColumn id="3308" uniqueName="3308" name="Column3299" queryTableFieldId="13086" dataDxfId="13303"/>
    <tableColumn id="3309" uniqueName="3309" name="Column3300" queryTableFieldId="13085" dataDxfId="13302"/>
    <tableColumn id="3310" uniqueName="3310" name="Column3301" queryTableFieldId="13084" dataDxfId="13301"/>
    <tableColumn id="3311" uniqueName="3311" name="Column3302" queryTableFieldId="13083" dataDxfId="13300"/>
    <tableColumn id="3312" uniqueName="3312" name="Column3303" queryTableFieldId="13082" dataDxfId="13299"/>
    <tableColumn id="3313" uniqueName="3313" name="Column3304" queryTableFieldId="13081" dataDxfId="13298"/>
    <tableColumn id="3314" uniqueName="3314" name="Column3305" queryTableFieldId="13080" dataDxfId="13297"/>
    <tableColumn id="3315" uniqueName="3315" name="Column3306" queryTableFieldId="13079" dataDxfId="13296"/>
    <tableColumn id="3316" uniqueName="3316" name="Column3307" queryTableFieldId="13078" dataDxfId="13295"/>
    <tableColumn id="3317" uniqueName="3317" name="Column3308" queryTableFieldId="13077" dataDxfId="13294"/>
    <tableColumn id="3318" uniqueName="3318" name="Column3309" queryTableFieldId="13076" dataDxfId="13293"/>
    <tableColumn id="3319" uniqueName="3319" name="Column3310" queryTableFieldId="13075" dataDxfId="13292"/>
    <tableColumn id="3320" uniqueName="3320" name="Column3311" queryTableFieldId="13074" dataDxfId="13291"/>
    <tableColumn id="3321" uniqueName="3321" name="Column3312" queryTableFieldId="13073" dataDxfId="13290"/>
    <tableColumn id="3322" uniqueName="3322" name="Column3313" queryTableFieldId="13072" dataDxfId="13289"/>
    <tableColumn id="3323" uniqueName="3323" name="Column3314" queryTableFieldId="13071" dataDxfId="13288"/>
    <tableColumn id="3324" uniqueName="3324" name="Column3315" queryTableFieldId="13070" dataDxfId="13287"/>
    <tableColumn id="3325" uniqueName="3325" name="Column3316" queryTableFieldId="13069" dataDxfId="13286"/>
    <tableColumn id="3326" uniqueName="3326" name="Column3317" queryTableFieldId="13068" dataDxfId="13285"/>
    <tableColumn id="3327" uniqueName="3327" name="Column3318" queryTableFieldId="13067" dataDxfId="13284"/>
    <tableColumn id="3328" uniqueName="3328" name="Column3319" queryTableFieldId="13066" dataDxfId="13283"/>
    <tableColumn id="3329" uniqueName="3329" name="Column3320" queryTableFieldId="13065" dataDxfId="13282"/>
    <tableColumn id="3330" uniqueName="3330" name="Column3321" queryTableFieldId="13064" dataDxfId="13281"/>
    <tableColumn id="3331" uniqueName="3331" name="Column3322" queryTableFieldId="13063" dataDxfId="13280"/>
    <tableColumn id="3332" uniqueName="3332" name="Column3323" queryTableFieldId="13062" dataDxfId="13279"/>
    <tableColumn id="3333" uniqueName="3333" name="Column3324" queryTableFieldId="13061" dataDxfId="13278"/>
    <tableColumn id="3334" uniqueName="3334" name="Column3325" queryTableFieldId="13060" dataDxfId="13277"/>
    <tableColumn id="3335" uniqueName="3335" name="Column3326" queryTableFieldId="13059" dataDxfId="13276"/>
    <tableColumn id="3336" uniqueName="3336" name="Column3327" queryTableFieldId="13058" dataDxfId="13275"/>
    <tableColumn id="3337" uniqueName="3337" name="Column3328" queryTableFieldId="13057" dataDxfId="13274"/>
    <tableColumn id="3338" uniqueName="3338" name="Column3329" queryTableFieldId="13056" dataDxfId="13273"/>
    <tableColumn id="3339" uniqueName="3339" name="Column3330" queryTableFieldId="13055" dataDxfId="13272"/>
    <tableColumn id="3340" uniqueName="3340" name="Column3331" queryTableFieldId="13054" dataDxfId="13271"/>
    <tableColumn id="3341" uniqueName="3341" name="Column3332" queryTableFieldId="13053" dataDxfId="13270"/>
    <tableColumn id="3342" uniqueName="3342" name="Column3333" queryTableFieldId="13052" dataDxfId="13269"/>
    <tableColumn id="3343" uniqueName="3343" name="Column3334" queryTableFieldId="13051" dataDxfId="13268"/>
    <tableColumn id="3344" uniqueName="3344" name="Column3335" queryTableFieldId="13050" dataDxfId="13267"/>
    <tableColumn id="3345" uniqueName="3345" name="Column3336" queryTableFieldId="13049" dataDxfId="13266"/>
    <tableColumn id="3346" uniqueName="3346" name="Column3337" queryTableFieldId="13048" dataDxfId="13265"/>
    <tableColumn id="3347" uniqueName="3347" name="Column3338" queryTableFieldId="13047" dataDxfId="13264"/>
    <tableColumn id="3348" uniqueName="3348" name="Column3339" queryTableFieldId="13046" dataDxfId="13263"/>
    <tableColumn id="3349" uniqueName="3349" name="Column3340" queryTableFieldId="13045" dataDxfId="13262"/>
    <tableColumn id="3350" uniqueName="3350" name="Column3341" queryTableFieldId="13044" dataDxfId="13261"/>
    <tableColumn id="3351" uniqueName="3351" name="Column3342" queryTableFieldId="13043" dataDxfId="13260"/>
    <tableColumn id="3352" uniqueName="3352" name="Column3343" queryTableFieldId="13042" dataDxfId="13259"/>
    <tableColumn id="3353" uniqueName="3353" name="Column3344" queryTableFieldId="13041" dataDxfId="13258"/>
    <tableColumn id="3354" uniqueName="3354" name="Column3345" queryTableFieldId="13040" dataDxfId="13257"/>
    <tableColumn id="3355" uniqueName="3355" name="Column3346" queryTableFieldId="13039" dataDxfId="13256"/>
    <tableColumn id="3356" uniqueName="3356" name="Column3347" queryTableFieldId="13038" dataDxfId="13255"/>
    <tableColumn id="3357" uniqueName="3357" name="Column3348" queryTableFieldId="13037" dataDxfId="13254"/>
    <tableColumn id="3358" uniqueName="3358" name="Column3349" queryTableFieldId="13036" dataDxfId="13253"/>
    <tableColumn id="3359" uniqueName="3359" name="Column3350" queryTableFieldId="13035" dataDxfId="13252"/>
    <tableColumn id="3360" uniqueName="3360" name="Column3351" queryTableFieldId="13034" dataDxfId="13251"/>
    <tableColumn id="3361" uniqueName="3361" name="Column3352" queryTableFieldId="13033" dataDxfId="13250"/>
    <tableColumn id="3362" uniqueName="3362" name="Column3353" queryTableFieldId="13032" dataDxfId="13249"/>
    <tableColumn id="3363" uniqueName="3363" name="Column3354" queryTableFieldId="13031" dataDxfId="13248"/>
    <tableColumn id="3364" uniqueName="3364" name="Column3355" queryTableFieldId="13030" dataDxfId="13247"/>
    <tableColumn id="3365" uniqueName="3365" name="Column3356" queryTableFieldId="13029" dataDxfId="13246"/>
    <tableColumn id="3366" uniqueName="3366" name="Column3357" queryTableFieldId="13028" dataDxfId="13245"/>
    <tableColumn id="3367" uniqueName="3367" name="Column3358" queryTableFieldId="13027" dataDxfId="13244"/>
    <tableColumn id="3368" uniqueName="3368" name="Column3359" queryTableFieldId="13026" dataDxfId="13243"/>
    <tableColumn id="3369" uniqueName="3369" name="Column3360" queryTableFieldId="13025" dataDxfId="13242"/>
    <tableColumn id="3370" uniqueName="3370" name="Column3361" queryTableFieldId="13024" dataDxfId="13241"/>
    <tableColumn id="3371" uniqueName="3371" name="Column3362" queryTableFieldId="13023" dataDxfId="13240"/>
    <tableColumn id="3372" uniqueName="3372" name="Column3363" queryTableFieldId="13022" dataDxfId="13239"/>
    <tableColumn id="3373" uniqueName="3373" name="Column3364" queryTableFieldId="13021" dataDxfId="13238"/>
    <tableColumn id="3374" uniqueName="3374" name="Column3365" queryTableFieldId="13020" dataDxfId="13237"/>
    <tableColumn id="3375" uniqueName="3375" name="Column3366" queryTableFieldId="13019" dataDxfId="13236"/>
    <tableColumn id="3376" uniqueName="3376" name="Column3367" queryTableFieldId="13018" dataDxfId="13235"/>
    <tableColumn id="3377" uniqueName="3377" name="Column3368" queryTableFieldId="13017" dataDxfId="13234"/>
    <tableColumn id="3378" uniqueName="3378" name="Column3369" queryTableFieldId="13016" dataDxfId="13233"/>
    <tableColumn id="3379" uniqueName="3379" name="Column3370" queryTableFieldId="13015" dataDxfId="13232"/>
    <tableColumn id="3380" uniqueName="3380" name="Column3371" queryTableFieldId="13014" dataDxfId="13231"/>
    <tableColumn id="3381" uniqueName="3381" name="Column3372" queryTableFieldId="13013" dataDxfId="13230"/>
    <tableColumn id="3382" uniqueName="3382" name="Column3373" queryTableFieldId="13012" dataDxfId="13229"/>
    <tableColumn id="3383" uniqueName="3383" name="Column3374" queryTableFieldId="13011" dataDxfId="13228"/>
    <tableColumn id="3384" uniqueName="3384" name="Column3375" queryTableFieldId="13010" dataDxfId="13227"/>
    <tableColumn id="3385" uniqueName="3385" name="Column3376" queryTableFieldId="13009" dataDxfId="13226"/>
    <tableColumn id="3386" uniqueName="3386" name="Column3377" queryTableFieldId="13008" dataDxfId="13225"/>
    <tableColumn id="3387" uniqueName="3387" name="Column3378" queryTableFieldId="13007" dataDxfId="13224"/>
    <tableColumn id="3388" uniqueName="3388" name="Column3379" queryTableFieldId="13006" dataDxfId="13223"/>
    <tableColumn id="3389" uniqueName="3389" name="Column3380" queryTableFieldId="13005" dataDxfId="13222"/>
    <tableColumn id="3390" uniqueName="3390" name="Column3381" queryTableFieldId="13004" dataDxfId="13221"/>
    <tableColumn id="3391" uniqueName="3391" name="Column3382" queryTableFieldId="13003" dataDxfId="13220"/>
    <tableColumn id="3392" uniqueName="3392" name="Column3383" queryTableFieldId="13002" dataDxfId="13219"/>
    <tableColumn id="3393" uniqueName="3393" name="Column3384" queryTableFieldId="13001" dataDxfId="13218"/>
    <tableColumn id="3394" uniqueName="3394" name="Column3385" queryTableFieldId="13000" dataDxfId="13217"/>
    <tableColumn id="3395" uniqueName="3395" name="Column3386" queryTableFieldId="12999" dataDxfId="13216"/>
    <tableColumn id="3396" uniqueName="3396" name="Column3387" queryTableFieldId="12998" dataDxfId="13215"/>
    <tableColumn id="3397" uniqueName="3397" name="Column3388" queryTableFieldId="12997" dataDxfId="13214"/>
    <tableColumn id="3398" uniqueName="3398" name="Column3389" queryTableFieldId="12996" dataDxfId="13213"/>
    <tableColumn id="3399" uniqueName="3399" name="Column3390" queryTableFieldId="12995" dataDxfId="13212"/>
    <tableColumn id="3400" uniqueName="3400" name="Column3391" queryTableFieldId="12994" dataDxfId="13211"/>
    <tableColumn id="3401" uniqueName="3401" name="Column3392" queryTableFieldId="12993" dataDxfId="13210"/>
    <tableColumn id="3402" uniqueName="3402" name="Column3393" queryTableFieldId="12992" dataDxfId="13209"/>
    <tableColumn id="3403" uniqueName="3403" name="Column3394" queryTableFieldId="12991" dataDxfId="13208"/>
    <tableColumn id="3404" uniqueName="3404" name="Column3395" queryTableFieldId="12990" dataDxfId="13207"/>
    <tableColumn id="3405" uniqueName="3405" name="Column3396" queryTableFieldId="12989" dataDxfId="13206"/>
    <tableColumn id="3406" uniqueName="3406" name="Column3397" queryTableFieldId="12988" dataDxfId="13205"/>
    <tableColumn id="3407" uniqueName="3407" name="Column3398" queryTableFieldId="12987" dataDxfId="13204"/>
    <tableColumn id="3408" uniqueName="3408" name="Column3399" queryTableFieldId="12986" dataDxfId="13203"/>
    <tableColumn id="3409" uniqueName="3409" name="Column3400" queryTableFieldId="12985" dataDxfId="13202"/>
    <tableColumn id="3410" uniqueName="3410" name="Column3401" queryTableFieldId="12984" dataDxfId="13201"/>
    <tableColumn id="3411" uniqueName="3411" name="Column3402" queryTableFieldId="12983" dataDxfId="13200"/>
    <tableColumn id="3412" uniqueName="3412" name="Column3403" queryTableFieldId="12982" dataDxfId="13199"/>
    <tableColumn id="3413" uniqueName="3413" name="Column3404" queryTableFieldId="12981" dataDxfId="13198"/>
    <tableColumn id="3414" uniqueName="3414" name="Column3405" queryTableFieldId="12980" dataDxfId="13197"/>
    <tableColumn id="3415" uniqueName="3415" name="Column3406" queryTableFieldId="12979" dataDxfId="13196"/>
    <tableColumn id="3416" uniqueName="3416" name="Column3407" queryTableFieldId="12978" dataDxfId="13195"/>
    <tableColumn id="3417" uniqueName="3417" name="Column3408" queryTableFieldId="12977" dataDxfId="13194"/>
    <tableColumn id="3418" uniqueName="3418" name="Column3409" queryTableFieldId="12976" dataDxfId="13193"/>
    <tableColumn id="3419" uniqueName="3419" name="Column3410" queryTableFieldId="12975" dataDxfId="13192"/>
    <tableColumn id="3420" uniqueName="3420" name="Column3411" queryTableFieldId="12974" dataDxfId="13191"/>
    <tableColumn id="3421" uniqueName="3421" name="Column3412" queryTableFieldId="12973" dataDxfId="13190"/>
    <tableColumn id="3422" uniqueName="3422" name="Column3413" queryTableFieldId="12972" dataDxfId="13189"/>
    <tableColumn id="3423" uniqueName="3423" name="Column3414" queryTableFieldId="12971" dataDxfId="13188"/>
    <tableColumn id="3424" uniqueName="3424" name="Column3415" queryTableFieldId="12970" dataDxfId="13187"/>
    <tableColumn id="3425" uniqueName="3425" name="Column3416" queryTableFieldId="12969" dataDxfId="13186"/>
    <tableColumn id="3426" uniqueName="3426" name="Column3417" queryTableFieldId="12968" dataDxfId="13185"/>
    <tableColumn id="3427" uniqueName="3427" name="Column3418" queryTableFieldId="12967" dataDxfId="13184"/>
    <tableColumn id="3428" uniqueName="3428" name="Column3419" queryTableFieldId="12966" dataDxfId="13183"/>
    <tableColumn id="3429" uniqueName="3429" name="Column3420" queryTableFieldId="12965" dataDxfId="13182"/>
    <tableColumn id="3430" uniqueName="3430" name="Column3421" queryTableFieldId="12964" dataDxfId="13181"/>
    <tableColumn id="3431" uniqueName="3431" name="Column3422" queryTableFieldId="12963" dataDxfId="13180"/>
    <tableColumn id="3432" uniqueName="3432" name="Column3423" queryTableFieldId="12962" dataDxfId="13179"/>
    <tableColumn id="3433" uniqueName="3433" name="Column3424" queryTableFieldId="12961" dataDxfId="13178"/>
    <tableColumn id="3434" uniqueName="3434" name="Column3425" queryTableFieldId="12960" dataDxfId="13177"/>
    <tableColumn id="3435" uniqueName="3435" name="Column3426" queryTableFieldId="12959" dataDxfId="13176"/>
    <tableColumn id="3436" uniqueName="3436" name="Column3427" queryTableFieldId="12958" dataDxfId="13175"/>
    <tableColumn id="3437" uniqueName="3437" name="Column3428" queryTableFieldId="12957" dataDxfId="13174"/>
    <tableColumn id="3438" uniqueName="3438" name="Column3429" queryTableFieldId="12956" dataDxfId="13173"/>
    <tableColumn id="3439" uniqueName="3439" name="Column3430" queryTableFieldId="12955" dataDxfId="13172"/>
    <tableColumn id="3440" uniqueName="3440" name="Column3431" queryTableFieldId="12954" dataDxfId="13171"/>
    <tableColumn id="3441" uniqueName="3441" name="Column3432" queryTableFieldId="12953" dataDxfId="13170"/>
    <tableColumn id="3442" uniqueName="3442" name="Column3433" queryTableFieldId="12952" dataDxfId="13169"/>
    <tableColumn id="3443" uniqueName="3443" name="Column3434" queryTableFieldId="12951" dataDxfId="13168"/>
    <tableColumn id="3444" uniqueName="3444" name="Column3435" queryTableFieldId="12950" dataDxfId="13167"/>
    <tableColumn id="3445" uniqueName="3445" name="Column3436" queryTableFieldId="12949" dataDxfId="13166"/>
    <tableColumn id="3446" uniqueName="3446" name="Column3437" queryTableFieldId="12948" dataDxfId="13165"/>
    <tableColumn id="3447" uniqueName="3447" name="Column3438" queryTableFieldId="12947" dataDxfId="13164"/>
    <tableColumn id="3448" uniqueName="3448" name="Column3439" queryTableFieldId="12946" dataDxfId="13163"/>
    <tableColumn id="3449" uniqueName="3449" name="Column3440" queryTableFieldId="12945" dataDxfId="13162"/>
    <tableColumn id="3450" uniqueName="3450" name="Column3441" queryTableFieldId="12944" dataDxfId="13161"/>
    <tableColumn id="3451" uniqueName="3451" name="Column3442" queryTableFieldId="12943" dataDxfId="13160"/>
    <tableColumn id="3452" uniqueName="3452" name="Column3443" queryTableFieldId="12942" dataDxfId="13159"/>
    <tableColumn id="3453" uniqueName="3453" name="Column3444" queryTableFieldId="12941" dataDxfId="13158"/>
    <tableColumn id="3454" uniqueName="3454" name="Column3445" queryTableFieldId="12940" dataDxfId="13157"/>
    <tableColumn id="3455" uniqueName="3455" name="Column3446" queryTableFieldId="12939" dataDxfId="13156"/>
    <tableColumn id="3456" uniqueName="3456" name="Column3447" queryTableFieldId="12938" dataDxfId="13155"/>
    <tableColumn id="3457" uniqueName="3457" name="Column3448" queryTableFieldId="12937" dataDxfId="13154"/>
    <tableColumn id="3458" uniqueName="3458" name="Column3449" queryTableFieldId="12936" dataDxfId="13153"/>
    <tableColumn id="3459" uniqueName="3459" name="Column3450" queryTableFieldId="12935" dataDxfId="13152"/>
    <tableColumn id="3460" uniqueName="3460" name="Column3451" queryTableFieldId="12934" dataDxfId="13151"/>
    <tableColumn id="3461" uniqueName="3461" name="Column3452" queryTableFieldId="12933" dataDxfId="13150"/>
    <tableColumn id="3462" uniqueName="3462" name="Column3453" queryTableFieldId="12932" dataDxfId="13149"/>
    <tableColumn id="3463" uniqueName="3463" name="Column3454" queryTableFieldId="12931" dataDxfId="13148"/>
    <tableColumn id="3464" uniqueName="3464" name="Column3455" queryTableFieldId="12930" dataDxfId="13147"/>
    <tableColumn id="3465" uniqueName="3465" name="Column3456" queryTableFieldId="12929" dataDxfId="13146"/>
    <tableColumn id="3466" uniqueName="3466" name="Column3457" queryTableFieldId="12928" dataDxfId="13145"/>
    <tableColumn id="3467" uniqueName="3467" name="Column3458" queryTableFieldId="12927" dataDxfId="13144"/>
    <tableColumn id="3468" uniqueName="3468" name="Column3459" queryTableFieldId="12926" dataDxfId="13143"/>
    <tableColumn id="3469" uniqueName="3469" name="Column3460" queryTableFieldId="12925" dataDxfId="13142"/>
    <tableColumn id="3470" uniqueName="3470" name="Column3461" queryTableFieldId="12924" dataDxfId="13141"/>
    <tableColumn id="3471" uniqueName="3471" name="Column3462" queryTableFieldId="12923" dataDxfId="13140"/>
    <tableColumn id="3472" uniqueName="3472" name="Column3463" queryTableFieldId="12922" dataDxfId="13139"/>
    <tableColumn id="3473" uniqueName="3473" name="Column3464" queryTableFieldId="12921" dataDxfId="13138"/>
    <tableColumn id="3474" uniqueName="3474" name="Column3465" queryTableFieldId="12920" dataDxfId="13137"/>
    <tableColumn id="3475" uniqueName="3475" name="Column3466" queryTableFieldId="12919" dataDxfId="13136"/>
    <tableColumn id="3476" uniqueName="3476" name="Column3467" queryTableFieldId="12918" dataDxfId="13135"/>
    <tableColumn id="3477" uniqueName="3477" name="Column3468" queryTableFieldId="12917" dataDxfId="13134"/>
    <tableColumn id="3478" uniqueName="3478" name="Column3469" queryTableFieldId="12916" dataDxfId="13133"/>
    <tableColumn id="3479" uniqueName="3479" name="Column3470" queryTableFieldId="12915" dataDxfId="13132"/>
    <tableColumn id="3480" uniqueName="3480" name="Column3471" queryTableFieldId="12914" dataDxfId="13131"/>
    <tableColumn id="3481" uniqueName="3481" name="Column3472" queryTableFieldId="12913" dataDxfId="13130"/>
    <tableColumn id="3482" uniqueName="3482" name="Column3473" queryTableFieldId="12912" dataDxfId="13129"/>
    <tableColumn id="3483" uniqueName="3483" name="Column3474" queryTableFieldId="12911" dataDxfId="13128"/>
    <tableColumn id="3484" uniqueName="3484" name="Column3475" queryTableFieldId="12910" dataDxfId="13127"/>
    <tableColumn id="3485" uniqueName="3485" name="Column3476" queryTableFieldId="12909" dataDxfId="13126"/>
    <tableColumn id="3486" uniqueName="3486" name="Column3477" queryTableFieldId="12908" dataDxfId="13125"/>
    <tableColumn id="3487" uniqueName="3487" name="Column3478" queryTableFieldId="12907" dataDxfId="13124"/>
    <tableColumn id="3488" uniqueName="3488" name="Column3479" queryTableFieldId="12906" dataDxfId="13123"/>
    <tableColumn id="3489" uniqueName="3489" name="Column3480" queryTableFieldId="12905" dataDxfId="13122"/>
    <tableColumn id="3490" uniqueName="3490" name="Column3481" queryTableFieldId="12904" dataDxfId="13121"/>
    <tableColumn id="3491" uniqueName="3491" name="Column3482" queryTableFieldId="12903" dataDxfId="13120"/>
    <tableColumn id="3492" uniqueName="3492" name="Column3483" queryTableFieldId="12902" dataDxfId="13119"/>
    <tableColumn id="3493" uniqueName="3493" name="Column3484" queryTableFieldId="12901" dataDxfId="13118"/>
    <tableColumn id="3494" uniqueName="3494" name="Column3485" queryTableFieldId="12900" dataDxfId="13117"/>
    <tableColumn id="3495" uniqueName="3495" name="Column3486" queryTableFieldId="12899" dataDxfId="13116"/>
    <tableColumn id="3496" uniqueName="3496" name="Column3487" queryTableFieldId="12898" dataDxfId="13115"/>
    <tableColumn id="3497" uniqueName="3497" name="Column3488" queryTableFieldId="12897" dataDxfId="13114"/>
    <tableColumn id="3498" uniqueName="3498" name="Column3489" queryTableFieldId="12896" dataDxfId="13113"/>
    <tableColumn id="3499" uniqueName="3499" name="Column3490" queryTableFieldId="12895" dataDxfId="13112"/>
    <tableColumn id="3500" uniqueName="3500" name="Column3491" queryTableFieldId="12894" dataDxfId="13111"/>
    <tableColumn id="3501" uniqueName="3501" name="Column3492" queryTableFieldId="12893" dataDxfId="13110"/>
    <tableColumn id="3502" uniqueName="3502" name="Column3493" queryTableFieldId="12892" dataDxfId="13109"/>
    <tableColumn id="3503" uniqueName="3503" name="Column3494" queryTableFieldId="12891" dataDxfId="13108"/>
    <tableColumn id="3504" uniqueName="3504" name="Column3495" queryTableFieldId="12890" dataDxfId="13107"/>
    <tableColumn id="3505" uniqueName="3505" name="Column3496" queryTableFieldId="12889" dataDxfId="13106"/>
    <tableColumn id="3506" uniqueName="3506" name="Column3497" queryTableFieldId="12888" dataDxfId="13105"/>
    <tableColumn id="3507" uniqueName="3507" name="Column3498" queryTableFieldId="12887" dataDxfId="13104"/>
    <tableColumn id="3508" uniqueName="3508" name="Column3499" queryTableFieldId="12886" dataDxfId="13103"/>
    <tableColumn id="3509" uniqueName="3509" name="Column3500" queryTableFieldId="12885" dataDxfId="13102"/>
    <tableColumn id="3510" uniqueName="3510" name="Column3501" queryTableFieldId="12884" dataDxfId="13101"/>
    <tableColumn id="3511" uniqueName="3511" name="Column3502" queryTableFieldId="12883" dataDxfId="13100"/>
    <tableColumn id="3512" uniqueName="3512" name="Column3503" queryTableFieldId="12882" dataDxfId="13099"/>
    <tableColumn id="3513" uniqueName="3513" name="Column3504" queryTableFieldId="12881" dataDxfId="13098"/>
    <tableColumn id="3514" uniqueName="3514" name="Column3505" queryTableFieldId="12880" dataDxfId="13097"/>
    <tableColumn id="3515" uniqueName="3515" name="Column3506" queryTableFieldId="12879" dataDxfId="13096"/>
    <tableColumn id="3516" uniqueName="3516" name="Column3507" queryTableFieldId="12878" dataDxfId="13095"/>
    <tableColumn id="3517" uniqueName="3517" name="Column3508" queryTableFieldId="12877" dataDxfId="13094"/>
    <tableColumn id="3518" uniqueName="3518" name="Column3509" queryTableFieldId="12876" dataDxfId="13093"/>
    <tableColumn id="3519" uniqueName="3519" name="Column3510" queryTableFieldId="12875" dataDxfId="13092"/>
    <tableColumn id="3520" uniqueName="3520" name="Column3511" queryTableFieldId="12874" dataDxfId="13091"/>
    <tableColumn id="3521" uniqueName="3521" name="Column3512" queryTableFieldId="12873" dataDxfId="13090"/>
    <tableColumn id="3522" uniqueName="3522" name="Column3513" queryTableFieldId="12872" dataDxfId="13089"/>
    <tableColumn id="3523" uniqueName="3523" name="Column3514" queryTableFieldId="12871" dataDxfId="13088"/>
    <tableColumn id="3524" uniqueName="3524" name="Column3515" queryTableFieldId="12870" dataDxfId="13087"/>
    <tableColumn id="3525" uniqueName="3525" name="Column3516" queryTableFieldId="12869" dataDxfId="13086"/>
    <tableColumn id="3526" uniqueName="3526" name="Column3517" queryTableFieldId="12868" dataDxfId="13085"/>
    <tableColumn id="3527" uniqueName="3527" name="Column3518" queryTableFieldId="12867" dataDxfId="13084"/>
    <tableColumn id="3528" uniqueName="3528" name="Column3519" queryTableFieldId="12866" dataDxfId="13083"/>
    <tableColumn id="3529" uniqueName="3529" name="Column3520" queryTableFieldId="12865" dataDxfId="13082"/>
    <tableColumn id="3530" uniqueName="3530" name="Column3521" queryTableFieldId="12864" dataDxfId="13081"/>
    <tableColumn id="3531" uniqueName="3531" name="Column3522" queryTableFieldId="12863" dataDxfId="13080"/>
    <tableColumn id="3532" uniqueName="3532" name="Column3523" queryTableFieldId="12862" dataDxfId="13079"/>
    <tableColumn id="3533" uniqueName="3533" name="Column3524" queryTableFieldId="12861" dataDxfId="13078"/>
    <tableColumn id="3534" uniqueName="3534" name="Column3525" queryTableFieldId="12860" dataDxfId="13077"/>
    <tableColumn id="3535" uniqueName="3535" name="Column3526" queryTableFieldId="12859" dataDxfId="13076"/>
    <tableColumn id="3536" uniqueName="3536" name="Column3527" queryTableFieldId="12858" dataDxfId="13075"/>
    <tableColumn id="3537" uniqueName="3537" name="Column3528" queryTableFieldId="12857" dataDxfId="13074"/>
    <tableColumn id="3538" uniqueName="3538" name="Column3529" queryTableFieldId="12856" dataDxfId="13073"/>
    <tableColumn id="3539" uniqueName="3539" name="Column3530" queryTableFieldId="12855" dataDxfId="13072"/>
    <tableColumn id="3540" uniqueName="3540" name="Column3531" queryTableFieldId="12854" dataDxfId="13071"/>
    <tableColumn id="3541" uniqueName="3541" name="Column3532" queryTableFieldId="12853" dataDxfId="13070"/>
    <tableColumn id="3542" uniqueName="3542" name="Column3533" queryTableFieldId="12852" dataDxfId="13069"/>
    <tableColumn id="3543" uniqueName="3543" name="Column3534" queryTableFieldId="12851" dataDxfId="13068"/>
    <tableColumn id="3544" uniqueName="3544" name="Column3535" queryTableFieldId="12850" dataDxfId="13067"/>
    <tableColumn id="3545" uniqueName="3545" name="Column3536" queryTableFieldId="12849" dataDxfId="13066"/>
    <tableColumn id="3546" uniqueName="3546" name="Column3537" queryTableFieldId="12848" dataDxfId="13065"/>
    <tableColumn id="3547" uniqueName="3547" name="Column3538" queryTableFieldId="12847" dataDxfId="13064"/>
    <tableColumn id="3548" uniqueName="3548" name="Column3539" queryTableFieldId="12846" dataDxfId="13063"/>
    <tableColumn id="3549" uniqueName="3549" name="Column3540" queryTableFieldId="12845" dataDxfId="13062"/>
    <tableColumn id="3550" uniqueName="3550" name="Column3541" queryTableFieldId="12844" dataDxfId="13061"/>
    <tableColumn id="3551" uniqueName="3551" name="Column3542" queryTableFieldId="12843" dataDxfId="13060"/>
    <tableColumn id="3552" uniqueName="3552" name="Column3543" queryTableFieldId="12842" dataDxfId="13059"/>
    <tableColumn id="3553" uniqueName="3553" name="Column3544" queryTableFieldId="12841" dataDxfId="13058"/>
    <tableColumn id="3554" uniqueName="3554" name="Column3545" queryTableFieldId="12840" dataDxfId="13057"/>
    <tableColumn id="3555" uniqueName="3555" name="Column3546" queryTableFieldId="12839" dataDxfId="13056"/>
    <tableColumn id="3556" uniqueName="3556" name="Column3547" queryTableFieldId="12838" dataDxfId="13055"/>
    <tableColumn id="3557" uniqueName="3557" name="Column3548" queryTableFieldId="12837" dataDxfId="13054"/>
    <tableColumn id="3558" uniqueName="3558" name="Column3549" queryTableFieldId="12836" dataDxfId="13053"/>
    <tableColumn id="3559" uniqueName="3559" name="Column3550" queryTableFieldId="12835" dataDxfId="13052"/>
    <tableColumn id="3560" uniqueName="3560" name="Column3551" queryTableFieldId="12834" dataDxfId="13051"/>
    <tableColumn id="3561" uniqueName="3561" name="Column3552" queryTableFieldId="12833" dataDxfId="13050"/>
    <tableColumn id="3562" uniqueName="3562" name="Column3553" queryTableFieldId="12832" dataDxfId="13049"/>
    <tableColumn id="3563" uniqueName="3563" name="Column3554" queryTableFieldId="12831" dataDxfId="13048"/>
    <tableColumn id="3564" uniqueName="3564" name="Column3555" queryTableFieldId="12830" dataDxfId="13047"/>
    <tableColumn id="3565" uniqueName="3565" name="Column3556" queryTableFieldId="12829" dataDxfId="13046"/>
    <tableColumn id="3566" uniqueName="3566" name="Column3557" queryTableFieldId="12828" dataDxfId="13045"/>
    <tableColumn id="3567" uniqueName="3567" name="Column3558" queryTableFieldId="12827" dataDxfId="13044"/>
    <tableColumn id="3568" uniqueName="3568" name="Column3559" queryTableFieldId="12826" dataDxfId="13043"/>
    <tableColumn id="3569" uniqueName="3569" name="Column3560" queryTableFieldId="12825" dataDxfId="13042"/>
    <tableColumn id="3570" uniqueName="3570" name="Column3561" queryTableFieldId="12824" dataDxfId="13041"/>
    <tableColumn id="3571" uniqueName="3571" name="Column3562" queryTableFieldId="12823" dataDxfId="13040"/>
    <tableColumn id="3572" uniqueName="3572" name="Column3563" queryTableFieldId="12822" dataDxfId="13039"/>
    <tableColumn id="3573" uniqueName="3573" name="Column3564" queryTableFieldId="12821" dataDxfId="13038"/>
    <tableColumn id="3574" uniqueName="3574" name="Column3565" queryTableFieldId="12820" dataDxfId="13037"/>
    <tableColumn id="3575" uniqueName="3575" name="Column3566" queryTableFieldId="12819" dataDxfId="13036"/>
    <tableColumn id="3576" uniqueName="3576" name="Column3567" queryTableFieldId="12818" dataDxfId="13035"/>
    <tableColumn id="3577" uniqueName="3577" name="Column3568" queryTableFieldId="12817" dataDxfId="13034"/>
    <tableColumn id="3578" uniqueName="3578" name="Column3569" queryTableFieldId="12816" dataDxfId="13033"/>
    <tableColumn id="3579" uniqueName="3579" name="Column3570" queryTableFieldId="12815" dataDxfId="13032"/>
    <tableColumn id="3580" uniqueName="3580" name="Column3571" queryTableFieldId="12814" dataDxfId="13031"/>
    <tableColumn id="3581" uniqueName="3581" name="Column3572" queryTableFieldId="12813" dataDxfId="13030"/>
    <tableColumn id="3582" uniqueName="3582" name="Column3573" queryTableFieldId="12812" dataDxfId="13029"/>
    <tableColumn id="3583" uniqueName="3583" name="Column3574" queryTableFieldId="12811" dataDxfId="13028"/>
    <tableColumn id="3584" uniqueName="3584" name="Column3575" queryTableFieldId="12810" dataDxfId="13027"/>
    <tableColumn id="3585" uniqueName="3585" name="Column3576" queryTableFieldId="12809" dataDxfId="13026"/>
    <tableColumn id="3586" uniqueName="3586" name="Column3577" queryTableFieldId="12808" dataDxfId="13025"/>
    <tableColumn id="3587" uniqueName="3587" name="Column3578" queryTableFieldId="12807" dataDxfId="13024"/>
    <tableColumn id="3588" uniqueName="3588" name="Column3579" queryTableFieldId="12806" dataDxfId="13023"/>
    <tableColumn id="3589" uniqueName="3589" name="Column3580" queryTableFieldId="12805" dataDxfId="13022"/>
    <tableColumn id="3590" uniqueName="3590" name="Column3581" queryTableFieldId="12804" dataDxfId="13021"/>
    <tableColumn id="3591" uniqueName="3591" name="Column3582" queryTableFieldId="12803" dataDxfId="13020"/>
    <tableColumn id="3592" uniqueName="3592" name="Column3583" queryTableFieldId="12802" dataDxfId="13019"/>
    <tableColumn id="3593" uniqueName="3593" name="Column3584" queryTableFieldId="12801" dataDxfId="13018"/>
    <tableColumn id="3594" uniqueName="3594" name="Column3585" queryTableFieldId="12800" dataDxfId="13017"/>
    <tableColumn id="3595" uniqueName="3595" name="Column3586" queryTableFieldId="12799" dataDxfId="13016"/>
    <tableColumn id="3596" uniqueName="3596" name="Column3587" queryTableFieldId="12798" dataDxfId="13015"/>
    <tableColumn id="3597" uniqueName="3597" name="Column3588" queryTableFieldId="12797" dataDxfId="13014"/>
    <tableColumn id="3598" uniqueName="3598" name="Column3589" queryTableFieldId="12796" dataDxfId="13013"/>
    <tableColumn id="3599" uniqueName="3599" name="Column3590" queryTableFieldId="12795" dataDxfId="13012"/>
    <tableColumn id="3600" uniqueName="3600" name="Column3591" queryTableFieldId="12794" dataDxfId="13011"/>
    <tableColumn id="3601" uniqueName="3601" name="Column3592" queryTableFieldId="12793" dataDxfId="13010"/>
    <tableColumn id="3602" uniqueName="3602" name="Column3593" queryTableFieldId="12792" dataDxfId="13009"/>
    <tableColumn id="3603" uniqueName="3603" name="Column3594" queryTableFieldId="12791" dataDxfId="13008"/>
    <tableColumn id="3604" uniqueName="3604" name="Column3595" queryTableFieldId="12790" dataDxfId="13007"/>
    <tableColumn id="3605" uniqueName="3605" name="Column3596" queryTableFieldId="12789" dataDxfId="13006"/>
    <tableColumn id="3606" uniqueName="3606" name="Column3597" queryTableFieldId="12788" dataDxfId="13005"/>
    <tableColumn id="3607" uniqueName="3607" name="Column3598" queryTableFieldId="12787" dataDxfId="13004"/>
    <tableColumn id="3608" uniqueName="3608" name="Column3599" queryTableFieldId="12786" dataDxfId="13003"/>
    <tableColumn id="3609" uniqueName="3609" name="Column3600" queryTableFieldId="12785" dataDxfId="13002"/>
    <tableColumn id="3610" uniqueName="3610" name="Column3601" queryTableFieldId="12784" dataDxfId="13001"/>
    <tableColumn id="3611" uniqueName="3611" name="Column3602" queryTableFieldId="12783" dataDxfId="13000"/>
    <tableColumn id="3612" uniqueName="3612" name="Column3603" queryTableFieldId="12782" dataDxfId="12999"/>
    <tableColumn id="3613" uniqueName="3613" name="Column3604" queryTableFieldId="12781" dataDxfId="12998"/>
    <tableColumn id="3614" uniqueName="3614" name="Column3605" queryTableFieldId="12780" dataDxfId="12997"/>
    <tableColumn id="3615" uniqueName="3615" name="Column3606" queryTableFieldId="12779" dataDxfId="12996"/>
    <tableColumn id="3616" uniqueName="3616" name="Column3607" queryTableFieldId="12778" dataDxfId="12995"/>
    <tableColumn id="3617" uniqueName="3617" name="Column3608" queryTableFieldId="12777" dataDxfId="12994"/>
    <tableColumn id="3618" uniqueName="3618" name="Column3609" queryTableFieldId="12776" dataDxfId="12993"/>
    <tableColumn id="3619" uniqueName="3619" name="Column3610" queryTableFieldId="12775" dataDxfId="12992"/>
    <tableColumn id="3620" uniqueName="3620" name="Column3611" queryTableFieldId="12774" dataDxfId="12991"/>
    <tableColumn id="3621" uniqueName="3621" name="Column3612" queryTableFieldId="12773" dataDxfId="12990"/>
    <tableColumn id="3622" uniqueName="3622" name="Column3613" queryTableFieldId="12772" dataDxfId="12989"/>
    <tableColumn id="3623" uniqueName="3623" name="Column3614" queryTableFieldId="12771" dataDxfId="12988"/>
    <tableColumn id="3624" uniqueName="3624" name="Column3615" queryTableFieldId="12770" dataDxfId="12987"/>
    <tableColumn id="3625" uniqueName="3625" name="Column3616" queryTableFieldId="12769" dataDxfId="12986"/>
    <tableColumn id="3626" uniqueName="3626" name="Column3617" queryTableFieldId="12768" dataDxfId="12985"/>
    <tableColumn id="3627" uniqueName="3627" name="Column3618" queryTableFieldId="12767" dataDxfId="12984"/>
    <tableColumn id="3628" uniqueName="3628" name="Column3619" queryTableFieldId="12766" dataDxfId="12983"/>
    <tableColumn id="3629" uniqueName="3629" name="Column3620" queryTableFieldId="12765" dataDxfId="12982"/>
    <tableColumn id="3630" uniqueName="3630" name="Column3621" queryTableFieldId="12764" dataDxfId="12981"/>
    <tableColumn id="3631" uniqueName="3631" name="Column3622" queryTableFieldId="12763" dataDxfId="12980"/>
    <tableColumn id="3632" uniqueName="3632" name="Column3623" queryTableFieldId="12762" dataDxfId="12979"/>
    <tableColumn id="3633" uniqueName="3633" name="Column3624" queryTableFieldId="12761" dataDxfId="12978"/>
    <tableColumn id="3634" uniqueName="3634" name="Column3625" queryTableFieldId="12760" dataDxfId="12977"/>
    <tableColumn id="3635" uniqueName="3635" name="Column3626" queryTableFieldId="12759" dataDxfId="12976"/>
    <tableColumn id="3636" uniqueName="3636" name="Column3627" queryTableFieldId="12758" dataDxfId="12975"/>
    <tableColumn id="3637" uniqueName="3637" name="Column3628" queryTableFieldId="12757" dataDxfId="12974"/>
    <tableColumn id="3638" uniqueName="3638" name="Column3629" queryTableFieldId="12756" dataDxfId="12973"/>
    <tableColumn id="3639" uniqueName="3639" name="Column3630" queryTableFieldId="12755" dataDxfId="12972"/>
    <tableColumn id="3640" uniqueName="3640" name="Column3631" queryTableFieldId="12754" dataDxfId="12971"/>
    <tableColumn id="3641" uniqueName="3641" name="Column3632" queryTableFieldId="12753" dataDxfId="12970"/>
    <tableColumn id="3642" uniqueName="3642" name="Column3633" queryTableFieldId="12752" dataDxfId="12969"/>
    <tableColumn id="3643" uniqueName="3643" name="Column3634" queryTableFieldId="12751" dataDxfId="12968"/>
    <tableColumn id="3644" uniqueName="3644" name="Column3635" queryTableFieldId="12750" dataDxfId="12967"/>
    <tableColumn id="3645" uniqueName="3645" name="Column3636" queryTableFieldId="12749" dataDxfId="12966"/>
    <tableColumn id="3646" uniqueName="3646" name="Column3637" queryTableFieldId="12748" dataDxfId="12965"/>
    <tableColumn id="3647" uniqueName="3647" name="Column3638" queryTableFieldId="12747" dataDxfId="12964"/>
    <tableColumn id="3648" uniqueName="3648" name="Column3639" queryTableFieldId="12746" dataDxfId="12963"/>
    <tableColumn id="3649" uniqueName="3649" name="Column3640" queryTableFieldId="12745" dataDxfId="12962"/>
    <tableColumn id="3650" uniqueName="3650" name="Column3641" queryTableFieldId="12744" dataDxfId="12961"/>
    <tableColumn id="3651" uniqueName="3651" name="Column3642" queryTableFieldId="12743" dataDxfId="12960"/>
    <tableColumn id="3652" uniqueName="3652" name="Column3643" queryTableFieldId="12742" dataDxfId="12959"/>
    <tableColumn id="3653" uniqueName="3653" name="Column3644" queryTableFieldId="12741" dataDxfId="12958"/>
    <tableColumn id="3654" uniqueName="3654" name="Column3645" queryTableFieldId="12740" dataDxfId="12957"/>
    <tableColumn id="3655" uniqueName="3655" name="Column3646" queryTableFieldId="12739" dataDxfId="12956"/>
    <tableColumn id="3656" uniqueName="3656" name="Column3647" queryTableFieldId="12738" dataDxfId="12955"/>
    <tableColumn id="3657" uniqueName="3657" name="Column3648" queryTableFieldId="12737" dataDxfId="12954"/>
    <tableColumn id="3658" uniqueName="3658" name="Column3649" queryTableFieldId="12736" dataDxfId="12953"/>
    <tableColumn id="3659" uniqueName="3659" name="Column3650" queryTableFieldId="12735" dataDxfId="12952"/>
    <tableColumn id="3660" uniqueName="3660" name="Column3651" queryTableFieldId="12734" dataDxfId="12951"/>
    <tableColumn id="3661" uniqueName="3661" name="Column3652" queryTableFieldId="12733" dataDxfId="12950"/>
    <tableColumn id="3662" uniqueName="3662" name="Column3653" queryTableFieldId="12732" dataDxfId="12949"/>
    <tableColumn id="3663" uniqueName="3663" name="Column3654" queryTableFieldId="12731" dataDxfId="12948"/>
    <tableColumn id="3664" uniqueName="3664" name="Column3655" queryTableFieldId="12730" dataDxfId="12947"/>
    <tableColumn id="3665" uniqueName="3665" name="Column3656" queryTableFieldId="12729" dataDxfId="12946"/>
    <tableColumn id="3666" uniqueName="3666" name="Column3657" queryTableFieldId="12728" dataDxfId="12945"/>
    <tableColumn id="3667" uniqueName="3667" name="Column3658" queryTableFieldId="12727" dataDxfId="12944"/>
    <tableColumn id="3668" uniqueName="3668" name="Column3659" queryTableFieldId="12726" dataDxfId="12943"/>
    <tableColumn id="3669" uniqueName="3669" name="Column3660" queryTableFieldId="12725" dataDxfId="12942"/>
    <tableColumn id="3670" uniqueName="3670" name="Column3661" queryTableFieldId="12724" dataDxfId="12941"/>
    <tableColumn id="3671" uniqueName="3671" name="Column3662" queryTableFieldId="12723" dataDxfId="12940"/>
    <tableColumn id="3672" uniqueName="3672" name="Column3663" queryTableFieldId="12722" dataDxfId="12939"/>
    <tableColumn id="3673" uniqueName="3673" name="Column3664" queryTableFieldId="12721" dataDxfId="12938"/>
    <tableColumn id="3674" uniqueName="3674" name="Column3665" queryTableFieldId="12720" dataDxfId="12937"/>
    <tableColumn id="3675" uniqueName="3675" name="Column3666" queryTableFieldId="12719" dataDxfId="12936"/>
    <tableColumn id="3676" uniqueName="3676" name="Column3667" queryTableFieldId="12718" dataDxfId="12935"/>
    <tableColumn id="3677" uniqueName="3677" name="Column3668" queryTableFieldId="12717" dataDxfId="12934"/>
    <tableColumn id="3678" uniqueName="3678" name="Column3669" queryTableFieldId="12716" dataDxfId="12933"/>
    <tableColumn id="3679" uniqueName="3679" name="Column3670" queryTableFieldId="12715" dataDxfId="12932"/>
    <tableColumn id="3680" uniqueName="3680" name="Column3671" queryTableFieldId="12714" dataDxfId="12931"/>
    <tableColumn id="3681" uniqueName="3681" name="Column3672" queryTableFieldId="12713" dataDxfId="12930"/>
    <tableColumn id="3682" uniqueName="3682" name="Column3673" queryTableFieldId="12712" dataDxfId="12929"/>
    <tableColumn id="3683" uniqueName="3683" name="Column3674" queryTableFieldId="12711" dataDxfId="12928"/>
    <tableColumn id="3684" uniqueName="3684" name="Column3675" queryTableFieldId="12710" dataDxfId="12927"/>
    <tableColumn id="3685" uniqueName="3685" name="Column3676" queryTableFieldId="12709" dataDxfId="12926"/>
    <tableColumn id="3686" uniqueName="3686" name="Column3677" queryTableFieldId="12708" dataDxfId="12925"/>
    <tableColumn id="3687" uniqueName="3687" name="Column3678" queryTableFieldId="12707" dataDxfId="12924"/>
    <tableColumn id="3688" uniqueName="3688" name="Column3679" queryTableFieldId="12706" dataDxfId="12923"/>
    <tableColumn id="3689" uniqueName="3689" name="Column3680" queryTableFieldId="12705" dataDxfId="12922"/>
    <tableColumn id="3690" uniqueName="3690" name="Column3681" queryTableFieldId="12704" dataDxfId="12921"/>
    <tableColumn id="3691" uniqueName="3691" name="Column3682" queryTableFieldId="12703" dataDxfId="12920"/>
    <tableColumn id="3692" uniqueName="3692" name="Column3683" queryTableFieldId="12702" dataDxfId="12919"/>
    <tableColumn id="3693" uniqueName="3693" name="Column3684" queryTableFieldId="12701" dataDxfId="12918"/>
    <tableColumn id="3694" uniqueName="3694" name="Column3685" queryTableFieldId="12700" dataDxfId="12917"/>
    <tableColumn id="3695" uniqueName="3695" name="Column3686" queryTableFieldId="12699" dataDxfId="12916"/>
    <tableColumn id="3696" uniqueName="3696" name="Column3687" queryTableFieldId="12698" dataDxfId="12915"/>
    <tableColumn id="3697" uniqueName="3697" name="Column3688" queryTableFieldId="12697" dataDxfId="12914"/>
    <tableColumn id="3698" uniqueName="3698" name="Column3689" queryTableFieldId="12696" dataDxfId="12913"/>
    <tableColumn id="3699" uniqueName="3699" name="Column3690" queryTableFieldId="12695" dataDxfId="12912"/>
    <tableColumn id="3700" uniqueName="3700" name="Column3691" queryTableFieldId="12694" dataDxfId="12911"/>
    <tableColumn id="3701" uniqueName="3701" name="Column3692" queryTableFieldId="12693" dataDxfId="12910"/>
    <tableColumn id="3702" uniqueName="3702" name="Column3693" queryTableFieldId="12692" dataDxfId="12909"/>
    <tableColumn id="3703" uniqueName="3703" name="Column3694" queryTableFieldId="12691" dataDxfId="12908"/>
    <tableColumn id="3704" uniqueName="3704" name="Column3695" queryTableFieldId="12690" dataDxfId="12907"/>
    <tableColumn id="3705" uniqueName="3705" name="Column3696" queryTableFieldId="12689" dataDxfId="12906"/>
    <tableColumn id="3706" uniqueName="3706" name="Column3697" queryTableFieldId="12688" dataDxfId="12905"/>
    <tableColumn id="3707" uniqueName="3707" name="Column3698" queryTableFieldId="12687" dataDxfId="12904"/>
    <tableColumn id="3708" uniqueName="3708" name="Column3699" queryTableFieldId="12686" dataDxfId="12903"/>
    <tableColumn id="3709" uniqueName="3709" name="Column3700" queryTableFieldId="12685" dataDxfId="12902"/>
    <tableColumn id="3710" uniqueName="3710" name="Column3701" queryTableFieldId="12684" dataDxfId="12901"/>
    <tableColumn id="3711" uniqueName="3711" name="Column3702" queryTableFieldId="12683" dataDxfId="12900"/>
    <tableColumn id="3712" uniqueName="3712" name="Column3703" queryTableFieldId="12682" dataDxfId="12899"/>
    <tableColumn id="3713" uniqueName="3713" name="Column3704" queryTableFieldId="12681" dataDxfId="12898"/>
    <tableColumn id="3714" uniqueName="3714" name="Column3705" queryTableFieldId="12680" dataDxfId="12897"/>
    <tableColumn id="3715" uniqueName="3715" name="Column3706" queryTableFieldId="12679" dataDxfId="12896"/>
    <tableColumn id="3716" uniqueName="3716" name="Column3707" queryTableFieldId="12678" dataDxfId="12895"/>
    <tableColumn id="3717" uniqueName="3717" name="Column3708" queryTableFieldId="12677" dataDxfId="12894"/>
    <tableColumn id="3718" uniqueName="3718" name="Column3709" queryTableFieldId="12676" dataDxfId="12893"/>
    <tableColumn id="3719" uniqueName="3719" name="Column3710" queryTableFieldId="12675" dataDxfId="12892"/>
    <tableColumn id="3720" uniqueName="3720" name="Column3711" queryTableFieldId="12674" dataDxfId="12891"/>
    <tableColumn id="3721" uniqueName="3721" name="Column3712" queryTableFieldId="12673" dataDxfId="12890"/>
    <tableColumn id="3722" uniqueName="3722" name="Column3713" queryTableFieldId="12672" dataDxfId="12889"/>
    <tableColumn id="3723" uniqueName="3723" name="Column3714" queryTableFieldId="12671" dataDxfId="12888"/>
    <tableColumn id="3724" uniqueName="3724" name="Column3715" queryTableFieldId="12670" dataDxfId="12887"/>
    <tableColumn id="3725" uniqueName="3725" name="Column3716" queryTableFieldId="12669" dataDxfId="12886"/>
    <tableColumn id="3726" uniqueName="3726" name="Column3717" queryTableFieldId="12668" dataDxfId="12885"/>
    <tableColumn id="3727" uniqueName="3727" name="Column3718" queryTableFieldId="12667" dataDxfId="12884"/>
    <tableColumn id="3728" uniqueName="3728" name="Column3719" queryTableFieldId="12666" dataDxfId="12883"/>
    <tableColumn id="3729" uniqueName="3729" name="Column3720" queryTableFieldId="12665" dataDxfId="12882"/>
    <tableColumn id="3730" uniqueName="3730" name="Column3721" queryTableFieldId="12664" dataDxfId="12881"/>
    <tableColumn id="3731" uniqueName="3731" name="Column3722" queryTableFieldId="12663" dataDxfId="12880"/>
    <tableColumn id="3732" uniqueName="3732" name="Column3723" queryTableFieldId="12662" dataDxfId="12879"/>
    <tableColumn id="3733" uniqueName="3733" name="Column3724" queryTableFieldId="12661" dataDxfId="12878"/>
    <tableColumn id="3734" uniqueName="3734" name="Column3725" queryTableFieldId="12660" dataDxfId="12877"/>
    <tableColumn id="3735" uniqueName="3735" name="Column3726" queryTableFieldId="12659" dataDxfId="12876"/>
    <tableColumn id="3736" uniqueName="3736" name="Column3727" queryTableFieldId="12658" dataDxfId="12875"/>
    <tableColumn id="3737" uniqueName="3737" name="Column3728" queryTableFieldId="12657" dataDxfId="12874"/>
    <tableColumn id="3738" uniqueName="3738" name="Column3729" queryTableFieldId="12656" dataDxfId="12873"/>
    <tableColumn id="3739" uniqueName="3739" name="Column3730" queryTableFieldId="12655" dataDxfId="12872"/>
    <tableColumn id="3740" uniqueName="3740" name="Column3731" queryTableFieldId="12654" dataDxfId="12871"/>
    <tableColumn id="3741" uniqueName="3741" name="Column3732" queryTableFieldId="12653" dataDxfId="12870"/>
    <tableColumn id="3742" uniqueName="3742" name="Column3733" queryTableFieldId="12652" dataDxfId="12869"/>
    <tableColumn id="3743" uniqueName="3743" name="Column3734" queryTableFieldId="12651" dataDxfId="12868"/>
    <tableColumn id="3744" uniqueName="3744" name="Column3735" queryTableFieldId="12650" dataDxfId="12867"/>
    <tableColumn id="3745" uniqueName="3745" name="Column3736" queryTableFieldId="12649" dataDxfId="12866"/>
    <tableColumn id="3746" uniqueName="3746" name="Column3737" queryTableFieldId="12648" dataDxfId="12865"/>
    <tableColumn id="3747" uniqueName="3747" name="Column3738" queryTableFieldId="12647" dataDxfId="12864"/>
    <tableColumn id="3748" uniqueName="3748" name="Column3739" queryTableFieldId="12646" dataDxfId="12863"/>
    <tableColumn id="3749" uniqueName="3749" name="Column3740" queryTableFieldId="12645" dataDxfId="12862"/>
    <tableColumn id="3750" uniqueName="3750" name="Column3741" queryTableFieldId="12644" dataDxfId="12861"/>
    <tableColumn id="3751" uniqueName="3751" name="Column3742" queryTableFieldId="12643" dataDxfId="12860"/>
    <tableColumn id="3752" uniqueName="3752" name="Column3743" queryTableFieldId="12642" dataDxfId="12859"/>
    <tableColumn id="3753" uniqueName="3753" name="Column3744" queryTableFieldId="12641" dataDxfId="12858"/>
    <tableColumn id="3754" uniqueName="3754" name="Column3745" queryTableFieldId="12640" dataDxfId="12857"/>
    <tableColumn id="3755" uniqueName="3755" name="Column3746" queryTableFieldId="12639" dataDxfId="12856"/>
    <tableColumn id="3756" uniqueName="3756" name="Column3747" queryTableFieldId="12638" dataDxfId="12855"/>
    <tableColumn id="3757" uniqueName="3757" name="Column3748" queryTableFieldId="12637" dataDxfId="12854"/>
    <tableColumn id="3758" uniqueName="3758" name="Column3749" queryTableFieldId="12636" dataDxfId="12853"/>
    <tableColumn id="3759" uniqueName="3759" name="Column3750" queryTableFieldId="12635" dataDxfId="12852"/>
    <tableColumn id="3760" uniqueName="3760" name="Column3751" queryTableFieldId="12634" dataDxfId="12851"/>
    <tableColumn id="3761" uniqueName="3761" name="Column3752" queryTableFieldId="12633" dataDxfId="12850"/>
    <tableColumn id="3762" uniqueName="3762" name="Column3753" queryTableFieldId="12632" dataDxfId="12849"/>
    <tableColumn id="3763" uniqueName="3763" name="Column3754" queryTableFieldId="12631" dataDxfId="12848"/>
    <tableColumn id="3764" uniqueName="3764" name="Column3755" queryTableFieldId="12630" dataDxfId="12847"/>
    <tableColumn id="3765" uniqueName="3765" name="Column3756" queryTableFieldId="12629" dataDxfId="12846"/>
    <tableColumn id="3766" uniqueName="3766" name="Column3757" queryTableFieldId="12628" dataDxfId="12845"/>
    <tableColumn id="3767" uniqueName="3767" name="Column3758" queryTableFieldId="12627" dataDxfId="12844"/>
    <tableColumn id="3768" uniqueName="3768" name="Column3759" queryTableFieldId="12626" dataDxfId="12843"/>
    <tableColumn id="3769" uniqueName="3769" name="Column3760" queryTableFieldId="12625" dataDxfId="12842"/>
    <tableColumn id="3770" uniqueName="3770" name="Column3761" queryTableFieldId="12624" dataDxfId="12841"/>
    <tableColumn id="3771" uniqueName="3771" name="Column3762" queryTableFieldId="12623" dataDxfId="12840"/>
    <tableColumn id="3772" uniqueName="3772" name="Column3763" queryTableFieldId="12622" dataDxfId="12839"/>
    <tableColumn id="3773" uniqueName="3773" name="Column3764" queryTableFieldId="12621" dataDxfId="12838"/>
    <tableColumn id="3774" uniqueName="3774" name="Column3765" queryTableFieldId="12620" dataDxfId="12837"/>
    <tableColumn id="3775" uniqueName="3775" name="Column3766" queryTableFieldId="12619" dataDxfId="12836"/>
    <tableColumn id="3776" uniqueName="3776" name="Column3767" queryTableFieldId="12618" dataDxfId="12835"/>
    <tableColumn id="3777" uniqueName="3777" name="Column3768" queryTableFieldId="12617" dataDxfId="12834"/>
    <tableColumn id="3778" uniqueName="3778" name="Column3769" queryTableFieldId="12616" dataDxfId="12833"/>
    <tableColumn id="3779" uniqueName="3779" name="Column3770" queryTableFieldId="12615" dataDxfId="12832"/>
    <tableColumn id="3780" uniqueName="3780" name="Column3771" queryTableFieldId="12614" dataDxfId="12831"/>
    <tableColumn id="3781" uniqueName="3781" name="Column3772" queryTableFieldId="12613" dataDxfId="12830"/>
    <tableColumn id="3782" uniqueName="3782" name="Column3773" queryTableFieldId="12612" dataDxfId="12829"/>
    <tableColumn id="3783" uniqueName="3783" name="Column3774" queryTableFieldId="12611" dataDxfId="12828"/>
    <tableColumn id="3784" uniqueName="3784" name="Column3775" queryTableFieldId="12610" dataDxfId="12827"/>
    <tableColumn id="3785" uniqueName="3785" name="Column3776" queryTableFieldId="12609" dataDxfId="12826"/>
    <tableColumn id="3786" uniqueName="3786" name="Column3777" queryTableFieldId="12608" dataDxfId="12825"/>
    <tableColumn id="3787" uniqueName="3787" name="Column3778" queryTableFieldId="12607" dataDxfId="12824"/>
    <tableColumn id="3788" uniqueName="3788" name="Column3779" queryTableFieldId="12606" dataDxfId="12823"/>
    <tableColumn id="3789" uniqueName="3789" name="Column3780" queryTableFieldId="12605" dataDxfId="12822"/>
    <tableColumn id="3790" uniqueName="3790" name="Column3781" queryTableFieldId="12604" dataDxfId="12821"/>
    <tableColumn id="3791" uniqueName="3791" name="Column3782" queryTableFieldId="12603" dataDxfId="12820"/>
    <tableColumn id="3792" uniqueName="3792" name="Column3783" queryTableFieldId="12602" dataDxfId="12819"/>
    <tableColumn id="3793" uniqueName="3793" name="Column3784" queryTableFieldId="12601" dataDxfId="12818"/>
    <tableColumn id="3794" uniqueName="3794" name="Column3785" queryTableFieldId="12600" dataDxfId="12817"/>
    <tableColumn id="3795" uniqueName="3795" name="Column3786" queryTableFieldId="12599" dataDxfId="12816"/>
    <tableColumn id="3796" uniqueName="3796" name="Column3787" queryTableFieldId="12598" dataDxfId="12815"/>
    <tableColumn id="3797" uniqueName="3797" name="Column3788" queryTableFieldId="12597" dataDxfId="12814"/>
    <tableColumn id="3798" uniqueName="3798" name="Column3789" queryTableFieldId="12596" dataDxfId="12813"/>
    <tableColumn id="3799" uniqueName="3799" name="Column3790" queryTableFieldId="12595" dataDxfId="12812"/>
    <tableColumn id="3800" uniqueName="3800" name="Column3791" queryTableFieldId="12594" dataDxfId="12811"/>
    <tableColumn id="3801" uniqueName="3801" name="Column3792" queryTableFieldId="12593" dataDxfId="12810"/>
    <tableColumn id="3802" uniqueName="3802" name="Column3793" queryTableFieldId="12592" dataDxfId="12809"/>
    <tableColumn id="3803" uniqueName="3803" name="Column3794" queryTableFieldId="12591" dataDxfId="12808"/>
    <tableColumn id="3804" uniqueName="3804" name="Column3795" queryTableFieldId="12590" dataDxfId="12807"/>
    <tableColumn id="3805" uniqueName="3805" name="Column3796" queryTableFieldId="12589" dataDxfId="12806"/>
    <tableColumn id="3806" uniqueName="3806" name="Column3797" queryTableFieldId="12588" dataDxfId="12805"/>
    <tableColumn id="3807" uniqueName="3807" name="Column3798" queryTableFieldId="12587" dataDxfId="12804"/>
    <tableColumn id="3808" uniqueName="3808" name="Column3799" queryTableFieldId="12586" dataDxfId="12803"/>
    <tableColumn id="3809" uniqueName="3809" name="Column3800" queryTableFieldId="12585" dataDxfId="12802"/>
    <tableColumn id="3810" uniqueName="3810" name="Column3801" queryTableFieldId="12584" dataDxfId="12801"/>
    <tableColumn id="3811" uniqueName="3811" name="Column3802" queryTableFieldId="12583" dataDxfId="12800"/>
    <tableColumn id="3812" uniqueName="3812" name="Column3803" queryTableFieldId="12582" dataDxfId="12799"/>
    <tableColumn id="3813" uniqueName="3813" name="Column3804" queryTableFieldId="12581" dataDxfId="12798"/>
    <tableColumn id="3814" uniqueName="3814" name="Column3805" queryTableFieldId="12580" dataDxfId="12797"/>
    <tableColumn id="3815" uniqueName="3815" name="Column3806" queryTableFieldId="12579" dataDxfId="12796"/>
    <tableColumn id="3816" uniqueName="3816" name="Column3807" queryTableFieldId="12578" dataDxfId="12795"/>
    <tableColumn id="3817" uniqueName="3817" name="Column3808" queryTableFieldId="12577" dataDxfId="12794"/>
    <tableColumn id="3818" uniqueName="3818" name="Column3809" queryTableFieldId="12576" dataDxfId="12793"/>
    <tableColumn id="3819" uniqueName="3819" name="Column3810" queryTableFieldId="12575" dataDxfId="12792"/>
    <tableColumn id="3820" uniqueName="3820" name="Column3811" queryTableFieldId="12574" dataDxfId="12791"/>
    <tableColumn id="3821" uniqueName="3821" name="Column3812" queryTableFieldId="12573" dataDxfId="12790"/>
    <tableColumn id="3822" uniqueName="3822" name="Column3813" queryTableFieldId="12572" dataDxfId="12789"/>
    <tableColumn id="3823" uniqueName="3823" name="Column3814" queryTableFieldId="12571" dataDxfId="12788"/>
    <tableColumn id="3824" uniqueName="3824" name="Column3815" queryTableFieldId="12570" dataDxfId="12787"/>
    <tableColumn id="3825" uniqueName="3825" name="Column3816" queryTableFieldId="12569" dataDxfId="12786"/>
    <tableColumn id="3826" uniqueName="3826" name="Column3817" queryTableFieldId="12568" dataDxfId="12785"/>
    <tableColumn id="3827" uniqueName="3827" name="Column3818" queryTableFieldId="12567" dataDxfId="12784"/>
    <tableColumn id="3828" uniqueName="3828" name="Column3819" queryTableFieldId="12566" dataDxfId="12783"/>
    <tableColumn id="3829" uniqueName="3829" name="Column3820" queryTableFieldId="12565" dataDxfId="12782"/>
    <tableColumn id="3830" uniqueName="3830" name="Column3821" queryTableFieldId="12564" dataDxfId="12781"/>
    <tableColumn id="3831" uniqueName="3831" name="Column3822" queryTableFieldId="12563" dataDxfId="12780"/>
    <tableColumn id="3832" uniqueName="3832" name="Column3823" queryTableFieldId="12562" dataDxfId="12779"/>
    <tableColumn id="3833" uniqueName="3833" name="Column3824" queryTableFieldId="12561" dataDxfId="12778"/>
    <tableColumn id="3834" uniqueName="3834" name="Column3825" queryTableFieldId="12560" dataDxfId="12777"/>
    <tableColumn id="3835" uniqueName="3835" name="Column3826" queryTableFieldId="12559" dataDxfId="12776"/>
    <tableColumn id="3836" uniqueName="3836" name="Column3827" queryTableFieldId="12558" dataDxfId="12775"/>
    <tableColumn id="3837" uniqueName="3837" name="Column3828" queryTableFieldId="12557" dataDxfId="12774"/>
    <tableColumn id="3838" uniqueName="3838" name="Column3829" queryTableFieldId="12556" dataDxfId="12773"/>
    <tableColumn id="3839" uniqueName="3839" name="Column3830" queryTableFieldId="12555" dataDxfId="12772"/>
    <tableColumn id="3840" uniqueName="3840" name="Column3831" queryTableFieldId="12554" dataDxfId="12771"/>
    <tableColumn id="3841" uniqueName="3841" name="Column3832" queryTableFieldId="12553" dataDxfId="12770"/>
    <tableColumn id="3842" uniqueName="3842" name="Column3833" queryTableFieldId="12552" dataDxfId="12769"/>
    <tableColumn id="3843" uniqueName="3843" name="Column3834" queryTableFieldId="12551" dataDxfId="12768"/>
    <tableColumn id="3844" uniqueName="3844" name="Column3835" queryTableFieldId="12550" dataDxfId="12767"/>
    <tableColumn id="3845" uniqueName="3845" name="Column3836" queryTableFieldId="12549" dataDxfId="12766"/>
    <tableColumn id="3846" uniqueName="3846" name="Column3837" queryTableFieldId="12548" dataDxfId="12765"/>
    <tableColumn id="3847" uniqueName="3847" name="Column3838" queryTableFieldId="12547" dataDxfId="12764"/>
    <tableColumn id="3848" uniqueName="3848" name="Column3839" queryTableFieldId="12546" dataDxfId="12763"/>
    <tableColumn id="3849" uniqueName="3849" name="Column3840" queryTableFieldId="12545" dataDxfId="12762"/>
    <tableColumn id="3850" uniqueName="3850" name="Column3841" queryTableFieldId="12544" dataDxfId="12761"/>
    <tableColumn id="3851" uniqueName="3851" name="Column3842" queryTableFieldId="12543" dataDxfId="12760"/>
    <tableColumn id="3852" uniqueName="3852" name="Column3843" queryTableFieldId="12542" dataDxfId="12759"/>
    <tableColumn id="3853" uniqueName="3853" name="Column3844" queryTableFieldId="12541" dataDxfId="12758"/>
    <tableColumn id="3854" uniqueName="3854" name="Column3845" queryTableFieldId="12540" dataDxfId="12757"/>
    <tableColumn id="3855" uniqueName="3855" name="Column3846" queryTableFieldId="12539" dataDxfId="12756"/>
    <tableColumn id="3856" uniqueName="3856" name="Column3847" queryTableFieldId="12538" dataDxfId="12755"/>
    <tableColumn id="3857" uniqueName="3857" name="Column3848" queryTableFieldId="12537" dataDxfId="12754"/>
    <tableColumn id="3858" uniqueName="3858" name="Column3849" queryTableFieldId="12536" dataDxfId="12753"/>
    <tableColumn id="3859" uniqueName="3859" name="Column3850" queryTableFieldId="12535" dataDxfId="12752"/>
    <tableColumn id="3860" uniqueName="3860" name="Column3851" queryTableFieldId="12534" dataDxfId="12751"/>
    <tableColumn id="3861" uniqueName="3861" name="Column3852" queryTableFieldId="12533" dataDxfId="12750"/>
    <tableColumn id="3862" uniqueName="3862" name="Column3853" queryTableFieldId="12532" dataDxfId="12749"/>
    <tableColumn id="3863" uniqueName="3863" name="Column3854" queryTableFieldId="12531" dataDxfId="12748"/>
    <tableColumn id="3864" uniqueName="3864" name="Column3855" queryTableFieldId="12530" dataDxfId="12747"/>
    <tableColumn id="3865" uniqueName="3865" name="Column3856" queryTableFieldId="12529" dataDxfId="12746"/>
    <tableColumn id="3866" uniqueName="3866" name="Column3857" queryTableFieldId="12528" dataDxfId="12745"/>
    <tableColumn id="3867" uniqueName="3867" name="Column3858" queryTableFieldId="12527" dataDxfId="12744"/>
    <tableColumn id="3868" uniqueName="3868" name="Column3859" queryTableFieldId="12526" dataDxfId="12743"/>
    <tableColumn id="3869" uniqueName="3869" name="Column3860" queryTableFieldId="12525" dataDxfId="12742"/>
    <tableColumn id="3870" uniqueName="3870" name="Column3861" queryTableFieldId="12524" dataDxfId="12741"/>
    <tableColumn id="3871" uniqueName="3871" name="Column3862" queryTableFieldId="12523" dataDxfId="12740"/>
    <tableColumn id="3872" uniqueName="3872" name="Column3863" queryTableFieldId="12522" dataDxfId="12739"/>
    <tableColumn id="3873" uniqueName="3873" name="Column3864" queryTableFieldId="12521" dataDxfId="12738"/>
    <tableColumn id="3874" uniqueName="3874" name="Column3865" queryTableFieldId="12520" dataDxfId="12737"/>
    <tableColumn id="3875" uniqueName="3875" name="Column3866" queryTableFieldId="12519" dataDxfId="12736"/>
    <tableColumn id="3876" uniqueName="3876" name="Column3867" queryTableFieldId="12518" dataDxfId="12735"/>
    <tableColumn id="3877" uniqueName="3877" name="Column3868" queryTableFieldId="12517" dataDxfId="12734"/>
    <tableColumn id="3878" uniqueName="3878" name="Column3869" queryTableFieldId="12516" dataDxfId="12733"/>
    <tableColumn id="3879" uniqueName="3879" name="Column3870" queryTableFieldId="12515" dataDxfId="12732"/>
    <tableColumn id="3880" uniqueName="3880" name="Column3871" queryTableFieldId="12514" dataDxfId="12731"/>
    <tableColumn id="3881" uniqueName="3881" name="Column3872" queryTableFieldId="12513" dataDxfId="12730"/>
    <tableColumn id="3882" uniqueName="3882" name="Column3873" queryTableFieldId="12512" dataDxfId="12729"/>
    <tableColumn id="3883" uniqueName="3883" name="Column3874" queryTableFieldId="12511" dataDxfId="12728"/>
    <tableColumn id="3884" uniqueName="3884" name="Column3875" queryTableFieldId="12510" dataDxfId="12727"/>
    <tableColumn id="3885" uniqueName="3885" name="Column3876" queryTableFieldId="12509" dataDxfId="12726"/>
    <tableColumn id="3886" uniqueName="3886" name="Column3877" queryTableFieldId="12508" dataDxfId="12725"/>
    <tableColumn id="3887" uniqueName="3887" name="Column3878" queryTableFieldId="12507" dataDxfId="12724"/>
    <tableColumn id="3888" uniqueName="3888" name="Column3879" queryTableFieldId="12506" dataDxfId="12723"/>
    <tableColumn id="3889" uniqueName="3889" name="Column3880" queryTableFieldId="12505" dataDxfId="12722"/>
    <tableColumn id="3890" uniqueName="3890" name="Column3881" queryTableFieldId="12504" dataDxfId="12721"/>
    <tableColumn id="3891" uniqueName="3891" name="Column3882" queryTableFieldId="12503" dataDxfId="12720"/>
    <tableColumn id="3892" uniqueName="3892" name="Column3883" queryTableFieldId="12502" dataDxfId="12719"/>
    <tableColumn id="3893" uniqueName="3893" name="Column3884" queryTableFieldId="12501" dataDxfId="12718"/>
    <tableColumn id="3894" uniqueName="3894" name="Column3885" queryTableFieldId="12500" dataDxfId="12717"/>
    <tableColumn id="3895" uniqueName="3895" name="Column3886" queryTableFieldId="12499" dataDxfId="12716"/>
    <tableColumn id="3896" uniqueName="3896" name="Column3887" queryTableFieldId="12498" dataDxfId="12715"/>
    <tableColumn id="3897" uniqueName="3897" name="Column3888" queryTableFieldId="12497" dataDxfId="12714"/>
    <tableColumn id="3898" uniqueName="3898" name="Column3889" queryTableFieldId="12496" dataDxfId="12713"/>
    <tableColumn id="3899" uniqueName="3899" name="Column3890" queryTableFieldId="12495" dataDxfId="12712"/>
    <tableColumn id="3900" uniqueName="3900" name="Column3891" queryTableFieldId="12494" dataDxfId="12711"/>
    <tableColumn id="3901" uniqueName="3901" name="Column3892" queryTableFieldId="12493" dataDxfId="12710"/>
    <tableColumn id="3902" uniqueName="3902" name="Column3893" queryTableFieldId="12492" dataDxfId="12709"/>
    <tableColumn id="3903" uniqueName="3903" name="Column3894" queryTableFieldId="12491" dataDxfId="12708"/>
    <tableColumn id="3904" uniqueName="3904" name="Column3895" queryTableFieldId="12490" dataDxfId="12707"/>
    <tableColumn id="3905" uniqueName="3905" name="Column3896" queryTableFieldId="12489" dataDxfId="12706"/>
    <tableColumn id="3906" uniqueName="3906" name="Column3897" queryTableFieldId="12488" dataDxfId="12705"/>
    <tableColumn id="3907" uniqueName="3907" name="Column3898" queryTableFieldId="12487" dataDxfId="12704"/>
    <tableColumn id="3908" uniqueName="3908" name="Column3899" queryTableFieldId="12486" dataDxfId="12703"/>
    <tableColumn id="3909" uniqueName="3909" name="Column3900" queryTableFieldId="12485" dataDxfId="12702"/>
    <tableColumn id="3910" uniqueName="3910" name="Column3901" queryTableFieldId="12484" dataDxfId="12701"/>
    <tableColumn id="3911" uniqueName="3911" name="Column3902" queryTableFieldId="12483" dataDxfId="12700"/>
    <tableColumn id="3912" uniqueName="3912" name="Column3903" queryTableFieldId="12482" dataDxfId="12699"/>
    <tableColumn id="3913" uniqueName="3913" name="Column3904" queryTableFieldId="12481" dataDxfId="12698"/>
    <tableColumn id="3914" uniqueName="3914" name="Column3905" queryTableFieldId="12480" dataDxfId="12697"/>
    <tableColumn id="3915" uniqueName="3915" name="Column3906" queryTableFieldId="12479" dataDxfId="12696"/>
    <tableColumn id="3916" uniqueName="3916" name="Column3907" queryTableFieldId="12478" dataDxfId="12695"/>
    <tableColumn id="3917" uniqueName="3917" name="Column3908" queryTableFieldId="12477" dataDxfId="12694"/>
    <tableColumn id="3918" uniqueName="3918" name="Column3909" queryTableFieldId="12476" dataDxfId="12693"/>
    <tableColumn id="3919" uniqueName="3919" name="Column3910" queryTableFieldId="12475" dataDxfId="12692"/>
    <tableColumn id="3920" uniqueName="3920" name="Column3911" queryTableFieldId="12474" dataDxfId="12691"/>
    <tableColumn id="3921" uniqueName="3921" name="Column3912" queryTableFieldId="12473" dataDxfId="12690"/>
    <tableColumn id="3922" uniqueName="3922" name="Column3913" queryTableFieldId="12472" dataDxfId="12689"/>
    <tableColumn id="3923" uniqueName="3923" name="Column3914" queryTableFieldId="12471" dataDxfId="12688"/>
    <tableColumn id="3924" uniqueName="3924" name="Column3915" queryTableFieldId="12470" dataDxfId="12687"/>
    <tableColumn id="3925" uniqueName="3925" name="Column3916" queryTableFieldId="12469" dataDxfId="12686"/>
    <tableColumn id="3926" uniqueName="3926" name="Column3917" queryTableFieldId="12468" dataDxfId="12685"/>
    <tableColumn id="3927" uniqueName="3927" name="Column3918" queryTableFieldId="12467" dataDxfId="12684"/>
    <tableColumn id="3928" uniqueName="3928" name="Column3919" queryTableFieldId="12466" dataDxfId="12683"/>
    <tableColumn id="3929" uniqueName="3929" name="Column3920" queryTableFieldId="12465" dataDxfId="12682"/>
    <tableColumn id="3930" uniqueName="3930" name="Column3921" queryTableFieldId="12464" dataDxfId="12681"/>
    <tableColumn id="3931" uniqueName="3931" name="Column3922" queryTableFieldId="12463" dataDxfId="12680"/>
    <tableColumn id="3932" uniqueName="3932" name="Column3923" queryTableFieldId="12462" dataDxfId="12679"/>
    <tableColumn id="3933" uniqueName="3933" name="Column3924" queryTableFieldId="12461" dataDxfId="12678"/>
    <tableColumn id="3934" uniqueName="3934" name="Column3925" queryTableFieldId="12460" dataDxfId="12677"/>
    <tableColumn id="3935" uniqueName="3935" name="Column3926" queryTableFieldId="12459" dataDxfId="12676"/>
    <tableColumn id="3936" uniqueName="3936" name="Column3927" queryTableFieldId="12458" dataDxfId="12675"/>
    <tableColumn id="3937" uniqueName="3937" name="Column3928" queryTableFieldId="12457" dataDxfId="12674"/>
    <tableColumn id="3938" uniqueName="3938" name="Column3929" queryTableFieldId="12456" dataDxfId="12673"/>
    <tableColumn id="3939" uniqueName="3939" name="Column3930" queryTableFieldId="12455" dataDxfId="12672"/>
    <tableColumn id="3940" uniqueName="3940" name="Column3931" queryTableFieldId="12454" dataDxfId="12671"/>
    <tableColumn id="3941" uniqueName="3941" name="Column3932" queryTableFieldId="12453" dataDxfId="12670"/>
    <tableColumn id="3942" uniqueName="3942" name="Column3933" queryTableFieldId="12452" dataDxfId="12669"/>
    <tableColumn id="3943" uniqueName="3943" name="Column3934" queryTableFieldId="12451" dataDxfId="12668"/>
    <tableColumn id="3944" uniqueName="3944" name="Column3935" queryTableFieldId="12450" dataDxfId="12667"/>
    <tableColumn id="3945" uniqueName="3945" name="Column3936" queryTableFieldId="12449" dataDxfId="12666"/>
    <tableColumn id="3946" uniqueName="3946" name="Column3937" queryTableFieldId="12448" dataDxfId="12665"/>
    <tableColumn id="3947" uniqueName="3947" name="Column3938" queryTableFieldId="12447" dataDxfId="12664"/>
    <tableColumn id="3948" uniqueName="3948" name="Column3939" queryTableFieldId="12446" dataDxfId="12663"/>
    <tableColumn id="3949" uniqueName="3949" name="Column3940" queryTableFieldId="12445" dataDxfId="12662"/>
    <tableColumn id="3950" uniqueName="3950" name="Column3941" queryTableFieldId="12444" dataDxfId="12661"/>
    <tableColumn id="3951" uniqueName="3951" name="Column3942" queryTableFieldId="12443" dataDxfId="12660"/>
    <tableColumn id="3952" uniqueName="3952" name="Column3943" queryTableFieldId="12442" dataDxfId="12659"/>
    <tableColumn id="3953" uniqueName="3953" name="Column3944" queryTableFieldId="12441" dataDxfId="12658"/>
    <tableColumn id="3954" uniqueName="3954" name="Column3945" queryTableFieldId="12440" dataDxfId="12657"/>
    <tableColumn id="3955" uniqueName="3955" name="Column3946" queryTableFieldId="12439" dataDxfId="12656"/>
    <tableColumn id="3956" uniqueName="3956" name="Column3947" queryTableFieldId="12438" dataDxfId="12655"/>
    <tableColumn id="3957" uniqueName="3957" name="Column3948" queryTableFieldId="12437" dataDxfId="12654"/>
    <tableColumn id="3958" uniqueName="3958" name="Column3949" queryTableFieldId="12436" dataDxfId="12653"/>
    <tableColumn id="3959" uniqueName="3959" name="Column3950" queryTableFieldId="12435" dataDxfId="12652"/>
    <tableColumn id="3960" uniqueName="3960" name="Column3951" queryTableFieldId="12434" dataDxfId="12651"/>
    <tableColumn id="3961" uniqueName="3961" name="Column3952" queryTableFieldId="12433" dataDxfId="12650"/>
    <tableColumn id="3962" uniqueName="3962" name="Column3953" queryTableFieldId="12432" dataDxfId="12649"/>
    <tableColumn id="3963" uniqueName="3963" name="Column3954" queryTableFieldId="12431" dataDxfId="12648"/>
    <tableColumn id="3964" uniqueName="3964" name="Column3955" queryTableFieldId="12430" dataDxfId="12647"/>
    <tableColumn id="3965" uniqueName="3965" name="Column3956" queryTableFieldId="12429" dataDxfId="12646"/>
    <tableColumn id="3966" uniqueName="3966" name="Column3957" queryTableFieldId="12428" dataDxfId="12645"/>
    <tableColumn id="3967" uniqueName="3967" name="Column3958" queryTableFieldId="12427" dataDxfId="12644"/>
    <tableColumn id="3968" uniqueName="3968" name="Column3959" queryTableFieldId="12426" dataDxfId="12643"/>
    <tableColumn id="3969" uniqueName="3969" name="Column3960" queryTableFieldId="12425" dataDxfId="12642"/>
    <tableColumn id="3970" uniqueName="3970" name="Column3961" queryTableFieldId="12424" dataDxfId="12641"/>
    <tableColumn id="3971" uniqueName="3971" name="Column3962" queryTableFieldId="12423" dataDxfId="12640"/>
    <tableColumn id="3972" uniqueName="3972" name="Column3963" queryTableFieldId="12422" dataDxfId="12639"/>
    <tableColumn id="3973" uniqueName="3973" name="Column3964" queryTableFieldId="12421" dataDxfId="12638"/>
    <tableColumn id="3974" uniqueName="3974" name="Column3965" queryTableFieldId="12420" dataDxfId="12637"/>
    <tableColumn id="3975" uniqueName="3975" name="Column3966" queryTableFieldId="12419" dataDxfId="12636"/>
    <tableColumn id="3976" uniqueName="3976" name="Column3967" queryTableFieldId="12418" dataDxfId="12635"/>
    <tableColumn id="3977" uniqueName="3977" name="Column3968" queryTableFieldId="12417" dataDxfId="12634"/>
    <tableColumn id="3978" uniqueName="3978" name="Column3969" queryTableFieldId="12416" dataDxfId="12633"/>
    <tableColumn id="3979" uniqueName="3979" name="Column3970" queryTableFieldId="12415" dataDxfId="12632"/>
    <tableColumn id="3980" uniqueName="3980" name="Column3971" queryTableFieldId="12414" dataDxfId="12631"/>
    <tableColumn id="3981" uniqueName="3981" name="Column3972" queryTableFieldId="12413" dataDxfId="12630"/>
    <tableColumn id="3982" uniqueName="3982" name="Column3973" queryTableFieldId="12412" dataDxfId="12629"/>
    <tableColumn id="3983" uniqueName="3983" name="Column3974" queryTableFieldId="12411" dataDxfId="12628"/>
    <tableColumn id="3984" uniqueName="3984" name="Column3975" queryTableFieldId="12410" dataDxfId="12627"/>
    <tableColumn id="3985" uniqueName="3985" name="Column3976" queryTableFieldId="12409" dataDxfId="12626"/>
    <tableColumn id="3986" uniqueName="3986" name="Column3977" queryTableFieldId="12408" dataDxfId="12625"/>
    <tableColumn id="3987" uniqueName="3987" name="Column3978" queryTableFieldId="12407" dataDxfId="12624"/>
    <tableColumn id="3988" uniqueName="3988" name="Column3979" queryTableFieldId="12406" dataDxfId="12623"/>
    <tableColumn id="3989" uniqueName="3989" name="Column3980" queryTableFieldId="12405" dataDxfId="12622"/>
    <tableColumn id="3990" uniqueName="3990" name="Column3981" queryTableFieldId="12404" dataDxfId="12621"/>
    <tableColumn id="3991" uniqueName="3991" name="Column3982" queryTableFieldId="12403" dataDxfId="12620"/>
    <tableColumn id="3992" uniqueName="3992" name="Column3983" queryTableFieldId="12402" dataDxfId="12619"/>
    <tableColumn id="3993" uniqueName="3993" name="Column3984" queryTableFieldId="12401" dataDxfId="12618"/>
    <tableColumn id="3994" uniqueName="3994" name="Column3985" queryTableFieldId="12400" dataDxfId="12617"/>
    <tableColumn id="3995" uniqueName="3995" name="Column3986" queryTableFieldId="12399" dataDxfId="12616"/>
    <tableColumn id="3996" uniqueName="3996" name="Column3987" queryTableFieldId="12398" dataDxfId="12615"/>
    <tableColumn id="3997" uniqueName="3997" name="Column3988" queryTableFieldId="12397" dataDxfId="12614"/>
    <tableColumn id="3998" uniqueName="3998" name="Column3989" queryTableFieldId="12396" dataDxfId="12613"/>
    <tableColumn id="3999" uniqueName="3999" name="Column3990" queryTableFieldId="12395" dataDxfId="12612"/>
    <tableColumn id="4000" uniqueName="4000" name="Column3991" queryTableFieldId="12394" dataDxfId="12611"/>
    <tableColumn id="4001" uniqueName="4001" name="Column3992" queryTableFieldId="12393" dataDxfId="12610"/>
    <tableColumn id="4002" uniqueName="4002" name="Column3993" queryTableFieldId="12392" dataDxfId="12609"/>
    <tableColumn id="4003" uniqueName="4003" name="Column3994" queryTableFieldId="12391" dataDxfId="12608"/>
    <tableColumn id="4004" uniqueName="4004" name="Column3995" queryTableFieldId="12390" dataDxfId="12607"/>
    <tableColumn id="4005" uniqueName="4005" name="Column3996" queryTableFieldId="12389" dataDxfId="12606"/>
    <tableColumn id="4006" uniqueName="4006" name="Column3997" queryTableFieldId="12388" dataDxfId="12605"/>
    <tableColumn id="4007" uniqueName="4007" name="Column3998" queryTableFieldId="12387" dataDxfId="12604"/>
    <tableColumn id="4008" uniqueName="4008" name="Column3999" queryTableFieldId="12386" dataDxfId="12603"/>
    <tableColumn id="4009" uniqueName="4009" name="Column4000" queryTableFieldId="12385" dataDxfId="12602"/>
    <tableColumn id="4010" uniqueName="4010" name="Column4001" queryTableFieldId="12384" dataDxfId="12601"/>
    <tableColumn id="4011" uniqueName="4011" name="Column4002" queryTableFieldId="12383" dataDxfId="12600"/>
    <tableColumn id="4012" uniqueName="4012" name="Column4003" queryTableFieldId="12382" dataDxfId="12599"/>
    <tableColumn id="4013" uniqueName="4013" name="Column4004" queryTableFieldId="12381" dataDxfId="12598"/>
    <tableColumn id="4014" uniqueName="4014" name="Column4005" queryTableFieldId="12380" dataDxfId="12597"/>
    <tableColumn id="4015" uniqueName="4015" name="Column4006" queryTableFieldId="12379" dataDxfId="12596"/>
    <tableColumn id="4016" uniqueName="4016" name="Column4007" queryTableFieldId="12378" dataDxfId="12595"/>
    <tableColumn id="4017" uniqueName="4017" name="Column4008" queryTableFieldId="12377" dataDxfId="12594"/>
    <tableColumn id="4018" uniqueName="4018" name="Column4009" queryTableFieldId="12376" dataDxfId="12593"/>
    <tableColumn id="4019" uniqueName="4019" name="Column4010" queryTableFieldId="12375" dataDxfId="12592"/>
    <tableColumn id="4020" uniqueName="4020" name="Column4011" queryTableFieldId="12374" dataDxfId="12591"/>
    <tableColumn id="4021" uniqueName="4021" name="Column4012" queryTableFieldId="12373" dataDxfId="12590"/>
    <tableColumn id="4022" uniqueName="4022" name="Column4013" queryTableFieldId="12372" dataDxfId="12589"/>
    <tableColumn id="4023" uniqueName="4023" name="Column4014" queryTableFieldId="12371" dataDxfId="12588"/>
    <tableColumn id="4024" uniqueName="4024" name="Column4015" queryTableFieldId="12370" dataDxfId="12587"/>
    <tableColumn id="4025" uniqueName="4025" name="Column4016" queryTableFieldId="12369" dataDxfId="12586"/>
    <tableColumn id="4026" uniqueName="4026" name="Column4017" queryTableFieldId="12368" dataDxfId="12585"/>
    <tableColumn id="4027" uniqueName="4027" name="Column4018" queryTableFieldId="12367" dataDxfId="12584"/>
    <tableColumn id="4028" uniqueName="4028" name="Column4019" queryTableFieldId="12366" dataDxfId="12583"/>
    <tableColumn id="4029" uniqueName="4029" name="Column4020" queryTableFieldId="12365" dataDxfId="12582"/>
    <tableColumn id="4030" uniqueName="4030" name="Column4021" queryTableFieldId="12364" dataDxfId="12581"/>
    <tableColumn id="4031" uniqueName="4031" name="Column4022" queryTableFieldId="12363" dataDxfId="12580"/>
    <tableColumn id="4032" uniqueName="4032" name="Column4023" queryTableFieldId="12362" dataDxfId="12579"/>
    <tableColumn id="4033" uniqueName="4033" name="Column4024" queryTableFieldId="12361" dataDxfId="12578"/>
    <tableColumn id="4034" uniqueName="4034" name="Column4025" queryTableFieldId="12360" dataDxfId="12577"/>
    <tableColumn id="4035" uniqueName="4035" name="Column4026" queryTableFieldId="12359" dataDxfId="12576"/>
    <tableColumn id="4036" uniqueName="4036" name="Column4027" queryTableFieldId="12358" dataDxfId="12575"/>
    <tableColumn id="4037" uniqueName="4037" name="Column4028" queryTableFieldId="12357" dataDxfId="12574"/>
    <tableColumn id="4038" uniqueName="4038" name="Column4029" queryTableFieldId="12356" dataDxfId="12573"/>
    <tableColumn id="4039" uniqueName="4039" name="Column4030" queryTableFieldId="12355" dataDxfId="12572"/>
    <tableColumn id="4040" uniqueName="4040" name="Column4031" queryTableFieldId="12354" dataDxfId="12571"/>
    <tableColumn id="4041" uniqueName="4041" name="Column4032" queryTableFieldId="12353" dataDxfId="12570"/>
    <tableColumn id="4042" uniqueName="4042" name="Column4033" queryTableFieldId="12352" dataDxfId="12569"/>
    <tableColumn id="4043" uniqueName="4043" name="Column4034" queryTableFieldId="12351" dataDxfId="12568"/>
    <tableColumn id="4044" uniqueName="4044" name="Column4035" queryTableFieldId="12350" dataDxfId="12567"/>
    <tableColumn id="4045" uniqueName="4045" name="Column4036" queryTableFieldId="12349" dataDxfId="12566"/>
    <tableColumn id="4046" uniqueName="4046" name="Column4037" queryTableFieldId="12348" dataDxfId="12565"/>
    <tableColumn id="4047" uniqueName="4047" name="Column4038" queryTableFieldId="12347" dataDxfId="12564"/>
    <tableColumn id="4048" uniqueName="4048" name="Column4039" queryTableFieldId="12346" dataDxfId="12563"/>
    <tableColumn id="4049" uniqueName="4049" name="Column4040" queryTableFieldId="12345" dataDxfId="12562"/>
    <tableColumn id="4050" uniqueName="4050" name="Column4041" queryTableFieldId="12344" dataDxfId="12561"/>
    <tableColumn id="4051" uniqueName="4051" name="Column4042" queryTableFieldId="12343" dataDxfId="12560"/>
    <tableColumn id="4052" uniqueName="4052" name="Column4043" queryTableFieldId="12342" dataDxfId="12559"/>
    <tableColumn id="4053" uniqueName="4053" name="Column4044" queryTableFieldId="12341" dataDxfId="12558"/>
    <tableColumn id="4054" uniqueName="4054" name="Column4045" queryTableFieldId="12340" dataDxfId="12557"/>
    <tableColumn id="4055" uniqueName="4055" name="Column4046" queryTableFieldId="12339" dataDxfId="12556"/>
    <tableColumn id="4056" uniqueName="4056" name="Column4047" queryTableFieldId="12338" dataDxfId="12555"/>
    <tableColumn id="4057" uniqueName="4057" name="Column4048" queryTableFieldId="12337" dataDxfId="12554"/>
    <tableColumn id="4058" uniqueName="4058" name="Column4049" queryTableFieldId="12336" dataDxfId="12553"/>
    <tableColumn id="4059" uniqueName="4059" name="Column4050" queryTableFieldId="12335" dataDxfId="12552"/>
    <tableColumn id="4060" uniqueName="4060" name="Column4051" queryTableFieldId="12334" dataDxfId="12551"/>
    <tableColumn id="4061" uniqueName="4061" name="Column4052" queryTableFieldId="12333" dataDxfId="12550"/>
    <tableColumn id="4062" uniqueName="4062" name="Column4053" queryTableFieldId="12332" dataDxfId="12549"/>
    <tableColumn id="4063" uniqueName="4063" name="Column4054" queryTableFieldId="12331" dataDxfId="12548"/>
    <tableColumn id="4064" uniqueName="4064" name="Column4055" queryTableFieldId="12330" dataDxfId="12547"/>
    <tableColumn id="4065" uniqueName="4065" name="Column4056" queryTableFieldId="12329" dataDxfId="12546"/>
    <tableColumn id="4066" uniqueName="4066" name="Column4057" queryTableFieldId="12328" dataDxfId="12545"/>
    <tableColumn id="4067" uniqueName="4067" name="Column4058" queryTableFieldId="12327" dataDxfId="12544"/>
    <tableColumn id="4068" uniqueName="4068" name="Column4059" queryTableFieldId="12326" dataDxfId="12543"/>
    <tableColumn id="4069" uniqueName="4069" name="Column4060" queryTableFieldId="12325" dataDxfId="12542"/>
    <tableColumn id="4070" uniqueName="4070" name="Column4061" queryTableFieldId="12324" dataDxfId="12541"/>
    <tableColumn id="4071" uniqueName="4071" name="Column4062" queryTableFieldId="12323" dataDxfId="12540"/>
    <tableColumn id="4072" uniqueName="4072" name="Column4063" queryTableFieldId="12322" dataDxfId="12539"/>
    <tableColumn id="4073" uniqueName="4073" name="Column4064" queryTableFieldId="12321" dataDxfId="12538"/>
    <tableColumn id="4074" uniqueName="4074" name="Column4065" queryTableFieldId="12320" dataDxfId="12537"/>
    <tableColumn id="4075" uniqueName="4075" name="Column4066" queryTableFieldId="12319" dataDxfId="12536"/>
    <tableColumn id="4076" uniqueName="4076" name="Column4067" queryTableFieldId="12318" dataDxfId="12535"/>
    <tableColumn id="4077" uniqueName="4077" name="Column4068" queryTableFieldId="12317" dataDxfId="12534"/>
    <tableColumn id="4078" uniqueName="4078" name="Column4069" queryTableFieldId="12316" dataDxfId="12533"/>
    <tableColumn id="4079" uniqueName="4079" name="Column4070" queryTableFieldId="12315" dataDxfId="12532"/>
    <tableColumn id="4080" uniqueName="4080" name="Column4071" queryTableFieldId="12314" dataDxfId="12531"/>
    <tableColumn id="4081" uniqueName="4081" name="Column4072" queryTableFieldId="12313" dataDxfId="12530"/>
    <tableColumn id="4082" uniqueName="4082" name="Column4073" queryTableFieldId="12312" dataDxfId="12529"/>
    <tableColumn id="4083" uniqueName="4083" name="Column4074" queryTableFieldId="12311" dataDxfId="12528"/>
    <tableColumn id="4084" uniqueName="4084" name="Column4075" queryTableFieldId="12310" dataDxfId="12527"/>
    <tableColumn id="4085" uniqueName="4085" name="Column4076" queryTableFieldId="12309" dataDxfId="12526"/>
    <tableColumn id="4086" uniqueName="4086" name="Column4077" queryTableFieldId="12308" dataDxfId="12525"/>
    <tableColumn id="4087" uniqueName="4087" name="Column4078" queryTableFieldId="12307" dataDxfId="12524"/>
    <tableColumn id="4088" uniqueName="4088" name="Column4079" queryTableFieldId="12306" dataDxfId="12523"/>
    <tableColumn id="4089" uniqueName="4089" name="Column4080" queryTableFieldId="12305" dataDxfId="12522"/>
    <tableColumn id="4090" uniqueName="4090" name="Column4081" queryTableFieldId="12304" dataDxfId="12521"/>
    <tableColumn id="4091" uniqueName="4091" name="Column4082" queryTableFieldId="12303" dataDxfId="12520"/>
    <tableColumn id="4092" uniqueName="4092" name="Column4083" queryTableFieldId="12302" dataDxfId="12519"/>
    <tableColumn id="4093" uniqueName="4093" name="Column4084" queryTableFieldId="12301" dataDxfId="12518"/>
    <tableColumn id="4094" uniqueName="4094" name="Column4085" queryTableFieldId="12300" dataDxfId="12517"/>
    <tableColumn id="4095" uniqueName="4095" name="Column4086" queryTableFieldId="12299" dataDxfId="12516"/>
    <tableColumn id="4096" uniqueName="4096" name="Column4087" queryTableFieldId="12298" dataDxfId="12515"/>
    <tableColumn id="4097" uniqueName="4097" name="Column4088" queryTableFieldId="12297" dataDxfId="12514"/>
    <tableColumn id="4098" uniqueName="4098" name="Column4089" queryTableFieldId="12296" dataDxfId="12513"/>
    <tableColumn id="4099" uniqueName="4099" name="Column4090" queryTableFieldId="12295" dataDxfId="12512"/>
    <tableColumn id="4100" uniqueName="4100" name="Column4091" queryTableFieldId="12294" dataDxfId="12511"/>
    <tableColumn id="4101" uniqueName="4101" name="Column4092" queryTableFieldId="12293" dataDxfId="12510"/>
    <tableColumn id="4102" uniqueName="4102" name="Column4093" queryTableFieldId="12292" dataDxfId="12509"/>
    <tableColumn id="4103" uniqueName="4103" name="Column4094" queryTableFieldId="12291" dataDxfId="12508"/>
    <tableColumn id="4104" uniqueName="4104" name="Column4095" queryTableFieldId="12290" dataDxfId="12507"/>
    <tableColumn id="4105" uniqueName="4105" name="Column4096" queryTableFieldId="12289" dataDxfId="12506"/>
    <tableColumn id="4106" uniqueName="4106" name="Column4097" queryTableFieldId="12288" dataDxfId="12505"/>
    <tableColumn id="4107" uniqueName="4107" name="Column4098" queryTableFieldId="12287" dataDxfId="12504"/>
    <tableColumn id="4108" uniqueName="4108" name="Column4099" queryTableFieldId="12286" dataDxfId="12503"/>
    <tableColumn id="4109" uniqueName="4109" name="Column4100" queryTableFieldId="12285" dataDxfId="12502"/>
    <tableColumn id="4110" uniqueName="4110" name="Column4101" queryTableFieldId="12284" dataDxfId="12501"/>
    <tableColumn id="4111" uniqueName="4111" name="Column4102" queryTableFieldId="12283" dataDxfId="12500"/>
    <tableColumn id="4112" uniqueName="4112" name="Column4103" queryTableFieldId="12282" dataDxfId="12499"/>
    <tableColumn id="4113" uniqueName="4113" name="Column4104" queryTableFieldId="12281" dataDxfId="12498"/>
    <tableColumn id="4114" uniqueName="4114" name="Column4105" queryTableFieldId="12280" dataDxfId="12497"/>
    <tableColumn id="4115" uniqueName="4115" name="Column4106" queryTableFieldId="12279" dataDxfId="12496"/>
    <tableColumn id="4116" uniqueName="4116" name="Column4107" queryTableFieldId="12278" dataDxfId="12495"/>
    <tableColumn id="4117" uniqueName="4117" name="Column4108" queryTableFieldId="12277" dataDxfId="12494"/>
    <tableColumn id="4118" uniqueName="4118" name="Column4109" queryTableFieldId="12276" dataDxfId="12493"/>
    <tableColumn id="4119" uniqueName="4119" name="Column4110" queryTableFieldId="12275" dataDxfId="12492"/>
    <tableColumn id="4120" uniqueName="4120" name="Column4111" queryTableFieldId="12274" dataDxfId="12491"/>
    <tableColumn id="4121" uniqueName="4121" name="Column4112" queryTableFieldId="12273" dataDxfId="12490"/>
    <tableColumn id="4122" uniqueName="4122" name="Column4113" queryTableFieldId="12272" dataDxfId="12489"/>
    <tableColumn id="4123" uniqueName="4123" name="Column4114" queryTableFieldId="12271" dataDxfId="12488"/>
    <tableColumn id="4124" uniqueName="4124" name="Column4115" queryTableFieldId="12270" dataDxfId="12487"/>
    <tableColumn id="4125" uniqueName="4125" name="Column4116" queryTableFieldId="12269" dataDxfId="12486"/>
    <tableColumn id="4126" uniqueName="4126" name="Column4117" queryTableFieldId="12268" dataDxfId="12485"/>
    <tableColumn id="4127" uniqueName="4127" name="Column4118" queryTableFieldId="12267" dataDxfId="12484"/>
    <tableColumn id="4128" uniqueName="4128" name="Column4119" queryTableFieldId="12266" dataDxfId="12483"/>
    <tableColumn id="4129" uniqueName="4129" name="Column4120" queryTableFieldId="12265" dataDxfId="12482"/>
    <tableColumn id="4130" uniqueName="4130" name="Column4121" queryTableFieldId="12264" dataDxfId="12481"/>
    <tableColumn id="4131" uniqueName="4131" name="Column4122" queryTableFieldId="12263" dataDxfId="12480"/>
    <tableColumn id="4132" uniqueName="4132" name="Column4123" queryTableFieldId="12262" dataDxfId="12479"/>
    <tableColumn id="4133" uniqueName="4133" name="Column4124" queryTableFieldId="12261" dataDxfId="12478"/>
    <tableColumn id="4134" uniqueName="4134" name="Column4125" queryTableFieldId="12260" dataDxfId="12477"/>
    <tableColumn id="4135" uniqueName="4135" name="Column4126" queryTableFieldId="12259" dataDxfId="12476"/>
    <tableColumn id="4136" uniqueName="4136" name="Column4127" queryTableFieldId="12258" dataDxfId="12475"/>
    <tableColumn id="4137" uniqueName="4137" name="Column4128" queryTableFieldId="12257" dataDxfId="12474"/>
    <tableColumn id="4138" uniqueName="4138" name="Column4129" queryTableFieldId="12256" dataDxfId="12473"/>
    <tableColumn id="4139" uniqueName="4139" name="Column4130" queryTableFieldId="12255" dataDxfId="12472"/>
    <tableColumn id="4140" uniqueName="4140" name="Column4131" queryTableFieldId="12254" dataDxfId="12471"/>
    <tableColumn id="4141" uniqueName="4141" name="Column4132" queryTableFieldId="12253" dataDxfId="12470"/>
    <tableColumn id="4142" uniqueName="4142" name="Column4133" queryTableFieldId="12252" dataDxfId="12469"/>
    <tableColumn id="4143" uniqueName="4143" name="Column4134" queryTableFieldId="12251" dataDxfId="12468"/>
    <tableColumn id="4144" uniqueName="4144" name="Column4135" queryTableFieldId="12250" dataDxfId="12467"/>
    <tableColumn id="4145" uniqueName="4145" name="Column4136" queryTableFieldId="12249" dataDxfId="12466"/>
    <tableColumn id="4146" uniqueName="4146" name="Column4137" queryTableFieldId="12248" dataDxfId="12465"/>
    <tableColumn id="4147" uniqueName="4147" name="Column4138" queryTableFieldId="12247" dataDxfId="12464"/>
    <tableColumn id="4148" uniqueName="4148" name="Column4139" queryTableFieldId="12246" dataDxfId="12463"/>
    <tableColumn id="4149" uniqueName="4149" name="Column4140" queryTableFieldId="12245" dataDxfId="12462"/>
    <tableColumn id="4150" uniqueName="4150" name="Column4141" queryTableFieldId="12244" dataDxfId="12461"/>
    <tableColumn id="4151" uniqueName="4151" name="Column4142" queryTableFieldId="12243" dataDxfId="12460"/>
    <tableColumn id="4152" uniqueName="4152" name="Column4143" queryTableFieldId="12242" dataDxfId="12459"/>
    <tableColumn id="4153" uniqueName="4153" name="Column4144" queryTableFieldId="12241" dataDxfId="12458"/>
    <tableColumn id="4154" uniqueName="4154" name="Column4145" queryTableFieldId="12240" dataDxfId="12457"/>
    <tableColumn id="4155" uniqueName="4155" name="Column4146" queryTableFieldId="12239" dataDxfId="12456"/>
    <tableColumn id="4156" uniqueName="4156" name="Column4147" queryTableFieldId="12238" dataDxfId="12455"/>
    <tableColumn id="4157" uniqueName="4157" name="Column4148" queryTableFieldId="12237" dataDxfId="12454"/>
    <tableColumn id="4158" uniqueName="4158" name="Column4149" queryTableFieldId="12236" dataDxfId="12453"/>
    <tableColumn id="4159" uniqueName="4159" name="Column4150" queryTableFieldId="12235" dataDxfId="12452"/>
    <tableColumn id="4160" uniqueName="4160" name="Column4151" queryTableFieldId="12234" dataDxfId="12451"/>
    <tableColumn id="4161" uniqueName="4161" name="Column4152" queryTableFieldId="12233" dataDxfId="12450"/>
    <tableColumn id="4162" uniqueName="4162" name="Column4153" queryTableFieldId="12232" dataDxfId="12449"/>
    <tableColumn id="4163" uniqueName="4163" name="Column4154" queryTableFieldId="12231" dataDxfId="12448"/>
    <tableColumn id="4164" uniqueName="4164" name="Column4155" queryTableFieldId="12230" dataDxfId="12447"/>
    <tableColumn id="4165" uniqueName="4165" name="Column4156" queryTableFieldId="12229" dataDxfId="12446"/>
    <tableColumn id="4166" uniqueName="4166" name="Column4157" queryTableFieldId="12228" dataDxfId="12445"/>
    <tableColumn id="4167" uniqueName="4167" name="Column4158" queryTableFieldId="12227" dataDxfId="12444"/>
    <tableColumn id="4168" uniqueName="4168" name="Column4159" queryTableFieldId="12226" dataDxfId="12443"/>
    <tableColumn id="4169" uniqueName="4169" name="Column4160" queryTableFieldId="12225" dataDxfId="12442"/>
    <tableColumn id="4170" uniqueName="4170" name="Column4161" queryTableFieldId="12224" dataDxfId="12441"/>
    <tableColumn id="4171" uniqueName="4171" name="Column4162" queryTableFieldId="12223" dataDxfId="12440"/>
    <tableColumn id="4172" uniqueName="4172" name="Column4163" queryTableFieldId="12222" dataDxfId="12439"/>
    <tableColumn id="4173" uniqueName="4173" name="Column4164" queryTableFieldId="12221" dataDxfId="12438"/>
    <tableColumn id="4174" uniqueName="4174" name="Column4165" queryTableFieldId="12220" dataDxfId="12437"/>
    <tableColumn id="4175" uniqueName="4175" name="Column4166" queryTableFieldId="12219" dataDxfId="12436"/>
    <tableColumn id="4176" uniqueName="4176" name="Column4167" queryTableFieldId="12218" dataDxfId="12435"/>
    <tableColumn id="4177" uniqueName="4177" name="Column4168" queryTableFieldId="12217" dataDxfId="12434"/>
    <tableColumn id="4178" uniqueName="4178" name="Column4169" queryTableFieldId="12216" dataDxfId="12433"/>
    <tableColumn id="4179" uniqueName="4179" name="Column4170" queryTableFieldId="12215" dataDxfId="12432"/>
    <tableColumn id="4180" uniqueName="4180" name="Column4171" queryTableFieldId="12214" dataDxfId="12431"/>
    <tableColumn id="4181" uniqueName="4181" name="Column4172" queryTableFieldId="12213" dataDxfId="12430"/>
    <tableColumn id="4182" uniqueName="4182" name="Column4173" queryTableFieldId="12212" dataDxfId="12429"/>
    <tableColumn id="4183" uniqueName="4183" name="Column4174" queryTableFieldId="12211" dataDxfId="12428"/>
    <tableColumn id="4184" uniqueName="4184" name="Column4175" queryTableFieldId="12210" dataDxfId="12427"/>
    <tableColumn id="4185" uniqueName="4185" name="Column4176" queryTableFieldId="12209" dataDxfId="12426"/>
    <tableColumn id="4186" uniqueName="4186" name="Column4177" queryTableFieldId="12208" dataDxfId="12425"/>
    <tableColumn id="4187" uniqueName="4187" name="Column4178" queryTableFieldId="12207" dataDxfId="12424"/>
    <tableColumn id="4188" uniqueName="4188" name="Column4179" queryTableFieldId="12206" dataDxfId="12423"/>
    <tableColumn id="4189" uniqueName="4189" name="Column4180" queryTableFieldId="12205" dataDxfId="12422"/>
    <tableColumn id="4190" uniqueName="4190" name="Column4181" queryTableFieldId="12204" dataDxfId="12421"/>
    <tableColumn id="4191" uniqueName="4191" name="Column4182" queryTableFieldId="12203" dataDxfId="12420"/>
    <tableColumn id="4192" uniqueName="4192" name="Column4183" queryTableFieldId="12202" dataDxfId="12419"/>
    <tableColumn id="4193" uniqueName="4193" name="Column4184" queryTableFieldId="12201" dataDxfId="12418"/>
    <tableColumn id="4194" uniqueName="4194" name="Column4185" queryTableFieldId="12200" dataDxfId="12417"/>
    <tableColumn id="4195" uniqueName="4195" name="Column4186" queryTableFieldId="12199" dataDxfId="12416"/>
    <tableColumn id="4196" uniqueName="4196" name="Column4187" queryTableFieldId="12198" dataDxfId="12415"/>
    <tableColumn id="4197" uniqueName="4197" name="Column4188" queryTableFieldId="12197" dataDxfId="12414"/>
    <tableColumn id="4198" uniqueName="4198" name="Column4189" queryTableFieldId="12196" dataDxfId="12413"/>
    <tableColumn id="4199" uniqueName="4199" name="Column4190" queryTableFieldId="12195" dataDxfId="12412"/>
    <tableColumn id="4200" uniqueName="4200" name="Column4191" queryTableFieldId="12194" dataDxfId="12411"/>
    <tableColumn id="4201" uniqueName="4201" name="Column4192" queryTableFieldId="12193" dataDxfId="12410"/>
    <tableColumn id="4202" uniqueName="4202" name="Column4193" queryTableFieldId="12192" dataDxfId="12409"/>
    <tableColumn id="4203" uniqueName="4203" name="Column4194" queryTableFieldId="12191" dataDxfId="12408"/>
    <tableColumn id="4204" uniqueName="4204" name="Column4195" queryTableFieldId="12190" dataDxfId="12407"/>
    <tableColumn id="4205" uniqueName="4205" name="Column4196" queryTableFieldId="12189" dataDxfId="12406"/>
    <tableColumn id="4206" uniqueName="4206" name="Column4197" queryTableFieldId="12188" dataDxfId="12405"/>
    <tableColumn id="4207" uniqueName="4207" name="Column4198" queryTableFieldId="12187" dataDxfId="12404"/>
    <tableColumn id="4208" uniqueName="4208" name="Column4199" queryTableFieldId="12186" dataDxfId="12403"/>
    <tableColumn id="4209" uniqueName="4209" name="Column4200" queryTableFieldId="12185" dataDxfId="12402"/>
    <tableColumn id="4210" uniqueName="4210" name="Column4201" queryTableFieldId="12184" dataDxfId="12401"/>
    <tableColumn id="4211" uniqueName="4211" name="Column4202" queryTableFieldId="12183" dataDxfId="12400"/>
    <tableColumn id="4212" uniqueName="4212" name="Column4203" queryTableFieldId="12182" dataDxfId="12399"/>
    <tableColumn id="4213" uniqueName="4213" name="Column4204" queryTableFieldId="12181" dataDxfId="12398"/>
    <tableColumn id="4214" uniqueName="4214" name="Column4205" queryTableFieldId="12180" dataDxfId="12397"/>
    <tableColumn id="4215" uniqueName="4215" name="Column4206" queryTableFieldId="12179" dataDxfId="12396"/>
    <tableColumn id="4216" uniqueName="4216" name="Column4207" queryTableFieldId="12178" dataDxfId="12395"/>
    <tableColumn id="4217" uniqueName="4217" name="Column4208" queryTableFieldId="12177" dataDxfId="12394"/>
    <tableColumn id="4218" uniqueName="4218" name="Column4209" queryTableFieldId="12176" dataDxfId="12393"/>
    <tableColumn id="4219" uniqueName="4219" name="Column4210" queryTableFieldId="12175" dataDxfId="12392"/>
    <tableColumn id="4220" uniqueName="4220" name="Column4211" queryTableFieldId="12174" dataDxfId="12391"/>
    <tableColumn id="4221" uniqueName="4221" name="Column4212" queryTableFieldId="12173" dataDxfId="12390"/>
    <tableColumn id="4222" uniqueName="4222" name="Column4213" queryTableFieldId="12172" dataDxfId="12389"/>
    <tableColumn id="4223" uniqueName="4223" name="Column4214" queryTableFieldId="12171" dataDxfId="12388"/>
    <tableColumn id="4224" uniqueName="4224" name="Column4215" queryTableFieldId="12170" dataDxfId="12387"/>
    <tableColumn id="4225" uniqueName="4225" name="Column4216" queryTableFieldId="12169" dataDxfId="12386"/>
    <tableColumn id="4226" uniqueName="4226" name="Column4217" queryTableFieldId="12168" dataDxfId="12385"/>
    <tableColumn id="4227" uniqueName="4227" name="Column4218" queryTableFieldId="12167" dataDxfId="12384"/>
    <tableColumn id="4228" uniqueName="4228" name="Column4219" queryTableFieldId="12166" dataDxfId="12383"/>
    <tableColumn id="4229" uniqueName="4229" name="Column4220" queryTableFieldId="12165" dataDxfId="12382"/>
    <tableColumn id="4230" uniqueName="4230" name="Column4221" queryTableFieldId="12164" dataDxfId="12381"/>
    <tableColumn id="4231" uniqueName="4231" name="Column4222" queryTableFieldId="12163" dataDxfId="12380"/>
    <tableColumn id="4232" uniqueName="4232" name="Column4223" queryTableFieldId="12162" dataDxfId="12379"/>
    <tableColumn id="4233" uniqueName="4233" name="Column4224" queryTableFieldId="12161" dataDxfId="12378"/>
    <tableColumn id="4234" uniqueName="4234" name="Column4225" queryTableFieldId="12160" dataDxfId="12377"/>
    <tableColumn id="4235" uniqueName="4235" name="Column4226" queryTableFieldId="12159" dataDxfId="12376"/>
    <tableColumn id="4236" uniqueName="4236" name="Column4227" queryTableFieldId="12158" dataDxfId="12375"/>
    <tableColumn id="4237" uniqueName="4237" name="Column4228" queryTableFieldId="12157" dataDxfId="12374"/>
    <tableColumn id="4238" uniqueName="4238" name="Column4229" queryTableFieldId="12156" dataDxfId="12373"/>
    <tableColumn id="4239" uniqueName="4239" name="Column4230" queryTableFieldId="12155" dataDxfId="12372"/>
    <tableColumn id="4240" uniqueName="4240" name="Column4231" queryTableFieldId="12154" dataDxfId="12371"/>
    <tableColumn id="4241" uniqueName="4241" name="Column4232" queryTableFieldId="12153" dataDxfId="12370"/>
    <tableColumn id="4242" uniqueName="4242" name="Column4233" queryTableFieldId="12152" dataDxfId="12369"/>
    <tableColumn id="4243" uniqueName="4243" name="Column4234" queryTableFieldId="12151" dataDxfId="12368"/>
    <tableColumn id="4244" uniqueName="4244" name="Column4235" queryTableFieldId="12150" dataDxfId="12367"/>
    <tableColumn id="4245" uniqueName="4245" name="Column4236" queryTableFieldId="12149" dataDxfId="12366"/>
    <tableColumn id="4246" uniqueName="4246" name="Column4237" queryTableFieldId="12148" dataDxfId="12365"/>
    <tableColumn id="4247" uniqueName="4247" name="Column4238" queryTableFieldId="12147" dataDxfId="12364"/>
    <tableColumn id="4248" uniqueName="4248" name="Column4239" queryTableFieldId="12146" dataDxfId="12363"/>
    <tableColumn id="4249" uniqueName="4249" name="Column4240" queryTableFieldId="12145" dataDxfId="12362"/>
    <tableColumn id="4250" uniqueName="4250" name="Column4241" queryTableFieldId="12144" dataDxfId="12361"/>
    <tableColumn id="4251" uniqueName="4251" name="Column4242" queryTableFieldId="12143" dataDxfId="12360"/>
    <tableColumn id="4252" uniqueName="4252" name="Column4243" queryTableFieldId="12142" dataDxfId="12359"/>
    <tableColumn id="4253" uniqueName="4253" name="Column4244" queryTableFieldId="12141" dataDxfId="12358"/>
    <tableColumn id="4254" uniqueName="4254" name="Column4245" queryTableFieldId="12140" dataDxfId="12357"/>
    <tableColumn id="4255" uniqueName="4255" name="Column4246" queryTableFieldId="12139" dataDxfId="12356"/>
    <tableColumn id="4256" uniqueName="4256" name="Column4247" queryTableFieldId="12138" dataDxfId="12355"/>
    <tableColumn id="4257" uniqueName="4257" name="Column4248" queryTableFieldId="12137" dataDxfId="12354"/>
    <tableColumn id="4258" uniqueName="4258" name="Column4249" queryTableFieldId="12136" dataDxfId="12353"/>
    <tableColumn id="4259" uniqueName="4259" name="Column4250" queryTableFieldId="12135" dataDxfId="12352"/>
    <tableColumn id="4260" uniqueName="4260" name="Column4251" queryTableFieldId="12134" dataDxfId="12351"/>
    <tableColumn id="4261" uniqueName="4261" name="Column4252" queryTableFieldId="12133" dataDxfId="12350"/>
    <tableColumn id="4262" uniqueName="4262" name="Column4253" queryTableFieldId="12132" dataDxfId="12349"/>
    <tableColumn id="4263" uniqueName="4263" name="Column4254" queryTableFieldId="12131" dataDxfId="12348"/>
    <tableColumn id="4264" uniqueName="4264" name="Column4255" queryTableFieldId="12130" dataDxfId="12347"/>
    <tableColumn id="4265" uniqueName="4265" name="Column4256" queryTableFieldId="12129" dataDxfId="12346"/>
    <tableColumn id="4266" uniqueName="4266" name="Column4257" queryTableFieldId="12128" dataDxfId="12345"/>
    <tableColumn id="4267" uniqueName="4267" name="Column4258" queryTableFieldId="12127" dataDxfId="12344"/>
    <tableColumn id="4268" uniqueName="4268" name="Column4259" queryTableFieldId="12126" dataDxfId="12343"/>
    <tableColumn id="4269" uniqueName="4269" name="Column4260" queryTableFieldId="12125" dataDxfId="12342"/>
    <tableColumn id="4270" uniqueName="4270" name="Column4261" queryTableFieldId="12124" dataDxfId="12341"/>
    <tableColumn id="4271" uniqueName="4271" name="Column4262" queryTableFieldId="12123" dataDxfId="12340"/>
    <tableColumn id="4272" uniqueName="4272" name="Column4263" queryTableFieldId="12122" dataDxfId="12339"/>
    <tableColumn id="4273" uniqueName="4273" name="Column4264" queryTableFieldId="12121" dataDxfId="12338"/>
    <tableColumn id="4274" uniqueName="4274" name="Column4265" queryTableFieldId="12120" dataDxfId="12337"/>
    <tableColumn id="4275" uniqueName="4275" name="Column4266" queryTableFieldId="12119" dataDxfId="12336"/>
    <tableColumn id="4276" uniqueName="4276" name="Column4267" queryTableFieldId="12118" dataDxfId="12335"/>
    <tableColumn id="4277" uniqueName="4277" name="Column4268" queryTableFieldId="12117" dataDxfId="12334"/>
    <tableColumn id="4278" uniqueName="4278" name="Column4269" queryTableFieldId="12116" dataDxfId="12333"/>
    <tableColumn id="4279" uniqueName="4279" name="Column4270" queryTableFieldId="12115" dataDxfId="12332"/>
    <tableColumn id="4280" uniqueName="4280" name="Column4271" queryTableFieldId="12114" dataDxfId="12331"/>
    <tableColumn id="4281" uniqueName="4281" name="Column4272" queryTableFieldId="12113" dataDxfId="12330"/>
    <tableColumn id="4282" uniqueName="4282" name="Column4273" queryTableFieldId="12112" dataDxfId="12329"/>
    <tableColumn id="4283" uniqueName="4283" name="Column4274" queryTableFieldId="12111" dataDxfId="12328"/>
    <tableColumn id="4284" uniqueName="4284" name="Column4275" queryTableFieldId="12110" dataDxfId="12327"/>
    <tableColumn id="4285" uniqueName="4285" name="Column4276" queryTableFieldId="12109" dataDxfId="12326"/>
    <tableColumn id="4286" uniqueName="4286" name="Column4277" queryTableFieldId="12108" dataDxfId="12325"/>
    <tableColumn id="4287" uniqueName="4287" name="Column4278" queryTableFieldId="12107" dataDxfId="12324"/>
    <tableColumn id="4288" uniqueName="4288" name="Column4279" queryTableFieldId="12106" dataDxfId="12323"/>
    <tableColumn id="4289" uniqueName="4289" name="Column4280" queryTableFieldId="12105" dataDxfId="12322"/>
    <tableColumn id="4290" uniqueName="4290" name="Column4281" queryTableFieldId="12104" dataDxfId="12321"/>
    <tableColumn id="4291" uniqueName="4291" name="Column4282" queryTableFieldId="12103" dataDxfId="12320"/>
    <tableColumn id="4292" uniqueName="4292" name="Column4283" queryTableFieldId="12102" dataDxfId="12319"/>
    <tableColumn id="4293" uniqueName="4293" name="Column4284" queryTableFieldId="12101" dataDxfId="12318"/>
    <tableColumn id="4294" uniqueName="4294" name="Column4285" queryTableFieldId="12100" dataDxfId="12317"/>
    <tableColumn id="4295" uniqueName="4295" name="Column4286" queryTableFieldId="12099" dataDxfId="12316"/>
    <tableColumn id="4296" uniqueName="4296" name="Column4287" queryTableFieldId="12098" dataDxfId="12315"/>
    <tableColumn id="4297" uniqueName="4297" name="Column4288" queryTableFieldId="12097" dataDxfId="12314"/>
    <tableColumn id="4298" uniqueName="4298" name="Column4289" queryTableFieldId="12096" dataDxfId="12313"/>
    <tableColumn id="4299" uniqueName="4299" name="Column4290" queryTableFieldId="12095" dataDxfId="12312"/>
    <tableColumn id="4300" uniqueName="4300" name="Column4291" queryTableFieldId="12094" dataDxfId="12311"/>
    <tableColumn id="4301" uniqueName="4301" name="Column4292" queryTableFieldId="12093" dataDxfId="12310"/>
    <tableColumn id="4302" uniqueName="4302" name="Column4293" queryTableFieldId="12092" dataDxfId="12309"/>
    <tableColumn id="4303" uniqueName="4303" name="Column4294" queryTableFieldId="12091" dataDxfId="12308"/>
    <tableColumn id="4304" uniqueName="4304" name="Column4295" queryTableFieldId="12090" dataDxfId="12307"/>
    <tableColumn id="4305" uniqueName="4305" name="Column4296" queryTableFieldId="12089" dataDxfId="12306"/>
    <tableColumn id="4306" uniqueName="4306" name="Column4297" queryTableFieldId="12088" dataDxfId="12305"/>
    <tableColumn id="4307" uniqueName="4307" name="Column4298" queryTableFieldId="12087" dataDxfId="12304"/>
    <tableColumn id="4308" uniqueName="4308" name="Column4299" queryTableFieldId="12086" dataDxfId="12303"/>
    <tableColumn id="4309" uniqueName="4309" name="Column4300" queryTableFieldId="12085" dataDxfId="12302"/>
    <tableColumn id="4310" uniqueName="4310" name="Column4301" queryTableFieldId="12084" dataDxfId="12301"/>
    <tableColumn id="4311" uniqueName="4311" name="Column4302" queryTableFieldId="12083" dataDxfId="12300"/>
    <tableColumn id="4312" uniqueName="4312" name="Column4303" queryTableFieldId="12082" dataDxfId="12299"/>
    <tableColumn id="4313" uniqueName="4313" name="Column4304" queryTableFieldId="12081" dataDxfId="12298"/>
    <tableColumn id="4314" uniqueName="4314" name="Column4305" queryTableFieldId="12080" dataDxfId="12297"/>
    <tableColumn id="4315" uniqueName="4315" name="Column4306" queryTableFieldId="12079" dataDxfId="12296"/>
    <tableColumn id="4316" uniqueName="4316" name="Column4307" queryTableFieldId="12078" dataDxfId="12295"/>
    <tableColumn id="4317" uniqueName="4317" name="Column4308" queryTableFieldId="12077" dataDxfId="12294"/>
    <tableColumn id="4318" uniqueName="4318" name="Column4309" queryTableFieldId="12076" dataDxfId="12293"/>
    <tableColumn id="4319" uniqueName="4319" name="Column4310" queryTableFieldId="12075" dataDxfId="12292"/>
    <tableColumn id="4320" uniqueName="4320" name="Column4311" queryTableFieldId="12074" dataDxfId="12291"/>
    <tableColumn id="4321" uniqueName="4321" name="Column4312" queryTableFieldId="12073" dataDxfId="12290"/>
    <tableColumn id="4322" uniqueName="4322" name="Column4313" queryTableFieldId="12072" dataDxfId="12289"/>
    <tableColumn id="4323" uniqueName="4323" name="Column4314" queryTableFieldId="12071" dataDxfId="12288"/>
    <tableColumn id="4324" uniqueName="4324" name="Column4315" queryTableFieldId="12070" dataDxfId="12287"/>
    <tableColumn id="4325" uniqueName="4325" name="Column4316" queryTableFieldId="12069" dataDxfId="12286"/>
    <tableColumn id="4326" uniqueName="4326" name="Column4317" queryTableFieldId="12068" dataDxfId="12285"/>
    <tableColumn id="4327" uniqueName="4327" name="Column4318" queryTableFieldId="12067" dataDxfId="12284"/>
    <tableColumn id="4328" uniqueName="4328" name="Column4319" queryTableFieldId="12066" dataDxfId="12283"/>
    <tableColumn id="4329" uniqueName="4329" name="Column4320" queryTableFieldId="12065" dataDxfId="12282"/>
    <tableColumn id="4330" uniqueName="4330" name="Column4321" queryTableFieldId="12064" dataDxfId="12281"/>
    <tableColumn id="4331" uniqueName="4331" name="Column4322" queryTableFieldId="12063" dataDxfId="12280"/>
    <tableColumn id="4332" uniqueName="4332" name="Column4323" queryTableFieldId="12062" dataDxfId="12279"/>
    <tableColumn id="4333" uniqueName="4333" name="Column4324" queryTableFieldId="12061" dataDxfId="12278"/>
    <tableColumn id="4334" uniqueName="4334" name="Column4325" queryTableFieldId="12060" dataDxfId="12277"/>
    <tableColumn id="4335" uniqueName="4335" name="Column4326" queryTableFieldId="12059" dataDxfId="12276"/>
    <tableColumn id="4336" uniqueName="4336" name="Column4327" queryTableFieldId="12058" dataDxfId="12275"/>
    <tableColumn id="4337" uniqueName="4337" name="Column4328" queryTableFieldId="12057" dataDxfId="12274"/>
    <tableColumn id="4338" uniqueName="4338" name="Column4329" queryTableFieldId="12056" dataDxfId="12273"/>
    <tableColumn id="4339" uniqueName="4339" name="Column4330" queryTableFieldId="12055" dataDxfId="12272"/>
    <tableColumn id="4340" uniqueName="4340" name="Column4331" queryTableFieldId="12054" dataDxfId="12271"/>
    <tableColumn id="4341" uniqueName="4341" name="Column4332" queryTableFieldId="12053" dataDxfId="12270"/>
    <tableColumn id="4342" uniqueName="4342" name="Column4333" queryTableFieldId="12052" dataDxfId="12269"/>
    <tableColumn id="4343" uniqueName="4343" name="Column4334" queryTableFieldId="12051" dataDxfId="12268"/>
    <tableColumn id="4344" uniqueName="4344" name="Column4335" queryTableFieldId="12050" dataDxfId="12267"/>
    <tableColumn id="4345" uniqueName="4345" name="Column4336" queryTableFieldId="12049" dataDxfId="12266"/>
    <tableColumn id="4346" uniqueName="4346" name="Column4337" queryTableFieldId="12048" dataDxfId="12265"/>
    <tableColumn id="4347" uniqueName="4347" name="Column4338" queryTableFieldId="12047" dataDxfId="12264"/>
    <tableColumn id="4348" uniqueName="4348" name="Column4339" queryTableFieldId="12046" dataDxfId="12263"/>
    <tableColumn id="4349" uniqueName="4349" name="Column4340" queryTableFieldId="12045" dataDxfId="12262"/>
    <tableColumn id="4350" uniqueName="4350" name="Column4341" queryTableFieldId="12044" dataDxfId="12261"/>
    <tableColumn id="4351" uniqueName="4351" name="Column4342" queryTableFieldId="12043" dataDxfId="12260"/>
    <tableColumn id="4352" uniqueName="4352" name="Column4343" queryTableFieldId="12042" dataDxfId="12259"/>
    <tableColumn id="4353" uniqueName="4353" name="Column4344" queryTableFieldId="12041" dataDxfId="12258"/>
    <tableColumn id="4354" uniqueName="4354" name="Column4345" queryTableFieldId="12040" dataDxfId="12257"/>
    <tableColumn id="4355" uniqueName="4355" name="Column4346" queryTableFieldId="12039" dataDxfId="12256"/>
    <tableColumn id="4356" uniqueName="4356" name="Column4347" queryTableFieldId="12038" dataDxfId="12255"/>
    <tableColumn id="4357" uniqueName="4357" name="Column4348" queryTableFieldId="12037" dataDxfId="12254"/>
    <tableColumn id="4358" uniqueName="4358" name="Column4349" queryTableFieldId="12036" dataDxfId="12253"/>
    <tableColumn id="4359" uniqueName="4359" name="Column4350" queryTableFieldId="12035" dataDxfId="12252"/>
    <tableColumn id="4360" uniqueName="4360" name="Column4351" queryTableFieldId="12034" dataDxfId="12251"/>
    <tableColumn id="4361" uniqueName="4361" name="Column4352" queryTableFieldId="12033" dataDxfId="12250"/>
    <tableColumn id="4362" uniqueName="4362" name="Column4353" queryTableFieldId="12032" dataDxfId="12249"/>
    <tableColumn id="4363" uniqueName="4363" name="Column4354" queryTableFieldId="12031" dataDxfId="12248"/>
    <tableColumn id="4364" uniqueName="4364" name="Column4355" queryTableFieldId="12030" dataDxfId="12247"/>
    <tableColumn id="4365" uniqueName="4365" name="Column4356" queryTableFieldId="12029" dataDxfId="12246"/>
    <tableColumn id="4366" uniqueName="4366" name="Column4357" queryTableFieldId="12028" dataDxfId="12245"/>
    <tableColumn id="4367" uniqueName="4367" name="Column4358" queryTableFieldId="12027" dataDxfId="12244"/>
    <tableColumn id="4368" uniqueName="4368" name="Column4359" queryTableFieldId="12026" dataDxfId="12243"/>
    <tableColumn id="4369" uniqueName="4369" name="Column4360" queryTableFieldId="12025" dataDxfId="12242"/>
    <tableColumn id="4370" uniqueName="4370" name="Column4361" queryTableFieldId="12024" dataDxfId="12241"/>
    <tableColumn id="4371" uniqueName="4371" name="Column4362" queryTableFieldId="12023" dataDxfId="12240"/>
    <tableColumn id="4372" uniqueName="4372" name="Column4363" queryTableFieldId="12022" dataDxfId="12239"/>
    <tableColumn id="4373" uniqueName="4373" name="Column4364" queryTableFieldId="12021" dataDxfId="12238"/>
    <tableColumn id="4374" uniqueName="4374" name="Column4365" queryTableFieldId="12020" dataDxfId="12237"/>
    <tableColumn id="4375" uniqueName="4375" name="Column4366" queryTableFieldId="12019" dataDxfId="12236"/>
    <tableColumn id="4376" uniqueName="4376" name="Column4367" queryTableFieldId="12018" dataDxfId="12235"/>
    <tableColumn id="4377" uniqueName="4377" name="Column4368" queryTableFieldId="12017" dataDxfId="12234"/>
    <tableColumn id="4378" uniqueName="4378" name="Column4369" queryTableFieldId="12016" dataDxfId="12233"/>
    <tableColumn id="4379" uniqueName="4379" name="Column4370" queryTableFieldId="12015" dataDxfId="12232"/>
    <tableColumn id="4380" uniqueName="4380" name="Column4371" queryTableFieldId="12014" dataDxfId="12231"/>
    <tableColumn id="4381" uniqueName="4381" name="Column4372" queryTableFieldId="12013" dataDxfId="12230"/>
    <tableColumn id="4382" uniqueName="4382" name="Column4373" queryTableFieldId="12012" dataDxfId="12229"/>
    <tableColumn id="4383" uniqueName="4383" name="Column4374" queryTableFieldId="12011" dataDxfId="12228"/>
    <tableColumn id="4384" uniqueName="4384" name="Column4375" queryTableFieldId="12010" dataDxfId="12227"/>
    <tableColumn id="4385" uniqueName="4385" name="Column4376" queryTableFieldId="12009" dataDxfId="12226"/>
    <tableColumn id="4386" uniqueName="4386" name="Column4377" queryTableFieldId="12008" dataDxfId="12225"/>
    <tableColumn id="4387" uniqueName="4387" name="Column4378" queryTableFieldId="12007" dataDxfId="12224"/>
    <tableColumn id="4388" uniqueName="4388" name="Column4379" queryTableFieldId="12006" dataDxfId="12223"/>
    <tableColumn id="4389" uniqueName="4389" name="Column4380" queryTableFieldId="12005" dataDxfId="12222"/>
    <tableColumn id="4390" uniqueName="4390" name="Column4381" queryTableFieldId="12004" dataDxfId="12221"/>
    <tableColumn id="4391" uniqueName="4391" name="Column4382" queryTableFieldId="12003" dataDxfId="12220"/>
    <tableColumn id="4392" uniqueName="4392" name="Column4383" queryTableFieldId="12002" dataDxfId="12219"/>
    <tableColumn id="4393" uniqueName="4393" name="Column4384" queryTableFieldId="12001" dataDxfId="12218"/>
    <tableColumn id="4394" uniqueName="4394" name="Column4385" queryTableFieldId="12000" dataDxfId="12217"/>
    <tableColumn id="4395" uniqueName="4395" name="Column4386" queryTableFieldId="11999" dataDxfId="12216"/>
    <tableColumn id="4396" uniqueName="4396" name="Column4387" queryTableFieldId="11998" dataDxfId="12215"/>
    <tableColumn id="4397" uniqueName="4397" name="Column4388" queryTableFieldId="11997" dataDxfId="12214"/>
    <tableColumn id="4398" uniqueName="4398" name="Column4389" queryTableFieldId="11996" dataDxfId="12213"/>
    <tableColumn id="4399" uniqueName="4399" name="Column4390" queryTableFieldId="11995" dataDxfId="12212"/>
    <tableColumn id="4400" uniqueName="4400" name="Column4391" queryTableFieldId="11994" dataDxfId="12211"/>
    <tableColumn id="4401" uniqueName="4401" name="Column4392" queryTableFieldId="11993" dataDxfId="12210"/>
    <tableColumn id="4402" uniqueName="4402" name="Column4393" queryTableFieldId="11992" dataDxfId="12209"/>
    <tableColumn id="4403" uniqueName="4403" name="Column4394" queryTableFieldId="11991" dataDxfId="12208"/>
    <tableColumn id="4404" uniqueName="4404" name="Column4395" queryTableFieldId="11990" dataDxfId="12207"/>
    <tableColumn id="4405" uniqueName="4405" name="Column4396" queryTableFieldId="11989" dataDxfId="12206"/>
    <tableColumn id="4406" uniqueName="4406" name="Column4397" queryTableFieldId="11988" dataDxfId="12205"/>
    <tableColumn id="4407" uniqueName="4407" name="Column4398" queryTableFieldId="11987" dataDxfId="12204"/>
    <tableColumn id="4408" uniqueName="4408" name="Column4399" queryTableFieldId="11986" dataDxfId="12203"/>
    <tableColumn id="4409" uniqueName="4409" name="Column4400" queryTableFieldId="11985" dataDxfId="12202"/>
    <tableColumn id="4410" uniqueName="4410" name="Column4401" queryTableFieldId="11984" dataDxfId="12201"/>
    <tableColumn id="4411" uniqueName="4411" name="Column4402" queryTableFieldId="11983" dataDxfId="12200"/>
    <tableColumn id="4412" uniqueName="4412" name="Column4403" queryTableFieldId="11982" dataDxfId="12199"/>
    <tableColumn id="4413" uniqueName="4413" name="Column4404" queryTableFieldId="11981" dataDxfId="12198"/>
    <tableColumn id="4414" uniqueName="4414" name="Column4405" queryTableFieldId="11980" dataDxfId="12197"/>
    <tableColumn id="4415" uniqueName="4415" name="Column4406" queryTableFieldId="11979" dataDxfId="12196"/>
    <tableColumn id="4416" uniqueName="4416" name="Column4407" queryTableFieldId="11978" dataDxfId="12195"/>
    <tableColumn id="4417" uniqueName="4417" name="Column4408" queryTableFieldId="11977" dataDxfId="12194"/>
    <tableColumn id="4418" uniqueName="4418" name="Column4409" queryTableFieldId="11976" dataDxfId="12193"/>
    <tableColumn id="4419" uniqueName="4419" name="Column4410" queryTableFieldId="11975" dataDxfId="12192"/>
    <tableColumn id="4420" uniqueName="4420" name="Column4411" queryTableFieldId="11974" dataDxfId="12191"/>
    <tableColumn id="4421" uniqueName="4421" name="Column4412" queryTableFieldId="11973" dataDxfId="12190"/>
    <tableColumn id="4422" uniqueName="4422" name="Column4413" queryTableFieldId="11972" dataDxfId="12189"/>
    <tableColumn id="4423" uniqueName="4423" name="Column4414" queryTableFieldId="11971" dataDxfId="12188"/>
    <tableColumn id="4424" uniqueName="4424" name="Column4415" queryTableFieldId="11970" dataDxfId="12187"/>
    <tableColumn id="4425" uniqueName="4425" name="Column4416" queryTableFieldId="11969" dataDxfId="12186"/>
    <tableColumn id="4426" uniqueName="4426" name="Column4417" queryTableFieldId="11968" dataDxfId="12185"/>
    <tableColumn id="4427" uniqueName="4427" name="Column4418" queryTableFieldId="11967" dataDxfId="12184"/>
    <tableColumn id="4428" uniqueName="4428" name="Column4419" queryTableFieldId="11966" dataDxfId="12183"/>
    <tableColumn id="4429" uniqueName="4429" name="Column4420" queryTableFieldId="11965" dataDxfId="12182"/>
    <tableColumn id="4430" uniqueName="4430" name="Column4421" queryTableFieldId="11964" dataDxfId="12181"/>
    <tableColumn id="4431" uniqueName="4431" name="Column4422" queryTableFieldId="11963" dataDxfId="12180"/>
    <tableColumn id="4432" uniqueName="4432" name="Column4423" queryTableFieldId="11962" dataDxfId="12179"/>
    <tableColumn id="4433" uniqueName="4433" name="Column4424" queryTableFieldId="11961" dataDxfId="12178"/>
    <tableColumn id="4434" uniqueName="4434" name="Column4425" queryTableFieldId="11960" dataDxfId="12177"/>
    <tableColumn id="4435" uniqueName="4435" name="Column4426" queryTableFieldId="11959" dataDxfId="12176"/>
    <tableColumn id="4436" uniqueName="4436" name="Column4427" queryTableFieldId="11958" dataDxfId="12175"/>
    <tableColumn id="4437" uniqueName="4437" name="Column4428" queryTableFieldId="11957" dataDxfId="12174"/>
    <tableColumn id="4438" uniqueName="4438" name="Column4429" queryTableFieldId="11956" dataDxfId="12173"/>
    <tableColumn id="4439" uniqueName="4439" name="Column4430" queryTableFieldId="11955" dataDxfId="12172"/>
    <tableColumn id="4440" uniqueName="4440" name="Column4431" queryTableFieldId="11954" dataDxfId="12171"/>
    <tableColumn id="4441" uniqueName="4441" name="Column4432" queryTableFieldId="11953" dataDxfId="12170"/>
    <tableColumn id="4442" uniqueName="4442" name="Column4433" queryTableFieldId="11952" dataDxfId="12169"/>
    <tableColumn id="4443" uniqueName="4443" name="Column4434" queryTableFieldId="11951" dataDxfId="12168"/>
    <tableColumn id="4444" uniqueName="4444" name="Column4435" queryTableFieldId="11950" dataDxfId="12167"/>
    <tableColumn id="4445" uniqueName="4445" name="Column4436" queryTableFieldId="11949" dataDxfId="12166"/>
    <tableColumn id="4446" uniqueName="4446" name="Column4437" queryTableFieldId="11948" dataDxfId="12165"/>
    <tableColumn id="4447" uniqueName="4447" name="Column4438" queryTableFieldId="11947" dataDxfId="12164"/>
    <tableColumn id="4448" uniqueName="4448" name="Column4439" queryTableFieldId="11946" dataDxfId="12163"/>
    <tableColumn id="4449" uniqueName="4449" name="Column4440" queryTableFieldId="11945" dataDxfId="12162"/>
    <tableColumn id="4450" uniqueName="4450" name="Column4441" queryTableFieldId="11944" dataDxfId="12161"/>
    <tableColumn id="4451" uniqueName="4451" name="Column4442" queryTableFieldId="11943" dataDxfId="12160"/>
    <tableColumn id="4452" uniqueName="4452" name="Column4443" queryTableFieldId="11942" dataDxfId="12159"/>
    <tableColumn id="4453" uniqueName="4453" name="Column4444" queryTableFieldId="11941" dataDxfId="12158"/>
    <tableColumn id="4454" uniqueName="4454" name="Column4445" queryTableFieldId="11940" dataDxfId="12157"/>
    <tableColumn id="4455" uniqueName="4455" name="Column4446" queryTableFieldId="11939" dataDxfId="12156"/>
    <tableColumn id="4456" uniqueName="4456" name="Column4447" queryTableFieldId="11938" dataDxfId="12155"/>
    <tableColumn id="4457" uniqueName="4457" name="Column4448" queryTableFieldId="11937" dataDxfId="12154"/>
    <tableColumn id="4458" uniqueName="4458" name="Column4449" queryTableFieldId="11936" dataDxfId="12153"/>
    <tableColumn id="4459" uniqueName="4459" name="Column4450" queryTableFieldId="11935" dataDxfId="12152"/>
    <tableColumn id="4460" uniqueName="4460" name="Column4451" queryTableFieldId="11934" dataDxfId="12151"/>
    <tableColumn id="4461" uniqueName="4461" name="Column4452" queryTableFieldId="11933" dataDxfId="12150"/>
    <tableColumn id="4462" uniqueName="4462" name="Column4453" queryTableFieldId="11932" dataDxfId="12149"/>
    <tableColumn id="4463" uniqueName="4463" name="Column4454" queryTableFieldId="11931" dataDxfId="12148"/>
    <tableColumn id="4464" uniqueName="4464" name="Column4455" queryTableFieldId="11930" dataDxfId="12147"/>
    <tableColumn id="4465" uniqueName="4465" name="Column4456" queryTableFieldId="11929" dataDxfId="12146"/>
    <tableColumn id="4466" uniqueName="4466" name="Column4457" queryTableFieldId="11928" dataDxfId="12145"/>
    <tableColumn id="4467" uniqueName="4467" name="Column4458" queryTableFieldId="11927" dataDxfId="12144"/>
    <tableColumn id="4468" uniqueName="4468" name="Column4459" queryTableFieldId="11926" dataDxfId="12143"/>
    <tableColumn id="4469" uniqueName="4469" name="Column4460" queryTableFieldId="11925" dataDxfId="12142"/>
    <tableColumn id="4470" uniqueName="4470" name="Column4461" queryTableFieldId="11924" dataDxfId="12141"/>
    <tableColumn id="4471" uniqueName="4471" name="Column4462" queryTableFieldId="11923" dataDxfId="12140"/>
    <tableColumn id="4472" uniqueName="4472" name="Column4463" queryTableFieldId="11922" dataDxfId="12139"/>
    <tableColumn id="4473" uniqueName="4473" name="Column4464" queryTableFieldId="11921" dataDxfId="12138"/>
    <tableColumn id="4474" uniqueName="4474" name="Column4465" queryTableFieldId="11920" dataDxfId="12137"/>
    <tableColumn id="4475" uniqueName="4475" name="Column4466" queryTableFieldId="11919" dataDxfId="12136"/>
    <tableColumn id="4476" uniqueName="4476" name="Column4467" queryTableFieldId="11918" dataDxfId="12135"/>
    <tableColumn id="4477" uniqueName="4477" name="Column4468" queryTableFieldId="11917" dataDxfId="12134"/>
    <tableColumn id="4478" uniqueName="4478" name="Column4469" queryTableFieldId="11916" dataDxfId="12133"/>
    <tableColumn id="4479" uniqueName="4479" name="Column4470" queryTableFieldId="11915" dataDxfId="12132"/>
    <tableColumn id="4480" uniqueName="4480" name="Column4471" queryTableFieldId="11914" dataDxfId="12131"/>
    <tableColumn id="4481" uniqueName="4481" name="Column4472" queryTableFieldId="11913" dataDxfId="12130"/>
    <tableColumn id="4482" uniqueName="4482" name="Column4473" queryTableFieldId="11912" dataDxfId="12129"/>
    <tableColumn id="4483" uniqueName="4483" name="Column4474" queryTableFieldId="11911" dataDxfId="12128"/>
    <tableColumn id="4484" uniqueName="4484" name="Column4475" queryTableFieldId="11910" dataDxfId="12127"/>
    <tableColumn id="4485" uniqueName="4485" name="Column4476" queryTableFieldId="11909" dataDxfId="12126"/>
    <tableColumn id="4486" uniqueName="4486" name="Column4477" queryTableFieldId="11908" dataDxfId="12125"/>
    <tableColumn id="4487" uniqueName="4487" name="Column4478" queryTableFieldId="11907" dataDxfId="12124"/>
    <tableColumn id="4488" uniqueName="4488" name="Column4479" queryTableFieldId="11906" dataDxfId="12123"/>
    <tableColumn id="4489" uniqueName="4489" name="Column4480" queryTableFieldId="11905" dataDxfId="12122"/>
    <tableColumn id="4490" uniqueName="4490" name="Column4481" queryTableFieldId="11904" dataDxfId="12121"/>
    <tableColumn id="4491" uniqueName="4491" name="Column4482" queryTableFieldId="11903" dataDxfId="12120"/>
    <tableColumn id="4492" uniqueName="4492" name="Column4483" queryTableFieldId="11902" dataDxfId="12119"/>
    <tableColumn id="4493" uniqueName="4493" name="Column4484" queryTableFieldId="11901" dataDxfId="12118"/>
    <tableColumn id="4494" uniqueName="4494" name="Column4485" queryTableFieldId="11900" dataDxfId="12117"/>
    <tableColumn id="4495" uniqueName="4495" name="Column4486" queryTableFieldId="11899" dataDxfId="12116"/>
    <tableColumn id="4496" uniqueName="4496" name="Column4487" queryTableFieldId="11898" dataDxfId="12115"/>
    <tableColumn id="4497" uniqueName="4497" name="Column4488" queryTableFieldId="11897" dataDxfId="12114"/>
    <tableColumn id="4498" uniqueName="4498" name="Column4489" queryTableFieldId="11896" dataDxfId="12113"/>
    <tableColumn id="4499" uniqueName="4499" name="Column4490" queryTableFieldId="11895" dataDxfId="12112"/>
    <tableColumn id="4500" uniqueName="4500" name="Column4491" queryTableFieldId="11894" dataDxfId="12111"/>
    <tableColumn id="4501" uniqueName="4501" name="Column4492" queryTableFieldId="11893" dataDxfId="12110"/>
    <tableColumn id="4502" uniqueName="4502" name="Column4493" queryTableFieldId="11892" dataDxfId="12109"/>
    <tableColumn id="4503" uniqueName="4503" name="Column4494" queryTableFieldId="11891" dataDxfId="12108"/>
    <tableColumn id="4504" uniqueName="4504" name="Column4495" queryTableFieldId="11890" dataDxfId="12107"/>
    <tableColumn id="4505" uniqueName="4505" name="Column4496" queryTableFieldId="11889" dataDxfId="12106"/>
    <tableColumn id="4506" uniqueName="4506" name="Column4497" queryTableFieldId="11888" dataDxfId="12105"/>
    <tableColumn id="4507" uniqueName="4507" name="Column4498" queryTableFieldId="11887" dataDxfId="12104"/>
    <tableColumn id="4508" uniqueName="4508" name="Column4499" queryTableFieldId="11886" dataDxfId="12103"/>
    <tableColumn id="4509" uniqueName="4509" name="Column4500" queryTableFieldId="11885" dataDxfId="12102"/>
    <tableColumn id="4510" uniqueName="4510" name="Column4501" queryTableFieldId="11884" dataDxfId="12101"/>
    <tableColumn id="4511" uniqueName="4511" name="Column4502" queryTableFieldId="11883" dataDxfId="12100"/>
    <tableColumn id="4512" uniqueName="4512" name="Column4503" queryTableFieldId="11882" dataDxfId="12099"/>
    <tableColumn id="4513" uniqueName="4513" name="Column4504" queryTableFieldId="11881" dataDxfId="12098"/>
    <tableColumn id="4514" uniqueName="4514" name="Column4505" queryTableFieldId="11880" dataDxfId="12097"/>
    <tableColumn id="4515" uniqueName="4515" name="Column4506" queryTableFieldId="11879" dataDxfId="12096"/>
    <tableColumn id="4516" uniqueName="4516" name="Column4507" queryTableFieldId="11878" dataDxfId="12095"/>
    <tableColumn id="4517" uniqueName="4517" name="Column4508" queryTableFieldId="11877" dataDxfId="12094"/>
    <tableColumn id="4518" uniqueName="4518" name="Column4509" queryTableFieldId="11876" dataDxfId="12093"/>
    <tableColumn id="4519" uniqueName="4519" name="Column4510" queryTableFieldId="11875" dataDxfId="12092"/>
    <tableColumn id="4520" uniqueName="4520" name="Column4511" queryTableFieldId="11874" dataDxfId="12091"/>
    <tableColumn id="4521" uniqueName="4521" name="Column4512" queryTableFieldId="11873" dataDxfId="12090"/>
    <tableColumn id="4522" uniqueName="4522" name="Column4513" queryTableFieldId="11872" dataDxfId="12089"/>
    <tableColumn id="4523" uniqueName="4523" name="Column4514" queryTableFieldId="11871" dataDxfId="12088"/>
    <tableColumn id="4524" uniqueName="4524" name="Column4515" queryTableFieldId="11870" dataDxfId="12087"/>
    <tableColumn id="4525" uniqueName="4525" name="Column4516" queryTableFieldId="11869" dataDxfId="12086"/>
    <tableColumn id="4526" uniqueName="4526" name="Column4517" queryTableFieldId="11868" dataDxfId="12085"/>
    <tableColumn id="4527" uniqueName="4527" name="Column4518" queryTableFieldId="11867" dataDxfId="12084"/>
    <tableColumn id="4528" uniqueName="4528" name="Column4519" queryTableFieldId="11866" dataDxfId="12083"/>
    <tableColumn id="4529" uniqueName="4529" name="Column4520" queryTableFieldId="11865" dataDxfId="12082"/>
    <tableColumn id="4530" uniqueName="4530" name="Column4521" queryTableFieldId="11864" dataDxfId="12081"/>
    <tableColumn id="4531" uniqueName="4531" name="Column4522" queryTableFieldId="11863" dataDxfId="12080"/>
    <tableColumn id="4532" uniqueName="4532" name="Column4523" queryTableFieldId="11862" dataDxfId="12079"/>
    <tableColumn id="4533" uniqueName="4533" name="Column4524" queryTableFieldId="11861" dataDxfId="12078"/>
    <tableColumn id="4534" uniqueName="4534" name="Column4525" queryTableFieldId="11860" dataDxfId="12077"/>
    <tableColumn id="4535" uniqueName="4535" name="Column4526" queryTableFieldId="11859" dataDxfId="12076"/>
    <tableColumn id="4536" uniqueName="4536" name="Column4527" queryTableFieldId="11858" dataDxfId="12075"/>
    <tableColumn id="4537" uniqueName="4537" name="Column4528" queryTableFieldId="11857" dataDxfId="12074"/>
    <tableColumn id="4538" uniqueName="4538" name="Column4529" queryTableFieldId="11856" dataDxfId="12073"/>
    <tableColumn id="4539" uniqueName="4539" name="Column4530" queryTableFieldId="11855" dataDxfId="12072"/>
    <tableColumn id="4540" uniqueName="4540" name="Column4531" queryTableFieldId="11854" dataDxfId="12071"/>
    <tableColumn id="4541" uniqueName="4541" name="Column4532" queryTableFieldId="11853" dataDxfId="12070"/>
    <tableColumn id="4542" uniqueName="4542" name="Column4533" queryTableFieldId="11852" dataDxfId="12069"/>
    <tableColumn id="4543" uniqueName="4543" name="Column4534" queryTableFieldId="11851" dataDxfId="12068"/>
    <tableColumn id="4544" uniqueName="4544" name="Column4535" queryTableFieldId="11850" dataDxfId="12067"/>
    <tableColumn id="4545" uniqueName="4545" name="Column4536" queryTableFieldId="11849" dataDxfId="12066"/>
    <tableColumn id="4546" uniqueName="4546" name="Column4537" queryTableFieldId="11848" dataDxfId="12065"/>
    <tableColumn id="4547" uniqueName="4547" name="Column4538" queryTableFieldId="11847" dataDxfId="12064"/>
    <tableColumn id="4548" uniqueName="4548" name="Column4539" queryTableFieldId="11846" dataDxfId="12063"/>
    <tableColumn id="4549" uniqueName="4549" name="Column4540" queryTableFieldId="11845" dataDxfId="12062"/>
    <tableColumn id="4550" uniqueName="4550" name="Column4541" queryTableFieldId="11844" dataDxfId="12061"/>
    <tableColumn id="4551" uniqueName="4551" name="Column4542" queryTableFieldId="11843" dataDxfId="12060"/>
    <tableColumn id="4552" uniqueName="4552" name="Column4543" queryTableFieldId="11842" dataDxfId="12059"/>
    <tableColumn id="4553" uniqueName="4553" name="Column4544" queryTableFieldId="11841" dataDxfId="12058"/>
    <tableColumn id="4554" uniqueName="4554" name="Column4545" queryTableFieldId="11840" dataDxfId="12057"/>
    <tableColumn id="4555" uniqueName="4555" name="Column4546" queryTableFieldId="11839" dataDxfId="12056"/>
    <tableColumn id="4556" uniqueName="4556" name="Column4547" queryTableFieldId="11838" dataDxfId="12055"/>
    <tableColumn id="4557" uniqueName="4557" name="Column4548" queryTableFieldId="11837" dataDxfId="12054"/>
    <tableColumn id="4558" uniqueName="4558" name="Column4549" queryTableFieldId="11836" dataDxfId="12053"/>
    <tableColumn id="4559" uniqueName="4559" name="Column4550" queryTableFieldId="11835" dataDxfId="12052"/>
    <tableColumn id="4560" uniqueName="4560" name="Column4551" queryTableFieldId="11834" dataDxfId="12051"/>
    <tableColumn id="4561" uniqueName="4561" name="Column4552" queryTableFieldId="11833" dataDxfId="12050"/>
    <tableColumn id="4562" uniqueName="4562" name="Column4553" queryTableFieldId="11832" dataDxfId="12049"/>
    <tableColumn id="4563" uniqueName="4563" name="Column4554" queryTableFieldId="11831" dataDxfId="12048"/>
    <tableColumn id="4564" uniqueName="4564" name="Column4555" queryTableFieldId="11830" dataDxfId="12047"/>
    <tableColumn id="4565" uniqueName="4565" name="Column4556" queryTableFieldId="11829" dataDxfId="12046"/>
    <tableColumn id="4566" uniqueName="4566" name="Column4557" queryTableFieldId="11828" dataDxfId="12045"/>
    <tableColumn id="4567" uniqueName="4567" name="Column4558" queryTableFieldId="11827" dataDxfId="12044"/>
    <tableColumn id="4568" uniqueName="4568" name="Column4559" queryTableFieldId="11826" dataDxfId="12043"/>
    <tableColumn id="4569" uniqueName="4569" name="Column4560" queryTableFieldId="11825" dataDxfId="12042"/>
    <tableColumn id="4570" uniqueName="4570" name="Column4561" queryTableFieldId="11824" dataDxfId="12041"/>
    <tableColumn id="4571" uniqueName="4571" name="Column4562" queryTableFieldId="11823" dataDxfId="12040"/>
    <tableColumn id="4572" uniqueName="4572" name="Column4563" queryTableFieldId="11822" dataDxfId="12039"/>
    <tableColumn id="4573" uniqueName="4573" name="Column4564" queryTableFieldId="11821" dataDxfId="12038"/>
    <tableColumn id="4574" uniqueName="4574" name="Column4565" queryTableFieldId="11820" dataDxfId="12037"/>
    <tableColumn id="4575" uniqueName="4575" name="Column4566" queryTableFieldId="11819" dataDxfId="12036"/>
    <tableColumn id="4576" uniqueName="4576" name="Column4567" queryTableFieldId="11818" dataDxfId="12035"/>
    <tableColumn id="4577" uniqueName="4577" name="Column4568" queryTableFieldId="11817" dataDxfId="12034"/>
    <tableColumn id="4578" uniqueName="4578" name="Column4569" queryTableFieldId="11816" dataDxfId="12033"/>
    <tableColumn id="4579" uniqueName="4579" name="Column4570" queryTableFieldId="11815" dataDxfId="12032"/>
    <tableColumn id="4580" uniqueName="4580" name="Column4571" queryTableFieldId="11814" dataDxfId="12031"/>
    <tableColumn id="4581" uniqueName="4581" name="Column4572" queryTableFieldId="11813" dataDxfId="12030"/>
    <tableColumn id="4582" uniqueName="4582" name="Column4573" queryTableFieldId="11812" dataDxfId="12029"/>
    <tableColumn id="4583" uniqueName="4583" name="Column4574" queryTableFieldId="11811" dataDxfId="12028"/>
    <tableColumn id="4584" uniqueName="4584" name="Column4575" queryTableFieldId="11810" dataDxfId="12027"/>
    <tableColumn id="4585" uniqueName="4585" name="Column4576" queryTableFieldId="11809" dataDxfId="12026"/>
    <tableColumn id="4586" uniqueName="4586" name="Column4577" queryTableFieldId="11808" dataDxfId="12025"/>
    <tableColumn id="4587" uniqueName="4587" name="Column4578" queryTableFieldId="11807" dataDxfId="12024"/>
    <tableColumn id="4588" uniqueName="4588" name="Column4579" queryTableFieldId="11806" dataDxfId="12023"/>
    <tableColumn id="4589" uniqueName="4589" name="Column4580" queryTableFieldId="11805" dataDxfId="12022"/>
    <tableColumn id="4590" uniqueName="4590" name="Column4581" queryTableFieldId="11804" dataDxfId="12021"/>
    <tableColumn id="4591" uniqueName="4591" name="Column4582" queryTableFieldId="11803" dataDxfId="12020"/>
    <tableColumn id="4592" uniqueName="4592" name="Column4583" queryTableFieldId="11802" dataDxfId="12019"/>
    <tableColumn id="4593" uniqueName="4593" name="Column4584" queryTableFieldId="11801" dataDxfId="12018"/>
    <tableColumn id="4594" uniqueName="4594" name="Column4585" queryTableFieldId="11800" dataDxfId="12017"/>
    <tableColumn id="4595" uniqueName="4595" name="Column4586" queryTableFieldId="11799" dataDxfId="12016"/>
    <tableColumn id="4596" uniqueName="4596" name="Column4587" queryTableFieldId="11798" dataDxfId="12015"/>
    <tableColumn id="4597" uniqueName="4597" name="Column4588" queryTableFieldId="11797" dataDxfId="12014"/>
    <tableColumn id="4598" uniqueName="4598" name="Column4589" queryTableFieldId="11796" dataDxfId="12013"/>
    <tableColumn id="4599" uniqueName="4599" name="Column4590" queryTableFieldId="11795" dataDxfId="12012"/>
    <tableColumn id="4600" uniqueName="4600" name="Column4591" queryTableFieldId="11794" dataDxfId="12011"/>
    <tableColumn id="4601" uniqueName="4601" name="Column4592" queryTableFieldId="11793" dataDxfId="12010"/>
    <tableColumn id="4602" uniqueName="4602" name="Column4593" queryTableFieldId="11792" dataDxfId="12009"/>
    <tableColumn id="4603" uniqueName="4603" name="Column4594" queryTableFieldId="11791" dataDxfId="12008"/>
    <tableColumn id="4604" uniqueName="4604" name="Column4595" queryTableFieldId="11790" dataDxfId="12007"/>
    <tableColumn id="4605" uniqueName="4605" name="Column4596" queryTableFieldId="11789" dataDxfId="12006"/>
    <tableColumn id="4606" uniqueName="4606" name="Column4597" queryTableFieldId="11788" dataDxfId="12005"/>
    <tableColumn id="4607" uniqueName="4607" name="Column4598" queryTableFieldId="11787" dataDxfId="12004"/>
    <tableColumn id="4608" uniqueName="4608" name="Column4599" queryTableFieldId="11786" dataDxfId="12003"/>
    <tableColumn id="4609" uniqueName="4609" name="Column4600" queryTableFieldId="11785" dataDxfId="12002"/>
    <tableColumn id="4610" uniqueName="4610" name="Column4601" queryTableFieldId="11784" dataDxfId="12001"/>
    <tableColumn id="4611" uniqueName="4611" name="Column4602" queryTableFieldId="11783" dataDxfId="12000"/>
    <tableColumn id="4612" uniqueName="4612" name="Column4603" queryTableFieldId="11782" dataDxfId="11999"/>
    <tableColumn id="4613" uniqueName="4613" name="Column4604" queryTableFieldId="11781" dataDxfId="11998"/>
    <tableColumn id="4614" uniqueName="4614" name="Column4605" queryTableFieldId="11780" dataDxfId="11997"/>
    <tableColumn id="4615" uniqueName="4615" name="Column4606" queryTableFieldId="11779" dataDxfId="11996"/>
    <tableColumn id="4616" uniqueName="4616" name="Column4607" queryTableFieldId="11778" dataDxfId="11995"/>
    <tableColumn id="4617" uniqueName="4617" name="Column4608" queryTableFieldId="11777" dataDxfId="11994"/>
    <tableColumn id="4618" uniqueName="4618" name="Column4609" queryTableFieldId="11776" dataDxfId="11993"/>
    <tableColumn id="4619" uniqueName="4619" name="Column4610" queryTableFieldId="11775" dataDxfId="11992"/>
    <tableColumn id="4620" uniqueName="4620" name="Column4611" queryTableFieldId="11774" dataDxfId="11991"/>
    <tableColumn id="4621" uniqueName="4621" name="Column4612" queryTableFieldId="11773" dataDxfId="11990"/>
    <tableColumn id="4622" uniqueName="4622" name="Column4613" queryTableFieldId="11772" dataDxfId="11989"/>
    <tableColumn id="4623" uniqueName="4623" name="Column4614" queryTableFieldId="11771" dataDxfId="11988"/>
    <tableColumn id="4624" uniqueName="4624" name="Column4615" queryTableFieldId="11770" dataDxfId="11987"/>
    <tableColumn id="4625" uniqueName="4625" name="Column4616" queryTableFieldId="11769" dataDxfId="11986"/>
    <tableColumn id="4626" uniqueName="4626" name="Column4617" queryTableFieldId="11768" dataDxfId="11985"/>
    <tableColumn id="4627" uniqueName="4627" name="Column4618" queryTableFieldId="11767" dataDxfId="11984"/>
    <tableColumn id="4628" uniqueName="4628" name="Column4619" queryTableFieldId="11766" dataDxfId="11983"/>
    <tableColumn id="4629" uniqueName="4629" name="Column4620" queryTableFieldId="11765" dataDxfId="11982"/>
    <tableColumn id="4630" uniqueName="4630" name="Column4621" queryTableFieldId="11764" dataDxfId="11981"/>
    <tableColumn id="4631" uniqueName="4631" name="Column4622" queryTableFieldId="11763" dataDxfId="11980"/>
    <tableColumn id="4632" uniqueName="4632" name="Column4623" queryTableFieldId="11762" dataDxfId="11979"/>
    <tableColumn id="4633" uniqueName="4633" name="Column4624" queryTableFieldId="11761" dataDxfId="11978"/>
    <tableColumn id="4634" uniqueName="4634" name="Column4625" queryTableFieldId="11760" dataDxfId="11977"/>
    <tableColumn id="4635" uniqueName="4635" name="Column4626" queryTableFieldId="11759" dataDxfId="11976"/>
    <tableColumn id="4636" uniqueName="4636" name="Column4627" queryTableFieldId="11758" dataDxfId="11975"/>
    <tableColumn id="4637" uniqueName="4637" name="Column4628" queryTableFieldId="11757" dataDxfId="11974"/>
    <tableColumn id="4638" uniqueName="4638" name="Column4629" queryTableFieldId="11756" dataDxfId="11973"/>
    <tableColumn id="4639" uniqueName="4639" name="Column4630" queryTableFieldId="11755" dataDxfId="11972"/>
    <tableColumn id="4640" uniqueName="4640" name="Column4631" queryTableFieldId="11754" dataDxfId="11971"/>
    <tableColumn id="4641" uniqueName="4641" name="Column4632" queryTableFieldId="11753" dataDxfId="11970"/>
    <tableColumn id="4642" uniqueName="4642" name="Column4633" queryTableFieldId="11752" dataDxfId="11969"/>
    <tableColumn id="4643" uniqueName="4643" name="Column4634" queryTableFieldId="11751" dataDxfId="11968"/>
    <tableColumn id="4644" uniqueName="4644" name="Column4635" queryTableFieldId="11750" dataDxfId="11967"/>
    <tableColumn id="4645" uniqueName="4645" name="Column4636" queryTableFieldId="11749" dataDxfId="11966"/>
    <tableColumn id="4646" uniqueName="4646" name="Column4637" queryTableFieldId="11748" dataDxfId="11965"/>
    <tableColumn id="4647" uniqueName="4647" name="Column4638" queryTableFieldId="11747" dataDxfId="11964"/>
    <tableColumn id="4648" uniqueName="4648" name="Column4639" queryTableFieldId="11746" dataDxfId="11963"/>
    <tableColumn id="4649" uniqueName="4649" name="Column4640" queryTableFieldId="11745" dataDxfId="11962"/>
    <tableColumn id="4650" uniqueName="4650" name="Column4641" queryTableFieldId="11744" dataDxfId="11961"/>
    <tableColumn id="4651" uniqueName="4651" name="Column4642" queryTableFieldId="11743" dataDxfId="11960"/>
    <tableColumn id="4652" uniqueName="4652" name="Column4643" queryTableFieldId="11742" dataDxfId="11959"/>
    <tableColumn id="4653" uniqueName="4653" name="Column4644" queryTableFieldId="11741" dataDxfId="11958"/>
    <tableColumn id="4654" uniqueName="4654" name="Column4645" queryTableFieldId="11740" dataDxfId="11957"/>
    <tableColumn id="4655" uniqueName="4655" name="Column4646" queryTableFieldId="11739" dataDxfId="11956"/>
    <tableColumn id="4656" uniqueName="4656" name="Column4647" queryTableFieldId="11738" dataDxfId="11955"/>
    <tableColumn id="4657" uniqueName="4657" name="Column4648" queryTableFieldId="11737" dataDxfId="11954"/>
    <tableColumn id="4658" uniqueName="4658" name="Column4649" queryTableFieldId="11736" dataDxfId="11953"/>
    <tableColumn id="4659" uniqueName="4659" name="Column4650" queryTableFieldId="11735" dataDxfId="11952"/>
    <tableColumn id="4660" uniqueName="4660" name="Column4651" queryTableFieldId="11734" dataDxfId="11951"/>
    <tableColumn id="4661" uniqueName="4661" name="Column4652" queryTableFieldId="11733" dataDxfId="11950"/>
    <tableColumn id="4662" uniqueName="4662" name="Column4653" queryTableFieldId="11732" dataDxfId="11949"/>
    <tableColumn id="4663" uniqueName="4663" name="Column4654" queryTableFieldId="11731" dataDxfId="11948"/>
    <tableColumn id="4664" uniqueName="4664" name="Column4655" queryTableFieldId="11730" dataDxfId="11947"/>
    <tableColumn id="4665" uniqueName="4665" name="Column4656" queryTableFieldId="11729" dataDxfId="11946"/>
    <tableColumn id="4666" uniqueName="4666" name="Column4657" queryTableFieldId="11728" dataDxfId="11945"/>
    <tableColumn id="4667" uniqueName="4667" name="Column4658" queryTableFieldId="11727" dataDxfId="11944"/>
    <tableColumn id="4668" uniqueName="4668" name="Column4659" queryTableFieldId="11726" dataDxfId="11943"/>
    <tableColumn id="4669" uniqueName="4669" name="Column4660" queryTableFieldId="11725" dataDxfId="11942"/>
    <tableColumn id="4670" uniqueName="4670" name="Column4661" queryTableFieldId="11724" dataDxfId="11941"/>
    <tableColumn id="4671" uniqueName="4671" name="Column4662" queryTableFieldId="11723" dataDxfId="11940"/>
    <tableColumn id="4672" uniqueName="4672" name="Column4663" queryTableFieldId="11722" dataDxfId="11939"/>
    <tableColumn id="4673" uniqueName="4673" name="Column4664" queryTableFieldId="11721" dataDxfId="11938"/>
    <tableColumn id="4674" uniqueName="4674" name="Column4665" queryTableFieldId="11720" dataDxfId="11937"/>
    <tableColumn id="4675" uniqueName="4675" name="Column4666" queryTableFieldId="11719" dataDxfId="11936"/>
    <tableColumn id="4676" uniqueName="4676" name="Column4667" queryTableFieldId="11718" dataDxfId="11935"/>
    <tableColumn id="4677" uniqueName="4677" name="Column4668" queryTableFieldId="11717" dataDxfId="11934"/>
    <tableColumn id="4678" uniqueName="4678" name="Column4669" queryTableFieldId="11716" dataDxfId="11933"/>
    <tableColumn id="4679" uniqueName="4679" name="Column4670" queryTableFieldId="11715" dataDxfId="11932"/>
    <tableColumn id="4680" uniqueName="4680" name="Column4671" queryTableFieldId="11714" dataDxfId="11931"/>
    <tableColumn id="4681" uniqueName="4681" name="Column4672" queryTableFieldId="11713" dataDxfId="11930"/>
    <tableColumn id="4682" uniqueName="4682" name="Column4673" queryTableFieldId="11712" dataDxfId="11929"/>
    <tableColumn id="4683" uniqueName="4683" name="Column4674" queryTableFieldId="11711" dataDxfId="11928"/>
    <tableColumn id="4684" uniqueName="4684" name="Column4675" queryTableFieldId="11710" dataDxfId="11927"/>
    <tableColumn id="4685" uniqueName="4685" name="Column4676" queryTableFieldId="11709" dataDxfId="11926"/>
    <tableColumn id="4686" uniqueName="4686" name="Column4677" queryTableFieldId="11708" dataDxfId="11925"/>
    <tableColumn id="4687" uniqueName="4687" name="Column4678" queryTableFieldId="11707" dataDxfId="11924"/>
    <tableColumn id="4688" uniqueName="4688" name="Column4679" queryTableFieldId="11706" dataDxfId="11923"/>
    <tableColumn id="4689" uniqueName="4689" name="Column4680" queryTableFieldId="11705" dataDxfId="11922"/>
    <tableColumn id="4690" uniqueName="4690" name="Column4681" queryTableFieldId="11704" dataDxfId="11921"/>
    <tableColumn id="4691" uniqueName="4691" name="Column4682" queryTableFieldId="11703" dataDxfId="11920"/>
    <tableColumn id="4692" uniqueName="4692" name="Column4683" queryTableFieldId="11702" dataDxfId="11919"/>
    <tableColumn id="4693" uniqueName="4693" name="Column4684" queryTableFieldId="11701" dataDxfId="11918"/>
    <tableColumn id="4694" uniqueName="4694" name="Column4685" queryTableFieldId="11700" dataDxfId="11917"/>
    <tableColumn id="4695" uniqueName="4695" name="Column4686" queryTableFieldId="11699" dataDxfId="11916"/>
    <tableColumn id="4696" uniqueName="4696" name="Column4687" queryTableFieldId="11698" dataDxfId="11915"/>
    <tableColumn id="4697" uniqueName="4697" name="Column4688" queryTableFieldId="11697" dataDxfId="11914"/>
    <tableColumn id="4698" uniqueName="4698" name="Column4689" queryTableFieldId="11696" dataDxfId="11913"/>
    <tableColumn id="4699" uniqueName="4699" name="Column4690" queryTableFieldId="11695" dataDxfId="11912"/>
    <tableColumn id="4700" uniqueName="4700" name="Column4691" queryTableFieldId="11694" dataDxfId="11911"/>
    <tableColumn id="4701" uniqueName="4701" name="Column4692" queryTableFieldId="11693" dataDxfId="11910"/>
    <tableColumn id="4702" uniqueName="4702" name="Column4693" queryTableFieldId="11692" dataDxfId="11909"/>
    <tableColumn id="4703" uniqueName="4703" name="Column4694" queryTableFieldId="11691" dataDxfId="11908"/>
    <tableColumn id="4704" uniqueName="4704" name="Column4695" queryTableFieldId="11690" dataDxfId="11907"/>
    <tableColumn id="4705" uniqueName="4705" name="Column4696" queryTableFieldId="11689" dataDxfId="11906"/>
    <tableColumn id="4706" uniqueName="4706" name="Column4697" queryTableFieldId="11688" dataDxfId="11905"/>
    <tableColumn id="4707" uniqueName="4707" name="Column4698" queryTableFieldId="11687" dataDxfId="11904"/>
    <tableColumn id="4708" uniqueName="4708" name="Column4699" queryTableFieldId="11686" dataDxfId="11903"/>
    <tableColumn id="4709" uniqueName="4709" name="Column4700" queryTableFieldId="11685" dataDxfId="11902"/>
    <tableColumn id="4710" uniqueName="4710" name="Column4701" queryTableFieldId="11684" dataDxfId="11901"/>
    <tableColumn id="4711" uniqueName="4711" name="Column4702" queryTableFieldId="11683" dataDxfId="11900"/>
    <tableColumn id="4712" uniqueName="4712" name="Column4703" queryTableFieldId="11682" dataDxfId="11899"/>
    <tableColumn id="4713" uniqueName="4713" name="Column4704" queryTableFieldId="11681" dataDxfId="11898"/>
    <tableColumn id="4714" uniqueName="4714" name="Column4705" queryTableFieldId="11680" dataDxfId="11897"/>
    <tableColumn id="4715" uniqueName="4715" name="Column4706" queryTableFieldId="11679" dataDxfId="11896"/>
    <tableColumn id="4716" uniqueName="4716" name="Column4707" queryTableFieldId="11678" dataDxfId="11895"/>
    <tableColumn id="4717" uniqueName="4717" name="Column4708" queryTableFieldId="11677" dataDxfId="11894"/>
    <tableColumn id="4718" uniqueName="4718" name="Column4709" queryTableFieldId="11676" dataDxfId="11893"/>
    <tableColumn id="4719" uniqueName="4719" name="Column4710" queryTableFieldId="11675" dataDxfId="11892"/>
    <tableColumn id="4720" uniqueName="4720" name="Column4711" queryTableFieldId="11674" dataDxfId="11891"/>
    <tableColumn id="4721" uniqueName="4721" name="Column4712" queryTableFieldId="11673" dataDxfId="11890"/>
    <tableColumn id="4722" uniqueName="4722" name="Column4713" queryTableFieldId="11672" dataDxfId="11889"/>
    <tableColumn id="4723" uniqueName="4723" name="Column4714" queryTableFieldId="11671" dataDxfId="11888"/>
    <tableColumn id="4724" uniqueName="4724" name="Column4715" queryTableFieldId="11670" dataDxfId="11887"/>
    <tableColumn id="4725" uniqueName="4725" name="Column4716" queryTableFieldId="11669" dataDxfId="11886"/>
    <tableColumn id="4726" uniqueName="4726" name="Column4717" queryTableFieldId="11668" dataDxfId="11885"/>
    <tableColumn id="4727" uniqueName="4727" name="Column4718" queryTableFieldId="11667" dataDxfId="11884"/>
    <tableColumn id="4728" uniqueName="4728" name="Column4719" queryTableFieldId="11666" dataDxfId="11883"/>
    <tableColumn id="4729" uniqueName="4729" name="Column4720" queryTableFieldId="11665" dataDxfId="11882"/>
    <tableColumn id="4730" uniqueName="4730" name="Column4721" queryTableFieldId="11664" dataDxfId="11881"/>
    <tableColumn id="4731" uniqueName="4731" name="Column4722" queryTableFieldId="11663" dataDxfId="11880"/>
    <tableColumn id="4732" uniqueName="4732" name="Column4723" queryTableFieldId="11662" dataDxfId="11879"/>
    <tableColumn id="4733" uniqueName="4733" name="Column4724" queryTableFieldId="11661" dataDxfId="11878"/>
    <tableColumn id="4734" uniqueName="4734" name="Column4725" queryTableFieldId="11660" dataDxfId="11877"/>
    <tableColumn id="4735" uniqueName="4735" name="Column4726" queryTableFieldId="11659" dataDxfId="11876"/>
    <tableColumn id="4736" uniqueName="4736" name="Column4727" queryTableFieldId="11658" dataDxfId="11875"/>
    <tableColumn id="4737" uniqueName="4737" name="Column4728" queryTableFieldId="11657" dataDxfId="11874"/>
    <tableColumn id="4738" uniqueName="4738" name="Column4729" queryTableFieldId="11656" dataDxfId="11873"/>
    <tableColumn id="4739" uniqueName="4739" name="Column4730" queryTableFieldId="11655" dataDxfId="11872"/>
    <tableColumn id="4740" uniqueName="4740" name="Column4731" queryTableFieldId="11654" dataDxfId="11871"/>
    <tableColumn id="4741" uniqueName="4741" name="Column4732" queryTableFieldId="11653" dataDxfId="11870"/>
    <tableColumn id="4742" uniqueName="4742" name="Column4733" queryTableFieldId="11652" dataDxfId="11869"/>
    <tableColumn id="4743" uniqueName="4743" name="Column4734" queryTableFieldId="11651" dataDxfId="11868"/>
    <tableColumn id="4744" uniqueName="4744" name="Column4735" queryTableFieldId="11650" dataDxfId="11867"/>
    <tableColumn id="4745" uniqueName="4745" name="Column4736" queryTableFieldId="11649" dataDxfId="11866"/>
    <tableColumn id="4746" uniqueName="4746" name="Column4737" queryTableFieldId="11648" dataDxfId="11865"/>
    <tableColumn id="4747" uniqueName="4747" name="Column4738" queryTableFieldId="11647" dataDxfId="11864"/>
    <tableColumn id="4748" uniqueName="4748" name="Column4739" queryTableFieldId="11646" dataDxfId="11863"/>
    <tableColumn id="4749" uniqueName="4749" name="Column4740" queryTableFieldId="11645" dataDxfId="11862"/>
    <tableColumn id="4750" uniqueName="4750" name="Column4741" queryTableFieldId="11644" dataDxfId="11861"/>
    <tableColumn id="4751" uniqueName="4751" name="Column4742" queryTableFieldId="11643" dataDxfId="11860"/>
    <tableColumn id="4752" uniqueName="4752" name="Column4743" queryTableFieldId="11642" dataDxfId="11859"/>
    <tableColumn id="4753" uniqueName="4753" name="Column4744" queryTableFieldId="11641" dataDxfId="11858"/>
    <tableColumn id="4754" uniqueName="4754" name="Column4745" queryTableFieldId="11640" dataDxfId="11857"/>
    <tableColumn id="4755" uniqueName="4755" name="Column4746" queryTableFieldId="11639" dataDxfId="11856"/>
    <tableColumn id="4756" uniqueName="4756" name="Column4747" queryTableFieldId="11638" dataDxfId="11855"/>
    <tableColumn id="4757" uniqueName="4757" name="Column4748" queryTableFieldId="11637" dataDxfId="11854"/>
    <tableColumn id="4758" uniqueName="4758" name="Column4749" queryTableFieldId="11636" dataDxfId="11853"/>
    <tableColumn id="4759" uniqueName="4759" name="Column4750" queryTableFieldId="11635" dataDxfId="11852"/>
    <tableColumn id="4760" uniqueName="4760" name="Column4751" queryTableFieldId="11634" dataDxfId="11851"/>
    <tableColumn id="4761" uniqueName="4761" name="Column4752" queryTableFieldId="11633" dataDxfId="11850"/>
    <tableColumn id="4762" uniqueName="4762" name="Column4753" queryTableFieldId="11632" dataDxfId="11849"/>
    <tableColumn id="4763" uniqueName="4763" name="Column4754" queryTableFieldId="11631" dataDxfId="11848"/>
    <tableColumn id="4764" uniqueName="4764" name="Column4755" queryTableFieldId="11630" dataDxfId="11847"/>
    <tableColumn id="4765" uniqueName="4765" name="Column4756" queryTableFieldId="11629" dataDxfId="11846"/>
    <tableColumn id="4766" uniqueName="4766" name="Column4757" queryTableFieldId="11628" dataDxfId="11845"/>
    <tableColumn id="4767" uniqueName="4767" name="Column4758" queryTableFieldId="11627" dataDxfId="11844"/>
    <tableColumn id="4768" uniqueName="4768" name="Column4759" queryTableFieldId="11626" dataDxfId="11843"/>
    <tableColumn id="4769" uniqueName="4769" name="Column4760" queryTableFieldId="11625" dataDxfId="11842"/>
    <tableColumn id="4770" uniqueName="4770" name="Column4761" queryTableFieldId="11624" dataDxfId="11841"/>
    <tableColumn id="4771" uniqueName="4771" name="Column4762" queryTableFieldId="11623" dataDxfId="11840"/>
    <tableColumn id="4772" uniqueName="4772" name="Column4763" queryTableFieldId="11622" dataDxfId="11839"/>
    <tableColumn id="4773" uniqueName="4773" name="Column4764" queryTableFieldId="11621" dataDxfId="11838"/>
    <tableColumn id="4774" uniqueName="4774" name="Column4765" queryTableFieldId="11620" dataDxfId="11837"/>
    <tableColumn id="4775" uniqueName="4775" name="Column4766" queryTableFieldId="11619" dataDxfId="11836"/>
    <tableColumn id="4776" uniqueName="4776" name="Column4767" queryTableFieldId="11618" dataDxfId="11835"/>
    <tableColumn id="4777" uniqueName="4777" name="Column4768" queryTableFieldId="11617" dataDxfId="11834"/>
    <tableColumn id="4778" uniqueName="4778" name="Column4769" queryTableFieldId="11616" dataDxfId="11833"/>
    <tableColumn id="4779" uniqueName="4779" name="Column4770" queryTableFieldId="11615" dataDxfId="11832"/>
    <tableColumn id="4780" uniqueName="4780" name="Column4771" queryTableFieldId="11614" dataDxfId="11831"/>
    <tableColumn id="4781" uniqueName="4781" name="Column4772" queryTableFieldId="11613" dataDxfId="11830"/>
    <tableColumn id="4782" uniqueName="4782" name="Column4773" queryTableFieldId="11612" dataDxfId="11829"/>
    <tableColumn id="4783" uniqueName="4783" name="Column4774" queryTableFieldId="11611" dataDxfId="11828"/>
    <tableColumn id="4784" uniqueName="4784" name="Column4775" queryTableFieldId="11610" dataDxfId="11827"/>
    <tableColumn id="4785" uniqueName="4785" name="Column4776" queryTableFieldId="11609" dataDxfId="11826"/>
    <tableColumn id="4786" uniqueName="4786" name="Column4777" queryTableFieldId="11608" dataDxfId="11825"/>
    <tableColumn id="4787" uniqueName="4787" name="Column4778" queryTableFieldId="11607" dataDxfId="11824"/>
    <tableColumn id="4788" uniqueName="4788" name="Column4779" queryTableFieldId="11606" dataDxfId="11823"/>
    <tableColumn id="4789" uniqueName="4789" name="Column4780" queryTableFieldId="11605" dataDxfId="11822"/>
    <tableColumn id="4790" uniqueName="4790" name="Column4781" queryTableFieldId="11604" dataDxfId="11821"/>
    <tableColumn id="4791" uniqueName="4791" name="Column4782" queryTableFieldId="11603" dataDxfId="11820"/>
    <tableColumn id="4792" uniqueName="4792" name="Column4783" queryTableFieldId="11602" dataDxfId="11819"/>
    <tableColumn id="4793" uniqueName="4793" name="Column4784" queryTableFieldId="11601" dataDxfId="11818"/>
    <tableColumn id="4794" uniqueName="4794" name="Column4785" queryTableFieldId="11600" dataDxfId="11817"/>
    <tableColumn id="4795" uniqueName="4795" name="Column4786" queryTableFieldId="11599" dataDxfId="11816"/>
    <tableColumn id="4796" uniqueName="4796" name="Column4787" queryTableFieldId="11598" dataDxfId="11815"/>
    <tableColumn id="4797" uniqueName="4797" name="Column4788" queryTableFieldId="11597" dataDxfId="11814"/>
    <tableColumn id="4798" uniqueName="4798" name="Column4789" queryTableFieldId="11596" dataDxfId="11813"/>
    <tableColumn id="4799" uniqueName="4799" name="Column4790" queryTableFieldId="11595" dataDxfId="11812"/>
    <tableColumn id="4800" uniqueName="4800" name="Column4791" queryTableFieldId="11594" dataDxfId="11811"/>
    <tableColumn id="4801" uniqueName="4801" name="Column4792" queryTableFieldId="11593" dataDxfId="11810"/>
    <tableColumn id="4802" uniqueName="4802" name="Column4793" queryTableFieldId="11592" dataDxfId="11809"/>
    <tableColumn id="4803" uniqueName="4803" name="Column4794" queryTableFieldId="11591" dataDxfId="11808"/>
    <tableColumn id="4804" uniqueName="4804" name="Column4795" queryTableFieldId="11590" dataDxfId="11807"/>
    <tableColumn id="4805" uniqueName="4805" name="Column4796" queryTableFieldId="11589" dataDxfId="11806"/>
    <tableColumn id="4806" uniqueName="4806" name="Column4797" queryTableFieldId="11588" dataDxfId="11805"/>
    <tableColumn id="4807" uniqueName="4807" name="Column4798" queryTableFieldId="11587" dataDxfId="11804"/>
    <tableColumn id="4808" uniqueName="4808" name="Column4799" queryTableFieldId="11586" dataDxfId="11803"/>
    <tableColumn id="4809" uniqueName="4809" name="Column4800" queryTableFieldId="11585" dataDxfId="11802"/>
    <tableColumn id="4810" uniqueName="4810" name="Column4801" queryTableFieldId="11584" dataDxfId="11801"/>
    <tableColumn id="4811" uniqueName="4811" name="Column4802" queryTableFieldId="11583" dataDxfId="11800"/>
    <tableColumn id="4812" uniqueName="4812" name="Column4803" queryTableFieldId="11582" dataDxfId="11799"/>
    <tableColumn id="4813" uniqueName="4813" name="Column4804" queryTableFieldId="11581" dataDxfId="11798"/>
    <tableColumn id="4814" uniqueName="4814" name="Column4805" queryTableFieldId="11580" dataDxfId="11797"/>
    <tableColumn id="4815" uniqueName="4815" name="Column4806" queryTableFieldId="11579" dataDxfId="11796"/>
    <tableColumn id="4816" uniqueName="4816" name="Column4807" queryTableFieldId="11578" dataDxfId="11795"/>
    <tableColumn id="4817" uniqueName="4817" name="Column4808" queryTableFieldId="11577" dataDxfId="11794"/>
    <tableColumn id="4818" uniqueName="4818" name="Column4809" queryTableFieldId="11576" dataDxfId="11793"/>
    <tableColumn id="4819" uniqueName="4819" name="Column4810" queryTableFieldId="11575" dataDxfId="11792"/>
    <tableColumn id="4820" uniqueName="4820" name="Column4811" queryTableFieldId="11574" dataDxfId="11791"/>
    <tableColumn id="4821" uniqueName="4821" name="Column4812" queryTableFieldId="11573" dataDxfId="11790"/>
    <tableColumn id="4822" uniqueName="4822" name="Column4813" queryTableFieldId="11572" dataDxfId="11789"/>
    <tableColumn id="4823" uniqueName="4823" name="Column4814" queryTableFieldId="11571" dataDxfId="11788"/>
    <tableColumn id="4824" uniqueName="4824" name="Column4815" queryTableFieldId="11570" dataDxfId="11787"/>
    <tableColumn id="4825" uniqueName="4825" name="Column4816" queryTableFieldId="11569" dataDxfId="11786"/>
    <tableColumn id="4826" uniqueName="4826" name="Column4817" queryTableFieldId="11568" dataDxfId="11785"/>
    <tableColumn id="4827" uniqueName="4827" name="Column4818" queryTableFieldId="11567" dataDxfId="11784"/>
    <tableColumn id="4828" uniqueName="4828" name="Column4819" queryTableFieldId="11566" dataDxfId="11783"/>
    <tableColumn id="4829" uniqueName="4829" name="Column4820" queryTableFieldId="11565" dataDxfId="11782"/>
    <tableColumn id="4830" uniqueName="4830" name="Column4821" queryTableFieldId="11564" dataDxfId="11781"/>
    <tableColumn id="4831" uniqueName="4831" name="Column4822" queryTableFieldId="11563" dataDxfId="11780"/>
    <tableColumn id="4832" uniqueName="4832" name="Column4823" queryTableFieldId="11562" dataDxfId="11779"/>
    <tableColumn id="4833" uniqueName="4833" name="Column4824" queryTableFieldId="11561" dataDxfId="11778"/>
    <tableColumn id="4834" uniqueName="4834" name="Column4825" queryTableFieldId="11560" dataDxfId="11777"/>
    <tableColumn id="4835" uniqueName="4835" name="Column4826" queryTableFieldId="11559" dataDxfId="11776"/>
    <tableColumn id="4836" uniqueName="4836" name="Column4827" queryTableFieldId="11558" dataDxfId="11775"/>
    <tableColumn id="4837" uniqueName="4837" name="Column4828" queryTableFieldId="11557" dataDxfId="11774"/>
    <tableColumn id="4838" uniqueName="4838" name="Column4829" queryTableFieldId="11556" dataDxfId="11773"/>
    <tableColumn id="4839" uniqueName="4839" name="Column4830" queryTableFieldId="11555" dataDxfId="11772"/>
    <tableColumn id="4840" uniqueName="4840" name="Column4831" queryTableFieldId="11554" dataDxfId="11771"/>
    <tableColumn id="4841" uniqueName="4841" name="Column4832" queryTableFieldId="11553" dataDxfId="11770"/>
    <tableColumn id="4842" uniqueName="4842" name="Column4833" queryTableFieldId="11552" dataDxfId="11769"/>
    <tableColumn id="4843" uniqueName="4843" name="Column4834" queryTableFieldId="11551" dataDxfId="11768"/>
    <tableColumn id="4844" uniqueName="4844" name="Column4835" queryTableFieldId="11550" dataDxfId="11767"/>
    <tableColumn id="4845" uniqueName="4845" name="Column4836" queryTableFieldId="11549" dataDxfId="11766"/>
    <tableColumn id="4846" uniqueName="4846" name="Column4837" queryTableFieldId="11548" dataDxfId="11765"/>
    <tableColumn id="4847" uniqueName="4847" name="Column4838" queryTableFieldId="11547" dataDxfId="11764"/>
    <tableColumn id="4848" uniqueName="4848" name="Column4839" queryTableFieldId="11546" dataDxfId="11763"/>
    <tableColumn id="4849" uniqueName="4849" name="Column4840" queryTableFieldId="11545" dataDxfId="11762"/>
    <tableColumn id="4850" uniqueName="4850" name="Column4841" queryTableFieldId="11544" dataDxfId="11761"/>
    <tableColumn id="4851" uniqueName="4851" name="Column4842" queryTableFieldId="11543" dataDxfId="11760"/>
    <tableColumn id="4852" uniqueName="4852" name="Column4843" queryTableFieldId="11542" dataDxfId="11759"/>
    <tableColumn id="4853" uniqueName="4853" name="Column4844" queryTableFieldId="11541" dataDxfId="11758"/>
    <tableColumn id="4854" uniqueName="4854" name="Column4845" queryTableFieldId="11540" dataDxfId="11757"/>
    <tableColumn id="4855" uniqueName="4855" name="Column4846" queryTableFieldId="11539" dataDxfId="11756"/>
    <tableColumn id="4856" uniqueName="4856" name="Column4847" queryTableFieldId="11538" dataDxfId="11755"/>
    <tableColumn id="4857" uniqueName="4857" name="Column4848" queryTableFieldId="11537" dataDxfId="11754"/>
    <tableColumn id="4858" uniqueName="4858" name="Column4849" queryTableFieldId="11536" dataDxfId="11753"/>
    <tableColumn id="4859" uniqueName="4859" name="Column4850" queryTableFieldId="11535" dataDxfId="11752"/>
    <tableColumn id="4860" uniqueName="4860" name="Column4851" queryTableFieldId="11534" dataDxfId="11751"/>
    <tableColumn id="4861" uniqueName="4861" name="Column4852" queryTableFieldId="11533" dataDxfId="11750"/>
    <tableColumn id="4862" uniqueName="4862" name="Column4853" queryTableFieldId="11532" dataDxfId="11749"/>
    <tableColumn id="4863" uniqueName="4863" name="Column4854" queryTableFieldId="11531" dataDxfId="11748"/>
    <tableColumn id="4864" uniqueName="4864" name="Column4855" queryTableFieldId="11530" dataDxfId="11747"/>
    <tableColumn id="4865" uniqueName="4865" name="Column4856" queryTableFieldId="11529" dataDxfId="11746"/>
    <tableColumn id="4866" uniqueName="4866" name="Column4857" queryTableFieldId="11528" dataDxfId="11745"/>
    <tableColumn id="4867" uniqueName="4867" name="Column4858" queryTableFieldId="11527" dataDxfId="11744"/>
    <tableColumn id="4868" uniqueName="4868" name="Column4859" queryTableFieldId="11526" dataDxfId="11743"/>
    <tableColumn id="4869" uniqueName="4869" name="Column4860" queryTableFieldId="11525" dataDxfId="11742"/>
    <tableColumn id="4870" uniqueName="4870" name="Column4861" queryTableFieldId="11524" dataDxfId="11741"/>
    <tableColumn id="4871" uniqueName="4871" name="Column4862" queryTableFieldId="11523" dataDxfId="11740"/>
    <tableColumn id="4872" uniqueName="4872" name="Column4863" queryTableFieldId="11522" dataDxfId="11739"/>
    <tableColumn id="4873" uniqueName="4873" name="Column4864" queryTableFieldId="11521" dataDxfId="11738"/>
    <tableColumn id="4874" uniqueName="4874" name="Column4865" queryTableFieldId="11520" dataDxfId="11737"/>
    <tableColumn id="4875" uniqueName="4875" name="Column4866" queryTableFieldId="11519" dataDxfId="11736"/>
    <tableColumn id="4876" uniqueName="4876" name="Column4867" queryTableFieldId="11518" dataDxfId="11735"/>
    <tableColumn id="4877" uniqueName="4877" name="Column4868" queryTableFieldId="11517" dataDxfId="11734"/>
    <tableColumn id="4878" uniqueName="4878" name="Column4869" queryTableFieldId="11516" dataDxfId="11733"/>
    <tableColumn id="4879" uniqueName="4879" name="Column4870" queryTableFieldId="11515" dataDxfId="11732"/>
    <tableColumn id="4880" uniqueName="4880" name="Column4871" queryTableFieldId="11514" dataDxfId="11731"/>
    <tableColumn id="4881" uniqueName="4881" name="Column4872" queryTableFieldId="11513" dataDxfId="11730"/>
    <tableColumn id="4882" uniqueName="4882" name="Column4873" queryTableFieldId="11512" dataDxfId="11729"/>
    <tableColumn id="4883" uniqueName="4883" name="Column4874" queryTableFieldId="11511" dataDxfId="11728"/>
    <tableColumn id="4884" uniqueName="4884" name="Column4875" queryTableFieldId="11510" dataDxfId="11727"/>
    <tableColumn id="4885" uniqueName="4885" name="Column4876" queryTableFieldId="11509" dataDxfId="11726"/>
    <tableColumn id="4886" uniqueName="4886" name="Column4877" queryTableFieldId="11508" dataDxfId="11725"/>
    <tableColumn id="4887" uniqueName="4887" name="Column4878" queryTableFieldId="11507" dataDxfId="11724"/>
    <tableColumn id="4888" uniqueName="4888" name="Column4879" queryTableFieldId="11506" dataDxfId="11723"/>
    <tableColumn id="4889" uniqueName="4889" name="Column4880" queryTableFieldId="11505" dataDxfId="11722"/>
    <tableColumn id="4890" uniqueName="4890" name="Column4881" queryTableFieldId="11504" dataDxfId="11721"/>
    <tableColumn id="4891" uniqueName="4891" name="Column4882" queryTableFieldId="11503" dataDxfId="11720"/>
    <tableColumn id="4892" uniqueName="4892" name="Column4883" queryTableFieldId="11502" dataDxfId="11719"/>
    <tableColumn id="4893" uniqueName="4893" name="Column4884" queryTableFieldId="11501" dataDxfId="11718"/>
    <tableColumn id="4894" uniqueName="4894" name="Column4885" queryTableFieldId="11500" dataDxfId="11717"/>
    <tableColumn id="4895" uniqueName="4895" name="Column4886" queryTableFieldId="11499" dataDxfId="11716"/>
    <tableColumn id="4896" uniqueName="4896" name="Column4887" queryTableFieldId="11498" dataDxfId="11715"/>
    <tableColumn id="4897" uniqueName="4897" name="Column4888" queryTableFieldId="11497" dataDxfId="11714"/>
    <tableColumn id="4898" uniqueName="4898" name="Column4889" queryTableFieldId="11496" dataDxfId="11713"/>
    <tableColumn id="4899" uniqueName="4899" name="Column4890" queryTableFieldId="11495" dataDxfId="11712"/>
    <tableColumn id="4900" uniqueName="4900" name="Column4891" queryTableFieldId="11494" dataDxfId="11711"/>
    <tableColumn id="4901" uniqueName="4901" name="Column4892" queryTableFieldId="11493" dataDxfId="11710"/>
    <tableColumn id="4902" uniqueName="4902" name="Column4893" queryTableFieldId="11492" dataDxfId="11709"/>
    <tableColumn id="4903" uniqueName="4903" name="Column4894" queryTableFieldId="11491" dataDxfId="11708"/>
    <tableColumn id="4904" uniqueName="4904" name="Column4895" queryTableFieldId="11490" dataDxfId="11707"/>
    <tableColumn id="4905" uniqueName="4905" name="Column4896" queryTableFieldId="11489" dataDxfId="11706"/>
    <tableColumn id="4906" uniqueName="4906" name="Column4897" queryTableFieldId="11488" dataDxfId="11705"/>
    <tableColumn id="4907" uniqueName="4907" name="Column4898" queryTableFieldId="11487" dataDxfId="11704"/>
    <tableColumn id="4908" uniqueName="4908" name="Column4899" queryTableFieldId="11486" dataDxfId="11703"/>
    <tableColumn id="4909" uniqueName="4909" name="Column4900" queryTableFieldId="11485" dataDxfId="11702"/>
    <tableColumn id="4910" uniqueName="4910" name="Column4901" queryTableFieldId="11484" dataDxfId="11701"/>
    <tableColumn id="4911" uniqueName="4911" name="Column4902" queryTableFieldId="11483" dataDxfId="11700"/>
    <tableColumn id="4912" uniqueName="4912" name="Column4903" queryTableFieldId="11482" dataDxfId="11699"/>
    <tableColumn id="4913" uniqueName="4913" name="Column4904" queryTableFieldId="11481" dataDxfId="11698"/>
    <tableColumn id="4914" uniqueName="4914" name="Column4905" queryTableFieldId="11480" dataDxfId="11697"/>
    <tableColumn id="4915" uniqueName="4915" name="Column4906" queryTableFieldId="11479" dataDxfId="11696"/>
    <tableColumn id="4916" uniqueName="4916" name="Column4907" queryTableFieldId="11478" dataDxfId="11695"/>
    <tableColumn id="4917" uniqueName="4917" name="Column4908" queryTableFieldId="11477" dataDxfId="11694"/>
    <tableColumn id="4918" uniqueName="4918" name="Column4909" queryTableFieldId="11476" dataDxfId="11693"/>
    <tableColumn id="4919" uniqueName="4919" name="Column4910" queryTableFieldId="11475" dataDxfId="11692"/>
    <tableColumn id="4920" uniqueName="4920" name="Column4911" queryTableFieldId="11474" dataDxfId="11691"/>
    <tableColumn id="4921" uniqueName="4921" name="Column4912" queryTableFieldId="11473" dataDxfId="11690"/>
    <tableColumn id="4922" uniqueName="4922" name="Column4913" queryTableFieldId="11472" dataDxfId="11689"/>
    <tableColumn id="4923" uniqueName="4923" name="Column4914" queryTableFieldId="11471" dataDxfId="11688"/>
    <tableColumn id="4924" uniqueName="4924" name="Column4915" queryTableFieldId="11470" dataDxfId="11687"/>
    <tableColumn id="4925" uniqueName="4925" name="Column4916" queryTableFieldId="11469" dataDxfId="11686"/>
    <tableColumn id="4926" uniqueName="4926" name="Column4917" queryTableFieldId="11468" dataDxfId="11685"/>
    <tableColumn id="4927" uniqueName="4927" name="Column4918" queryTableFieldId="11467" dataDxfId="11684"/>
    <tableColumn id="4928" uniqueName="4928" name="Column4919" queryTableFieldId="11466" dataDxfId="11683"/>
    <tableColumn id="4929" uniqueName="4929" name="Column4920" queryTableFieldId="11465" dataDxfId="11682"/>
    <tableColumn id="4930" uniqueName="4930" name="Column4921" queryTableFieldId="11464" dataDxfId="11681"/>
    <tableColumn id="4931" uniqueName="4931" name="Column4922" queryTableFieldId="11463" dataDxfId="11680"/>
    <tableColumn id="4932" uniqueName="4932" name="Column4923" queryTableFieldId="11462" dataDxfId="11679"/>
    <tableColumn id="4933" uniqueName="4933" name="Column4924" queryTableFieldId="11461" dataDxfId="11678"/>
    <tableColumn id="4934" uniqueName="4934" name="Column4925" queryTableFieldId="11460" dataDxfId="11677"/>
    <tableColumn id="4935" uniqueName="4935" name="Column4926" queryTableFieldId="11459" dataDxfId="11676"/>
    <tableColumn id="4936" uniqueName="4936" name="Column4927" queryTableFieldId="11458" dataDxfId="11675"/>
    <tableColumn id="4937" uniqueName="4937" name="Column4928" queryTableFieldId="11457" dataDxfId="11674"/>
    <tableColumn id="4938" uniqueName="4938" name="Column4929" queryTableFieldId="11456" dataDxfId="11673"/>
    <tableColumn id="4939" uniqueName="4939" name="Column4930" queryTableFieldId="11455" dataDxfId="11672"/>
    <tableColumn id="4940" uniqueName="4940" name="Column4931" queryTableFieldId="11454" dataDxfId="11671"/>
    <tableColumn id="4941" uniqueName="4941" name="Column4932" queryTableFieldId="11453" dataDxfId="11670"/>
    <tableColumn id="4942" uniqueName="4942" name="Column4933" queryTableFieldId="11452" dataDxfId="11669"/>
    <tableColumn id="4943" uniqueName="4943" name="Column4934" queryTableFieldId="11451" dataDxfId="11668"/>
    <tableColumn id="4944" uniqueName="4944" name="Column4935" queryTableFieldId="11450" dataDxfId="11667"/>
    <tableColumn id="4945" uniqueName="4945" name="Column4936" queryTableFieldId="11449" dataDxfId="11666"/>
    <tableColumn id="4946" uniqueName="4946" name="Column4937" queryTableFieldId="11448" dataDxfId="11665"/>
    <tableColumn id="4947" uniqueName="4947" name="Column4938" queryTableFieldId="11447" dataDxfId="11664"/>
    <tableColumn id="4948" uniqueName="4948" name="Column4939" queryTableFieldId="11446" dataDxfId="11663"/>
    <tableColumn id="4949" uniqueName="4949" name="Column4940" queryTableFieldId="11445" dataDxfId="11662"/>
    <tableColumn id="4950" uniqueName="4950" name="Column4941" queryTableFieldId="11444" dataDxfId="11661"/>
    <tableColumn id="4951" uniqueName="4951" name="Column4942" queryTableFieldId="11443" dataDxfId="11660"/>
    <tableColumn id="4952" uniqueName="4952" name="Column4943" queryTableFieldId="11442" dataDxfId="11659"/>
    <tableColumn id="4953" uniqueName="4953" name="Column4944" queryTableFieldId="11441" dataDxfId="11658"/>
    <tableColumn id="4954" uniqueName="4954" name="Column4945" queryTableFieldId="11440" dataDxfId="11657"/>
    <tableColumn id="4955" uniqueName="4955" name="Column4946" queryTableFieldId="11439" dataDxfId="11656"/>
    <tableColumn id="4956" uniqueName="4956" name="Column4947" queryTableFieldId="11438" dataDxfId="11655"/>
    <tableColumn id="4957" uniqueName="4957" name="Column4948" queryTableFieldId="11437" dataDxfId="11654"/>
    <tableColumn id="4958" uniqueName="4958" name="Column4949" queryTableFieldId="11436" dataDxfId="11653"/>
    <tableColumn id="4959" uniqueName="4959" name="Column4950" queryTableFieldId="11435" dataDxfId="11652"/>
    <tableColumn id="4960" uniqueName="4960" name="Column4951" queryTableFieldId="11434" dataDxfId="11651"/>
    <tableColumn id="4961" uniqueName="4961" name="Column4952" queryTableFieldId="11433" dataDxfId="11650"/>
    <tableColumn id="4962" uniqueName="4962" name="Column4953" queryTableFieldId="11432" dataDxfId="11649"/>
    <tableColumn id="4963" uniqueName="4963" name="Column4954" queryTableFieldId="11431" dataDxfId="11648"/>
    <tableColumn id="4964" uniqueName="4964" name="Column4955" queryTableFieldId="11430" dataDxfId="11647"/>
    <tableColumn id="4965" uniqueName="4965" name="Column4956" queryTableFieldId="11429" dataDxfId="11646"/>
    <tableColumn id="4966" uniqueName="4966" name="Column4957" queryTableFieldId="11428" dataDxfId="11645"/>
    <tableColumn id="4967" uniqueName="4967" name="Column4958" queryTableFieldId="11427" dataDxfId="11644"/>
    <tableColumn id="4968" uniqueName="4968" name="Column4959" queryTableFieldId="11426" dataDxfId="11643"/>
    <tableColumn id="4969" uniqueName="4969" name="Column4960" queryTableFieldId="11425" dataDxfId="11642"/>
    <tableColumn id="4970" uniqueName="4970" name="Column4961" queryTableFieldId="11424" dataDxfId="11641"/>
    <tableColumn id="4971" uniqueName="4971" name="Column4962" queryTableFieldId="11423" dataDxfId="11640"/>
    <tableColumn id="4972" uniqueName="4972" name="Column4963" queryTableFieldId="11422" dataDxfId="11639"/>
    <tableColumn id="4973" uniqueName="4973" name="Column4964" queryTableFieldId="11421" dataDxfId="11638"/>
    <tableColumn id="4974" uniqueName="4974" name="Column4965" queryTableFieldId="11420" dataDxfId="11637"/>
    <tableColumn id="4975" uniqueName="4975" name="Column4966" queryTableFieldId="11419" dataDxfId="11636"/>
    <tableColumn id="4976" uniqueName="4976" name="Column4967" queryTableFieldId="11418" dataDxfId="11635"/>
    <tableColumn id="4977" uniqueName="4977" name="Column4968" queryTableFieldId="11417" dataDxfId="11634"/>
    <tableColumn id="4978" uniqueName="4978" name="Column4969" queryTableFieldId="11416" dataDxfId="11633"/>
    <tableColumn id="4979" uniqueName="4979" name="Column4970" queryTableFieldId="11415" dataDxfId="11632"/>
    <tableColumn id="4980" uniqueName="4980" name="Column4971" queryTableFieldId="11414" dataDxfId="11631"/>
    <tableColumn id="4981" uniqueName="4981" name="Column4972" queryTableFieldId="11413" dataDxfId="11630"/>
    <tableColumn id="4982" uniqueName="4982" name="Column4973" queryTableFieldId="11412" dataDxfId="11629"/>
    <tableColumn id="4983" uniqueName="4983" name="Column4974" queryTableFieldId="11411" dataDxfId="11628"/>
    <tableColumn id="4984" uniqueName="4984" name="Column4975" queryTableFieldId="11410" dataDxfId="11627"/>
    <tableColumn id="4985" uniqueName="4985" name="Column4976" queryTableFieldId="11409" dataDxfId="11626"/>
    <tableColumn id="4986" uniqueName="4986" name="Column4977" queryTableFieldId="11408" dataDxfId="11625"/>
    <tableColumn id="4987" uniqueName="4987" name="Column4978" queryTableFieldId="11407" dataDxfId="11624"/>
    <tableColumn id="4988" uniqueName="4988" name="Column4979" queryTableFieldId="11406" dataDxfId="11623"/>
    <tableColumn id="4989" uniqueName="4989" name="Column4980" queryTableFieldId="11405" dataDxfId="11622"/>
    <tableColumn id="4990" uniqueName="4990" name="Column4981" queryTableFieldId="11404" dataDxfId="11621"/>
    <tableColumn id="4991" uniqueName="4991" name="Column4982" queryTableFieldId="11403" dataDxfId="11620"/>
    <tableColumn id="4992" uniqueName="4992" name="Column4983" queryTableFieldId="11402" dataDxfId="11619"/>
    <tableColumn id="4993" uniqueName="4993" name="Column4984" queryTableFieldId="11401" dataDxfId="11618"/>
    <tableColumn id="4994" uniqueName="4994" name="Column4985" queryTableFieldId="11400" dataDxfId="11617"/>
    <tableColumn id="4995" uniqueName="4995" name="Column4986" queryTableFieldId="11399" dataDxfId="11616"/>
    <tableColumn id="4996" uniqueName="4996" name="Column4987" queryTableFieldId="11398" dataDxfId="11615"/>
    <tableColumn id="4997" uniqueName="4997" name="Column4988" queryTableFieldId="11397" dataDxfId="11614"/>
    <tableColumn id="4998" uniqueName="4998" name="Column4989" queryTableFieldId="11396" dataDxfId="11613"/>
    <tableColumn id="4999" uniqueName="4999" name="Column4990" queryTableFieldId="11395" dataDxfId="11612"/>
    <tableColumn id="5000" uniqueName="5000" name="Column4991" queryTableFieldId="11394" dataDxfId="11611"/>
    <tableColumn id="5001" uniqueName="5001" name="Column4992" queryTableFieldId="11393" dataDxfId="11610"/>
    <tableColumn id="5002" uniqueName="5002" name="Column4993" queryTableFieldId="11392" dataDxfId="11609"/>
    <tableColumn id="5003" uniqueName="5003" name="Column4994" queryTableFieldId="11391" dataDxfId="11608"/>
    <tableColumn id="5004" uniqueName="5004" name="Column4995" queryTableFieldId="11390" dataDxfId="11607"/>
    <tableColumn id="5005" uniqueName="5005" name="Column4996" queryTableFieldId="11389" dataDxfId="11606"/>
    <tableColumn id="5006" uniqueName="5006" name="Column4997" queryTableFieldId="11388" dataDxfId="11605"/>
    <tableColumn id="5007" uniqueName="5007" name="Column4998" queryTableFieldId="11387" dataDxfId="11604"/>
    <tableColumn id="5008" uniqueName="5008" name="Column4999" queryTableFieldId="11386" dataDxfId="11603"/>
    <tableColumn id="5009" uniqueName="5009" name="Column5000" queryTableFieldId="11385" dataDxfId="11602"/>
    <tableColumn id="5010" uniqueName="5010" name="Column5001" queryTableFieldId="11384" dataDxfId="11601"/>
    <tableColumn id="5011" uniqueName="5011" name="Column5002" queryTableFieldId="11383" dataDxfId="11600"/>
    <tableColumn id="5012" uniqueName="5012" name="Column5003" queryTableFieldId="11382" dataDxfId="11599"/>
    <tableColumn id="5013" uniqueName="5013" name="Column5004" queryTableFieldId="11381" dataDxfId="11598"/>
    <tableColumn id="5014" uniqueName="5014" name="Column5005" queryTableFieldId="11380" dataDxfId="11597"/>
    <tableColumn id="5015" uniqueName="5015" name="Column5006" queryTableFieldId="11379" dataDxfId="11596"/>
    <tableColumn id="5016" uniqueName="5016" name="Column5007" queryTableFieldId="11378" dataDxfId="11595"/>
    <tableColumn id="5017" uniqueName="5017" name="Column5008" queryTableFieldId="11377" dataDxfId="11594"/>
    <tableColumn id="5018" uniqueName="5018" name="Column5009" queryTableFieldId="11376" dataDxfId="11593"/>
    <tableColumn id="5019" uniqueName="5019" name="Column5010" queryTableFieldId="11375" dataDxfId="11592"/>
    <tableColumn id="5020" uniqueName="5020" name="Column5011" queryTableFieldId="11374" dataDxfId="11591"/>
    <tableColumn id="5021" uniqueName="5021" name="Column5012" queryTableFieldId="11373" dataDxfId="11590"/>
    <tableColumn id="5022" uniqueName="5022" name="Column5013" queryTableFieldId="11372" dataDxfId="11589"/>
    <tableColumn id="5023" uniqueName="5023" name="Column5014" queryTableFieldId="11371" dataDxfId="11588"/>
    <tableColumn id="5024" uniqueName="5024" name="Column5015" queryTableFieldId="11370" dataDxfId="11587"/>
    <tableColumn id="5025" uniqueName="5025" name="Column5016" queryTableFieldId="11369" dataDxfId="11586"/>
    <tableColumn id="5026" uniqueName="5026" name="Column5017" queryTableFieldId="11368" dataDxfId="11585"/>
    <tableColumn id="5027" uniqueName="5027" name="Column5018" queryTableFieldId="11367" dataDxfId="11584"/>
    <tableColumn id="5028" uniqueName="5028" name="Column5019" queryTableFieldId="11366" dataDxfId="11583"/>
    <tableColumn id="5029" uniqueName="5029" name="Column5020" queryTableFieldId="11365" dataDxfId="11582"/>
    <tableColumn id="5030" uniqueName="5030" name="Column5021" queryTableFieldId="11364" dataDxfId="11581"/>
    <tableColumn id="5031" uniqueName="5031" name="Column5022" queryTableFieldId="11363" dataDxfId="11580"/>
    <tableColumn id="5032" uniqueName="5032" name="Column5023" queryTableFieldId="11362" dataDxfId="11579"/>
    <tableColumn id="5033" uniqueName="5033" name="Column5024" queryTableFieldId="11361" dataDxfId="11578"/>
    <tableColumn id="5034" uniqueName="5034" name="Column5025" queryTableFieldId="11360" dataDxfId="11577"/>
    <tableColumn id="5035" uniqueName="5035" name="Column5026" queryTableFieldId="11359" dataDxfId="11576"/>
    <tableColumn id="5036" uniqueName="5036" name="Column5027" queryTableFieldId="11358" dataDxfId="11575"/>
    <tableColumn id="5037" uniqueName="5037" name="Column5028" queryTableFieldId="11357" dataDxfId="11574"/>
    <tableColumn id="5038" uniqueName="5038" name="Column5029" queryTableFieldId="11356" dataDxfId="11573"/>
    <tableColumn id="5039" uniqueName="5039" name="Column5030" queryTableFieldId="11355" dataDxfId="11572"/>
    <tableColumn id="5040" uniqueName="5040" name="Column5031" queryTableFieldId="11354" dataDxfId="11571"/>
    <tableColumn id="5041" uniqueName="5041" name="Column5032" queryTableFieldId="11353" dataDxfId="11570"/>
    <tableColumn id="5042" uniqueName="5042" name="Column5033" queryTableFieldId="11352" dataDxfId="11569"/>
    <tableColumn id="5043" uniqueName="5043" name="Column5034" queryTableFieldId="11351" dataDxfId="11568"/>
    <tableColumn id="5044" uniqueName="5044" name="Column5035" queryTableFieldId="11350" dataDxfId="11567"/>
    <tableColumn id="5045" uniqueName="5045" name="Column5036" queryTableFieldId="11349" dataDxfId="11566"/>
    <tableColumn id="5046" uniqueName="5046" name="Column5037" queryTableFieldId="11348" dataDxfId="11565"/>
    <tableColumn id="5047" uniqueName="5047" name="Column5038" queryTableFieldId="11347" dataDxfId="11564"/>
    <tableColumn id="5048" uniqueName="5048" name="Column5039" queryTableFieldId="11346" dataDxfId="11563"/>
    <tableColumn id="5049" uniqueName="5049" name="Column5040" queryTableFieldId="11345" dataDxfId="11562"/>
    <tableColumn id="5050" uniqueName="5050" name="Column5041" queryTableFieldId="11344" dataDxfId="11561"/>
    <tableColumn id="5051" uniqueName="5051" name="Column5042" queryTableFieldId="11343" dataDxfId="11560"/>
    <tableColumn id="5052" uniqueName="5052" name="Column5043" queryTableFieldId="11342" dataDxfId="11559"/>
    <tableColumn id="5053" uniqueName="5053" name="Column5044" queryTableFieldId="11341" dataDxfId="11558"/>
    <tableColumn id="5054" uniqueName="5054" name="Column5045" queryTableFieldId="11340" dataDxfId="11557"/>
    <tableColumn id="5055" uniqueName="5055" name="Column5046" queryTableFieldId="11339" dataDxfId="11556"/>
    <tableColumn id="5056" uniqueName="5056" name="Column5047" queryTableFieldId="11338" dataDxfId="11555"/>
    <tableColumn id="5057" uniqueName="5057" name="Column5048" queryTableFieldId="11337" dataDxfId="11554"/>
    <tableColumn id="5058" uniqueName="5058" name="Column5049" queryTableFieldId="11336" dataDxfId="11553"/>
    <tableColumn id="5059" uniqueName="5059" name="Column5050" queryTableFieldId="11335" dataDxfId="11552"/>
    <tableColumn id="5060" uniqueName="5060" name="Column5051" queryTableFieldId="11334" dataDxfId="11551"/>
    <tableColumn id="5061" uniqueName="5061" name="Column5052" queryTableFieldId="11333" dataDxfId="11550"/>
    <tableColumn id="5062" uniqueName="5062" name="Column5053" queryTableFieldId="11332" dataDxfId="11549"/>
    <tableColumn id="5063" uniqueName="5063" name="Column5054" queryTableFieldId="11331" dataDxfId="11548"/>
    <tableColumn id="5064" uniqueName="5064" name="Column5055" queryTableFieldId="11330" dataDxfId="11547"/>
    <tableColumn id="5065" uniqueName="5065" name="Column5056" queryTableFieldId="11329" dataDxfId="11546"/>
    <tableColumn id="5066" uniqueName="5066" name="Column5057" queryTableFieldId="11328" dataDxfId="11545"/>
    <tableColumn id="5067" uniqueName="5067" name="Column5058" queryTableFieldId="11327" dataDxfId="11544"/>
    <tableColumn id="5068" uniqueName="5068" name="Column5059" queryTableFieldId="11326" dataDxfId="11543"/>
    <tableColumn id="5069" uniqueName="5069" name="Column5060" queryTableFieldId="11325" dataDxfId="11542"/>
    <tableColumn id="5070" uniqueName="5070" name="Column5061" queryTableFieldId="11324" dataDxfId="11541"/>
    <tableColumn id="5071" uniqueName="5071" name="Column5062" queryTableFieldId="11323" dataDxfId="11540"/>
    <tableColumn id="5072" uniqueName="5072" name="Column5063" queryTableFieldId="11322" dataDxfId="11539"/>
    <tableColumn id="5073" uniqueName="5073" name="Column5064" queryTableFieldId="11321" dataDxfId="11538"/>
    <tableColumn id="5074" uniqueName="5074" name="Column5065" queryTableFieldId="11320" dataDxfId="11537"/>
    <tableColumn id="5075" uniqueName="5075" name="Column5066" queryTableFieldId="11319" dataDxfId="11536"/>
    <tableColumn id="5076" uniqueName="5076" name="Column5067" queryTableFieldId="11318" dataDxfId="11535"/>
    <tableColumn id="5077" uniqueName="5077" name="Column5068" queryTableFieldId="11317" dataDxfId="11534"/>
    <tableColumn id="5078" uniqueName="5078" name="Column5069" queryTableFieldId="11316" dataDxfId="11533"/>
    <tableColumn id="5079" uniqueName="5079" name="Column5070" queryTableFieldId="11315" dataDxfId="11532"/>
    <tableColumn id="5080" uniqueName="5080" name="Column5071" queryTableFieldId="11314" dataDxfId="11531"/>
    <tableColumn id="5081" uniqueName="5081" name="Column5072" queryTableFieldId="11313" dataDxfId="11530"/>
    <tableColumn id="5082" uniqueName="5082" name="Column5073" queryTableFieldId="11312" dataDxfId="11529"/>
    <tableColumn id="5083" uniqueName="5083" name="Column5074" queryTableFieldId="11311" dataDxfId="11528"/>
    <tableColumn id="5084" uniqueName="5084" name="Column5075" queryTableFieldId="11310" dataDxfId="11527"/>
    <tableColumn id="5085" uniqueName="5085" name="Column5076" queryTableFieldId="11309" dataDxfId="11526"/>
    <tableColumn id="5086" uniqueName="5086" name="Column5077" queryTableFieldId="11308" dataDxfId="11525"/>
    <tableColumn id="5087" uniqueName="5087" name="Column5078" queryTableFieldId="11307" dataDxfId="11524"/>
    <tableColumn id="5088" uniqueName="5088" name="Column5079" queryTableFieldId="11306" dataDxfId="11523"/>
    <tableColumn id="5089" uniqueName="5089" name="Column5080" queryTableFieldId="11305" dataDxfId="11522"/>
    <tableColumn id="5090" uniqueName="5090" name="Column5081" queryTableFieldId="11304" dataDxfId="11521"/>
    <tableColumn id="5091" uniqueName="5091" name="Column5082" queryTableFieldId="11303" dataDxfId="11520"/>
    <tableColumn id="5092" uniqueName="5092" name="Column5083" queryTableFieldId="11302" dataDxfId="11519"/>
    <tableColumn id="5093" uniqueName="5093" name="Column5084" queryTableFieldId="11301" dataDxfId="11518"/>
    <tableColumn id="5094" uniqueName="5094" name="Column5085" queryTableFieldId="11300" dataDxfId="11517"/>
    <tableColumn id="5095" uniqueName="5095" name="Column5086" queryTableFieldId="11299" dataDxfId="11516"/>
    <tableColumn id="5096" uniqueName="5096" name="Column5087" queryTableFieldId="11298" dataDxfId="11515"/>
    <tableColumn id="5097" uniqueName="5097" name="Column5088" queryTableFieldId="11297" dataDxfId="11514"/>
    <tableColumn id="5098" uniqueName="5098" name="Column5089" queryTableFieldId="11296" dataDxfId="11513"/>
    <tableColumn id="5099" uniqueName="5099" name="Column5090" queryTableFieldId="11295" dataDxfId="11512"/>
    <tableColumn id="5100" uniqueName="5100" name="Column5091" queryTableFieldId="11294" dataDxfId="11511"/>
    <tableColumn id="5101" uniqueName="5101" name="Column5092" queryTableFieldId="11293" dataDxfId="11510"/>
    <tableColumn id="5102" uniqueName="5102" name="Column5093" queryTableFieldId="11292" dataDxfId="11509"/>
    <tableColumn id="5103" uniqueName="5103" name="Column5094" queryTableFieldId="11291" dataDxfId="11508"/>
    <tableColumn id="5104" uniqueName="5104" name="Column5095" queryTableFieldId="11290" dataDxfId="11507"/>
    <tableColumn id="5105" uniqueName="5105" name="Column5096" queryTableFieldId="11289" dataDxfId="11506"/>
    <tableColumn id="5106" uniqueName="5106" name="Column5097" queryTableFieldId="11288" dataDxfId="11505"/>
    <tableColumn id="5107" uniqueName="5107" name="Column5098" queryTableFieldId="11287" dataDxfId="11504"/>
    <tableColumn id="5108" uniqueName="5108" name="Column5099" queryTableFieldId="11286" dataDxfId="11503"/>
    <tableColumn id="5109" uniqueName="5109" name="Column5100" queryTableFieldId="11285" dataDxfId="11502"/>
    <tableColumn id="5110" uniqueName="5110" name="Column5101" queryTableFieldId="11284" dataDxfId="11501"/>
    <tableColumn id="5111" uniqueName="5111" name="Column5102" queryTableFieldId="11283" dataDxfId="11500"/>
    <tableColumn id="5112" uniqueName="5112" name="Column5103" queryTableFieldId="11282" dataDxfId="11499"/>
    <tableColumn id="5113" uniqueName="5113" name="Column5104" queryTableFieldId="11281" dataDxfId="11498"/>
    <tableColumn id="5114" uniqueName="5114" name="Column5105" queryTableFieldId="11280" dataDxfId="11497"/>
    <tableColumn id="5115" uniqueName="5115" name="Column5106" queryTableFieldId="11279" dataDxfId="11496"/>
    <tableColumn id="5116" uniqueName="5116" name="Column5107" queryTableFieldId="11278" dataDxfId="11495"/>
    <tableColumn id="5117" uniqueName="5117" name="Column5108" queryTableFieldId="11277" dataDxfId="11494"/>
    <tableColumn id="5118" uniqueName="5118" name="Column5109" queryTableFieldId="11276" dataDxfId="11493"/>
    <tableColumn id="5119" uniqueName="5119" name="Column5110" queryTableFieldId="11275" dataDxfId="11492"/>
    <tableColumn id="5120" uniqueName="5120" name="Column5111" queryTableFieldId="11274" dataDxfId="11491"/>
    <tableColumn id="5121" uniqueName="5121" name="Column5112" queryTableFieldId="11273" dataDxfId="11490"/>
    <tableColumn id="5122" uniqueName="5122" name="Column5113" queryTableFieldId="11272" dataDxfId="11489"/>
    <tableColumn id="5123" uniqueName="5123" name="Column5114" queryTableFieldId="11271" dataDxfId="11488"/>
    <tableColumn id="5124" uniqueName="5124" name="Column5115" queryTableFieldId="11270" dataDxfId="11487"/>
    <tableColumn id="5125" uniqueName="5125" name="Column5116" queryTableFieldId="11269" dataDxfId="11486"/>
    <tableColumn id="5126" uniqueName="5126" name="Column5117" queryTableFieldId="11268" dataDxfId="11485"/>
    <tableColumn id="5127" uniqueName="5127" name="Column5118" queryTableFieldId="11267" dataDxfId="11484"/>
    <tableColumn id="5128" uniqueName="5128" name="Column5119" queryTableFieldId="11266" dataDxfId="11483"/>
    <tableColumn id="5129" uniqueName="5129" name="Column5120" queryTableFieldId="11265" dataDxfId="11482"/>
    <tableColumn id="5130" uniqueName="5130" name="Column5121" queryTableFieldId="11264" dataDxfId="11481"/>
    <tableColumn id="5131" uniqueName="5131" name="Column5122" queryTableFieldId="11263" dataDxfId="11480"/>
    <tableColumn id="5132" uniqueName="5132" name="Column5123" queryTableFieldId="11262" dataDxfId="11479"/>
    <tableColumn id="5133" uniqueName="5133" name="Column5124" queryTableFieldId="11261" dataDxfId="11478"/>
    <tableColumn id="5134" uniqueName="5134" name="Column5125" queryTableFieldId="11260" dataDxfId="11477"/>
    <tableColumn id="5135" uniqueName="5135" name="Column5126" queryTableFieldId="11259" dataDxfId="11476"/>
    <tableColumn id="5136" uniqueName="5136" name="Column5127" queryTableFieldId="11258" dataDxfId="11475"/>
    <tableColumn id="5137" uniqueName="5137" name="Column5128" queryTableFieldId="11257" dataDxfId="11474"/>
    <tableColumn id="5138" uniqueName="5138" name="Column5129" queryTableFieldId="11256" dataDxfId="11473"/>
    <tableColumn id="5139" uniqueName="5139" name="Column5130" queryTableFieldId="11255" dataDxfId="11472"/>
    <tableColumn id="5140" uniqueName="5140" name="Column5131" queryTableFieldId="11254" dataDxfId="11471"/>
    <tableColumn id="5141" uniqueName="5141" name="Column5132" queryTableFieldId="11253" dataDxfId="11470"/>
    <tableColumn id="5142" uniqueName="5142" name="Column5133" queryTableFieldId="11252" dataDxfId="11469"/>
    <tableColumn id="5143" uniqueName="5143" name="Column5134" queryTableFieldId="11251" dataDxfId="11468"/>
    <tableColumn id="5144" uniqueName="5144" name="Column5135" queryTableFieldId="11250" dataDxfId="11467"/>
    <tableColumn id="5145" uniqueName="5145" name="Column5136" queryTableFieldId="11249" dataDxfId="11466"/>
    <tableColumn id="5146" uniqueName="5146" name="Column5137" queryTableFieldId="11248" dataDxfId="11465"/>
    <tableColumn id="5147" uniqueName="5147" name="Column5138" queryTableFieldId="11247" dataDxfId="11464"/>
    <tableColumn id="5148" uniqueName="5148" name="Column5139" queryTableFieldId="11246" dataDxfId="11463"/>
    <tableColumn id="5149" uniqueName="5149" name="Column5140" queryTableFieldId="11245" dataDxfId="11462"/>
    <tableColumn id="5150" uniqueName="5150" name="Column5141" queryTableFieldId="11244" dataDxfId="11461"/>
    <tableColumn id="5151" uniqueName="5151" name="Column5142" queryTableFieldId="11243" dataDxfId="11460"/>
    <tableColumn id="5152" uniqueName="5152" name="Column5143" queryTableFieldId="11242" dataDxfId="11459"/>
    <tableColumn id="5153" uniqueName="5153" name="Column5144" queryTableFieldId="11241" dataDxfId="11458"/>
    <tableColumn id="5154" uniqueName="5154" name="Column5145" queryTableFieldId="11240" dataDxfId="11457"/>
    <tableColumn id="5155" uniqueName="5155" name="Column5146" queryTableFieldId="11239" dataDxfId="11456"/>
    <tableColumn id="5156" uniqueName="5156" name="Column5147" queryTableFieldId="11238" dataDxfId="11455"/>
    <tableColumn id="5157" uniqueName="5157" name="Column5148" queryTableFieldId="11237" dataDxfId="11454"/>
    <tableColumn id="5158" uniqueName="5158" name="Column5149" queryTableFieldId="11236" dataDxfId="11453"/>
    <tableColumn id="5159" uniqueName="5159" name="Column5150" queryTableFieldId="11235" dataDxfId="11452"/>
    <tableColumn id="5160" uniqueName="5160" name="Column5151" queryTableFieldId="11234" dataDxfId="11451"/>
    <tableColumn id="5161" uniqueName="5161" name="Column5152" queryTableFieldId="11233" dataDxfId="11450"/>
    <tableColumn id="5162" uniqueName="5162" name="Column5153" queryTableFieldId="11232" dataDxfId="11449"/>
    <tableColumn id="5163" uniqueName="5163" name="Column5154" queryTableFieldId="11231" dataDxfId="11448"/>
    <tableColumn id="5164" uniqueName="5164" name="Column5155" queryTableFieldId="11230" dataDxfId="11447"/>
    <tableColumn id="5165" uniqueName="5165" name="Column5156" queryTableFieldId="11229" dataDxfId="11446"/>
    <tableColumn id="5166" uniqueName="5166" name="Column5157" queryTableFieldId="11228" dataDxfId="11445"/>
    <tableColumn id="5167" uniqueName="5167" name="Column5158" queryTableFieldId="11227" dataDxfId="11444"/>
    <tableColumn id="5168" uniqueName="5168" name="Column5159" queryTableFieldId="11226" dataDxfId="11443"/>
    <tableColumn id="5169" uniqueName="5169" name="Column5160" queryTableFieldId="11225" dataDxfId="11442"/>
    <tableColumn id="5170" uniqueName="5170" name="Column5161" queryTableFieldId="11224" dataDxfId="11441"/>
    <tableColumn id="5171" uniqueName="5171" name="Column5162" queryTableFieldId="11223" dataDxfId="11440"/>
    <tableColumn id="5172" uniqueName="5172" name="Column5163" queryTableFieldId="11222" dataDxfId="11439"/>
    <tableColumn id="5173" uniqueName="5173" name="Column5164" queryTableFieldId="11221" dataDxfId="11438"/>
    <tableColumn id="5174" uniqueName="5174" name="Column5165" queryTableFieldId="11220" dataDxfId="11437"/>
    <tableColumn id="5175" uniqueName="5175" name="Column5166" queryTableFieldId="11219" dataDxfId="11436"/>
    <tableColumn id="5176" uniqueName="5176" name="Column5167" queryTableFieldId="11218" dataDxfId="11435"/>
    <tableColumn id="5177" uniqueName="5177" name="Column5168" queryTableFieldId="11217" dataDxfId="11434"/>
    <tableColumn id="5178" uniqueName="5178" name="Column5169" queryTableFieldId="11216" dataDxfId="11433"/>
    <tableColumn id="5179" uniqueName="5179" name="Column5170" queryTableFieldId="11215" dataDxfId="11432"/>
    <tableColumn id="5180" uniqueName="5180" name="Column5171" queryTableFieldId="11214" dataDxfId="11431"/>
    <tableColumn id="5181" uniqueName="5181" name="Column5172" queryTableFieldId="11213" dataDxfId="11430"/>
    <tableColumn id="5182" uniqueName="5182" name="Column5173" queryTableFieldId="11212" dataDxfId="11429"/>
    <tableColumn id="5183" uniqueName="5183" name="Column5174" queryTableFieldId="11211" dataDxfId="11428"/>
    <tableColumn id="5184" uniqueName="5184" name="Column5175" queryTableFieldId="11210" dataDxfId="11427"/>
    <tableColumn id="5185" uniqueName="5185" name="Column5176" queryTableFieldId="11209" dataDxfId="11426"/>
    <tableColumn id="5186" uniqueName="5186" name="Column5177" queryTableFieldId="11208" dataDxfId="11425"/>
    <tableColumn id="5187" uniqueName="5187" name="Column5178" queryTableFieldId="11207" dataDxfId="11424"/>
    <tableColumn id="5188" uniqueName="5188" name="Column5179" queryTableFieldId="11206" dataDxfId="11423"/>
    <tableColumn id="5189" uniqueName="5189" name="Column5180" queryTableFieldId="11205" dataDxfId="11422"/>
    <tableColumn id="5190" uniqueName="5190" name="Column5181" queryTableFieldId="11204" dataDxfId="11421"/>
    <tableColumn id="5191" uniqueName="5191" name="Column5182" queryTableFieldId="11203" dataDxfId="11420"/>
    <tableColumn id="5192" uniqueName="5192" name="Column5183" queryTableFieldId="11202" dataDxfId="11419"/>
    <tableColumn id="5193" uniqueName="5193" name="Column5184" queryTableFieldId="11201" dataDxfId="11418"/>
    <tableColumn id="5194" uniqueName="5194" name="Column5185" queryTableFieldId="11200" dataDxfId="11417"/>
    <tableColumn id="5195" uniqueName="5195" name="Column5186" queryTableFieldId="11199" dataDxfId="11416"/>
    <tableColumn id="5196" uniqueName="5196" name="Column5187" queryTableFieldId="11198" dataDxfId="11415"/>
    <tableColumn id="5197" uniqueName="5197" name="Column5188" queryTableFieldId="11197" dataDxfId="11414"/>
    <tableColumn id="5198" uniqueName="5198" name="Column5189" queryTableFieldId="11196" dataDxfId="11413"/>
    <tableColumn id="5199" uniqueName="5199" name="Column5190" queryTableFieldId="11195" dataDxfId="11412"/>
    <tableColumn id="5200" uniqueName="5200" name="Column5191" queryTableFieldId="11194" dataDxfId="11411"/>
    <tableColumn id="5201" uniqueName="5201" name="Column5192" queryTableFieldId="11193" dataDxfId="11410"/>
    <tableColumn id="5202" uniqueName="5202" name="Column5193" queryTableFieldId="11192" dataDxfId="11409"/>
    <tableColumn id="5203" uniqueName="5203" name="Column5194" queryTableFieldId="11191" dataDxfId="11408"/>
    <tableColumn id="5204" uniqueName="5204" name="Column5195" queryTableFieldId="11190" dataDxfId="11407"/>
    <tableColumn id="5205" uniqueName="5205" name="Column5196" queryTableFieldId="11189" dataDxfId="11406"/>
    <tableColumn id="5206" uniqueName="5206" name="Column5197" queryTableFieldId="11188" dataDxfId="11405"/>
    <tableColumn id="5207" uniqueName="5207" name="Column5198" queryTableFieldId="11187" dataDxfId="11404"/>
    <tableColumn id="5208" uniqueName="5208" name="Column5199" queryTableFieldId="11186" dataDxfId="11403"/>
    <tableColumn id="5209" uniqueName="5209" name="Column5200" queryTableFieldId="11185" dataDxfId="11402"/>
    <tableColumn id="5210" uniqueName="5210" name="Column5201" queryTableFieldId="11184" dataDxfId="11401"/>
    <tableColumn id="5211" uniqueName="5211" name="Column5202" queryTableFieldId="11183" dataDxfId="11400"/>
    <tableColumn id="5212" uniqueName="5212" name="Column5203" queryTableFieldId="11182" dataDxfId="11399"/>
    <tableColumn id="5213" uniqueName="5213" name="Column5204" queryTableFieldId="11181" dataDxfId="11398"/>
    <tableColumn id="5214" uniqueName="5214" name="Column5205" queryTableFieldId="11180" dataDxfId="11397"/>
    <tableColumn id="5215" uniqueName="5215" name="Column5206" queryTableFieldId="11179" dataDxfId="11396"/>
    <tableColumn id="5216" uniqueName="5216" name="Column5207" queryTableFieldId="11178" dataDxfId="11395"/>
    <tableColumn id="5217" uniqueName="5217" name="Column5208" queryTableFieldId="11177" dataDxfId="11394"/>
    <tableColumn id="5218" uniqueName="5218" name="Column5209" queryTableFieldId="11176" dataDxfId="11393"/>
    <tableColumn id="5219" uniqueName="5219" name="Column5210" queryTableFieldId="11175" dataDxfId="11392"/>
    <tableColumn id="5220" uniqueName="5220" name="Column5211" queryTableFieldId="11174" dataDxfId="11391"/>
    <tableColumn id="5221" uniqueName="5221" name="Column5212" queryTableFieldId="11173" dataDxfId="11390"/>
    <tableColumn id="5222" uniqueName="5222" name="Column5213" queryTableFieldId="11172" dataDxfId="11389"/>
    <tableColumn id="5223" uniqueName="5223" name="Column5214" queryTableFieldId="11171" dataDxfId="11388"/>
    <tableColumn id="5224" uniqueName="5224" name="Column5215" queryTableFieldId="11170" dataDxfId="11387"/>
    <tableColumn id="5225" uniqueName="5225" name="Column5216" queryTableFieldId="11169" dataDxfId="11386"/>
    <tableColumn id="5226" uniqueName="5226" name="Column5217" queryTableFieldId="11168" dataDxfId="11385"/>
    <tableColumn id="5227" uniqueName="5227" name="Column5218" queryTableFieldId="11167" dataDxfId="11384"/>
    <tableColumn id="5228" uniqueName="5228" name="Column5219" queryTableFieldId="11166" dataDxfId="11383"/>
    <tableColumn id="5229" uniqueName="5229" name="Column5220" queryTableFieldId="11165" dataDxfId="11382"/>
    <tableColumn id="5230" uniqueName="5230" name="Column5221" queryTableFieldId="11164" dataDxfId="11381"/>
    <tableColumn id="5231" uniqueName="5231" name="Column5222" queryTableFieldId="11163" dataDxfId="11380"/>
    <tableColumn id="5232" uniqueName="5232" name="Column5223" queryTableFieldId="11162" dataDxfId="11379"/>
    <tableColumn id="5233" uniqueName="5233" name="Column5224" queryTableFieldId="11161" dataDxfId="11378"/>
    <tableColumn id="5234" uniqueName="5234" name="Column5225" queryTableFieldId="11160" dataDxfId="11377"/>
    <tableColumn id="5235" uniqueName="5235" name="Column5226" queryTableFieldId="11159" dataDxfId="11376"/>
    <tableColumn id="5236" uniqueName="5236" name="Column5227" queryTableFieldId="11158" dataDxfId="11375"/>
    <tableColumn id="5237" uniqueName="5237" name="Column5228" queryTableFieldId="11157" dataDxfId="11374"/>
    <tableColumn id="5238" uniqueName="5238" name="Column5229" queryTableFieldId="11156" dataDxfId="11373"/>
    <tableColumn id="5239" uniqueName="5239" name="Column5230" queryTableFieldId="11155" dataDxfId="11372"/>
    <tableColumn id="5240" uniqueName="5240" name="Column5231" queryTableFieldId="11154" dataDxfId="11371"/>
    <tableColumn id="5241" uniqueName="5241" name="Column5232" queryTableFieldId="11153" dataDxfId="11370"/>
    <tableColumn id="5242" uniqueName="5242" name="Column5233" queryTableFieldId="11152" dataDxfId="11369"/>
    <tableColumn id="5243" uniqueName="5243" name="Column5234" queryTableFieldId="11151" dataDxfId="11368"/>
    <tableColumn id="5244" uniqueName="5244" name="Column5235" queryTableFieldId="11150" dataDxfId="11367"/>
    <tableColumn id="5245" uniqueName="5245" name="Column5236" queryTableFieldId="11149" dataDxfId="11366"/>
    <tableColumn id="5246" uniqueName="5246" name="Column5237" queryTableFieldId="11148" dataDxfId="11365"/>
    <tableColumn id="5247" uniqueName="5247" name="Column5238" queryTableFieldId="11147" dataDxfId="11364"/>
    <tableColumn id="5248" uniqueName="5248" name="Column5239" queryTableFieldId="11146" dataDxfId="11363"/>
    <tableColumn id="5249" uniqueName="5249" name="Column5240" queryTableFieldId="11145" dataDxfId="11362"/>
    <tableColumn id="5250" uniqueName="5250" name="Column5241" queryTableFieldId="11144" dataDxfId="11361"/>
    <tableColumn id="5251" uniqueName="5251" name="Column5242" queryTableFieldId="11143" dataDxfId="11360"/>
    <tableColumn id="5252" uniqueName="5252" name="Column5243" queryTableFieldId="11142" dataDxfId="11359"/>
    <tableColumn id="5253" uniqueName="5253" name="Column5244" queryTableFieldId="11141" dataDxfId="11358"/>
    <tableColumn id="5254" uniqueName="5254" name="Column5245" queryTableFieldId="11140" dataDxfId="11357"/>
    <tableColumn id="5255" uniqueName="5255" name="Column5246" queryTableFieldId="11139" dataDxfId="11356"/>
    <tableColumn id="5256" uniqueName="5256" name="Column5247" queryTableFieldId="11138" dataDxfId="11355"/>
    <tableColumn id="5257" uniqueName="5257" name="Column5248" queryTableFieldId="11137" dataDxfId="11354"/>
    <tableColumn id="5258" uniqueName="5258" name="Column5249" queryTableFieldId="11136" dataDxfId="11353"/>
    <tableColumn id="5259" uniqueName="5259" name="Column5250" queryTableFieldId="11135" dataDxfId="11352"/>
    <tableColumn id="5260" uniqueName="5260" name="Column5251" queryTableFieldId="11134" dataDxfId="11351"/>
    <tableColumn id="5261" uniqueName="5261" name="Column5252" queryTableFieldId="11133" dataDxfId="11350"/>
    <tableColumn id="5262" uniqueName="5262" name="Column5253" queryTableFieldId="11132" dataDxfId="11349"/>
    <tableColumn id="5263" uniqueName="5263" name="Column5254" queryTableFieldId="11131" dataDxfId="11348"/>
    <tableColumn id="5264" uniqueName="5264" name="Column5255" queryTableFieldId="11130" dataDxfId="11347"/>
    <tableColumn id="5265" uniqueName="5265" name="Column5256" queryTableFieldId="11129" dataDxfId="11346"/>
    <tableColumn id="5266" uniqueName="5266" name="Column5257" queryTableFieldId="11128" dataDxfId="11345"/>
    <tableColumn id="5267" uniqueName="5267" name="Column5258" queryTableFieldId="11127" dataDxfId="11344"/>
    <tableColumn id="5268" uniqueName="5268" name="Column5259" queryTableFieldId="11126" dataDxfId="11343"/>
    <tableColumn id="5269" uniqueName="5269" name="Column5260" queryTableFieldId="11125" dataDxfId="11342"/>
    <tableColumn id="5270" uniqueName="5270" name="Column5261" queryTableFieldId="11124" dataDxfId="11341"/>
    <tableColumn id="5271" uniqueName="5271" name="Column5262" queryTableFieldId="11123" dataDxfId="11340"/>
    <tableColumn id="5272" uniqueName="5272" name="Column5263" queryTableFieldId="11122" dataDxfId="11339"/>
    <tableColumn id="5273" uniqueName="5273" name="Column5264" queryTableFieldId="11121" dataDxfId="11338"/>
    <tableColumn id="5274" uniqueName="5274" name="Column5265" queryTableFieldId="11120" dataDxfId="11337"/>
    <tableColumn id="5275" uniqueName="5275" name="Column5266" queryTableFieldId="11119" dataDxfId="11336"/>
    <tableColumn id="5276" uniqueName="5276" name="Column5267" queryTableFieldId="11118" dataDxfId="11335"/>
    <tableColumn id="5277" uniqueName="5277" name="Column5268" queryTableFieldId="11117" dataDxfId="11334"/>
    <tableColumn id="5278" uniqueName="5278" name="Column5269" queryTableFieldId="11116" dataDxfId="11333"/>
    <tableColumn id="5279" uniqueName="5279" name="Column5270" queryTableFieldId="11115" dataDxfId="11332"/>
    <tableColumn id="5280" uniqueName="5280" name="Column5271" queryTableFieldId="11114" dataDxfId="11331"/>
    <tableColumn id="5281" uniqueName="5281" name="Column5272" queryTableFieldId="11113" dataDxfId="11330"/>
    <tableColumn id="5282" uniqueName="5282" name="Column5273" queryTableFieldId="11112" dataDxfId="11329"/>
    <tableColumn id="5283" uniqueName="5283" name="Column5274" queryTableFieldId="11111" dataDxfId="11328"/>
    <tableColumn id="5284" uniqueName="5284" name="Column5275" queryTableFieldId="11110" dataDxfId="11327"/>
    <tableColumn id="5285" uniqueName="5285" name="Column5276" queryTableFieldId="11109" dataDxfId="11326"/>
    <tableColumn id="5286" uniqueName="5286" name="Column5277" queryTableFieldId="11108" dataDxfId="11325"/>
    <tableColumn id="5287" uniqueName="5287" name="Column5278" queryTableFieldId="11107" dataDxfId="11324"/>
    <tableColumn id="5288" uniqueName="5288" name="Column5279" queryTableFieldId="11106" dataDxfId="11323"/>
    <tableColumn id="5289" uniqueName="5289" name="Column5280" queryTableFieldId="11105" dataDxfId="11322"/>
    <tableColumn id="5290" uniqueName="5290" name="Column5281" queryTableFieldId="11104" dataDxfId="11321"/>
    <tableColumn id="5291" uniqueName="5291" name="Column5282" queryTableFieldId="11103" dataDxfId="11320"/>
    <tableColumn id="5292" uniqueName="5292" name="Column5283" queryTableFieldId="11102" dataDxfId="11319"/>
    <tableColumn id="5293" uniqueName="5293" name="Column5284" queryTableFieldId="11101" dataDxfId="11318"/>
    <tableColumn id="5294" uniqueName="5294" name="Column5285" queryTableFieldId="11100" dataDxfId="11317"/>
    <tableColumn id="5295" uniqueName="5295" name="Column5286" queryTableFieldId="11099" dataDxfId="11316"/>
    <tableColumn id="5296" uniqueName="5296" name="Column5287" queryTableFieldId="11098" dataDxfId="11315"/>
    <tableColumn id="5297" uniqueName="5297" name="Column5288" queryTableFieldId="11097" dataDxfId="11314"/>
    <tableColumn id="5298" uniqueName="5298" name="Column5289" queryTableFieldId="11096" dataDxfId="11313"/>
    <tableColumn id="5299" uniqueName="5299" name="Column5290" queryTableFieldId="11095" dataDxfId="11312"/>
    <tableColumn id="5300" uniqueName="5300" name="Column5291" queryTableFieldId="11094" dataDxfId="11311"/>
    <tableColumn id="5301" uniqueName="5301" name="Column5292" queryTableFieldId="11093" dataDxfId="11310"/>
    <tableColumn id="5302" uniqueName="5302" name="Column5293" queryTableFieldId="11092" dataDxfId="11309"/>
    <tableColumn id="5303" uniqueName="5303" name="Column5294" queryTableFieldId="11091" dataDxfId="11308"/>
    <tableColumn id="5304" uniqueName="5304" name="Column5295" queryTableFieldId="11090" dataDxfId="11307"/>
    <tableColumn id="5305" uniqueName="5305" name="Column5296" queryTableFieldId="11089" dataDxfId="11306"/>
    <tableColumn id="5306" uniqueName="5306" name="Column5297" queryTableFieldId="11088" dataDxfId="11305"/>
    <tableColumn id="5307" uniqueName="5307" name="Column5298" queryTableFieldId="11087" dataDxfId="11304"/>
    <tableColumn id="5308" uniqueName="5308" name="Column5299" queryTableFieldId="11086" dataDxfId="11303"/>
    <tableColumn id="5309" uniqueName="5309" name="Column5300" queryTableFieldId="11085" dataDxfId="11302"/>
    <tableColumn id="5310" uniqueName="5310" name="Column5301" queryTableFieldId="11084" dataDxfId="11301"/>
    <tableColumn id="5311" uniqueName="5311" name="Column5302" queryTableFieldId="11083" dataDxfId="11300"/>
    <tableColumn id="5312" uniqueName="5312" name="Column5303" queryTableFieldId="11082" dataDxfId="11299"/>
    <tableColumn id="5313" uniqueName="5313" name="Column5304" queryTableFieldId="11081" dataDxfId="11298"/>
    <tableColumn id="5314" uniqueName="5314" name="Column5305" queryTableFieldId="11080" dataDxfId="11297"/>
    <tableColumn id="5315" uniqueName="5315" name="Column5306" queryTableFieldId="11079" dataDxfId="11296"/>
    <tableColumn id="5316" uniqueName="5316" name="Column5307" queryTableFieldId="11078" dataDxfId="11295"/>
    <tableColumn id="5317" uniqueName="5317" name="Column5308" queryTableFieldId="11077" dataDxfId="11294"/>
    <tableColumn id="5318" uniqueName="5318" name="Column5309" queryTableFieldId="11076" dataDxfId="11293"/>
    <tableColumn id="5319" uniqueName="5319" name="Column5310" queryTableFieldId="11075" dataDxfId="11292"/>
    <tableColumn id="5320" uniqueName="5320" name="Column5311" queryTableFieldId="11074" dataDxfId="11291"/>
    <tableColumn id="5321" uniqueName="5321" name="Column5312" queryTableFieldId="11073" dataDxfId="11290"/>
    <tableColumn id="5322" uniqueName="5322" name="Column5313" queryTableFieldId="11072" dataDxfId="11289"/>
    <tableColumn id="5323" uniqueName="5323" name="Column5314" queryTableFieldId="11071" dataDxfId="11288"/>
    <tableColumn id="5324" uniqueName="5324" name="Column5315" queryTableFieldId="11070" dataDxfId="11287"/>
    <tableColumn id="5325" uniqueName="5325" name="Column5316" queryTableFieldId="11069" dataDxfId="11286"/>
    <tableColumn id="5326" uniqueName="5326" name="Column5317" queryTableFieldId="11068" dataDxfId="11285"/>
    <tableColumn id="5327" uniqueName="5327" name="Column5318" queryTableFieldId="11067" dataDxfId="11284"/>
    <tableColumn id="5328" uniqueName="5328" name="Column5319" queryTableFieldId="11066" dataDxfId="11283"/>
    <tableColumn id="5329" uniqueName="5329" name="Column5320" queryTableFieldId="11065" dataDxfId="11282"/>
    <tableColumn id="5330" uniqueName="5330" name="Column5321" queryTableFieldId="11064" dataDxfId="11281"/>
    <tableColumn id="5331" uniqueName="5331" name="Column5322" queryTableFieldId="11063" dataDxfId="11280"/>
    <tableColumn id="5332" uniqueName="5332" name="Column5323" queryTableFieldId="11062" dataDxfId="11279"/>
    <tableColumn id="5333" uniqueName="5333" name="Column5324" queryTableFieldId="11061" dataDxfId="11278"/>
    <tableColumn id="5334" uniqueName="5334" name="Column5325" queryTableFieldId="11060" dataDxfId="11277"/>
    <tableColumn id="5335" uniqueName="5335" name="Column5326" queryTableFieldId="11059" dataDxfId="11276"/>
    <tableColumn id="5336" uniqueName="5336" name="Column5327" queryTableFieldId="11058" dataDxfId="11275"/>
    <tableColumn id="5337" uniqueName="5337" name="Column5328" queryTableFieldId="11057" dataDxfId="11274"/>
    <tableColumn id="5338" uniqueName="5338" name="Column5329" queryTableFieldId="11056" dataDxfId="11273"/>
    <tableColumn id="5339" uniqueName="5339" name="Column5330" queryTableFieldId="11055" dataDxfId="11272"/>
    <tableColumn id="5340" uniqueName="5340" name="Column5331" queryTableFieldId="11054" dataDxfId="11271"/>
    <tableColumn id="5341" uniqueName="5341" name="Column5332" queryTableFieldId="11053" dataDxfId="11270"/>
    <tableColumn id="5342" uniqueName="5342" name="Column5333" queryTableFieldId="11052" dataDxfId="11269"/>
    <tableColumn id="5343" uniqueName="5343" name="Column5334" queryTableFieldId="11051" dataDxfId="11268"/>
    <tableColumn id="5344" uniqueName="5344" name="Column5335" queryTableFieldId="11050" dataDxfId="11267"/>
    <tableColumn id="5345" uniqueName="5345" name="Column5336" queryTableFieldId="11049" dataDxfId="11266"/>
    <tableColumn id="5346" uniqueName="5346" name="Column5337" queryTableFieldId="11048" dataDxfId="11265"/>
    <tableColumn id="5347" uniqueName="5347" name="Column5338" queryTableFieldId="11047" dataDxfId="11264"/>
    <tableColumn id="5348" uniqueName="5348" name="Column5339" queryTableFieldId="11046" dataDxfId="11263"/>
    <tableColumn id="5349" uniqueName="5349" name="Column5340" queryTableFieldId="11045" dataDxfId="11262"/>
    <tableColumn id="5350" uniqueName="5350" name="Column5341" queryTableFieldId="11044" dataDxfId="11261"/>
    <tableColumn id="5351" uniqueName="5351" name="Column5342" queryTableFieldId="11043" dataDxfId="11260"/>
    <tableColumn id="5352" uniqueName="5352" name="Column5343" queryTableFieldId="11042" dataDxfId="11259"/>
    <tableColumn id="5353" uniqueName="5353" name="Column5344" queryTableFieldId="11041" dataDxfId="11258"/>
    <tableColumn id="5354" uniqueName="5354" name="Column5345" queryTableFieldId="11040" dataDxfId="11257"/>
    <tableColumn id="5355" uniqueName="5355" name="Column5346" queryTableFieldId="11039" dataDxfId="11256"/>
    <tableColumn id="5356" uniqueName="5356" name="Column5347" queryTableFieldId="11038" dataDxfId="11255"/>
    <tableColumn id="5357" uniqueName="5357" name="Column5348" queryTableFieldId="11037" dataDxfId="11254"/>
    <tableColumn id="5358" uniqueName="5358" name="Column5349" queryTableFieldId="11036" dataDxfId="11253"/>
    <tableColumn id="5359" uniqueName="5359" name="Column5350" queryTableFieldId="11035" dataDxfId="11252"/>
    <tableColumn id="5360" uniqueName="5360" name="Column5351" queryTableFieldId="11034" dataDxfId="11251"/>
    <tableColumn id="5361" uniqueName="5361" name="Column5352" queryTableFieldId="11033" dataDxfId="11250"/>
    <tableColumn id="5362" uniqueName="5362" name="Column5353" queryTableFieldId="11032" dataDxfId="11249"/>
    <tableColumn id="5363" uniqueName="5363" name="Column5354" queryTableFieldId="11031" dataDxfId="11248"/>
    <tableColumn id="5364" uniqueName="5364" name="Column5355" queryTableFieldId="11030" dataDxfId="11247"/>
    <tableColumn id="5365" uniqueName="5365" name="Column5356" queryTableFieldId="11029" dataDxfId="11246"/>
    <tableColumn id="5366" uniqueName="5366" name="Column5357" queryTableFieldId="11028" dataDxfId="11245"/>
    <tableColumn id="5367" uniqueName="5367" name="Column5358" queryTableFieldId="11027" dataDxfId="11244"/>
    <tableColumn id="5368" uniqueName="5368" name="Column5359" queryTableFieldId="11026" dataDxfId="11243"/>
    <tableColumn id="5369" uniqueName="5369" name="Column5360" queryTableFieldId="11025" dataDxfId="11242"/>
    <tableColumn id="5370" uniqueName="5370" name="Column5361" queryTableFieldId="11024" dataDxfId="11241"/>
    <tableColumn id="5371" uniqueName="5371" name="Column5362" queryTableFieldId="11023" dataDxfId="11240"/>
    <tableColumn id="5372" uniqueName="5372" name="Column5363" queryTableFieldId="11022" dataDxfId="11239"/>
    <tableColumn id="5373" uniqueName="5373" name="Column5364" queryTableFieldId="11021" dataDxfId="11238"/>
    <tableColumn id="5374" uniqueName="5374" name="Column5365" queryTableFieldId="11020" dataDxfId="11237"/>
    <tableColumn id="5375" uniqueName="5375" name="Column5366" queryTableFieldId="11019" dataDxfId="11236"/>
    <tableColumn id="5376" uniqueName="5376" name="Column5367" queryTableFieldId="11018" dataDxfId="11235"/>
    <tableColumn id="5377" uniqueName="5377" name="Column5368" queryTableFieldId="11017" dataDxfId="11234"/>
    <tableColumn id="5378" uniqueName="5378" name="Column5369" queryTableFieldId="11016" dataDxfId="11233"/>
    <tableColumn id="5379" uniqueName="5379" name="Column5370" queryTableFieldId="11015" dataDxfId="11232"/>
    <tableColumn id="5380" uniqueName="5380" name="Column5371" queryTableFieldId="11014" dataDxfId="11231"/>
    <tableColumn id="5381" uniqueName="5381" name="Column5372" queryTableFieldId="11013" dataDxfId="11230"/>
    <tableColumn id="5382" uniqueName="5382" name="Column5373" queryTableFieldId="11012" dataDxfId="11229"/>
    <tableColumn id="5383" uniqueName="5383" name="Column5374" queryTableFieldId="11011" dataDxfId="11228"/>
    <tableColumn id="5384" uniqueName="5384" name="Column5375" queryTableFieldId="11010" dataDxfId="11227"/>
    <tableColumn id="5385" uniqueName="5385" name="Column5376" queryTableFieldId="11009" dataDxfId="11226"/>
    <tableColumn id="5386" uniqueName="5386" name="Column5377" queryTableFieldId="11008" dataDxfId="11225"/>
    <tableColumn id="5387" uniqueName="5387" name="Column5378" queryTableFieldId="11007" dataDxfId="11224"/>
    <tableColumn id="5388" uniqueName="5388" name="Column5379" queryTableFieldId="11006" dataDxfId="11223"/>
    <tableColumn id="5389" uniqueName="5389" name="Column5380" queryTableFieldId="11005" dataDxfId="11222"/>
    <tableColumn id="5390" uniqueName="5390" name="Column5381" queryTableFieldId="11004" dataDxfId="11221"/>
    <tableColumn id="5391" uniqueName="5391" name="Column5382" queryTableFieldId="11003" dataDxfId="11220"/>
    <tableColumn id="5392" uniqueName="5392" name="Column5383" queryTableFieldId="11002" dataDxfId="11219"/>
    <tableColumn id="5393" uniqueName="5393" name="Column5384" queryTableFieldId="11001" dataDxfId="11218"/>
    <tableColumn id="5394" uniqueName="5394" name="Column5385" queryTableFieldId="11000" dataDxfId="11217"/>
    <tableColumn id="5395" uniqueName="5395" name="Column5386" queryTableFieldId="10999" dataDxfId="11216"/>
    <tableColumn id="5396" uniqueName="5396" name="Column5387" queryTableFieldId="10998" dataDxfId="11215"/>
    <tableColumn id="5397" uniqueName="5397" name="Column5388" queryTableFieldId="10997" dataDxfId="11214"/>
    <tableColumn id="5398" uniqueName="5398" name="Column5389" queryTableFieldId="10996" dataDxfId="11213"/>
    <tableColumn id="5399" uniqueName="5399" name="Column5390" queryTableFieldId="10995" dataDxfId="11212"/>
    <tableColumn id="5400" uniqueName="5400" name="Column5391" queryTableFieldId="10994" dataDxfId="11211"/>
    <tableColumn id="5401" uniqueName="5401" name="Column5392" queryTableFieldId="10993" dataDxfId="11210"/>
    <tableColumn id="5402" uniqueName="5402" name="Column5393" queryTableFieldId="10992" dataDxfId="11209"/>
    <tableColumn id="5403" uniqueName="5403" name="Column5394" queryTableFieldId="10991" dataDxfId="11208"/>
    <tableColumn id="5404" uniqueName="5404" name="Column5395" queryTableFieldId="10990" dataDxfId="11207"/>
    <tableColumn id="5405" uniqueName="5405" name="Column5396" queryTableFieldId="10989" dataDxfId="11206"/>
    <tableColumn id="5406" uniqueName="5406" name="Column5397" queryTableFieldId="10988" dataDxfId="11205"/>
    <tableColumn id="5407" uniqueName="5407" name="Column5398" queryTableFieldId="10987" dataDxfId="11204"/>
    <tableColumn id="5408" uniqueName="5408" name="Column5399" queryTableFieldId="10986" dataDxfId="11203"/>
    <tableColumn id="5409" uniqueName="5409" name="Column5400" queryTableFieldId="10985" dataDxfId="11202"/>
    <tableColumn id="5410" uniqueName="5410" name="Column5401" queryTableFieldId="10984" dataDxfId="11201"/>
    <tableColumn id="5411" uniqueName="5411" name="Column5402" queryTableFieldId="10983" dataDxfId="11200"/>
    <tableColumn id="5412" uniqueName="5412" name="Column5403" queryTableFieldId="10982" dataDxfId="11199"/>
    <tableColumn id="5413" uniqueName="5413" name="Column5404" queryTableFieldId="10981" dataDxfId="11198"/>
    <tableColumn id="5414" uniqueName="5414" name="Column5405" queryTableFieldId="10980" dataDxfId="11197"/>
    <tableColumn id="5415" uniqueName="5415" name="Column5406" queryTableFieldId="10979" dataDxfId="11196"/>
    <tableColumn id="5416" uniqueName="5416" name="Column5407" queryTableFieldId="10978" dataDxfId="11195"/>
    <tableColumn id="5417" uniqueName="5417" name="Column5408" queryTableFieldId="10977" dataDxfId="11194"/>
    <tableColumn id="5418" uniqueName="5418" name="Column5409" queryTableFieldId="10976" dataDxfId="11193"/>
    <tableColumn id="5419" uniqueName="5419" name="Column5410" queryTableFieldId="10975" dataDxfId="11192"/>
    <tableColumn id="5420" uniqueName="5420" name="Column5411" queryTableFieldId="10974" dataDxfId="11191"/>
    <tableColumn id="5421" uniqueName="5421" name="Column5412" queryTableFieldId="10973" dataDxfId="11190"/>
    <tableColumn id="5422" uniqueName="5422" name="Column5413" queryTableFieldId="10972" dataDxfId="11189"/>
    <tableColumn id="5423" uniqueName="5423" name="Column5414" queryTableFieldId="10971" dataDxfId="11188"/>
    <tableColumn id="5424" uniqueName="5424" name="Column5415" queryTableFieldId="10970" dataDxfId="11187"/>
    <tableColumn id="5425" uniqueName="5425" name="Column5416" queryTableFieldId="10969" dataDxfId="11186"/>
    <tableColumn id="5426" uniqueName="5426" name="Column5417" queryTableFieldId="10968" dataDxfId="11185"/>
    <tableColumn id="5427" uniqueName="5427" name="Column5418" queryTableFieldId="10967" dataDxfId="11184"/>
    <tableColumn id="5428" uniqueName="5428" name="Column5419" queryTableFieldId="10966" dataDxfId="11183"/>
    <tableColumn id="5429" uniqueName="5429" name="Column5420" queryTableFieldId="10965" dataDxfId="11182"/>
    <tableColumn id="5430" uniqueName="5430" name="Column5421" queryTableFieldId="10964" dataDxfId="11181"/>
    <tableColumn id="5431" uniqueName="5431" name="Column5422" queryTableFieldId="10963" dataDxfId="11180"/>
    <tableColumn id="5432" uniqueName="5432" name="Column5423" queryTableFieldId="10962" dataDxfId="11179"/>
    <tableColumn id="5433" uniqueName="5433" name="Column5424" queryTableFieldId="10961" dataDxfId="11178"/>
    <tableColumn id="5434" uniqueName="5434" name="Column5425" queryTableFieldId="10960" dataDxfId="11177"/>
    <tableColumn id="5435" uniqueName="5435" name="Column5426" queryTableFieldId="10959" dataDxfId="11176"/>
    <tableColumn id="5436" uniqueName="5436" name="Column5427" queryTableFieldId="10958" dataDxfId="11175"/>
    <tableColumn id="5437" uniqueName="5437" name="Column5428" queryTableFieldId="10957" dataDxfId="11174"/>
    <tableColumn id="5438" uniqueName="5438" name="Column5429" queryTableFieldId="10956" dataDxfId="11173"/>
    <tableColumn id="5439" uniqueName="5439" name="Column5430" queryTableFieldId="10955" dataDxfId="11172"/>
    <tableColumn id="5440" uniqueName="5440" name="Column5431" queryTableFieldId="10954" dataDxfId="11171"/>
    <tableColumn id="5441" uniqueName="5441" name="Column5432" queryTableFieldId="10953" dataDxfId="11170"/>
    <tableColumn id="5442" uniqueName="5442" name="Column5433" queryTableFieldId="10952" dataDxfId="11169"/>
    <tableColumn id="5443" uniqueName="5443" name="Column5434" queryTableFieldId="10951" dataDxfId="11168"/>
    <tableColumn id="5444" uniqueName="5444" name="Column5435" queryTableFieldId="10950" dataDxfId="11167"/>
    <tableColumn id="5445" uniqueName="5445" name="Column5436" queryTableFieldId="10949" dataDxfId="11166"/>
    <tableColumn id="5446" uniqueName="5446" name="Column5437" queryTableFieldId="10948" dataDxfId="11165"/>
    <tableColumn id="5447" uniqueName="5447" name="Column5438" queryTableFieldId="10947" dataDxfId="11164"/>
    <tableColumn id="5448" uniqueName="5448" name="Column5439" queryTableFieldId="10946" dataDxfId="11163"/>
    <tableColumn id="5449" uniqueName="5449" name="Column5440" queryTableFieldId="10945" dataDxfId="11162"/>
    <tableColumn id="5450" uniqueName="5450" name="Column5441" queryTableFieldId="10944" dataDxfId="11161"/>
    <tableColumn id="5451" uniqueName="5451" name="Column5442" queryTableFieldId="10943" dataDxfId="11160"/>
    <tableColumn id="5452" uniqueName="5452" name="Column5443" queryTableFieldId="10942" dataDxfId="11159"/>
    <tableColumn id="5453" uniqueName="5453" name="Column5444" queryTableFieldId="10941" dataDxfId="11158"/>
    <tableColumn id="5454" uniqueName="5454" name="Column5445" queryTableFieldId="10940" dataDxfId="11157"/>
    <tableColumn id="5455" uniqueName="5455" name="Column5446" queryTableFieldId="10939" dataDxfId="11156"/>
    <tableColumn id="5456" uniqueName="5456" name="Column5447" queryTableFieldId="10938" dataDxfId="11155"/>
    <tableColumn id="5457" uniqueName="5457" name="Column5448" queryTableFieldId="10937" dataDxfId="11154"/>
    <tableColumn id="5458" uniqueName="5458" name="Column5449" queryTableFieldId="10936" dataDxfId="11153"/>
    <tableColumn id="5459" uniqueName="5459" name="Column5450" queryTableFieldId="10935" dataDxfId="11152"/>
    <tableColumn id="5460" uniqueName="5460" name="Column5451" queryTableFieldId="10934" dataDxfId="11151"/>
    <tableColumn id="5461" uniqueName="5461" name="Column5452" queryTableFieldId="10933" dataDxfId="11150"/>
    <tableColumn id="5462" uniqueName="5462" name="Column5453" queryTableFieldId="10932" dataDxfId="11149"/>
    <tableColumn id="5463" uniqueName="5463" name="Column5454" queryTableFieldId="10931" dataDxfId="11148"/>
    <tableColumn id="5464" uniqueName="5464" name="Column5455" queryTableFieldId="10930" dataDxfId="11147"/>
    <tableColumn id="5465" uniqueName="5465" name="Column5456" queryTableFieldId="10929" dataDxfId="11146"/>
    <tableColumn id="5466" uniqueName="5466" name="Column5457" queryTableFieldId="10928" dataDxfId="11145"/>
    <tableColumn id="5467" uniqueName="5467" name="Column5458" queryTableFieldId="10927" dataDxfId="11144"/>
    <tableColumn id="5468" uniqueName="5468" name="Column5459" queryTableFieldId="10926" dataDxfId="11143"/>
    <tableColumn id="5469" uniqueName="5469" name="Column5460" queryTableFieldId="10925" dataDxfId="11142"/>
    <tableColumn id="5470" uniqueName="5470" name="Column5461" queryTableFieldId="10924" dataDxfId="11141"/>
    <tableColumn id="5471" uniqueName="5471" name="Column5462" queryTableFieldId="10923" dataDxfId="11140"/>
    <tableColumn id="5472" uniqueName="5472" name="Column5463" queryTableFieldId="10922" dataDxfId="11139"/>
    <tableColumn id="5473" uniqueName="5473" name="Column5464" queryTableFieldId="10921" dataDxfId="11138"/>
    <tableColumn id="5474" uniqueName="5474" name="Column5465" queryTableFieldId="10920" dataDxfId="11137"/>
    <tableColumn id="5475" uniqueName="5475" name="Column5466" queryTableFieldId="10919" dataDxfId="11136"/>
    <tableColumn id="5476" uniqueName="5476" name="Column5467" queryTableFieldId="10918" dataDxfId="11135"/>
    <tableColumn id="5477" uniqueName="5477" name="Column5468" queryTableFieldId="10917" dataDxfId="11134"/>
    <tableColumn id="5478" uniqueName="5478" name="Column5469" queryTableFieldId="10916" dataDxfId="11133"/>
    <tableColumn id="5479" uniqueName="5479" name="Column5470" queryTableFieldId="10915" dataDxfId="11132"/>
    <tableColumn id="5480" uniqueName="5480" name="Column5471" queryTableFieldId="10914" dataDxfId="11131"/>
    <tableColumn id="5481" uniqueName="5481" name="Column5472" queryTableFieldId="10913" dataDxfId="11130"/>
    <tableColumn id="5482" uniqueName="5482" name="Column5473" queryTableFieldId="10912" dataDxfId="11129"/>
    <tableColumn id="5483" uniqueName="5483" name="Column5474" queryTableFieldId="10911" dataDxfId="11128"/>
    <tableColumn id="5484" uniqueName="5484" name="Column5475" queryTableFieldId="10910" dataDxfId="11127"/>
    <tableColumn id="5485" uniqueName="5485" name="Column5476" queryTableFieldId="10909" dataDxfId="11126"/>
    <tableColumn id="5486" uniqueName="5486" name="Column5477" queryTableFieldId="10908" dataDxfId="11125"/>
    <tableColumn id="5487" uniqueName="5487" name="Column5478" queryTableFieldId="10907" dataDxfId="11124"/>
    <tableColumn id="5488" uniqueName="5488" name="Column5479" queryTableFieldId="10906" dataDxfId="11123"/>
    <tableColumn id="5489" uniqueName="5489" name="Column5480" queryTableFieldId="10905" dataDxfId="11122"/>
    <tableColumn id="5490" uniqueName="5490" name="Column5481" queryTableFieldId="10904" dataDxfId="11121"/>
    <tableColumn id="5491" uniqueName="5491" name="Column5482" queryTableFieldId="10903" dataDxfId="11120"/>
    <tableColumn id="5492" uniqueName="5492" name="Column5483" queryTableFieldId="10902" dataDxfId="11119"/>
    <tableColumn id="5493" uniqueName="5493" name="Column5484" queryTableFieldId="10901" dataDxfId="11118"/>
    <tableColumn id="5494" uniqueName="5494" name="Column5485" queryTableFieldId="10900" dataDxfId="11117"/>
    <tableColumn id="5495" uniqueName="5495" name="Column5486" queryTableFieldId="10899" dataDxfId="11116"/>
    <tableColumn id="5496" uniqueName="5496" name="Column5487" queryTableFieldId="10898" dataDxfId="11115"/>
    <tableColumn id="5497" uniqueName="5497" name="Column5488" queryTableFieldId="10897" dataDxfId="11114"/>
    <tableColumn id="5498" uniqueName="5498" name="Column5489" queryTableFieldId="10896" dataDxfId="11113"/>
    <tableColumn id="5499" uniqueName="5499" name="Column5490" queryTableFieldId="10895" dataDxfId="11112"/>
    <tableColumn id="5500" uniqueName="5500" name="Column5491" queryTableFieldId="10894" dataDxfId="11111"/>
    <tableColumn id="5501" uniqueName="5501" name="Column5492" queryTableFieldId="10893" dataDxfId="11110"/>
    <tableColumn id="5502" uniqueName="5502" name="Column5493" queryTableFieldId="10892" dataDxfId="11109"/>
    <tableColumn id="5503" uniqueName="5503" name="Column5494" queryTableFieldId="10891" dataDxfId="11108"/>
    <tableColumn id="5504" uniqueName="5504" name="Column5495" queryTableFieldId="10890" dataDxfId="11107"/>
    <tableColumn id="5505" uniqueName="5505" name="Column5496" queryTableFieldId="10889" dataDxfId="11106"/>
    <tableColumn id="5506" uniqueName="5506" name="Column5497" queryTableFieldId="10888" dataDxfId="11105"/>
    <tableColumn id="5507" uniqueName="5507" name="Column5498" queryTableFieldId="10887" dataDxfId="11104"/>
    <tableColumn id="5508" uniqueName="5508" name="Column5499" queryTableFieldId="10886" dataDxfId="11103"/>
    <tableColumn id="5509" uniqueName="5509" name="Column5500" queryTableFieldId="10885" dataDxfId="11102"/>
    <tableColumn id="5510" uniqueName="5510" name="Column5501" queryTableFieldId="10884" dataDxfId="11101"/>
    <tableColumn id="5511" uniqueName="5511" name="Column5502" queryTableFieldId="10883" dataDxfId="11100"/>
    <tableColumn id="5512" uniqueName="5512" name="Column5503" queryTableFieldId="10882" dataDxfId="11099"/>
    <tableColumn id="5513" uniqueName="5513" name="Column5504" queryTableFieldId="10881" dataDxfId="11098"/>
    <tableColumn id="5514" uniqueName="5514" name="Column5505" queryTableFieldId="10880" dataDxfId="11097"/>
    <tableColumn id="5515" uniqueName="5515" name="Column5506" queryTableFieldId="10879" dataDxfId="11096"/>
    <tableColumn id="5516" uniqueName="5516" name="Column5507" queryTableFieldId="10878" dataDxfId="11095"/>
    <tableColumn id="5517" uniqueName="5517" name="Column5508" queryTableFieldId="10877" dataDxfId="11094"/>
    <tableColumn id="5518" uniqueName="5518" name="Column5509" queryTableFieldId="10876" dataDxfId="11093"/>
    <tableColumn id="5519" uniqueName="5519" name="Column5510" queryTableFieldId="10875" dataDxfId="11092"/>
    <tableColumn id="5520" uniqueName="5520" name="Column5511" queryTableFieldId="10874" dataDxfId="11091"/>
    <tableColumn id="5521" uniqueName="5521" name="Column5512" queryTableFieldId="10873" dataDxfId="11090"/>
    <tableColumn id="5522" uniqueName="5522" name="Column5513" queryTableFieldId="10872" dataDxfId="11089"/>
    <tableColumn id="5523" uniqueName="5523" name="Column5514" queryTableFieldId="10871" dataDxfId="11088"/>
    <tableColumn id="5524" uniqueName="5524" name="Column5515" queryTableFieldId="10870" dataDxfId="11087"/>
    <tableColumn id="5525" uniqueName="5525" name="Column5516" queryTableFieldId="10869" dataDxfId="11086"/>
    <tableColumn id="5526" uniqueName="5526" name="Column5517" queryTableFieldId="10868" dataDxfId="11085"/>
    <tableColumn id="5527" uniqueName="5527" name="Column5518" queryTableFieldId="10867" dataDxfId="11084"/>
    <tableColumn id="5528" uniqueName="5528" name="Column5519" queryTableFieldId="10866" dataDxfId="11083"/>
    <tableColumn id="5529" uniqueName="5529" name="Column5520" queryTableFieldId="10865" dataDxfId="11082"/>
    <tableColumn id="5530" uniqueName="5530" name="Column5521" queryTableFieldId="10864" dataDxfId="11081"/>
    <tableColumn id="5531" uniqueName="5531" name="Column5522" queryTableFieldId="10863" dataDxfId="11080"/>
    <tableColumn id="5532" uniqueName="5532" name="Column5523" queryTableFieldId="10862" dataDxfId="11079"/>
    <tableColumn id="5533" uniqueName="5533" name="Column5524" queryTableFieldId="10861" dataDxfId="11078"/>
    <tableColumn id="5534" uniqueName="5534" name="Column5525" queryTableFieldId="10860" dataDxfId="11077"/>
    <tableColumn id="5535" uniqueName="5535" name="Column5526" queryTableFieldId="10859" dataDxfId="11076"/>
    <tableColumn id="5536" uniqueName="5536" name="Column5527" queryTableFieldId="10858" dataDxfId="11075"/>
    <tableColumn id="5537" uniqueName="5537" name="Column5528" queryTableFieldId="10857" dataDxfId="11074"/>
    <tableColumn id="5538" uniqueName="5538" name="Column5529" queryTableFieldId="10856" dataDxfId="11073"/>
    <tableColumn id="5539" uniqueName="5539" name="Column5530" queryTableFieldId="10855" dataDxfId="11072"/>
    <tableColumn id="5540" uniqueName="5540" name="Column5531" queryTableFieldId="10854" dataDxfId="11071"/>
    <tableColumn id="5541" uniqueName="5541" name="Column5532" queryTableFieldId="10853" dataDxfId="11070"/>
    <tableColumn id="5542" uniqueName="5542" name="Column5533" queryTableFieldId="10852" dataDxfId="11069"/>
    <tableColumn id="5543" uniqueName="5543" name="Column5534" queryTableFieldId="10851" dataDxfId="11068"/>
    <tableColumn id="5544" uniqueName="5544" name="Column5535" queryTableFieldId="10850" dataDxfId="11067"/>
    <tableColumn id="5545" uniqueName="5545" name="Column5536" queryTableFieldId="10849" dataDxfId="11066"/>
    <tableColumn id="5546" uniqueName="5546" name="Column5537" queryTableFieldId="10848" dataDxfId="11065"/>
    <tableColumn id="5547" uniqueName="5547" name="Column5538" queryTableFieldId="10847" dataDxfId="11064"/>
    <tableColumn id="5548" uniqueName="5548" name="Column5539" queryTableFieldId="10846" dataDxfId="11063"/>
    <tableColumn id="5549" uniqueName="5549" name="Column5540" queryTableFieldId="10845" dataDxfId="11062"/>
    <tableColumn id="5550" uniqueName="5550" name="Column5541" queryTableFieldId="10844" dataDxfId="11061"/>
    <tableColumn id="5551" uniqueName="5551" name="Column5542" queryTableFieldId="10843" dataDxfId="11060"/>
    <tableColumn id="5552" uniqueName="5552" name="Column5543" queryTableFieldId="10842" dataDxfId="11059"/>
    <tableColumn id="5553" uniqueName="5553" name="Column5544" queryTableFieldId="10841" dataDxfId="11058"/>
    <tableColumn id="5554" uniqueName="5554" name="Column5545" queryTableFieldId="10840" dataDxfId="11057"/>
    <tableColumn id="5555" uniqueName="5555" name="Column5546" queryTableFieldId="10839" dataDxfId="11056"/>
    <tableColumn id="5556" uniqueName="5556" name="Column5547" queryTableFieldId="10838" dataDxfId="11055"/>
    <tableColumn id="5557" uniqueName="5557" name="Column5548" queryTableFieldId="10837" dataDxfId="11054"/>
    <tableColumn id="5558" uniqueName="5558" name="Column5549" queryTableFieldId="10836" dataDxfId="11053"/>
    <tableColumn id="5559" uniqueName="5559" name="Column5550" queryTableFieldId="10835" dataDxfId="11052"/>
    <tableColumn id="5560" uniqueName="5560" name="Column5551" queryTableFieldId="10834" dataDxfId="11051"/>
    <tableColumn id="5561" uniqueName="5561" name="Column5552" queryTableFieldId="10833" dataDxfId="11050"/>
    <tableColumn id="5562" uniqueName="5562" name="Column5553" queryTableFieldId="10832" dataDxfId="11049"/>
    <tableColumn id="5563" uniqueName="5563" name="Column5554" queryTableFieldId="10831" dataDxfId="11048"/>
    <tableColumn id="5564" uniqueName="5564" name="Column5555" queryTableFieldId="10830" dataDxfId="11047"/>
    <tableColumn id="5565" uniqueName="5565" name="Column5556" queryTableFieldId="10829" dataDxfId="11046"/>
    <tableColumn id="5566" uniqueName="5566" name="Column5557" queryTableFieldId="10828" dataDxfId="11045"/>
    <tableColumn id="5567" uniqueName="5567" name="Column5558" queryTableFieldId="10827" dataDxfId="11044"/>
    <tableColumn id="5568" uniqueName="5568" name="Column5559" queryTableFieldId="10826" dataDxfId="11043"/>
    <tableColumn id="5569" uniqueName="5569" name="Column5560" queryTableFieldId="10825" dataDxfId="11042"/>
    <tableColumn id="5570" uniqueName="5570" name="Column5561" queryTableFieldId="10824" dataDxfId="11041"/>
    <tableColumn id="5571" uniqueName="5571" name="Column5562" queryTableFieldId="10823" dataDxfId="11040"/>
    <tableColumn id="5572" uniqueName="5572" name="Column5563" queryTableFieldId="10822" dataDxfId="11039"/>
    <tableColumn id="5573" uniqueName="5573" name="Column5564" queryTableFieldId="10821" dataDxfId="11038"/>
    <tableColumn id="5574" uniqueName="5574" name="Column5565" queryTableFieldId="10820" dataDxfId="11037"/>
    <tableColumn id="5575" uniqueName="5575" name="Column5566" queryTableFieldId="10819" dataDxfId="11036"/>
    <tableColumn id="5576" uniqueName="5576" name="Column5567" queryTableFieldId="10818" dataDxfId="11035"/>
    <tableColumn id="5577" uniqueName="5577" name="Column5568" queryTableFieldId="10817" dataDxfId="11034"/>
    <tableColumn id="5578" uniqueName="5578" name="Column5569" queryTableFieldId="10816" dataDxfId="11033"/>
    <tableColumn id="5579" uniqueName="5579" name="Column5570" queryTableFieldId="10815" dataDxfId="11032"/>
    <tableColumn id="5580" uniqueName="5580" name="Column5571" queryTableFieldId="10814" dataDxfId="11031"/>
    <tableColumn id="5581" uniqueName="5581" name="Column5572" queryTableFieldId="10813" dataDxfId="11030"/>
    <tableColumn id="5582" uniqueName="5582" name="Column5573" queryTableFieldId="10812" dataDxfId="11029"/>
    <tableColumn id="5583" uniqueName="5583" name="Column5574" queryTableFieldId="10811" dataDxfId="11028"/>
    <tableColumn id="5584" uniqueName="5584" name="Column5575" queryTableFieldId="10810" dataDxfId="11027"/>
    <tableColumn id="5585" uniqueName="5585" name="Column5576" queryTableFieldId="10809" dataDxfId="11026"/>
    <tableColumn id="5586" uniqueName="5586" name="Column5577" queryTableFieldId="10808" dataDxfId="11025"/>
    <tableColumn id="5587" uniqueName="5587" name="Column5578" queryTableFieldId="10807" dataDxfId="11024"/>
    <tableColumn id="5588" uniqueName="5588" name="Column5579" queryTableFieldId="10806" dataDxfId="11023"/>
    <tableColumn id="5589" uniqueName="5589" name="Column5580" queryTableFieldId="10805" dataDxfId="11022"/>
    <tableColumn id="5590" uniqueName="5590" name="Column5581" queryTableFieldId="10804" dataDxfId="11021"/>
    <tableColumn id="5591" uniqueName="5591" name="Column5582" queryTableFieldId="10803" dataDxfId="11020"/>
    <tableColumn id="5592" uniqueName="5592" name="Column5583" queryTableFieldId="10802" dataDxfId="11019"/>
    <tableColumn id="5593" uniqueName="5593" name="Column5584" queryTableFieldId="10801" dataDxfId="11018"/>
    <tableColumn id="5594" uniqueName="5594" name="Column5585" queryTableFieldId="10800" dataDxfId="11017"/>
    <tableColumn id="5595" uniqueName="5595" name="Column5586" queryTableFieldId="10799" dataDxfId="11016"/>
    <tableColumn id="5596" uniqueName="5596" name="Column5587" queryTableFieldId="10798" dataDxfId="11015"/>
    <tableColumn id="5597" uniqueName="5597" name="Column5588" queryTableFieldId="10797" dataDxfId="11014"/>
    <tableColumn id="5598" uniqueName="5598" name="Column5589" queryTableFieldId="10796" dataDxfId="11013"/>
    <tableColumn id="5599" uniqueName="5599" name="Column5590" queryTableFieldId="10795" dataDxfId="11012"/>
    <tableColumn id="5600" uniqueName="5600" name="Column5591" queryTableFieldId="10794" dataDxfId="11011"/>
    <tableColumn id="5601" uniqueName="5601" name="Column5592" queryTableFieldId="10793" dataDxfId="11010"/>
    <tableColumn id="5602" uniqueName="5602" name="Column5593" queryTableFieldId="10792" dataDxfId="11009"/>
    <tableColumn id="5603" uniqueName="5603" name="Column5594" queryTableFieldId="10791" dataDxfId="11008"/>
    <tableColumn id="5604" uniqueName="5604" name="Column5595" queryTableFieldId="10790" dataDxfId="11007"/>
    <tableColumn id="5605" uniqueName="5605" name="Column5596" queryTableFieldId="10789" dataDxfId="11006"/>
    <tableColumn id="5606" uniqueName="5606" name="Column5597" queryTableFieldId="10788" dataDxfId="11005"/>
    <tableColumn id="5607" uniqueName="5607" name="Column5598" queryTableFieldId="10787" dataDxfId="11004"/>
    <tableColumn id="5608" uniqueName="5608" name="Column5599" queryTableFieldId="10786" dataDxfId="11003"/>
    <tableColumn id="5609" uniqueName="5609" name="Column5600" queryTableFieldId="10785" dataDxfId="11002"/>
    <tableColumn id="5610" uniqueName="5610" name="Column5601" queryTableFieldId="10784" dataDxfId="11001"/>
    <tableColumn id="5611" uniqueName="5611" name="Column5602" queryTableFieldId="10783" dataDxfId="11000"/>
    <tableColumn id="5612" uniqueName="5612" name="Column5603" queryTableFieldId="10782" dataDxfId="10999"/>
    <tableColumn id="5613" uniqueName="5613" name="Column5604" queryTableFieldId="10781" dataDxfId="10998"/>
    <tableColumn id="5614" uniqueName="5614" name="Column5605" queryTableFieldId="10780" dataDxfId="10997"/>
    <tableColumn id="5615" uniqueName="5615" name="Column5606" queryTableFieldId="10779" dataDxfId="10996"/>
    <tableColumn id="5616" uniqueName="5616" name="Column5607" queryTableFieldId="10778" dataDxfId="10995"/>
    <tableColumn id="5617" uniqueName="5617" name="Column5608" queryTableFieldId="10777" dataDxfId="10994"/>
    <tableColumn id="5618" uniqueName="5618" name="Column5609" queryTableFieldId="10776" dataDxfId="10993"/>
    <tableColumn id="5619" uniqueName="5619" name="Column5610" queryTableFieldId="10775" dataDxfId="10992"/>
    <tableColumn id="5620" uniqueName="5620" name="Column5611" queryTableFieldId="10774" dataDxfId="10991"/>
    <tableColumn id="5621" uniqueName="5621" name="Column5612" queryTableFieldId="10773" dataDxfId="10990"/>
    <tableColumn id="5622" uniqueName="5622" name="Column5613" queryTableFieldId="10772" dataDxfId="10989"/>
    <tableColumn id="5623" uniqueName="5623" name="Column5614" queryTableFieldId="10771" dataDxfId="10988"/>
    <tableColumn id="5624" uniqueName="5624" name="Column5615" queryTableFieldId="10770" dataDxfId="10987"/>
    <tableColumn id="5625" uniqueName="5625" name="Column5616" queryTableFieldId="10769" dataDxfId="10986"/>
    <tableColumn id="5626" uniqueName="5626" name="Column5617" queryTableFieldId="10768" dataDxfId="10985"/>
    <tableColumn id="5627" uniqueName="5627" name="Column5618" queryTableFieldId="10767" dataDxfId="10984"/>
    <tableColumn id="5628" uniqueName="5628" name="Column5619" queryTableFieldId="10766" dataDxfId="10983"/>
    <tableColumn id="5629" uniqueName="5629" name="Column5620" queryTableFieldId="10765" dataDxfId="10982"/>
    <tableColumn id="5630" uniqueName="5630" name="Column5621" queryTableFieldId="10764" dataDxfId="10981"/>
    <tableColumn id="5631" uniqueName="5631" name="Column5622" queryTableFieldId="10763" dataDxfId="10980"/>
    <tableColumn id="5632" uniqueName="5632" name="Column5623" queryTableFieldId="10762" dataDxfId="10979"/>
    <tableColumn id="5633" uniqueName="5633" name="Column5624" queryTableFieldId="10761" dataDxfId="10978"/>
    <tableColumn id="5634" uniqueName="5634" name="Column5625" queryTableFieldId="10760" dataDxfId="10977"/>
    <tableColumn id="5635" uniqueName="5635" name="Column5626" queryTableFieldId="10759" dataDxfId="10976"/>
    <tableColumn id="5636" uniqueName="5636" name="Column5627" queryTableFieldId="10758" dataDxfId="10975"/>
    <tableColumn id="5637" uniqueName="5637" name="Column5628" queryTableFieldId="10757" dataDxfId="10974"/>
    <tableColumn id="5638" uniqueName="5638" name="Column5629" queryTableFieldId="10756" dataDxfId="10973"/>
    <tableColumn id="5639" uniqueName="5639" name="Column5630" queryTableFieldId="10755" dataDxfId="10972"/>
    <tableColumn id="5640" uniqueName="5640" name="Column5631" queryTableFieldId="10754" dataDxfId="10971"/>
    <tableColumn id="5641" uniqueName="5641" name="Column5632" queryTableFieldId="10753" dataDxfId="10970"/>
    <tableColumn id="5642" uniqueName="5642" name="Column5633" queryTableFieldId="10752" dataDxfId="10969"/>
    <tableColumn id="5643" uniqueName="5643" name="Column5634" queryTableFieldId="10751" dataDxfId="10968"/>
    <tableColumn id="5644" uniqueName="5644" name="Column5635" queryTableFieldId="10750" dataDxfId="10967"/>
    <tableColumn id="5645" uniqueName="5645" name="Column5636" queryTableFieldId="10749" dataDxfId="10966"/>
    <tableColumn id="5646" uniqueName="5646" name="Column5637" queryTableFieldId="10748" dataDxfId="10965"/>
    <tableColumn id="5647" uniqueName="5647" name="Column5638" queryTableFieldId="10747" dataDxfId="10964"/>
    <tableColumn id="5648" uniqueName="5648" name="Column5639" queryTableFieldId="10746" dataDxfId="10963"/>
    <tableColumn id="5649" uniqueName="5649" name="Column5640" queryTableFieldId="10745" dataDxfId="10962"/>
    <tableColumn id="5650" uniqueName="5650" name="Column5641" queryTableFieldId="10744" dataDxfId="10961"/>
    <tableColumn id="5651" uniqueName="5651" name="Column5642" queryTableFieldId="10743" dataDxfId="10960"/>
    <tableColumn id="5652" uniqueName="5652" name="Column5643" queryTableFieldId="10742" dataDxfId="10959"/>
    <tableColumn id="5653" uniqueName="5653" name="Column5644" queryTableFieldId="10741" dataDxfId="10958"/>
    <tableColumn id="5654" uniqueName="5654" name="Column5645" queryTableFieldId="10740" dataDxfId="10957"/>
    <tableColumn id="5655" uniqueName="5655" name="Column5646" queryTableFieldId="10739" dataDxfId="10956"/>
    <tableColumn id="5656" uniqueName="5656" name="Column5647" queryTableFieldId="10738" dataDxfId="10955"/>
    <tableColumn id="5657" uniqueName="5657" name="Column5648" queryTableFieldId="10737" dataDxfId="10954"/>
    <tableColumn id="5658" uniqueName="5658" name="Column5649" queryTableFieldId="10736" dataDxfId="10953"/>
    <tableColumn id="5659" uniqueName="5659" name="Column5650" queryTableFieldId="10735" dataDxfId="10952"/>
    <tableColumn id="5660" uniqueName="5660" name="Column5651" queryTableFieldId="10734" dataDxfId="10951"/>
    <tableColumn id="5661" uniqueName="5661" name="Column5652" queryTableFieldId="10733" dataDxfId="10950"/>
    <tableColumn id="5662" uniqueName="5662" name="Column5653" queryTableFieldId="10732" dataDxfId="10949"/>
    <tableColumn id="5663" uniqueName="5663" name="Column5654" queryTableFieldId="10731" dataDxfId="10948"/>
    <tableColumn id="5664" uniqueName="5664" name="Column5655" queryTableFieldId="10730" dataDxfId="10947"/>
    <tableColumn id="5665" uniqueName="5665" name="Column5656" queryTableFieldId="10729" dataDxfId="10946"/>
    <tableColumn id="5666" uniqueName="5666" name="Column5657" queryTableFieldId="10728" dataDxfId="10945"/>
    <tableColumn id="5667" uniqueName="5667" name="Column5658" queryTableFieldId="10727" dataDxfId="10944"/>
    <tableColumn id="5668" uniqueName="5668" name="Column5659" queryTableFieldId="10726" dataDxfId="10943"/>
    <tableColumn id="5669" uniqueName="5669" name="Column5660" queryTableFieldId="10725" dataDxfId="10942"/>
    <tableColumn id="5670" uniqueName="5670" name="Column5661" queryTableFieldId="10724" dataDxfId="10941"/>
    <tableColumn id="5671" uniqueName="5671" name="Column5662" queryTableFieldId="10723" dataDxfId="10940"/>
    <tableColumn id="5672" uniqueName="5672" name="Column5663" queryTableFieldId="10722" dataDxfId="10939"/>
    <tableColumn id="5673" uniqueName="5673" name="Column5664" queryTableFieldId="10721" dataDxfId="10938"/>
    <tableColumn id="5674" uniqueName="5674" name="Column5665" queryTableFieldId="10720" dataDxfId="10937"/>
    <tableColumn id="5675" uniqueName="5675" name="Column5666" queryTableFieldId="10719" dataDxfId="10936"/>
    <tableColumn id="5676" uniqueName="5676" name="Column5667" queryTableFieldId="10718" dataDxfId="10935"/>
    <tableColumn id="5677" uniqueName="5677" name="Column5668" queryTableFieldId="10717" dataDxfId="10934"/>
    <tableColumn id="5678" uniqueName="5678" name="Column5669" queryTableFieldId="10716" dataDxfId="10933"/>
    <tableColumn id="5679" uniqueName="5679" name="Column5670" queryTableFieldId="10715" dataDxfId="10932"/>
    <tableColumn id="5680" uniqueName="5680" name="Column5671" queryTableFieldId="10714" dataDxfId="10931"/>
    <tableColumn id="5681" uniqueName="5681" name="Column5672" queryTableFieldId="10713" dataDxfId="10930"/>
    <tableColumn id="5682" uniqueName="5682" name="Column5673" queryTableFieldId="10712" dataDxfId="10929"/>
    <tableColumn id="5683" uniqueName="5683" name="Column5674" queryTableFieldId="10711" dataDxfId="10928"/>
    <tableColumn id="5684" uniqueName="5684" name="Column5675" queryTableFieldId="10710" dataDxfId="10927"/>
    <tableColumn id="5685" uniqueName="5685" name="Column5676" queryTableFieldId="10709" dataDxfId="10926"/>
    <tableColumn id="5686" uniqueName="5686" name="Column5677" queryTableFieldId="10708" dataDxfId="10925"/>
    <tableColumn id="5687" uniqueName="5687" name="Column5678" queryTableFieldId="10707" dataDxfId="10924"/>
    <tableColumn id="5688" uniqueName="5688" name="Column5679" queryTableFieldId="10706" dataDxfId="10923"/>
    <tableColumn id="5689" uniqueName="5689" name="Column5680" queryTableFieldId="10705" dataDxfId="10922"/>
    <tableColumn id="5690" uniqueName="5690" name="Column5681" queryTableFieldId="10704" dataDxfId="10921"/>
    <tableColumn id="5691" uniqueName="5691" name="Column5682" queryTableFieldId="10703" dataDxfId="10920"/>
    <tableColumn id="5692" uniqueName="5692" name="Column5683" queryTableFieldId="10702" dataDxfId="10919"/>
    <tableColumn id="5693" uniqueName="5693" name="Column5684" queryTableFieldId="10701" dataDxfId="10918"/>
    <tableColumn id="5694" uniqueName="5694" name="Column5685" queryTableFieldId="10700" dataDxfId="10917"/>
    <tableColumn id="5695" uniqueName="5695" name="Column5686" queryTableFieldId="10699" dataDxfId="10916"/>
    <tableColumn id="5696" uniqueName="5696" name="Column5687" queryTableFieldId="10698" dataDxfId="10915"/>
    <tableColumn id="5697" uniqueName="5697" name="Column5688" queryTableFieldId="10697" dataDxfId="10914"/>
    <tableColumn id="5698" uniqueName="5698" name="Column5689" queryTableFieldId="10696" dataDxfId="10913"/>
    <tableColumn id="5699" uniqueName="5699" name="Column5690" queryTableFieldId="10695" dataDxfId="10912"/>
    <tableColumn id="5700" uniqueName="5700" name="Column5691" queryTableFieldId="10694" dataDxfId="10911"/>
    <tableColumn id="5701" uniqueName="5701" name="Column5692" queryTableFieldId="10693" dataDxfId="10910"/>
    <tableColumn id="5702" uniqueName="5702" name="Column5693" queryTableFieldId="10692" dataDxfId="10909"/>
    <tableColumn id="5703" uniqueName="5703" name="Column5694" queryTableFieldId="10691" dataDxfId="10908"/>
    <tableColumn id="5704" uniqueName="5704" name="Column5695" queryTableFieldId="10690" dataDxfId="10907"/>
    <tableColumn id="5705" uniqueName="5705" name="Column5696" queryTableFieldId="10689" dataDxfId="10906"/>
    <tableColumn id="5706" uniqueName="5706" name="Column5697" queryTableFieldId="10688" dataDxfId="10905"/>
    <tableColumn id="5707" uniqueName="5707" name="Column5698" queryTableFieldId="10687" dataDxfId="10904"/>
    <tableColumn id="5708" uniqueName="5708" name="Column5699" queryTableFieldId="10686" dataDxfId="10903"/>
    <tableColumn id="5709" uniqueName="5709" name="Column5700" queryTableFieldId="10685" dataDxfId="10902"/>
    <tableColumn id="5710" uniqueName="5710" name="Column5701" queryTableFieldId="10684" dataDxfId="10901"/>
    <tableColumn id="5711" uniqueName="5711" name="Column5702" queryTableFieldId="10683" dataDxfId="10900"/>
    <tableColumn id="5712" uniqueName="5712" name="Column5703" queryTableFieldId="10682" dataDxfId="10899"/>
    <tableColumn id="5713" uniqueName="5713" name="Column5704" queryTableFieldId="10681" dataDxfId="10898"/>
    <tableColumn id="5714" uniqueName="5714" name="Column5705" queryTableFieldId="10680" dataDxfId="10897"/>
    <tableColumn id="5715" uniqueName="5715" name="Column5706" queryTableFieldId="10679" dataDxfId="10896"/>
    <tableColumn id="5716" uniqueName="5716" name="Column5707" queryTableFieldId="10678" dataDxfId="10895"/>
    <tableColumn id="5717" uniqueName="5717" name="Column5708" queryTableFieldId="10677" dataDxfId="10894"/>
    <tableColumn id="5718" uniqueName="5718" name="Column5709" queryTableFieldId="10676" dataDxfId="10893"/>
    <tableColumn id="5719" uniqueName="5719" name="Column5710" queryTableFieldId="10675" dataDxfId="10892"/>
    <tableColumn id="5720" uniqueName="5720" name="Column5711" queryTableFieldId="10674" dataDxfId="10891"/>
    <tableColumn id="5721" uniqueName="5721" name="Column5712" queryTableFieldId="10673" dataDxfId="10890"/>
    <tableColumn id="5722" uniqueName="5722" name="Column5713" queryTableFieldId="10672" dataDxfId="10889"/>
    <tableColumn id="5723" uniqueName="5723" name="Column5714" queryTableFieldId="10671" dataDxfId="10888"/>
    <tableColumn id="5724" uniqueName="5724" name="Column5715" queryTableFieldId="10670" dataDxfId="10887"/>
    <tableColumn id="5725" uniqueName="5725" name="Column5716" queryTableFieldId="10669" dataDxfId="10886"/>
    <tableColumn id="5726" uniqueName="5726" name="Column5717" queryTableFieldId="10668" dataDxfId="10885"/>
    <tableColumn id="5727" uniqueName="5727" name="Column5718" queryTableFieldId="10667" dataDxfId="10884"/>
    <tableColumn id="5728" uniqueName="5728" name="Column5719" queryTableFieldId="10666" dataDxfId="10883"/>
    <tableColumn id="5729" uniqueName="5729" name="Column5720" queryTableFieldId="10665" dataDxfId="10882"/>
    <tableColumn id="5730" uniqueName="5730" name="Column5721" queryTableFieldId="10664" dataDxfId="10881"/>
    <tableColumn id="5731" uniqueName="5731" name="Column5722" queryTableFieldId="10663" dataDxfId="10880"/>
    <tableColumn id="5732" uniqueName="5732" name="Column5723" queryTableFieldId="10662" dataDxfId="10879"/>
    <tableColumn id="5733" uniqueName="5733" name="Column5724" queryTableFieldId="10661" dataDxfId="10878"/>
    <tableColumn id="5734" uniqueName="5734" name="Column5725" queryTableFieldId="10660" dataDxfId="10877"/>
    <tableColumn id="5735" uniqueName="5735" name="Column5726" queryTableFieldId="10659" dataDxfId="10876"/>
    <tableColumn id="5736" uniqueName="5736" name="Column5727" queryTableFieldId="10658" dataDxfId="10875"/>
    <tableColumn id="5737" uniqueName="5737" name="Column5728" queryTableFieldId="10657" dataDxfId="10874"/>
    <tableColumn id="5738" uniqueName="5738" name="Column5729" queryTableFieldId="10656" dataDxfId="10873"/>
    <tableColumn id="5739" uniqueName="5739" name="Column5730" queryTableFieldId="10655" dataDxfId="10872"/>
    <tableColumn id="5740" uniqueName="5740" name="Column5731" queryTableFieldId="10654" dataDxfId="10871"/>
    <tableColumn id="5741" uniqueName="5741" name="Column5732" queryTableFieldId="10653" dataDxfId="10870"/>
    <tableColumn id="5742" uniqueName="5742" name="Column5733" queryTableFieldId="10652" dataDxfId="10869"/>
    <tableColumn id="5743" uniqueName="5743" name="Column5734" queryTableFieldId="10651" dataDxfId="10868"/>
    <tableColumn id="5744" uniqueName="5744" name="Column5735" queryTableFieldId="10650" dataDxfId="10867"/>
    <tableColumn id="5745" uniqueName="5745" name="Column5736" queryTableFieldId="10649" dataDxfId="10866"/>
    <tableColumn id="5746" uniqueName="5746" name="Column5737" queryTableFieldId="10648" dataDxfId="10865"/>
    <tableColumn id="5747" uniqueName="5747" name="Column5738" queryTableFieldId="10647" dataDxfId="10864"/>
    <tableColumn id="5748" uniqueName="5748" name="Column5739" queryTableFieldId="10646" dataDxfId="10863"/>
    <tableColumn id="5749" uniqueName="5749" name="Column5740" queryTableFieldId="10645" dataDxfId="10862"/>
    <tableColumn id="5750" uniqueName="5750" name="Column5741" queryTableFieldId="10644" dataDxfId="10861"/>
    <tableColumn id="5751" uniqueName="5751" name="Column5742" queryTableFieldId="10643" dataDxfId="10860"/>
    <tableColumn id="5752" uniqueName="5752" name="Column5743" queryTableFieldId="10642" dataDxfId="10859"/>
    <tableColumn id="5753" uniqueName="5753" name="Column5744" queryTableFieldId="10641" dataDxfId="10858"/>
    <tableColumn id="5754" uniqueName="5754" name="Column5745" queryTableFieldId="10640" dataDxfId="10857"/>
    <tableColumn id="5755" uniqueName="5755" name="Column5746" queryTableFieldId="10639" dataDxfId="10856"/>
    <tableColumn id="5756" uniqueName="5756" name="Column5747" queryTableFieldId="10638" dataDxfId="10855"/>
    <tableColumn id="5757" uniqueName="5757" name="Column5748" queryTableFieldId="10637" dataDxfId="10854"/>
    <tableColumn id="5758" uniqueName="5758" name="Column5749" queryTableFieldId="10636" dataDxfId="10853"/>
    <tableColumn id="5759" uniqueName="5759" name="Column5750" queryTableFieldId="10635" dataDxfId="10852"/>
    <tableColumn id="5760" uniqueName="5760" name="Column5751" queryTableFieldId="10634" dataDxfId="10851"/>
    <tableColumn id="5761" uniqueName="5761" name="Column5752" queryTableFieldId="10633" dataDxfId="10850"/>
    <tableColumn id="5762" uniqueName="5762" name="Column5753" queryTableFieldId="10632" dataDxfId="10849"/>
    <tableColumn id="5763" uniqueName="5763" name="Column5754" queryTableFieldId="10631" dataDxfId="10848"/>
    <tableColumn id="5764" uniqueName="5764" name="Column5755" queryTableFieldId="10630" dataDxfId="10847"/>
    <tableColumn id="5765" uniqueName="5765" name="Column5756" queryTableFieldId="10629" dataDxfId="10846"/>
    <tableColumn id="5766" uniqueName="5766" name="Column5757" queryTableFieldId="10628" dataDxfId="10845"/>
    <tableColumn id="5767" uniqueName="5767" name="Column5758" queryTableFieldId="10627" dataDxfId="10844"/>
    <tableColumn id="5768" uniqueName="5768" name="Column5759" queryTableFieldId="10626" dataDxfId="10843"/>
    <tableColumn id="5769" uniqueName="5769" name="Column5760" queryTableFieldId="10625" dataDxfId="10842"/>
    <tableColumn id="5770" uniqueName="5770" name="Column5761" queryTableFieldId="10624" dataDxfId="10841"/>
    <tableColumn id="5771" uniqueName="5771" name="Column5762" queryTableFieldId="10623" dataDxfId="10840"/>
    <tableColumn id="5772" uniqueName="5772" name="Column5763" queryTableFieldId="10622" dataDxfId="10839"/>
    <tableColumn id="5773" uniqueName="5773" name="Column5764" queryTableFieldId="10621" dataDxfId="10838"/>
    <tableColumn id="5774" uniqueName="5774" name="Column5765" queryTableFieldId="10620" dataDxfId="10837"/>
    <tableColumn id="5775" uniqueName="5775" name="Column5766" queryTableFieldId="10619" dataDxfId="10836"/>
    <tableColumn id="5776" uniqueName="5776" name="Column5767" queryTableFieldId="10618" dataDxfId="10835"/>
    <tableColumn id="5777" uniqueName="5777" name="Column5768" queryTableFieldId="10617" dataDxfId="10834"/>
    <tableColumn id="5778" uniqueName="5778" name="Column5769" queryTableFieldId="10616" dataDxfId="10833"/>
    <tableColumn id="5779" uniqueName="5779" name="Column5770" queryTableFieldId="10615" dataDxfId="10832"/>
    <tableColumn id="5780" uniqueName="5780" name="Column5771" queryTableFieldId="10614" dataDxfId="10831"/>
    <tableColumn id="5781" uniqueName="5781" name="Column5772" queryTableFieldId="10613" dataDxfId="10830"/>
    <tableColumn id="5782" uniqueName="5782" name="Column5773" queryTableFieldId="10612" dataDxfId="10829"/>
    <tableColumn id="5783" uniqueName="5783" name="Column5774" queryTableFieldId="10611" dataDxfId="10828"/>
    <tableColumn id="5784" uniqueName="5784" name="Column5775" queryTableFieldId="10610" dataDxfId="10827"/>
    <tableColumn id="5785" uniqueName="5785" name="Column5776" queryTableFieldId="10609" dataDxfId="10826"/>
    <tableColumn id="5786" uniqueName="5786" name="Column5777" queryTableFieldId="10608" dataDxfId="10825"/>
    <tableColumn id="5787" uniqueName="5787" name="Column5778" queryTableFieldId="10607" dataDxfId="10824"/>
    <tableColumn id="5788" uniqueName="5788" name="Column5779" queryTableFieldId="10606" dataDxfId="10823"/>
    <tableColumn id="5789" uniqueName="5789" name="Column5780" queryTableFieldId="10605" dataDxfId="10822"/>
    <tableColumn id="5790" uniqueName="5790" name="Column5781" queryTableFieldId="10604" dataDxfId="10821"/>
    <tableColumn id="5791" uniqueName="5791" name="Column5782" queryTableFieldId="10603" dataDxfId="10820"/>
    <tableColumn id="5792" uniqueName="5792" name="Column5783" queryTableFieldId="10602" dataDxfId="10819"/>
    <tableColumn id="5793" uniqueName="5793" name="Column5784" queryTableFieldId="10601" dataDxfId="10818"/>
    <tableColumn id="5794" uniqueName="5794" name="Column5785" queryTableFieldId="10600" dataDxfId="10817"/>
    <tableColumn id="5795" uniqueName="5795" name="Column5786" queryTableFieldId="10599" dataDxfId="10816"/>
    <tableColumn id="5796" uniqueName="5796" name="Column5787" queryTableFieldId="10598" dataDxfId="10815"/>
    <tableColumn id="5797" uniqueName="5797" name="Column5788" queryTableFieldId="10597" dataDxfId="10814"/>
    <tableColumn id="5798" uniqueName="5798" name="Column5789" queryTableFieldId="10596" dataDxfId="10813"/>
    <tableColumn id="5799" uniqueName="5799" name="Column5790" queryTableFieldId="10595" dataDxfId="10812"/>
    <tableColumn id="5800" uniqueName="5800" name="Column5791" queryTableFieldId="10594" dataDxfId="10811"/>
    <tableColumn id="5801" uniqueName="5801" name="Column5792" queryTableFieldId="10593" dataDxfId="10810"/>
    <tableColumn id="5802" uniqueName="5802" name="Column5793" queryTableFieldId="10592" dataDxfId="10809"/>
    <tableColumn id="5803" uniqueName="5803" name="Column5794" queryTableFieldId="10591" dataDxfId="10808"/>
    <tableColumn id="5804" uniqueName="5804" name="Column5795" queryTableFieldId="10590" dataDxfId="10807"/>
    <tableColumn id="5805" uniqueName="5805" name="Column5796" queryTableFieldId="10589" dataDxfId="10806"/>
    <tableColumn id="5806" uniqueName="5806" name="Column5797" queryTableFieldId="10588" dataDxfId="10805"/>
    <tableColumn id="5807" uniqueName="5807" name="Column5798" queryTableFieldId="10587" dataDxfId="10804"/>
    <tableColumn id="5808" uniqueName="5808" name="Column5799" queryTableFieldId="10586" dataDxfId="10803"/>
    <tableColumn id="5809" uniqueName="5809" name="Column5800" queryTableFieldId="10585" dataDxfId="10802"/>
    <tableColumn id="5810" uniqueName="5810" name="Column5801" queryTableFieldId="10584" dataDxfId="10801"/>
    <tableColumn id="5811" uniqueName="5811" name="Column5802" queryTableFieldId="10583" dataDxfId="10800"/>
    <tableColumn id="5812" uniqueName="5812" name="Column5803" queryTableFieldId="10582" dataDxfId="10799"/>
    <tableColumn id="5813" uniqueName="5813" name="Column5804" queryTableFieldId="10581" dataDxfId="10798"/>
    <tableColumn id="5814" uniqueName="5814" name="Column5805" queryTableFieldId="10580" dataDxfId="10797"/>
    <tableColumn id="5815" uniqueName="5815" name="Column5806" queryTableFieldId="10579" dataDxfId="10796"/>
    <tableColumn id="5816" uniqueName="5816" name="Column5807" queryTableFieldId="10578" dataDxfId="10795"/>
    <tableColumn id="5817" uniqueName="5817" name="Column5808" queryTableFieldId="10577" dataDxfId="10794"/>
    <tableColumn id="5818" uniqueName="5818" name="Column5809" queryTableFieldId="10576" dataDxfId="10793"/>
    <tableColumn id="5819" uniqueName="5819" name="Column5810" queryTableFieldId="10575" dataDxfId="10792"/>
    <tableColumn id="5820" uniqueName="5820" name="Column5811" queryTableFieldId="10574" dataDxfId="10791"/>
    <tableColumn id="5821" uniqueName="5821" name="Column5812" queryTableFieldId="10573" dataDxfId="10790"/>
    <tableColumn id="5822" uniqueName="5822" name="Column5813" queryTableFieldId="10572" dataDxfId="10789"/>
    <tableColumn id="5823" uniqueName="5823" name="Column5814" queryTableFieldId="10571" dataDxfId="10788"/>
    <tableColumn id="5824" uniqueName="5824" name="Column5815" queryTableFieldId="10570" dataDxfId="10787"/>
    <tableColumn id="5825" uniqueName="5825" name="Column5816" queryTableFieldId="10569" dataDxfId="10786"/>
    <tableColumn id="5826" uniqueName="5826" name="Column5817" queryTableFieldId="10568" dataDxfId="10785"/>
    <tableColumn id="5827" uniqueName="5827" name="Column5818" queryTableFieldId="10567" dataDxfId="10784"/>
    <tableColumn id="5828" uniqueName="5828" name="Column5819" queryTableFieldId="10566" dataDxfId="10783"/>
    <tableColumn id="5829" uniqueName="5829" name="Column5820" queryTableFieldId="10565" dataDxfId="10782"/>
    <tableColumn id="5830" uniqueName="5830" name="Column5821" queryTableFieldId="10564" dataDxfId="10781"/>
    <tableColumn id="5831" uniqueName="5831" name="Column5822" queryTableFieldId="10563" dataDxfId="10780"/>
    <tableColumn id="5832" uniqueName="5832" name="Column5823" queryTableFieldId="10562" dataDxfId="10779"/>
    <tableColumn id="5833" uniqueName="5833" name="Column5824" queryTableFieldId="10561" dataDxfId="10778"/>
    <tableColumn id="5834" uniqueName="5834" name="Column5825" queryTableFieldId="10560" dataDxfId="10777"/>
    <tableColumn id="5835" uniqueName="5835" name="Column5826" queryTableFieldId="10559" dataDxfId="10776"/>
    <tableColumn id="5836" uniqueName="5836" name="Column5827" queryTableFieldId="10558" dataDxfId="10775"/>
    <tableColumn id="5837" uniqueName="5837" name="Column5828" queryTableFieldId="10557" dataDxfId="10774"/>
    <tableColumn id="5838" uniqueName="5838" name="Column5829" queryTableFieldId="10556" dataDxfId="10773"/>
    <tableColumn id="5839" uniqueName="5839" name="Column5830" queryTableFieldId="10555" dataDxfId="10772"/>
    <tableColumn id="5840" uniqueName="5840" name="Column5831" queryTableFieldId="10554" dataDxfId="10771"/>
    <tableColumn id="5841" uniqueName="5841" name="Column5832" queryTableFieldId="10553" dataDxfId="10770"/>
    <tableColumn id="5842" uniqueName="5842" name="Column5833" queryTableFieldId="10552" dataDxfId="10769"/>
    <tableColumn id="5843" uniqueName="5843" name="Column5834" queryTableFieldId="10551" dataDxfId="10768"/>
    <tableColumn id="5844" uniqueName="5844" name="Column5835" queryTableFieldId="10550" dataDxfId="10767"/>
    <tableColumn id="5845" uniqueName="5845" name="Column5836" queryTableFieldId="10549" dataDxfId="10766"/>
    <tableColumn id="5846" uniqueName="5846" name="Column5837" queryTableFieldId="10548" dataDxfId="10765"/>
    <tableColumn id="5847" uniqueName="5847" name="Column5838" queryTableFieldId="10547" dataDxfId="10764"/>
    <tableColumn id="5848" uniqueName="5848" name="Column5839" queryTableFieldId="10546" dataDxfId="10763"/>
    <tableColumn id="5849" uniqueName="5849" name="Column5840" queryTableFieldId="10545" dataDxfId="10762"/>
    <tableColumn id="5850" uniqueName="5850" name="Column5841" queryTableFieldId="10544" dataDxfId="10761"/>
    <tableColumn id="5851" uniqueName="5851" name="Column5842" queryTableFieldId="10543" dataDxfId="10760"/>
    <tableColumn id="5852" uniqueName="5852" name="Column5843" queryTableFieldId="10542" dataDxfId="10759"/>
    <tableColumn id="5853" uniqueName="5853" name="Column5844" queryTableFieldId="10541" dataDxfId="10758"/>
    <tableColumn id="5854" uniqueName="5854" name="Column5845" queryTableFieldId="10540" dataDxfId="10757"/>
    <tableColumn id="5855" uniqueName="5855" name="Column5846" queryTableFieldId="10539" dataDxfId="10756"/>
    <tableColumn id="5856" uniqueName="5856" name="Column5847" queryTableFieldId="10538" dataDxfId="10755"/>
    <tableColumn id="5857" uniqueName="5857" name="Column5848" queryTableFieldId="10537" dataDxfId="10754"/>
    <tableColumn id="5858" uniqueName="5858" name="Column5849" queryTableFieldId="10536" dataDxfId="10753"/>
    <tableColumn id="5859" uniqueName="5859" name="Column5850" queryTableFieldId="10535" dataDxfId="10752"/>
    <tableColumn id="5860" uniqueName="5860" name="Column5851" queryTableFieldId="10534" dataDxfId="10751"/>
    <tableColumn id="5861" uniqueName="5861" name="Column5852" queryTableFieldId="10533" dataDxfId="10750"/>
    <tableColumn id="5862" uniqueName="5862" name="Column5853" queryTableFieldId="10532" dataDxfId="10749"/>
    <tableColumn id="5863" uniqueName="5863" name="Column5854" queryTableFieldId="10531" dataDxfId="10748"/>
    <tableColumn id="5864" uniqueName="5864" name="Column5855" queryTableFieldId="10530" dataDxfId="10747"/>
    <tableColumn id="5865" uniqueName="5865" name="Column5856" queryTableFieldId="10529" dataDxfId="10746"/>
    <tableColumn id="5866" uniqueName="5866" name="Column5857" queryTableFieldId="10528" dataDxfId="10745"/>
    <tableColumn id="5867" uniqueName="5867" name="Column5858" queryTableFieldId="10527" dataDxfId="10744"/>
    <tableColumn id="5868" uniqueName="5868" name="Column5859" queryTableFieldId="10526" dataDxfId="10743"/>
    <tableColumn id="5869" uniqueName="5869" name="Column5860" queryTableFieldId="10525" dataDxfId="10742"/>
    <tableColumn id="5870" uniqueName="5870" name="Column5861" queryTableFieldId="10524" dataDxfId="10741"/>
    <tableColumn id="5871" uniqueName="5871" name="Column5862" queryTableFieldId="10523" dataDxfId="10740"/>
    <tableColumn id="5872" uniqueName="5872" name="Column5863" queryTableFieldId="10522" dataDxfId="10739"/>
    <tableColumn id="5873" uniqueName="5873" name="Column5864" queryTableFieldId="10521" dataDxfId="10738"/>
    <tableColumn id="5874" uniqueName="5874" name="Column5865" queryTableFieldId="10520" dataDxfId="10737"/>
    <tableColumn id="5875" uniqueName="5875" name="Column5866" queryTableFieldId="10519" dataDxfId="10736"/>
    <tableColumn id="5876" uniqueName="5876" name="Column5867" queryTableFieldId="10518" dataDxfId="10735"/>
    <tableColumn id="5877" uniqueName="5877" name="Column5868" queryTableFieldId="10517" dataDxfId="10734"/>
    <tableColumn id="5878" uniqueName="5878" name="Column5869" queryTableFieldId="10516" dataDxfId="10733"/>
    <tableColumn id="5879" uniqueName="5879" name="Column5870" queryTableFieldId="10515" dataDxfId="10732"/>
    <tableColumn id="5880" uniqueName="5880" name="Column5871" queryTableFieldId="10514" dataDxfId="10731"/>
    <tableColumn id="5881" uniqueName="5881" name="Column5872" queryTableFieldId="10513" dataDxfId="10730"/>
    <tableColumn id="5882" uniqueName="5882" name="Column5873" queryTableFieldId="10512" dataDxfId="10729"/>
    <tableColumn id="5883" uniqueName="5883" name="Column5874" queryTableFieldId="10511" dataDxfId="10728"/>
    <tableColumn id="5884" uniqueName="5884" name="Column5875" queryTableFieldId="10510" dataDxfId="10727"/>
    <tableColumn id="5885" uniqueName="5885" name="Column5876" queryTableFieldId="10509" dataDxfId="10726"/>
    <tableColumn id="5886" uniqueName="5886" name="Column5877" queryTableFieldId="10508" dataDxfId="10725"/>
    <tableColumn id="5887" uniqueName="5887" name="Column5878" queryTableFieldId="10507" dataDxfId="10724"/>
    <tableColumn id="5888" uniqueName="5888" name="Column5879" queryTableFieldId="10506" dataDxfId="10723"/>
    <tableColumn id="5889" uniqueName="5889" name="Column5880" queryTableFieldId="10505" dataDxfId="10722"/>
    <tableColumn id="5890" uniqueName="5890" name="Column5881" queryTableFieldId="10504" dataDxfId="10721"/>
    <tableColumn id="5891" uniqueName="5891" name="Column5882" queryTableFieldId="10503" dataDxfId="10720"/>
    <tableColumn id="5892" uniqueName="5892" name="Column5883" queryTableFieldId="10502" dataDxfId="10719"/>
    <tableColumn id="5893" uniqueName="5893" name="Column5884" queryTableFieldId="10501" dataDxfId="10718"/>
    <tableColumn id="5894" uniqueName="5894" name="Column5885" queryTableFieldId="10500" dataDxfId="10717"/>
    <tableColumn id="5895" uniqueName="5895" name="Column5886" queryTableFieldId="10499" dataDxfId="10716"/>
    <tableColumn id="5896" uniqueName="5896" name="Column5887" queryTableFieldId="10498" dataDxfId="10715"/>
    <tableColumn id="5897" uniqueName="5897" name="Column5888" queryTableFieldId="10497" dataDxfId="10714"/>
    <tableColumn id="5898" uniqueName="5898" name="Column5889" queryTableFieldId="10496" dataDxfId="10713"/>
    <tableColumn id="5899" uniqueName="5899" name="Column5890" queryTableFieldId="10495" dataDxfId="10712"/>
    <tableColumn id="5900" uniqueName="5900" name="Column5891" queryTableFieldId="10494" dataDxfId="10711"/>
    <tableColumn id="5901" uniqueName="5901" name="Column5892" queryTableFieldId="10493" dataDxfId="10710"/>
    <tableColumn id="5902" uniqueName="5902" name="Column5893" queryTableFieldId="10492" dataDxfId="10709"/>
    <tableColumn id="5903" uniqueName="5903" name="Column5894" queryTableFieldId="10491" dataDxfId="10708"/>
    <tableColumn id="5904" uniqueName="5904" name="Column5895" queryTableFieldId="10490" dataDxfId="10707"/>
    <tableColumn id="5905" uniqueName="5905" name="Column5896" queryTableFieldId="10489" dataDxfId="10706"/>
    <tableColumn id="5906" uniqueName="5906" name="Column5897" queryTableFieldId="10488" dataDxfId="10705"/>
    <tableColumn id="5907" uniqueName="5907" name="Column5898" queryTableFieldId="10487" dataDxfId="10704"/>
    <tableColumn id="5908" uniqueName="5908" name="Column5899" queryTableFieldId="10486" dataDxfId="10703"/>
    <tableColumn id="5909" uniqueName="5909" name="Column5900" queryTableFieldId="10485" dataDxfId="10702"/>
    <tableColumn id="5910" uniqueName="5910" name="Column5901" queryTableFieldId="10484" dataDxfId="10701"/>
    <tableColumn id="5911" uniqueName="5911" name="Column5902" queryTableFieldId="10483" dataDxfId="10700"/>
    <tableColumn id="5912" uniqueName="5912" name="Column5903" queryTableFieldId="10482" dataDxfId="10699"/>
    <tableColumn id="5913" uniqueName="5913" name="Column5904" queryTableFieldId="10481" dataDxfId="10698"/>
    <tableColumn id="5914" uniqueName="5914" name="Column5905" queryTableFieldId="10480" dataDxfId="10697"/>
    <tableColumn id="5915" uniqueName="5915" name="Column5906" queryTableFieldId="10479" dataDxfId="10696"/>
    <tableColumn id="5916" uniqueName="5916" name="Column5907" queryTableFieldId="10478" dataDxfId="10695"/>
    <tableColumn id="5917" uniqueName="5917" name="Column5908" queryTableFieldId="10477" dataDxfId="10694"/>
    <tableColumn id="5918" uniqueName="5918" name="Column5909" queryTableFieldId="10476" dataDxfId="10693"/>
    <tableColumn id="5919" uniqueName="5919" name="Column5910" queryTableFieldId="10475" dataDxfId="10692"/>
    <tableColumn id="5920" uniqueName="5920" name="Column5911" queryTableFieldId="10474" dataDxfId="10691"/>
    <tableColumn id="5921" uniqueName="5921" name="Column5912" queryTableFieldId="10473" dataDxfId="10690"/>
    <tableColumn id="5922" uniqueName="5922" name="Column5913" queryTableFieldId="10472" dataDxfId="10689"/>
    <tableColumn id="5923" uniqueName="5923" name="Column5914" queryTableFieldId="10471" dataDxfId="10688"/>
    <tableColumn id="5924" uniqueName="5924" name="Column5915" queryTableFieldId="10470" dataDxfId="10687"/>
    <tableColumn id="5925" uniqueName="5925" name="Column5916" queryTableFieldId="10469" dataDxfId="10686"/>
    <tableColumn id="5926" uniqueName="5926" name="Column5917" queryTableFieldId="10468" dataDxfId="10685"/>
    <tableColumn id="5927" uniqueName="5927" name="Column5918" queryTableFieldId="10467" dataDxfId="10684"/>
    <tableColumn id="5928" uniqueName="5928" name="Column5919" queryTableFieldId="10466" dataDxfId="10683"/>
    <tableColumn id="5929" uniqueName="5929" name="Column5920" queryTableFieldId="10465" dataDxfId="10682"/>
    <tableColumn id="5930" uniqueName="5930" name="Column5921" queryTableFieldId="10464" dataDxfId="10681"/>
    <tableColumn id="5931" uniqueName="5931" name="Column5922" queryTableFieldId="10463" dataDxfId="10680"/>
    <tableColumn id="5932" uniqueName="5932" name="Column5923" queryTableFieldId="10462" dataDxfId="10679"/>
    <tableColumn id="5933" uniqueName="5933" name="Column5924" queryTableFieldId="10461" dataDxfId="10678"/>
    <tableColumn id="5934" uniqueName="5934" name="Column5925" queryTableFieldId="10460" dataDxfId="10677"/>
    <tableColumn id="5935" uniqueName="5935" name="Column5926" queryTableFieldId="10459" dataDxfId="10676"/>
    <tableColumn id="5936" uniqueName="5936" name="Column5927" queryTableFieldId="10458" dataDxfId="10675"/>
    <tableColumn id="5937" uniqueName="5937" name="Column5928" queryTableFieldId="10457" dataDxfId="10674"/>
    <tableColumn id="5938" uniqueName="5938" name="Column5929" queryTableFieldId="10456" dataDxfId="10673"/>
    <tableColumn id="5939" uniqueName="5939" name="Column5930" queryTableFieldId="10455" dataDxfId="10672"/>
    <tableColumn id="5940" uniqueName="5940" name="Column5931" queryTableFieldId="10454" dataDxfId="10671"/>
    <tableColumn id="5941" uniqueName="5941" name="Column5932" queryTableFieldId="10453" dataDxfId="10670"/>
    <tableColumn id="5942" uniqueName="5942" name="Column5933" queryTableFieldId="10452" dataDxfId="10669"/>
    <tableColumn id="5943" uniqueName="5943" name="Column5934" queryTableFieldId="10451" dataDxfId="10668"/>
    <tableColumn id="5944" uniqueName="5944" name="Column5935" queryTableFieldId="10450" dataDxfId="10667"/>
    <tableColumn id="5945" uniqueName="5945" name="Column5936" queryTableFieldId="10449" dataDxfId="10666"/>
    <tableColumn id="5946" uniqueName="5946" name="Column5937" queryTableFieldId="10448" dataDxfId="10665"/>
    <tableColumn id="5947" uniqueName="5947" name="Column5938" queryTableFieldId="10447" dataDxfId="10664"/>
    <tableColumn id="5948" uniqueName="5948" name="Column5939" queryTableFieldId="10446" dataDxfId="10663"/>
    <tableColumn id="5949" uniqueName="5949" name="Column5940" queryTableFieldId="10445" dataDxfId="10662"/>
    <tableColumn id="5950" uniqueName="5950" name="Column5941" queryTableFieldId="10444" dataDxfId="10661"/>
    <tableColumn id="5951" uniqueName="5951" name="Column5942" queryTableFieldId="10443" dataDxfId="10660"/>
    <tableColumn id="5952" uniqueName="5952" name="Column5943" queryTableFieldId="10442" dataDxfId="10659"/>
    <tableColumn id="5953" uniqueName="5953" name="Column5944" queryTableFieldId="10441" dataDxfId="10658"/>
    <tableColumn id="5954" uniqueName="5954" name="Column5945" queryTableFieldId="10440" dataDxfId="10657"/>
    <tableColumn id="5955" uniqueName="5955" name="Column5946" queryTableFieldId="10439" dataDxfId="10656"/>
    <tableColumn id="5956" uniqueName="5956" name="Column5947" queryTableFieldId="10438" dataDxfId="10655"/>
    <tableColumn id="5957" uniqueName="5957" name="Column5948" queryTableFieldId="10437" dataDxfId="10654"/>
    <tableColumn id="5958" uniqueName="5958" name="Column5949" queryTableFieldId="10436" dataDxfId="10653"/>
    <tableColumn id="5959" uniqueName="5959" name="Column5950" queryTableFieldId="10435" dataDxfId="10652"/>
    <tableColumn id="5960" uniqueName="5960" name="Column5951" queryTableFieldId="10434" dataDxfId="10651"/>
    <tableColumn id="5961" uniqueName="5961" name="Column5952" queryTableFieldId="10433" dataDxfId="10650"/>
    <tableColumn id="5962" uniqueName="5962" name="Column5953" queryTableFieldId="10432" dataDxfId="10649"/>
    <tableColumn id="5963" uniqueName="5963" name="Column5954" queryTableFieldId="10431" dataDxfId="10648"/>
    <tableColumn id="5964" uniqueName="5964" name="Column5955" queryTableFieldId="10430" dataDxfId="10647"/>
    <tableColumn id="5965" uniqueName="5965" name="Column5956" queryTableFieldId="10429" dataDxfId="10646"/>
    <tableColumn id="5966" uniqueName="5966" name="Column5957" queryTableFieldId="10428" dataDxfId="10645"/>
    <tableColumn id="5967" uniqueName="5967" name="Column5958" queryTableFieldId="10427" dataDxfId="10644"/>
    <tableColumn id="5968" uniqueName="5968" name="Column5959" queryTableFieldId="10426" dataDxfId="10643"/>
    <tableColumn id="5969" uniqueName="5969" name="Column5960" queryTableFieldId="10425" dataDxfId="10642"/>
    <tableColumn id="5970" uniqueName="5970" name="Column5961" queryTableFieldId="10424" dataDxfId="10641"/>
    <tableColumn id="5971" uniqueName="5971" name="Column5962" queryTableFieldId="10423" dataDxfId="10640"/>
    <tableColumn id="5972" uniqueName="5972" name="Column5963" queryTableFieldId="10422" dataDxfId="10639"/>
    <tableColumn id="5973" uniqueName="5973" name="Column5964" queryTableFieldId="10421" dataDxfId="10638"/>
    <tableColumn id="5974" uniqueName="5974" name="Column5965" queryTableFieldId="10420" dataDxfId="10637"/>
    <tableColumn id="5975" uniqueName="5975" name="Column5966" queryTableFieldId="10419" dataDxfId="10636"/>
    <tableColumn id="5976" uniqueName="5976" name="Column5967" queryTableFieldId="10418" dataDxfId="10635"/>
    <tableColumn id="5977" uniqueName="5977" name="Column5968" queryTableFieldId="10417" dataDxfId="10634"/>
    <tableColumn id="5978" uniqueName="5978" name="Column5969" queryTableFieldId="10416" dataDxfId="10633"/>
    <tableColumn id="5979" uniqueName="5979" name="Column5970" queryTableFieldId="10415" dataDxfId="10632"/>
    <tableColumn id="5980" uniqueName="5980" name="Column5971" queryTableFieldId="10414" dataDxfId="10631"/>
    <tableColumn id="5981" uniqueName="5981" name="Column5972" queryTableFieldId="10413" dataDxfId="10630"/>
    <tableColumn id="5982" uniqueName="5982" name="Column5973" queryTableFieldId="10412" dataDxfId="10629"/>
    <tableColumn id="5983" uniqueName="5983" name="Column5974" queryTableFieldId="10411" dataDxfId="10628"/>
    <tableColumn id="5984" uniqueName="5984" name="Column5975" queryTableFieldId="10410" dataDxfId="10627"/>
    <tableColumn id="5985" uniqueName="5985" name="Column5976" queryTableFieldId="10409" dataDxfId="10626"/>
    <tableColumn id="5986" uniqueName="5986" name="Column5977" queryTableFieldId="10408" dataDxfId="10625"/>
    <tableColumn id="5987" uniqueName="5987" name="Column5978" queryTableFieldId="10407" dataDxfId="10624"/>
    <tableColumn id="5988" uniqueName="5988" name="Column5979" queryTableFieldId="10406" dataDxfId="10623"/>
    <tableColumn id="5989" uniqueName="5989" name="Column5980" queryTableFieldId="10405" dataDxfId="10622"/>
    <tableColumn id="5990" uniqueName="5990" name="Column5981" queryTableFieldId="10404" dataDxfId="10621"/>
    <tableColumn id="5991" uniqueName="5991" name="Column5982" queryTableFieldId="10403" dataDxfId="10620"/>
    <tableColumn id="5992" uniqueName="5992" name="Column5983" queryTableFieldId="10402" dataDxfId="10619"/>
    <tableColumn id="5993" uniqueName="5993" name="Column5984" queryTableFieldId="10401" dataDxfId="10618"/>
    <tableColumn id="5994" uniqueName="5994" name="Column5985" queryTableFieldId="10400" dataDxfId="10617"/>
    <tableColumn id="5995" uniqueName="5995" name="Column5986" queryTableFieldId="10399" dataDxfId="10616"/>
    <tableColumn id="5996" uniqueName="5996" name="Column5987" queryTableFieldId="10398" dataDxfId="10615"/>
    <tableColumn id="5997" uniqueName="5997" name="Column5988" queryTableFieldId="10397" dataDxfId="10614"/>
    <tableColumn id="5998" uniqueName="5998" name="Column5989" queryTableFieldId="10396" dataDxfId="10613"/>
    <tableColumn id="5999" uniqueName="5999" name="Column5990" queryTableFieldId="10395" dataDxfId="10612"/>
    <tableColumn id="6000" uniqueName="6000" name="Column5991" queryTableFieldId="10394" dataDxfId="10611"/>
    <tableColumn id="6001" uniqueName="6001" name="Column5992" queryTableFieldId="10393" dataDxfId="10610"/>
    <tableColumn id="6002" uniqueName="6002" name="Column5993" queryTableFieldId="10392" dataDxfId="10609"/>
    <tableColumn id="6003" uniqueName="6003" name="Column5994" queryTableFieldId="10391" dataDxfId="10608"/>
    <tableColumn id="6004" uniqueName="6004" name="Column5995" queryTableFieldId="10390" dataDxfId="10607"/>
    <tableColumn id="6005" uniqueName="6005" name="Column5996" queryTableFieldId="10389" dataDxfId="10606"/>
    <tableColumn id="6006" uniqueName="6006" name="Column5997" queryTableFieldId="10388" dataDxfId="10605"/>
    <tableColumn id="6007" uniqueName="6007" name="Column5998" queryTableFieldId="10387" dataDxfId="10604"/>
    <tableColumn id="6008" uniqueName="6008" name="Column5999" queryTableFieldId="10386" dataDxfId="10603"/>
    <tableColumn id="6009" uniqueName="6009" name="Column6000" queryTableFieldId="10385" dataDxfId="10602"/>
    <tableColumn id="6010" uniqueName="6010" name="Column6001" queryTableFieldId="10384" dataDxfId="10601"/>
    <tableColumn id="6011" uniqueName="6011" name="Column6002" queryTableFieldId="10383" dataDxfId="10600"/>
    <tableColumn id="6012" uniqueName="6012" name="Column6003" queryTableFieldId="10382" dataDxfId="10599"/>
    <tableColumn id="6013" uniqueName="6013" name="Column6004" queryTableFieldId="10381" dataDxfId="10598"/>
    <tableColumn id="6014" uniqueName="6014" name="Column6005" queryTableFieldId="10380" dataDxfId="10597"/>
    <tableColumn id="6015" uniqueName="6015" name="Column6006" queryTableFieldId="10379" dataDxfId="10596"/>
    <tableColumn id="6016" uniqueName="6016" name="Column6007" queryTableFieldId="10378" dataDxfId="10595"/>
    <tableColumn id="6017" uniqueName="6017" name="Column6008" queryTableFieldId="10377" dataDxfId="10594"/>
    <tableColumn id="6018" uniqueName="6018" name="Column6009" queryTableFieldId="10376" dataDxfId="10593"/>
    <tableColumn id="6019" uniqueName="6019" name="Column6010" queryTableFieldId="10375" dataDxfId="10592"/>
    <tableColumn id="6020" uniqueName="6020" name="Column6011" queryTableFieldId="10374" dataDxfId="10591"/>
    <tableColumn id="6021" uniqueName="6021" name="Column6012" queryTableFieldId="10373" dataDxfId="10590"/>
    <tableColumn id="6022" uniqueName="6022" name="Column6013" queryTableFieldId="10372" dataDxfId="10589"/>
    <tableColumn id="6023" uniqueName="6023" name="Column6014" queryTableFieldId="10371" dataDxfId="10588"/>
    <tableColumn id="6024" uniqueName="6024" name="Column6015" queryTableFieldId="10370" dataDxfId="10587"/>
    <tableColumn id="6025" uniqueName="6025" name="Column6016" queryTableFieldId="10369" dataDxfId="10586"/>
    <tableColumn id="6026" uniqueName="6026" name="Column6017" queryTableFieldId="10368" dataDxfId="10585"/>
    <tableColumn id="6027" uniqueName="6027" name="Column6018" queryTableFieldId="10367" dataDxfId="10584"/>
    <tableColumn id="6028" uniqueName="6028" name="Column6019" queryTableFieldId="10366" dataDxfId="10583"/>
    <tableColumn id="6029" uniqueName="6029" name="Column6020" queryTableFieldId="10365" dataDxfId="10582"/>
    <tableColumn id="6030" uniqueName="6030" name="Column6021" queryTableFieldId="10364" dataDxfId="10581"/>
    <tableColumn id="6031" uniqueName="6031" name="Column6022" queryTableFieldId="10363" dataDxfId="10580"/>
    <tableColumn id="6032" uniqueName="6032" name="Column6023" queryTableFieldId="10362" dataDxfId="10579"/>
    <tableColumn id="6033" uniqueName="6033" name="Column6024" queryTableFieldId="10361" dataDxfId="10578"/>
    <tableColumn id="6034" uniqueName="6034" name="Column6025" queryTableFieldId="10360" dataDxfId="10577"/>
    <tableColumn id="6035" uniqueName="6035" name="Column6026" queryTableFieldId="10359" dataDxfId="10576"/>
    <tableColumn id="6036" uniqueName="6036" name="Column6027" queryTableFieldId="10358" dataDxfId="10575"/>
    <tableColumn id="6037" uniqueName="6037" name="Column6028" queryTableFieldId="10357" dataDxfId="10574"/>
    <tableColumn id="6038" uniqueName="6038" name="Column6029" queryTableFieldId="10356" dataDxfId="10573"/>
    <tableColumn id="6039" uniqueName="6039" name="Column6030" queryTableFieldId="10355" dataDxfId="10572"/>
    <tableColumn id="6040" uniqueName="6040" name="Column6031" queryTableFieldId="10354" dataDxfId="10571"/>
    <tableColumn id="6041" uniqueName="6041" name="Column6032" queryTableFieldId="10353" dataDxfId="10570"/>
    <tableColumn id="6042" uniqueName="6042" name="Column6033" queryTableFieldId="10352" dataDxfId="10569"/>
    <tableColumn id="6043" uniqueName="6043" name="Column6034" queryTableFieldId="10351" dataDxfId="10568"/>
    <tableColumn id="6044" uniqueName="6044" name="Column6035" queryTableFieldId="10350" dataDxfId="10567"/>
    <tableColumn id="6045" uniqueName="6045" name="Column6036" queryTableFieldId="10349" dataDxfId="10566"/>
    <tableColumn id="6046" uniqueName="6046" name="Column6037" queryTableFieldId="10348" dataDxfId="10565"/>
    <tableColumn id="6047" uniqueName="6047" name="Column6038" queryTableFieldId="10347" dataDxfId="10564"/>
    <tableColumn id="6048" uniqueName="6048" name="Column6039" queryTableFieldId="10346" dataDxfId="10563"/>
    <tableColumn id="6049" uniqueName="6049" name="Column6040" queryTableFieldId="10345" dataDxfId="10562"/>
    <tableColumn id="6050" uniqueName="6050" name="Column6041" queryTableFieldId="10344" dataDxfId="10561"/>
    <tableColumn id="6051" uniqueName="6051" name="Column6042" queryTableFieldId="10343" dataDxfId="10560"/>
    <tableColumn id="6052" uniqueName="6052" name="Column6043" queryTableFieldId="10342" dataDxfId="10559"/>
    <tableColumn id="6053" uniqueName="6053" name="Column6044" queryTableFieldId="10341" dataDxfId="10558"/>
    <tableColumn id="6054" uniqueName="6054" name="Column6045" queryTableFieldId="10340" dataDxfId="10557"/>
    <tableColumn id="6055" uniqueName="6055" name="Column6046" queryTableFieldId="10339" dataDxfId="10556"/>
    <tableColumn id="6056" uniqueName="6056" name="Column6047" queryTableFieldId="10338" dataDxfId="10555"/>
    <tableColumn id="6057" uniqueName="6057" name="Column6048" queryTableFieldId="10337" dataDxfId="10554"/>
    <tableColumn id="6058" uniqueName="6058" name="Column6049" queryTableFieldId="10336" dataDxfId="10553"/>
    <tableColumn id="6059" uniqueName="6059" name="Column6050" queryTableFieldId="10335" dataDxfId="10552"/>
    <tableColumn id="6060" uniqueName="6060" name="Column6051" queryTableFieldId="10334" dataDxfId="10551"/>
    <tableColumn id="6061" uniqueName="6061" name="Column6052" queryTableFieldId="10333" dataDxfId="10550"/>
    <tableColumn id="6062" uniqueName="6062" name="Column6053" queryTableFieldId="10332" dataDxfId="10549"/>
    <tableColumn id="6063" uniqueName="6063" name="Column6054" queryTableFieldId="10331" dataDxfId="10548"/>
    <tableColumn id="6064" uniqueName="6064" name="Column6055" queryTableFieldId="10330" dataDxfId="10547"/>
    <tableColumn id="6065" uniqueName="6065" name="Column6056" queryTableFieldId="10329" dataDxfId="10546"/>
    <tableColumn id="6066" uniqueName="6066" name="Column6057" queryTableFieldId="10328" dataDxfId="10545"/>
    <tableColumn id="6067" uniqueName="6067" name="Column6058" queryTableFieldId="10327" dataDxfId="10544"/>
    <tableColumn id="6068" uniqueName="6068" name="Column6059" queryTableFieldId="10326" dataDxfId="10543"/>
    <tableColumn id="6069" uniqueName="6069" name="Column6060" queryTableFieldId="10325" dataDxfId="10542"/>
    <tableColumn id="6070" uniqueName="6070" name="Column6061" queryTableFieldId="10324" dataDxfId="10541"/>
    <tableColumn id="6071" uniqueName="6071" name="Column6062" queryTableFieldId="10323" dataDxfId="10540"/>
    <tableColumn id="6072" uniqueName="6072" name="Column6063" queryTableFieldId="10322" dataDxfId="10539"/>
    <tableColumn id="6073" uniqueName="6073" name="Column6064" queryTableFieldId="10321" dataDxfId="10538"/>
    <tableColumn id="6074" uniqueName="6074" name="Column6065" queryTableFieldId="10320" dataDxfId="10537"/>
    <tableColumn id="6075" uniqueName="6075" name="Column6066" queryTableFieldId="10319" dataDxfId="10536"/>
    <tableColumn id="6076" uniqueName="6076" name="Column6067" queryTableFieldId="10318" dataDxfId="10535"/>
    <tableColumn id="6077" uniqueName="6077" name="Column6068" queryTableFieldId="10317" dataDxfId="10534"/>
    <tableColumn id="6078" uniqueName="6078" name="Column6069" queryTableFieldId="10316" dataDxfId="10533"/>
    <tableColumn id="6079" uniqueName="6079" name="Column6070" queryTableFieldId="10315" dataDxfId="10532"/>
    <tableColumn id="6080" uniqueName="6080" name="Column6071" queryTableFieldId="10314" dataDxfId="10531"/>
    <tableColumn id="6081" uniqueName="6081" name="Column6072" queryTableFieldId="10313" dataDxfId="10530"/>
    <tableColumn id="6082" uniqueName="6082" name="Column6073" queryTableFieldId="10312" dataDxfId="10529"/>
    <tableColumn id="6083" uniqueName="6083" name="Column6074" queryTableFieldId="10311" dataDxfId="10528"/>
    <tableColumn id="6084" uniqueName="6084" name="Column6075" queryTableFieldId="10310" dataDxfId="10527"/>
    <tableColumn id="6085" uniqueName="6085" name="Column6076" queryTableFieldId="10309" dataDxfId="10526"/>
    <tableColumn id="6086" uniqueName="6086" name="Column6077" queryTableFieldId="10308" dataDxfId="10525"/>
    <tableColumn id="6087" uniqueName="6087" name="Column6078" queryTableFieldId="10307" dataDxfId="10524"/>
    <tableColumn id="6088" uniqueName="6088" name="Column6079" queryTableFieldId="10306" dataDxfId="10523"/>
    <tableColumn id="6089" uniqueName="6089" name="Column6080" queryTableFieldId="10305" dataDxfId="10522"/>
    <tableColumn id="6090" uniqueName="6090" name="Column6081" queryTableFieldId="10304" dataDxfId="10521"/>
    <tableColumn id="6091" uniqueName="6091" name="Column6082" queryTableFieldId="10303" dataDxfId="10520"/>
    <tableColumn id="6092" uniqueName="6092" name="Column6083" queryTableFieldId="10302" dataDxfId="10519"/>
    <tableColumn id="6093" uniqueName="6093" name="Column6084" queryTableFieldId="10301" dataDxfId="10518"/>
    <tableColumn id="6094" uniqueName="6094" name="Column6085" queryTableFieldId="10300" dataDxfId="10517"/>
    <tableColumn id="6095" uniqueName="6095" name="Column6086" queryTableFieldId="10299" dataDxfId="10516"/>
    <tableColumn id="6096" uniqueName="6096" name="Column6087" queryTableFieldId="10298" dataDxfId="10515"/>
    <tableColumn id="6097" uniqueName="6097" name="Column6088" queryTableFieldId="10297" dataDxfId="10514"/>
    <tableColumn id="6098" uniqueName="6098" name="Column6089" queryTableFieldId="10296" dataDxfId="10513"/>
    <tableColumn id="6099" uniqueName="6099" name="Column6090" queryTableFieldId="10295" dataDxfId="10512"/>
    <tableColumn id="6100" uniqueName="6100" name="Column6091" queryTableFieldId="10294" dataDxfId="10511"/>
    <tableColumn id="6101" uniqueName="6101" name="Column6092" queryTableFieldId="10293" dataDxfId="10510"/>
    <tableColumn id="6102" uniqueName="6102" name="Column6093" queryTableFieldId="10292" dataDxfId="10509"/>
    <tableColumn id="6103" uniqueName="6103" name="Column6094" queryTableFieldId="10291" dataDxfId="10508"/>
    <tableColumn id="6104" uniqueName="6104" name="Column6095" queryTableFieldId="10290" dataDxfId="10507"/>
    <tableColumn id="6105" uniqueName="6105" name="Column6096" queryTableFieldId="10289" dataDxfId="10506"/>
    <tableColumn id="6106" uniqueName="6106" name="Column6097" queryTableFieldId="10288" dataDxfId="10505"/>
    <tableColumn id="6107" uniqueName="6107" name="Column6098" queryTableFieldId="10287" dataDxfId="10504"/>
    <tableColumn id="6108" uniqueName="6108" name="Column6099" queryTableFieldId="10286" dataDxfId="10503"/>
    <tableColumn id="6109" uniqueName="6109" name="Column6100" queryTableFieldId="10285" dataDxfId="10502"/>
    <tableColumn id="6110" uniqueName="6110" name="Column6101" queryTableFieldId="10284" dataDxfId="10501"/>
    <tableColumn id="6111" uniqueName="6111" name="Column6102" queryTableFieldId="10283" dataDxfId="10500"/>
    <tableColumn id="6112" uniqueName="6112" name="Column6103" queryTableFieldId="10282" dataDxfId="10499"/>
    <tableColumn id="6113" uniqueName="6113" name="Column6104" queryTableFieldId="10281" dataDxfId="10498"/>
    <tableColumn id="6114" uniqueName="6114" name="Column6105" queryTableFieldId="10280" dataDxfId="10497"/>
    <tableColumn id="6115" uniqueName="6115" name="Column6106" queryTableFieldId="10279" dataDxfId="10496"/>
    <tableColumn id="6116" uniqueName="6116" name="Column6107" queryTableFieldId="10278" dataDxfId="10495"/>
    <tableColumn id="6117" uniqueName="6117" name="Column6108" queryTableFieldId="10277" dataDxfId="10494"/>
    <tableColumn id="6118" uniqueName="6118" name="Column6109" queryTableFieldId="10276" dataDxfId="10493"/>
    <tableColumn id="6119" uniqueName="6119" name="Column6110" queryTableFieldId="10275" dataDxfId="10492"/>
    <tableColumn id="6120" uniqueName="6120" name="Column6111" queryTableFieldId="10274" dataDxfId="10491"/>
    <tableColumn id="6121" uniqueName="6121" name="Column6112" queryTableFieldId="10273" dataDxfId="10490"/>
    <tableColumn id="6122" uniqueName="6122" name="Column6113" queryTableFieldId="10272" dataDxfId="10489"/>
    <tableColumn id="6123" uniqueName="6123" name="Column6114" queryTableFieldId="10271" dataDxfId="10488"/>
    <tableColumn id="6124" uniqueName="6124" name="Column6115" queryTableFieldId="10270" dataDxfId="10487"/>
    <tableColumn id="6125" uniqueName="6125" name="Column6116" queryTableFieldId="10269" dataDxfId="10486"/>
    <tableColumn id="6126" uniqueName="6126" name="Column6117" queryTableFieldId="10268" dataDxfId="10485"/>
    <tableColumn id="6127" uniqueName="6127" name="Column6118" queryTableFieldId="10267" dataDxfId="10484"/>
    <tableColumn id="6128" uniqueName="6128" name="Column6119" queryTableFieldId="10266" dataDxfId="10483"/>
    <tableColumn id="6129" uniqueName="6129" name="Column6120" queryTableFieldId="10265" dataDxfId="10482"/>
    <tableColumn id="6130" uniqueName="6130" name="Column6121" queryTableFieldId="10264" dataDxfId="10481"/>
    <tableColumn id="6131" uniqueName="6131" name="Column6122" queryTableFieldId="10263" dataDxfId="10480"/>
    <tableColumn id="6132" uniqueName="6132" name="Column6123" queryTableFieldId="10262" dataDxfId="10479"/>
    <tableColumn id="6133" uniqueName="6133" name="Column6124" queryTableFieldId="10261" dataDxfId="10478"/>
    <tableColumn id="6134" uniqueName="6134" name="Column6125" queryTableFieldId="10260" dataDxfId="10477"/>
    <tableColumn id="6135" uniqueName="6135" name="Column6126" queryTableFieldId="10259" dataDxfId="10476"/>
    <tableColumn id="6136" uniqueName="6136" name="Column6127" queryTableFieldId="10258" dataDxfId="10475"/>
    <tableColumn id="6137" uniqueName="6137" name="Column6128" queryTableFieldId="10257" dataDxfId="10474"/>
    <tableColumn id="6138" uniqueName="6138" name="Column6129" queryTableFieldId="10256" dataDxfId="10473"/>
    <tableColumn id="6139" uniqueName="6139" name="Column6130" queryTableFieldId="10255" dataDxfId="10472"/>
    <tableColumn id="6140" uniqueName="6140" name="Column6131" queryTableFieldId="10254" dataDxfId="10471"/>
    <tableColumn id="6141" uniqueName="6141" name="Column6132" queryTableFieldId="10253" dataDxfId="10470"/>
    <tableColumn id="6142" uniqueName="6142" name="Column6133" queryTableFieldId="10252" dataDxfId="10469"/>
    <tableColumn id="6143" uniqueName="6143" name="Column6134" queryTableFieldId="10251" dataDxfId="10468"/>
    <tableColumn id="6144" uniqueName="6144" name="Column6135" queryTableFieldId="10250" dataDxfId="10467"/>
    <tableColumn id="6145" uniqueName="6145" name="Column6136" queryTableFieldId="10249" dataDxfId="10466"/>
    <tableColumn id="6146" uniqueName="6146" name="Column6137" queryTableFieldId="10248" dataDxfId="10465"/>
    <tableColumn id="6147" uniqueName="6147" name="Column6138" queryTableFieldId="10247" dataDxfId="10464"/>
    <tableColumn id="6148" uniqueName="6148" name="Column6139" queryTableFieldId="10246" dataDxfId="10463"/>
    <tableColumn id="6149" uniqueName="6149" name="Column6140" queryTableFieldId="10245" dataDxfId="10462"/>
    <tableColumn id="6150" uniqueName="6150" name="Column6141" queryTableFieldId="10244" dataDxfId="10461"/>
    <tableColumn id="6151" uniqueName="6151" name="Column6142" queryTableFieldId="10243" dataDxfId="10460"/>
    <tableColumn id="6152" uniqueName="6152" name="Column6143" queryTableFieldId="10242" dataDxfId="10459"/>
    <tableColumn id="6153" uniqueName="6153" name="Column6144" queryTableFieldId="10241" dataDxfId="10458"/>
    <tableColumn id="6154" uniqueName="6154" name="Column6145" queryTableFieldId="10240" dataDxfId="10457"/>
    <tableColumn id="6155" uniqueName="6155" name="Column6146" queryTableFieldId="10239" dataDxfId="10456"/>
    <tableColumn id="6156" uniqueName="6156" name="Column6147" queryTableFieldId="10238" dataDxfId="10455"/>
    <tableColumn id="6157" uniqueName="6157" name="Column6148" queryTableFieldId="10237" dataDxfId="10454"/>
    <tableColumn id="6158" uniqueName="6158" name="Column6149" queryTableFieldId="10236" dataDxfId="10453"/>
    <tableColumn id="6159" uniqueName="6159" name="Column6150" queryTableFieldId="10235" dataDxfId="10452"/>
    <tableColumn id="6160" uniqueName="6160" name="Column6151" queryTableFieldId="10234" dataDxfId="10451"/>
    <tableColumn id="6161" uniqueName="6161" name="Column6152" queryTableFieldId="10233" dataDxfId="10450"/>
    <tableColumn id="6162" uniqueName="6162" name="Column6153" queryTableFieldId="10232" dataDxfId="10449"/>
    <tableColumn id="6163" uniqueName="6163" name="Column6154" queryTableFieldId="10231" dataDxfId="10448"/>
    <tableColumn id="6164" uniqueName="6164" name="Column6155" queryTableFieldId="10230" dataDxfId="10447"/>
    <tableColumn id="6165" uniqueName="6165" name="Column6156" queryTableFieldId="10229" dataDxfId="10446"/>
    <tableColumn id="6166" uniqueName="6166" name="Column6157" queryTableFieldId="10228" dataDxfId="10445"/>
    <tableColumn id="6167" uniqueName="6167" name="Column6158" queryTableFieldId="10227" dataDxfId="10444"/>
    <tableColumn id="6168" uniqueName="6168" name="Column6159" queryTableFieldId="10226" dataDxfId="10443"/>
    <tableColumn id="6169" uniqueName="6169" name="Column6160" queryTableFieldId="10225" dataDxfId="10442"/>
    <tableColumn id="6170" uniqueName="6170" name="Column6161" queryTableFieldId="10224" dataDxfId="10441"/>
    <tableColumn id="6171" uniqueName="6171" name="Column6162" queryTableFieldId="10223" dataDxfId="10440"/>
    <tableColumn id="6172" uniqueName="6172" name="Column6163" queryTableFieldId="10222" dataDxfId="10439"/>
    <tableColumn id="6173" uniqueName="6173" name="Column6164" queryTableFieldId="10221" dataDxfId="10438"/>
    <tableColumn id="6174" uniqueName="6174" name="Column6165" queryTableFieldId="10220" dataDxfId="10437"/>
    <tableColumn id="6175" uniqueName="6175" name="Column6166" queryTableFieldId="10219" dataDxfId="10436"/>
    <tableColumn id="6176" uniqueName="6176" name="Column6167" queryTableFieldId="10218" dataDxfId="10435"/>
    <tableColumn id="6177" uniqueName="6177" name="Column6168" queryTableFieldId="10217" dataDxfId="10434"/>
    <tableColumn id="6178" uniqueName="6178" name="Column6169" queryTableFieldId="10216" dataDxfId="10433"/>
    <tableColumn id="6179" uniqueName="6179" name="Column6170" queryTableFieldId="10215" dataDxfId="10432"/>
    <tableColumn id="6180" uniqueName="6180" name="Column6171" queryTableFieldId="10214" dataDxfId="10431"/>
    <tableColumn id="6181" uniqueName="6181" name="Column6172" queryTableFieldId="10213" dataDxfId="10430"/>
    <tableColumn id="6182" uniqueName="6182" name="Column6173" queryTableFieldId="10212" dataDxfId="10429"/>
    <tableColumn id="6183" uniqueName="6183" name="Column6174" queryTableFieldId="10211" dataDxfId="10428"/>
    <tableColumn id="6184" uniqueName="6184" name="Column6175" queryTableFieldId="10210" dataDxfId="10427"/>
    <tableColumn id="6185" uniqueName="6185" name="Column6176" queryTableFieldId="10209" dataDxfId="10426"/>
    <tableColumn id="6186" uniqueName="6186" name="Column6177" queryTableFieldId="10208" dataDxfId="10425"/>
    <tableColumn id="6187" uniqueName="6187" name="Column6178" queryTableFieldId="10207" dataDxfId="10424"/>
    <tableColumn id="6188" uniqueName="6188" name="Column6179" queryTableFieldId="10206" dataDxfId="10423"/>
    <tableColumn id="6189" uniqueName="6189" name="Column6180" queryTableFieldId="10205" dataDxfId="10422"/>
    <tableColumn id="6190" uniqueName="6190" name="Column6181" queryTableFieldId="10204" dataDxfId="10421"/>
    <tableColumn id="6191" uniqueName="6191" name="Column6182" queryTableFieldId="10203" dataDxfId="10420"/>
    <tableColumn id="6192" uniqueName="6192" name="Column6183" queryTableFieldId="10202" dataDxfId="10419"/>
    <tableColumn id="6193" uniqueName="6193" name="Column6184" queryTableFieldId="10201" dataDxfId="10418"/>
    <tableColumn id="6194" uniqueName="6194" name="Column6185" queryTableFieldId="10200" dataDxfId="10417"/>
    <tableColumn id="6195" uniqueName="6195" name="Column6186" queryTableFieldId="10199" dataDxfId="10416"/>
    <tableColumn id="6196" uniqueName="6196" name="Column6187" queryTableFieldId="10198" dataDxfId="10415"/>
    <tableColumn id="6197" uniqueName="6197" name="Column6188" queryTableFieldId="10197" dataDxfId="10414"/>
    <tableColumn id="6198" uniqueName="6198" name="Column6189" queryTableFieldId="10196" dataDxfId="10413"/>
    <tableColumn id="6199" uniqueName="6199" name="Column6190" queryTableFieldId="10195" dataDxfId="10412"/>
    <tableColumn id="6200" uniqueName="6200" name="Column6191" queryTableFieldId="10194" dataDxfId="10411"/>
    <tableColumn id="6201" uniqueName="6201" name="Column6192" queryTableFieldId="10193" dataDxfId="10410"/>
    <tableColumn id="6202" uniqueName="6202" name="Column6193" queryTableFieldId="10192" dataDxfId="10409"/>
    <tableColumn id="6203" uniqueName="6203" name="Column6194" queryTableFieldId="10191" dataDxfId="10408"/>
    <tableColumn id="6204" uniqueName="6204" name="Column6195" queryTableFieldId="10190" dataDxfId="10407"/>
    <tableColumn id="6205" uniqueName="6205" name="Column6196" queryTableFieldId="10189" dataDxfId="10406"/>
    <tableColumn id="6206" uniqueName="6206" name="Column6197" queryTableFieldId="10188" dataDxfId="10405"/>
    <tableColumn id="6207" uniqueName="6207" name="Column6198" queryTableFieldId="10187" dataDxfId="10404"/>
    <tableColumn id="6208" uniqueName="6208" name="Column6199" queryTableFieldId="10186" dataDxfId="10403"/>
    <tableColumn id="6209" uniqueName="6209" name="Column6200" queryTableFieldId="10185" dataDxfId="10402"/>
    <tableColumn id="6210" uniqueName="6210" name="Column6201" queryTableFieldId="10184" dataDxfId="10401"/>
    <tableColumn id="6211" uniqueName="6211" name="Column6202" queryTableFieldId="10183" dataDxfId="10400"/>
    <tableColumn id="6212" uniqueName="6212" name="Column6203" queryTableFieldId="10182" dataDxfId="10399"/>
    <tableColumn id="6213" uniqueName="6213" name="Column6204" queryTableFieldId="10181" dataDxfId="10398"/>
    <tableColumn id="6214" uniqueName="6214" name="Column6205" queryTableFieldId="10180" dataDxfId="10397"/>
    <tableColumn id="6215" uniqueName="6215" name="Column6206" queryTableFieldId="10179" dataDxfId="10396"/>
    <tableColumn id="6216" uniqueName="6216" name="Column6207" queryTableFieldId="10178" dataDxfId="10395"/>
    <tableColumn id="6217" uniqueName="6217" name="Column6208" queryTableFieldId="10177" dataDxfId="10394"/>
    <tableColumn id="6218" uniqueName="6218" name="Column6209" queryTableFieldId="10176" dataDxfId="10393"/>
    <tableColumn id="6219" uniqueName="6219" name="Column6210" queryTableFieldId="10175" dataDxfId="10392"/>
    <tableColumn id="6220" uniqueName="6220" name="Column6211" queryTableFieldId="10174" dataDxfId="10391"/>
    <tableColumn id="6221" uniqueName="6221" name="Column6212" queryTableFieldId="10173" dataDxfId="10390"/>
    <tableColumn id="6222" uniqueName="6222" name="Column6213" queryTableFieldId="10172" dataDxfId="10389"/>
    <tableColumn id="6223" uniqueName="6223" name="Column6214" queryTableFieldId="10171" dataDxfId="10388"/>
    <tableColumn id="6224" uniqueName="6224" name="Column6215" queryTableFieldId="10170" dataDxfId="10387"/>
    <tableColumn id="6225" uniqueName="6225" name="Column6216" queryTableFieldId="10169" dataDxfId="10386"/>
    <tableColumn id="6226" uniqueName="6226" name="Column6217" queryTableFieldId="10168" dataDxfId="10385"/>
    <tableColumn id="6227" uniqueName="6227" name="Column6218" queryTableFieldId="10167" dataDxfId="10384"/>
    <tableColumn id="6228" uniqueName="6228" name="Column6219" queryTableFieldId="10166" dataDxfId="10383"/>
    <tableColumn id="6229" uniqueName="6229" name="Column6220" queryTableFieldId="10165" dataDxfId="10382"/>
    <tableColumn id="6230" uniqueName="6230" name="Column6221" queryTableFieldId="10164" dataDxfId="10381"/>
    <tableColumn id="6231" uniqueName="6231" name="Column6222" queryTableFieldId="10163" dataDxfId="10380"/>
    <tableColumn id="6232" uniqueName="6232" name="Column6223" queryTableFieldId="10162" dataDxfId="10379"/>
    <tableColumn id="6233" uniqueName="6233" name="Column6224" queryTableFieldId="10161" dataDxfId="10378"/>
    <tableColumn id="6234" uniqueName="6234" name="Column6225" queryTableFieldId="10160" dataDxfId="10377"/>
    <tableColumn id="6235" uniqueName="6235" name="Column6226" queryTableFieldId="10159" dataDxfId="10376"/>
    <tableColumn id="6236" uniqueName="6236" name="Column6227" queryTableFieldId="10158" dataDxfId="10375"/>
    <tableColumn id="6237" uniqueName="6237" name="Column6228" queryTableFieldId="10157" dataDxfId="10374"/>
    <tableColumn id="6238" uniqueName="6238" name="Column6229" queryTableFieldId="10156" dataDxfId="10373"/>
    <tableColumn id="6239" uniqueName="6239" name="Column6230" queryTableFieldId="10155" dataDxfId="10372"/>
    <tableColumn id="6240" uniqueName="6240" name="Column6231" queryTableFieldId="10154" dataDxfId="10371"/>
    <tableColumn id="6241" uniqueName="6241" name="Column6232" queryTableFieldId="10153" dataDxfId="10370"/>
    <tableColumn id="6242" uniqueName="6242" name="Column6233" queryTableFieldId="10152" dataDxfId="10369"/>
    <tableColumn id="6243" uniqueName="6243" name="Column6234" queryTableFieldId="10151" dataDxfId="10368"/>
    <tableColumn id="6244" uniqueName="6244" name="Column6235" queryTableFieldId="10150" dataDxfId="10367"/>
    <tableColumn id="6245" uniqueName="6245" name="Column6236" queryTableFieldId="10149" dataDxfId="10366"/>
    <tableColumn id="6246" uniqueName="6246" name="Column6237" queryTableFieldId="10148" dataDxfId="10365"/>
    <tableColumn id="6247" uniqueName="6247" name="Column6238" queryTableFieldId="10147" dataDxfId="10364"/>
    <tableColumn id="6248" uniqueName="6248" name="Column6239" queryTableFieldId="10146" dataDxfId="10363"/>
    <tableColumn id="6249" uniqueName="6249" name="Column6240" queryTableFieldId="10145" dataDxfId="10362"/>
    <tableColumn id="6250" uniqueName="6250" name="Column6241" queryTableFieldId="10144" dataDxfId="10361"/>
    <tableColumn id="6251" uniqueName="6251" name="Column6242" queryTableFieldId="10143" dataDxfId="10360"/>
    <tableColumn id="6252" uniqueName="6252" name="Column6243" queryTableFieldId="10142" dataDxfId="10359"/>
    <tableColumn id="6253" uniqueName="6253" name="Column6244" queryTableFieldId="10141" dataDxfId="10358"/>
    <tableColumn id="6254" uniqueName="6254" name="Column6245" queryTableFieldId="10140" dataDxfId="10357"/>
    <tableColumn id="6255" uniqueName="6255" name="Column6246" queryTableFieldId="10139" dataDxfId="10356"/>
    <tableColumn id="6256" uniqueName="6256" name="Column6247" queryTableFieldId="10138" dataDxfId="10355"/>
    <tableColumn id="6257" uniqueName="6257" name="Column6248" queryTableFieldId="10137" dataDxfId="10354"/>
    <tableColumn id="6258" uniqueName="6258" name="Column6249" queryTableFieldId="10136" dataDxfId="10353"/>
    <tableColumn id="6259" uniqueName="6259" name="Column6250" queryTableFieldId="10135" dataDxfId="10352"/>
    <tableColumn id="6260" uniqueName="6260" name="Column6251" queryTableFieldId="10134" dataDxfId="10351"/>
    <tableColumn id="6261" uniqueName="6261" name="Column6252" queryTableFieldId="10133" dataDxfId="10350"/>
    <tableColumn id="6262" uniqueName="6262" name="Column6253" queryTableFieldId="10132" dataDxfId="10349"/>
    <tableColumn id="6263" uniqueName="6263" name="Column6254" queryTableFieldId="10131" dataDxfId="10348"/>
    <tableColumn id="6264" uniqueName="6264" name="Column6255" queryTableFieldId="10130" dataDxfId="10347"/>
    <tableColumn id="6265" uniqueName="6265" name="Column6256" queryTableFieldId="10129" dataDxfId="10346"/>
    <tableColumn id="6266" uniqueName="6266" name="Column6257" queryTableFieldId="10128" dataDxfId="10345"/>
    <tableColumn id="6267" uniqueName="6267" name="Column6258" queryTableFieldId="10127" dataDxfId="10344"/>
    <tableColumn id="6268" uniqueName="6268" name="Column6259" queryTableFieldId="10126" dataDxfId="10343"/>
    <tableColumn id="6269" uniqueName="6269" name="Column6260" queryTableFieldId="10125" dataDxfId="10342"/>
    <tableColumn id="6270" uniqueName="6270" name="Column6261" queryTableFieldId="10124" dataDxfId="10341"/>
    <tableColumn id="6271" uniqueName="6271" name="Column6262" queryTableFieldId="10123" dataDxfId="10340"/>
    <tableColumn id="6272" uniqueName="6272" name="Column6263" queryTableFieldId="10122" dataDxfId="10339"/>
    <tableColumn id="6273" uniqueName="6273" name="Column6264" queryTableFieldId="10121" dataDxfId="10338"/>
    <tableColumn id="6274" uniqueName="6274" name="Column6265" queryTableFieldId="10120" dataDxfId="10337"/>
    <tableColumn id="6275" uniqueName="6275" name="Column6266" queryTableFieldId="10119" dataDxfId="10336"/>
    <tableColumn id="6276" uniqueName="6276" name="Column6267" queryTableFieldId="10118" dataDxfId="10335"/>
    <tableColumn id="6277" uniqueName="6277" name="Column6268" queryTableFieldId="10117" dataDxfId="10334"/>
    <tableColumn id="6278" uniqueName="6278" name="Column6269" queryTableFieldId="10116" dataDxfId="10333"/>
    <tableColumn id="6279" uniqueName="6279" name="Column6270" queryTableFieldId="10115" dataDxfId="10332"/>
    <tableColumn id="6280" uniqueName="6280" name="Column6271" queryTableFieldId="10114" dataDxfId="10331"/>
    <tableColumn id="6281" uniqueName="6281" name="Column6272" queryTableFieldId="10113" dataDxfId="10330"/>
    <tableColumn id="6282" uniqueName="6282" name="Column6273" queryTableFieldId="10112" dataDxfId="10329"/>
    <tableColumn id="6283" uniqueName="6283" name="Column6274" queryTableFieldId="10111" dataDxfId="10328"/>
    <tableColumn id="6284" uniqueName="6284" name="Column6275" queryTableFieldId="10110" dataDxfId="10327"/>
    <tableColumn id="6285" uniqueName="6285" name="Column6276" queryTableFieldId="10109" dataDxfId="10326"/>
    <tableColumn id="6286" uniqueName="6286" name="Column6277" queryTableFieldId="10108" dataDxfId="10325"/>
    <tableColumn id="6287" uniqueName="6287" name="Column6278" queryTableFieldId="10107" dataDxfId="10324"/>
    <tableColumn id="6288" uniqueName="6288" name="Column6279" queryTableFieldId="10106" dataDxfId="10323"/>
    <tableColumn id="6289" uniqueName="6289" name="Column6280" queryTableFieldId="10105" dataDxfId="10322"/>
    <tableColumn id="6290" uniqueName="6290" name="Column6281" queryTableFieldId="10104" dataDxfId="10321"/>
    <tableColumn id="6291" uniqueName="6291" name="Column6282" queryTableFieldId="10103" dataDxfId="10320"/>
    <tableColumn id="6292" uniqueName="6292" name="Column6283" queryTableFieldId="10102" dataDxfId="10319"/>
    <tableColumn id="6293" uniqueName="6293" name="Column6284" queryTableFieldId="10101" dataDxfId="10318"/>
    <tableColumn id="6294" uniqueName="6294" name="Column6285" queryTableFieldId="10100" dataDxfId="10317"/>
    <tableColumn id="6295" uniqueName="6295" name="Column6286" queryTableFieldId="10099" dataDxfId="10316"/>
    <tableColumn id="6296" uniqueName="6296" name="Column6287" queryTableFieldId="10098" dataDxfId="10315"/>
    <tableColumn id="6297" uniqueName="6297" name="Column6288" queryTableFieldId="10097" dataDxfId="10314"/>
    <tableColumn id="6298" uniqueName="6298" name="Column6289" queryTableFieldId="10096" dataDxfId="10313"/>
    <tableColumn id="6299" uniqueName="6299" name="Column6290" queryTableFieldId="10095" dataDxfId="10312"/>
    <tableColumn id="6300" uniqueName="6300" name="Column6291" queryTableFieldId="10094" dataDxfId="10311"/>
    <tableColumn id="6301" uniqueName="6301" name="Column6292" queryTableFieldId="10093" dataDxfId="10310"/>
    <tableColumn id="6302" uniqueName="6302" name="Column6293" queryTableFieldId="10092" dataDxfId="10309"/>
    <tableColumn id="6303" uniqueName="6303" name="Column6294" queryTableFieldId="10091" dataDxfId="10308"/>
    <tableColumn id="6304" uniqueName="6304" name="Column6295" queryTableFieldId="10090" dataDxfId="10307"/>
    <tableColumn id="6305" uniqueName="6305" name="Column6296" queryTableFieldId="10089" dataDxfId="10306"/>
    <tableColumn id="6306" uniqueName="6306" name="Column6297" queryTableFieldId="10088" dataDxfId="10305"/>
    <tableColumn id="6307" uniqueName="6307" name="Column6298" queryTableFieldId="10087" dataDxfId="10304"/>
    <tableColumn id="6308" uniqueName="6308" name="Column6299" queryTableFieldId="10086" dataDxfId="10303"/>
    <tableColumn id="6309" uniqueName="6309" name="Column6300" queryTableFieldId="10085" dataDxfId="10302"/>
    <tableColumn id="6310" uniqueName="6310" name="Column6301" queryTableFieldId="10084" dataDxfId="10301"/>
    <tableColumn id="6311" uniqueName="6311" name="Column6302" queryTableFieldId="10083" dataDxfId="10300"/>
    <tableColumn id="6312" uniqueName="6312" name="Column6303" queryTableFieldId="10082" dataDxfId="10299"/>
    <tableColumn id="6313" uniqueName="6313" name="Column6304" queryTableFieldId="10081" dataDxfId="10298"/>
    <tableColumn id="6314" uniqueName="6314" name="Column6305" queryTableFieldId="10080" dataDxfId="10297"/>
    <tableColumn id="6315" uniqueName="6315" name="Column6306" queryTableFieldId="10079" dataDxfId="10296"/>
    <tableColumn id="6316" uniqueName="6316" name="Column6307" queryTableFieldId="10078" dataDxfId="10295"/>
    <tableColumn id="6317" uniqueName="6317" name="Column6308" queryTableFieldId="10077" dataDxfId="10294"/>
    <tableColumn id="6318" uniqueName="6318" name="Column6309" queryTableFieldId="10076" dataDxfId="10293"/>
    <tableColumn id="6319" uniqueName="6319" name="Column6310" queryTableFieldId="10075" dataDxfId="10292"/>
    <tableColumn id="6320" uniqueName="6320" name="Column6311" queryTableFieldId="10074" dataDxfId="10291"/>
    <tableColumn id="6321" uniqueName="6321" name="Column6312" queryTableFieldId="10073" dataDxfId="10290"/>
    <tableColumn id="6322" uniqueName="6322" name="Column6313" queryTableFieldId="10072" dataDxfId="10289"/>
    <tableColumn id="6323" uniqueName="6323" name="Column6314" queryTableFieldId="10071" dataDxfId="10288"/>
    <tableColumn id="6324" uniqueName="6324" name="Column6315" queryTableFieldId="10070" dataDxfId="10287"/>
    <tableColumn id="6325" uniqueName="6325" name="Column6316" queryTableFieldId="10069" dataDxfId="10286"/>
    <tableColumn id="6326" uniqueName="6326" name="Column6317" queryTableFieldId="10068" dataDxfId="10285"/>
    <tableColumn id="6327" uniqueName="6327" name="Column6318" queryTableFieldId="10067" dataDxfId="10284"/>
    <tableColumn id="6328" uniqueName="6328" name="Column6319" queryTableFieldId="10066" dataDxfId="10283"/>
    <tableColumn id="6329" uniqueName="6329" name="Column6320" queryTableFieldId="10065" dataDxfId="10282"/>
    <tableColumn id="6330" uniqueName="6330" name="Column6321" queryTableFieldId="10064" dataDxfId="10281"/>
    <tableColumn id="6331" uniqueName="6331" name="Column6322" queryTableFieldId="10063" dataDxfId="10280"/>
    <tableColumn id="6332" uniqueName="6332" name="Column6323" queryTableFieldId="10062" dataDxfId="10279"/>
    <tableColumn id="6333" uniqueName="6333" name="Column6324" queryTableFieldId="10061" dataDxfId="10278"/>
    <tableColumn id="6334" uniqueName="6334" name="Column6325" queryTableFieldId="10060" dataDxfId="10277"/>
    <tableColumn id="6335" uniqueName="6335" name="Column6326" queryTableFieldId="10059" dataDxfId="10276"/>
    <tableColumn id="6336" uniqueName="6336" name="Column6327" queryTableFieldId="10058" dataDxfId="10275"/>
    <tableColumn id="6337" uniqueName="6337" name="Column6328" queryTableFieldId="10057" dataDxfId="10274"/>
    <tableColumn id="6338" uniqueName="6338" name="Column6329" queryTableFieldId="10056" dataDxfId="10273"/>
    <tableColumn id="6339" uniqueName="6339" name="Column6330" queryTableFieldId="10055" dataDxfId="10272"/>
    <tableColumn id="6340" uniqueName="6340" name="Column6331" queryTableFieldId="10054" dataDxfId="10271"/>
    <tableColumn id="6341" uniqueName="6341" name="Column6332" queryTableFieldId="10053" dataDxfId="10270"/>
    <tableColumn id="6342" uniqueName="6342" name="Column6333" queryTableFieldId="10052" dataDxfId="10269"/>
    <tableColumn id="6343" uniqueName="6343" name="Column6334" queryTableFieldId="10051" dataDxfId="10268"/>
    <tableColumn id="6344" uniqueName="6344" name="Column6335" queryTableFieldId="10050" dataDxfId="10267"/>
    <tableColumn id="6345" uniqueName="6345" name="Column6336" queryTableFieldId="10049" dataDxfId="10266"/>
    <tableColumn id="6346" uniqueName="6346" name="Column6337" queryTableFieldId="10048" dataDxfId="10265"/>
    <tableColumn id="6347" uniqueName="6347" name="Column6338" queryTableFieldId="10047" dataDxfId="10264"/>
    <tableColumn id="6348" uniqueName="6348" name="Column6339" queryTableFieldId="10046" dataDxfId="10263"/>
    <tableColumn id="6349" uniqueName="6349" name="Column6340" queryTableFieldId="10045" dataDxfId="10262"/>
    <tableColumn id="6350" uniqueName="6350" name="Column6341" queryTableFieldId="10044" dataDxfId="10261"/>
    <tableColumn id="6351" uniqueName="6351" name="Column6342" queryTableFieldId="10043" dataDxfId="10260"/>
    <tableColumn id="6352" uniqueName="6352" name="Column6343" queryTableFieldId="10042" dataDxfId="10259"/>
    <tableColumn id="6353" uniqueName="6353" name="Column6344" queryTableFieldId="10041" dataDxfId="10258"/>
    <tableColumn id="6354" uniqueName="6354" name="Column6345" queryTableFieldId="10040" dataDxfId="10257"/>
    <tableColumn id="6355" uniqueName="6355" name="Column6346" queryTableFieldId="10039" dataDxfId="10256"/>
    <tableColumn id="6356" uniqueName="6356" name="Column6347" queryTableFieldId="10038" dataDxfId="10255"/>
    <tableColumn id="6357" uniqueName="6357" name="Column6348" queryTableFieldId="10037" dataDxfId="10254"/>
    <tableColumn id="6358" uniqueName="6358" name="Column6349" queryTableFieldId="10036" dataDxfId="10253"/>
    <tableColumn id="6359" uniqueName="6359" name="Column6350" queryTableFieldId="10035" dataDxfId="10252"/>
    <tableColumn id="6360" uniqueName="6360" name="Column6351" queryTableFieldId="10034" dataDxfId="10251"/>
    <tableColumn id="6361" uniqueName="6361" name="Column6352" queryTableFieldId="10033" dataDxfId="10250"/>
    <tableColumn id="6362" uniqueName="6362" name="Column6353" queryTableFieldId="10032" dataDxfId="10249"/>
    <tableColumn id="6363" uniqueName="6363" name="Column6354" queryTableFieldId="10031" dataDxfId="10248"/>
    <tableColumn id="6364" uniqueName="6364" name="Column6355" queryTableFieldId="10030" dataDxfId="10247"/>
    <tableColumn id="6365" uniqueName="6365" name="Column6356" queryTableFieldId="10029" dataDxfId="10246"/>
    <tableColumn id="6366" uniqueName="6366" name="Column6357" queryTableFieldId="10028" dataDxfId="10245"/>
    <tableColumn id="6367" uniqueName="6367" name="Column6358" queryTableFieldId="10027" dataDxfId="10244"/>
    <tableColumn id="6368" uniqueName="6368" name="Column6359" queryTableFieldId="10026" dataDxfId="10243"/>
    <tableColumn id="6369" uniqueName="6369" name="Column6360" queryTableFieldId="10025" dataDxfId="10242"/>
    <tableColumn id="6370" uniqueName="6370" name="Column6361" queryTableFieldId="10024" dataDxfId="10241"/>
    <tableColumn id="6371" uniqueName="6371" name="Column6362" queryTableFieldId="10023" dataDxfId="10240"/>
    <tableColumn id="6372" uniqueName="6372" name="Column6363" queryTableFieldId="10022" dataDxfId="10239"/>
    <tableColumn id="6373" uniqueName="6373" name="Column6364" queryTableFieldId="10021" dataDxfId="10238"/>
    <tableColumn id="6374" uniqueName="6374" name="Column6365" queryTableFieldId="10020" dataDxfId="10237"/>
    <tableColumn id="6375" uniqueName="6375" name="Column6366" queryTableFieldId="10019" dataDxfId="10236"/>
    <tableColumn id="6376" uniqueName="6376" name="Column6367" queryTableFieldId="10018" dataDxfId="10235"/>
    <tableColumn id="6377" uniqueName="6377" name="Column6368" queryTableFieldId="10017" dataDxfId="10234"/>
    <tableColumn id="6378" uniqueName="6378" name="Column6369" queryTableFieldId="10016" dataDxfId="10233"/>
    <tableColumn id="6379" uniqueName="6379" name="Column6370" queryTableFieldId="10015" dataDxfId="10232"/>
    <tableColumn id="6380" uniqueName="6380" name="Column6371" queryTableFieldId="10014" dataDxfId="10231"/>
    <tableColumn id="6381" uniqueName="6381" name="Column6372" queryTableFieldId="10013" dataDxfId="10230"/>
    <tableColumn id="6382" uniqueName="6382" name="Column6373" queryTableFieldId="10012" dataDxfId="10229"/>
    <tableColumn id="6383" uniqueName="6383" name="Column6374" queryTableFieldId="10011" dataDxfId="10228"/>
    <tableColumn id="6384" uniqueName="6384" name="Column6375" queryTableFieldId="10010" dataDxfId="10227"/>
    <tableColumn id="6385" uniqueName="6385" name="Column6376" queryTableFieldId="10009" dataDxfId="10226"/>
    <tableColumn id="6386" uniqueName="6386" name="Column6377" queryTableFieldId="10008" dataDxfId="10225"/>
    <tableColumn id="6387" uniqueName="6387" name="Column6378" queryTableFieldId="10007" dataDxfId="10224"/>
    <tableColumn id="6388" uniqueName="6388" name="Column6379" queryTableFieldId="10006" dataDxfId="10223"/>
    <tableColumn id="6389" uniqueName="6389" name="Column6380" queryTableFieldId="10005" dataDxfId="10222"/>
    <tableColumn id="6390" uniqueName="6390" name="Column6381" queryTableFieldId="10004" dataDxfId="10221"/>
    <tableColumn id="6391" uniqueName="6391" name="Column6382" queryTableFieldId="10003" dataDxfId="10220"/>
    <tableColumn id="6392" uniqueName="6392" name="Column6383" queryTableFieldId="10002" dataDxfId="10219"/>
    <tableColumn id="6393" uniqueName="6393" name="Column6384" queryTableFieldId="10001" dataDxfId="10218"/>
    <tableColumn id="6394" uniqueName="6394" name="Column6385" queryTableFieldId="10000" dataDxfId="10217"/>
    <tableColumn id="6395" uniqueName="6395" name="Column6386" queryTableFieldId="9999" dataDxfId="10216"/>
    <tableColumn id="6396" uniqueName="6396" name="Column6387" queryTableFieldId="9998" dataDxfId="10215"/>
    <tableColumn id="6397" uniqueName="6397" name="Column6388" queryTableFieldId="9997" dataDxfId="10214"/>
    <tableColumn id="6398" uniqueName="6398" name="Column6389" queryTableFieldId="9996" dataDxfId="10213"/>
    <tableColumn id="6399" uniqueName="6399" name="Column6390" queryTableFieldId="9995" dataDxfId="10212"/>
    <tableColumn id="6400" uniqueName="6400" name="Column6391" queryTableFieldId="9994" dataDxfId="10211"/>
    <tableColumn id="6401" uniqueName="6401" name="Column6392" queryTableFieldId="9993" dataDxfId="10210"/>
    <tableColumn id="6402" uniqueName="6402" name="Column6393" queryTableFieldId="9992" dataDxfId="10209"/>
    <tableColumn id="6403" uniqueName="6403" name="Column6394" queryTableFieldId="9991" dataDxfId="10208"/>
    <tableColumn id="6404" uniqueName="6404" name="Column6395" queryTableFieldId="9990" dataDxfId="10207"/>
    <tableColumn id="6405" uniqueName="6405" name="Column6396" queryTableFieldId="9989" dataDxfId="10206"/>
    <tableColumn id="6406" uniqueName="6406" name="Column6397" queryTableFieldId="9988" dataDxfId="10205"/>
    <tableColumn id="6407" uniqueName="6407" name="Column6398" queryTableFieldId="9987" dataDxfId="10204"/>
    <tableColumn id="6408" uniqueName="6408" name="Column6399" queryTableFieldId="9986" dataDxfId="10203"/>
    <tableColumn id="6409" uniqueName="6409" name="Column6400" queryTableFieldId="9985" dataDxfId="10202"/>
    <tableColumn id="6410" uniqueName="6410" name="Column6401" queryTableFieldId="9984" dataDxfId="10201"/>
    <tableColumn id="6411" uniqueName="6411" name="Column6402" queryTableFieldId="9983" dataDxfId="10200"/>
    <tableColumn id="6412" uniqueName="6412" name="Column6403" queryTableFieldId="9982" dataDxfId="10199"/>
    <tableColumn id="6413" uniqueName="6413" name="Column6404" queryTableFieldId="9981" dataDxfId="10198"/>
    <tableColumn id="6414" uniqueName="6414" name="Column6405" queryTableFieldId="9980" dataDxfId="10197"/>
    <tableColumn id="6415" uniqueName="6415" name="Column6406" queryTableFieldId="9979" dataDxfId="10196"/>
    <tableColumn id="6416" uniqueName="6416" name="Column6407" queryTableFieldId="9978" dataDxfId="10195"/>
    <tableColumn id="6417" uniqueName="6417" name="Column6408" queryTableFieldId="9977" dataDxfId="10194"/>
    <tableColumn id="6418" uniqueName="6418" name="Column6409" queryTableFieldId="9976" dataDxfId="10193"/>
    <tableColumn id="6419" uniqueName="6419" name="Column6410" queryTableFieldId="9975" dataDxfId="10192"/>
    <tableColumn id="6420" uniqueName="6420" name="Column6411" queryTableFieldId="9974" dataDxfId="10191"/>
    <tableColumn id="6421" uniqueName="6421" name="Column6412" queryTableFieldId="9973" dataDxfId="10190"/>
    <tableColumn id="6422" uniqueName="6422" name="Column6413" queryTableFieldId="9972" dataDxfId="10189"/>
    <tableColumn id="6423" uniqueName="6423" name="Column6414" queryTableFieldId="9971" dataDxfId="10188"/>
    <tableColumn id="6424" uniqueName="6424" name="Column6415" queryTableFieldId="9970" dataDxfId="10187"/>
    <tableColumn id="6425" uniqueName="6425" name="Column6416" queryTableFieldId="9969" dataDxfId="10186"/>
    <tableColumn id="6426" uniqueName="6426" name="Column6417" queryTableFieldId="9968" dataDxfId="10185"/>
    <tableColumn id="6427" uniqueName="6427" name="Column6418" queryTableFieldId="9967" dataDxfId="10184"/>
    <tableColumn id="6428" uniqueName="6428" name="Column6419" queryTableFieldId="9966" dataDxfId="10183"/>
    <tableColumn id="6429" uniqueName="6429" name="Column6420" queryTableFieldId="9965" dataDxfId="10182"/>
    <tableColumn id="6430" uniqueName="6430" name="Column6421" queryTableFieldId="9964" dataDxfId="10181"/>
    <tableColumn id="6431" uniqueName="6431" name="Column6422" queryTableFieldId="9963" dataDxfId="10180"/>
    <tableColumn id="6432" uniqueName="6432" name="Column6423" queryTableFieldId="9962" dataDxfId="10179"/>
    <tableColumn id="6433" uniqueName="6433" name="Column6424" queryTableFieldId="9961" dataDxfId="10178"/>
    <tableColumn id="6434" uniqueName="6434" name="Column6425" queryTableFieldId="9960" dataDxfId="10177"/>
    <tableColumn id="6435" uniqueName="6435" name="Column6426" queryTableFieldId="9959" dataDxfId="10176"/>
    <tableColumn id="6436" uniqueName="6436" name="Column6427" queryTableFieldId="9958" dataDxfId="10175"/>
    <tableColumn id="6437" uniqueName="6437" name="Column6428" queryTableFieldId="9957" dataDxfId="10174"/>
    <tableColumn id="6438" uniqueName="6438" name="Column6429" queryTableFieldId="9956" dataDxfId="10173"/>
    <tableColumn id="6439" uniqueName="6439" name="Column6430" queryTableFieldId="9955" dataDxfId="10172"/>
    <tableColumn id="6440" uniqueName="6440" name="Column6431" queryTableFieldId="9954" dataDxfId="10171"/>
    <tableColumn id="6441" uniqueName="6441" name="Column6432" queryTableFieldId="9953" dataDxfId="10170"/>
    <tableColumn id="6442" uniqueName="6442" name="Column6433" queryTableFieldId="9952" dataDxfId="10169"/>
    <tableColumn id="6443" uniqueName="6443" name="Column6434" queryTableFieldId="9951" dataDxfId="10168"/>
    <tableColumn id="6444" uniqueName="6444" name="Column6435" queryTableFieldId="9950" dataDxfId="10167"/>
    <tableColumn id="6445" uniqueName="6445" name="Column6436" queryTableFieldId="9949" dataDxfId="10166"/>
    <tableColumn id="6446" uniqueName="6446" name="Column6437" queryTableFieldId="9948" dataDxfId="10165"/>
    <tableColumn id="6447" uniqueName="6447" name="Column6438" queryTableFieldId="9947" dataDxfId="10164"/>
    <tableColumn id="6448" uniqueName="6448" name="Column6439" queryTableFieldId="9946" dataDxfId="10163"/>
    <tableColumn id="6449" uniqueName="6449" name="Column6440" queryTableFieldId="9945" dataDxfId="10162"/>
    <tableColumn id="6450" uniqueName="6450" name="Column6441" queryTableFieldId="9944" dataDxfId="10161"/>
    <tableColumn id="6451" uniqueName="6451" name="Column6442" queryTableFieldId="9943" dataDxfId="10160"/>
    <tableColumn id="6452" uniqueName="6452" name="Column6443" queryTableFieldId="9942" dataDxfId="10159"/>
    <tableColumn id="6453" uniqueName="6453" name="Column6444" queryTableFieldId="9941" dataDxfId="10158"/>
    <tableColumn id="6454" uniqueName="6454" name="Column6445" queryTableFieldId="9940" dataDxfId="10157"/>
    <tableColumn id="6455" uniqueName="6455" name="Column6446" queryTableFieldId="9939" dataDxfId="10156"/>
    <tableColumn id="6456" uniqueName="6456" name="Column6447" queryTableFieldId="9938" dataDxfId="10155"/>
    <tableColumn id="6457" uniqueName="6457" name="Column6448" queryTableFieldId="9937" dataDxfId="10154"/>
    <tableColumn id="6458" uniqueName="6458" name="Column6449" queryTableFieldId="9936" dataDxfId="10153"/>
    <tableColumn id="6459" uniqueName="6459" name="Column6450" queryTableFieldId="9935" dataDxfId="10152"/>
    <tableColumn id="6460" uniqueName="6460" name="Column6451" queryTableFieldId="9934" dataDxfId="10151"/>
    <tableColumn id="6461" uniqueName="6461" name="Column6452" queryTableFieldId="9933" dataDxfId="10150"/>
    <tableColumn id="6462" uniqueName="6462" name="Column6453" queryTableFieldId="9932" dataDxfId="10149"/>
    <tableColumn id="6463" uniqueName="6463" name="Column6454" queryTableFieldId="9931" dataDxfId="10148"/>
    <tableColumn id="6464" uniqueName="6464" name="Column6455" queryTableFieldId="9930" dataDxfId="10147"/>
    <tableColumn id="6465" uniqueName="6465" name="Column6456" queryTableFieldId="9929" dataDxfId="10146"/>
    <tableColumn id="6466" uniqueName="6466" name="Column6457" queryTableFieldId="9928" dataDxfId="10145"/>
    <tableColumn id="6467" uniqueName="6467" name="Column6458" queryTableFieldId="9927" dataDxfId="10144"/>
    <tableColumn id="6468" uniqueName="6468" name="Column6459" queryTableFieldId="9926" dataDxfId="10143"/>
    <tableColumn id="6469" uniqueName="6469" name="Column6460" queryTableFieldId="9925" dataDxfId="10142"/>
    <tableColumn id="6470" uniqueName="6470" name="Column6461" queryTableFieldId="9924" dataDxfId="10141"/>
    <tableColumn id="6471" uniqueName="6471" name="Column6462" queryTableFieldId="9923" dataDxfId="10140"/>
    <tableColumn id="6472" uniqueName="6472" name="Column6463" queryTableFieldId="9922" dataDxfId="10139"/>
    <tableColumn id="6473" uniqueName="6473" name="Column6464" queryTableFieldId="9921" dataDxfId="10138"/>
    <tableColumn id="6474" uniqueName="6474" name="Column6465" queryTableFieldId="9920" dataDxfId="10137"/>
    <tableColumn id="6475" uniqueName="6475" name="Column6466" queryTableFieldId="9919" dataDxfId="10136"/>
    <tableColumn id="6476" uniqueName="6476" name="Column6467" queryTableFieldId="9918" dataDxfId="10135"/>
    <tableColumn id="6477" uniqueName="6477" name="Column6468" queryTableFieldId="9917" dataDxfId="10134"/>
    <tableColumn id="6478" uniqueName="6478" name="Column6469" queryTableFieldId="9916" dataDxfId="10133"/>
    <tableColumn id="6479" uniqueName="6479" name="Column6470" queryTableFieldId="9915" dataDxfId="10132"/>
    <tableColumn id="6480" uniqueName="6480" name="Column6471" queryTableFieldId="9914" dataDxfId="10131"/>
    <tableColumn id="6481" uniqueName="6481" name="Column6472" queryTableFieldId="9913" dataDxfId="10130"/>
    <tableColumn id="6482" uniqueName="6482" name="Column6473" queryTableFieldId="9912" dataDxfId="10129"/>
    <tableColumn id="6483" uniqueName="6483" name="Column6474" queryTableFieldId="9911" dataDxfId="10128"/>
    <tableColumn id="6484" uniqueName="6484" name="Column6475" queryTableFieldId="9910" dataDxfId="10127"/>
    <tableColumn id="6485" uniqueName="6485" name="Column6476" queryTableFieldId="9909" dataDxfId="10126"/>
    <tableColumn id="6486" uniqueName="6486" name="Column6477" queryTableFieldId="9908" dataDxfId="10125"/>
    <tableColumn id="6487" uniqueName="6487" name="Column6478" queryTableFieldId="9907" dataDxfId="10124"/>
    <tableColumn id="6488" uniqueName="6488" name="Column6479" queryTableFieldId="9906" dataDxfId="10123"/>
    <tableColumn id="6489" uniqueName="6489" name="Column6480" queryTableFieldId="9905" dataDxfId="10122"/>
    <tableColumn id="6490" uniqueName="6490" name="Column6481" queryTableFieldId="9904" dataDxfId="10121"/>
    <tableColumn id="6491" uniqueName="6491" name="Column6482" queryTableFieldId="9903" dataDxfId="10120"/>
    <tableColumn id="6492" uniqueName="6492" name="Column6483" queryTableFieldId="9902" dataDxfId="10119"/>
    <tableColumn id="6493" uniqueName="6493" name="Column6484" queryTableFieldId="9901" dataDxfId="10118"/>
    <tableColumn id="6494" uniqueName="6494" name="Column6485" queryTableFieldId="9900" dataDxfId="10117"/>
    <tableColumn id="6495" uniqueName="6495" name="Column6486" queryTableFieldId="9899" dataDxfId="10116"/>
    <tableColumn id="6496" uniqueName="6496" name="Column6487" queryTableFieldId="9898" dataDxfId="10115"/>
    <tableColumn id="6497" uniqueName="6497" name="Column6488" queryTableFieldId="9897" dataDxfId="10114"/>
    <tableColumn id="6498" uniqueName="6498" name="Column6489" queryTableFieldId="9896" dataDxfId="10113"/>
    <tableColumn id="6499" uniqueName="6499" name="Column6490" queryTableFieldId="9895" dataDxfId="10112"/>
    <tableColumn id="6500" uniqueName="6500" name="Column6491" queryTableFieldId="9894" dataDxfId="10111"/>
    <tableColumn id="6501" uniqueName="6501" name="Column6492" queryTableFieldId="9893" dataDxfId="10110"/>
    <tableColumn id="6502" uniqueName="6502" name="Column6493" queryTableFieldId="9892" dataDxfId="10109"/>
    <tableColumn id="6503" uniqueName="6503" name="Column6494" queryTableFieldId="9891" dataDxfId="10108"/>
    <tableColumn id="6504" uniqueName="6504" name="Column6495" queryTableFieldId="9890" dataDxfId="10107"/>
    <tableColumn id="6505" uniqueName="6505" name="Column6496" queryTableFieldId="9889" dataDxfId="10106"/>
    <tableColumn id="6506" uniqueName="6506" name="Column6497" queryTableFieldId="9888" dataDxfId="10105"/>
    <tableColumn id="6507" uniqueName="6507" name="Column6498" queryTableFieldId="9887" dataDxfId="10104"/>
    <tableColumn id="6508" uniqueName="6508" name="Column6499" queryTableFieldId="9886" dataDxfId="10103"/>
    <tableColumn id="6509" uniqueName="6509" name="Column6500" queryTableFieldId="9885" dataDxfId="10102"/>
    <tableColumn id="6510" uniqueName="6510" name="Column6501" queryTableFieldId="9884" dataDxfId="10101"/>
    <tableColumn id="6511" uniqueName="6511" name="Column6502" queryTableFieldId="9883" dataDxfId="10100"/>
    <tableColumn id="6512" uniqueName="6512" name="Column6503" queryTableFieldId="9882" dataDxfId="10099"/>
    <tableColumn id="6513" uniqueName="6513" name="Column6504" queryTableFieldId="9881" dataDxfId="10098"/>
    <tableColumn id="6514" uniqueName="6514" name="Column6505" queryTableFieldId="9880" dataDxfId="10097"/>
    <tableColumn id="6515" uniqueName="6515" name="Column6506" queryTableFieldId="9879" dataDxfId="10096"/>
    <tableColumn id="6516" uniqueName="6516" name="Column6507" queryTableFieldId="9878" dataDxfId="10095"/>
    <tableColumn id="6517" uniqueName="6517" name="Column6508" queryTableFieldId="9877" dataDxfId="10094"/>
    <tableColumn id="6518" uniqueName="6518" name="Column6509" queryTableFieldId="9876" dataDxfId="10093"/>
    <tableColumn id="6519" uniqueName="6519" name="Column6510" queryTableFieldId="9875" dataDxfId="10092"/>
    <tableColumn id="6520" uniqueName="6520" name="Column6511" queryTableFieldId="9874" dataDxfId="10091"/>
    <tableColumn id="6521" uniqueName="6521" name="Column6512" queryTableFieldId="9873" dataDxfId="10090"/>
    <tableColumn id="6522" uniqueName="6522" name="Column6513" queryTableFieldId="9872" dataDxfId="10089"/>
    <tableColumn id="6523" uniqueName="6523" name="Column6514" queryTableFieldId="9871" dataDxfId="10088"/>
    <tableColumn id="6524" uniqueName="6524" name="Column6515" queryTableFieldId="9870" dataDxfId="10087"/>
    <tableColumn id="6525" uniqueName="6525" name="Column6516" queryTableFieldId="9869" dataDxfId="10086"/>
    <tableColumn id="6526" uniqueName="6526" name="Column6517" queryTableFieldId="9868" dataDxfId="10085"/>
    <tableColumn id="6527" uniqueName="6527" name="Column6518" queryTableFieldId="9867" dataDxfId="10084"/>
    <tableColumn id="6528" uniqueName="6528" name="Column6519" queryTableFieldId="9866" dataDxfId="10083"/>
    <tableColumn id="6529" uniqueName="6529" name="Column6520" queryTableFieldId="9865" dataDxfId="10082"/>
    <tableColumn id="6530" uniqueName="6530" name="Column6521" queryTableFieldId="9864" dataDxfId="10081"/>
    <tableColumn id="6531" uniqueName="6531" name="Column6522" queryTableFieldId="9863" dataDxfId="10080"/>
    <tableColumn id="6532" uniqueName="6532" name="Column6523" queryTableFieldId="9862" dataDxfId="10079"/>
    <tableColumn id="6533" uniqueName="6533" name="Column6524" queryTableFieldId="9861" dataDxfId="10078"/>
    <tableColumn id="6534" uniqueName="6534" name="Column6525" queryTableFieldId="9860" dataDxfId="10077"/>
    <tableColumn id="6535" uniqueName="6535" name="Column6526" queryTableFieldId="9859" dataDxfId="10076"/>
    <tableColumn id="6536" uniqueName="6536" name="Column6527" queryTableFieldId="9858" dataDxfId="10075"/>
    <tableColumn id="6537" uniqueName="6537" name="Column6528" queryTableFieldId="9857" dataDxfId="10074"/>
    <tableColumn id="6538" uniqueName="6538" name="Column6529" queryTableFieldId="9856" dataDxfId="10073"/>
    <tableColumn id="6539" uniqueName="6539" name="Column6530" queryTableFieldId="9855" dataDxfId="10072"/>
    <tableColumn id="6540" uniqueName="6540" name="Column6531" queryTableFieldId="9854" dataDxfId="10071"/>
    <tableColumn id="6541" uniqueName="6541" name="Column6532" queryTableFieldId="9853" dataDxfId="10070"/>
    <tableColumn id="6542" uniqueName="6542" name="Column6533" queryTableFieldId="9852" dataDxfId="10069"/>
    <tableColumn id="6543" uniqueName="6543" name="Column6534" queryTableFieldId="9851" dataDxfId="10068"/>
    <tableColumn id="6544" uniqueName="6544" name="Column6535" queryTableFieldId="9850" dataDxfId="10067"/>
    <tableColumn id="6545" uniqueName="6545" name="Column6536" queryTableFieldId="9849" dataDxfId="10066"/>
    <tableColumn id="6546" uniqueName="6546" name="Column6537" queryTableFieldId="9848" dataDxfId="10065"/>
    <tableColumn id="6547" uniqueName="6547" name="Column6538" queryTableFieldId="9847" dataDxfId="10064"/>
    <tableColumn id="6548" uniqueName="6548" name="Column6539" queryTableFieldId="9846" dataDxfId="10063"/>
    <tableColumn id="6549" uniqueName="6549" name="Column6540" queryTableFieldId="9845" dataDxfId="10062"/>
    <tableColumn id="6550" uniqueName="6550" name="Column6541" queryTableFieldId="9844" dataDxfId="10061"/>
    <tableColumn id="6551" uniqueName="6551" name="Column6542" queryTableFieldId="9843" dataDxfId="10060"/>
    <tableColumn id="6552" uniqueName="6552" name="Column6543" queryTableFieldId="9842" dataDxfId="10059"/>
    <tableColumn id="6553" uniqueName="6553" name="Column6544" queryTableFieldId="9841" dataDxfId="10058"/>
    <tableColumn id="6554" uniqueName="6554" name="Column6545" queryTableFieldId="9840" dataDxfId="10057"/>
    <tableColumn id="6555" uniqueName="6555" name="Column6546" queryTableFieldId="9839" dataDxfId="10056"/>
    <tableColumn id="6556" uniqueName="6556" name="Column6547" queryTableFieldId="9838" dataDxfId="10055"/>
    <tableColumn id="6557" uniqueName="6557" name="Column6548" queryTableFieldId="9837" dataDxfId="10054"/>
    <tableColumn id="6558" uniqueName="6558" name="Column6549" queryTableFieldId="9836" dataDxfId="10053"/>
    <tableColumn id="6559" uniqueName="6559" name="Column6550" queryTableFieldId="9835" dataDxfId="10052"/>
    <tableColumn id="6560" uniqueName="6560" name="Column6551" queryTableFieldId="9834" dataDxfId="10051"/>
    <tableColumn id="6561" uniqueName="6561" name="Column6552" queryTableFieldId="9833" dataDxfId="10050"/>
    <tableColumn id="6562" uniqueName="6562" name="Column6553" queryTableFieldId="9832" dataDxfId="10049"/>
    <tableColumn id="6563" uniqueName="6563" name="Column6554" queryTableFieldId="9831" dataDxfId="10048"/>
    <tableColumn id="6564" uniqueName="6564" name="Column6555" queryTableFieldId="9830" dataDxfId="10047"/>
    <tableColumn id="6565" uniqueName="6565" name="Column6556" queryTableFieldId="9829" dataDxfId="10046"/>
    <tableColumn id="6566" uniqueName="6566" name="Column6557" queryTableFieldId="9828" dataDxfId="10045"/>
    <tableColumn id="6567" uniqueName="6567" name="Column6558" queryTableFieldId="9827" dataDxfId="10044"/>
    <tableColumn id="6568" uniqueName="6568" name="Column6559" queryTableFieldId="9826" dataDxfId="10043"/>
    <tableColumn id="6569" uniqueName="6569" name="Column6560" queryTableFieldId="9825" dataDxfId="10042"/>
    <tableColumn id="6570" uniqueName="6570" name="Column6561" queryTableFieldId="9824" dataDxfId="10041"/>
    <tableColumn id="6571" uniqueName="6571" name="Column6562" queryTableFieldId="9823" dataDxfId="10040"/>
    <tableColumn id="6572" uniqueName="6572" name="Column6563" queryTableFieldId="9822" dataDxfId="10039"/>
    <tableColumn id="6573" uniqueName="6573" name="Column6564" queryTableFieldId="9821" dataDxfId="10038"/>
    <tableColumn id="6574" uniqueName="6574" name="Column6565" queryTableFieldId="9820" dataDxfId="10037"/>
    <tableColumn id="6575" uniqueName="6575" name="Column6566" queryTableFieldId="9819" dataDxfId="10036"/>
    <tableColumn id="6576" uniqueName="6576" name="Column6567" queryTableFieldId="9818" dataDxfId="10035"/>
    <tableColumn id="6577" uniqueName="6577" name="Column6568" queryTableFieldId="9817" dataDxfId="10034"/>
    <tableColumn id="6578" uniqueName="6578" name="Column6569" queryTableFieldId="9816" dataDxfId="10033"/>
    <tableColumn id="6579" uniqueName="6579" name="Column6570" queryTableFieldId="9815" dataDxfId="10032"/>
    <tableColumn id="6580" uniqueName="6580" name="Column6571" queryTableFieldId="9814" dataDxfId="10031"/>
    <tableColumn id="6581" uniqueName="6581" name="Column6572" queryTableFieldId="9813" dataDxfId="10030"/>
    <tableColumn id="6582" uniqueName="6582" name="Column6573" queryTableFieldId="9812" dataDxfId="10029"/>
    <tableColumn id="6583" uniqueName="6583" name="Column6574" queryTableFieldId="9811" dataDxfId="10028"/>
    <tableColumn id="6584" uniqueName="6584" name="Column6575" queryTableFieldId="9810" dataDxfId="10027"/>
    <tableColumn id="6585" uniqueName="6585" name="Column6576" queryTableFieldId="9809" dataDxfId="10026"/>
    <tableColumn id="6586" uniqueName="6586" name="Column6577" queryTableFieldId="9808" dataDxfId="10025"/>
    <tableColumn id="6587" uniqueName="6587" name="Column6578" queryTableFieldId="9807" dataDxfId="10024"/>
    <tableColumn id="6588" uniqueName="6588" name="Column6579" queryTableFieldId="9806" dataDxfId="10023"/>
    <tableColumn id="6589" uniqueName="6589" name="Column6580" queryTableFieldId="9805" dataDxfId="10022"/>
    <tableColumn id="6590" uniqueName="6590" name="Column6581" queryTableFieldId="9804" dataDxfId="10021"/>
    <tableColumn id="6591" uniqueName="6591" name="Column6582" queryTableFieldId="9803" dataDxfId="10020"/>
    <tableColumn id="6592" uniqueName="6592" name="Column6583" queryTableFieldId="9802" dataDxfId="10019"/>
    <tableColumn id="6593" uniqueName="6593" name="Column6584" queryTableFieldId="9801" dataDxfId="10018"/>
    <tableColumn id="6594" uniqueName="6594" name="Column6585" queryTableFieldId="9800" dataDxfId="10017"/>
    <tableColumn id="6595" uniqueName="6595" name="Column6586" queryTableFieldId="9799" dataDxfId="10016"/>
    <tableColumn id="6596" uniqueName="6596" name="Column6587" queryTableFieldId="9798" dataDxfId="10015"/>
    <tableColumn id="6597" uniqueName="6597" name="Column6588" queryTableFieldId="9797" dataDxfId="10014"/>
    <tableColumn id="6598" uniqueName="6598" name="Column6589" queryTableFieldId="9796" dataDxfId="10013"/>
    <tableColumn id="6599" uniqueName="6599" name="Column6590" queryTableFieldId="9795" dataDxfId="10012"/>
    <tableColumn id="6600" uniqueName="6600" name="Column6591" queryTableFieldId="9794" dataDxfId="10011"/>
    <tableColumn id="6601" uniqueName="6601" name="Column6592" queryTableFieldId="9793" dataDxfId="10010"/>
    <tableColumn id="6602" uniqueName="6602" name="Column6593" queryTableFieldId="9792" dataDxfId="10009"/>
    <tableColumn id="6603" uniqueName="6603" name="Column6594" queryTableFieldId="9791" dataDxfId="10008"/>
    <tableColumn id="6604" uniqueName="6604" name="Column6595" queryTableFieldId="9790" dataDxfId="10007"/>
    <tableColumn id="6605" uniqueName="6605" name="Column6596" queryTableFieldId="9789" dataDxfId="10006"/>
    <tableColumn id="6606" uniqueName="6606" name="Column6597" queryTableFieldId="9788" dataDxfId="10005"/>
    <tableColumn id="6607" uniqueName="6607" name="Column6598" queryTableFieldId="9787" dataDxfId="10004"/>
    <tableColumn id="6608" uniqueName="6608" name="Column6599" queryTableFieldId="9786" dataDxfId="10003"/>
    <tableColumn id="6609" uniqueName="6609" name="Column6600" queryTableFieldId="9785" dataDxfId="10002"/>
    <tableColumn id="6610" uniqueName="6610" name="Column6601" queryTableFieldId="9784" dataDxfId="10001"/>
    <tableColumn id="6611" uniqueName="6611" name="Column6602" queryTableFieldId="9783" dataDxfId="10000"/>
    <tableColumn id="6612" uniqueName="6612" name="Column6603" queryTableFieldId="9782" dataDxfId="9999"/>
    <tableColumn id="6613" uniqueName="6613" name="Column6604" queryTableFieldId="9781" dataDxfId="9998"/>
    <tableColumn id="6614" uniqueName="6614" name="Column6605" queryTableFieldId="9780" dataDxfId="9997"/>
    <tableColumn id="6615" uniqueName="6615" name="Column6606" queryTableFieldId="9779" dataDxfId="9996"/>
    <tableColumn id="6616" uniqueName="6616" name="Column6607" queryTableFieldId="9778" dataDxfId="9995"/>
    <tableColumn id="6617" uniqueName="6617" name="Column6608" queryTableFieldId="9777" dataDxfId="9994"/>
    <tableColumn id="6618" uniqueName="6618" name="Column6609" queryTableFieldId="9776" dataDxfId="9993"/>
    <tableColumn id="6619" uniqueName="6619" name="Column6610" queryTableFieldId="9775" dataDxfId="9992"/>
    <tableColumn id="6620" uniqueName="6620" name="Column6611" queryTableFieldId="9774" dataDxfId="9991"/>
    <tableColumn id="6621" uniqueName="6621" name="Column6612" queryTableFieldId="9773" dataDxfId="9990"/>
    <tableColumn id="6622" uniqueName="6622" name="Column6613" queryTableFieldId="9772" dataDxfId="9989"/>
    <tableColumn id="6623" uniqueName="6623" name="Column6614" queryTableFieldId="9771" dataDxfId="9988"/>
    <tableColumn id="6624" uniqueName="6624" name="Column6615" queryTableFieldId="9770" dataDxfId="9987"/>
    <tableColumn id="6625" uniqueName="6625" name="Column6616" queryTableFieldId="9769" dataDxfId="9986"/>
    <tableColumn id="6626" uniqueName="6626" name="Column6617" queryTableFieldId="9768" dataDxfId="9985"/>
    <tableColumn id="6627" uniqueName="6627" name="Column6618" queryTableFieldId="9767" dataDxfId="9984"/>
    <tableColumn id="6628" uniqueName="6628" name="Column6619" queryTableFieldId="9766" dataDxfId="9983"/>
    <tableColumn id="6629" uniqueName="6629" name="Column6620" queryTableFieldId="9765" dataDxfId="9982"/>
    <tableColumn id="6630" uniqueName="6630" name="Column6621" queryTableFieldId="9764" dataDxfId="9981"/>
    <tableColumn id="6631" uniqueName="6631" name="Column6622" queryTableFieldId="9763" dataDxfId="9980"/>
    <tableColumn id="6632" uniqueName="6632" name="Column6623" queryTableFieldId="9762" dataDxfId="9979"/>
    <tableColumn id="6633" uniqueName="6633" name="Column6624" queryTableFieldId="9761" dataDxfId="9978"/>
    <tableColumn id="6634" uniqueName="6634" name="Column6625" queryTableFieldId="9760" dataDxfId="9977"/>
    <tableColumn id="6635" uniqueName="6635" name="Column6626" queryTableFieldId="9759" dataDxfId="9976"/>
    <tableColumn id="6636" uniqueName="6636" name="Column6627" queryTableFieldId="9758" dataDxfId="9975"/>
    <tableColumn id="6637" uniqueName="6637" name="Column6628" queryTableFieldId="9757" dataDxfId="9974"/>
    <tableColumn id="6638" uniqueName="6638" name="Column6629" queryTableFieldId="9756" dataDxfId="9973"/>
    <tableColumn id="6639" uniqueName="6639" name="Column6630" queryTableFieldId="9755" dataDxfId="9972"/>
    <tableColumn id="6640" uniqueName="6640" name="Column6631" queryTableFieldId="9754" dataDxfId="9971"/>
    <tableColumn id="6641" uniqueName="6641" name="Column6632" queryTableFieldId="9753" dataDxfId="9970"/>
    <tableColumn id="6642" uniqueName="6642" name="Column6633" queryTableFieldId="9752" dataDxfId="9969"/>
    <tableColumn id="6643" uniqueName="6643" name="Column6634" queryTableFieldId="9751" dataDxfId="9968"/>
    <tableColumn id="6644" uniqueName="6644" name="Column6635" queryTableFieldId="9750" dataDxfId="9967"/>
    <tableColumn id="6645" uniqueName="6645" name="Column6636" queryTableFieldId="9749" dataDxfId="9966"/>
    <tableColumn id="6646" uniqueName="6646" name="Column6637" queryTableFieldId="9748" dataDxfId="9965"/>
    <tableColumn id="6647" uniqueName="6647" name="Column6638" queryTableFieldId="9747" dataDxfId="9964"/>
    <tableColumn id="6648" uniqueName="6648" name="Column6639" queryTableFieldId="9746" dataDxfId="9963"/>
    <tableColumn id="6649" uniqueName="6649" name="Column6640" queryTableFieldId="9745" dataDxfId="9962"/>
    <tableColumn id="6650" uniqueName="6650" name="Column6641" queryTableFieldId="9744" dataDxfId="9961"/>
    <tableColumn id="6651" uniqueName="6651" name="Column6642" queryTableFieldId="9743" dataDxfId="9960"/>
    <tableColumn id="6652" uniqueName="6652" name="Column6643" queryTableFieldId="9742" dataDxfId="9959"/>
    <tableColumn id="6653" uniqueName="6653" name="Column6644" queryTableFieldId="9741" dataDxfId="9958"/>
    <tableColumn id="6654" uniqueName="6654" name="Column6645" queryTableFieldId="9740" dataDxfId="9957"/>
    <tableColumn id="6655" uniqueName="6655" name="Column6646" queryTableFieldId="9739" dataDxfId="9956"/>
    <tableColumn id="6656" uniqueName="6656" name="Column6647" queryTableFieldId="9738" dataDxfId="9955"/>
    <tableColumn id="6657" uniqueName="6657" name="Column6648" queryTableFieldId="9737" dataDxfId="9954"/>
    <tableColumn id="6658" uniqueName="6658" name="Column6649" queryTableFieldId="9736" dataDxfId="9953"/>
    <tableColumn id="6659" uniqueName="6659" name="Column6650" queryTableFieldId="9735" dataDxfId="9952"/>
    <tableColumn id="6660" uniqueName="6660" name="Column6651" queryTableFieldId="9734" dataDxfId="9951"/>
    <tableColumn id="6661" uniqueName="6661" name="Column6652" queryTableFieldId="9733" dataDxfId="9950"/>
    <tableColumn id="6662" uniqueName="6662" name="Column6653" queryTableFieldId="9732" dataDxfId="9949"/>
    <tableColumn id="6663" uniqueName="6663" name="Column6654" queryTableFieldId="9731" dataDxfId="9948"/>
    <tableColumn id="6664" uniqueName="6664" name="Column6655" queryTableFieldId="9730" dataDxfId="9947"/>
    <tableColumn id="6665" uniqueName="6665" name="Column6656" queryTableFieldId="9729" dataDxfId="9946"/>
    <tableColumn id="6666" uniqueName="6666" name="Column6657" queryTableFieldId="9728" dataDxfId="9945"/>
    <tableColumn id="6667" uniqueName="6667" name="Column6658" queryTableFieldId="9727" dataDxfId="9944"/>
    <tableColumn id="6668" uniqueName="6668" name="Column6659" queryTableFieldId="9726" dataDxfId="9943"/>
    <tableColumn id="6669" uniqueName="6669" name="Column6660" queryTableFieldId="9725" dataDxfId="9942"/>
    <tableColumn id="6670" uniqueName="6670" name="Column6661" queryTableFieldId="9724" dataDxfId="9941"/>
    <tableColumn id="6671" uniqueName="6671" name="Column6662" queryTableFieldId="9723" dataDxfId="9940"/>
    <tableColumn id="6672" uniqueName="6672" name="Column6663" queryTableFieldId="9722" dataDxfId="9939"/>
    <tableColumn id="6673" uniqueName="6673" name="Column6664" queryTableFieldId="9721" dataDxfId="9938"/>
    <tableColumn id="6674" uniqueName="6674" name="Column6665" queryTableFieldId="9720" dataDxfId="9937"/>
    <tableColumn id="6675" uniqueName="6675" name="Column6666" queryTableFieldId="9719" dataDxfId="9936"/>
    <tableColumn id="6676" uniqueName="6676" name="Column6667" queryTableFieldId="9718" dataDxfId="9935"/>
    <tableColumn id="6677" uniqueName="6677" name="Column6668" queryTableFieldId="9717" dataDxfId="9934"/>
    <tableColumn id="6678" uniqueName="6678" name="Column6669" queryTableFieldId="9716" dataDxfId="9933"/>
    <tableColumn id="6679" uniqueName="6679" name="Column6670" queryTableFieldId="9715" dataDxfId="9932"/>
    <tableColumn id="6680" uniqueName="6680" name="Column6671" queryTableFieldId="9714" dataDxfId="9931"/>
    <tableColumn id="6681" uniqueName="6681" name="Column6672" queryTableFieldId="9713" dataDxfId="9930"/>
    <tableColumn id="6682" uniqueName="6682" name="Column6673" queryTableFieldId="9712" dataDxfId="9929"/>
    <tableColumn id="6683" uniqueName="6683" name="Column6674" queryTableFieldId="9711" dataDxfId="9928"/>
    <tableColumn id="6684" uniqueName="6684" name="Column6675" queryTableFieldId="9710" dataDxfId="9927"/>
    <tableColumn id="6685" uniqueName="6685" name="Column6676" queryTableFieldId="9709" dataDxfId="9926"/>
    <tableColumn id="6686" uniqueName="6686" name="Column6677" queryTableFieldId="9708" dataDxfId="9925"/>
    <tableColumn id="6687" uniqueName="6687" name="Column6678" queryTableFieldId="9707" dataDxfId="9924"/>
    <tableColumn id="6688" uniqueName="6688" name="Column6679" queryTableFieldId="9706" dataDxfId="9923"/>
    <tableColumn id="6689" uniqueName="6689" name="Column6680" queryTableFieldId="9705" dataDxfId="9922"/>
    <tableColumn id="6690" uniqueName="6690" name="Column6681" queryTableFieldId="9704" dataDxfId="9921"/>
    <tableColumn id="6691" uniqueName="6691" name="Column6682" queryTableFieldId="9703" dataDxfId="9920"/>
    <tableColumn id="6692" uniqueName="6692" name="Column6683" queryTableFieldId="9702" dataDxfId="9919"/>
    <tableColumn id="6693" uniqueName="6693" name="Column6684" queryTableFieldId="9701" dataDxfId="9918"/>
    <tableColumn id="6694" uniqueName="6694" name="Column6685" queryTableFieldId="9700" dataDxfId="9917"/>
    <tableColumn id="6695" uniqueName="6695" name="Column6686" queryTableFieldId="9699" dataDxfId="9916"/>
    <tableColumn id="6696" uniqueName="6696" name="Column6687" queryTableFieldId="9698" dataDxfId="9915"/>
    <tableColumn id="6697" uniqueName="6697" name="Column6688" queryTableFieldId="9697" dataDxfId="9914"/>
    <tableColumn id="6698" uniqueName="6698" name="Column6689" queryTableFieldId="9696" dataDxfId="9913"/>
    <tableColumn id="6699" uniqueName="6699" name="Column6690" queryTableFieldId="9695" dataDxfId="9912"/>
    <tableColumn id="6700" uniqueName="6700" name="Column6691" queryTableFieldId="9694" dataDxfId="9911"/>
    <tableColumn id="6701" uniqueName="6701" name="Column6692" queryTableFieldId="9693" dataDxfId="9910"/>
    <tableColumn id="6702" uniqueName="6702" name="Column6693" queryTableFieldId="9692" dataDxfId="9909"/>
    <tableColumn id="6703" uniqueName="6703" name="Column6694" queryTableFieldId="9691" dataDxfId="9908"/>
    <tableColumn id="6704" uniqueName="6704" name="Column6695" queryTableFieldId="9690" dataDxfId="9907"/>
    <tableColumn id="6705" uniqueName="6705" name="Column6696" queryTableFieldId="9689" dataDxfId="9906"/>
    <tableColumn id="6706" uniqueName="6706" name="Column6697" queryTableFieldId="9688" dataDxfId="9905"/>
    <tableColumn id="6707" uniqueName="6707" name="Column6698" queryTableFieldId="9687" dataDxfId="9904"/>
    <tableColumn id="6708" uniqueName="6708" name="Column6699" queryTableFieldId="9686" dataDxfId="9903"/>
    <tableColumn id="6709" uniqueName="6709" name="Column6700" queryTableFieldId="9685" dataDxfId="9902"/>
    <tableColumn id="6710" uniqueName="6710" name="Column6701" queryTableFieldId="9684" dataDxfId="9901"/>
    <tableColumn id="6711" uniqueName="6711" name="Column6702" queryTableFieldId="9683" dataDxfId="9900"/>
    <tableColumn id="6712" uniqueName="6712" name="Column6703" queryTableFieldId="9682" dataDxfId="9899"/>
    <tableColumn id="6713" uniqueName="6713" name="Column6704" queryTableFieldId="9681" dataDxfId="9898"/>
    <tableColumn id="6714" uniqueName="6714" name="Column6705" queryTableFieldId="9680" dataDxfId="9897"/>
    <tableColumn id="6715" uniqueName="6715" name="Column6706" queryTableFieldId="9679" dataDxfId="9896"/>
    <tableColumn id="6716" uniqueName="6716" name="Column6707" queryTableFieldId="9678" dataDxfId="9895"/>
    <tableColumn id="6717" uniqueName="6717" name="Column6708" queryTableFieldId="9677" dataDxfId="9894"/>
    <tableColumn id="6718" uniqueName="6718" name="Column6709" queryTableFieldId="9676" dataDxfId="9893"/>
    <tableColumn id="6719" uniqueName="6719" name="Column6710" queryTableFieldId="9675" dataDxfId="9892"/>
    <tableColumn id="6720" uniqueName="6720" name="Column6711" queryTableFieldId="9674" dataDxfId="9891"/>
    <tableColumn id="6721" uniqueName="6721" name="Column6712" queryTableFieldId="9673" dataDxfId="9890"/>
    <tableColumn id="6722" uniqueName="6722" name="Column6713" queryTableFieldId="9672" dataDxfId="9889"/>
    <tableColumn id="6723" uniqueName="6723" name="Column6714" queryTableFieldId="9671" dataDxfId="9888"/>
    <tableColumn id="6724" uniqueName="6724" name="Column6715" queryTableFieldId="9670" dataDxfId="9887"/>
    <tableColumn id="6725" uniqueName="6725" name="Column6716" queryTableFieldId="9669" dataDxfId="9886"/>
    <tableColumn id="6726" uniqueName="6726" name="Column6717" queryTableFieldId="9668" dataDxfId="9885"/>
    <tableColumn id="6727" uniqueName="6727" name="Column6718" queryTableFieldId="9667" dataDxfId="9884"/>
    <tableColumn id="6728" uniqueName="6728" name="Column6719" queryTableFieldId="9666" dataDxfId="9883"/>
    <tableColumn id="6729" uniqueName="6729" name="Column6720" queryTableFieldId="9665" dataDxfId="9882"/>
    <tableColumn id="6730" uniqueName="6730" name="Column6721" queryTableFieldId="9664" dataDxfId="9881"/>
    <tableColumn id="6731" uniqueName="6731" name="Column6722" queryTableFieldId="9663" dataDxfId="9880"/>
    <tableColumn id="6732" uniqueName="6732" name="Column6723" queryTableFieldId="9662" dataDxfId="9879"/>
    <tableColumn id="6733" uniqueName="6733" name="Column6724" queryTableFieldId="9661" dataDxfId="9878"/>
    <tableColumn id="6734" uniqueName="6734" name="Column6725" queryTableFieldId="9660" dataDxfId="9877"/>
    <tableColumn id="6735" uniqueName="6735" name="Column6726" queryTableFieldId="9659" dataDxfId="9876"/>
    <tableColumn id="6736" uniqueName="6736" name="Column6727" queryTableFieldId="9658" dataDxfId="9875"/>
    <tableColumn id="6737" uniqueName="6737" name="Column6728" queryTableFieldId="9657" dataDxfId="9874"/>
    <tableColumn id="6738" uniqueName="6738" name="Column6729" queryTableFieldId="9656" dataDxfId="9873"/>
    <tableColumn id="6739" uniqueName="6739" name="Column6730" queryTableFieldId="9655" dataDxfId="9872"/>
    <tableColumn id="6740" uniqueName="6740" name="Column6731" queryTableFieldId="9654" dataDxfId="9871"/>
    <tableColumn id="6741" uniqueName="6741" name="Column6732" queryTableFieldId="9653" dataDxfId="9870"/>
    <tableColumn id="6742" uniqueName="6742" name="Column6733" queryTableFieldId="9652" dataDxfId="9869"/>
    <tableColumn id="6743" uniqueName="6743" name="Column6734" queryTableFieldId="9651" dataDxfId="9868"/>
    <tableColumn id="6744" uniqueName="6744" name="Column6735" queryTableFieldId="9650" dataDxfId="9867"/>
    <tableColumn id="6745" uniqueName="6745" name="Column6736" queryTableFieldId="9649" dataDxfId="9866"/>
    <tableColumn id="6746" uniqueName="6746" name="Column6737" queryTableFieldId="9648" dataDxfId="9865"/>
    <tableColumn id="6747" uniqueName="6747" name="Column6738" queryTableFieldId="9647" dataDxfId="9864"/>
    <tableColumn id="6748" uniqueName="6748" name="Column6739" queryTableFieldId="9646" dataDxfId="9863"/>
    <tableColumn id="6749" uniqueName="6749" name="Column6740" queryTableFieldId="9645" dataDxfId="9862"/>
    <tableColumn id="6750" uniqueName="6750" name="Column6741" queryTableFieldId="9644" dataDxfId="9861"/>
    <tableColumn id="6751" uniqueName="6751" name="Column6742" queryTableFieldId="9643" dataDxfId="9860"/>
    <tableColumn id="6752" uniqueName="6752" name="Column6743" queryTableFieldId="9642" dataDxfId="9859"/>
    <tableColumn id="6753" uniqueName="6753" name="Column6744" queryTableFieldId="9641" dataDxfId="9858"/>
    <tableColumn id="6754" uniqueName="6754" name="Column6745" queryTableFieldId="9640" dataDxfId="9857"/>
    <tableColumn id="6755" uniqueName="6755" name="Column6746" queryTableFieldId="9639" dataDxfId="9856"/>
    <tableColumn id="6756" uniqueName="6756" name="Column6747" queryTableFieldId="9638" dataDxfId="9855"/>
    <tableColumn id="6757" uniqueName="6757" name="Column6748" queryTableFieldId="9637" dataDxfId="9854"/>
    <tableColumn id="6758" uniqueName="6758" name="Column6749" queryTableFieldId="9636" dataDxfId="9853"/>
    <tableColumn id="6759" uniqueName="6759" name="Column6750" queryTableFieldId="9635" dataDxfId="9852"/>
    <tableColumn id="6760" uniqueName="6760" name="Column6751" queryTableFieldId="9634" dataDxfId="9851"/>
    <tableColumn id="6761" uniqueName="6761" name="Column6752" queryTableFieldId="9633" dataDxfId="9850"/>
    <tableColumn id="6762" uniqueName="6762" name="Column6753" queryTableFieldId="9632" dataDxfId="9849"/>
    <tableColumn id="6763" uniqueName="6763" name="Column6754" queryTableFieldId="9631" dataDxfId="9848"/>
    <tableColumn id="6764" uniqueName="6764" name="Column6755" queryTableFieldId="9630" dataDxfId="9847"/>
    <tableColumn id="6765" uniqueName="6765" name="Column6756" queryTableFieldId="9629" dataDxfId="9846"/>
    <tableColumn id="6766" uniqueName="6766" name="Column6757" queryTableFieldId="9628" dataDxfId="9845"/>
    <tableColumn id="6767" uniqueName="6767" name="Column6758" queryTableFieldId="9627" dataDxfId="9844"/>
    <tableColumn id="6768" uniqueName="6768" name="Column6759" queryTableFieldId="9626" dataDxfId="9843"/>
    <tableColumn id="6769" uniqueName="6769" name="Column6760" queryTableFieldId="9625" dataDxfId="9842"/>
    <tableColumn id="6770" uniqueName="6770" name="Column6761" queryTableFieldId="9624" dataDxfId="9841"/>
    <tableColumn id="6771" uniqueName="6771" name="Column6762" queryTableFieldId="9623" dataDxfId="9840"/>
    <tableColumn id="6772" uniqueName="6772" name="Column6763" queryTableFieldId="9622" dataDxfId="9839"/>
    <tableColumn id="6773" uniqueName="6773" name="Column6764" queryTableFieldId="9621" dataDxfId="9838"/>
    <tableColumn id="6774" uniqueName="6774" name="Column6765" queryTableFieldId="9620" dataDxfId="9837"/>
    <tableColumn id="6775" uniqueName="6775" name="Column6766" queryTableFieldId="9619" dataDxfId="9836"/>
    <tableColumn id="6776" uniqueName="6776" name="Column6767" queryTableFieldId="9618" dataDxfId="9835"/>
    <tableColumn id="6777" uniqueName="6777" name="Column6768" queryTableFieldId="9617" dataDxfId="9834"/>
    <tableColumn id="6778" uniqueName="6778" name="Column6769" queryTableFieldId="9616" dataDxfId="9833"/>
    <tableColumn id="6779" uniqueName="6779" name="Column6770" queryTableFieldId="9615" dataDxfId="9832"/>
    <tableColumn id="6780" uniqueName="6780" name="Column6771" queryTableFieldId="9614" dataDxfId="9831"/>
    <tableColumn id="6781" uniqueName="6781" name="Column6772" queryTableFieldId="9613" dataDxfId="9830"/>
    <tableColumn id="6782" uniqueName="6782" name="Column6773" queryTableFieldId="9612" dataDxfId="9829"/>
    <tableColumn id="6783" uniqueName="6783" name="Column6774" queryTableFieldId="9611" dataDxfId="9828"/>
    <tableColumn id="6784" uniqueName="6784" name="Column6775" queryTableFieldId="9610" dataDxfId="9827"/>
    <tableColumn id="6785" uniqueName="6785" name="Column6776" queryTableFieldId="9609" dataDxfId="9826"/>
    <tableColumn id="6786" uniqueName="6786" name="Column6777" queryTableFieldId="9608" dataDxfId="9825"/>
    <tableColumn id="6787" uniqueName="6787" name="Column6778" queryTableFieldId="9607" dataDxfId="9824"/>
    <tableColumn id="6788" uniqueName="6788" name="Column6779" queryTableFieldId="9606" dataDxfId="9823"/>
    <tableColumn id="6789" uniqueName="6789" name="Column6780" queryTableFieldId="9605" dataDxfId="9822"/>
    <tableColumn id="6790" uniqueName="6790" name="Column6781" queryTableFieldId="9604" dataDxfId="9821"/>
    <tableColumn id="6791" uniqueName="6791" name="Column6782" queryTableFieldId="9603" dataDxfId="9820"/>
    <tableColumn id="6792" uniqueName="6792" name="Column6783" queryTableFieldId="9602" dataDxfId="9819"/>
    <tableColumn id="6793" uniqueName="6793" name="Column6784" queryTableFieldId="9601" dataDxfId="9818"/>
    <tableColumn id="6794" uniqueName="6794" name="Column6785" queryTableFieldId="9600" dataDxfId="9817"/>
    <tableColumn id="6795" uniqueName="6795" name="Column6786" queryTableFieldId="9599" dataDxfId="9816"/>
    <tableColumn id="6796" uniqueName="6796" name="Column6787" queryTableFieldId="9598" dataDxfId="9815"/>
    <tableColumn id="6797" uniqueName="6797" name="Column6788" queryTableFieldId="9597" dataDxfId="9814"/>
    <tableColumn id="6798" uniqueName="6798" name="Column6789" queryTableFieldId="9596" dataDxfId="9813"/>
    <tableColumn id="6799" uniqueName="6799" name="Column6790" queryTableFieldId="9595" dataDxfId="9812"/>
    <tableColumn id="6800" uniqueName="6800" name="Column6791" queryTableFieldId="9594" dataDxfId="9811"/>
    <tableColumn id="6801" uniqueName="6801" name="Column6792" queryTableFieldId="9593" dataDxfId="9810"/>
    <tableColumn id="6802" uniqueName="6802" name="Column6793" queryTableFieldId="9592" dataDxfId="9809"/>
    <tableColumn id="6803" uniqueName="6803" name="Column6794" queryTableFieldId="9591" dataDxfId="9808"/>
    <tableColumn id="6804" uniqueName="6804" name="Column6795" queryTableFieldId="9590" dataDxfId="9807"/>
    <tableColumn id="6805" uniqueName="6805" name="Column6796" queryTableFieldId="9589" dataDxfId="9806"/>
    <tableColumn id="6806" uniqueName="6806" name="Column6797" queryTableFieldId="9588" dataDxfId="9805"/>
    <tableColumn id="6807" uniqueName="6807" name="Column6798" queryTableFieldId="9587" dataDxfId="9804"/>
    <tableColumn id="6808" uniqueName="6808" name="Column6799" queryTableFieldId="9586" dataDxfId="9803"/>
    <tableColumn id="6809" uniqueName="6809" name="Column6800" queryTableFieldId="9585" dataDxfId="9802"/>
    <tableColumn id="6810" uniqueName="6810" name="Column6801" queryTableFieldId="9584" dataDxfId="9801"/>
    <tableColumn id="6811" uniqueName="6811" name="Column6802" queryTableFieldId="9583" dataDxfId="9800"/>
    <tableColumn id="6812" uniqueName="6812" name="Column6803" queryTableFieldId="9582" dataDxfId="9799"/>
    <tableColumn id="6813" uniqueName="6813" name="Column6804" queryTableFieldId="9581" dataDxfId="9798"/>
    <tableColumn id="6814" uniqueName="6814" name="Column6805" queryTableFieldId="9580" dataDxfId="9797"/>
    <tableColumn id="6815" uniqueName="6815" name="Column6806" queryTableFieldId="9579" dataDxfId="9796"/>
    <tableColumn id="6816" uniqueName="6816" name="Column6807" queryTableFieldId="9578" dataDxfId="9795"/>
    <tableColumn id="6817" uniqueName="6817" name="Column6808" queryTableFieldId="9577" dataDxfId="9794"/>
    <tableColumn id="6818" uniqueName="6818" name="Column6809" queryTableFieldId="9576" dataDxfId="9793"/>
    <tableColumn id="6819" uniqueName="6819" name="Column6810" queryTableFieldId="9575" dataDxfId="9792"/>
    <tableColumn id="6820" uniqueName="6820" name="Column6811" queryTableFieldId="9574" dataDxfId="9791"/>
    <tableColumn id="6821" uniqueName="6821" name="Column6812" queryTableFieldId="9573" dataDxfId="9790"/>
    <tableColumn id="6822" uniqueName="6822" name="Column6813" queryTableFieldId="9572" dataDxfId="9789"/>
    <tableColumn id="6823" uniqueName="6823" name="Column6814" queryTableFieldId="9571" dataDxfId="9788"/>
    <tableColumn id="6824" uniqueName="6824" name="Column6815" queryTableFieldId="9570" dataDxfId="9787"/>
    <tableColumn id="6825" uniqueName="6825" name="Column6816" queryTableFieldId="9569" dataDxfId="9786"/>
    <tableColumn id="6826" uniqueName="6826" name="Column6817" queryTableFieldId="9568" dataDxfId="9785"/>
    <tableColumn id="6827" uniqueName="6827" name="Column6818" queryTableFieldId="9567" dataDxfId="9784"/>
    <tableColumn id="6828" uniqueName="6828" name="Column6819" queryTableFieldId="9566" dataDxfId="9783"/>
    <tableColumn id="6829" uniqueName="6829" name="Column6820" queryTableFieldId="9565" dataDxfId="9782"/>
    <tableColumn id="6830" uniqueName="6830" name="Column6821" queryTableFieldId="9564" dataDxfId="9781"/>
    <tableColumn id="6831" uniqueName="6831" name="Column6822" queryTableFieldId="9563" dataDxfId="9780"/>
    <tableColumn id="6832" uniqueName="6832" name="Column6823" queryTableFieldId="9562" dataDxfId="9779"/>
    <tableColumn id="6833" uniqueName="6833" name="Column6824" queryTableFieldId="9561" dataDxfId="9778"/>
    <tableColumn id="6834" uniqueName="6834" name="Column6825" queryTableFieldId="9560" dataDxfId="9777"/>
    <tableColumn id="6835" uniqueName="6835" name="Column6826" queryTableFieldId="9559" dataDxfId="9776"/>
    <tableColumn id="6836" uniqueName="6836" name="Column6827" queryTableFieldId="9558" dataDxfId="9775"/>
    <tableColumn id="6837" uniqueName="6837" name="Column6828" queryTableFieldId="9557" dataDxfId="9774"/>
    <tableColumn id="6838" uniqueName="6838" name="Column6829" queryTableFieldId="9556" dataDxfId="9773"/>
    <tableColumn id="6839" uniqueName="6839" name="Column6830" queryTableFieldId="9555" dataDxfId="9772"/>
    <tableColumn id="6840" uniqueName="6840" name="Column6831" queryTableFieldId="9554" dataDxfId="9771"/>
    <tableColumn id="6841" uniqueName="6841" name="Column6832" queryTableFieldId="9553" dataDxfId="9770"/>
    <tableColumn id="6842" uniqueName="6842" name="Column6833" queryTableFieldId="9552" dataDxfId="9769"/>
    <tableColumn id="6843" uniqueName="6843" name="Column6834" queryTableFieldId="9551" dataDxfId="9768"/>
    <tableColumn id="6844" uniqueName="6844" name="Column6835" queryTableFieldId="9550" dataDxfId="9767"/>
    <tableColumn id="6845" uniqueName="6845" name="Column6836" queryTableFieldId="9549" dataDxfId="9766"/>
    <tableColumn id="6846" uniqueName="6846" name="Column6837" queryTableFieldId="9548" dataDxfId="9765"/>
    <tableColumn id="6847" uniqueName="6847" name="Column6838" queryTableFieldId="9547" dataDxfId="9764"/>
    <tableColumn id="6848" uniqueName="6848" name="Column6839" queryTableFieldId="9546" dataDxfId="9763"/>
    <tableColumn id="6849" uniqueName="6849" name="Column6840" queryTableFieldId="9545" dataDxfId="9762"/>
    <tableColumn id="6850" uniqueName="6850" name="Column6841" queryTableFieldId="9544" dataDxfId="9761"/>
    <tableColumn id="6851" uniqueName="6851" name="Column6842" queryTableFieldId="9543" dataDxfId="9760"/>
    <tableColumn id="6852" uniqueName="6852" name="Column6843" queryTableFieldId="9542" dataDxfId="9759"/>
    <tableColumn id="6853" uniqueName="6853" name="Column6844" queryTableFieldId="9541" dataDxfId="9758"/>
    <tableColumn id="6854" uniqueName="6854" name="Column6845" queryTableFieldId="9540" dataDxfId="9757"/>
    <tableColumn id="6855" uniqueName="6855" name="Column6846" queryTableFieldId="9539" dataDxfId="9756"/>
    <tableColumn id="6856" uniqueName="6856" name="Column6847" queryTableFieldId="9538" dataDxfId="9755"/>
    <tableColumn id="6857" uniqueName="6857" name="Column6848" queryTableFieldId="9537" dataDxfId="9754"/>
    <tableColumn id="6858" uniqueName="6858" name="Column6849" queryTableFieldId="9536" dataDxfId="9753"/>
    <tableColumn id="6859" uniqueName="6859" name="Column6850" queryTableFieldId="9535" dataDxfId="9752"/>
    <tableColumn id="6860" uniqueName="6860" name="Column6851" queryTableFieldId="9534" dataDxfId="9751"/>
    <tableColumn id="6861" uniqueName="6861" name="Column6852" queryTableFieldId="9533" dataDxfId="9750"/>
    <tableColumn id="6862" uniqueName="6862" name="Column6853" queryTableFieldId="9532" dataDxfId="9749"/>
    <tableColumn id="6863" uniqueName="6863" name="Column6854" queryTableFieldId="9531" dataDxfId="9748"/>
    <tableColumn id="6864" uniqueName="6864" name="Column6855" queryTableFieldId="9530" dataDxfId="9747"/>
    <tableColumn id="6865" uniqueName="6865" name="Column6856" queryTableFieldId="9529" dataDxfId="9746"/>
    <tableColumn id="6866" uniqueName="6866" name="Column6857" queryTableFieldId="9528" dataDxfId="9745"/>
    <tableColumn id="6867" uniqueName="6867" name="Column6858" queryTableFieldId="9527" dataDxfId="9744"/>
    <tableColumn id="6868" uniqueName="6868" name="Column6859" queryTableFieldId="9526" dataDxfId="9743"/>
    <tableColumn id="6869" uniqueName="6869" name="Column6860" queryTableFieldId="9525" dataDxfId="9742"/>
    <tableColumn id="6870" uniqueName="6870" name="Column6861" queryTableFieldId="9524" dataDxfId="9741"/>
    <tableColumn id="6871" uniqueName="6871" name="Column6862" queryTableFieldId="9523" dataDxfId="9740"/>
    <tableColumn id="6872" uniqueName="6872" name="Column6863" queryTableFieldId="9522" dataDxfId="9739"/>
    <tableColumn id="6873" uniqueName="6873" name="Column6864" queryTableFieldId="9521" dataDxfId="9738"/>
    <tableColumn id="6874" uniqueName="6874" name="Column6865" queryTableFieldId="9520" dataDxfId="9737"/>
    <tableColumn id="6875" uniqueName="6875" name="Column6866" queryTableFieldId="9519" dataDxfId="9736"/>
    <tableColumn id="6876" uniqueName="6876" name="Column6867" queryTableFieldId="9518" dataDxfId="9735"/>
    <tableColumn id="6877" uniqueName="6877" name="Column6868" queryTableFieldId="9517" dataDxfId="9734"/>
    <tableColumn id="6878" uniqueName="6878" name="Column6869" queryTableFieldId="9516" dataDxfId="9733"/>
    <tableColumn id="6879" uniqueName="6879" name="Column6870" queryTableFieldId="9515" dataDxfId="9732"/>
    <tableColumn id="6880" uniqueName="6880" name="Column6871" queryTableFieldId="9514" dataDxfId="9731"/>
    <tableColumn id="6881" uniqueName="6881" name="Column6872" queryTableFieldId="9513" dataDxfId="9730"/>
    <tableColumn id="6882" uniqueName="6882" name="Column6873" queryTableFieldId="9512" dataDxfId="9729"/>
    <tableColumn id="6883" uniqueName="6883" name="Column6874" queryTableFieldId="9511" dataDxfId="9728"/>
    <tableColumn id="6884" uniqueName="6884" name="Column6875" queryTableFieldId="9510" dataDxfId="9727"/>
    <tableColumn id="6885" uniqueName="6885" name="Column6876" queryTableFieldId="9509" dataDxfId="9726"/>
    <tableColumn id="6886" uniqueName="6886" name="Column6877" queryTableFieldId="9508" dataDxfId="9725"/>
    <tableColumn id="6887" uniqueName="6887" name="Column6878" queryTableFieldId="9507" dataDxfId="9724"/>
    <tableColumn id="6888" uniqueName="6888" name="Column6879" queryTableFieldId="9506" dataDxfId="9723"/>
    <tableColumn id="6889" uniqueName="6889" name="Column6880" queryTableFieldId="9505" dataDxfId="9722"/>
    <tableColumn id="6890" uniqueName="6890" name="Column6881" queryTableFieldId="9504" dataDxfId="9721"/>
    <tableColumn id="6891" uniqueName="6891" name="Column6882" queryTableFieldId="9503" dataDxfId="9720"/>
    <tableColumn id="6892" uniqueName="6892" name="Column6883" queryTableFieldId="9502" dataDxfId="9719"/>
    <tableColumn id="6893" uniqueName="6893" name="Column6884" queryTableFieldId="9501" dataDxfId="9718"/>
    <tableColumn id="6894" uniqueName="6894" name="Column6885" queryTableFieldId="9500" dataDxfId="9717"/>
    <tableColumn id="6895" uniqueName="6895" name="Column6886" queryTableFieldId="9499" dataDxfId="9716"/>
    <tableColumn id="6896" uniqueName="6896" name="Column6887" queryTableFieldId="9498" dataDxfId="9715"/>
    <tableColumn id="6897" uniqueName="6897" name="Column6888" queryTableFieldId="9497" dataDxfId="9714"/>
    <tableColumn id="6898" uniqueName="6898" name="Column6889" queryTableFieldId="9496" dataDxfId="9713"/>
    <tableColumn id="6899" uniqueName="6899" name="Column6890" queryTableFieldId="9495" dataDxfId="9712"/>
    <tableColumn id="6900" uniqueName="6900" name="Column6891" queryTableFieldId="9494" dataDxfId="9711"/>
    <tableColumn id="6901" uniqueName="6901" name="Column6892" queryTableFieldId="9493" dataDxfId="9710"/>
    <tableColumn id="6902" uniqueName="6902" name="Column6893" queryTableFieldId="9492" dataDxfId="9709"/>
    <tableColumn id="6903" uniqueName="6903" name="Column6894" queryTableFieldId="9491" dataDxfId="9708"/>
    <tableColumn id="6904" uniqueName="6904" name="Column6895" queryTableFieldId="9490" dataDxfId="9707"/>
    <tableColumn id="6905" uniqueName="6905" name="Column6896" queryTableFieldId="9489" dataDxfId="9706"/>
    <tableColumn id="6906" uniqueName="6906" name="Column6897" queryTableFieldId="9488" dataDxfId="9705"/>
    <tableColumn id="6907" uniqueName="6907" name="Column6898" queryTableFieldId="9487" dataDxfId="9704"/>
    <tableColumn id="6908" uniqueName="6908" name="Column6899" queryTableFieldId="9486" dataDxfId="9703"/>
    <tableColumn id="6909" uniqueName="6909" name="Column6900" queryTableFieldId="9485" dataDxfId="9702"/>
    <tableColumn id="6910" uniqueName="6910" name="Column6901" queryTableFieldId="9484" dataDxfId="9701"/>
    <tableColumn id="6911" uniqueName="6911" name="Column6902" queryTableFieldId="9483" dataDxfId="9700"/>
    <tableColumn id="6912" uniqueName="6912" name="Column6903" queryTableFieldId="9482" dataDxfId="9699"/>
    <tableColumn id="6913" uniqueName="6913" name="Column6904" queryTableFieldId="9481" dataDxfId="9698"/>
    <tableColumn id="6914" uniqueName="6914" name="Column6905" queryTableFieldId="9480" dataDxfId="9697"/>
    <tableColumn id="6915" uniqueName="6915" name="Column6906" queryTableFieldId="9479" dataDxfId="9696"/>
    <tableColumn id="6916" uniqueName="6916" name="Column6907" queryTableFieldId="9478" dataDxfId="9695"/>
    <tableColumn id="6917" uniqueName="6917" name="Column6908" queryTableFieldId="9477" dataDxfId="9694"/>
    <tableColumn id="6918" uniqueName="6918" name="Column6909" queryTableFieldId="9476" dataDxfId="9693"/>
    <tableColumn id="6919" uniqueName="6919" name="Column6910" queryTableFieldId="9475" dataDxfId="9692"/>
    <tableColumn id="6920" uniqueName="6920" name="Column6911" queryTableFieldId="9474" dataDxfId="9691"/>
    <tableColumn id="6921" uniqueName="6921" name="Column6912" queryTableFieldId="9473" dataDxfId="9690"/>
    <tableColumn id="6922" uniqueName="6922" name="Column6913" queryTableFieldId="9472" dataDxfId="9689"/>
    <tableColumn id="6923" uniqueName="6923" name="Column6914" queryTableFieldId="9471" dataDxfId="9688"/>
    <tableColumn id="6924" uniqueName="6924" name="Column6915" queryTableFieldId="9470" dataDxfId="9687"/>
    <tableColumn id="6925" uniqueName="6925" name="Column6916" queryTableFieldId="9469" dataDxfId="9686"/>
    <tableColumn id="6926" uniqueName="6926" name="Column6917" queryTableFieldId="9468" dataDxfId="9685"/>
    <tableColumn id="6927" uniqueName="6927" name="Column6918" queryTableFieldId="9467" dataDxfId="9684"/>
    <tableColumn id="6928" uniqueName="6928" name="Column6919" queryTableFieldId="9466" dataDxfId="9683"/>
    <tableColumn id="6929" uniqueName="6929" name="Column6920" queryTableFieldId="9465" dataDxfId="9682"/>
    <tableColumn id="6930" uniqueName="6930" name="Column6921" queryTableFieldId="9464" dataDxfId="9681"/>
    <tableColumn id="6931" uniqueName="6931" name="Column6922" queryTableFieldId="9463" dataDxfId="9680"/>
    <tableColumn id="6932" uniqueName="6932" name="Column6923" queryTableFieldId="9462" dataDxfId="9679"/>
    <tableColumn id="6933" uniqueName="6933" name="Column6924" queryTableFieldId="9461" dataDxfId="9678"/>
    <tableColumn id="6934" uniqueName="6934" name="Column6925" queryTableFieldId="9460" dataDxfId="9677"/>
    <tableColumn id="6935" uniqueName="6935" name="Column6926" queryTableFieldId="9459" dataDxfId="9676"/>
    <tableColumn id="6936" uniqueName="6936" name="Column6927" queryTableFieldId="9458" dataDxfId="9675"/>
    <tableColumn id="6937" uniqueName="6937" name="Column6928" queryTableFieldId="9457" dataDxfId="9674"/>
    <tableColumn id="6938" uniqueName="6938" name="Column6929" queryTableFieldId="9456" dataDxfId="9673"/>
    <tableColumn id="6939" uniqueName="6939" name="Column6930" queryTableFieldId="9455" dataDxfId="9672"/>
    <tableColumn id="6940" uniqueName="6940" name="Column6931" queryTableFieldId="9454" dataDxfId="9671"/>
    <tableColumn id="6941" uniqueName="6941" name="Column6932" queryTableFieldId="9453" dataDxfId="9670"/>
    <tableColumn id="6942" uniqueName="6942" name="Column6933" queryTableFieldId="9452" dataDxfId="9669"/>
    <tableColumn id="6943" uniqueName="6943" name="Column6934" queryTableFieldId="9451" dataDxfId="9668"/>
    <tableColumn id="6944" uniqueName="6944" name="Column6935" queryTableFieldId="9450" dataDxfId="9667"/>
    <tableColumn id="6945" uniqueName="6945" name="Column6936" queryTableFieldId="9449" dataDxfId="9666"/>
    <tableColumn id="6946" uniqueName="6946" name="Column6937" queryTableFieldId="9448" dataDxfId="9665"/>
    <tableColumn id="6947" uniqueName="6947" name="Column6938" queryTableFieldId="9447" dataDxfId="9664"/>
    <tableColumn id="6948" uniqueName="6948" name="Column6939" queryTableFieldId="9446" dataDxfId="9663"/>
    <tableColumn id="6949" uniqueName="6949" name="Column6940" queryTableFieldId="9445" dataDxfId="9662"/>
    <tableColumn id="6950" uniqueName="6950" name="Column6941" queryTableFieldId="9444" dataDxfId="9661"/>
    <tableColumn id="6951" uniqueName="6951" name="Column6942" queryTableFieldId="9443" dataDxfId="9660"/>
    <tableColumn id="6952" uniqueName="6952" name="Column6943" queryTableFieldId="9442" dataDxfId="9659"/>
    <tableColumn id="6953" uniqueName="6953" name="Column6944" queryTableFieldId="9441" dataDxfId="9658"/>
    <tableColumn id="6954" uniqueName="6954" name="Column6945" queryTableFieldId="9440" dataDxfId="9657"/>
    <tableColumn id="6955" uniqueName="6955" name="Column6946" queryTableFieldId="9439" dataDxfId="9656"/>
    <tableColumn id="6956" uniqueName="6956" name="Column6947" queryTableFieldId="9438" dataDxfId="9655"/>
    <tableColumn id="6957" uniqueName="6957" name="Column6948" queryTableFieldId="9437" dataDxfId="9654"/>
    <tableColumn id="6958" uniqueName="6958" name="Column6949" queryTableFieldId="9436" dataDxfId="9653"/>
    <tableColumn id="6959" uniqueName="6959" name="Column6950" queryTableFieldId="9435" dataDxfId="9652"/>
    <tableColumn id="6960" uniqueName="6960" name="Column6951" queryTableFieldId="9434" dataDxfId="9651"/>
    <tableColumn id="6961" uniqueName="6961" name="Column6952" queryTableFieldId="9433" dataDxfId="9650"/>
    <tableColumn id="6962" uniqueName="6962" name="Column6953" queryTableFieldId="9432" dataDxfId="9649"/>
    <tableColumn id="6963" uniqueName="6963" name="Column6954" queryTableFieldId="9431" dataDxfId="9648"/>
    <tableColumn id="6964" uniqueName="6964" name="Column6955" queryTableFieldId="9430" dataDxfId="9647"/>
    <tableColumn id="6965" uniqueName="6965" name="Column6956" queryTableFieldId="9429" dataDxfId="9646"/>
    <tableColumn id="6966" uniqueName="6966" name="Column6957" queryTableFieldId="9428" dataDxfId="9645"/>
    <tableColumn id="6967" uniqueName="6967" name="Column6958" queryTableFieldId="9427" dataDxfId="9644"/>
    <tableColumn id="6968" uniqueName="6968" name="Column6959" queryTableFieldId="9426" dataDxfId="9643"/>
    <tableColumn id="6969" uniqueName="6969" name="Column6960" queryTableFieldId="9425" dataDxfId="9642"/>
    <tableColumn id="6970" uniqueName="6970" name="Column6961" queryTableFieldId="9424" dataDxfId="9641"/>
    <tableColumn id="6971" uniqueName="6971" name="Column6962" queryTableFieldId="9423" dataDxfId="9640"/>
    <tableColumn id="6972" uniqueName="6972" name="Column6963" queryTableFieldId="9422" dataDxfId="9639"/>
    <tableColumn id="6973" uniqueName="6973" name="Column6964" queryTableFieldId="9421" dataDxfId="9638"/>
    <tableColumn id="6974" uniqueName="6974" name="Column6965" queryTableFieldId="9420" dataDxfId="9637"/>
    <tableColumn id="6975" uniqueName="6975" name="Column6966" queryTableFieldId="9419" dataDxfId="9636"/>
    <tableColumn id="6976" uniqueName="6976" name="Column6967" queryTableFieldId="9418" dataDxfId="9635"/>
    <tableColumn id="6977" uniqueName="6977" name="Column6968" queryTableFieldId="9417" dataDxfId="9634"/>
    <tableColumn id="6978" uniqueName="6978" name="Column6969" queryTableFieldId="9416" dataDxfId="9633"/>
    <tableColumn id="6979" uniqueName="6979" name="Column6970" queryTableFieldId="9415" dataDxfId="9632"/>
    <tableColumn id="6980" uniqueName="6980" name="Column6971" queryTableFieldId="9414" dataDxfId="9631"/>
    <tableColumn id="6981" uniqueName="6981" name="Column6972" queryTableFieldId="9413" dataDxfId="9630"/>
    <tableColumn id="6982" uniqueName="6982" name="Column6973" queryTableFieldId="9412" dataDxfId="9629"/>
    <tableColumn id="6983" uniqueName="6983" name="Column6974" queryTableFieldId="9411" dataDxfId="9628"/>
    <tableColumn id="6984" uniqueName="6984" name="Column6975" queryTableFieldId="9410" dataDxfId="9627"/>
    <tableColumn id="6985" uniqueName="6985" name="Column6976" queryTableFieldId="9409" dataDxfId="9626"/>
    <tableColumn id="6986" uniqueName="6986" name="Column6977" queryTableFieldId="9408" dataDxfId="9625"/>
    <tableColumn id="6987" uniqueName="6987" name="Column6978" queryTableFieldId="9407" dataDxfId="9624"/>
    <tableColumn id="6988" uniqueName="6988" name="Column6979" queryTableFieldId="9406" dataDxfId="9623"/>
    <tableColumn id="6989" uniqueName="6989" name="Column6980" queryTableFieldId="9405" dataDxfId="9622"/>
    <tableColumn id="6990" uniqueName="6990" name="Column6981" queryTableFieldId="9404" dataDxfId="9621"/>
    <tableColumn id="6991" uniqueName="6991" name="Column6982" queryTableFieldId="9403" dataDxfId="9620"/>
    <tableColumn id="6992" uniqueName="6992" name="Column6983" queryTableFieldId="9402" dataDxfId="9619"/>
    <tableColumn id="6993" uniqueName="6993" name="Column6984" queryTableFieldId="9401" dataDxfId="9618"/>
    <tableColumn id="6994" uniqueName="6994" name="Column6985" queryTableFieldId="9400" dataDxfId="9617"/>
    <tableColumn id="6995" uniqueName="6995" name="Column6986" queryTableFieldId="9399" dataDxfId="9616"/>
    <tableColumn id="6996" uniqueName="6996" name="Column6987" queryTableFieldId="9398" dataDxfId="9615"/>
    <tableColumn id="6997" uniqueName="6997" name="Column6988" queryTableFieldId="9397" dataDxfId="9614"/>
    <tableColumn id="6998" uniqueName="6998" name="Column6989" queryTableFieldId="9396" dataDxfId="9613"/>
    <tableColumn id="6999" uniqueName="6999" name="Column6990" queryTableFieldId="9395" dataDxfId="9612"/>
    <tableColumn id="7000" uniqueName="7000" name="Column6991" queryTableFieldId="9394" dataDxfId="9611"/>
    <tableColumn id="7001" uniqueName="7001" name="Column6992" queryTableFieldId="9393" dataDxfId="9610"/>
    <tableColumn id="7002" uniqueName="7002" name="Column6993" queryTableFieldId="9392" dataDxfId="9609"/>
    <tableColumn id="7003" uniqueName="7003" name="Column6994" queryTableFieldId="9391" dataDxfId="9608"/>
    <tableColumn id="7004" uniqueName="7004" name="Column6995" queryTableFieldId="9390" dataDxfId="9607"/>
    <tableColumn id="7005" uniqueName="7005" name="Column6996" queryTableFieldId="9389" dataDxfId="9606"/>
    <tableColumn id="7006" uniqueName="7006" name="Column6997" queryTableFieldId="9388" dataDxfId="9605"/>
    <tableColumn id="7007" uniqueName="7007" name="Column6998" queryTableFieldId="9387" dataDxfId="9604"/>
    <tableColumn id="7008" uniqueName="7008" name="Column6999" queryTableFieldId="9386" dataDxfId="9603"/>
    <tableColumn id="7009" uniqueName="7009" name="Column7000" queryTableFieldId="9385" dataDxfId="9602"/>
    <tableColumn id="7010" uniqueName="7010" name="Column7001" queryTableFieldId="9384" dataDxfId="9601"/>
    <tableColumn id="7011" uniqueName="7011" name="Column7002" queryTableFieldId="9383" dataDxfId="9600"/>
    <tableColumn id="7012" uniqueName="7012" name="Column7003" queryTableFieldId="9382" dataDxfId="9599"/>
    <tableColumn id="7013" uniqueName="7013" name="Column7004" queryTableFieldId="9381" dataDxfId="9598"/>
    <tableColumn id="7014" uniqueName="7014" name="Column7005" queryTableFieldId="9380" dataDxfId="9597"/>
    <tableColumn id="7015" uniqueName="7015" name="Column7006" queryTableFieldId="9379" dataDxfId="9596"/>
    <tableColumn id="7016" uniqueName="7016" name="Column7007" queryTableFieldId="9378" dataDxfId="9595"/>
    <tableColumn id="7017" uniqueName="7017" name="Column7008" queryTableFieldId="9377" dataDxfId="9594"/>
    <tableColumn id="7018" uniqueName="7018" name="Column7009" queryTableFieldId="9376" dataDxfId="9593"/>
    <tableColumn id="7019" uniqueName="7019" name="Column7010" queryTableFieldId="9375" dataDxfId="9592"/>
    <tableColumn id="7020" uniqueName="7020" name="Column7011" queryTableFieldId="9374" dataDxfId="9591"/>
    <tableColumn id="7021" uniqueName="7021" name="Column7012" queryTableFieldId="9373" dataDxfId="9590"/>
    <tableColumn id="7022" uniqueName="7022" name="Column7013" queryTableFieldId="9372" dataDxfId="9589"/>
    <tableColumn id="7023" uniqueName="7023" name="Column7014" queryTableFieldId="9371" dataDxfId="9588"/>
    <tableColumn id="7024" uniqueName="7024" name="Column7015" queryTableFieldId="9370" dataDxfId="9587"/>
    <tableColumn id="7025" uniqueName="7025" name="Column7016" queryTableFieldId="9369" dataDxfId="9586"/>
    <tableColumn id="7026" uniqueName="7026" name="Column7017" queryTableFieldId="9368" dataDxfId="9585"/>
    <tableColumn id="7027" uniqueName="7027" name="Column7018" queryTableFieldId="9367" dataDxfId="9584"/>
    <tableColumn id="7028" uniqueName="7028" name="Column7019" queryTableFieldId="9366" dataDxfId="9583"/>
    <tableColumn id="7029" uniqueName="7029" name="Column7020" queryTableFieldId="9365" dataDxfId="9582"/>
    <tableColumn id="7030" uniqueName="7030" name="Column7021" queryTableFieldId="9364" dataDxfId="9581"/>
    <tableColumn id="7031" uniqueName="7031" name="Column7022" queryTableFieldId="9363" dataDxfId="9580"/>
    <tableColumn id="7032" uniqueName="7032" name="Column7023" queryTableFieldId="9362" dataDxfId="9579"/>
    <tableColumn id="7033" uniqueName="7033" name="Column7024" queryTableFieldId="9361" dataDxfId="9578"/>
    <tableColumn id="7034" uniqueName="7034" name="Column7025" queryTableFieldId="9360" dataDxfId="9577"/>
    <tableColumn id="7035" uniqueName="7035" name="Column7026" queryTableFieldId="9359" dataDxfId="9576"/>
    <tableColumn id="7036" uniqueName="7036" name="Column7027" queryTableFieldId="9358" dataDxfId="9575"/>
    <tableColumn id="7037" uniqueName="7037" name="Column7028" queryTableFieldId="9357" dataDxfId="9574"/>
    <tableColumn id="7038" uniqueName="7038" name="Column7029" queryTableFieldId="9356" dataDxfId="9573"/>
    <tableColumn id="7039" uniqueName="7039" name="Column7030" queryTableFieldId="9355" dataDxfId="9572"/>
    <tableColumn id="7040" uniqueName="7040" name="Column7031" queryTableFieldId="9354" dataDxfId="9571"/>
    <tableColumn id="7041" uniqueName="7041" name="Column7032" queryTableFieldId="9353" dataDxfId="9570"/>
    <tableColumn id="7042" uniqueName="7042" name="Column7033" queryTableFieldId="9352" dataDxfId="9569"/>
    <tableColumn id="7043" uniqueName="7043" name="Column7034" queryTableFieldId="9351" dataDxfId="9568"/>
    <tableColumn id="7044" uniqueName="7044" name="Column7035" queryTableFieldId="9350" dataDxfId="9567"/>
    <tableColumn id="7045" uniqueName="7045" name="Column7036" queryTableFieldId="9349" dataDxfId="9566"/>
    <tableColumn id="7046" uniqueName="7046" name="Column7037" queryTableFieldId="9348" dataDxfId="9565"/>
    <tableColumn id="7047" uniqueName="7047" name="Column7038" queryTableFieldId="9347" dataDxfId="9564"/>
    <tableColumn id="7048" uniqueName="7048" name="Column7039" queryTableFieldId="9346" dataDxfId="9563"/>
    <tableColumn id="7049" uniqueName="7049" name="Column7040" queryTableFieldId="9345" dataDxfId="9562"/>
    <tableColumn id="7050" uniqueName="7050" name="Column7041" queryTableFieldId="9344" dataDxfId="9561"/>
    <tableColumn id="7051" uniqueName="7051" name="Column7042" queryTableFieldId="9343" dataDxfId="9560"/>
    <tableColumn id="7052" uniqueName="7052" name="Column7043" queryTableFieldId="9342" dataDxfId="9559"/>
    <tableColumn id="7053" uniqueName="7053" name="Column7044" queryTableFieldId="9341" dataDxfId="9558"/>
    <tableColumn id="7054" uniqueName="7054" name="Column7045" queryTableFieldId="9340" dataDxfId="9557"/>
    <tableColumn id="7055" uniqueName="7055" name="Column7046" queryTableFieldId="9339" dataDxfId="9556"/>
    <tableColumn id="7056" uniqueName="7056" name="Column7047" queryTableFieldId="9338" dataDxfId="9555"/>
    <tableColumn id="7057" uniqueName="7057" name="Column7048" queryTableFieldId="9337" dataDxfId="9554"/>
    <tableColumn id="7058" uniqueName="7058" name="Column7049" queryTableFieldId="9336" dataDxfId="9553"/>
    <tableColumn id="7059" uniqueName="7059" name="Column7050" queryTableFieldId="9335" dataDxfId="9552"/>
    <tableColumn id="7060" uniqueName="7060" name="Column7051" queryTableFieldId="9334" dataDxfId="9551"/>
    <tableColumn id="7061" uniqueName="7061" name="Column7052" queryTableFieldId="9333" dataDxfId="9550"/>
    <tableColumn id="7062" uniqueName="7062" name="Column7053" queryTableFieldId="9332" dataDxfId="9549"/>
    <tableColumn id="7063" uniqueName="7063" name="Column7054" queryTableFieldId="9331" dataDxfId="9548"/>
    <tableColumn id="7064" uniqueName="7064" name="Column7055" queryTableFieldId="9330" dataDxfId="9547"/>
    <tableColumn id="7065" uniqueName="7065" name="Column7056" queryTableFieldId="9329" dataDxfId="9546"/>
    <tableColumn id="7066" uniqueName="7066" name="Column7057" queryTableFieldId="9328" dataDxfId="9545"/>
    <tableColumn id="7067" uniqueName="7067" name="Column7058" queryTableFieldId="9327" dataDxfId="9544"/>
    <tableColumn id="7068" uniqueName="7068" name="Column7059" queryTableFieldId="9326" dataDxfId="9543"/>
    <tableColumn id="7069" uniqueName="7069" name="Column7060" queryTableFieldId="9325" dataDxfId="9542"/>
    <tableColumn id="7070" uniqueName="7070" name="Column7061" queryTableFieldId="9324" dataDxfId="9541"/>
    <tableColumn id="7071" uniqueName="7071" name="Column7062" queryTableFieldId="9323" dataDxfId="9540"/>
    <tableColumn id="7072" uniqueName="7072" name="Column7063" queryTableFieldId="9322" dataDxfId="9539"/>
    <tableColumn id="7073" uniqueName="7073" name="Column7064" queryTableFieldId="9321" dataDxfId="9538"/>
    <tableColumn id="7074" uniqueName="7074" name="Column7065" queryTableFieldId="9320" dataDxfId="9537"/>
    <tableColumn id="7075" uniqueName="7075" name="Column7066" queryTableFieldId="9319" dataDxfId="9536"/>
    <tableColumn id="7076" uniqueName="7076" name="Column7067" queryTableFieldId="9318" dataDxfId="9535"/>
    <tableColumn id="7077" uniqueName="7077" name="Column7068" queryTableFieldId="9317" dataDxfId="9534"/>
    <tableColumn id="7078" uniqueName="7078" name="Column7069" queryTableFieldId="9316" dataDxfId="9533"/>
    <tableColumn id="7079" uniqueName="7079" name="Column7070" queryTableFieldId="9315" dataDxfId="9532"/>
    <tableColumn id="7080" uniqueName="7080" name="Column7071" queryTableFieldId="9314" dataDxfId="9531"/>
    <tableColumn id="7081" uniqueName="7081" name="Column7072" queryTableFieldId="9313" dataDxfId="9530"/>
    <tableColumn id="7082" uniqueName="7082" name="Column7073" queryTableFieldId="9312" dataDxfId="9529"/>
    <tableColumn id="7083" uniqueName="7083" name="Column7074" queryTableFieldId="9311" dataDxfId="9528"/>
    <tableColumn id="7084" uniqueName="7084" name="Column7075" queryTableFieldId="9310" dataDxfId="9527"/>
    <tableColumn id="7085" uniqueName="7085" name="Column7076" queryTableFieldId="9309" dataDxfId="9526"/>
    <tableColumn id="7086" uniqueName="7086" name="Column7077" queryTableFieldId="9308" dataDxfId="9525"/>
    <tableColumn id="7087" uniqueName="7087" name="Column7078" queryTableFieldId="9307" dataDxfId="9524"/>
    <tableColumn id="7088" uniqueName="7088" name="Column7079" queryTableFieldId="9306" dataDxfId="9523"/>
    <tableColumn id="7089" uniqueName="7089" name="Column7080" queryTableFieldId="9305" dataDxfId="9522"/>
    <tableColumn id="7090" uniqueName="7090" name="Column7081" queryTableFieldId="9304" dataDxfId="9521"/>
    <tableColumn id="7091" uniqueName="7091" name="Column7082" queryTableFieldId="9303" dataDxfId="9520"/>
    <tableColumn id="7092" uniqueName="7092" name="Column7083" queryTableFieldId="9302" dataDxfId="9519"/>
    <tableColumn id="7093" uniqueName="7093" name="Column7084" queryTableFieldId="9301" dataDxfId="9518"/>
    <tableColumn id="7094" uniqueName="7094" name="Column7085" queryTableFieldId="9300" dataDxfId="9517"/>
    <tableColumn id="7095" uniqueName="7095" name="Column7086" queryTableFieldId="9299" dataDxfId="9516"/>
    <tableColumn id="7096" uniqueName="7096" name="Column7087" queryTableFieldId="9298" dataDxfId="9515"/>
    <tableColumn id="7097" uniqueName="7097" name="Column7088" queryTableFieldId="9297" dataDxfId="9514"/>
    <tableColumn id="7098" uniqueName="7098" name="Column7089" queryTableFieldId="9296" dataDxfId="9513"/>
    <tableColumn id="7099" uniqueName="7099" name="Column7090" queryTableFieldId="9295" dataDxfId="9512"/>
    <tableColumn id="7100" uniqueName="7100" name="Column7091" queryTableFieldId="9294" dataDxfId="9511"/>
    <tableColumn id="7101" uniqueName="7101" name="Column7092" queryTableFieldId="9293" dataDxfId="9510"/>
    <tableColumn id="7102" uniqueName="7102" name="Column7093" queryTableFieldId="9292" dataDxfId="9509"/>
    <tableColumn id="7103" uniqueName="7103" name="Column7094" queryTableFieldId="9291" dataDxfId="9508"/>
    <tableColumn id="7104" uniqueName="7104" name="Column7095" queryTableFieldId="9290" dataDxfId="9507"/>
    <tableColumn id="7105" uniqueName="7105" name="Column7096" queryTableFieldId="9289" dataDxfId="9506"/>
    <tableColumn id="7106" uniqueName="7106" name="Column7097" queryTableFieldId="9288" dataDxfId="9505"/>
    <tableColumn id="7107" uniqueName="7107" name="Column7098" queryTableFieldId="9287" dataDxfId="9504"/>
    <tableColumn id="7108" uniqueName="7108" name="Column7099" queryTableFieldId="9286" dataDxfId="9503"/>
    <tableColumn id="7109" uniqueName="7109" name="Column7100" queryTableFieldId="9285" dataDxfId="9502"/>
    <tableColumn id="7110" uniqueName="7110" name="Column7101" queryTableFieldId="9284" dataDxfId="9501"/>
    <tableColumn id="7111" uniqueName="7111" name="Column7102" queryTableFieldId="9283" dataDxfId="9500"/>
    <tableColumn id="7112" uniqueName="7112" name="Column7103" queryTableFieldId="9282" dataDxfId="9499"/>
    <tableColumn id="7113" uniqueName="7113" name="Column7104" queryTableFieldId="9281" dataDxfId="9498"/>
    <tableColumn id="7114" uniqueName="7114" name="Column7105" queryTableFieldId="9280" dataDxfId="9497"/>
    <tableColumn id="7115" uniqueName="7115" name="Column7106" queryTableFieldId="9279" dataDxfId="9496"/>
    <tableColumn id="7116" uniqueName="7116" name="Column7107" queryTableFieldId="9278" dataDxfId="9495"/>
    <tableColumn id="7117" uniqueName="7117" name="Column7108" queryTableFieldId="9277" dataDxfId="9494"/>
    <tableColumn id="7118" uniqueName="7118" name="Column7109" queryTableFieldId="9276" dataDxfId="9493"/>
    <tableColumn id="7119" uniqueName="7119" name="Column7110" queryTableFieldId="9275" dataDxfId="9492"/>
    <tableColumn id="7120" uniqueName="7120" name="Column7111" queryTableFieldId="9274" dataDxfId="9491"/>
    <tableColumn id="7121" uniqueName="7121" name="Column7112" queryTableFieldId="9273" dataDxfId="9490"/>
    <tableColumn id="7122" uniqueName="7122" name="Column7113" queryTableFieldId="9272" dataDxfId="9489"/>
    <tableColumn id="7123" uniqueName="7123" name="Column7114" queryTableFieldId="9271" dataDxfId="9488"/>
    <tableColumn id="7124" uniqueName="7124" name="Column7115" queryTableFieldId="9270" dataDxfId="9487"/>
    <tableColumn id="7125" uniqueName="7125" name="Column7116" queryTableFieldId="9269" dataDxfId="9486"/>
    <tableColumn id="7126" uniqueName="7126" name="Column7117" queryTableFieldId="9268" dataDxfId="9485"/>
    <tableColumn id="7127" uniqueName="7127" name="Column7118" queryTableFieldId="9267" dataDxfId="9484"/>
    <tableColumn id="7128" uniqueName="7128" name="Column7119" queryTableFieldId="9266" dataDxfId="9483"/>
    <tableColumn id="7129" uniqueName="7129" name="Column7120" queryTableFieldId="9265" dataDxfId="9482"/>
    <tableColumn id="7130" uniqueName="7130" name="Column7121" queryTableFieldId="9264" dataDxfId="9481"/>
    <tableColumn id="7131" uniqueName="7131" name="Column7122" queryTableFieldId="9263" dataDxfId="9480"/>
    <tableColumn id="7132" uniqueName="7132" name="Column7123" queryTableFieldId="9262" dataDxfId="9479"/>
    <tableColumn id="7133" uniqueName="7133" name="Column7124" queryTableFieldId="9261" dataDxfId="9478"/>
    <tableColumn id="7134" uniqueName="7134" name="Column7125" queryTableFieldId="9260" dataDxfId="9477"/>
    <tableColumn id="7135" uniqueName="7135" name="Column7126" queryTableFieldId="9259" dataDxfId="9476"/>
    <tableColumn id="7136" uniqueName="7136" name="Column7127" queryTableFieldId="9258" dataDxfId="9475"/>
    <tableColumn id="7137" uniqueName="7137" name="Column7128" queryTableFieldId="9257" dataDxfId="9474"/>
    <tableColumn id="7138" uniqueName="7138" name="Column7129" queryTableFieldId="9256" dataDxfId="9473"/>
    <tableColumn id="7139" uniqueName="7139" name="Column7130" queryTableFieldId="9255" dataDxfId="9472"/>
    <tableColumn id="7140" uniqueName="7140" name="Column7131" queryTableFieldId="9254" dataDxfId="9471"/>
    <tableColumn id="7141" uniqueName="7141" name="Column7132" queryTableFieldId="9253" dataDxfId="9470"/>
    <tableColumn id="7142" uniqueName="7142" name="Column7133" queryTableFieldId="9252" dataDxfId="9469"/>
    <tableColumn id="7143" uniqueName="7143" name="Column7134" queryTableFieldId="9251" dataDxfId="9468"/>
    <tableColumn id="7144" uniqueName="7144" name="Column7135" queryTableFieldId="9250" dataDxfId="9467"/>
    <tableColumn id="7145" uniqueName="7145" name="Column7136" queryTableFieldId="9249" dataDxfId="9466"/>
    <tableColumn id="7146" uniqueName="7146" name="Column7137" queryTableFieldId="9248" dataDxfId="9465"/>
    <tableColumn id="7147" uniqueName="7147" name="Column7138" queryTableFieldId="9247" dataDxfId="9464"/>
    <tableColumn id="7148" uniqueName="7148" name="Column7139" queryTableFieldId="9246" dataDxfId="9463"/>
    <tableColumn id="7149" uniqueName="7149" name="Column7140" queryTableFieldId="9245" dataDxfId="9462"/>
    <tableColumn id="7150" uniqueName="7150" name="Column7141" queryTableFieldId="9244" dataDxfId="9461"/>
    <tableColumn id="7151" uniqueName="7151" name="Column7142" queryTableFieldId="9243" dataDxfId="9460"/>
    <tableColumn id="7152" uniqueName="7152" name="Column7143" queryTableFieldId="9242" dataDxfId="9459"/>
    <tableColumn id="7153" uniqueName="7153" name="Column7144" queryTableFieldId="9241" dataDxfId="9458"/>
    <tableColumn id="7154" uniqueName="7154" name="Column7145" queryTableFieldId="9240" dataDxfId="9457"/>
    <tableColumn id="7155" uniqueName="7155" name="Column7146" queryTableFieldId="9239" dataDxfId="9456"/>
    <tableColumn id="7156" uniqueName="7156" name="Column7147" queryTableFieldId="9238" dataDxfId="9455"/>
    <tableColumn id="7157" uniqueName="7157" name="Column7148" queryTableFieldId="9237" dataDxfId="9454"/>
    <tableColumn id="7158" uniqueName="7158" name="Column7149" queryTableFieldId="9236" dataDxfId="9453"/>
    <tableColumn id="7159" uniqueName="7159" name="Column7150" queryTableFieldId="9235" dataDxfId="9452"/>
    <tableColumn id="7160" uniqueName="7160" name="Column7151" queryTableFieldId="9234" dataDxfId="9451"/>
    <tableColumn id="7161" uniqueName="7161" name="Column7152" queryTableFieldId="9233" dataDxfId="9450"/>
    <tableColumn id="7162" uniqueName="7162" name="Column7153" queryTableFieldId="9232" dataDxfId="9449"/>
    <tableColumn id="7163" uniqueName="7163" name="Column7154" queryTableFieldId="9231" dataDxfId="9448"/>
    <tableColumn id="7164" uniqueName="7164" name="Column7155" queryTableFieldId="9230" dataDxfId="9447"/>
    <tableColumn id="7165" uniqueName="7165" name="Column7156" queryTableFieldId="9229" dataDxfId="9446"/>
    <tableColumn id="7166" uniqueName="7166" name="Column7157" queryTableFieldId="9228" dataDxfId="9445"/>
    <tableColumn id="7167" uniqueName="7167" name="Column7158" queryTableFieldId="9227" dataDxfId="9444"/>
    <tableColumn id="7168" uniqueName="7168" name="Column7159" queryTableFieldId="9226" dataDxfId="9443"/>
    <tableColumn id="7169" uniqueName="7169" name="Column7160" queryTableFieldId="9225" dataDxfId="9442"/>
    <tableColumn id="7170" uniqueName="7170" name="Column7161" queryTableFieldId="9224" dataDxfId="9441"/>
    <tableColumn id="7171" uniqueName="7171" name="Column7162" queryTableFieldId="9223" dataDxfId="9440"/>
    <tableColumn id="7172" uniqueName="7172" name="Column7163" queryTableFieldId="9222" dataDxfId="9439"/>
    <tableColumn id="7173" uniqueName="7173" name="Column7164" queryTableFieldId="9221" dataDxfId="9438"/>
    <tableColumn id="7174" uniqueName="7174" name="Column7165" queryTableFieldId="9220" dataDxfId="9437"/>
    <tableColumn id="7175" uniqueName="7175" name="Column7166" queryTableFieldId="9219" dataDxfId="9436"/>
    <tableColumn id="7176" uniqueName="7176" name="Column7167" queryTableFieldId="9218" dataDxfId="9435"/>
    <tableColumn id="7177" uniqueName="7177" name="Column7168" queryTableFieldId="9217" dataDxfId="9434"/>
    <tableColumn id="7178" uniqueName="7178" name="Column7169" queryTableFieldId="9216" dataDxfId="9433"/>
    <tableColumn id="7179" uniqueName="7179" name="Column7170" queryTableFieldId="9215" dataDxfId="9432"/>
    <tableColumn id="7180" uniqueName="7180" name="Column7171" queryTableFieldId="9214" dataDxfId="9431"/>
    <tableColumn id="7181" uniqueName="7181" name="Column7172" queryTableFieldId="9213" dataDxfId="9430"/>
    <tableColumn id="7182" uniqueName="7182" name="Column7173" queryTableFieldId="9212" dataDxfId="9429"/>
    <tableColumn id="7183" uniqueName="7183" name="Column7174" queryTableFieldId="9211" dataDxfId="9428"/>
    <tableColumn id="7184" uniqueName="7184" name="Column7175" queryTableFieldId="9210" dataDxfId="9427"/>
    <tableColumn id="7185" uniqueName="7185" name="Column7176" queryTableFieldId="9209" dataDxfId="9426"/>
    <tableColumn id="7186" uniqueName="7186" name="Column7177" queryTableFieldId="9208" dataDxfId="9425"/>
    <tableColumn id="7187" uniqueName="7187" name="Column7178" queryTableFieldId="9207" dataDxfId="9424"/>
    <tableColumn id="7188" uniqueName="7188" name="Column7179" queryTableFieldId="9206" dataDxfId="9423"/>
    <tableColumn id="7189" uniqueName="7189" name="Column7180" queryTableFieldId="9205" dataDxfId="9422"/>
    <tableColumn id="7190" uniqueName="7190" name="Column7181" queryTableFieldId="9204" dataDxfId="9421"/>
    <tableColumn id="7191" uniqueName="7191" name="Column7182" queryTableFieldId="9203" dataDxfId="9420"/>
    <tableColumn id="7192" uniqueName="7192" name="Column7183" queryTableFieldId="9202" dataDxfId="9419"/>
    <tableColumn id="7193" uniqueName="7193" name="Column7184" queryTableFieldId="9201" dataDxfId="9418"/>
    <tableColumn id="7194" uniqueName="7194" name="Column7185" queryTableFieldId="9200" dataDxfId="9417"/>
    <tableColumn id="7195" uniqueName="7195" name="Column7186" queryTableFieldId="9199" dataDxfId="9416"/>
    <tableColumn id="7196" uniqueName="7196" name="Column7187" queryTableFieldId="9198" dataDxfId="9415"/>
    <tableColumn id="7197" uniqueName="7197" name="Column7188" queryTableFieldId="9197" dataDxfId="9414"/>
    <tableColumn id="7198" uniqueName="7198" name="Column7189" queryTableFieldId="9196" dataDxfId="9413"/>
    <tableColumn id="7199" uniqueName="7199" name="Column7190" queryTableFieldId="9195" dataDxfId="9412"/>
    <tableColumn id="7200" uniqueName="7200" name="Column7191" queryTableFieldId="9194" dataDxfId="9411"/>
    <tableColumn id="7201" uniqueName="7201" name="Column7192" queryTableFieldId="9193" dataDxfId="9410"/>
    <tableColumn id="7202" uniqueName="7202" name="Column7193" queryTableFieldId="9192" dataDxfId="9409"/>
    <tableColumn id="7203" uniqueName="7203" name="Column7194" queryTableFieldId="9191" dataDxfId="9408"/>
    <tableColumn id="7204" uniqueName="7204" name="Column7195" queryTableFieldId="9190" dataDxfId="9407"/>
    <tableColumn id="7205" uniqueName="7205" name="Column7196" queryTableFieldId="9189" dataDxfId="9406"/>
    <tableColumn id="7206" uniqueName="7206" name="Column7197" queryTableFieldId="9188" dataDxfId="9405"/>
    <tableColumn id="7207" uniqueName="7207" name="Column7198" queryTableFieldId="9187" dataDxfId="9404"/>
    <tableColumn id="7208" uniqueName="7208" name="Column7199" queryTableFieldId="9186" dataDxfId="9403"/>
    <tableColumn id="7209" uniqueName="7209" name="Column7200" queryTableFieldId="9185" dataDxfId="9402"/>
    <tableColumn id="7210" uniqueName="7210" name="Column7201" queryTableFieldId="9184" dataDxfId="9401"/>
    <tableColumn id="7211" uniqueName="7211" name="Column7202" queryTableFieldId="9183" dataDxfId="9400"/>
    <tableColumn id="7212" uniqueName="7212" name="Column7203" queryTableFieldId="9182" dataDxfId="9399"/>
    <tableColumn id="7213" uniqueName="7213" name="Column7204" queryTableFieldId="9181" dataDxfId="9398"/>
    <tableColumn id="7214" uniqueName="7214" name="Column7205" queryTableFieldId="9180" dataDxfId="9397"/>
    <tableColumn id="7215" uniqueName="7215" name="Column7206" queryTableFieldId="9179" dataDxfId="9396"/>
    <tableColumn id="7216" uniqueName="7216" name="Column7207" queryTableFieldId="9178" dataDxfId="9395"/>
    <tableColumn id="7217" uniqueName="7217" name="Column7208" queryTableFieldId="9177" dataDxfId="9394"/>
    <tableColumn id="7218" uniqueName="7218" name="Column7209" queryTableFieldId="9176" dataDxfId="9393"/>
    <tableColumn id="7219" uniqueName="7219" name="Column7210" queryTableFieldId="9175" dataDxfId="9392"/>
    <tableColumn id="7220" uniqueName="7220" name="Column7211" queryTableFieldId="9174" dataDxfId="9391"/>
    <tableColumn id="7221" uniqueName="7221" name="Column7212" queryTableFieldId="9173" dataDxfId="9390"/>
    <tableColumn id="7222" uniqueName="7222" name="Column7213" queryTableFieldId="9172" dataDxfId="9389"/>
    <tableColumn id="7223" uniqueName="7223" name="Column7214" queryTableFieldId="9171" dataDxfId="9388"/>
    <tableColumn id="7224" uniqueName="7224" name="Column7215" queryTableFieldId="9170" dataDxfId="9387"/>
    <tableColumn id="7225" uniqueName="7225" name="Column7216" queryTableFieldId="9169" dataDxfId="9386"/>
    <tableColumn id="7226" uniqueName="7226" name="Column7217" queryTableFieldId="9168" dataDxfId="9385"/>
    <tableColumn id="7227" uniqueName="7227" name="Column7218" queryTableFieldId="9167" dataDxfId="9384"/>
    <tableColumn id="7228" uniqueName="7228" name="Column7219" queryTableFieldId="9166" dataDxfId="9383"/>
    <tableColumn id="7229" uniqueName="7229" name="Column7220" queryTableFieldId="9165" dataDxfId="9382"/>
    <tableColumn id="7230" uniqueName="7230" name="Column7221" queryTableFieldId="9164" dataDxfId="9381"/>
    <tableColumn id="7231" uniqueName="7231" name="Column7222" queryTableFieldId="9163" dataDxfId="9380"/>
    <tableColumn id="7232" uniqueName="7232" name="Column7223" queryTableFieldId="9162" dataDxfId="9379"/>
    <tableColumn id="7233" uniqueName="7233" name="Column7224" queryTableFieldId="9161" dataDxfId="9378"/>
    <tableColumn id="7234" uniqueName="7234" name="Column7225" queryTableFieldId="9160" dataDxfId="9377"/>
    <tableColumn id="7235" uniqueName="7235" name="Column7226" queryTableFieldId="9159" dataDxfId="9376"/>
    <tableColumn id="7236" uniqueName="7236" name="Column7227" queryTableFieldId="9158" dataDxfId="9375"/>
    <tableColumn id="7237" uniqueName="7237" name="Column7228" queryTableFieldId="9157" dataDxfId="9374"/>
    <tableColumn id="7238" uniqueName="7238" name="Column7229" queryTableFieldId="9156" dataDxfId="9373"/>
    <tableColumn id="7239" uniqueName="7239" name="Column7230" queryTableFieldId="9155" dataDxfId="9372"/>
    <tableColumn id="7240" uniqueName="7240" name="Column7231" queryTableFieldId="9154" dataDxfId="9371"/>
    <tableColumn id="7241" uniqueName="7241" name="Column7232" queryTableFieldId="9153" dataDxfId="9370"/>
    <tableColumn id="7242" uniqueName="7242" name="Column7233" queryTableFieldId="9152" dataDxfId="9369"/>
    <tableColumn id="7243" uniqueName="7243" name="Column7234" queryTableFieldId="9151" dataDxfId="9368"/>
    <tableColumn id="7244" uniqueName="7244" name="Column7235" queryTableFieldId="9150" dataDxfId="9367"/>
    <tableColumn id="7245" uniqueName="7245" name="Column7236" queryTableFieldId="9149" dataDxfId="9366"/>
    <tableColumn id="7246" uniqueName="7246" name="Column7237" queryTableFieldId="9148" dataDxfId="9365"/>
    <tableColumn id="7247" uniqueName="7247" name="Column7238" queryTableFieldId="9147" dataDxfId="9364"/>
    <tableColumn id="7248" uniqueName="7248" name="Column7239" queryTableFieldId="9146" dataDxfId="9363"/>
    <tableColumn id="7249" uniqueName="7249" name="Column7240" queryTableFieldId="9145" dataDxfId="9362"/>
    <tableColumn id="7250" uniqueName="7250" name="Column7241" queryTableFieldId="9144" dataDxfId="9361"/>
    <tableColumn id="7251" uniqueName="7251" name="Column7242" queryTableFieldId="9143" dataDxfId="9360"/>
    <tableColumn id="7252" uniqueName="7252" name="Column7243" queryTableFieldId="9142" dataDxfId="9359"/>
    <tableColumn id="7253" uniqueName="7253" name="Column7244" queryTableFieldId="9141" dataDxfId="9358"/>
    <tableColumn id="7254" uniqueName="7254" name="Column7245" queryTableFieldId="9140" dataDxfId="9357"/>
    <tableColumn id="7255" uniqueName="7255" name="Column7246" queryTableFieldId="9139" dataDxfId="9356"/>
    <tableColumn id="7256" uniqueName="7256" name="Column7247" queryTableFieldId="9138" dataDxfId="9355"/>
    <tableColumn id="7257" uniqueName="7257" name="Column7248" queryTableFieldId="9137" dataDxfId="9354"/>
    <tableColumn id="7258" uniqueName="7258" name="Column7249" queryTableFieldId="9136" dataDxfId="9353"/>
    <tableColumn id="7259" uniqueName="7259" name="Column7250" queryTableFieldId="9135" dataDxfId="9352"/>
    <tableColumn id="7260" uniqueName="7260" name="Column7251" queryTableFieldId="9134" dataDxfId="9351"/>
    <tableColumn id="7261" uniqueName="7261" name="Column7252" queryTableFieldId="9133" dataDxfId="9350"/>
    <tableColumn id="7262" uniqueName="7262" name="Column7253" queryTableFieldId="9132" dataDxfId="9349"/>
    <tableColumn id="7263" uniqueName="7263" name="Column7254" queryTableFieldId="9131" dataDxfId="9348"/>
    <tableColumn id="7264" uniqueName="7264" name="Column7255" queryTableFieldId="9130" dataDxfId="9347"/>
    <tableColumn id="7265" uniqueName="7265" name="Column7256" queryTableFieldId="9129" dataDxfId="9346"/>
    <tableColumn id="7266" uniqueName="7266" name="Column7257" queryTableFieldId="9128" dataDxfId="9345"/>
    <tableColumn id="7267" uniqueName="7267" name="Column7258" queryTableFieldId="9127" dataDxfId="9344"/>
    <tableColumn id="7268" uniqueName="7268" name="Column7259" queryTableFieldId="9126" dataDxfId="9343"/>
    <tableColumn id="7269" uniqueName="7269" name="Column7260" queryTableFieldId="9125" dataDxfId="9342"/>
    <tableColumn id="7270" uniqueName="7270" name="Column7261" queryTableFieldId="9124" dataDxfId="9341"/>
    <tableColumn id="7271" uniqueName="7271" name="Column7262" queryTableFieldId="9123" dataDxfId="9340"/>
    <tableColumn id="7272" uniqueName="7272" name="Column7263" queryTableFieldId="9122" dataDxfId="9339"/>
    <tableColumn id="7273" uniqueName="7273" name="Column7264" queryTableFieldId="9121" dataDxfId="9338"/>
    <tableColumn id="7274" uniqueName="7274" name="Column7265" queryTableFieldId="9120" dataDxfId="9337"/>
    <tableColumn id="7275" uniqueName="7275" name="Column7266" queryTableFieldId="9119" dataDxfId="9336"/>
    <tableColumn id="7276" uniqueName="7276" name="Column7267" queryTableFieldId="9118" dataDxfId="9335"/>
    <tableColumn id="7277" uniqueName="7277" name="Column7268" queryTableFieldId="9117" dataDxfId="9334"/>
    <tableColumn id="7278" uniqueName="7278" name="Column7269" queryTableFieldId="9116" dataDxfId="9333"/>
    <tableColumn id="7279" uniqueName="7279" name="Column7270" queryTableFieldId="9115" dataDxfId="9332"/>
    <tableColumn id="7280" uniqueName="7280" name="Column7271" queryTableFieldId="9114" dataDxfId="9331"/>
    <tableColumn id="7281" uniqueName="7281" name="Column7272" queryTableFieldId="9113" dataDxfId="9330"/>
    <tableColumn id="7282" uniqueName="7282" name="Column7273" queryTableFieldId="9112" dataDxfId="9329"/>
    <tableColumn id="7283" uniqueName="7283" name="Column7274" queryTableFieldId="9111" dataDxfId="9328"/>
    <tableColumn id="7284" uniqueName="7284" name="Column7275" queryTableFieldId="9110" dataDxfId="9327"/>
    <tableColumn id="7285" uniqueName="7285" name="Column7276" queryTableFieldId="9109" dataDxfId="9326"/>
    <tableColumn id="7286" uniqueName="7286" name="Column7277" queryTableFieldId="9108" dataDxfId="9325"/>
    <tableColumn id="7287" uniqueName="7287" name="Column7278" queryTableFieldId="9107" dataDxfId="9324"/>
    <tableColumn id="7288" uniqueName="7288" name="Column7279" queryTableFieldId="9106" dataDxfId="9323"/>
    <tableColumn id="7289" uniqueName="7289" name="Column7280" queryTableFieldId="9105" dataDxfId="9322"/>
    <tableColumn id="7290" uniqueName="7290" name="Column7281" queryTableFieldId="9104" dataDxfId="9321"/>
    <tableColumn id="7291" uniqueName="7291" name="Column7282" queryTableFieldId="9103" dataDxfId="9320"/>
    <tableColumn id="7292" uniqueName="7292" name="Column7283" queryTableFieldId="9102" dataDxfId="9319"/>
    <tableColumn id="7293" uniqueName="7293" name="Column7284" queryTableFieldId="9101" dataDxfId="9318"/>
    <tableColumn id="7294" uniqueName="7294" name="Column7285" queryTableFieldId="9100" dataDxfId="9317"/>
    <tableColumn id="7295" uniqueName="7295" name="Column7286" queryTableFieldId="9099" dataDxfId="9316"/>
    <tableColumn id="7296" uniqueName="7296" name="Column7287" queryTableFieldId="9098" dataDxfId="9315"/>
    <tableColumn id="7297" uniqueName="7297" name="Column7288" queryTableFieldId="9097" dataDxfId="9314"/>
    <tableColumn id="7298" uniqueName="7298" name="Column7289" queryTableFieldId="9096" dataDxfId="9313"/>
    <tableColumn id="7299" uniqueName="7299" name="Column7290" queryTableFieldId="9095" dataDxfId="9312"/>
    <tableColumn id="7300" uniqueName="7300" name="Column7291" queryTableFieldId="9094" dataDxfId="9311"/>
    <tableColumn id="7301" uniqueName="7301" name="Column7292" queryTableFieldId="9093" dataDxfId="9310"/>
    <tableColumn id="7302" uniqueName="7302" name="Column7293" queryTableFieldId="9092" dataDxfId="9309"/>
    <tableColumn id="7303" uniqueName="7303" name="Column7294" queryTableFieldId="9091" dataDxfId="9308"/>
    <tableColumn id="7304" uniqueName="7304" name="Column7295" queryTableFieldId="9090" dataDxfId="9307"/>
    <tableColumn id="7305" uniqueName="7305" name="Column7296" queryTableFieldId="9089" dataDxfId="9306"/>
    <tableColumn id="7306" uniqueName="7306" name="Column7297" queryTableFieldId="9088" dataDxfId="9305"/>
    <tableColumn id="7307" uniqueName="7307" name="Column7298" queryTableFieldId="9087" dataDxfId="9304"/>
    <tableColumn id="7308" uniqueName="7308" name="Column7299" queryTableFieldId="9086" dataDxfId="9303"/>
    <tableColumn id="7309" uniqueName="7309" name="Column7300" queryTableFieldId="9085" dataDxfId="9302"/>
    <tableColumn id="7310" uniqueName="7310" name="Column7301" queryTableFieldId="9084" dataDxfId="9301"/>
    <tableColumn id="7311" uniqueName="7311" name="Column7302" queryTableFieldId="9083" dataDxfId="9300"/>
    <tableColumn id="7312" uniqueName="7312" name="Column7303" queryTableFieldId="9082" dataDxfId="9299"/>
    <tableColumn id="7313" uniqueName="7313" name="Column7304" queryTableFieldId="9081" dataDxfId="9298"/>
    <tableColumn id="7314" uniqueName="7314" name="Column7305" queryTableFieldId="9080" dataDxfId="9297"/>
    <tableColumn id="7315" uniqueName="7315" name="Column7306" queryTableFieldId="9079" dataDxfId="9296"/>
    <tableColumn id="7316" uniqueName="7316" name="Column7307" queryTableFieldId="9078" dataDxfId="9295"/>
    <tableColumn id="7317" uniqueName="7317" name="Column7308" queryTableFieldId="9077" dataDxfId="9294"/>
    <tableColumn id="7318" uniqueName="7318" name="Column7309" queryTableFieldId="9076" dataDxfId="9293"/>
    <tableColumn id="7319" uniqueName="7319" name="Column7310" queryTableFieldId="9075" dataDxfId="9292"/>
    <tableColumn id="7320" uniqueName="7320" name="Column7311" queryTableFieldId="9074" dataDxfId="9291"/>
    <tableColumn id="7321" uniqueName="7321" name="Column7312" queryTableFieldId="9073" dataDxfId="9290"/>
    <tableColumn id="7322" uniqueName="7322" name="Column7313" queryTableFieldId="9072" dataDxfId="9289"/>
    <tableColumn id="7323" uniqueName="7323" name="Column7314" queryTableFieldId="9071" dataDxfId="9288"/>
    <tableColumn id="7324" uniqueName="7324" name="Column7315" queryTableFieldId="9070" dataDxfId="9287"/>
    <tableColumn id="7325" uniqueName="7325" name="Column7316" queryTableFieldId="9069" dataDxfId="9286"/>
    <tableColumn id="7326" uniqueName="7326" name="Column7317" queryTableFieldId="9068" dataDxfId="9285"/>
    <tableColumn id="7327" uniqueName="7327" name="Column7318" queryTableFieldId="9067" dataDxfId="9284"/>
    <tableColumn id="7328" uniqueName="7328" name="Column7319" queryTableFieldId="9066" dataDxfId="9283"/>
    <tableColumn id="7329" uniqueName="7329" name="Column7320" queryTableFieldId="9065" dataDxfId="9282"/>
    <tableColumn id="7330" uniqueName="7330" name="Column7321" queryTableFieldId="9064" dataDxfId="9281"/>
    <tableColumn id="7331" uniqueName="7331" name="Column7322" queryTableFieldId="9063" dataDxfId="9280"/>
    <tableColumn id="7332" uniqueName="7332" name="Column7323" queryTableFieldId="9062" dataDxfId="9279"/>
    <tableColumn id="7333" uniqueName="7333" name="Column7324" queryTableFieldId="9061" dataDxfId="9278"/>
    <tableColumn id="7334" uniqueName="7334" name="Column7325" queryTableFieldId="9060" dataDxfId="9277"/>
    <tableColumn id="7335" uniqueName="7335" name="Column7326" queryTableFieldId="9059" dataDxfId="9276"/>
    <tableColumn id="7336" uniqueName="7336" name="Column7327" queryTableFieldId="9058" dataDxfId="9275"/>
    <tableColumn id="7337" uniqueName="7337" name="Column7328" queryTableFieldId="9057" dataDxfId="9274"/>
    <tableColumn id="7338" uniqueName="7338" name="Column7329" queryTableFieldId="9056" dataDxfId="9273"/>
    <tableColumn id="7339" uniqueName="7339" name="Column7330" queryTableFieldId="9055" dataDxfId="9272"/>
    <tableColumn id="7340" uniqueName="7340" name="Column7331" queryTableFieldId="9054" dataDxfId="9271"/>
    <tableColumn id="7341" uniqueName="7341" name="Column7332" queryTableFieldId="9053" dataDxfId="9270"/>
    <tableColumn id="7342" uniqueName="7342" name="Column7333" queryTableFieldId="9052" dataDxfId="9269"/>
    <tableColumn id="7343" uniqueName="7343" name="Column7334" queryTableFieldId="9051" dataDxfId="9268"/>
    <tableColumn id="7344" uniqueName="7344" name="Column7335" queryTableFieldId="9050" dataDxfId="9267"/>
    <tableColumn id="7345" uniqueName="7345" name="Column7336" queryTableFieldId="9049" dataDxfId="9266"/>
    <tableColumn id="7346" uniqueName="7346" name="Column7337" queryTableFieldId="9048" dataDxfId="9265"/>
    <tableColumn id="7347" uniqueName="7347" name="Column7338" queryTableFieldId="9047" dataDxfId="9264"/>
    <tableColumn id="7348" uniqueName="7348" name="Column7339" queryTableFieldId="9046" dataDxfId="9263"/>
    <tableColumn id="7349" uniqueName="7349" name="Column7340" queryTableFieldId="9045" dataDxfId="9262"/>
    <tableColumn id="7350" uniqueName="7350" name="Column7341" queryTableFieldId="9044" dataDxfId="9261"/>
    <tableColumn id="7351" uniqueName="7351" name="Column7342" queryTableFieldId="9043" dataDxfId="9260"/>
    <tableColumn id="7352" uniqueName="7352" name="Column7343" queryTableFieldId="9042" dataDxfId="9259"/>
    <tableColumn id="7353" uniqueName="7353" name="Column7344" queryTableFieldId="9041" dataDxfId="9258"/>
    <tableColumn id="7354" uniqueName="7354" name="Column7345" queryTableFieldId="9040" dataDxfId="9257"/>
    <tableColumn id="7355" uniqueName="7355" name="Column7346" queryTableFieldId="9039" dataDxfId="9256"/>
    <tableColumn id="7356" uniqueName="7356" name="Column7347" queryTableFieldId="9038" dataDxfId="9255"/>
    <tableColumn id="7357" uniqueName="7357" name="Column7348" queryTableFieldId="9037" dataDxfId="9254"/>
    <tableColumn id="7358" uniqueName="7358" name="Column7349" queryTableFieldId="9036" dataDxfId="9253"/>
    <tableColumn id="7359" uniqueName="7359" name="Column7350" queryTableFieldId="9035" dataDxfId="9252"/>
    <tableColumn id="7360" uniqueName="7360" name="Column7351" queryTableFieldId="9034" dataDxfId="9251"/>
    <tableColumn id="7361" uniqueName="7361" name="Column7352" queryTableFieldId="9033" dataDxfId="9250"/>
    <tableColumn id="7362" uniqueName="7362" name="Column7353" queryTableFieldId="9032" dataDxfId="9249"/>
    <tableColumn id="7363" uniqueName="7363" name="Column7354" queryTableFieldId="9031" dataDxfId="9248"/>
    <tableColumn id="7364" uniqueName="7364" name="Column7355" queryTableFieldId="9030" dataDxfId="9247"/>
    <tableColumn id="7365" uniqueName="7365" name="Column7356" queryTableFieldId="9029" dataDxfId="9246"/>
    <tableColumn id="7366" uniqueName="7366" name="Column7357" queryTableFieldId="9028" dataDxfId="9245"/>
    <tableColumn id="7367" uniqueName="7367" name="Column7358" queryTableFieldId="9027" dataDxfId="9244"/>
    <tableColumn id="7368" uniqueName="7368" name="Column7359" queryTableFieldId="9026" dataDxfId="9243"/>
    <tableColumn id="7369" uniqueName="7369" name="Column7360" queryTableFieldId="9025" dataDxfId="9242"/>
    <tableColumn id="7370" uniqueName="7370" name="Column7361" queryTableFieldId="9024" dataDxfId="9241"/>
    <tableColumn id="7371" uniqueName="7371" name="Column7362" queryTableFieldId="9023" dataDxfId="9240"/>
    <tableColumn id="7372" uniqueName="7372" name="Column7363" queryTableFieldId="9022" dataDxfId="9239"/>
    <tableColumn id="7373" uniqueName="7373" name="Column7364" queryTableFieldId="9021" dataDxfId="9238"/>
    <tableColumn id="7374" uniqueName="7374" name="Column7365" queryTableFieldId="9020" dataDxfId="9237"/>
    <tableColumn id="7375" uniqueName="7375" name="Column7366" queryTableFieldId="9019" dataDxfId="9236"/>
    <tableColumn id="7376" uniqueName="7376" name="Column7367" queryTableFieldId="9018" dataDxfId="9235"/>
    <tableColumn id="7377" uniqueName="7377" name="Column7368" queryTableFieldId="9017" dataDxfId="9234"/>
    <tableColumn id="7378" uniqueName="7378" name="Column7369" queryTableFieldId="9016" dataDxfId="9233"/>
    <tableColumn id="7379" uniqueName="7379" name="Column7370" queryTableFieldId="9015" dataDxfId="9232"/>
    <tableColumn id="7380" uniqueName="7380" name="Column7371" queryTableFieldId="9014" dataDxfId="9231"/>
    <tableColumn id="7381" uniqueName="7381" name="Column7372" queryTableFieldId="9013" dataDxfId="9230"/>
    <tableColumn id="7382" uniqueName="7382" name="Column7373" queryTableFieldId="9012" dataDxfId="9229"/>
    <tableColumn id="7383" uniqueName="7383" name="Column7374" queryTableFieldId="9011" dataDxfId="9228"/>
    <tableColumn id="7384" uniqueName="7384" name="Column7375" queryTableFieldId="9010" dataDxfId="9227"/>
    <tableColumn id="7385" uniqueName="7385" name="Column7376" queryTableFieldId="9009" dataDxfId="9226"/>
    <tableColumn id="7386" uniqueName="7386" name="Column7377" queryTableFieldId="9008" dataDxfId="9225"/>
    <tableColumn id="7387" uniqueName="7387" name="Column7378" queryTableFieldId="9007" dataDxfId="9224"/>
    <tableColumn id="7388" uniqueName="7388" name="Column7379" queryTableFieldId="9006" dataDxfId="9223"/>
    <tableColumn id="7389" uniqueName="7389" name="Column7380" queryTableFieldId="9005" dataDxfId="9222"/>
    <tableColumn id="7390" uniqueName="7390" name="Column7381" queryTableFieldId="9004" dataDxfId="9221"/>
    <tableColumn id="7391" uniqueName="7391" name="Column7382" queryTableFieldId="9003" dataDxfId="9220"/>
    <tableColumn id="7392" uniqueName="7392" name="Column7383" queryTableFieldId="9002" dataDxfId="9219"/>
    <tableColumn id="7393" uniqueName="7393" name="Column7384" queryTableFieldId="9001" dataDxfId="9218"/>
    <tableColumn id="7394" uniqueName="7394" name="Column7385" queryTableFieldId="9000" dataDxfId="9217"/>
    <tableColumn id="7395" uniqueName="7395" name="Column7386" queryTableFieldId="8999" dataDxfId="9216"/>
    <tableColumn id="7396" uniqueName="7396" name="Column7387" queryTableFieldId="8998" dataDxfId="9215"/>
    <tableColumn id="7397" uniqueName="7397" name="Column7388" queryTableFieldId="8997" dataDxfId="9214"/>
    <tableColumn id="7398" uniqueName="7398" name="Column7389" queryTableFieldId="8996" dataDxfId="9213"/>
    <tableColumn id="7399" uniqueName="7399" name="Column7390" queryTableFieldId="8995" dataDxfId="9212"/>
    <tableColumn id="7400" uniqueName="7400" name="Column7391" queryTableFieldId="8994" dataDxfId="9211"/>
    <tableColumn id="7401" uniqueName="7401" name="Column7392" queryTableFieldId="8993" dataDxfId="9210"/>
    <tableColumn id="7402" uniqueName="7402" name="Column7393" queryTableFieldId="8992" dataDxfId="9209"/>
    <tableColumn id="7403" uniqueName="7403" name="Column7394" queryTableFieldId="8991" dataDxfId="9208"/>
    <tableColumn id="7404" uniqueName="7404" name="Column7395" queryTableFieldId="8990" dataDxfId="9207"/>
    <tableColumn id="7405" uniqueName="7405" name="Column7396" queryTableFieldId="8989" dataDxfId="9206"/>
    <tableColumn id="7406" uniqueName="7406" name="Column7397" queryTableFieldId="8988" dataDxfId="9205"/>
    <tableColumn id="7407" uniqueName="7407" name="Column7398" queryTableFieldId="8987" dataDxfId="9204"/>
    <tableColumn id="7408" uniqueName="7408" name="Column7399" queryTableFieldId="8986" dataDxfId="9203"/>
    <tableColumn id="7409" uniqueName="7409" name="Column7400" queryTableFieldId="8985" dataDxfId="9202"/>
    <tableColumn id="7410" uniqueName="7410" name="Column7401" queryTableFieldId="8984" dataDxfId="9201"/>
    <tableColumn id="7411" uniqueName="7411" name="Column7402" queryTableFieldId="8983" dataDxfId="9200"/>
    <tableColumn id="7412" uniqueName="7412" name="Column7403" queryTableFieldId="8982" dataDxfId="9199"/>
    <tableColumn id="7413" uniqueName="7413" name="Column7404" queryTableFieldId="8981" dataDxfId="9198"/>
    <tableColumn id="7414" uniqueName="7414" name="Column7405" queryTableFieldId="8980" dataDxfId="9197"/>
    <tableColumn id="7415" uniqueName="7415" name="Column7406" queryTableFieldId="8979" dataDxfId="9196"/>
    <tableColumn id="7416" uniqueName="7416" name="Column7407" queryTableFieldId="8978" dataDxfId="9195"/>
    <tableColumn id="7417" uniqueName="7417" name="Column7408" queryTableFieldId="8977" dataDxfId="9194"/>
    <tableColumn id="7418" uniqueName="7418" name="Column7409" queryTableFieldId="8976" dataDxfId="9193"/>
    <tableColumn id="7419" uniqueName="7419" name="Column7410" queryTableFieldId="8975" dataDxfId="9192"/>
    <tableColumn id="7420" uniqueName="7420" name="Column7411" queryTableFieldId="8974" dataDxfId="9191"/>
    <tableColumn id="7421" uniqueName="7421" name="Column7412" queryTableFieldId="8973" dataDxfId="9190"/>
    <tableColumn id="7422" uniqueName="7422" name="Column7413" queryTableFieldId="8972" dataDxfId="9189"/>
    <tableColumn id="7423" uniqueName="7423" name="Column7414" queryTableFieldId="8971" dataDxfId="9188"/>
    <tableColumn id="7424" uniqueName="7424" name="Column7415" queryTableFieldId="8970" dataDxfId="9187"/>
    <tableColumn id="7425" uniqueName="7425" name="Column7416" queryTableFieldId="8969" dataDxfId="9186"/>
    <tableColumn id="7426" uniqueName="7426" name="Column7417" queryTableFieldId="8968" dataDxfId="9185"/>
    <tableColumn id="7427" uniqueName="7427" name="Column7418" queryTableFieldId="8967" dataDxfId="9184"/>
    <tableColumn id="7428" uniqueName="7428" name="Column7419" queryTableFieldId="8966" dataDxfId="9183"/>
    <tableColumn id="7429" uniqueName="7429" name="Column7420" queryTableFieldId="8965" dataDxfId="9182"/>
    <tableColumn id="7430" uniqueName="7430" name="Column7421" queryTableFieldId="8964" dataDxfId="9181"/>
    <tableColumn id="7431" uniqueName="7431" name="Column7422" queryTableFieldId="8963" dataDxfId="9180"/>
    <tableColumn id="7432" uniqueName="7432" name="Column7423" queryTableFieldId="8962" dataDxfId="9179"/>
    <tableColumn id="7433" uniqueName="7433" name="Column7424" queryTableFieldId="8961" dataDxfId="9178"/>
    <tableColumn id="7434" uniqueName="7434" name="Column7425" queryTableFieldId="8960" dataDxfId="9177"/>
    <tableColumn id="7435" uniqueName="7435" name="Column7426" queryTableFieldId="8959" dataDxfId="9176"/>
    <tableColumn id="7436" uniqueName="7436" name="Column7427" queryTableFieldId="8958" dataDxfId="9175"/>
    <tableColumn id="7437" uniqueName="7437" name="Column7428" queryTableFieldId="8957" dataDxfId="9174"/>
    <tableColumn id="7438" uniqueName="7438" name="Column7429" queryTableFieldId="8956" dataDxfId="9173"/>
    <tableColumn id="7439" uniqueName="7439" name="Column7430" queryTableFieldId="8955" dataDxfId="9172"/>
    <tableColumn id="7440" uniqueName="7440" name="Column7431" queryTableFieldId="8954" dataDxfId="9171"/>
    <tableColumn id="7441" uniqueName="7441" name="Column7432" queryTableFieldId="8953" dataDxfId="9170"/>
    <tableColumn id="7442" uniqueName="7442" name="Column7433" queryTableFieldId="8952" dataDxfId="9169"/>
    <tableColumn id="7443" uniqueName="7443" name="Column7434" queryTableFieldId="8951" dataDxfId="9168"/>
    <tableColumn id="7444" uniqueName="7444" name="Column7435" queryTableFieldId="8950" dataDxfId="9167"/>
    <tableColumn id="7445" uniqueName="7445" name="Column7436" queryTableFieldId="8949" dataDxfId="9166"/>
    <tableColumn id="7446" uniqueName="7446" name="Column7437" queryTableFieldId="8948" dataDxfId="9165"/>
    <tableColumn id="7447" uniqueName="7447" name="Column7438" queryTableFieldId="8947" dataDxfId="9164"/>
    <tableColumn id="7448" uniqueName="7448" name="Column7439" queryTableFieldId="8946" dataDxfId="9163"/>
    <tableColumn id="7449" uniqueName="7449" name="Column7440" queryTableFieldId="8945" dataDxfId="9162"/>
    <tableColumn id="7450" uniqueName="7450" name="Column7441" queryTableFieldId="8944" dataDxfId="9161"/>
    <tableColumn id="7451" uniqueName="7451" name="Column7442" queryTableFieldId="8943" dataDxfId="9160"/>
    <tableColumn id="7452" uniqueName="7452" name="Column7443" queryTableFieldId="8942" dataDxfId="9159"/>
    <tableColumn id="7453" uniqueName="7453" name="Column7444" queryTableFieldId="8941" dataDxfId="9158"/>
    <tableColumn id="7454" uniqueName="7454" name="Column7445" queryTableFieldId="8940" dataDxfId="9157"/>
    <tableColumn id="7455" uniqueName="7455" name="Column7446" queryTableFieldId="8939" dataDxfId="9156"/>
    <tableColumn id="7456" uniqueName="7456" name="Column7447" queryTableFieldId="8938" dataDxfId="9155"/>
    <tableColumn id="7457" uniqueName="7457" name="Column7448" queryTableFieldId="8937" dataDxfId="9154"/>
    <tableColumn id="7458" uniqueName="7458" name="Column7449" queryTableFieldId="8936" dataDxfId="9153"/>
    <tableColumn id="7459" uniqueName="7459" name="Column7450" queryTableFieldId="8935" dataDxfId="9152"/>
    <tableColumn id="7460" uniqueName="7460" name="Column7451" queryTableFieldId="8934" dataDxfId="9151"/>
    <tableColumn id="7461" uniqueName="7461" name="Column7452" queryTableFieldId="8933" dataDxfId="9150"/>
    <tableColumn id="7462" uniqueName="7462" name="Column7453" queryTableFieldId="8932" dataDxfId="9149"/>
    <tableColumn id="7463" uniqueName="7463" name="Column7454" queryTableFieldId="8931" dataDxfId="9148"/>
    <tableColumn id="7464" uniqueName="7464" name="Column7455" queryTableFieldId="8930" dataDxfId="9147"/>
    <tableColumn id="7465" uniqueName="7465" name="Column7456" queryTableFieldId="8929" dataDxfId="9146"/>
    <tableColumn id="7466" uniqueName="7466" name="Column7457" queryTableFieldId="8928" dataDxfId="9145"/>
    <tableColumn id="7467" uniqueName="7467" name="Column7458" queryTableFieldId="8927" dataDxfId="9144"/>
    <tableColumn id="7468" uniqueName="7468" name="Column7459" queryTableFieldId="8926" dataDxfId="9143"/>
    <tableColumn id="7469" uniqueName="7469" name="Column7460" queryTableFieldId="8925" dataDxfId="9142"/>
    <tableColumn id="7470" uniqueName="7470" name="Column7461" queryTableFieldId="8924" dataDxfId="9141"/>
    <tableColumn id="7471" uniqueName="7471" name="Column7462" queryTableFieldId="8923" dataDxfId="9140"/>
    <tableColumn id="7472" uniqueName="7472" name="Column7463" queryTableFieldId="8922" dataDxfId="9139"/>
    <tableColumn id="7473" uniqueName="7473" name="Column7464" queryTableFieldId="8921" dataDxfId="9138"/>
    <tableColumn id="7474" uniqueName="7474" name="Column7465" queryTableFieldId="8920" dataDxfId="9137"/>
    <tableColumn id="7475" uniqueName="7475" name="Column7466" queryTableFieldId="8919" dataDxfId="9136"/>
    <tableColumn id="7476" uniqueName="7476" name="Column7467" queryTableFieldId="8918" dataDxfId="9135"/>
    <tableColumn id="7477" uniqueName="7477" name="Column7468" queryTableFieldId="8917" dataDxfId="9134"/>
    <tableColumn id="7478" uniqueName="7478" name="Column7469" queryTableFieldId="8916" dataDxfId="9133"/>
    <tableColumn id="7479" uniqueName="7479" name="Column7470" queryTableFieldId="8915" dataDxfId="9132"/>
    <tableColumn id="7480" uniqueName="7480" name="Column7471" queryTableFieldId="8914" dataDxfId="9131"/>
    <tableColumn id="7481" uniqueName="7481" name="Column7472" queryTableFieldId="8913" dataDxfId="9130"/>
    <tableColumn id="7482" uniqueName="7482" name="Column7473" queryTableFieldId="8912" dataDxfId="9129"/>
    <tableColumn id="7483" uniqueName="7483" name="Column7474" queryTableFieldId="8911" dataDxfId="9128"/>
    <tableColumn id="7484" uniqueName="7484" name="Column7475" queryTableFieldId="8910" dataDxfId="9127"/>
    <tableColumn id="7485" uniqueName="7485" name="Column7476" queryTableFieldId="8909" dataDxfId="9126"/>
    <tableColumn id="7486" uniqueName="7486" name="Column7477" queryTableFieldId="8908" dataDxfId="9125"/>
    <tableColumn id="7487" uniqueName="7487" name="Column7478" queryTableFieldId="8907" dataDxfId="9124"/>
    <tableColumn id="7488" uniqueName="7488" name="Column7479" queryTableFieldId="8906" dataDxfId="9123"/>
    <tableColumn id="7489" uniqueName="7489" name="Column7480" queryTableFieldId="8905" dataDxfId="9122"/>
    <tableColumn id="7490" uniqueName="7490" name="Column7481" queryTableFieldId="8904" dataDxfId="9121"/>
    <tableColumn id="7491" uniqueName="7491" name="Column7482" queryTableFieldId="8903" dataDxfId="9120"/>
    <tableColumn id="7492" uniqueName="7492" name="Column7483" queryTableFieldId="8902" dataDxfId="9119"/>
    <tableColumn id="7493" uniqueName="7493" name="Column7484" queryTableFieldId="8901" dataDxfId="9118"/>
    <tableColumn id="7494" uniqueName="7494" name="Column7485" queryTableFieldId="8900" dataDxfId="9117"/>
    <tableColumn id="7495" uniqueName="7495" name="Column7486" queryTableFieldId="8899" dataDxfId="9116"/>
    <tableColumn id="7496" uniqueName="7496" name="Column7487" queryTableFieldId="8898" dataDxfId="9115"/>
    <tableColumn id="7497" uniqueName="7497" name="Column7488" queryTableFieldId="8897" dataDxfId="9114"/>
    <tableColumn id="7498" uniqueName="7498" name="Column7489" queryTableFieldId="8896" dataDxfId="9113"/>
    <tableColumn id="7499" uniqueName="7499" name="Column7490" queryTableFieldId="8895" dataDxfId="9112"/>
    <tableColumn id="7500" uniqueName="7500" name="Column7491" queryTableFieldId="8894" dataDxfId="9111"/>
    <tableColumn id="7501" uniqueName="7501" name="Column7492" queryTableFieldId="8893" dataDxfId="9110"/>
    <tableColumn id="7502" uniqueName="7502" name="Column7493" queryTableFieldId="8892" dataDxfId="9109"/>
    <tableColumn id="7503" uniqueName="7503" name="Column7494" queryTableFieldId="8891" dataDxfId="9108"/>
    <tableColumn id="7504" uniqueName="7504" name="Column7495" queryTableFieldId="8890" dataDxfId="9107"/>
    <tableColumn id="7505" uniqueName="7505" name="Column7496" queryTableFieldId="8889" dataDxfId="9106"/>
    <tableColumn id="7506" uniqueName="7506" name="Column7497" queryTableFieldId="8888" dataDxfId="9105"/>
    <tableColumn id="7507" uniqueName="7507" name="Column7498" queryTableFieldId="8887" dataDxfId="9104"/>
    <tableColumn id="7508" uniqueName="7508" name="Column7499" queryTableFieldId="8886" dataDxfId="9103"/>
    <tableColumn id="7509" uniqueName="7509" name="Column7500" queryTableFieldId="8885" dataDxfId="9102"/>
    <tableColumn id="7510" uniqueName="7510" name="Column7501" queryTableFieldId="8884" dataDxfId="9101"/>
    <tableColumn id="7511" uniqueName="7511" name="Column7502" queryTableFieldId="8883" dataDxfId="9100"/>
    <tableColumn id="7512" uniqueName="7512" name="Column7503" queryTableFieldId="8882" dataDxfId="9099"/>
    <tableColumn id="7513" uniqueName="7513" name="Column7504" queryTableFieldId="8881" dataDxfId="9098"/>
    <tableColumn id="7514" uniqueName="7514" name="Column7505" queryTableFieldId="8880" dataDxfId="9097"/>
    <tableColumn id="7515" uniqueName="7515" name="Column7506" queryTableFieldId="8879" dataDxfId="9096"/>
    <tableColumn id="7516" uniqueName="7516" name="Column7507" queryTableFieldId="8878" dataDxfId="9095"/>
    <tableColumn id="7517" uniqueName="7517" name="Column7508" queryTableFieldId="8877" dataDxfId="9094"/>
    <tableColumn id="7518" uniqueName="7518" name="Column7509" queryTableFieldId="8876" dataDxfId="9093"/>
    <tableColumn id="7519" uniqueName="7519" name="Column7510" queryTableFieldId="8875" dataDxfId="9092"/>
    <tableColumn id="7520" uniqueName="7520" name="Column7511" queryTableFieldId="8874" dataDxfId="9091"/>
    <tableColumn id="7521" uniqueName="7521" name="Column7512" queryTableFieldId="8873" dataDxfId="9090"/>
    <tableColumn id="7522" uniqueName="7522" name="Column7513" queryTableFieldId="8872" dataDxfId="9089"/>
    <tableColumn id="7523" uniqueName="7523" name="Column7514" queryTableFieldId="8871" dataDxfId="9088"/>
    <tableColumn id="7524" uniqueName="7524" name="Column7515" queryTableFieldId="8870" dataDxfId="9087"/>
    <tableColumn id="7525" uniqueName="7525" name="Column7516" queryTableFieldId="8869" dataDxfId="9086"/>
    <tableColumn id="7526" uniqueName="7526" name="Column7517" queryTableFieldId="8868" dataDxfId="9085"/>
    <tableColumn id="7527" uniqueName="7527" name="Column7518" queryTableFieldId="8867" dataDxfId="9084"/>
    <tableColumn id="7528" uniqueName="7528" name="Column7519" queryTableFieldId="8866" dataDxfId="9083"/>
    <tableColumn id="7529" uniqueName="7529" name="Column7520" queryTableFieldId="8865" dataDxfId="9082"/>
    <tableColumn id="7530" uniqueName="7530" name="Column7521" queryTableFieldId="8864" dataDxfId="9081"/>
    <tableColumn id="7531" uniqueName="7531" name="Column7522" queryTableFieldId="8863" dataDxfId="9080"/>
    <tableColumn id="7532" uniqueName="7532" name="Column7523" queryTableFieldId="8862" dataDxfId="9079"/>
    <tableColumn id="7533" uniqueName="7533" name="Column7524" queryTableFieldId="8861" dataDxfId="9078"/>
    <tableColumn id="7534" uniqueName="7534" name="Column7525" queryTableFieldId="8860" dataDxfId="9077"/>
    <tableColumn id="7535" uniqueName="7535" name="Column7526" queryTableFieldId="8859" dataDxfId="9076"/>
    <tableColumn id="7536" uniqueName="7536" name="Column7527" queryTableFieldId="8858" dataDxfId="9075"/>
    <tableColumn id="7537" uniqueName="7537" name="Column7528" queryTableFieldId="8857" dataDxfId="9074"/>
    <tableColumn id="7538" uniqueName="7538" name="Column7529" queryTableFieldId="8856" dataDxfId="9073"/>
    <tableColumn id="7539" uniqueName="7539" name="Column7530" queryTableFieldId="8855" dataDxfId="9072"/>
    <tableColumn id="7540" uniqueName="7540" name="Column7531" queryTableFieldId="8854" dataDxfId="9071"/>
    <tableColumn id="7541" uniqueName="7541" name="Column7532" queryTableFieldId="8853" dataDxfId="9070"/>
    <tableColumn id="7542" uniqueName="7542" name="Column7533" queryTableFieldId="8852" dataDxfId="9069"/>
    <tableColumn id="7543" uniqueName="7543" name="Column7534" queryTableFieldId="8851" dataDxfId="9068"/>
    <tableColumn id="7544" uniqueName="7544" name="Column7535" queryTableFieldId="8850" dataDxfId="9067"/>
    <tableColumn id="7545" uniqueName="7545" name="Column7536" queryTableFieldId="8849" dataDxfId="9066"/>
    <tableColumn id="7546" uniqueName="7546" name="Column7537" queryTableFieldId="8848" dataDxfId="9065"/>
    <tableColumn id="7547" uniqueName="7547" name="Column7538" queryTableFieldId="8847" dataDxfId="9064"/>
    <tableColumn id="7548" uniqueName="7548" name="Column7539" queryTableFieldId="8846" dataDxfId="9063"/>
    <tableColumn id="7549" uniqueName="7549" name="Column7540" queryTableFieldId="8845" dataDxfId="9062"/>
    <tableColumn id="7550" uniqueName="7550" name="Column7541" queryTableFieldId="8844" dataDxfId="9061"/>
    <tableColumn id="7551" uniqueName="7551" name="Column7542" queryTableFieldId="8843" dataDxfId="9060"/>
    <tableColumn id="7552" uniqueName="7552" name="Column7543" queryTableFieldId="8842" dataDxfId="9059"/>
    <tableColumn id="7553" uniqueName="7553" name="Column7544" queryTableFieldId="8841" dataDxfId="9058"/>
    <tableColumn id="7554" uniqueName="7554" name="Column7545" queryTableFieldId="8840" dataDxfId="9057"/>
    <tableColumn id="7555" uniqueName="7555" name="Column7546" queryTableFieldId="8839" dataDxfId="9056"/>
    <tableColumn id="7556" uniqueName="7556" name="Column7547" queryTableFieldId="8838" dataDxfId="9055"/>
    <tableColumn id="7557" uniqueName="7557" name="Column7548" queryTableFieldId="8837" dataDxfId="9054"/>
    <tableColumn id="7558" uniqueName="7558" name="Column7549" queryTableFieldId="8836" dataDxfId="9053"/>
    <tableColumn id="7559" uniqueName="7559" name="Column7550" queryTableFieldId="8835" dataDxfId="9052"/>
    <tableColumn id="7560" uniqueName="7560" name="Column7551" queryTableFieldId="8834" dataDxfId="9051"/>
    <tableColumn id="7561" uniqueName="7561" name="Column7552" queryTableFieldId="8833" dataDxfId="9050"/>
    <tableColumn id="7562" uniqueName="7562" name="Column7553" queryTableFieldId="8832" dataDxfId="9049"/>
    <tableColumn id="7563" uniqueName="7563" name="Column7554" queryTableFieldId="8831" dataDxfId="9048"/>
    <tableColumn id="7564" uniqueName="7564" name="Column7555" queryTableFieldId="8830" dataDxfId="9047"/>
    <tableColumn id="7565" uniqueName="7565" name="Column7556" queryTableFieldId="8829" dataDxfId="9046"/>
    <tableColumn id="7566" uniqueName="7566" name="Column7557" queryTableFieldId="8828" dataDxfId="9045"/>
    <tableColumn id="7567" uniqueName="7567" name="Column7558" queryTableFieldId="8827" dataDxfId="9044"/>
    <tableColumn id="7568" uniqueName="7568" name="Column7559" queryTableFieldId="8826" dataDxfId="9043"/>
    <tableColumn id="7569" uniqueName="7569" name="Column7560" queryTableFieldId="8825" dataDxfId="9042"/>
    <tableColumn id="7570" uniqueName="7570" name="Column7561" queryTableFieldId="8824" dataDxfId="9041"/>
    <tableColumn id="7571" uniqueName="7571" name="Column7562" queryTableFieldId="8823" dataDxfId="9040"/>
    <tableColumn id="7572" uniqueName="7572" name="Column7563" queryTableFieldId="8822" dataDxfId="9039"/>
    <tableColumn id="7573" uniqueName="7573" name="Column7564" queryTableFieldId="8821" dataDxfId="9038"/>
    <tableColumn id="7574" uniqueName="7574" name="Column7565" queryTableFieldId="8820" dataDxfId="9037"/>
    <tableColumn id="7575" uniqueName="7575" name="Column7566" queryTableFieldId="8819" dataDxfId="9036"/>
    <tableColumn id="7576" uniqueName="7576" name="Column7567" queryTableFieldId="8818" dataDxfId="9035"/>
    <tableColumn id="7577" uniqueName="7577" name="Column7568" queryTableFieldId="8817" dataDxfId="9034"/>
    <tableColumn id="7578" uniqueName="7578" name="Column7569" queryTableFieldId="8816" dataDxfId="9033"/>
    <tableColumn id="7579" uniqueName="7579" name="Column7570" queryTableFieldId="8815" dataDxfId="9032"/>
    <tableColumn id="7580" uniqueName="7580" name="Column7571" queryTableFieldId="8814" dataDxfId="9031"/>
    <tableColumn id="7581" uniqueName="7581" name="Column7572" queryTableFieldId="8813" dataDxfId="9030"/>
    <tableColumn id="7582" uniqueName="7582" name="Column7573" queryTableFieldId="8812" dataDxfId="9029"/>
    <tableColumn id="7583" uniqueName="7583" name="Column7574" queryTableFieldId="8811" dataDxfId="9028"/>
    <tableColumn id="7584" uniqueName="7584" name="Column7575" queryTableFieldId="8810" dataDxfId="9027"/>
    <tableColumn id="7585" uniqueName="7585" name="Column7576" queryTableFieldId="8809" dataDxfId="9026"/>
    <tableColumn id="7586" uniqueName="7586" name="Column7577" queryTableFieldId="8808" dataDxfId="9025"/>
    <tableColumn id="7587" uniqueName="7587" name="Column7578" queryTableFieldId="8807" dataDxfId="9024"/>
    <tableColumn id="7588" uniqueName="7588" name="Column7579" queryTableFieldId="8806" dataDxfId="9023"/>
    <tableColumn id="7589" uniqueName="7589" name="Column7580" queryTableFieldId="8805" dataDxfId="9022"/>
    <tableColumn id="7590" uniqueName="7590" name="Column7581" queryTableFieldId="8804" dataDxfId="9021"/>
    <tableColumn id="7591" uniqueName="7591" name="Column7582" queryTableFieldId="8803" dataDxfId="9020"/>
    <tableColumn id="7592" uniqueName="7592" name="Column7583" queryTableFieldId="8802" dataDxfId="9019"/>
    <tableColumn id="7593" uniqueName="7593" name="Column7584" queryTableFieldId="8801" dataDxfId="9018"/>
    <tableColumn id="7594" uniqueName="7594" name="Column7585" queryTableFieldId="8800" dataDxfId="9017"/>
    <tableColumn id="7595" uniqueName="7595" name="Column7586" queryTableFieldId="8799" dataDxfId="9016"/>
    <tableColumn id="7596" uniqueName="7596" name="Column7587" queryTableFieldId="8798" dataDxfId="9015"/>
    <tableColumn id="7597" uniqueName="7597" name="Column7588" queryTableFieldId="8797" dataDxfId="9014"/>
    <tableColumn id="7598" uniqueName="7598" name="Column7589" queryTableFieldId="8796" dataDxfId="9013"/>
    <tableColumn id="7599" uniqueName="7599" name="Column7590" queryTableFieldId="8795" dataDxfId="9012"/>
    <tableColumn id="7600" uniqueName="7600" name="Column7591" queryTableFieldId="8794" dataDxfId="9011"/>
    <tableColumn id="7601" uniqueName="7601" name="Column7592" queryTableFieldId="8793" dataDxfId="9010"/>
    <tableColumn id="7602" uniqueName="7602" name="Column7593" queryTableFieldId="8792" dataDxfId="9009"/>
    <tableColumn id="7603" uniqueName="7603" name="Column7594" queryTableFieldId="8791" dataDxfId="9008"/>
    <tableColumn id="7604" uniqueName="7604" name="Column7595" queryTableFieldId="8790" dataDxfId="9007"/>
    <tableColumn id="7605" uniqueName="7605" name="Column7596" queryTableFieldId="8789" dataDxfId="9006"/>
    <tableColumn id="7606" uniqueName="7606" name="Column7597" queryTableFieldId="8788" dataDxfId="9005"/>
    <tableColumn id="7607" uniqueName="7607" name="Column7598" queryTableFieldId="8787" dataDxfId="9004"/>
    <tableColumn id="7608" uniqueName="7608" name="Column7599" queryTableFieldId="8786" dataDxfId="9003"/>
    <tableColumn id="7609" uniqueName="7609" name="Column7600" queryTableFieldId="8785" dataDxfId="9002"/>
    <tableColumn id="7610" uniqueName="7610" name="Column7601" queryTableFieldId="8784" dataDxfId="9001"/>
    <tableColumn id="7611" uniqueName="7611" name="Column7602" queryTableFieldId="8783" dataDxfId="9000"/>
    <tableColumn id="7612" uniqueName="7612" name="Column7603" queryTableFieldId="8782" dataDxfId="8999"/>
    <tableColumn id="7613" uniqueName="7613" name="Column7604" queryTableFieldId="8781" dataDxfId="8998"/>
    <tableColumn id="7614" uniqueName="7614" name="Column7605" queryTableFieldId="8780" dataDxfId="8997"/>
    <tableColumn id="7615" uniqueName="7615" name="Column7606" queryTableFieldId="8779" dataDxfId="8996"/>
    <tableColumn id="7616" uniqueName="7616" name="Column7607" queryTableFieldId="8778" dataDxfId="8995"/>
    <tableColumn id="7617" uniqueName="7617" name="Column7608" queryTableFieldId="8777" dataDxfId="8994"/>
    <tableColumn id="7618" uniqueName="7618" name="Column7609" queryTableFieldId="8776" dataDxfId="8993"/>
    <tableColumn id="7619" uniqueName="7619" name="Column7610" queryTableFieldId="8775" dataDxfId="8992"/>
    <tableColumn id="7620" uniqueName="7620" name="Column7611" queryTableFieldId="8774" dataDxfId="8991"/>
    <tableColumn id="7621" uniqueName="7621" name="Column7612" queryTableFieldId="8773" dataDxfId="8990"/>
    <tableColumn id="7622" uniqueName="7622" name="Column7613" queryTableFieldId="8772" dataDxfId="8989"/>
    <tableColumn id="7623" uniqueName="7623" name="Column7614" queryTableFieldId="8771" dataDxfId="8988"/>
    <tableColumn id="7624" uniqueName="7624" name="Column7615" queryTableFieldId="8770" dataDxfId="8987"/>
    <tableColumn id="7625" uniqueName="7625" name="Column7616" queryTableFieldId="8769" dataDxfId="8986"/>
    <tableColumn id="7626" uniqueName="7626" name="Column7617" queryTableFieldId="8768" dataDxfId="8985"/>
    <tableColumn id="7627" uniqueName="7627" name="Column7618" queryTableFieldId="8767" dataDxfId="8984"/>
    <tableColumn id="7628" uniqueName="7628" name="Column7619" queryTableFieldId="8766" dataDxfId="8983"/>
    <tableColumn id="7629" uniqueName="7629" name="Column7620" queryTableFieldId="8765" dataDxfId="8982"/>
    <tableColumn id="7630" uniqueName="7630" name="Column7621" queryTableFieldId="8764" dataDxfId="8981"/>
    <tableColumn id="7631" uniqueName="7631" name="Column7622" queryTableFieldId="8763" dataDxfId="8980"/>
    <tableColumn id="7632" uniqueName="7632" name="Column7623" queryTableFieldId="8762" dataDxfId="8979"/>
    <tableColumn id="7633" uniqueName="7633" name="Column7624" queryTableFieldId="8761" dataDxfId="8978"/>
    <tableColumn id="7634" uniqueName="7634" name="Column7625" queryTableFieldId="8760" dataDxfId="8977"/>
    <tableColumn id="7635" uniqueName="7635" name="Column7626" queryTableFieldId="8759" dataDxfId="8976"/>
    <tableColumn id="7636" uniqueName="7636" name="Column7627" queryTableFieldId="8758" dataDxfId="8975"/>
    <tableColumn id="7637" uniqueName="7637" name="Column7628" queryTableFieldId="8757" dataDxfId="8974"/>
    <tableColumn id="7638" uniqueName="7638" name="Column7629" queryTableFieldId="8756" dataDxfId="8973"/>
    <tableColumn id="7639" uniqueName="7639" name="Column7630" queryTableFieldId="8755" dataDxfId="8972"/>
    <tableColumn id="7640" uniqueName="7640" name="Column7631" queryTableFieldId="8754" dataDxfId="8971"/>
    <tableColumn id="7641" uniqueName="7641" name="Column7632" queryTableFieldId="8753" dataDxfId="8970"/>
    <tableColumn id="7642" uniqueName="7642" name="Column7633" queryTableFieldId="8752" dataDxfId="8969"/>
    <tableColumn id="7643" uniqueName="7643" name="Column7634" queryTableFieldId="8751" dataDxfId="8968"/>
    <tableColumn id="7644" uniqueName="7644" name="Column7635" queryTableFieldId="8750" dataDxfId="8967"/>
    <tableColumn id="7645" uniqueName="7645" name="Column7636" queryTableFieldId="8749" dataDxfId="8966"/>
    <tableColumn id="7646" uniqueName="7646" name="Column7637" queryTableFieldId="8748" dataDxfId="8965"/>
    <tableColumn id="7647" uniqueName="7647" name="Column7638" queryTableFieldId="8747" dataDxfId="8964"/>
    <tableColumn id="7648" uniqueName="7648" name="Column7639" queryTableFieldId="8746" dataDxfId="8963"/>
    <tableColumn id="7649" uniqueName="7649" name="Column7640" queryTableFieldId="8745" dataDxfId="8962"/>
    <tableColumn id="7650" uniqueName="7650" name="Column7641" queryTableFieldId="8744" dataDxfId="8961"/>
    <tableColumn id="7651" uniqueName="7651" name="Column7642" queryTableFieldId="8743" dataDxfId="8960"/>
    <tableColumn id="7652" uniqueName="7652" name="Column7643" queryTableFieldId="8742" dataDxfId="8959"/>
    <tableColumn id="7653" uniqueName="7653" name="Column7644" queryTableFieldId="8741" dataDxfId="8958"/>
    <tableColumn id="7654" uniqueName="7654" name="Column7645" queryTableFieldId="8740" dataDxfId="8957"/>
    <tableColumn id="7655" uniqueName="7655" name="Column7646" queryTableFieldId="8739" dataDxfId="8956"/>
    <tableColumn id="7656" uniqueName="7656" name="Column7647" queryTableFieldId="8738" dataDxfId="8955"/>
    <tableColumn id="7657" uniqueName="7657" name="Column7648" queryTableFieldId="8737" dataDxfId="8954"/>
    <tableColumn id="7658" uniqueName="7658" name="Column7649" queryTableFieldId="8736" dataDxfId="8953"/>
    <tableColumn id="7659" uniqueName="7659" name="Column7650" queryTableFieldId="8735" dataDxfId="8952"/>
    <tableColumn id="7660" uniqueName="7660" name="Column7651" queryTableFieldId="8734" dataDxfId="8951"/>
    <tableColumn id="7661" uniqueName="7661" name="Column7652" queryTableFieldId="8733" dataDxfId="8950"/>
    <tableColumn id="7662" uniqueName="7662" name="Column7653" queryTableFieldId="8732" dataDxfId="8949"/>
    <tableColumn id="7663" uniqueName="7663" name="Column7654" queryTableFieldId="8731" dataDxfId="8948"/>
    <tableColumn id="7664" uniqueName="7664" name="Column7655" queryTableFieldId="8730" dataDxfId="8947"/>
    <tableColumn id="7665" uniqueName="7665" name="Column7656" queryTableFieldId="8729" dataDxfId="8946"/>
    <tableColumn id="7666" uniqueName="7666" name="Column7657" queryTableFieldId="8728" dataDxfId="8945"/>
    <tableColumn id="7667" uniqueName="7667" name="Column7658" queryTableFieldId="8727" dataDxfId="8944"/>
    <tableColumn id="7668" uniqueName="7668" name="Column7659" queryTableFieldId="8726" dataDxfId="8943"/>
    <tableColumn id="7669" uniqueName="7669" name="Column7660" queryTableFieldId="8725" dataDxfId="8942"/>
    <tableColumn id="7670" uniqueName="7670" name="Column7661" queryTableFieldId="8724" dataDxfId="8941"/>
    <tableColumn id="7671" uniqueName="7671" name="Column7662" queryTableFieldId="8723" dataDxfId="8940"/>
    <tableColumn id="7672" uniqueName="7672" name="Column7663" queryTableFieldId="8722" dataDxfId="8939"/>
    <tableColumn id="7673" uniqueName="7673" name="Column7664" queryTableFieldId="8721" dataDxfId="8938"/>
    <tableColumn id="7674" uniqueName="7674" name="Column7665" queryTableFieldId="8720" dataDxfId="8937"/>
    <tableColumn id="7675" uniqueName="7675" name="Column7666" queryTableFieldId="8719" dataDxfId="8936"/>
    <tableColumn id="7676" uniqueName="7676" name="Column7667" queryTableFieldId="8718" dataDxfId="8935"/>
    <tableColumn id="7677" uniqueName="7677" name="Column7668" queryTableFieldId="8717" dataDxfId="8934"/>
    <tableColumn id="7678" uniqueName="7678" name="Column7669" queryTableFieldId="8716" dataDxfId="8933"/>
    <tableColumn id="7679" uniqueName="7679" name="Column7670" queryTableFieldId="8715" dataDxfId="8932"/>
    <tableColumn id="7680" uniqueName="7680" name="Column7671" queryTableFieldId="8714" dataDxfId="8931"/>
    <tableColumn id="7681" uniqueName="7681" name="Column7672" queryTableFieldId="8713" dataDxfId="8930"/>
    <tableColumn id="7682" uniqueName="7682" name="Column7673" queryTableFieldId="8712" dataDxfId="8929"/>
    <tableColumn id="7683" uniqueName="7683" name="Column7674" queryTableFieldId="8711" dataDxfId="8928"/>
    <tableColumn id="7684" uniqueName="7684" name="Column7675" queryTableFieldId="8710" dataDxfId="8927"/>
    <tableColumn id="7685" uniqueName="7685" name="Column7676" queryTableFieldId="8709" dataDxfId="8926"/>
    <tableColumn id="7686" uniqueName="7686" name="Column7677" queryTableFieldId="8708" dataDxfId="8925"/>
    <tableColumn id="7687" uniqueName="7687" name="Column7678" queryTableFieldId="8707" dataDxfId="8924"/>
    <tableColumn id="7688" uniqueName="7688" name="Column7679" queryTableFieldId="8706" dataDxfId="8923"/>
    <tableColumn id="7689" uniqueName="7689" name="Column7680" queryTableFieldId="8705" dataDxfId="8922"/>
    <tableColumn id="7690" uniqueName="7690" name="Column7681" queryTableFieldId="8704" dataDxfId="8921"/>
    <tableColumn id="7691" uniqueName="7691" name="Column7682" queryTableFieldId="8703" dataDxfId="8920"/>
    <tableColumn id="7692" uniqueName="7692" name="Column7683" queryTableFieldId="8702" dataDxfId="8919"/>
    <tableColumn id="7693" uniqueName="7693" name="Column7684" queryTableFieldId="8701" dataDxfId="8918"/>
    <tableColumn id="7694" uniqueName="7694" name="Column7685" queryTableFieldId="8700" dataDxfId="8917"/>
    <tableColumn id="7695" uniqueName="7695" name="Column7686" queryTableFieldId="8699" dataDxfId="8916"/>
    <tableColumn id="7696" uniqueName="7696" name="Column7687" queryTableFieldId="8698" dataDxfId="8915"/>
    <tableColumn id="7697" uniqueName="7697" name="Column7688" queryTableFieldId="8697" dataDxfId="8914"/>
    <tableColumn id="7698" uniqueName="7698" name="Column7689" queryTableFieldId="8696" dataDxfId="8913"/>
    <tableColumn id="7699" uniqueName="7699" name="Column7690" queryTableFieldId="8695" dataDxfId="8912"/>
    <tableColumn id="7700" uniqueName="7700" name="Column7691" queryTableFieldId="8694" dataDxfId="8911"/>
    <tableColumn id="7701" uniqueName="7701" name="Column7692" queryTableFieldId="8693" dataDxfId="8910"/>
    <tableColumn id="7702" uniqueName="7702" name="Column7693" queryTableFieldId="8692" dataDxfId="8909"/>
    <tableColumn id="7703" uniqueName="7703" name="Column7694" queryTableFieldId="8691" dataDxfId="8908"/>
    <tableColumn id="7704" uniqueName="7704" name="Column7695" queryTableFieldId="8690" dataDxfId="8907"/>
    <tableColumn id="7705" uniqueName="7705" name="Column7696" queryTableFieldId="8689" dataDxfId="8906"/>
    <tableColumn id="7706" uniqueName="7706" name="Column7697" queryTableFieldId="8688" dataDxfId="8905"/>
    <tableColumn id="7707" uniqueName="7707" name="Column7698" queryTableFieldId="8687" dataDxfId="8904"/>
    <tableColumn id="7708" uniqueName="7708" name="Column7699" queryTableFieldId="8686" dataDxfId="8903"/>
    <tableColumn id="7709" uniqueName="7709" name="Column7700" queryTableFieldId="8685" dataDxfId="8902"/>
    <tableColumn id="7710" uniqueName="7710" name="Column7701" queryTableFieldId="8684" dataDxfId="8901"/>
    <tableColumn id="7711" uniqueName="7711" name="Column7702" queryTableFieldId="8683" dataDxfId="8900"/>
    <tableColumn id="7712" uniqueName="7712" name="Column7703" queryTableFieldId="8682" dataDxfId="8899"/>
    <tableColumn id="7713" uniqueName="7713" name="Column7704" queryTableFieldId="8681" dataDxfId="8898"/>
    <tableColumn id="7714" uniqueName="7714" name="Column7705" queryTableFieldId="8680" dataDxfId="8897"/>
    <tableColumn id="7715" uniqueName="7715" name="Column7706" queryTableFieldId="8679" dataDxfId="8896"/>
    <tableColumn id="7716" uniqueName="7716" name="Column7707" queryTableFieldId="8678" dataDxfId="8895"/>
    <tableColumn id="7717" uniqueName="7717" name="Column7708" queryTableFieldId="8677" dataDxfId="8894"/>
    <tableColumn id="7718" uniqueName="7718" name="Column7709" queryTableFieldId="8676" dataDxfId="8893"/>
    <tableColumn id="7719" uniqueName="7719" name="Column7710" queryTableFieldId="8675" dataDxfId="8892"/>
    <tableColumn id="7720" uniqueName="7720" name="Column7711" queryTableFieldId="8674" dataDxfId="8891"/>
    <tableColumn id="7721" uniqueName="7721" name="Column7712" queryTableFieldId="8673" dataDxfId="8890"/>
    <tableColumn id="7722" uniqueName="7722" name="Column7713" queryTableFieldId="8672" dataDxfId="8889"/>
    <tableColumn id="7723" uniqueName="7723" name="Column7714" queryTableFieldId="8671" dataDxfId="8888"/>
    <tableColumn id="7724" uniqueName="7724" name="Column7715" queryTableFieldId="8670" dataDxfId="8887"/>
    <tableColumn id="7725" uniqueName="7725" name="Column7716" queryTableFieldId="8669" dataDxfId="8886"/>
    <tableColumn id="7726" uniqueName="7726" name="Column7717" queryTableFieldId="8668" dataDxfId="8885"/>
    <tableColumn id="7727" uniqueName="7727" name="Column7718" queryTableFieldId="8667" dataDxfId="8884"/>
    <tableColumn id="7728" uniqueName="7728" name="Column7719" queryTableFieldId="8666" dataDxfId="8883"/>
    <tableColumn id="7729" uniqueName="7729" name="Column7720" queryTableFieldId="8665" dataDxfId="8882"/>
    <tableColumn id="7730" uniqueName="7730" name="Column7721" queryTableFieldId="8664" dataDxfId="8881"/>
    <tableColumn id="7731" uniqueName="7731" name="Column7722" queryTableFieldId="8663" dataDxfId="8880"/>
    <tableColumn id="7732" uniqueName="7732" name="Column7723" queryTableFieldId="8662" dataDxfId="8879"/>
    <tableColumn id="7733" uniqueName="7733" name="Column7724" queryTableFieldId="8661" dataDxfId="8878"/>
    <tableColumn id="7734" uniqueName="7734" name="Column7725" queryTableFieldId="8660" dataDxfId="8877"/>
    <tableColumn id="7735" uniqueName="7735" name="Column7726" queryTableFieldId="8659" dataDxfId="8876"/>
    <tableColumn id="7736" uniqueName="7736" name="Column7727" queryTableFieldId="8658" dataDxfId="8875"/>
    <tableColumn id="7737" uniqueName="7737" name="Column7728" queryTableFieldId="8657" dataDxfId="8874"/>
    <tableColumn id="7738" uniqueName="7738" name="Column7729" queryTableFieldId="8656" dataDxfId="8873"/>
    <tableColumn id="7739" uniqueName="7739" name="Column7730" queryTableFieldId="8655" dataDxfId="8872"/>
    <tableColumn id="7740" uniqueName="7740" name="Column7731" queryTableFieldId="8654" dataDxfId="8871"/>
    <tableColumn id="7741" uniqueName="7741" name="Column7732" queryTableFieldId="8653" dataDxfId="8870"/>
    <tableColumn id="7742" uniqueName="7742" name="Column7733" queryTableFieldId="8652" dataDxfId="8869"/>
    <tableColumn id="7743" uniqueName="7743" name="Column7734" queryTableFieldId="8651" dataDxfId="8868"/>
    <tableColumn id="7744" uniqueName="7744" name="Column7735" queryTableFieldId="8650" dataDxfId="8867"/>
    <tableColumn id="7745" uniqueName="7745" name="Column7736" queryTableFieldId="8649" dataDxfId="8866"/>
    <tableColumn id="7746" uniqueName="7746" name="Column7737" queryTableFieldId="8648" dataDxfId="8865"/>
    <tableColumn id="7747" uniqueName="7747" name="Column7738" queryTableFieldId="8647" dataDxfId="8864"/>
    <tableColumn id="7748" uniqueName="7748" name="Column7739" queryTableFieldId="8646" dataDxfId="8863"/>
    <tableColumn id="7749" uniqueName="7749" name="Column7740" queryTableFieldId="8645" dataDxfId="8862"/>
    <tableColumn id="7750" uniqueName="7750" name="Column7741" queryTableFieldId="8644" dataDxfId="8861"/>
    <tableColumn id="7751" uniqueName="7751" name="Column7742" queryTableFieldId="8643" dataDxfId="8860"/>
    <tableColumn id="7752" uniqueName="7752" name="Column7743" queryTableFieldId="8642" dataDxfId="8859"/>
    <tableColumn id="7753" uniqueName="7753" name="Column7744" queryTableFieldId="8641" dataDxfId="8858"/>
    <tableColumn id="7754" uniqueName="7754" name="Column7745" queryTableFieldId="8640" dataDxfId="8857"/>
    <tableColumn id="7755" uniqueName="7755" name="Column7746" queryTableFieldId="8639" dataDxfId="8856"/>
    <tableColumn id="7756" uniqueName="7756" name="Column7747" queryTableFieldId="8638" dataDxfId="8855"/>
    <tableColumn id="7757" uniqueName="7757" name="Column7748" queryTableFieldId="8637" dataDxfId="8854"/>
    <tableColumn id="7758" uniqueName="7758" name="Column7749" queryTableFieldId="8636" dataDxfId="8853"/>
    <tableColumn id="7759" uniqueName="7759" name="Column7750" queryTableFieldId="8635" dataDxfId="8852"/>
    <tableColumn id="7760" uniqueName="7760" name="Column7751" queryTableFieldId="8634" dataDxfId="8851"/>
    <tableColumn id="7761" uniqueName="7761" name="Column7752" queryTableFieldId="8633" dataDxfId="8850"/>
    <tableColumn id="7762" uniqueName="7762" name="Column7753" queryTableFieldId="8632" dataDxfId="8849"/>
    <tableColumn id="7763" uniqueName="7763" name="Column7754" queryTableFieldId="8631" dataDxfId="8848"/>
    <tableColumn id="7764" uniqueName="7764" name="Column7755" queryTableFieldId="8630" dataDxfId="8847"/>
    <tableColumn id="7765" uniqueName="7765" name="Column7756" queryTableFieldId="8629" dataDxfId="8846"/>
    <tableColumn id="7766" uniqueName="7766" name="Column7757" queryTableFieldId="8628" dataDxfId="8845"/>
    <tableColumn id="7767" uniqueName="7767" name="Column7758" queryTableFieldId="8627" dataDxfId="8844"/>
    <tableColumn id="7768" uniqueName="7768" name="Column7759" queryTableFieldId="8626" dataDxfId="8843"/>
    <tableColumn id="7769" uniqueName="7769" name="Column7760" queryTableFieldId="8625" dataDxfId="8842"/>
    <tableColumn id="7770" uniqueName="7770" name="Column7761" queryTableFieldId="8624" dataDxfId="8841"/>
    <tableColumn id="7771" uniqueName="7771" name="Column7762" queryTableFieldId="8623" dataDxfId="8840"/>
    <tableColumn id="7772" uniqueName="7772" name="Column7763" queryTableFieldId="8622" dataDxfId="8839"/>
    <tableColumn id="7773" uniqueName="7773" name="Column7764" queryTableFieldId="8621" dataDxfId="8838"/>
    <tableColumn id="7774" uniqueName="7774" name="Column7765" queryTableFieldId="8620" dataDxfId="8837"/>
    <tableColumn id="7775" uniqueName="7775" name="Column7766" queryTableFieldId="8619" dataDxfId="8836"/>
    <tableColumn id="7776" uniqueName="7776" name="Column7767" queryTableFieldId="8618" dataDxfId="8835"/>
    <tableColumn id="7777" uniqueName="7777" name="Column7768" queryTableFieldId="8617" dataDxfId="8834"/>
    <tableColumn id="7778" uniqueName="7778" name="Column7769" queryTableFieldId="8616" dataDxfId="8833"/>
    <tableColumn id="7779" uniqueName="7779" name="Column7770" queryTableFieldId="8615" dataDxfId="8832"/>
    <tableColumn id="7780" uniqueName="7780" name="Column7771" queryTableFieldId="8614" dataDxfId="8831"/>
    <tableColumn id="7781" uniqueName="7781" name="Column7772" queryTableFieldId="8613" dataDxfId="8830"/>
    <tableColumn id="7782" uniqueName="7782" name="Column7773" queryTableFieldId="8612" dataDxfId="8829"/>
    <tableColumn id="7783" uniqueName="7783" name="Column7774" queryTableFieldId="8611" dataDxfId="8828"/>
    <tableColumn id="7784" uniqueName="7784" name="Column7775" queryTableFieldId="8610" dataDxfId="8827"/>
    <tableColumn id="7785" uniqueName="7785" name="Column7776" queryTableFieldId="8609" dataDxfId="8826"/>
    <tableColumn id="7786" uniqueName="7786" name="Column7777" queryTableFieldId="8608" dataDxfId="8825"/>
    <tableColumn id="7787" uniqueName="7787" name="Column7778" queryTableFieldId="8607" dataDxfId="8824"/>
    <tableColumn id="7788" uniqueName="7788" name="Column7779" queryTableFieldId="8606" dataDxfId="8823"/>
    <tableColumn id="7789" uniqueName="7789" name="Column7780" queryTableFieldId="8605" dataDxfId="8822"/>
    <tableColumn id="7790" uniqueName="7790" name="Column7781" queryTableFieldId="8604" dataDxfId="8821"/>
    <tableColumn id="7791" uniqueName="7791" name="Column7782" queryTableFieldId="8603" dataDxfId="8820"/>
    <tableColumn id="7792" uniqueName="7792" name="Column7783" queryTableFieldId="8602" dataDxfId="8819"/>
    <tableColumn id="7793" uniqueName="7793" name="Column7784" queryTableFieldId="8601" dataDxfId="8818"/>
    <tableColumn id="7794" uniqueName="7794" name="Column7785" queryTableFieldId="8600" dataDxfId="8817"/>
    <tableColumn id="7795" uniqueName="7795" name="Column7786" queryTableFieldId="8599" dataDxfId="8816"/>
    <tableColumn id="7796" uniqueName="7796" name="Column7787" queryTableFieldId="8598" dataDxfId="8815"/>
    <tableColumn id="7797" uniqueName="7797" name="Column7788" queryTableFieldId="8597" dataDxfId="8814"/>
    <tableColumn id="7798" uniqueName="7798" name="Column7789" queryTableFieldId="8596" dataDxfId="8813"/>
    <tableColumn id="7799" uniqueName="7799" name="Column7790" queryTableFieldId="8595" dataDxfId="8812"/>
    <tableColumn id="7800" uniqueName="7800" name="Column7791" queryTableFieldId="8594" dataDxfId="8811"/>
    <tableColumn id="7801" uniqueName="7801" name="Column7792" queryTableFieldId="8593" dataDxfId="8810"/>
    <tableColumn id="7802" uniqueName="7802" name="Column7793" queryTableFieldId="8592" dataDxfId="8809"/>
    <tableColumn id="7803" uniqueName="7803" name="Column7794" queryTableFieldId="8591" dataDxfId="8808"/>
    <tableColumn id="7804" uniqueName="7804" name="Column7795" queryTableFieldId="8590" dataDxfId="8807"/>
    <tableColumn id="7805" uniqueName="7805" name="Column7796" queryTableFieldId="8589" dataDxfId="8806"/>
    <tableColumn id="7806" uniqueName="7806" name="Column7797" queryTableFieldId="8588" dataDxfId="8805"/>
    <tableColumn id="7807" uniqueName="7807" name="Column7798" queryTableFieldId="8587" dataDxfId="8804"/>
    <tableColumn id="7808" uniqueName="7808" name="Column7799" queryTableFieldId="8586" dataDxfId="8803"/>
    <tableColumn id="7809" uniqueName="7809" name="Column7800" queryTableFieldId="8585" dataDxfId="8802"/>
    <tableColumn id="7810" uniqueName="7810" name="Column7801" queryTableFieldId="8584" dataDxfId="8801"/>
    <tableColumn id="7811" uniqueName="7811" name="Column7802" queryTableFieldId="8583" dataDxfId="8800"/>
    <tableColumn id="7812" uniqueName="7812" name="Column7803" queryTableFieldId="8582" dataDxfId="8799"/>
    <tableColumn id="7813" uniqueName="7813" name="Column7804" queryTableFieldId="8581" dataDxfId="8798"/>
    <tableColumn id="7814" uniqueName="7814" name="Column7805" queryTableFieldId="8580" dataDxfId="8797"/>
    <tableColumn id="7815" uniqueName="7815" name="Column7806" queryTableFieldId="8579" dataDxfId="8796"/>
    <tableColumn id="7816" uniqueName="7816" name="Column7807" queryTableFieldId="8578" dataDxfId="8795"/>
    <tableColumn id="7817" uniqueName="7817" name="Column7808" queryTableFieldId="8577" dataDxfId="8794"/>
    <tableColumn id="7818" uniqueName="7818" name="Column7809" queryTableFieldId="8576" dataDxfId="8793"/>
    <tableColumn id="7819" uniqueName="7819" name="Column7810" queryTableFieldId="8575" dataDxfId="8792"/>
    <tableColumn id="7820" uniqueName="7820" name="Column7811" queryTableFieldId="8574" dataDxfId="8791"/>
    <tableColumn id="7821" uniqueName="7821" name="Column7812" queryTableFieldId="8573" dataDxfId="8790"/>
    <tableColumn id="7822" uniqueName="7822" name="Column7813" queryTableFieldId="8572" dataDxfId="8789"/>
    <tableColumn id="7823" uniqueName="7823" name="Column7814" queryTableFieldId="8571" dataDxfId="8788"/>
    <tableColumn id="7824" uniqueName="7824" name="Column7815" queryTableFieldId="8570" dataDxfId="8787"/>
    <tableColumn id="7825" uniqueName="7825" name="Column7816" queryTableFieldId="8569" dataDxfId="8786"/>
    <tableColumn id="7826" uniqueName="7826" name="Column7817" queryTableFieldId="8568" dataDxfId="8785"/>
    <tableColumn id="7827" uniqueName="7827" name="Column7818" queryTableFieldId="8567" dataDxfId="8784"/>
    <tableColumn id="7828" uniqueName="7828" name="Column7819" queryTableFieldId="8566" dataDxfId="8783"/>
    <tableColumn id="7829" uniqueName="7829" name="Column7820" queryTableFieldId="8565" dataDxfId="8782"/>
    <tableColumn id="7830" uniqueName="7830" name="Column7821" queryTableFieldId="8564" dataDxfId="8781"/>
    <tableColumn id="7831" uniqueName="7831" name="Column7822" queryTableFieldId="8563" dataDxfId="8780"/>
    <tableColumn id="7832" uniqueName="7832" name="Column7823" queryTableFieldId="8562" dataDxfId="8779"/>
    <tableColumn id="7833" uniqueName="7833" name="Column7824" queryTableFieldId="8561" dataDxfId="8778"/>
    <tableColumn id="7834" uniqueName="7834" name="Column7825" queryTableFieldId="8560" dataDxfId="8777"/>
    <tableColumn id="7835" uniqueName="7835" name="Column7826" queryTableFieldId="8559" dataDxfId="8776"/>
    <tableColumn id="7836" uniqueName="7836" name="Column7827" queryTableFieldId="8558" dataDxfId="8775"/>
    <tableColumn id="7837" uniqueName="7837" name="Column7828" queryTableFieldId="8557" dataDxfId="8774"/>
    <tableColumn id="7838" uniqueName="7838" name="Column7829" queryTableFieldId="8556" dataDxfId="8773"/>
    <tableColumn id="7839" uniqueName="7839" name="Column7830" queryTableFieldId="8555" dataDxfId="8772"/>
    <tableColumn id="7840" uniqueName="7840" name="Column7831" queryTableFieldId="8554" dataDxfId="8771"/>
    <tableColumn id="7841" uniqueName="7841" name="Column7832" queryTableFieldId="8553" dataDxfId="8770"/>
    <tableColumn id="7842" uniqueName="7842" name="Column7833" queryTableFieldId="8552" dataDxfId="8769"/>
    <tableColumn id="7843" uniqueName="7843" name="Column7834" queryTableFieldId="8551" dataDxfId="8768"/>
    <tableColumn id="7844" uniqueName="7844" name="Column7835" queryTableFieldId="8550" dataDxfId="8767"/>
    <tableColumn id="7845" uniqueName="7845" name="Column7836" queryTableFieldId="8549" dataDxfId="8766"/>
    <tableColumn id="7846" uniqueName="7846" name="Column7837" queryTableFieldId="8548" dataDxfId="8765"/>
    <tableColumn id="7847" uniqueName="7847" name="Column7838" queryTableFieldId="8547" dataDxfId="8764"/>
    <tableColumn id="7848" uniqueName="7848" name="Column7839" queryTableFieldId="8546" dataDxfId="8763"/>
    <tableColumn id="7849" uniqueName="7849" name="Column7840" queryTableFieldId="8545" dataDxfId="8762"/>
    <tableColumn id="7850" uniqueName="7850" name="Column7841" queryTableFieldId="8544" dataDxfId="8761"/>
    <tableColumn id="7851" uniqueName="7851" name="Column7842" queryTableFieldId="8543" dataDxfId="8760"/>
    <tableColumn id="7852" uniqueName="7852" name="Column7843" queryTableFieldId="8542" dataDxfId="8759"/>
    <tableColumn id="7853" uniqueName="7853" name="Column7844" queryTableFieldId="8541" dataDxfId="8758"/>
    <tableColumn id="7854" uniqueName="7854" name="Column7845" queryTableFieldId="8540" dataDxfId="8757"/>
    <tableColumn id="7855" uniqueName="7855" name="Column7846" queryTableFieldId="8539" dataDxfId="8756"/>
    <tableColumn id="7856" uniqueName="7856" name="Column7847" queryTableFieldId="8538" dataDxfId="8755"/>
    <tableColumn id="7857" uniqueName="7857" name="Column7848" queryTableFieldId="8537" dataDxfId="8754"/>
    <tableColumn id="7858" uniqueName="7858" name="Column7849" queryTableFieldId="8536" dataDxfId="8753"/>
    <tableColumn id="7859" uniqueName="7859" name="Column7850" queryTableFieldId="8535" dataDxfId="8752"/>
    <tableColumn id="7860" uniqueName="7860" name="Column7851" queryTableFieldId="8534" dataDxfId="8751"/>
    <tableColumn id="7861" uniqueName="7861" name="Column7852" queryTableFieldId="8533" dataDxfId="8750"/>
    <tableColumn id="7862" uniqueName="7862" name="Column7853" queryTableFieldId="8532" dataDxfId="8749"/>
    <tableColumn id="7863" uniqueName="7863" name="Column7854" queryTableFieldId="8531" dataDxfId="8748"/>
    <tableColumn id="7864" uniqueName="7864" name="Column7855" queryTableFieldId="8530" dataDxfId="8747"/>
    <tableColumn id="7865" uniqueName="7865" name="Column7856" queryTableFieldId="8529" dataDxfId="8746"/>
    <tableColumn id="7866" uniqueName="7866" name="Column7857" queryTableFieldId="8528" dataDxfId="8745"/>
    <tableColumn id="7867" uniqueName="7867" name="Column7858" queryTableFieldId="8527" dataDxfId="8744"/>
    <tableColumn id="7868" uniqueName="7868" name="Column7859" queryTableFieldId="8526" dataDxfId="8743"/>
    <tableColumn id="7869" uniqueName="7869" name="Column7860" queryTableFieldId="8525" dataDxfId="8742"/>
    <tableColumn id="7870" uniqueName="7870" name="Column7861" queryTableFieldId="8524" dataDxfId="8741"/>
    <tableColumn id="7871" uniqueName="7871" name="Column7862" queryTableFieldId="8523" dataDxfId="8740"/>
    <tableColumn id="7872" uniqueName="7872" name="Column7863" queryTableFieldId="8522" dataDxfId="8739"/>
    <tableColumn id="7873" uniqueName="7873" name="Column7864" queryTableFieldId="8521" dataDxfId="8738"/>
    <tableColumn id="7874" uniqueName="7874" name="Column7865" queryTableFieldId="8520" dataDxfId="8737"/>
    <tableColumn id="7875" uniqueName="7875" name="Column7866" queryTableFieldId="8519" dataDxfId="8736"/>
    <tableColumn id="7876" uniqueName="7876" name="Column7867" queryTableFieldId="8518" dataDxfId="8735"/>
    <tableColumn id="7877" uniqueName="7877" name="Column7868" queryTableFieldId="8517" dataDxfId="8734"/>
    <tableColumn id="7878" uniqueName="7878" name="Column7869" queryTableFieldId="8516" dataDxfId="8733"/>
    <tableColumn id="7879" uniqueName="7879" name="Column7870" queryTableFieldId="8515" dataDxfId="8732"/>
    <tableColumn id="7880" uniqueName="7880" name="Column7871" queryTableFieldId="8514" dataDxfId="8731"/>
    <tableColumn id="7881" uniqueName="7881" name="Column7872" queryTableFieldId="8513" dataDxfId="8730"/>
    <tableColumn id="7882" uniqueName="7882" name="Column7873" queryTableFieldId="8512" dataDxfId="8729"/>
    <tableColumn id="7883" uniqueName="7883" name="Column7874" queryTableFieldId="8511" dataDxfId="8728"/>
    <tableColumn id="7884" uniqueName="7884" name="Column7875" queryTableFieldId="8510" dataDxfId="8727"/>
    <tableColumn id="7885" uniqueName="7885" name="Column7876" queryTableFieldId="8509" dataDxfId="8726"/>
    <tableColumn id="7886" uniqueName="7886" name="Column7877" queryTableFieldId="8508" dataDxfId="8725"/>
    <tableColumn id="7887" uniqueName="7887" name="Column7878" queryTableFieldId="8507" dataDxfId="8724"/>
    <tableColumn id="7888" uniqueName="7888" name="Column7879" queryTableFieldId="8506" dataDxfId="8723"/>
    <tableColumn id="7889" uniqueName="7889" name="Column7880" queryTableFieldId="8505" dataDxfId="8722"/>
    <tableColumn id="7890" uniqueName="7890" name="Column7881" queryTableFieldId="8504" dataDxfId="8721"/>
    <tableColumn id="7891" uniqueName="7891" name="Column7882" queryTableFieldId="8503" dataDxfId="8720"/>
    <tableColumn id="7892" uniqueName="7892" name="Column7883" queryTableFieldId="8502" dataDxfId="8719"/>
    <tableColumn id="7893" uniqueName="7893" name="Column7884" queryTableFieldId="8501" dataDxfId="8718"/>
    <tableColumn id="7894" uniqueName="7894" name="Column7885" queryTableFieldId="8500" dataDxfId="8717"/>
    <tableColumn id="7895" uniqueName="7895" name="Column7886" queryTableFieldId="8499" dataDxfId="8716"/>
    <tableColumn id="7896" uniqueName="7896" name="Column7887" queryTableFieldId="8498" dataDxfId="8715"/>
    <tableColumn id="7897" uniqueName="7897" name="Column7888" queryTableFieldId="8497" dataDxfId="8714"/>
    <tableColumn id="7898" uniqueName="7898" name="Column7889" queryTableFieldId="8496" dataDxfId="8713"/>
    <tableColumn id="7899" uniqueName="7899" name="Column7890" queryTableFieldId="8495" dataDxfId="8712"/>
    <tableColumn id="7900" uniqueName="7900" name="Column7891" queryTableFieldId="8494" dataDxfId="8711"/>
    <tableColumn id="7901" uniqueName="7901" name="Column7892" queryTableFieldId="8493" dataDxfId="8710"/>
    <tableColumn id="7902" uniqueName="7902" name="Column7893" queryTableFieldId="8492" dataDxfId="8709"/>
    <tableColumn id="7903" uniqueName="7903" name="Column7894" queryTableFieldId="8491" dataDxfId="8708"/>
    <tableColumn id="7904" uniqueName="7904" name="Column7895" queryTableFieldId="8490" dataDxfId="8707"/>
    <tableColumn id="7905" uniqueName="7905" name="Column7896" queryTableFieldId="8489" dataDxfId="8706"/>
    <tableColumn id="7906" uniqueName="7906" name="Column7897" queryTableFieldId="8488" dataDxfId="8705"/>
    <tableColumn id="7907" uniqueName="7907" name="Column7898" queryTableFieldId="8487" dataDxfId="8704"/>
    <tableColumn id="7908" uniqueName="7908" name="Column7899" queryTableFieldId="8486" dataDxfId="8703"/>
    <tableColumn id="7909" uniqueName="7909" name="Column7900" queryTableFieldId="8485" dataDxfId="8702"/>
    <tableColumn id="7910" uniqueName="7910" name="Column7901" queryTableFieldId="8484" dataDxfId="8701"/>
    <tableColumn id="7911" uniqueName="7911" name="Column7902" queryTableFieldId="8483" dataDxfId="8700"/>
    <tableColumn id="7912" uniqueName="7912" name="Column7903" queryTableFieldId="8482" dataDxfId="8699"/>
    <tableColumn id="7913" uniqueName="7913" name="Column7904" queryTableFieldId="8481" dataDxfId="8698"/>
    <tableColumn id="7914" uniqueName="7914" name="Column7905" queryTableFieldId="8480" dataDxfId="8697"/>
    <tableColumn id="7915" uniqueName="7915" name="Column7906" queryTableFieldId="8479" dataDxfId="8696"/>
    <tableColumn id="7916" uniqueName="7916" name="Column7907" queryTableFieldId="8478" dataDxfId="8695"/>
    <tableColumn id="7917" uniqueName="7917" name="Column7908" queryTableFieldId="8477" dataDxfId="8694"/>
    <tableColumn id="7918" uniqueName="7918" name="Column7909" queryTableFieldId="8476" dataDxfId="8693"/>
    <tableColumn id="7919" uniqueName="7919" name="Column7910" queryTableFieldId="8475" dataDxfId="8692"/>
    <tableColumn id="7920" uniqueName="7920" name="Column7911" queryTableFieldId="8474" dataDxfId="8691"/>
    <tableColumn id="7921" uniqueName="7921" name="Column7912" queryTableFieldId="8473" dataDxfId="8690"/>
    <tableColumn id="7922" uniqueName="7922" name="Column7913" queryTableFieldId="8472" dataDxfId="8689"/>
    <tableColumn id="7923" uniqueName="7923" name="Column7914" queryTableFieldId="8471" dataDxfId="8688"/>
    <tableColumn id="7924" uniqueName="7924" name="Column7915" queryTableFieldId="8470" dataDxfId="8687"/>
    <tableColumn id="7925" uniqueName="7925" name="Column7916" queryTableFieldId="8469" dataDxfId="8686"/>
    <tableColumn id="7926" uniqueName="7926" name="Column7917" queryTableFieldId="8468" dataDxfId="8685"/>
    <tableColumn id="7927" uniqueName="7927" name="Column7918" queryTableFieldId="8467" dataDxfId="8684"/>
    <tableColumn id="7928" uniqueName="7928" name="Column7919" queryTableFieldId="8466" dataDxfId="8683"/>
    <tableColumn id="7929" uniqueName="7929" name="Column7920" queryTableFieldId="8465" dataDxfId="8682"/>
    <tableColumn id="7930" uniqueName="7930" name="Column7921" queryTableFieldId="8464" dataDxfId="8681"/>
    <tableColumn id="7931" uniqueName="7931" name="Column7922" queryTableFieldId="8463" dataDxfId="8680"/>
    <tableColumn id="7932" uniqueName="7932" name="Column7923" queryTableFieldId="8462" dataDxfId="8679"/>
    <tableColumn id="7933" uniqueName="7933" name="Column7924" queryTableFieldId="8461" dataDxfId="8678"/>
    <tableColumn id="7934" uniqueName="7934" name="Column7925" queryTableFieldId="8460" dataDxfId="8677"/>
    <tableColumn id="7935" uniqueName="7935" name="Column7926" queryTableFieldId="8459" dataDxfId="8676"/>
    <tableColumn id="7936" uniqueName="7936" name="Column7927" queryTableFieldId="8458" dataDxfId="8675"/>
    <tableColumn id="7937" uniqueName="7937" name="Column7928" queryTableFieldId="8457" dataDxfId="8674"/>
    <tableColumn id="7938" uniqueName="7938" name="Column7929" queryTableFieldId="8456" dataDxfId="8673"/>
    <tableColumn id="7939" uniqueName="7939" name="Column7930" queryTableFieldId="8455" dataDxfId="8672"/>
    <tableColumn id="7940" uniqueName="7940" name="Column7931" queryTableFieldId="8454" dataDxfId="8671"/>
    <tableColumn id="7941" uniqueName="7941" name="Column7932" queryTableFieldId="8453" dataDxfId="8670"/>
    <tableColumn id="7942" uniqueName="7942" name="Column7933" queryTableFieldId="8452" dataDxfId="8669"/>
    <tableColumn id="7943" uniqueName="7943" name="Column7934" queryTableFieldId="8451" dataDxfId="8668"/>
    <tableColumn id="7944" uniqueName="7944" name="Column7935" queryTableFieldId="8450" dataDxfId="8667"/>
    <tableColumn id="7945" uniqueName="7945" name="Column7936" queryTableFieldId="8449" dataDxfId="8666"/>
    <tableColumn id="7946" uniqueName="7946" name="Column7937" queryTableFieldId="8448" dataDxfId="8665"/>
    <tableColumn id="7947" uniqueName="7947" name="Column7938" queryTableFieldId="8447" dataDxfId="8664"/>
    <tableColumn id="7948" uniqueName="7948" name="Column7939" queryTableFieldId="8446" dataDxfId="8663"/>
    <tableColumn id="7949" uniqueName="7949" name="Column7940" queryTableFieldId="8445" dataDxfId="8662"/>
    <tableColumn id="7950" uniqueName="7950" name="Column7941" queryTableFieldId="8444" dataDxfId="8661"/>
    <tableColumn id="7951" uniqueName="7951" name="Column7942" queryTableFieldId="8443" dataDxfId="8660"/>
    <tableColumn id="7952" uniqueName="7952" name="Column7943" queryTableFieldId="8442" dataDxfId="8659"/>
    <tableColumn id="7953" uniqueName="7953" name="Column7944" queryTableFieldId="8441" dataDxfId="8658"/>
    <tableColumn id="7954" uniqueName="7954" name="Column7945" queryTableFieldId="8440" dataDxfId="8657"/>
    <tableColumn id="7955" uniqueName="7955" name="Column7946" queryTableFieldId="8439" dataDxfId="8656"/>
    <tableColumn id="7956" uniqueName="7956" name="Column7947" queryTableFieldId="8438" dataDxfId="8655"/>
    <tableColumn id="7957" uniqueName="7957" name="Column7948" queryTableFieldId="8437" dataDxfId="8654"/>
    <tableColumn id="7958" uniqueName="7958" name="Column7949" queryTableFieldId="8436" dataDxfId="8653"/>
    <tableColumn id="7959" uniqueName="7959" name="Column7950" queryTableFieldId="8435" dataDxfId="8652"/>
    <tableColumn id="7960" uniqueName="7960" name="Column7951" queryTableFieldId="8434" dataDxfId="8651"/>
    <tableColumn id="7961" uniqueName="7961" name="Column7952" queryTableFieldId="8433" dataDxfId="8650"/>
    <tableColumn id="7962" uniqueName="7962" name="Column7953" queryTableFieldId="8432" dataDxfId="8649"/>
    <tableColumn id="7963" uniqueName="7963" name="Column7954" queryTableFieldId="8431" dataDxfId="8648"/>
    <tableColumn id="7964" uniqueName="7964" name="Column7955" queryTableFieldId="8430" dataDxfId="8647"/>
    <tableColumn id="7965" uniqueName="7965" name="Column7956" queryTableFieldId="8429" dataDxfId="8646"/>
    <tableColumn id="7966" uniqueName="7966" name="Column7957" queryTableFieldId="8428" dataDxfId="8645"/>
    <tableColumn id="7967" uniqueName="7967" name="Column7958" queryTableFieldId="8427" dataDxfId="8644"/>
    <tableColumn id="7968" uniqueName="7968" name="Column7959" queryTableFieldId="8426" dataDxfId="8643"/>
    <tableColumn id="7969" uniqueName="7969" name="Column7960" queryTableFieldId="8425" dataDxfId="8642"/>
    <tableColumn id="7970" uniqueName="7970" name="Column7961" queryTableFieldId="8424" dataDxfId="8641"/>
    <tableColumn id="7971" uniqueName="7971" name="Column7962" queryTableFieldId="8423" dataDxfId="8640"/>
    <tableColumn id="7972" uniqueName="7972" name="Column7963" queryTableFieldId="8422" dataDxfId="8639"/>
    <tableColumn id="7973" uniqueName="7973" name="Column7964" queryTableFieldId="8421" dataDxfId="8638"/>
    <tableColumn id="7974" uniqueName="7974" name="Column7965" queryTableFieldId="8420" dataDxfId="8637"/>
    <tableColumn id="7975" uniqueName="7975" name="Column7966" queryTableFieldId="8419" dataDxfId="8636"/>
    <tableColumn id="7976" uniqueName="7976" name="Column7967" queryTableFieldId="8418" dataDxfId="8635"/>
    <tableColumn id="7977" uniqueName="7977" name="Column7968" queryTableFieldId="8417" dataDxfId="8634"/>
    <tableColumn id="7978" uniqueName="7978" name="Column7969" queryTableFieldId="8416" dataDxfId="8633"/>
    <tableColumn id="7979" uniqueName="7979" name="Column7970" queryTableFieldId="8415" dataDxfId="8632"/>
    <tableColumn id="7980" uniqueName="7980" name="Column7971" queryTableFieldId="8414" dataDxfId="8631"/>
    <tableColumn id="7981" uniqueName="7981" name="Column7972" queryTableFieldId="8413" dataDxfId="8630"/>
    <tableColumn id="7982" uniqueName="7982" name="Column7973" queryTableFieldId="8412" dataDxfId="8629"/>
    <tableColumn id="7983" uniqueName="7983" name="Column7974" queryTableFieldId="8411" dataDxfId="8628"/>
    <tableColumn id="7984" uniqueName="7984" name="Column7975" queryTableFieldId="8410" dataDxfId="8627"/>
    <tableColumn id="7985" uniqueName="7985" name="Column7976" queryTableFieldId="8409" dataDxfId="8626"/>
    <tableColumn id="7986" uniqueName="7986" name="Column7977" queryTableFieldId="8408" dataDxfId="8625"/>
    <tableColumn id="7987" uniqueName="7987" name="Column7978" queryTableFieldId="8407" dataDxfId="8624"/>
    <tableColumn id="7988" uniqueName="7988" name="Column7979" queryTableFieldId="8406" dataDxfId="8623"/>
    <tableColumn id="7989" uniqueName="7989" name="Column7980" queryTableFieldId="8405" dataDxfId="8622"/>
    <tableColumn id="7990" uniqueName="7990" name="Column7981" queryTableFieldId="8404" dataDxfId="8621"/>
    <tableColumn id="7991" uniqueName="7991" name="Column7982" queryTableFieldId="8403" dataDxfId="8620"/>
    <tableColumn id="7992" uniqueName="7992" name="Column7983" queryTableFieldId="8402" dataDxfId="8619"/>
    <tableColumn id="7993" uniqueName="7993" name="Column7984" queryTableFieldId="8401" dataDxfId="8618"/>
    <tableColumn id="7994" uniqueName="7994" name="Column7985" queryTableFieldId="8400" dataDxfId="8617"/>
    <tableColumn id="7995" uniqueName="7995" name="Column7986" queryTableFieldId="8399" dataDxfId="8616"/>
    <tableColumn id="7996" uniqueName="7996" name="Column7987" queryTableFieldId="8398" dataDxfId="8615"/>
    <tableColumn id="7997" uniqueName="7997" name="Column7988" queryTableFieldId="8397" dataDxfId="8614"/>
    <tableColumn id="7998" uniqueName="7998" name="Column7989" queryTableFieldId="8396" dataDxfId="8613"/>
    <tableColumn id="7999" uniqueName="7999" name="Column7990" queryTableFieldId="8395" dataDxfId="8612"/>
    <tableColumn id="8000" uniqueName="8000" name="Column7991" queryTableFieldId="8394" dataDxfId="8611"/>
    <tableColumn id="8001" uniqueName="8001" name="Column7992" queryTableFieldId="8393" dataDxfId="8610"/>
    <tableColumn id="8002" uniqueName="8002" name="Column7993" queryTableFieldId="8392" dataDxfId="8609"/>
    <tableColumn id="8003" uniqueName="8003" name="Column7994" queryTableFieldId="8391" dataDxfId="8608"/>
    <tableColumn id="8004" uniqueName="8004" name="Column7995" queryTableFieldId="8390" dataDxfId="8607"/>
    <tableColumn id="8005" uniqueName="8005" name="Column7996" queryTableFieldId="8389" dataDxfId="8606"/>
    <tableColumn id="8006" uniqueName="8006" name="Column7997" queryTableFieldId="8388" dataDxfId="8605"/>
    <tableColumn id="8007" uniqueName="8007" name="Column7998" queryTableFieldId="8387" dataDxfId="8604"/>
    <tableColumn id="8008" uniqueName="8008" name="Column7999" queryTableFieldId="8386" dataDxfId="8603"/>
    <tableColumn id="8009" uniqueName="8009" name="Column8000" queryTableFieldId="8385" dataDxfId="8602"/>
    <tableColumn id="8010" uniqueName="8010" name="Column8001" queryTableFieldId="8384" dataDxfId="8601"/>
    <tableColumn id="8011" uniqueName="8011" name="Column8002" queryTableFieldId="8383" dataDxfId="8600"/>
    <tableColumn id="8012" uniqueName="8012" name="Column8003" queryTableFieldId="8382" dataDxfId="8599"/>
    <tableColumn id="8013" uniqueName="8013" name="Column8004" queryTableFieldId="8381" dataDxfId="8598"/>
    <tableColumn id="8014" uniqueName="8014" name="Column8005" queryTableFieldId="8380" dataDxfId="8597"/>
    <tableColumn id="8015" uniqueName="8015" name="Column8006" queryTableFieldId="8379" dataDxfId="8596"/>
    <tableColumn id="8016" uniqueName="8016" name="Column8007" queryTableFieldId="8378" dataDxfId="8595"/>
    <tableColumn id="8017" uniqueName="8017" name="Column8008" queryTableFieldId="8377" dataDxfId="8594"/>
    <tableColumn id="8018" uniqueName="8018" name="Column8009" queryTableFieldId="8376" dataDxfId="8593"/>
    <tableColumn id="8019" uniqueName="8019" name="Column8010" queryTableFieldId="8375" dataDxfId="8592"/>
    <tableColumn id="8020" uniqueName="8020" name="Column8011" queryTableFieldId="8374" dataDxfId="8591"/>
    <tableColumn id="8021" uniqueName="8021" name="Column8012" queryTableFieldId="8373" dataDxfId="8590"/>
    <tableColumn id="8022" uniqueName="8022" name="Column8013" queryTableFieldId="8372" dataDxfId="8589"/>
    <tableColumn id="8023" uniqueName="8023" name="Column8014" queryTableFieldId="8371" dataDxfId="8588"/>
    <tableColumn id="8024" uniqueName="8024" name="Column8015" queryTableFieldId="8370" dataDxfId="8587"/>
    <tableColumn id="8025" uniqueName="8025" name="Column8016" queryTableFieldId="8369" dataDxfId="8586"/>
    <tableColumn id="8026" uniqueName="8026" name="Column8017" queryTableFieldId="8368" dataDxfId="8585"/>
    <tableColumn id="8027" uniqueName="8027" name="Column8018" queryTableFieldId="8367" dataDxfId="8584"/>
    <tableColumn id="8028" uniqueName="8028" name="Column8019" queryTableFieldId="8366" dataDxfId="8583"/>
    <tableColumn id="8029" uniqueName="8029" name="Column8020" queryTableFieldId="8365" dataDxfId="8582"/>
    <tableColumn id="8030" uniqueName="8030" name="Column8021" queryTableFieldId="8364" dataDxfId="8581"/>
    <tableColumn id="8031" uniqueName="8031" name="Column8022" queryTableFieldId="8363" dataDxfId="8580"/>
    <tableColumn id="8032" uniqueName="8032" name="Column8023" queryTableFieldId="8362" dataDxfId="8579"/>
    <tableColumn id="8033" uniqueName="8033" name="Column8024" queryTableFieldId="8361" dataDxfId="8578"/>
    <tableColumn id="8034" uniqueName="8034" name="Column8025" queryTableFieldId="8360" dataDxfId="8577"/>
    <tableColumn id="8035" uniqueName="8035" name="Column8026" queryTableFieldId="8359" dataDxfId="8576"/>
    <tableColumn id="8036" uniqueName="8036" name="Column8027" queryTableFieldId="8358" dataDxfId="8575"/>
    <tableColumn id="8037" uniqueName="8037" name="Column8028" queryTableFieldId="8357" dataDxfId="8574"/>
    <tableColumn id="8038" uniqueName="8038" name="Column8029" queryTableFieldId="8356" dataDxfId="8573"/>
    <tableColumn id="8039" uniqueName="8039" name="Column8030" queryTableFieldId="8355" dataDxfId="8572"/>
    <tableColumn id="8040" uniqueName="8040" name="Column8031" queryTableFieldId="8354" dataDxfId="8571"/>
    <tableColumn id="8041" uniqueName="8041" name="Column8032" queryTableFieldId="8353" dataDxfId="8570"/>
    <tableColumn id="8042" uniqueName="8042" name="Column8033" queryTableFieldId="8352" dataDxfId="8569"/>
    <tableColumn id="8043" uniqueName="8043" name="Column8034" queryTableFieldId="8351" dataDxfId="8568"/>
    <tableColumn id="8044" uniqueName="8044" name="Column8035" queryTableFieldId="8350" dataDxfId="8567"/>
    <tableColumn id="8045" uniqueName="8045" name="Column8036" queryTableFieldId="8349" dataDxfId="8566"/>
    <tableColumn id="8046" uniqueName="8046" name="Column8037" queryTableFieldId="8348" dataDxfId="8565"/>
    <tableColumn id="8047" uniqueName="8047" name="Column8038" queryTableFieldId="8347" dataDxfId="8564"/>
    <tableColumn id="8048" uniqueName="8048" name="Column8039" queryTableFieldId="8346" dataDxfId="8563"/>
    <tableColumn id="8049" uniqueName="8049" name="Column8040" queryTableFieldId="8345" dataDxfId="8562"/>
    <tableColumn id="8050" uniqueName="8050" name="Column8041" queryTableFieldId="8344" dataDxfId="8561"/>
    <tableColumn id="8051" uniqueName="8051" name="Column8042" queryTableFieldId="8343" dataDxfId="8560"/>
    <tableColumn id="8052" uniqueName="8052" name="Column8043" queryTableFieldId="8342" dataDxfId="8559"/>
    <tableColumn id="8053" uniqueName="8053" name="Column8044" queryTableFieldId="8341" dataDxfId="8558"/>
    <tableColumn id="8054" uniqueName="8054" name="Column8045" queryTableFieldId="8340" dataDxfId="8557"/>
    <tableColumn id="8055" uniqueName="8055" name="Column8046" queryTableFieldId="8339" dataDxfId="8556"/>
    <tableColumn id="8056" uniqueName="8056" name="Column8047" queryTableFieldId="8338" dataDxfId="8555"/>
    <tableColumn id="8057" uniqueName="8057" name="Column8048" queryTableFieldId="8337" dataDxfId="8554"/>
    <tableColumn id="8058" uniqueName="8058" name="Column8049" queryTableFieldId="8336" dataDxfId="8553"/>
    <tableColumn id="8059" uniqueName="8059" name="Column8050" queryTableFieldId="8335" dataDxfId="8552"/>
    <tableColumn id="8060" uniqueName="8060" name="Column8051" queryTableFieldId="8334" dataDxfId="8551"/>
    <tableColumn id="8061" uniqueName="8061" name="Column8052" queryTableFieldId="8333" dataDxfId="8550"/>
    <tableColumn id="8062" uniqueName="8062" name="Column8053" queryTableFieldId="8332" dataDxfId="8549"/>
    <tableColumn id="8063" uniqueName="8063" name="Column8054" queryTableFieldId="8331" dataDxfId="8548"/>
    <tableColumn id="8064" uniqueName="8064" name="Column8055" queryTableFieldId="8330" dataDxfId="8547"/>
    <tableColumn id="8065" uniqueName="8065" name="Column8056" queryTableFieldId="8329" dataDxfId="8546"/>
    <tableColumn id="8066" uniqueName="8066" name="Column8057" queryTableFieldId="8328" dataDxfId="8545"/>
    <tableColumn id="8067" uniqueName="8067" name="Column8058" queryTableFieldId="8327" dataDxfId="8544"/>
    <tableColumn id="8068" uniqueName="8068" name="Column8059" queryTableFieldId="8326" dataDxfId="8543"/>
    <tableColumn id="8069" uniqueName="8069" name="Column8060" queryTableFieldId="8325" dataDxfId="8542"/>
    <tableColumn id="8070" uniqueName="8070" name="Column8061" queryTableFieldId="8324" dataDxfId="8541"/>
    <tableColumn id="8071" uniqueName="8071" name="Column8062" queryTableFieldId="8323" dataDxfId="8540"/>
    <tableColumn id="8072" uniqueName="8072" name="Column8063" queryTableFieldId="8322" dataDxfId="8539"/>
    <tableColumn id="8073" uniqueName="8073" name="Column8064" queryTableFieldId="8321" dataDxfId="8538"/>
    <tableColumn id="8074" uniqueName="8074" name="Column8065" queryTableFieldId="8320" dataDxfId="8537"/>
    <tableColumn id="8075" uniqueName="8075" name="Column8066" queryTableFieldId="8319" dataDxfId="8536"/>
    <tableColumn id="8076" uniqueName="8076" name="Column8067" queryTableFieldId="8318" dataDxfId="8535"/>
    <tableColumn id="8077" uniqueName="8077" name="Column8068" queryTableFieldId="8317" dataDxfId="8534"/>
    <tableColumn id="8078" uniqueName="8078" name="Column8069" queryTableFieldId="8316" dataDxfId="8533"/>
    <tableColumn id="8079" uniqueName="8079" name="Column8070" queryTableFieldId="8315" dataDxfId="8532"/>
    <tableColumn id="8080" uniqueName="8080" name="Column8071" queryTableFieldId="8314" dataDxfId="8531"/>
    <tableColumn id="8081" uniqueName="8081" name="Column8072" queryTableFieldId="8313" dataDxfId="8530"/>
    <tableColumn id="8082" uniqueName="8082" name="Column8073" queryTableFieldId="8312" dataDxfId="8529"/>
    <tableColumn id="8083" uniqueName="8083" name="Column8074" queryTableFieldId="8311" dataDxfId="8528"/>
    <tableColumn id="8084" uniqueName="8084" name="Column8075" queryTableFieldId="8310" dataDxfId="8527"/>
    <tableColumn id="8085" uniqueName="8085" name="Column8076" queryTableFieldId="8309" dataDxfId="8526"/>
    <tableColumn id="8086" uniqueName="8086" name="Column8077" queryTableFieldId="8308" dataDxfId="8525"/>
    <tableColumn id="8087" uniqueName="8087" name="Column8078" queryTableFieldId="8307" dataDxfId="8524"/>
    <tableColumn id="8088" uniqueName="8088" name="Column8079" queryTableFieldId="8306" dataDxfId="8523"/>
    <tableColumn id="8089" uniqueName="8089" name="Column8080" queryTableFieldId="8305" dataDxfId="8522"/>
    <tableColumn id="8090" uniqueName="8090" name="Column8081" queryTableFieldId="8304" dataDxfId="8521"/>
    <tableColumn id="8091" uniqueName="8091" name="Column8082" queryTableFieldId="8303" dataDxfId="8520"/>
    <tableColumn id="8092" uniqueName="8092" name="Column8083" queryTableFieldId="8302" dataDxfId="8519"/>
    <tableColumn id="8093" uniqueName="8093" name="Column8084" queryTableFieldId="8301" dataDxfId="8518"/>
    <tableColumn id="8094" uniqueName="8094" name="Column8085" queryTableFieldId="8300" dataDxfId="8517"/>
    <tableColumn id="8095" uniqueName="8095" name="Column8086" queryTableFieldId="8299" dataDxfId="8516"/>
    <tableColumn id="8096" uniqueName="8096" name="Column8087" queryTableFieldId="8298" dataDxfId="8515"/>
    <tableColumn id="8097" uniqueName="8097" name="Column8088" queryTableFieldId="8297" dataDxfId="8514"/>
    <tableColumn id="8098" uniqueName="8098" name="Column8089" queryTableFieldId="8296" dataDxfId="8513"/>
    <tableColumn id="8099" uniqueName="8099" name="Column8090" queryTableFieldId="8295" dataDxfId="8512"/>
    <tableColumn id="8100" uniqueName="8100" name="Column8091" queryTableFieldId="8294" dataDxfId="8511"/>
    <tableColumn id="8101" uniqueName="8101" name="Column8092" queryTableFieldId="8293" dataDxfId="8510"/>
    <tableColumn id="8102" uniqueName="8102" name="Column8093" queryTableFieldId="8292" dataDxfId="8509"/>
    <tableColumn id="8103" uniqueName="8103" name="Column8094" queryTableFieldId="8291" dataDxfId="8508"/>
    <tableColumn id="8104" uniqueName="8104" name="Column8095" queryTableFieldId="8290" dataDxfId="8507"/>
    <tableColumn id="8105" uniqueName="8105" name="Column8096" queryTableFieldId="8289" dataDxfId="8506"/>
    <tableColumn id="8106" uniqueName="8106" name="Column8097" queryTableFieldId="8288" dataDxfId="8505"/>
    <tableColumn id="8107" uniqueName="8107" name="Column8098" queryTableFieldId="8287" dataDxfId="8504"/>
    <tableColumn id="8108" uniqueName="8108" name="Column8099" queryTableFieldId="8286" dataDxfId="8503"/>
    <tableColumn id="8109" uniqueName="8109" name="Column8100" queryTableFieldId="8285" dataDxfId="8502"/>
    <tableColumn id="8110" uniqueName="8110" name="Column8101" queryTableFieldId="8284" dataDxfId="8501"/>
    <tableColumn id="8111" uniqueName="8111" name="Column8102" queryTableFieldId="8283" dataDxfId="8500"/>
    <tableColumn id="8112" uniqueName="8112" name="Column8103" queryTableFieldId="8282" dataDxfId="8499"/>
    <tableColumn id="8113" uniqueName="8113" name="Column8104" queryTableFieldId="8281" dataDxfId="8498"/>
    <tableColumn id="8114" uniqueName="8114" name="Column8105" queryTableFieldId="8280" dataDxfId="8497"/>
    <tableColumn id="8115" uniqueName="8115" name="Column8106" queryTableFieldId="8279" dataDxfId="8496"/>
    <tableColumn id="8116" uniqueName="8116" name="Column8107" queryTableFieldId="8278" dataDxfId="8495"/>
    <tableColumn id="8117" uniqueName="8117" name="Column8108" queryTableFieldId="8277" dataDxfId="8494"/>
    <tableColumn id="8118" uniqueName="8118" name="Column8109" queryTableFieldId="8276" dataDxfId="8493"/>
    <tableColumn id="8119" uniqueName="8119" name="Column8110" queryTableFieldId="8275" dataDxfId="8492"/>
    <tableColumn id="8120" uniqueName="8120" name="Column8111" queryTableFieldId="8274" dataDxfId="8491"/>
    <tableColumn id="8121" uniqueName="8121" name="Column8112" queryTableFieldId="8273" dataDxfId="8490"/>
    <tableColumn id="8122" uniqueName="8122" name="Column8113" queryTableFieldId="8272" dataDxfId="8489"/>
    <tableColumn id="8123" uniqueName="8123" name="Column8114" queryTableFieldId="8271" dataDxfId="8488"/>
    <tableColumn id="8124" uniqueName="8124" name="Column8115" queryTableFieldId="8270" dataDxfId="8487"/>
    <tableColumn id="8125" uniqueName="8125" name="Column8116" queryTableFieldId="8269" dataDxfId="8486"/>
    <tableColumn id="8126" uniqueName="8126" name="Column8117" queryTableFieldId="8268" dataDxfId="8485"/>
    <tableColumn id="8127" uniqueName="8127" name="Column8118" queryTableFieldId="8267" dataDxfId="8484"/>
    <tableColumn id="8128" uniqueName="8128" name="Column8119" queryTableFieldId="8266" dataDxfId="8483"/>
    <tableColumn id="8129" uniqueName="8129" name="Column8120" queryTableFieldId="8265" dataDxfId="8482"/>
    <tableColumn id="8130" uniqueName="8130" name="Column8121" queryTableFieldId="8264" dataDxfId="8481"/>
    <tableColumn id="8131" uniqueName="8131" name="Column8122" queryTableFieldId="8263" dataDxfId="8480"/>
    <tableColumn id="8132" uniqueName="8132" name="Column8123" queryTableFieldId="8262" dataDxfId="8479"/>
    <tableColumn id="8133" uniqueName="8133" name="Column8124" queryTableFieldId="8261" dataDxfId="8478"/>
    <tableColumn id="8134" uniqueName="8134" name="Column8125" queryTableFieldId="8260" dataDxfId="8477"/>
    <tableColumn id="8135" uniqueName="8135" name="Column8126" queryTableFieldId="8259" dataDxfId="8476"/>
    <tableColumn id="8136" uniqueName="8136" name="Column8127" queryTableFieldId="8258" dataDxfId="8475"/>
    <tableColumn id="8137" uniqueName="8137" name="Column8128" queryTableFieldId="8257" dataDxfId="8474"/>
    <tableColumn id="8138" uniqueName="8138" name="Column8129" queryTableFieldId="8256" dataDxfId="8473"/>
    <tableColumn id="8139" uniqueName="8139" name="Column8130" queryTableFieldId="8255" dataDxfId="8472"/>
    <tableColumn id="8140" uniqueName="8140" name="Column8131" queryTableFieldId="8254" dataDxfId="8471"/>
    <tableColumn id="8141" uniqueName="8141" name="Column8132" queryTableFieldId="8253" dataDxfId="8470"/>
    <tableColumn id="8142" uniqueName="8142" name="Column8133" queryTableFieldId="8252" dataDxfId="8469"/>
    <tableColumn id="8143" uniqueName="8143" name="Column8134" queryTableFieldId="8251" dataDxfId="8468"/>
    <tableColumn id="8144" uniqueName="8144" name="Column8135" queryTableFieldId="8250" dataDxfId="8467"/>
    <tableColumn id="8145" uniqueName="8145" name="Column8136" queryTableFieldId="8249" dataDxfId="8466"/>
    <tableColumn id="8146" uniqueName="8146" name="Column8137" queryTableFieldId="8248" dataDxfId="8465"/>
    <tableColumn id="8147" uniqueName="8147" name="Column8138" queryTableFieldId="8247" dataDxfId="8464"/>
    <tableColumn id="8148" uniqueName="8148" name="Column8139" queryTableFieldId="8246" dataDxfId="8463"/>
    <tableColumn id="8149" uniqueName="8149" name="Column8140" queryTableFieldId="8245" dataDxfId="8462"/>
    <tableColumn id="8150" uniqueName="8150" name="Column8141" queryTableFieldId="8244" dataDxfId="8461"/>
    <tableColumn id="8151" uniqueName="8151" name="Column8142" queryTableFieldId="8243" dataDxfId="8460"/>
    <tableColumn id="8152" uniqueName="8152" name="Column8143" queryTableFieldId="8242" dataDxfId="8459"/>
    <tableColumn id="8153" uniqueName="8153" name="Column8144" queryTableFieldId="8241" dataDxfId="8458"/>
    <tableColumn id="8154" uniqueName="8154" name="Column8145" queryTableFieldId="8240" dataDxfId="8457"/>
    <tableColumn id="8155" uniqueName="8155" name="Column8146" queryTableFieldId="8239" dataDxfId="8456"/>
    <tableColumn id="8156" uniqueName="8156" name="Column8147" queryTableFieldId="8238" dataDxfId="8455"/>
    <tableColumn id="8157" uniqueName="8157" name="Column8148" queryTableFieldId="8237" dataDxfId="8454"/>
    <tableColumn id="8158" uniqueName="8158" name="Column8149" queryTableFieldId="8236" dataDxfId="8453"/>
    <tableColumn id="8159" uniqueName="8159" name="Column8150" queryTableFieldId="8235" dataDxfId="8452"/>
    <tableColumn id="8160" uniqueName="8160" name="Column8151" queryTableFieldId="8234" dataDxfId="8451"/>
    <tableColumn id="8161" uniqueName="8161" name="Column8152" queryTableFieldId="8233" dataDxfId="8450"/>
    <tableColumn id="8162" uniqueName="8162" name="Column8153" queryTableFieldId="8232" dataDxfId="8449"/>
    <tableColumn id="8163" uniqueName="8163" name="Column8154" queryTableFieldId="8231" dataDxfId="8448"/>
    <tableColumn id="8164" uniqueName="8164" name="Column8155" queryTableFieldId="8230" dataDxfId="8447"/>
    <tableColumn id="8165" uniqueName="8165" name="Column8156" queryTableFieldId="8229" dataDxfId="8446"/>
    <tableColumn id="8166" uniqueName="8166" name="Column8157" queryTableFieldId="8228" dataDxfId="8445"/>
    <tableColumn id="8167" uniqueName="8167" name="Column8158" queryTableFieldId="8227" dataDxfId="8444"/>
    <tableColumn id="8168" uniqueName="8168" name="Column8159" queryTableFieldId="8226" dataDxfId="8443"/>
    <tableColumn id="8169" uniqueName="8169" name="Column8160" queryTableFieldId="8225" dataDxfId="8442"/>
    <tableColumn id="8170" uniqueName="8170" name="Column8161" queryTableFieldId="8224" dataDxfId="8441"/>
    <tableColumn id="8171" uniqueName="8171" name="Column8162" queryTableFieldId="8223" dataDxfId="8440"/>
    <tableColumn id="8172" uniqueName="8172" name="Column8163" queryTableFieldId="8222" dataDxfId="8439"/>
    <tableColumn id="8173" uniqueName="8173" name="Column8164" queryTableFieldId="8221" dataDxfId="8438"/>
    <tableColumn id="8174" uniqueName="8174" name="Column8165" queryTableFieldId="8220" dataDxfId="8437"/>
    <tableColumn id="8175" uniqueName="8175" name="Column8166" queryTableFieldId="8219" dataDxfId="8436"/>
    <tableColumn id="8176" uniqueName="8176" name="Column8167" queryTableFieldId="8218" dataDxfId="8435"/>
    <tableColumn id="8177" uniqueName="8177" name="Column8168" queryTableFieldId="8217" dataDxfId="8434"/>
    <tableColumn id="8178" uniqueName="8178" name="Column8169" queryTableFieldId="8216" dataDxfId="8433"/>
    <tableColumn id="8179" uniqueName="8179" name="Column8170" queryTableFieldId="8215" dataDxfId="8432"/>
    <tableColumn id="8180" uniqueName="8180" name="Column8171" queryTableFieldId="8214" dataDxfId="8431"/>
    <tableColumn id="8181" uniqueName="8181" name="Column8172" queryTableFieldId="8213" dataDxfId="8430"/>
    <tableColumn id="8182" uniqueName="8182" name="Column8173" queryTableFieldId="8212" dataDxfId="8429"/>
    <tableColumn id="8183" uniqueName="8183" name="Column8174" queryTableFieldId="8211" dataDxfId="8428"/>
    <tableColumn id="8184" uniqueName="8184" name="Column8175" queryTableFieldId="8210" dataDxfId="8427"/>
    <tableColumn id="8185" uniqueName="8185" name="Column8176" queryTableFieldId="8209" dataDxfId="8426"/>
    <tableColumn id="8186" uniqueName="8186" name="Column8177" queryTableFieldId="8208" dataDxfId="8425"/>
    <tableColumn id="8187" uniqueName="8187" name="Column8178" queryTableFieldId="8207" dataDxfId="8424"/>
    <tableColumn id="8188" uniqueName="8188" name="Column8179" queryTableFieldId="8206" dataDxfId="8423"/>
    <tableColumn id="8189" uniqueName="8189" name="Column8180" queryTableFieldId="8205" dataDxfId="8422"/>
    <tableColumn id="8190" uniqueName="8190" name="Column8181" queryTableFieldId="8204" dataDxfId="8421"/>
    <tableColumn id="8191" uniqueName="8191" name="Column8182" queryTableFieldId="8203" dataDxfId="8420"/>
    <tableColumn id="8192" uniqueName="8192" name="Column8183" queryTableFieldId="8202" dataDxfId="8419"/>
    <tableColumn id="8193" uniqueName="8193" name="Column8184" queryTableFieldId="8201" dataDxfId="8418"/>
    <tableColumn id="8194" uniqueName="8194" name="Column8185" queryTableFieldId="8200" dataDxfId="8417"/>
    <tableColumn id="8195" uniqueName="8195" name="Column8186" queryTableFieldId="8199" dataDxfId="8416"/>
    <tableColumn id="8196" uniqueName="8196" name="Column8187" queryTableFieldId="8198" dataDxfId="8415"/>
    <tableColumn id="8197" uniqueName="8197" name="Column8188" queryTableFieldId="8197" dataDxfId="8414"/>
    <tableColumn id="8198" uniqueName="8198" name="Column8189" queryTableFieldId="8196" dataDxfId="8413"/>
    <tableColumn id="8199" uniqueName="8199" name="Column8190" queryTableFieldId="8195" dataDxfId="8412"/>
    <tableColumn id="8200" uniqueName="8200" name="Column8191" queryTableFieldId="8194" dataDxfId="8411"/>
    <tableColumn id="8201" uniqueName="8201" name="Column8192" queryTableFieldId="8193" dataDxfId="8410"/>
    <tableColumn id="8202" uniqueName="8202" name="Column8193" queryTableFieldId="8192" dataDxfId="8409"/>
    <tableColumn id="8203" uniqueName="8203" name="Column8194" queryTableFieldId="8191" dataDxfId="8408"/>
    <tableColumn id="8204" uniqueName="8204" name="Column8195" queryTableFieldId="8190" dataDxfId="8407"/>
    <tableColumn id="8205" uniqueName="8205" name="Column8196" queryTableFieldId="8189" dataDxfId="8406"/>
    <tableColumn id="8206" uniqueName="8206" name="Column8197" queryTableFieldId="8188" dataDxfId="8405"/>
    <tableColumn id="8207" uniqueName="8207" name="Column8198" queryTableFieldId="8187" dataDxfId="8404"/>
    <tableColumn id="8208" uniqueName="8208" name="Column8199" queryTableFieldId="8186" dataDxfId="8403"/>
    <tableColumn id="8209" uniqueName="8209" name="Column8200" queryTableFieldId="8185" dataDxfId="8402"/>
    <tableColumn id="8210" uniqueName="8210" name="Column8201" queryTableFieldId="8184" dataDxfId="8401"/>
    <tableColumn id="8211" uniqueName="8211" name="Column8202" queryTableFieldId="8183" dataDxfId="8400"/>
    <tableColumn id="8212" uniqueName="8212" name="Column8203" queryTableFieldId="8182" dataDxfId="8399"/>
    <tableColumn id="8213" uniqueName="8213" name="Column8204" queryTableFieldId="8181" dataDxfId="8398"/>
    <tableColumn id="8214" uniqueName="8214" name="Column8205" queryTableFieldId="8180" dataDxfId="8397"/>
    <tableColumn id="8215" uniqueName="8215" name="Column8206" queryTableFieldId="8179" dataDxfId="8396"/>
    <tableColumn id="8216" uniqueName="8216" name="Column8207" queryTableFieldId="8178" dataDxfId="8395"/>
    <tableColumn id="8217" uniqueName="8217" name="Column8208" queryTableFieldId="8177" dataDxfId="8394"/>
    <tableColumn id="8218" uniqueName="8218" name="Column8209" queryTableFieldId="8176" dataDxfId="8393"/>
    <tableColumn id="8219" uniqueName="8219" name="Column8210" queryTableFieldId="8175" dataDxfId="8392"/>
    <tableColumn id="8220" uniqueName="8220" name="Column8211" queryTableFieldId="8174" dataDxfId="8391"/>
    <tableColumn id="8221" uniqueName="8221" name="Column8212" queryTableFieldId="8173" dataDxfId="8390"/>
    <tableColumn id="8222" uniqueName="8222" name="Column8213" queryTableFieldId="8172" dataDxfId="8389"/>
    <tableColumn id="8223" uniqueName="8223" name="Column8214" queryTableFieldId="8171" dataDxfId="8388"/>
    <tableColumn id="8224" uniqueName="8224" name="Column8215" queryTableFieldId="8170" dataDxfId="8387"/>
    <tableColumn id="8225" uniqueName="8225" name="Column8216" queryTableFieldId="8169" dataDxfId="8386"/>
    <tableColumn id="8226" uniqueName="8226" name="Column8217" queryTableFieldId="8168" dataDxfId="8385"/>
    <tableColumn id="8227" uniqueName="8227" name="Column8218" queryTableFieldId="8167" dataDxfId="8384"/>
    <tableColumn id="8228" uniqueName="8228" name="Column8219" queryTableFieldId="8166" dataDxfId="8383"/>
    <tableColumn id="8229" uniqueName="8229" name="Column8220" queryTableFieldId="8165" dataDxfId="8382"/>
    <tableColumn id="8230" uniqueName="8230" name="Column8221" queryTableFieldId="8164" dataDxfId="8381"/>
    <tableColumn id="8231" uniqueName="8231" name="Column8222" queryTableFieldId="8163" dataDxfId="8380"/>
    <tableColumn id="8232" uniqueName="8232" name="Column8223" queryTableFieldId="8162" dataDxfId="8379"/>
    <tableColumn id="8233" uniqueName="8233" name="Column8224" queryTableFieldId="8161" dataDxfId="8378"/>
    <tableColumn id="8234" uniqueName="8234" name="Column8225" queryTableFieldId="8160" dataDxfId="8377"/>
    <tableColumn id="8235" uniqueName="8235" name="Column8226" queryTableFieldId="8159" dataDxfId="8376"/>
    <tableColumn id="8236" uniqueName="8236" name="Column8227" queryTableFieldId="8158" dataDxfId="8375"/>
    <tableColumn id="8237" uniqueName="8237" name="Column8228" queryTableFieldId="8157" dataDxfId="8374"/>
    <tableColumn id="8238" uniqueName="8238" name="Column8229" queryTableFieldId="8156" dataDxfId="8373"/>
    <tableColumn id="8239" uniqueName="8239" name="Column8230" queryTableFieldId="8155" dataDxfId="8372"/>
    <tableColumn id="8240" uniqueName="8240" name="Column8231" queryTableFieldId="8154" dataDxfId="8371"/>
    <tableColumn id="8241" uniqueName="8241" name="Column8232" queryTableFieldId="8153" dataDxfId="8370"/>
    <tableColumn id="8242" uniqueName="8242" name="Column8233" queryTableFieldId="8152" dataDxfId="8369"/>
    <tableColumn id="8243" uniqueName="8243" name="Column8234" queryTableFieldId="8151" dataDxfId="8368"/>
    <tableColumn id="8244" uniqueName="8244" name="Column8235" queryTableFieldId="8150" dataDxfId="8367"/>
    <tableColumn id="8245" uniqueName="8245" name="Column8236" queryTableFieldId="8149" dataDxfId="8366"/>
    <tableColumn id="8246" uniqueName="8246" name="Column8237" queryTableFieldId="8148" dataDxfId="8365"/>
    <tableColumn id="8247" uniqueName="8247" name="Column8238" queryTableFieldId="8147" dataDxfId="8364"/>
    <tableColumn id="8248" uniqueName="8248" name="Column8239" queryTableFieldId="8146" dataDxfId="8363"/>
    <tableColumn id="8249" uniqueName="8249" name="Column8240" queryTableFieldId="8145" dataDxfId="8362"/>
    <tableColumn id="8250" uniqueName="8250" name="Column8241" queryTableFieldId="8144" dataDxfId="8361"/>
    <tableColumn id="8251" uniqueName="8251" name="Column8242" queryTableFieldId="8143" dataDxfId="8360"/>
    <tableColumn id="8252" uniqueName="8252" name="Column8243" queryTableFieldId="8142" dataDxfId="8359"/>
    <tableColumn id="8253" uniqueName="8253" name="Column8244" queryTableFieldId="8141" dataDxfId="8358"/>
    <tableColumn id="8254" uniqueName="8254" name="Column8245" queryTableFieldId="8140" dataDxfId="8357"/>
    <tableColumn id="8255" uniqueName="8255" name="Column8246" queryTableFieldId="8139" dataDxfId="8356"/>
    <tableColumn id="8256" uniqueName="8256" name="Column8247" queryTableFieldId="8138" dataDxfId="8355"/>
    <tableColumn id="8257" uniqueName="8257" name="Column8248" queryTableFieldId="8137" dataDxfId="8354"/>
    <tableColumn id="8258" uniqueName="8258" name="Column8249" queryTableFieldId="8136" dataDxfId="8353"/>
    <tableColumn id="8259" uniqueName="8259" name="Column8250" queryTableFieldId="8135" dataDxfId="8352"/>
    <tableColumn id="8260" uniqueName="8260" name="Column8251" queryTableFieldId="8134" dataDxfId="8351"/>
    <tableColumn id="8261" uniqueName="8261" name="Column8252" queryTableFieldId="8133" dataDxfId="8350"/>
    <tableColumn id="8262" uniqueName="8262" name="Column8253" queryTableFieldId="8132" dataDxfId="8349"/>
    <tableColumn id="8263" uniqueName="8263" name="Column8254" queryTableFieldId="8131" dataDxfId="8348"/>
    <tableColumn id="8264" uniqueName="8264" name="Column8255" queryTableFieldId="8130" dataDxfId="8347"/>
    <tableColumn id="8265" uniqueName="8265" name="Column8256" queryTableFieldId="8129" dataDxfId="8346"/>
    <tableColumn id="8266" uniqueName="8266" name="Column8257" queryTableFieldId="8128" dataDxfId="8345"/>
    <tableColumn id="8267" uniqueName="8267" name="Column8258" queryTableFieldId="8127" dataDxfId="8344"/>
    <tableColumn id="8268" uniqueName="8268" name="Column8259" queryTableFieldId="8126" dataDxfId="8343"/>
    <tableColumn id="8269" uniqueName="8269" name="Column8260" queryTableFieldId="8125" dataDxfId="8342"/>
    <tableColumn id="8270" uniqueName="8270" name="Column8261" queryTableFieldId="8124" dataDxfId="8341"/>
    <tableColumn id="8271" uniqueName="8271" name="Column8262" queryTableFieldId="8123" dataDxfId="8340"/>
    <tableColumn id="8272" uniqueName="8272" name="Column8263" queryTableFieldId="8122" dataDxfId="8339"/>
    <tableColumn id="8273" uniqueName="8273" name="Column8264" queryTableFieldId="8121" dataDxfId="8338"/>
    <tableColumn id="8274" uniqueName="8274" name="Column8265" queryTableFieldId="8120" dataDxfId="8337"/>
    <tableColumn id="8275" uniqueName="8275" name="Column8266" queryTableFieldId="8119" dataDxfId="8336"/>
    <tableColumn id="8276" uniqueName="8276" name="Column8267" queryTableFieldId="8118" dataDxfId="8335"/>
    <tableColumn id="8277" uniqueName="8277" name="Column8268" queryTableFieldId="8117" dataDxfId="8334"/>
    <tableColumn id="8278" uniqueName="8278" name="Column8269" queryTableFieldId="8116" dataDxfId="8333"/>
    <tableColumn id="8279" uniqueName="8279" name="Column8270" queryTableFieldId="8115" dataDxfId="8332"/>
    <tableColumn id="8280" uniqueName="8280" name="Column8271" queryTableFieldId="8114" dataDxfId="8331"/>
    <tableColumn id="8281" uniqueName="8281" name="Column8272" queryTableFieldId="8113" dataDxfId="8330"/>
    <tableColumn id="8282" uniqueName="8282" name="Column8273" queryTableFieldId="8112" dataDxfId="8329"/>
    <tableColumn id="8283" uniqueName="8283" name="Column8274" queryTableFieldId="8111" dataDxfId="8328"/>
    <tableColumn id="8284" uniqueName="8284" name="Column8275" queryTableFieldId="8110" dataDxfId="8327"/>
    <tableColumn id="8285" uniqueName="8285" name="Column8276" queryTableFieldId="8109" dataDxfId="8326"/>
    <tableColumn id="8286" uniqueName="8286" name="Column8277" queryTableFieldId="8108" dataDxfId="8325"/>
    <tableColumn id="8287" uniqueName="8287" name="Column8278" queryTableFieldId="8107" dataDxfId="8324"/>
    <tableColumn id="8288" uniqueName="8288" name="Column8279" queryTableFieldId="8106" dataDxfId="8323"/>
    <tableColumn id="8289" uniqueName="8289" name="Column8280" queryTableFieldId="8105" dataDxfId="8322"/>
    <tableColumn id="8290" uniqueName="8290" name="Column8281" queryTableFieldId="8104" dataDxfId="8321"/>
    <tableColumn id="8291" uniqueName="8291" name="Column8282" queryTableFieldId="8103" dataDxfId="8320"/>
    <tableColumn id="8292" uniqueName="8292" name="Column8283" queryTableFieldId="8102" dataDxfId="8319"/>
    <tableColumn id="8293" uniqueName="8293" name="Column8284" queryTableFieldId="8101" dataDxfId="8318"/>
    <tableColumn id="8294" uniqueName="8294" name="Column8285" queryTableFieldId="8100" dataDxfId="8317"/>
    <tableColumn id="8295" uniqueName="8295" name="Column8286" queryTableFieldId="8099" dataDxfId="8316"/>
    <tableColumn id="8296" uniqueName="8296" name="Column8287" queryTableFieldId="8098" dataDxfId="8315"/>
    <tableColumn id="8297" uniqueName="8297" name="Column8288" queryTableFieldId="8097" dataDxfId="8314"/>
    <tableColumn id="8298" uniqueName="8298" name="Column8289" queryTableFieldId="8096" dataDxfId="8313"/>
    <tableColumn id="8299" uniqueName="8299" name="Column8290" queryTableFieldId="8095" dataDxfId="8312"/>
    <tableColumn id="8300" uniqueName="8300" name="Column8291" queryTableFieldId="8094" dataDxfId="8311"/>
    <tableColumn id="8301" uniqueName="8301" name="Column8292" queryTableFieldId="8093" dataDxfId="8310"/>
    <tableColumn id="8302" uniqueName="8302" name="Column8293" queryTableFieldId="8092" dataDxfId="8309"/>
    <tableColumn id="8303" uniqueName="8303" name="Column8294" queryTableFieldId="8091" dataDxfId="8308"/>
    <tableColumn id="8304" uniqueName="8304" name="Column8295" queryTableFieldId="8090" dataDxfId="8307"/>
    <tableColumn id="8305" uniqueName="8305" name="Column8296" queryTableFieldId="8089" dataDxfId="8306"/>
    <tableColumn id="8306" uniqueName="8306" name="Column8297" queryTableFieldId="8088" dataDxfId="8305"/>
    <tableColumn id="8307" uniqueName="8307" name="Column8298" queryTableFieldId="8087" dataDxfId="8304"/>
    <tableColumn id="8308" uniqueName="8308" name="Column8299" queryTableFieldId="8086" dataDxfId="8303"/>
    <tableColumn id="8309" uniqueName="8309" name="Column8300" queryTableFieldId="8085" dataDxfId="8302"/>
    <tableColumn id="8310" uniqueName="8310" name="Column8301" queryTableFieldId="8084" dataDxfId="8301"/>
    <tableColumn id="8311" uniqueName="8311" name="Column8302" queryTableFieldId="8083" dataDxfId="8300"/>
    <tableColumn id="8312" uniqueName="8312" name="Column8303" queryTableFieldId="8082" dataDxfId="8299"/>
    <tableColumn id="8313" uniqueName="8313" name="Column8304" queryTableFieldId="8081" dataDxfId="8298"/>
    <tableColumn id="8314" uniqueName="8314" name="Column8305" queryTableFieldId="8080" dataDxfId="8297"/>
    <tableColumn id="8315" uniqueName="8315" name="Column8306" queryTableFieldId="8079" dataDxfId="8296"/>
    <tableColumn id="8316" uniqueName="8316" name="Column8307" queryTableFieldId="8078" dataDxfId="8295"/>
    <tableColumn id="8317" uniqueName="8317" name="Column8308" queryTableFieldId="8077" dataDxfId="8294"/>
    <tableColumn id="8318" uniqueName="8318" name="Column8309" queryTableFieldId="8076" dataDxfId="8293"/>
    <tableColumn id="8319" uniqueName="8319" name="Column8310" queryTableFieldId="8075" dataDxfId="8292"/>
    <tableColumn id="8320" uniqueName="8320" name="Column8311" queryTableFieldId="8074" dataDxfId="8291"/>
    <tableColumn id="8321" uniqueName="8321" name="Column8312" queryTableFieldId="8073" dataDxfId="8290"/>
    <tableColumn id="8322" uniqueName="8322" name="Column8313" queryTableFieldId="8072" dataDxfId="8289"/>
    <tableColumn id="8323" uniqueName="8323" name="Column8314" queryTableFieldId="8071" dataDxfId="8288"/>
    <tableColumn id="8324" uniqueName="8324" name="Column8315" queryTableFieldId="8070" dataDxfId="8287"/>
    <tableColumn id="8325" uniqueName="8325" name="Column8316" queryTableFieldId="8069" dataDxfId="8286"/>
    <tableColumn id="8326" uniqueName="8326" name="Column8317" queryTableFieldId="8068" dataDxfId="8285"/>
    <tableColumn id="8327" uniqueName="8327" name="Column8318" queryTableFieldId="8067" dataDxfId="8284"/>
    <tableColumn id="8328" uniqueName="8328" name="Column8319" queryTableFieldId="8066" dataDxfId="8283"/>
    <tableColumn id="8329" uniqueName="8329" name="Column8320" queryTableFieldId="8065" dataDxfId="8282"/>
    <tableColumn id="8330" uniqueName="8330" name="Column8321" queryTableFieldId="8064" dataDxfId="8281"/>
    <tableColumn id="8331" uniqueName="8331" name="Column8322" queryTableFieldId="8063" dataDxfId="8280"/>
    <tableColumn id="8332" uniqueName="8332" name="Column8323" queryTableFieldId="8062" dataDxfId="8279"/>
    <tableColumn id="8333" uniqueName="8333" name="Column8324" queryTableFieldId="8061" dataDxfId="8278"/>
    <tableColumn id="8334" uniqueName="8334" name="Column8325" queryTableFieldId="8060" dataDxfId="8277"/>
    <tableColumn id="8335" uniqueName="8335" name="Column8326" queryTableFieldId="8059" dataDxfId="8276"/>
    <tableColumn id="8336" uniqueName="8336" name="Column8327" queryTableFieldId="8058" dataDxfId="8275"/>
    <tableColumn id="8337" uniqueName="8337" name="Column8328" queryTableFieldId="8057" dataDxfId="8274"/>
    <tableColumn id="8338" uniqueName="8338" name="Column8329" queryTableFieldId="8056" dataDxfId="8273"/>
    <tableColumn id="8339" uniqueName="8339" name="Column8330" queryTableFieldId="8055" dataDxfId="8272"/>
    <tableColumn id="8340" uniqueName="8340" name="Column8331" queryTableFieldId="8054" dataDxfId="8271"/>
    <tableColumn id="8341" uniqueName="8341" name="Column8332" queryTableFieldId="8053" dataDxfId="8270"/>
    <tableColumn id="8342" uniqueName="8342" name="Column8333" queryTableFieldId="8052" dataDxfId="8269"/>
    <tableColumn id="8343" uniqueName="8343" name="Column8334" queryTableFieldId="8051" dataDxfId="8268"/>
    <tableColumn id="8344" uniqueName="8344" name="Column8335" queryTableFieldId="8050" dataDxfId="8267"/>
    <tableColumn id="8345" uniqueName="8345" name="Column8336" queryTableFieldId="8049" dataDxfId="8266"/>
    <tableColumn id="8346" uniqueName="8346" name="Column8337" queryTableFieldId="8048" dataDxfId="8265"/>
    <tableColumn id="8347" uniqueName="8347" name="Column8338" queryTableFieldId="8047" dataDxfId="8264"/>
    <tableColumn id="8348" uniqueName="8348" name="Column8339" queryTableFieldId="8046" dataDxfId="8263"/>
    <tableColumn id="8349" uniqueName="8349" name="Column8340" queryTableFieldId="8045" dataDxfId="8262"/>
    <tableColumn id="8350" uniqueName="8350" name="Column8341" queryTableFieldId="8044" dataDxfId="8261"/>
    <tableColumn id="8351" uniqueName="8351" name="Column8342" queryTableFieldId="8043" dataDxfId="8260"/>
    <tableColumn id="8352" uniqueName="8352" name="Column8343" queryTableFieldId="8042" dataDxfId="8259"/>
    <tableColumn id="8353" uniqueName="8353" name="Column8344" queryTableFieldId="8041" dataDxfId="8258"/>
    <tableColumn id="8354" uniqueName="8354" name="Column8345" queryTableFieldId="8040" dataDxfId="8257"/>
    <tableColumn id="8355" uniqueName="8355" name="Column8346" queryTableFieldId="8039" dataDxfId="8256"/>
    <tableColumn id="8356" uniqueName="8356" name="Column8347" queryTableFieldId="8038" dataDxfId="8255"/>
    <tableColumn id="8357" uniqueName="8357" name="Column8348" queryTableFieldId="8037" dataDxfId="8254"/>
    <tableColumn id="8358" uniqueName="8358" name="Column8349" queryTableFieldId="8036" dataDxfId="8253"/>
    <tableColumn id="8359" uniqueName="8359" name="Column8350" queryTableFieldId="8035" dataDxfId="8252"/>
    <tableColumn id="8360" uniqueName="8360" name="Column8351" queryTableFieldId="8034" dataDxfId="8251"/>
    <tableColumn id="8361" uniqueName="8361" name="Column8352" queryTableFieldId="8033" dataDxfId="8250"/>
    <tableColumn id="8362" uniqueName="8362" name="Column8353" queryTableFieldId="8032" dataDxfId="8249"/>
    <tableColumn id="8363" uniqueName="8363" name="Column8354" queryTableFieldId="8031" dataDxfId="8248"/>
    <tableColumn id="8364" uniqueName="8364" name="Column8355" queryTableFieldId="8030" dataDxfId="8247"/>
    <tableColumn id="8365" uniqueName="8365" name="Column8356" queryTableFieldId="8029" dataDxfId="8246"/>
    <tableColumn id="8366" uniqueName="8366" name="Column8357" queryTableFieldId="8028" dataDxfId="8245"/>
    <tableColumn id="8367" uniqueName="8367" name="Column8358" queryTableFieldId="8027" dataDxfId="8244"/>
    <tableColumn id="8368" uniqueName="8368" name="Column8359" queryTableFieldId="8026" dataDxfId="8243"/>
    <tableColumn id="8369" uniqueName="8369" name="Column8360" queryTableFieldId="8025" dataDxfId="8242"/>
    <tableColumn id="8370" uniqueName="8370" name="Column8361" queryTableFieldId="8024" dataDxfId="8241"/>
    <tableColumn id="8371" uniqueName="8371" name="Column8362" queryTableFieldId="8023" dataDxfId="8240"/>
    <tableColumn id="8372" uniqueName="8372" name="Column8363" queryTableFieldId="8022" dataDxfId="8239"/>
    <tableColumn id="8373" uniqueName="8373" name="Column8364" queryTableFieldId="8021" dataDxfId="8238"/>
    <tableColumn id="8374" uniqueName="8374" name="Column8365" queryTableFieldId="8020" dataDxfId="8237"/>
    <tableColumn id="8375" uniqueName="8375" name="Column8366" queryTableFieldId="8019" dataDxfId="8236"/>
    <tableColumn id="8376" uniqueName="8376" name="Column8367" queryTableFieldId="8018" dataDxfId="8235"/>
    <tableColumn id="8377" uniqueName="8377" name="Column8368" queryTableFieldId="8017" dataDxfId="8234"/>
    <tableColumn id="8378" uniqueName="8378" name="Column8369" queryTableFieldId="8016" dataDxfId="8233"/>
    <tableColumn id="8379" uniqueName="8379" name="Column8370" queryTableFieldId="8015" dataDxfId="8232"/>
    <tableColumn id="8380" uniqueName="8380" name="Column8371" queryTableFieldId="8014" dataDxfId="8231"/>
    <tableColumn id="8381" uniqueName="8381" name="Column8372" queryTableFieldId="8013" dataDxfId="8230"/>
    <tableColumn id="8382" uniqueName="8382" name="Column8373" queryTableFieldId="8012" dataDxfId="8229"/>
    <tableColumn id="8383" uniqueName="8383" name="Column8374" queryTableFieldId="8011" dataDxfId="8228"/>
    <tableColumn id="8384" uniqueName="8384" name="Column8375" queryTableFieldId="8010" dataDxfId="8227"/>
    <tableColumn id="8385" uniqueName="8385" name="Column8376" queryTableFieldId="8009" dataDxfId="8226"/>
    <tableColumn id="8386" uniqueName="8386" name="Column8377" queryTableFieldId="8008" dataDxfId="8225"/>
    <tableColumn id="8387" uniqueName="8387" name="Column8378" queryTableFieldId="8007" dataDxfId="8224"/>
    <tableColumn id="8388" uniqueName="8388" name="Column8379" queryTableFieldId="8006" dataDxfId="8223"/>
    <tableColumn id="8389" uniqueName="8389" name="Column8380" queryTableFieldId="8005" dataDxfId="8222"/>
    <tableColumn id="8390" uniqueName="8390" name="Column8381" queryTableFieldId="8004" dataDxfId="8221"/>
    <tableColumn id="8391" uniqueName="8391" name="Column8382" queryTableFieldId="8003" dataDxfId="8220"/>
    <tableColumn id="8392" uniqueName="8392" name="Column8383" queryTableFieldId="8002" dataDxfId="8219"/>
    <tableColumn id="8393" uniqueName="8393" name="Column8384" queryTableFieldId="8001" dataDxfId="8218"/>
    <tableColumn id="8394" uniqueName="8394" name="Column8385" queryTableFieldId="8000" dataDxfId="8217"/>
    <tableColumn id="8395" uniqueName="8395" name="Column8386" queryTableFieldId="7999" dataDxfId="8216"/>
    <tableColumn id="8396" uniqueName="8396" name="Column8387" queryTableFieldId="7998" dataDxfId="8215"/>
    <tableColumn id="8397" uniqueName="8397" name="Column8388" queryTableFieldId="7997" dataDxfId="8214"/>
    <tableColumn id="8398" uniqueName="8398" name="Column8389" queryTableFieldId="7996" dataDxfId="8213"/>
    <tableColumn id="8399" uniqueName="8399" name="Column8390" queryTableFieldId="7995" dataDxfId="8212"/>
    <tableColumn id="8400" uniqueName="8400" name="Column8391" queryTableFieldId="7994" dataDxfId="8211"/>
    <tableColumn id="8401" uniqueName="8401" name="Column8392" queryTableFieldId="7993" dataDxfId="8210"/>
    <tableColumn id="8402" uniqueName="8402" name="Column8393" queryTableFieldId="7992" dataDxfId="8209"/>
    <tableColumn id="8403" uniqueName="8403" name="Column8394" queryTableFieldId="7991" dataDxfId="8208"/>
    <tableColumn id="8404" uniqueName="8404" name="Column8395" queryTableFieldId="7990" dataDxfId="8207"/>
    <tableColumn id="8405" uniqueName="8405" name="Column8396" queryTableFieldId="7989" dataDxfId="8206"/>
    <tableColumn id="8406" uniqueName="8406" name="Column8397" queryTableFieldId="7988" dataDxfId="8205"/>
    <tableColumn id="8407" uniqueName="8407" name="Column8398" queryTableFieldId="7987" dataDxfId="8204"/>
    <tableColumn id="8408" uniqueName="8408" name="Column8399" queryTableFieldId="7986" dataDxfId="8203"/>
    <tableColumn id="8409" uniqueName="8409" name="Column8400" queryTableFieldId="7985" dataDxfId="8202"/>
    <tableColumn id="8410" uniqueName="8410" name="Column8401" queryTableFieldId="7984" dataDxfId="8201"/>
    <tableColumn id="8411" uniqueName="8411" name="Column8402" queryTableFieldId="7983" dataDxfId="8200"/>
    <tableColumn id="8412" uniqueName="8412" name="Column8403" queryTableFieldId="7982" dataDxfId="8199"/>
    <tableColumn id="8413" uniqueName="8413" name="Column8404" queryTableFieldId="7981" dataDxfId="8198"/>
    <tableColumn id="8414" uniqueName="8414" name="Column8405" queryTableFieldId="7980" dataDxfId="8197"/>
    <tableColumn id="8415" uniqueName="8415" name="Column8406" queryTableFieldId="7979" dataDxfId="8196"/>
    <tableColumn id="8416" uniqueName="8416" name="Column8407" queryTableFieldId="7978" dataDxfId="8195"/>
    <tableColumn id="8417" uniqueName="8417" name="Column8408" queryTableFieldId="7977" dataDxfId="8194"/>
    <tableColumn id="8418" uniqueName="8418" name="Column8409" queryTableFieldId="7976" dataDxfId="8193"/>
    <tableColumn id="8419" uniqueName="8419" name="Column8410" queryTableFieldId="7975" dataDxfId="8192"/>
    <tableColumn id="8420" uniqueName="8420" name="Column8411" queryTableFieldId="7974" dataDxfId="8191"/>
    <tableColumn id="8421" uniqueName="8421" name="Column8412" queryTableFieldId="7973" dataDxfId="8190"/>
    <tableColumn id="8422" uniqueName="8422" name="Column8413" queryTableFieldId="7972" dataDxfId="8189"/>
    <tableColumn id="8423" uniqueName="8423" name="Column8414" queryTableFieldId="7971" dataDxfId="8188"/>
    <tableColumn id="8424" uniqueName="8424" name="Column8415" queryTableFieldId="7970" dataDxfId="8187"/>
    <tableColumn id="8425" uniqueName="8425" name="Column8416" queryTableFieldId="7969" dataDxfId="8186"/>
    <tableColumn id="8426" uniqueName="8426" name="Column8417" queryTableFieldId="7968" dataDxfId="8185"/>
    <tableColumn id="8427" uniqueName="8427" name="Column8418" queryTableFieldId="7967" dataDxfId="8184"/>
    <tableColumn id="8428" uniqueName="8428" name="Column8419" queryTableFieldId="7966" dataDxfId="8183"/>
    <tableColumn id="8429" uniqueName="8429" name="Column8420" queryTableFieldId="7965" dataDxfId="8182"/>
    <tableColumn id="8430" uniqueName="8430" name="Column8421" queryTableFieldId="7964" dataDxfId="8181"/>
    <tableColumn id="8431" uniqueName="8431" name="Column8422" queryTableFieldId="7963" dataDxfId="8180"/>
    <tableColumn id="8432" uniqueName="8432" name="Column8423" queryTableFieldId="7962" dataDxfId="8179"/>
    <tableColumn id="8433" uniqueName="8433" name="Column8424" queryTableFieldId="7961" dataDxfId="8178"/>
    <tableColumn id="8434" uniqueName="8434" name="Column8425" queryTableFieldId="7960" dataDxfId="8177"/>
    <tableColumn id="8435" uniqueName="8435" name="Column8426" queryTableFieldId="7959" dataDxfId="8176"/>
    <tableColumn id="8436" uniqueName="8436" name="Column8427" queryTableFieldId="7958" dataDxfId="8175"/>
    <tableColumn id="8437" uniqueName="8437" name="Column8428" queryTableFieldId="7957" dataDxfId="8174"/>
    <tableColumn id="8438" uniqueName="8438" name="Column8429" queryTableFieldId="7956" dataDxfId="8173"/>
    <tableColumn id="8439" uniqueName="8439" name="Column8430" queryTableFieldId="7955" dataDxfId="8172"/>
    <tableColumn id="8440" uniqueName="8440" name="Column8431" queryTableFieldId="7954" dataDxfId="8171"/>
    <tableColumn id="8441" uniqueName="8441" name="Column8432" queryTableFieldId="7953" dataDxfId="8170"/>
    <tableColumn id="8442" uniqueName="8442" name="Column8433" queryTableFieldId="7952" dataDxfId="8169"/>
    <tableColumn id="8443" uniqueName="8443" name="Column8434" queryTableFieldId="7951" dataDxfId="8168"/>
    <tableColumn id="8444" uniqueName="8444" name="Column8435" queryTableFieldId="7950" dataDxfId="8167"/>
    <tableColumn id="8445" uniqueName="8445" name="Column8436" queryTableFieldId="7949" dataDxfId="8166"/>
    <tableColumn id="8446" uniqueName="8446" name="Column8437" queryTableFieldId="7948" dataDxfId="8165"/>
    <tableColumn id="8447" uniqueName="8447" name="Column8438" queryTableFieldId="7947" dataDxfId="8164"/>
    <tableColumn id="8448" uniqueName="8448" name="Column8439" queryTableFieldId="7946" dataDxfId="8163"/>
    <tableColumn id="8449" uniqueName="8449" name="Column8440" queryTableFieldId="7945" dataDxfId="8162"/>
    <tableColumn id="8450" uniqueName="8450" name="Column8441" queryTableFieldId="7944" dataDxfId="8161"/>
    <tableColumn id="8451" uniqueName="8451" name="Column8442" queryTableFieldId="7943" dataDxfId="8160"/>
    <tableColumn id="8452" uniqueName="8452" name="Column8443" queryTableFieldId="7942" dataDxfId="8159"/>
    <tableColumn id="8453" uniqueName="8453" name="Column8444" queryTableFieldId="7941" dataDxfId="8158"/>
    <tableColumn id="8454" uniqueName="8454" name="Column8445" queryTableFieldId="7940" dataDxfId="8157"/>
    <tableColumn id="8455" uniqueName="8455" name="Column8446" queryTableFieldId="7939" dataDxfId="8156"/>
    <tableColumn id="8456" uniqueName="8456" name="Column8447" queryTableFieldId="7938" dataDxfId="8155"/>
    <tableColumn id="8457" uniqueName="8457" name="Column8448" queryTableFieldId="7937" dataDxfId="8154"/>
    <tableColumn id="8458" uniqueName="8458" name="Column8449" queryTableFieldId="7936" dataDxfId="8153"/>
    <tableColumn id="8459" uniqueName="8459" name="Column8450" queryTableFieldId="7935" dataDxfId="8152"/>
    <tableColumn id="8460" uniqueName="8460" name="Column8451" queryTableFieldId="7934" dataDxfId="8151"/>
    <tableColumn id="8461" uniqueName="8461" name="Column8452" queryTableFieldId="7933" dataDxfId="8150"/>
    <tableColumn id="8462" uniqueName="8462" name="Column8453" queryTableFieldId="7932" dataDxfId="8149"/>
    <tableColumn id="8463" uniqueName="8463" name="Column8454" queryTableFieldId="7931" dataDxfId="8148"/>
    <tableColumn id="8464" uniqueName="8464" name="Column8455" queryTableFieldId="7930" dataDxfId="8147"/>
    <tableColumn id="8465" uniqueName="8465" name="Column8456" queryTableFieldId="7929" dataDxfId="8146"/>
    <tableColumn id="8466" uniqueName="8466" name="Column8457" queryTableFieldId="7928" dataDxfId="8145"/>
    <tableColumn id="8467" uniqueName="8467" name="Column8458" queryTableFieldId="7927" dataDxfId="8144"/>
    <tableColumn id="8468" uniqueName="8468" name="Column8459" queryTableFieldId="7926" dataDxfId="8143"/>
    <tableColumn id="8469" uniqueName="8469" name="Column8460" queryTableFieldId="7925" dataDxfId="8142"/>
    <tableColumn id="8470" uniqueName="8470" name="Column8461" queryTableFieldId="7924" dataDxfId="8141"/>
    <tableColumn id="8471" uniqueName="8471" name="Column8462" queryTableFieldId="7923" dataDxfId="8140"/>
    <tableColumn id="8472" uniqueName="8472" name="Column8463" queryTableFieldId="7922" dataDxfId="8139"/>
    <tableColumn id="8473" uniqueName="8473" name="Column8464" queryTableFieldId="7921" dataDxfId="8138"/>
    <tableColumn id="8474" uniqueName="8474" name="Column8465" queryTableFieldId="7920" dataDxfId="8137"/>
    <tableColumn id="8475" uniqueName="8475" name="Column8466" queryTableFieldId="7919" dataDxfId="8136"/>
    <tableColumn id="8476" uniqueName="8476" name="Column8467" queryTableFieldId="7918" dataDxfId="8135"/>
    <tableColumn id="8477" uniqueName="8477" name="Column8468" queryTableFieldId="7917" dataDxfId="8134"/>
    <tableColumn id="8478" uniqueName="8478" name="Column8469" queryTableFieldId="7916" dataDxfId="8133"/>
    <tableColumn id="8479" uniqueName="8479" name="Column8470" queryTableFieldId="7915" dataDxfId="8132"/>
    <tableColumn id="8480" uniqueName="8480" name="Column8471" queryTableFieldId="7914" dataDxfId="8131"/>
    <tableColumn id="8481" uniqueName="8481" name="Column8472" queryTableFieldId="7913" dataDxfId="8130"/>
    <tableColumn id="8482" uniqueName="8482" name="Column8473" queryTableFieldId="7912" dataDxfId="8129"/>
    <tableColumn id="8483" uniqueName="8483" name="Column8474" queryTableFieldId="7911" dataDxfId="8128"/>
    <tableColumn id="8484" uniqueName="8484" name="Column8475" queryTableFieldId="7910" dataDxfId="8127"/>
    <tableColumn id="8485" uniqueName="8485" name="Column8476" queryTableFieldId="7909" dataDxfId="8126"/>
    <tableColumn id="8486" uniqueName="8486" name="Column8477" queryTableFieldId="7908" dataDxfId="8125"/>
    <tableColumn id="8487" uniqueName="8487" name="Column8478" queryTableFieldId="7907" dataDxfId="8124"/>
    <tableColumn id="8488" uniqueName="8488" name="Column8479" queryTableFieldId="7906" dataDxfId="8123"/>
    <tableColumn id="8489" uniqueName="8489" name="Column8480" queryTableFieldId="7905" dataDxfId="8122"/>
    <tableColumn id="8490" uniqueName="8490" name="Column8481" queryTableFieldId="7904" dataDxfId="8121"/>
    <tableColumn id="8491" uniqueName="8491" name="Column8482" queryTableFieldId="7903" dataDxfId="8120"/>
    <tableColumn id="8492" uniqueName="8492" name="Column8483" queryTableFieldId="7902" dataDxfId="8119"/>
    <tableColumn id="8493" uniqueName="8493" name="Column8484" queryTableFieldId="7901" dataDxfId="8118"/>
    <tableColumn id="8494" uniqueName="8494" name="Column8485" queryTableFieldId="7900" dataDxfId="8117"/>
    <tableColumn id="8495" uniqueName="8495" name="Column8486" queryTableFieldId="7899" dataDxfId="8116"/>
    <tableColumn id="8496" uniqueName="8496" name="Column8487" queryTableFieldId="7898" dataDxfId="8115"/>
    <tableColumn id="8497" uniqueName="8497" name="Column8488" queryTableFieldId="7897" dataDxfId="8114"/>
    <tableColumn id="8498" uniqueName="8498" name="Column8489" queryTableFieldId="7896" dataDxfId="8113"/>
    <tableColumn id="8499" uniqueName="8499" name="Column8490" queryTableFieldId="7895" dataDxfId="8112"/>
    <tableColumn id="8500" uniqueName="8500" name="Column8491" queryTableFieldId="7894" dataDxfId="8111"/>
    <tableColumn id="8501" uniqueName="8501" name="Column8492" queryTableFieldId="7893" dataDxfId="8110"/>
    <tableColumn id="8502" uniqueName="8502" name="Column8493" queryTableFieldId="7892" dataDxfId="8109"/>
    <tableColumn id="8503" uniqueName="8503" name="Column8494" queryTableFieldId="7891" dataDxfId="8108"/>
    <tableColumn id="8504" uniqueName="8504" name="Column8495" queryTableFieldId="7890" dataDxfId="8107"/>
    <tableColumn id="8505" uniqueName="8505" name="Column8496" queryTableFieldId="7889" dataDxfId="8106"/>
    <tableColumn id="8506" uniqueName="8506" name="Column8497" queryTableFieldId="7888" dataDxfId="8105"/>
    <tableColumn id="8507" uniqueName="8507" name="Column8498" queryTableFieldId="7887" dataDxfId="8104"/>
    <tableColumn id="8508" uniqueName="8508" name="Column8499" queryTableFieldId="7886" dataDxfId="8103"/>
    <tableColumn id="8509" uniqueName="8509" name="Column8500" queryTableFieldId="7885" dataDxfId="8102"/>
    <tableColumn id="8510" uniqueName="8510" name="Column8501" queryTableFieldId="7884" dataDxfId="8101"/>
    <tableColumn id="8511" uniqueName="8511" name="Column8502" queryTableFieldId="7883" dataDxfId="8100"/>
    <tableColumn id="8512" uniqueName="8512" name="Column8503" queryTableFieldId="7882" dataDxfId="8099"/>
    <tableColumn id="8513" uniqueName="8513" name="Column8504" queryTableFieldId="7881" dataDxfId="8098"/>
    <tableColumn id="8514" uniqueName="8514" name="Column8505" queryTableFieldId="7880" dataDxfId="8097"/>
    <tableColumn id="8515" uniqueName="8515" name="Column8506" queryTableFieldId="7879" dataDxfId="8096"/>
    <tableColumn id="8516" uniqueName="8516" name="Column8507" queryTableFieldId="7878" dataDxfId="8095"/>
    <tableColumn id="8517" uniqueName="8517" name="Column8508" queryTableFieldId="7877" dataDxfId="8094"/>
    <tableColumn id="8518" uniqueName="8518" name="Column8509" queryTableFieldId="7876" dataDxfId="8093"/>
    <tableColumn id="8519" uniqueName="8519" name="Column8510" queryTableFieldId="7875" dataDxfId="8092"/>
    <tableColumn id="8520" uniqueName="8520" name="Column8511" queryTableFieldId="7874" dataDxfId="8091"/>
    <tableColumn id="8521" uniqueName="8521" name="Column8512" queryTableFieldId="7873" dataDxfId="8090"/>
    <tableColumn id="8522" uniqueName="8522" name="Column8513" queryTableFieldId="7872" dataDxfId="8089"/>
    <tableColumn id="8523" uniqueName="8523" name="Column8514" queryTableFieldId="7871" dataDxfId="8088"/>
    <tableColumn id="8524" uniqueName="8524" name="Column8515" queryTableFieldId="7870" dataDxfId="8087"/>
    <tableColumn id="8525" uniqueName="8525" name="Column8516" queryTableFieldId="7869" dataDxfId="8086"/>
    <tableColumn id="8526" uniqueName="8526" name="Column8517" queryTableFieldId="7868" dataDxfId="8085"/>
    <tableColumn id="8527" uniqueName="8527" name="Column8518" queryTableFieldId="7867" dataDxfId="8084"/>
    <tableColumn id="8528" uniqueName="8528" name="Column8519" queryTableFieldId="7866" dataDxfId="8083"/>
    <tableColumn id="8529" uniqueName="8529" name="Column8520" queryTableFieldId="7865" dataDxfId="8082"/>
    <tableColumn id="8530" uniqueName="8530" name="Column8521" queryTableFieldId="7864" dataDxfId="8081"/>
    <tableColumn id="8531" uniqueName="8531" name="Column8522" queryTableFieldId="7863" dataDxfId="8080"/>
    <tableColumn id="8532" uniqueName="8532" name="Column8523" queryTableFieldId="7862" dataDxfId="8079"/>
    <tableColumn id="8533" uniqueName="8533" name="Column8524" queryTableFieldId="7861" dataDxfId="8078"/>
    <tableColumn id="8534" uniqueName="8534" name="Column8525" queryTableFieldId="7860" dataDxfId="8077"/>
    <tableColumn id="8535" uniqueName="8535" name="Column8526" queryTableFieldId="7859" dataDxfId="8076"/>
    <tableColumn id="8536" uniqueName="8536" name="Column8527" queryTableFieldId="7858" dataDxfId="8075"/>
    <tableColumn id="8537" uniqueName="8537" name="Column8528" queryTableFieldId="7857" dataDxfId="8074"/>
    <tableColumn id="8538" uniqueName="8538" name="Column8529" queryTableFieldId="7856" dataDxfId="8073"/>
    <tableColumn id="8539" uniqueName="8539" name="Column8530" queryTableFieldId="7855" dataDxfId="8072"/>
    <tableColumn id="8540" uniqueName="8540" name="Column8531" queryTableFieldId="7854" dataDxfId="8071"/>
    <tableColumn id="8541" uniqueName="8541" name="Column8532" queryTableFieldId="7853" dataDxfId="8070"/>
    <tableColumn id="8542" uniqueName="8542" name="Column8533" queryTableFieldId="7852" dataDxfId="8069"/>
    <tableColumn id="8543" uniqueName="8543" name="Column8534" queryTableFieldId="7851" dataDxfId="8068"/>
    <tableColumn id="8544" uniqueName="8544" name="Column8535" queryTableFieldId="7850" dataDxfId="8067"/>
    <tableColumn id="8545" uniqueName="8545" name="Column8536" queryTableFieldId="7849" dataDxfId="8066"/>
    <tableColumn id="8546" uniqueName="8546" name="Column8537" queryTableFieldId="7848" dataDxfId="8065"/>
    <tableColumn id="8547" uniqueName="8547" name="Column8538" queryTableFieldId="7847" dataDxfId="8064"/>
    <tableColumn id="8548" uniqueName="8548" name="Column8539" queryTableFieldId="7846" dataDxfId="8063"/>
    <tableColumn id="8549" uniqueName="8549" name="Column8540" queryTableFieldId="7845" dataDxfId="8062"/>
    <tableColumn id="8550" uniqueName="8550" name="Column8541" queryTableFieldId="7844" dataDxfId="8061"/>
    <tableColumn id="8551" uniqueName="8551" name="Column8542" queryTableFieldId="7843" dataDxfId="8060"/>
    <tableColumn id="8552" uniqueName="8552" name="Column8543" queryTableFieldId="7842" dataDxfId="8059"/>
    <tableColumn id="8553" uniqueName="8553" name="Column8544" queryTableFieldId="7841" dataDxfId="8058"/>
    <tableColumn id="8554" uniqueName="8554" name="Column8545" queryTableFieldId="7840" dataDxfId="8057"/>
    <tableColumn id="8555" uniqueName="8555" name="Column8546" queryTableFieldId="7839" dataDxfId="8056"/>
    <tableColumn id="8556" uniqueName="8556" name="Column8547" queryTableFieldId="7838" dataDxfId="8055"/>
    <tableColumn id="8557" uniqueName="8557" name="Column8548" queryTableFieldId="7837" dataDxfId="8054"/>
    <tableColumn id="8558" uniqueName="8558" name="Column8549" queryTableFieldId="7836" dataDxfId="8053"/>
    <tableColumn id="8559" uniqueName="8559" name="Column8550" queryTableFieldId="7835" dataDxfId="8052"/>
    <tableColumn id="8560" uniqueName="8560" name="Column8551" queryTableFieldId="7834" dataDxfId="8051"/>
    <tableColumn id="8561" uniqueName="8561" name="Column8552" queryTableFieldId="7833" dataDxfId="8050"/>
    <tableColumn id="8562" uniqueName="8562" name="Column8553" queryTableFieldId="7832" dataDxfId="8049"/>
    <tableColumn id="8563" uniqueName="8563" name="Column8554" queryTableFieldId="7831" dataDxfId="8048"/>
    <tableColumn id="8564" uniqueName="8564" name="Column8555" queryTableFieldId="7830" dataDxfId="8047"/>
    <tableColumn id="8565" uniqueName="8565" name="Column8556" queryTableFieldId="7829" dataDxfId="8046"/>
    <tableColumn id="8566" uniqueName="8566" name="Column8557" queryTableFieldId="7828" dataDxfId="8045"/>
    <tableColumn id="8567" uniqueName="8567" name="Column8558" queryTableFieldId="7827" dataDxfId="8044"/>
    <tableColumn id="8568" uniqueName="8568" name="Column8559" queryTableFieldId="7826" dataDxfId="8043"/>
    <tableColumn id="8569" uniqueName="8569" name="Column8560" queryTableFieldId="7825" dataDxfId="8042"/>
    <tableColumn id="8570" uniqueName="8570" name="Column8561" queryTableFieldId="7824" dataDxfId="8041"/>
    <tableColumn id="8571" uniqueName="8571" name="Column8562" queryTableFieldId="7823" dataDxfId="8040"/>
    <tableColumn id="8572" uniqueName="8572" name="Column8563" queryTableFieldId="7822" dataDxfId="8039"/>
    <tableColumn id="8573" uniqueName="8573" name="Column8564" queryTableFieldId="7821" dataDxfId="8038"/>
    <tableColumn id="8574" uniqueName="8574" name="Column8565" queryTableFieldId="7820" dataDxfId="8037"/>
    <tableColumn id="8575" uniqueName="8575" name="Column8566" queryTableFieldId="7819" dataDxfId="8036"/>
    <tableColumn id="8576" uniqueName="8576" name="Column8567" queryTableFieldId="7818" dataDxfId="8035"/>
    <tableColumn id="8577" uniqueName="8577" name="Column8568" queryTableFieldId="7817" dataDxfId="8034"/>
    <tableColumn id="8578" uniqueName="8578" name="Column8569" queryTableFieldId="7816" dataDxfId="8033"/>
    <tableColumn id="8579" uniqueName="8579" name="Column8570" queryTableFieldId="7815" dataDxfId="8032"/>
    <tableColumn id="8580" uniqueName="8580" name="Column8571" queryTableFieldId="7814" dataDxfId="8031"/>
    <tableColumn id="8581" uniqueName="8581" name="Column8572" queryTableFieldId="7813" dataDxfId="8030"/>
    <tableColumn id="8582" uniqueName="8582" name="Column8573" queryTableFieldId="7812" dataDxfId="8029"/>
    <tableColumn id="8583" uniqueName="8583" name="Column8574" queryTableFieldId="7811" dataDxfId="8028"/>
    <tableColumn id="8584" uniqueName="8584" name="Column8575" queryTableFieldId="7810" dataDxfId="8027"/>
    <tableColumn id="8585" uniqueName="8585" name="Column8576" queryTableFieldId="7809" dataDxfId="8026"/>
    <tableColumn id="8586" uniqueName="8586" name="Column8577" queryTableFieldId="7808" dataDxfId="8025"/>
    <tableColumn id="8587" uniqueName="8587" name="Column8578" queryTableFieldId="7807" dataDxfId="8024"/>
    <tableColumn id="8588" uniqueName="8588" name="Column8579" queryTableFieldId="7806" dataDxfId="8023"/>
    <tableColumn id="8589" uniqueName="8589" name="Column8580" queryTableFieldId="7805" dataDxfId="8022"/>
    <tableColumn id="8590" uniqueName="8590" name="Column8581" queryTableFieldId="7804" dataDxfId="8021"/>
    <tableColumn id="8591" uniqueName="8591" name="Column8582" queryTableFieldId="7803" dataDxfId="8020"/>
    <tableColumn id="8592" uniqueName="8592" name="Column8583" queryTableFieldId="7802" dataDxfId="8019"/>
    <tableColumn id="8593" uniqueName="8593" name="Column8584" queryTableFieldId="7801" dataDxfId="8018"/>
    <tableColumn id="8594" uniqueName="8594" name="Column8585" queryTableFieldId="7800" dataDxfId="8017"/>
    <tableColumn id="8595" uniqueName="8595" name="Column8586" queryTableFieldId="7799" dataDxfId="8016"/>
    <tableColumn id="8596" uniqueName="8596" name="Column8587" queryTableFieldId="7798" dataDxfId="8015"/>
    <tableColumn id="8597" uniqueName="8597" name="Column8588" queryTableFieldId="7797" dataDxfId="8014"/>
    <tableColumn id="8598" uniqueName="8598" name="Column8589" queryTableFieldId="7796" dataDxfId="8013"/>
    <tableColumn id="8599" uniqueName="8599" name="Column8590" queryTableFieldId="7795" dataDxfId="8012"/>
    <tableColumn id="8600" uniqueName="8600" name="Column8591" queryTableFieldId="7794" dataDxfId="8011"/>
    <tableColumn id="8601" uniqueName="8601" name="Column8592" queryTableFieldId="7793" dataDxfId="8010"/>
    <tableColumn id="8602" uniqueName="8602" name="Column8593" queryTableFieldId="7792" dataDxfId="8009"/>
    <tableColumn id="8603" uniqueName="8603" name="Column8594" queryTableFieldId="7791" dataDxfId="8008"/>
    <tableColumn id="8604" uniqueName="8604" name="Column8595" queryTableFieldId="7790" dataDxfId="8007"/>
    <tableColumn id="8605" uniqueName="8605" name="Column8596" queryTableFieldId="7789" dataDxfId="8006"/>
    <tableColumn id="8606" uniqueName="8606" name="Column8597" queryTableFieldId="7788" dataDxfId="8005"/>
    <tableColumn id="8607" uniqueName="8607" name="Column8598" queryTableFieldId="7787" dataDxfId="8004"/>
    <tableColumn id="8608" uniqueName="8608" name="Column8599" queryTableFieldId="7786" dataDxfId="8003"/>
    <tableColumn id="8609" uniqueName="8609" name="Column8600" queryTableFieldId="7785" dataDxfId="8002"/>
    <tableColumn id="8610" uniqueName="8610" name="Column8601" queryTableFieldId="7784" dataDxfId="8001"/>
    <tableColumn id="8611" uniqueName="8611" name="Column8602" queryTableFieldId="7783" dataDxfId="8000"/>
    <tableColumn id="8612" uniqueName="8612" name="Column8603" queryTableFieldId="7782" dataDxfId="7999"/>
    <tableColumn id="8613" uniqueName="8613" name="Column8604" queryTableFieldId="7781" dataDxfId="7998"/>
    <tableColumn id="8614" uniqueName="8614" name="Column8605" queryTableFieldId="7780" dataDxfId="7997"/>
    <tableColumn id="8615" uniqueName="8615" name="Column8606" queryTableFieldId="7779" dataDxfId="7996"/>
    <tableColumn id="8616" uniqueName="8616" name="Column8607" queryTableFieldId="7778" dataDxfId="7995"/>
    <tableColumn id="8617" uniqueName="8617" name="Column8608" queryTableFieldId="7777" dataDxfId="7994"/>
    <tableColumn id="8618" uniqueName="8618" name="Column8609" queryTableFieldId="7776" dataDxfId="7993"/>
    <tableColumn id="8619" uniqueName="8619" name="Column8610" queryTableFieldId="7775" dataDxfId="7992"/>
    <tableColumn id="8620" uniqueName="8620" name="Column8611" queryTableFieldId="7774" dataDxfId="7991"/>
    <tableColumn id="8621" uniqueName="8621" name="Column8612" queryTableFieldId="7773" dataDxfId="7990"/>
    <tableColumn id="8622" uniqueName="8622" name="Column8613" queryTableFieldId="7772" dataDxfId="7989"/>
    <tableColumn id="8623" uniqueName="8623" name="Column8614" queryTableFieldId="7771" dataDxfId="7988"/>
    <tableColumn id="8624" uniqueName="8624" name="Column8615" queryTableFieldId="7770" dataDxfId="7987"/>
    <tableColumn id="8625" uniqueName="8625" name="Column8616" queryTableFieldId="7769" dataDxfId="7986"/>
    <tableColumn id="8626" uniqueName="8626" name="Column8617" queryTableFieldId="7768" dataDxfId="7985"/>
    <tableColumn id="8627" uniqueName="8627" name="Column8618" queryTableFieldId="7767" dataDxfId="7984"/>
    <tableColumn id="8628" uniqueName="8628" name="Column8619" queryTableFieldId="7766" dataDxfId="7983"/>
    <tableColumn id="8629" uniqueName="8629" name="Column8620" queryTableFieldId="7765" dataDxfId="7982"/>
    <tableColumn id="8630" uniqueName="8630" name="Column8621" queryTableFieldId="7764" dataDxfId="7981"/>
    <tableColumn id="8631" uniqueName="8631" name="Column8622" queryTableFieldId="7763" dataDxfId="7980"/>
    <tableColumn id="8632" uniqueName="8632" name="Column8623" queryTableFieldId="7762" dataDxfId="7979"/>
    <tableColumn id="8633" uniqueName="8633" name="Column8624" queryTableFieldId="7761" dataDxfId="7978"/>
    <tableColumn id="8634" uniqueName="8634" name="Column8625" queryTableFieldId="7760" dataDxfId="7977"/>
    <tableColumn id="8635" uniqueName="8635" name="Column8626" queryTableFieldId="7759" dataDxfId="7976"/>
    <tableColumn id="8636" uniqueName="8636" name="Column8627" queryTableFieldId="7758" dataDxfId="7975"/>
    <tableColumn id="8637" uniqueName="8637" name="Column8628" queryTableFieldId="7757" dataDxfId="7974"/>
    <tableColumn id="8638" uniqueName="8638" name="Column8629" queryTableFieldId="7756" dataDxfId="7973"/>
    <tableColumn id="8639" uniqueName="8639" name="Column8630" queryTableFieldId="7755" dataDxfId="7972"/>
    <tableColumn id="8640" uniqueName="8640" name="Column8631" queryTableFieldId="7754" dataDxfId="7971"/>
    <tableColumn id="8641" uniqueName="8641" name="Column8632" queryTableFieldId="7753" dataDxfId="7970"/>
    <tableColumn id="8642" uniqueName="8642" name="Column8633" queryTableFieldId="7752" dataDxfId="7969"/>
    <tableColumn id="8643" uniqueName="8643" name="Column8634" queryTableFieldId="7751" dataDxfId="7968"/>
    <tableColumn id="8644" uniqueName="8644" name="Column8635" queryTableFieldId="7750" dataDxfId="7967"/>
    <tableColumn id="8645" uniqueName="8645" name="Column8636" queryTableFieldId="7749" dataDxfId="7966"/>
    <tableColumn id="8646" uniqueName="8646" name="Column8637" queryTableFieldId="7748" dataDxfId="7965"/>
    <tableColumn id="8647" uniqueName="8647" name="Column8638" queryTableFieldId="7747" dataDxfId="7964"/>
    <tableColumn id="8648" uniqueName="8648" name="Column8639" queryTableFieldId="7746" dataDxfId="7963"/>
    <tableColumn id="8649" uniqueName="8649" name="Column8640" queryTableFieldId="7745" dataDxfId="7962"/>
    <tableColumn id="8650" uniqueName="8650" name="Column8641" queryTableFieldId="7744" dataDxfId="7961"/>
    <tableColumn id="8651" uniqueName="8651" name="Column8642" queryTableFieldId="7743" dataDxfId="7960"/>
    <tableColumn id="8652" uniqueName="8652" name="Column8643" queryTableFieldId="7742" dataDxfId="7959"/>
    <tableColumn id="8653" uniqueName="8653" name="Column8644" queryTableFieldId="7741" dataDxfId="7958"/>
    <tableColumn id="8654" uniqueName="8654" name="Column8645" queryTableFieldId="7740" dataDxfId="7957"/>
    <tableColumn id="8655" uniqueName="8655" name="Column8646" queryTableFieldId="7739" dataDxfId="7956"/>
    <tableColumn id="8656" uniqueName="8656" name="Column8647" queryTableFieldId="7738" dataDxfId="7955"/>
    <tableColumn id="8657" uniqueName="8657" name="Column8648" queryTableFieldId="7737" dataDxfId="7954"/>
    <tableColumn id="8658" uniqueName="8658" name="Column8649" queryTableFieldId="7736" dataDxfId="7953"/>
    <tableColumn id="8659" uniqueName="8659" name="Column8650" queryTableFieldId="7735" dataDxfId="7952"/>
    <tableColumn id="8660" uniqueName="8660" name="Column8651" queryTableFieldId="7734" dataDxfId="7951"/>
    <tableColumn id="8661" uniqueName="8661" name="Column8652" queryTableFieldId="7733" dataDxfId="7950"/>
    <tableColumn id="8662" uniqueName="8662" name="Column8653" queryTableFieldId="7732" dataDxfId="7949"/>
    <tableColumn id="8663" uniqueName="8663" name="Column8654" queryTableFieldId="7731" dataDxfId="7948"/>
    <tableColumn id="8664" uniqueName="8664" name="Column8655" queryTableFieldId="7730" dataDxfId="7947"/>
    <tableColumn id="8665" uniqueName="8665" name="Column8656" queryTableFieldId="7729" dataDxfId="7946"/>
    <tableColumn id="8666" uniqueName="8666" name="Column8657" queryTableFieldId="7728" dataDxfId="7945"/>
    <tableColumn id="8667" uniqueName="8667" name="Column8658" queryTableFieldId="7727" dataDxfId="7944"/>
    <tableColumn id="8668" uniqueName="8668" name="Column8659" queryTableFieldId="7726" dataDxfId="7943"/>
    <tableColumn id="8669" uniqueName="8669" name="Column8660" queryTableFieldId="7725" dataDxfId="7942"/>
    <tableColumn id="8670" uniqueName="8670" name="Column8661" queryTableFieldId="7724" dataDxfId="7941"/>
    <tableColumn id="8671" uniqueName="8671" name="Column8662" queryTableFieldId="7723" dataDxfId="7940"/>
    <tableColumn id="8672" uniqueName="8672" name="Column8663" queryTableFieldId="7722" dataDxfId="7939"/>
    <tableColumn id="8673" uniqueName="8673" name="Column8664" queryTableFieldId="7721" dataDxfId="7938"/>
    <tableColumn id="8674" uniqueName="8674" name="Column8665" queryTableFieldId="7720" dataDxfId="7937"/>
    <tableColumn id="8675" uniqueName="8675" name="Column8666" queryTableFieldId="7719" dataDxfId="7936"/>
    <tableColumn id="8676" uniqueName="8676" name="Column8667" queryTableFieldId="7718" dataDxfId="7935"/>
    <tableColumn id="8677" uniqueName="8677" name="Column8668" queryTableFieldId="7717" dataDxfId="7934"/>
    <tableColumn id="8678" uniqueName="8678" name="Column8669" queryTableFieldId="7716" dataDxfId="7933"/>
    <tableColumn id="8679" uniqueName="8679" name="Column8670" queryTableFieldId="7715" dataDxfId="7932"/>
    <tableColumn id="8680" uniqueName="8680" name="Column8671" queryTableFieldId="7714" dataDxfId="7931"/>
    <tableColumn id="8681" uniqueName="8681" name="Column8672" queryTableFieldId="7713" dataDxfId="7930"/>
    <tableColumn id="8682" uniqueName="8682" name="Column8673" queryTableFieldId="7712" dataDxfId="7929"/>
    <tableColumn id="8683" uniqueName="8683" name="Column8674" queryTableFieldId="7711" dataDxfId="7928"/>
    <tableColumn id="8684" uniqueName="8684" name="Column8675" queryTableFieldId="7710" dataDxfId="7927"/>
    <tableColumn id="8685" uniqueName="8685" name="Column8676" queryTableFieldId="7709" dataDxfId="7926"/>
    <tableColumn id="8686" uniqueName="8686" name="Column8677" queryTableFieldId="7708" dataDxfId="7925"/>
    <tableColumn id="8687" uniqueName="8687" name="Column8678" queryTableFieldId="7707" dataDxfId="7924"/>
    <tableColumn id="8688" uniqueName="8688" name="Column8679" queryTableFieldId="7706" dataDxfId="7923"/>
    <tableColumn id="8689" uniqueName="8689" name="Column8680" queryTableFieldId="7705" dataDxfId="7922"/>
    <tableColumn id="8690" uniqueName="8690" name="Column8681" queryTableFieldId="7704" dataDxfId="7921"/>
    <tableColumn id="8691" uniqueName="8691" name="Column8682" queryTableFieldId="7703" dataDxfId="7920"/>
    <tableColumn id="8692" uniqueName="8692" name="Column8683" queryTableFieldId="7702" dataDxfId="7919"/>
    <tableColumn id="8693" uniqueName="8693" name="Column8684" queryTableFieldId="7701" dataDxfId="7918"/>
    <tableColumn id="8694" uniqueName="8694" name="Column8685" queryTableFieldId="7700" dataDxfId="7917"/>
    <tableColumn id="8695" uniqueName="8695" name="Column8686" queryTableFieldId="7699" dataDxfId="7916"/>
    <tableColumn id="8696" uniqueName="8696" name="Column8687" queryTableFieldId="7698" dataDxfId="7915"/>
    <tableColumn id="8697" uniqueName="8697" name="Column8688" queryTableFieldId="7697" dataDxfId="7914"/>
    <tableColumn id="8698" uniqueName="8698" name="Column8689" queryTableFieldId="7696" dataDxfId="7913"/>
    <tableColumn id="8699" uniqueName="8699" name="Column8690" queryTableFieldId="7695" dataDxfId="7912"/>
    <tableColumn id="8700" uniqueName="8700" name="Column8691" queryTableFieldId="7694" dataDxfId="7911"/>
    <tableColumn id="8701" uniqueName="8701" name="Column8692" queryTableFieldId="7693" dataDxfId="7910"/>
    <tableColumn id="8702" uniqueName="8702" name="Column8693" queryTableFieldId="7692" dataDxfId="7909"/>
    <tableColumn id="8703" uniqueName="8703" name="Column8694" queryTableFieldId="7691" dataDxfId="7908"/>
    <tableColumn id="8704" uniqueName="8704" name="Column8695" queryTableFieldId="7690" dataDxfId="7907"/>
    <tableColumn id="8705" uniqueName="8705" name="Column8696" queryTableFieldId="7689" dataDxfId="7906"/>
    <tableColumn id="8706" uniqueName="8706" name="Column8697" queryTableFieldId="7688" dataDxfId="7905"/>
    <tableColumn id="8707" uniqueName="8707" name="Column8698" queryTableFieldId="7687" dataDxfId="7904"/>
    <tableColumn id="8708" uniqueName="8708" name="Column8699" queryTableFieldId="7686" dataDxfId="7903"/>
    <tableColumn id="8709" uniqueName="8709" name="Column8700" queryTableFieldId="7685" dataDxfId="7902"/>
    <tableColumn id="8710" uniqueName="8710" name="Column8701" queryTableFieldId="7684" dataDxfId="7901"/>
    <tableColumn id="8711" uniqueName="8711" name="Column8702" queryTableFieldId="7683" dataDxfId="7900"/>
    <tableColumn id="8712" uniqueName="8712" name="Column8703" queryTableFieldId="7682" dataDxfId="7899"/>
    <tableColumn id="8713" uniqueName="8713" name="Column8704" queryTableFieldId="7681" dataDxfId="7898"/>
    <tableColumn id="8714" uniqueName="8714" name="Column8705" queryTableFieldId="7680" dataDxfId="7897"/>
    <tableColumn id="8715" uniqueName="8715" name="Column8706" queryTableFieldId="7679" dataDxfId="7896"/>
    <tableColumn id="8716" uniqueName="8716" name="Column8707" queryTableFieldId="7678" dataDxfId="7895"/>
    <tableColumn id="8717" uniqueName="8717" name="Column8708" queryTableFieldId="7677" dataDxfId="7894"/>
    <tableColumn id="8718" uniqueName="8718" name="Column8709" queryTableFieldId="7676" dataDxfId="7893"/>
    <tableColumn id="8719" uniqueName="8719" name="Column8710" queryTableFieldId="7675" dataDxfId="7892"/>
    <tableColumn id="8720" uniqueName="8720" name="Column8711" queryTableFieldId="7674" dataDxfId="7891"/>
    <tableColumn id="8721" uniqueName="8721" name="Column8712" queryTableFieldId="7673" dataDxfId="7890"/>
    <tableColumn id="8722" uniqueName="8722" name="Column8713" queryTableFieldId="7672" dataDxfId="7889"/>
    <tableColumn id="8723" uniqueName="8723" name="Column8714" queryTableFieldId="7671" dataDxfId="7888"/>
    <tableColumn id="8724" uniqueName="8724" name="Column8715" queryTableFieldId="7670" dataDxfId="7887"/>
    <tableColumn id="8725" uniqueName="8725" name="Column8716" queryTableFieldId="7669" dataDxfId="7886"/>
    <tableColumn id="8726" uniqueName="8726" name="Column8717" queryTableFieldId="7668" dataDxfId="7885"/>
    <tableColumn id="8727" uniqueName="8727" name="Column8718" queryTableFieldId="7667" dataDxfId="7884"/>
    <tableColumn id="8728" uniqueName="8728" name="Column8719" queryTableFieldId="7666" dataDxfId="7883"/>
    <tableColumn id="8729" uniqueName="8729" name="Column8720" queryTableFieldId="7665" dataDxfId="7882"/>
    <tableColumn id="8730" uniqueName="8730" name="Column8721" queryTableFieldId="7664" dataDxfId="7881"/>
    <tableColumn id="8731" uniqueName="8731" name="Column8722" queryTableFieldId="7663" dataDxfId="7880"/>
    <tableColumn id="8732" uniqueName="8732" name="Column8723" queryTableFieldId="7662" dataDxfId="7879"/>
    <tableColumn id="8733" uniqueName="8733" name="Column8724" queryTableFieldId="7661" dataDxfId="7878"/>
    <tableColumn id="8734" uniqueName="8734" name="Column8725" queryTableFieldId="7660" dataDxfId="7877"/>
    <tableColumn id="8735" uniqueName="8735" name="Column8726" queryTableFieldId="7659" dataDxfId="7876"/>
    <tableColumn id="8736" uniqueName="8736" name="Column8727" queryTableFieldId="7658" dataDxfId="7875"/>
    <tableColumn id="8737" uniqueName="8737" name="Column8728" queryTableFieldId="7657" dataDxfId="7874"/>
    <tableColumn id="8738" uniqueName="8738" name="Column8729" queryTableFieldId="7656" dataDxfId="7873"/>
    <tableColumn id="8739" uniqueName="8739" name="Column8730" queryTableFieldId="7655" dataDxfId="7872"/>
    <tableColumn id="8740" uniqueName="8740" name="Column8731" queryTableFieldId="7654" dataDxfId="7871"/>
    <tableColumn id="8741" uniqueName="8741" name="Column8732" queryTableFieldId="7653" dataDxfId="7870"/>
    <tableColumn id="8742" uniqueName="8742" name="Column8733" queryTableFieldId="7652" dataDxfId="7869"/>
    <tableColumn id="8743" uniqueName="8743" name="Column8734" queryTableFieldId="7651" dataDxfId="7868"/>
    <tableColumn id="8744" uniqueName="8744" name="Column8735" queryTableFieldId="7650" dataDxfId="7867"/>
    <tableColumn id="8745" uniqueName="8745" name="Column8736" queryTableFieldId="7649" dataDxfId="7866"/>
    <tableColumn id="8746" uniqueName="8746" name="Column8737" queryTableFieldId="7648" dataDxfId="7865"/>
    <tableColumn id="8747" uniqueName="8747" name="Column8738" queryTableFieldId="7647" dataDxfId="7864"/>
    <tableColumn id="8748" uniqueName="8748" name="Column8739" queryTableFieldId="7646" dataDxfId="7863"/>
    <tableColumn id="8749" uniqueName="8749" name="Column8740" queryTableFieldId="7645" dataDxfId="7862"/>
    <tableColumn id="8750" uniqueName="8750" name="Column8741" queryTableFieldId="7644" dataDxfId="7861"/>
    <tableColumn id="8751" uniqueName="8751" name="Column8742" queryTableFieldId="7643" dataDxfId="7860"/>
    <tableColumn id="8752" uniqueName="8752" name="Column8743" queryTableFieldId="7642" dataDxfId="7859"/>
    <tableColumn id="8753" uniqueName="8753" name="Column8744" queryTableFieldId="7641" dataDxfId="7858"/>
    <tableColumn id="8754" uniqueName="8754" name="Column8745" queryTableFieldId="7640" dataDxfId="7857"/>
    <tableColumn id="8755" uniqueName="8755" name="Column8746" queryTableFieldId="7639" dataDxfId="7856"/>
    <tableColumn id="8756" uniqueName="8756" name="Column8747" queryTableFieldId="7638" dataDxfId="7855"/>
    <tableColumn id="8757" uniqueName="8757" name="Column8748" queryTableFieldId="7637" dataDxfId="7854"/>
    <tableColumn id="8758" uniqueName="8758" name="Column8749" queryTableFieldId="7636" dataDxfId="7853"/>
    <tableColumn id="8759" uniqueName="8759" name="Column8750" queryTableFieldId="7635" dataDxfId="7852"/>
    <tableColumn id="8760" uniqueName="8760" name="Column8751" queryTableFieldId="7634" dataDxfId="7851"/>
    <tableColumn id="8761" uniqueName="8761" name="Column8752" queryTableFieldId="7633" dataDxfId="7850"/>
    <tableColumn id="8762" uniqueName="8762" name="Column8753" queryTableFieldId="7632" dataDxfId="7849"/>
    <tableColumn id="8763" uniqueName="8763" name="Column8754" queryTableFieldId="7631" dataDxfId="7848"/>
    <tableColumn id="8764" uniqueName="8764" name="Column8755" queryTableFieldId="7630" dataDxfId="7847"/>
    <tableColumn id="8765" uniqueName="8765" name="Column8756" queryTableFieldId="7629" dataDxfId="7846"/>
    <tableColumn id="8766" uniqueName="8766" name="Column8757" queryTableFieldId="7628" dataDxfId="7845"/>
    <tableColumn id="8767" uniqueName="8767" name="Column8758" queryTableFieldId="7627" dataDxfId="7844"/>
    <tableColumn id="8768" uniqueName="8768" name="Column8759" queryTableFieldId="7626" dataDxfId="7843"/>
    <tableColumn id="8769" uniqueName="8769" name="Column8760" queryTableFieldId="7625" dataDxfId="7842"/>
    <tableColumn id="8770" uniqueName="8770" name="Column8761" queryTableFieldId="7624" dataDxfId="7841"/>
    <tableColumn id="8771" uniqueName="8771" name="Column8762" queryTableFieldId="7623" dataDxfId="7840"/>
    <tableColumn id="8772" uniqueName="8772" name="Column8763" queryTableFieldId="7622" dataDxfId="7839"/>
    <tableColumn id="8773" uniqueName="8773" name="Column8764" queryTableFieldId="7621" dataDxfId="7838"/>
    <tableColumn id="8774" uniqueName="8774" name="Column8765" queryTableFieldId="7620" dataDxfId="7837"/>
    <tableColumn id="8775" uniqueName="8775" name="Column8766" queryTableFieldId="7619" dataDxfId="7836"/>
    <tableColumn id="8776" uniqueName="8776" name="Column8767" queryTableFieldId="7618" dataDxfId="7835"/>
    <tableColumn id="8777" uniqueName="8777" name="Column8768" queryTableFieldId="7617" dataDxfId="7834"/>
    <tableColumn id="8778" uniqueName="8778" name="Column8769" queryTableFieldId="7616" dataDxfId="7833"/>
    <tableColumn id="8779" uniqueName="8779" name="Column8770" queryTableFieldId="7615" dataDxfId="7832"/>
    <tableColumn id="8780" uniqueName="8780" name="Column8771" queryTableFieldId="7614" dataDxfId="7831"/>
    <tableColumn id="8781" uniqueName="8781" name="Column8772" queryTableFieldId="7613" dataDxfId="7830"/>
    <tableColumn id="8782" uniqueName="8782" name="Column8773" queryTableFieldId="7612" dataDxfId="7829"/>
    <tableColumn id="8783" uniqueName="8783" name="Column8774" queryTableFieldId="7611" dataDxfId="7828"/>
    <tableColumn id="8784" uniqueName="8784" name="Column8775" queryTableFieldId="7610" dataDxfId="7827"/>
    <tableColumn id="8785" uniqueName="8785" name="Column8776" queryTableFieldId="7609" dataDxfId="7826"/>
    <tableColumn id="8786" uniqueName="8786" name="Column8777" queryTableFieldId="7608" dataDxfId="7825"/>
    <tableColumn id="8787" uniqueName="8787" name="Column8778" queryTableFieldId="7607" dataDxfId="7824"/>
    <tableColumn id="8788" uniqueName="8788" name="Column8779" queryTableFieldId="7606" dataDxfId="7823"/>
    <tableColumn id="8789" uniqueName="8789" name="Column8780" queryTableFieldId="7605" dataDxfId="7822"/>
    <tableColumn id="8790" uniqueName="8790" name="Column8781" queryTableFieldId="7604" dataDxfId="7821"/>
    <tableColumn id="8791" uniqueName="8791" name="Column8782" queryTableFieldId="7603" dataDxfId="7820"/>
    <tableColumn id="8792" uniqueName="8792" name="Column8783" queryTableFieldId="7602" dataDxfId="7819"/>
    <tableColumn id="8793" uniqueName="8793" name="Column8784" queryTableFieldId="7601" dataDxfId="7818"/>
    <tableColumn id="8794" uniqueName="8794" name="Column8785" queryTableFieldId="7600" dataDxfId="7817"/>
    <tableColumn id="8795" uniqueName="8795" name="Column8786" queryTableFieldId="7599" dataDxfId="7816"/>
    <tableColumn id="8796" uniqueName="8796" name="Column8787" queryTableFieldId="7598" dataDxfId="7815"/>
    <tableColumn id="8797" uniqueName="8797" name="Column8788" queryTableFieldId="7597" dataDxfId="7814"/>
    <tableColumn id="8798" uniqueName="8798" name="Column8789" queryTableFieldId="7596" dataDxfId="7813"/>
    <tableColumn id="8799" uniqueName="8799" name="Column8790" queryTableFieldId="7595" dataDxfId="7812"/>
    <tableColumn id="8800" uniqueName="8800" name="Column8791" queryTableFieldId="7594" dataDxfId="7811"/>
    <tableColumn id="8801" uniqueName="8801" name="Column8792" queryTableFieldId="7593" dataDxfId="7810"/>
    <tableColumn id="8802" uniqueName="8802" name="Column8793" queryTableFieldId="7592" dataDxfId="7809"/>
    <tableColumn id="8803" uniqueName="8803" name="Column8794" queryTableFieldId="7591" dataDxfId="7808"/>
    <tableColumn id="8804" uniqueName="8804" name="Column8795" queryTableFieldId="7590" dataDxfId="7807"/>
    <tableColumn id="8805" uniqueName="8805" name="Column8796" queryTableFieldId="7589" dataDxfId="7806"/>
    <tableColumn id="8806" uniqueName="8806" name="Column8797" queryTableFieldId="7588" dataDxfId="7805"/>
    <tableColumn id="8807" uniqueName="8807" name="Column8798" queryTableFieldId="7587" dataDxfId="7804"/>
    <tableColumn id="8808" uniqueName="8808" name="Column8799" queryTableFieldId="7586" dataDxfId="7803"/>
    <tableColumn id="8809" uniqueName="8809" name="Column8800" queryTableFieldId="7585" dataDxfId="7802"/>
    <tableColumn id="8810" uniqueName="8810" name="Column8801" queryTableFieldId="7584" dataDxfId="7801"/>
    <tableColumn id="8811" uniqueName="8811" name="Column8802" queryTableFieldId="7583" dataDxfId="7800"/>
    <tableColumn id="8812" uniqueName="8812" name="Column8803" queryTableFieldId="7582" dataDxfId="7799"/>
    <tableColumn id="8813" uniqueName="8813" name="Column8804" queryTableFieldId="7581" dataDxfId="7798"/>
    <tableColumn id="8814" uniqueName="8814" name="Column8805" queryTableFieldId="7580" dataDxfId="7797"/>
    <tableColumn id="8815" uniqueName="8815" name="Column8806" queryTableFieldId="7579" dataDxfId="7796"/>
    <tableColumn id="8816" uniqueName="8816" name="Column8807" queryTableFieldId="7578" dataDxfId="7795"/>
    <tableColumn id="8817" uniqueName="8817" name="Column8808" queryTableFieldId="7577" dataDxfId="7794"/>
    <tableColumn id="8818" uniqueName="8818" name="Column8809" queryTableFieldId="7576" dataDxfId="7793"/>
    <tableColumn id="8819" uniqueName="8819" name="Column8810" queryTableFieldId="7575" dataDxfId="7792"/>
    <tableColumn id="8820" uniqueName="8820" name="Column8811" queryTableFieldId="7574" dataDxfId="7791"/>
    <tableColumn id="8821" uniqueName="8821" name="Column8812" queryTableFieldId="7573" dataDxfId="7790"/>
    <tableColumn id="8822" uniqueName="8822" name="Column8813" queryTableFieldId="7572" dataDxfId="7789"/>
    <tableColumn id="8823" uniqueName="8823" name="Column8814" queryTableFieldId="7571" dataDxfId="7788"/>
    <tableColumn id="8824" uniqueName="8824" name="Column8815" queryTableFieldId="7570" dataDxfId="7787"/>
    <tableColumn id="8825" uniqueName="8825" name="Column8816" queryTableFieldId="7569" dataDxfId="7786"/>
    <tableColumn id="8826" uniqueName="8826" name="Column8817" queryTableFieldId="7568" dataDxfId="7785"/>
    <tableColumn id="8827" uniqueName="8827" name="Column8818" queryTableFieldId="7567" dataDxfId="7784"/>
    <tableColumn id="8828" uniqueName="8828" name="Column8819" queryTableFieldId="7566" dataDxfId="7783"/>
    <tableColumn id="8829" uniqueName="8829" name="Column8820" queryTableFieldId="7565" dataDxfId="7782"/>
    <tableColumn id="8830" uniqueName="8830" name="Column8821" queryTableFieldId="7564" dataDxfId="7781"/>
    <tableColumn id="8831" uniqueName="8831" name="Column8822" queryTableFieldId="7563" dataDxfId="7780"/>
    <tableColumn id="8832" uniqueName="8832" name="Column8823" queryTableFieldId="7562" dataDxfId="7779"/>
    <tableColumn id="8833" uniqueName="8833" name="Column8824" queryTableFieldId="7561" dataDxfId="7778"/>
    <tableColumn id="8834" uniqueName="8834" name="Column8825" queryTableFieldId="7560" dataDxfId="7777"/>
    <tableColumn id="8835" uniqueName="8835" name="Column8826" queryTableFieldId="7559" dataDxfId="7776"/>
    <tableColumn id="8836" uniqueName="8836" name="Column8827" queryTableFieldId="7558" dataDxfId="7775"/>
    <tableColumn id="8837" uniqueName="8837" name="Column8828" queryTableFieldId="7557" dataDxfId="7774"/>
    <tableColumn id="8838" uniqueName="8838" name="Column8829" queryTableFieldId="7556" dataDxfId="7773"/>
    <tableColumn id="8839" uniqueName="8839" name="Column8830" queryTableFieldId="7555" dataDxfId="7772"/>
    <tableColumn id="8840" uniqueName="8840" name="Column8831" queryTableFieldId="7554" dataDxfId="7771"/>
    <tableColumn id="8841" uniqueName="8841" name="Column8832" queryTableFieldId="7553" dataDxfId="7770"/>
    <tableColumn id="8842" uniqueName="8842" name="Column8833" queryTableFieldId="7552" dataDxfId="7769"/>
    <tableColumn id="8843" uniqueName="8843" name="Column8834" queryTableFieldId="7551" dataDxfId="7768"/>
    <tableColumn id="8844" uniqueName="8844" name="Column8835" queryTableFieldId="7550" dataDxfId="7767"/>
    <tableColumn id="8845" uniqueName="8845" name="Column8836" queryTableFieldId="7549" dataDxfId="7766"/>
    <tableColumn id="8846" uniqueName="8846" name="Column8837" queryTableFieldId="7548" dataDxfId="7765"/>
    <tableColumn id="8847" uniqueName="8847" name="Column8838" queryTableFieldId="7547" dataDxfId="7764"/>
    <tableColumn id="8848" uniqueName="8848" name="Column8839" queryTableFieldId="7546" dataDxfId="7763"/>
    <tableColumn id="8849" uniqueName="8849" name="Column8840" queryTableFieldId="7545" dataDxfId="7762"/>
    <tableColumn id="8850" uniqueName="8850" name="Column8841" queryTableFieldId="7544" dataDxfId="7761"/>
    <tableColumn id="8851" uniqueName="8851" name="Column8842" queryTableFieldId="7543" dataDxfId="7760"/>
    <tableColumn id="8852" uniqueName="8852" name="Column8843" queryTableFieldId="7542" dataDxfId="7759"/>
    <tableColumn id="8853" uniqueName="8853" name="Column8844" queryTableFieldId="7541" dataDxfId="7758"/>
    <tableColumn id="8854" uniqueName="8854" name="Column8845" queryTableFieldId="7540" dataDxfId="7757"/>
    <tableColumn id="8855" uniqueName="8855" name="Column8846" queryTableFieldId="7539" dataDxfId="7756"/>
    <tableColumn id="8856" uniqueName="8856" name="Column8847" queryTableFieldId="7538" dataDxfId="7755"/>
    <tableColumn id="8857" uniqueName="8857" name="Column8848" queryTableFieldId="7537" dataDxfId="7754"/>
    <tableColumn id="8858" uniqueName="8858" name="Column8849" queryTableFieldId="7536" dataDxfId="7753"/>
    <tableColumn id="8859" uniqueName="8859" name="Column8850" queryTableFieldId="7535" dataDxfId="7752"/>
    <tableColumn id="8860" uniqueName="8860" name="Column8851" queryTableFieldId="7534" dataDxfId="7751"/>
    <tableColumn id="8861" uniqueName="8861" name="Column8852" queryTableFieldId="7533" dataDxfId="7750"/>
    <tableColumn id="8862" uniqueName="8862" name="Column8853" queryTableFieldId="7532" dataDxfId="7749"/>
    <tableColumn id="8863" uniqueName="8863" name="Column8854" queryTableFieldId="7531" dataDxfId="7748"/>
    <tableColumn id="8864" uniqueName="8864" name="Column8855" queryTableFieldId="7530" dataDxfId="7747"/>
    <tableColumn id="8865" uniqueName="8865" name="Column8856" queryTableFieldId="7529" dataDxfId="7746"/>
    <tableColumn id="8866" uniqueName="8866" name="Column8857" queryTableFieldId="7528" dataDxfId="7745"/>
    <tableColumn id="8867" uniqueName="8867" name="Column8858" queryTableFieldId="7527" dataDxfId="7744"/>
    <tableColumn id="8868" uniqueName="8868" name="Column8859" queryTableFieldId="7526" dataDxfId="7743"/>
    <tableColumn id="8869" uniqueName="8869" name="Column8860" queryTableFieldId="7525" dataDxfId="7742"/>
    <tableColumn id="8870" uniqueName="8870" name="Column8861" queryTableFieldId="7524" dataDxfId="7741"/>
    <tableColumn id="8871" uniqueName="8871" name="Column8862" queryTableFieldId="7523" dataDxfId="7740"/>
    <tableColumn id="8872" uniqueName="8872" name="Column8863" queryTableFieldId="7522" dataDxfId="7739"/>
    <tableColumn id="8873" uniqueName="8873" name="Column8864" queryTableFieldId="7521" dataDxfId="7738"/>
    <tableColumn id="8874" uniqueName="8874" name="Column8865" queryTableFieldId="7520" dataDxfId="7737"/>
    <tableColumn id="8875" uniqueName="8875" name="Column8866" queryTableFieldId="7519" dataDxfId="7736"/>
    <tableColumn id="8876" uniqueName="8876" name="Column8867" queryTableFieldId="7518" dataDxfId="7735"/>
    <tableColumn id="8877" uniqueName="8877" name="Column8868" queryTableFieldId="7517" dataDxfId="7734"/>
    <tableColumn id="8878" uniqueName="8878" name="Column8869" queryTableFieldId="7516" dataDxfId="7733"/>
    <tableColumn id="8879" uniqueName="8879" name="Column8870" queryTableFieldId="7515" dataDxfId="7732"/>
    <tableColumn id="8880" uniqueName="8880" name="Column8871" queryTableFieldId="7514" dataDxfId="7731"/>
    <tableColumn id="8881" uniqueName="8881" name="Column8872" queryTableFieldId="7513" dataDxfId="7730"/>
    <tableColumn id="8882" uniqueName="8882" name="Column8873" queryTableFieldId="7512" dataDxfId="7729"/>
    <tableColumn id="8883" uniqueName="8883" name="Column8874" queryTableFieldId="7511" dataDxfId="7728"/>
    <tableColumn id="8884" uniqueName="8884" name="Column8875" queryTableFieldId="7510" dataDxfId="7727"/>
    <tableColumn id="8885" uniqueName="8885" name="Column8876" queryTableFieldId="7509" dataDxfId="7726"/>
    <tableColumn id="8886" uniqueName="8886" name="Column8877" queryTableFieldId="7508" dataDxfId="7725"/>
    <tableColumn id="8887" uniqueName="8887" name="Column8878" queryTableFieldId="7507" dataDxfId="7724"/>
    <tableColumn id="8888" uniqueName="8888" name="Column8879" queryTableFieldId="7506" dataDxfId="7723"/>
    <tableColumn id="8889" uniqueName="8889" name="Column8880" queryTableFieldId="7505" dataDxfId="7722"/>
    <tableColumn id="8890" uniqueName="8890" name="Column8881" queryTableFieldId="7504" dataDxfId="7721"/>
    <tableColumn id="8891" uniqueName="8891" name="Column8882" queryTableFieldId="7503" dataDxfId="7720"/>
    <tableColumn id="8892" uniqueName="8892" name="Column8883" queryTableFieldId="7502" dataDxfId="7719"/>
    <tableColumn id="8893" uniqueName="8893" name="Column8884" queryTableFieldId="7501" dataDxfId="7718"/>
    <tableColumn id="8894" uniqueName="8894" name="Column8885" queryTableFieldId="7500" dataDxfId="7717"/>
    <tableColumn id="8895" uniqueName="8895" name="Column8886" queryTableFieldId="7499" dataDxfId="7716"/>
    <tableColumn id="8896" uniqueName="8896" name="Column8887" queryTableFieldId="7498" dataDxfId="7715"/>
    <tableColumn id="8897" uniqueName="8897" name="Column8888" queryTableFieldId="7497" dataDxfId="7714"/>
    <tableColumn id="8898" uniqueName="8898" name="Column8889" queryTableFieldId="7496" dataDxfId="7713"/>
    <tableColumn id="8899" uniqueName="8899" name="Column8890" queryTableFieldId="7495" dataDxfId="7712"/>
    <tableColumn id="8900" uniqueName="8900" name="Column8891" queryTableFieldId="7494" dataDxfId="7711"/>
    <tableColumn id="8901" uniqueName="8901" name="Column8892" queryTableFieldId="7493" dataDxfId="7710"/>
    <tableColumn id="8902" uniqueName="8902" name="Column8893" queryTableFieldId="7492" dataDxfId="7709"/>
    <tableColumn id="8903" uniqueName="8903" name="Column8894" queryTableFieldId="7491" dataDxfId="7708"/>
    <tableColumn id="8904" uniqueName="8904" name="Column8895" queryTableFieldId="7490" dataDxfId="7707"/>
    <tableColumn id="8905" uniqueName="8905" name="Column8896" queryTableFieldId="7489" dataDxfId="7706"/>
    <tableColumn id="8906" uniqueName="8906" name="Column8897" queryTableFieldId="7488" dataDxfId="7705"/>
    <tableColumn id="8907" uniqueName="8907" name="Column8898" queryTableFieldId="7487" dataDxfId="7704"/>
    <tableColumn id="8908" uniqueName="8908" name="Column8899" queryTableFieldId="7486" dataDxfId="7703"/>
    <tableColumn id="8909" uniqueName="8909" name="Column8900" queryTableFieldId="7485" dataDxfId="7702"/>
    <tableColumn id="8910" uniqueName="8910" name="Column8901" queryTableFieldId="7484" dataDxfId="7701"/>
    <tableColumn id="8911" uniqueName="8911" name="Column8902" queryTableFieldId="7483" dataDxfId="7700"/>
    <tableColumn id="8912" uniqueName="8912" name="Column8903" queryTableFieldId="7482" dataDxfId="7699"/>
    <tableColumn id="8913" uniqueName="8913" name="Column8904" queryTableFieldId="7481" dataDxfId="7698"/>
    <tableColumn id="8914" uniqueName="8914" name="Column8905" queryTableFieldId="7480" dataDxfId="7697"/>
    <tableColumn id="8915" uniqueName="8915" name="Column8906" queryTableFieldId="7479" dataDxfId="7696"/>
    <tableColumn id="8916" uniqueName="8916" name="Column8907" queryTableFieldId="7478" dataDxfId="7695"/>
    <tableColumn id="8917" uniqueName="8917" name="Column8908" queryTableFieldId="7477" dataDxfId="7694"/>
    <tableColumn id="8918" uniqueName="8918" name="Column8909" queryTableFieldId="7476" dataDxfId="7693"/>
    <tableColumn id="8919" uniqueName="8919" name="Column8910" queryTableFieldId="7475" dataDxfId="7692"/>
    <tableColumn id="8920" uniqueName="8920" name="Column8911" queryTableFieldId="7474" dataDxfId="7691"/>
    <tableColumn id="8921" uniqueName="8921" name="Column8912" queryTableFieldId="7473" dataDxfId="7690"/>
    <tableColumn id="8922" uniqueName="8922" name="Column8913" queryTableFieldId="7472" dataDxfId="7689"/>
    <tableColumn id="8923" uniqueName="8923" name="Column8914" queryTableFieldId="7471" dataDxfId="7688"/>
    <tableColumn id="8924" uniqueName="8924" name="Column8915" queryTableFieldId="7470" dataDxfId="7687"/>
    <tableColumn id="8925" uniqueName="8925" name="Column8916" queryTableFieldId="7469" dataDxfId="7686"/>
    <tableColumn id="8926" uniqueName="8926" name="Column8917" queryTableFieldId="7468" dataDxfId="7685"/>
    <tableColumn id="8927" uniqueName="8927" name="Column8918" queryTableFieldId="7467" dataDxfId="7684"/>
    <tableColumn id="8928" uniqueName="8928" name="Column8919" queryTableFieldId="7466" dataDxfId="7683"/>
    <tableColumn id="8929" uniqueName="8929" name="Column8920" queryTableFieldId="7465" dataDxfId="7682"/>
    <tableColumn id="8930" uniqueName="8930" name="Column8921" queryTableFieldId="7464" dataDxfId="7681"/>
    <tableColumn id="8931" uniqueName="8931" name="Column8922" queryTableFieldId="7463" dataDxfId="7680"/>
    <tableColumn id="8932" uniqueName="8932" name="Column8923" queryTableFieldId="7462" dataDxfId="7679"/>
    <tableColumn id="8933" uniqueName="8933" name="Column8924" queryTableFieldId="7461" dataDxfId="7678"/>
    <tableColumn id="8934" uniqueName="8934" name="Column8925" queryTableFieldId="7460" dataDxfId="7677"/>
    <tableColumn id="8935" uniqueName="8935" name="Column8926" queryTableFieldId="7459" dataDxfId="7676"/>
    <tableColumn id="8936" uniqueName="8936" name="Column8927" queryTableFieldId="7458" dataDxfId="7675"/>
    <tableColumn id="8937" uniqueName="8937" name="Column8928" queryTableFieldId="7457" dataDxfId="7674"/>
    <tableColumn id="8938" uniqueName="8938" name="Column8929" queryTableFieldId="7456" dataDxfId="7673"/>
    <tableColumn id="8939" uniqueName="8939" name="Column8930" queryTableFieldId="7455" dataDxfId="7672"/>
    <tableColumn id="8940" uniqueName="8940" name="Column8931" queryTableFieldId="7454" dataDxfId="7671"/>
    <tableColumn id="8941" uniqueName="8941" name="Column8932" queryTableFieldId="7453" dataDxfId="7670"/>
    <tableColumn id="8942" uniqueName="8942" name="Column8933" queryTableFieldId="7452" dataDxfId="7669"/>
    <tableColumn id="8943" uniqueName="8943" name="Column8934" queryTableFieldId="7451" dataDxfId="7668"/>
    <tableColumn id="8944" uniqueName="8944" name="Column8935" queryTableFieldId="7450" dataDxfId="7667"/>
    <tableColumn id="8945" uniqueName="8945" name="Column8936" queryTableFieldId="7449" dataDxfId="7666"/>
    <tableColumn id="8946" uniqueName="8946" name="Column8937" queryTableFieldId="7448" dataDxfId="7665"/>
    <tableColumn id="8947" uniqueName="8947" name="Column8938" queryTableFieldId="7447" dataDxfId="7664"/>
    <tableColumn id="8948" uniqueName="8948" name="Column8939" queryTableFieldId="7446" dataDxfId="7663"/>
    <tableColumn id="8949" uniqueName="8949" name="Column8940" queryTableFieldId="7445" dataDxfId="7662"/>
    <tableColumn id="8950" uniqueName="8950" name="Column8941" queryTableFieldId="7444" dataDxfId="7661"/>
    <tableColumn id="8951" uniqueName="8951" name="Column8942" queryTableFieldId="7443" dataDxfId="7660"/>
    <tableColumn id="8952" uniqueName="8952" name="Column8943" queryTableFieldId="7442" dataDxfId="7659"/>
    <tableColumn id="8953" uniqueName="8953" name="Column8944" queryTableFieldId="7441" dataDxfId="7658"/>
    <tableColumn id="8954" uniqueName="8954" name="Column8945" queryTableFieldId="7440" dataDxfId="7657"/>
    <tableColumn id="8955" uniqueName="8955" name="Column8946" queryTableFieldId="7439" dataDxfId="7656"/>
    <tableColumn id="8956" uniqueName="8956" name="Column8947" queryTableFieldId="7438" dataDxfId="7655"/>
    <tableColumn id="8957" uniqueName="8957" name="Column8948" queryTableFieldId="7437" dataDxfId="7654"/>
    <tableColumn id="8958" uniqueName="8958" name="Column8949" queryTableFieldId="7436" dataDxfId="7653"/>
    <tableColumn id="8959" uniqueName="8959" name="Column8950" queryTableFieldId="7435" dataDxfId="7652"/>
    <tableColumn id="8960" uniqueName="8960" name="Column8951" queryTableFieldId="7434" dataDxfId="7651"/>
    <tableColumn id="8961" uniqueName="8961" name="Column8952" queryTableFieldId="7433" dataDxfId="7650"/>
    <tableColumn id="8962" uniqueName="8962" name="Column8953" queryTableFieldId="7432" dataDxfId="7649"/>
    <tableColumn id="8963" uniqueName="8963" name="Column8954" queryTableFieldId="7431" dataDxfId="7648"/>
    <tableColumn id="8964" uniqueName="8964" name="Column8955" queryTableFieldId="7430" dataDxfId="7647"/>
    <tableColumn id="8965" uniqueName="8965" name="Column8956" queryTableFieldId="7429" dataDxfId="7646"/>
    <tableColumn id="8966" uniqueName="8966" name="Column8957" queryTableFieldId="7428" dataDxfId="7645"/>
    <tableColumn id="8967" uniqueName="8967" name="Column8958" queryTableFieldId="7427" dataDxfId="7644"/>
    <tableColumn id="8968" uniqueName="8968" name="Column8959" queryTableFieldId="7426" dataDxfId="7643"/>
    <tableColumn id="8969" uniqueName="8969" name="Column8960" queryTableFieldId="7425" dataDxfId="7642"/>
    <tableColumn id="8970" uniqueName="8970" name="Column8961" queryTableFieldId="7424" dataDxfId="7641"/>
    <tableColumn id="8971" uniqueName="8971" name="Column8962" queryTableFieldId="7423" dataDxfId="7640"/>
    <tableColumn id="8972" uniqueName="8972" name="Column8963" queryTableFieldId="7422" dataDxfId="7639"/>
    <tableColumn id="8973" uniqueName="8973" name="Column8964" queryTableFieldId="7421" dataDxfId="7638"/>
    <tableColumn id="8974" uniqueName="8974" name="Column8965" queryTableFieldId="7420" dataDxfId="7637"/>
    <tableColumn id="8975" uniqueName="8975" name="Column8966" queryTableFieldId="7419" dataDxfId="7636"/>
    <tableColumn id="8976" uniqueName="8976" name="Column8967" queryTableFieldId="7418" dataDxfId="7635"/>
    <tableColumn id="8977" uniqueName="8977" name="Column8968" queryTableFieldId="7417" dataDxfId="7634"/>
    <tableColumn id="8978" uniqueName="8978" name="Column8969" queryTableFieldId="7416" dataDxfId="7633"/>
    <tableColumn id="8979" uniqueName="8979" name="Column8970" queryTableFieldId="7415" dataDxfId="7632"/>
    <tableColumn id="8980" uniqueName="8980" name="Column8971" queryTableFieldId="7414" dataDxfId="7631"/>
    <tableColumn id="8981" uniqueName="8981" name="Column8972" queryTableFieldId="7413" dataDxfId="7630"/>
    <tableColumn id="8982" uniqueName="8982" name="Column8973" queryTableFieldId="7412" dataDxfId="7629"/>
    <tableColumn id="8983" uniqueName="8983" name="Column8974" queryTableFieldId="7411" dataDxfId="7628"/>
    <tableColumn id="8984" uniqueName="8984" name="Column8975" queryTableFieldId="7410" dataDxfId="7627"/>
    <tableColumn id="8985" uniqueName="8985" name="Column8976" queryTableFieldId="7409" dataDxfId="7626"/>
    <tableColumn id="8986" uniqueName="8986" name="Column8977" queryTableFieldId="7408" dataDxfId="7625"/>
    <tableColumn id="8987" uniqueName="8987" name="Column8978" queryTableFieldId="7407" dataDxfId="7624"/>
    <tableColumn id="8988" uniqueName="8988" name="Column8979" queryTableFieldId="7406" dataDxfId="7623"/>
    <tableColumn id="8989" uniqueName="8989" name="Column8980" queryTableFieldId="7405" dataDxfId="7622"/>
    <tableColumn id="8990" uniqueName="8990" name="Column8981" queryTableFieldId="7404" dataDxfId="7621"/>
    <tableColumn id="8991" uniqueName="8991" name="Column8982" queryTableFieldId="7403" dataDxfId="7620"/>
    <tableColumn id="8992" uniqueName="8992" name="Column8983" queryTableFieldId="7402" dataDxfId="7619"/>
    <tableColumn id="8993" uniqueName="8993" name="Column8984" queryTableFieldId="7401" dataDxfId="7618"/>
    <tableColumn id="8994" uniqueName="8994" name="Column8985" queryTableFieldId="7400" dataDxfId="7617"/>
    <tableColumn id="8995" uniqueName="8995" name="Column8986" queryTableFieldId="7399" dataDxfId="7616"/>
    <tableColumn id="8996" uniqueName="8996" name="Column8987" queryTableFieldId="7398" dataDxfId="7615"/>
    <tableColumn id="8997" uniqueName="8997" name="Column8988" queryTableFieldId="7397" dataDxfId="7614"/>
    <tableColumn id="8998" uniqueName="8998" name="Column8989" queryTableFieldId="7396" dataDxfId="7613"/>
    <tableColumn id="8999" uniqueName="8999" name="Column8990" queryTableFieldId="7395" dataDxfId="7612"/>
    <tableColumn id="9000" uniqueName="9000" name="Column8991" queryTableFieldId="7394" dataDxfId="7611"/>
    <tableColumn id="9001" uniqueName="9001" name="Column8992" queryTableFieldId="7393" dataDxfId="7610"/>
    <tableColumn id="9002" uniqueName="9002" name="Column8993" queryTableFieldId="7392" dataDxfId="7609"/>
    <tableColumn id="9003" uniqueName="9003" name="Column8994" queryTableFieldId="7391" dataDxfId="7608"/>
    <tableColumn id="9004" uniqueName="9004" name="Column8995" queryTableFieldId="7390" dataDxfId="7607"/>
    <tableColumn id="9005" uniqueName="9005" name="Column8996" queryTableFieldId="7389" dataDxfId="7606"/>
    <tableColumn id="9006" uniqueName="9006" name="Column8997" queryTableFieldId="7388" dataDxfId="7605"/>
    <tableColumn id="9007" uniqueName="9007" name="Column8998" queryTableFieldId="7387" dataDxfId="7604"/>
    <tableColumn id="9008" uniqueName="9008" name="Column8999" queryTableFieldId="7386" dataDxfId="7603"/>
    <tableColumn id="9009" uniqueName="9009" name="Column9000" queryTableFieldId="7385" dataDxfId="7602"/>
    <tableColumn id="9010" uniqueName="9010" name="Column9001" queryTableFieldId="7384" dataDxfId="7601"/>
    <tableColumn id="9011" uniqueName="9011" name="Column9002" queryTableFieldId="7383" dataDxfId="7600"/>
    <tableColumn id="9012" uniqueName="9012" name="Column9003" queryTableFieldId="7382" dataDxfId="7599"/>
    <tableColumn id="9013" uniqueName="9013" name="Column9004" queryTableFieldId="7381" dataDxfId="7598"/>
    <tableColumn id="9014" uniqueName="9014" name="Column9005" queryTableFieldId="7380" dataDxfId="7597"/>
    <tableColumn id="9015" uniqueName="9015" name="Column9006" queryTableFieldId="7379" dataDxfId="7596"/>
    <tableColumn id="9016" uniqueName="9016" name="Column9007" queryTableFieldId="7378" dataDxfId="7595"/>
    <tableColumn id="9017" uniqueName="9017" name="Column9008" queryTableFieldId="7377" dataDxfId="7594"/>
    <tableColumn id="9018" uniqueName="9018" name="Column9009" queryTableFieldId="7376" dataDxfId="7593"/>
    <tableColumn id="9019" uniqueName="9019" name="Column9010" queryTableFieldId="7375" dataDxfId="7592"/>
    <tableColumn id="9020" uniqueName="9020" name="Column9011" queryTableFieldId="7374" dataDxfId="7591"/>
    <tableColumn id="9021" uniqueName="9021" name="Column9012" queryTableFieldId="7373" dataDxfId="7590"/>
    <tableColumn id="9022" uniqueName="9022" name="Column9013" queryTableFieldId="7372" dataDxfId="7589"/>
    <tableColumn id="9023" uniqueName="9023" name="Column9014" queryTableFieldId="7371" dataDxfId="7588"/>
    <tableColumn id="9024" uniqueName="9024" name="Column9015" queryTableFieldId="7370" dataDxfId="7587"/>
    <tableColumn id="9025" uniqueName="9025" name="Column9016" queryTableFieldId="7369" dataDxfId="7586"/>
    <tableColumn id="9026" uniqueName="9026" name="Column9017" queryTableFieldId="7368" dataDxfId="7585"/>
    <tableColumn id="9027" uniqueName="9027" name="Column9018" queryTableFieldId="7367" dataDxfId="7584"/>
    <tableColumn id="9028" uniqueName="9028" name="Column9019" queryTableFieldId="7366" dataDxfId="7583"/>
    <tableColumn id="9029" uniqueName="9029" name="Column9020" queryTableFieldId="7365" dataDxfId="7582"/>
    <tableColumn id="9030" uniqueName="9030" name="Column9021" queryTableFieldId="7364" dataDxfId="7581"/>
    <tableColumn id="9031" uniqueName="9031" name="Column9022" queryTableFieldId="7363" dataDxfId="7580"/>
    <tableColumn id="9032" uniqueName="9032" name="Column9023" queryTableFieldId="7362" dataDxfId="7579"/>
    <tableColumn id="9033" uniqueName="9033" name="Column9024" queryTableFieldId="7361" dataDxfId="7578"/>
    <tableColumn id="9034" uniqueName="9034" name="Column9025" queryTableFieldId="7360" dataDxfId="7577"/>
    <tableColumn id="9035" uniqueName="9035" name="Column9026" queryTableFieldId="7359" dataDxfId="7576"/>
    <tableColumn id="9036" uniqueName="9036" name="Column9027" queryTableFieldId="7358" dataDxfId="7575"/>
    <tableColumn id="9037" uniqueName="9037" name="Column9028" queryTableFieldId="7357" dataDxfId="7574"/>
    <tableColumn id="9038" uniqueName="9038" name="Column9029" queryTableFieldId="7356" dataDxfId="7573"/>
    <tableColumn id="9039" uniqueName="9039" name="Column9030" queryTableFieldId="7355" dataDxfId="7572"/>
    <tableColumn id="9040" uniqueName="9040" name="Column9031" queryTableFieldId="7354" dataDxfId="7571"/>
    <tableColumn id="9041" uniqueName="9041" name="Column9032" queryTableFieldId="7353" dataDxfId="7570"/>
    <tableColumn id="9042" uniqueName="9042" name="Column9033" queryTableFieldId="7352" dataDxfId="7569"/>
    <tableColumn id="9043" uniqueName="9043" name="Column9034" queryTableFieldId="7351" dataDxfId="7568"/>
    <tableColumn id="9044" uniqueName="9044" name="Column9035" queryTableFieldId="7350" dataDxfId="7567"/>
    <tableColumn id="9045" uniqueName="9045" name="Column9036" queryTableFieldId="7349" dataDxfId="7566"/>
    <tableColumn id="9046" uniqueName="9046" name="Column9037" queryTableFieldId="7348" dataDxfId="7565"/>
    <tableColumn id="9047" uniqueName="9047" name="Column9038" queryTableFieldId="7347" dataDxfId="7564"/>
    <tableColumn id="9048" uniqueName="9048" name="Column9039" queryTableFieldId="7346" dataDxfId="7563"/>
    <tableColumn id="9049" uniqueName="9049" name="Column9040" queryTableFieldId="7345" dataDxfId="7562"/>
    <tableColumn id="9050" uniqueName="9050" name="Column9041" queryTableFieldId="7344" dataDxfId="7561"/>
    <tableColumn id="9051" uniqueName="9051" name="Column9042" queryTableFieldId="7343" dataDxfId="7560"/>
    <tableColumn id="9052" uniqueName="9052" name="Column9043" queryTableFieldId="7342" dataDxfId="7559"/>
    <tableColumn id="9053" uniqueName="9053" name="Column9044" queryTableFieldId="7341" dataDxfId="7558"/>
    <tableColumn id="9054" uniqueName="9054" name="Column9045" queryTableFieldId="7340" dataDxfId="7557"/>
    <tableColumn id="9055" uniqueName="9055" name="Column9046" queryTableFieldId="7339" dataDxfId="7556"/>
    <tableColumn id="9056" uniqueName="9056" name="Column9047" queryTableFieldId="7338" dataDxfId="7555"/>
    <tableColumn id="9057" uniqueName="9057" name="Column9048" queryTableFieldId="7337" dataDxfId="7554"/>
    <tableColumn id="9058" uniqueName="9058" name="Column9049" queryTableFieldId="7336" dataDxfId="7553"/>
    <tableColumn id="9059" uniqueName="9059" name="Column9050" queryTableFieldId="7335" dataDxfId="7552"/>
    <tableColumn id="9060" uniqueName="9060" name="Column9051" queryTableFieldId="7334" dataDxfId="7551"/>
    <tableColumn id="9061" uniqueName="9061" name="Column9052" queryTableFieldId="7333" dataDxfId="7550"/>
    <tableColumn id="9062" uniqueName="9062" name="Column9053" queryTableFieldId="7332" dataDxfId="7549"/>
    <tableColumn id="9063" uniqueName="9063" name="Column9054" queryTableFieldId="7331" dataDxfId="7548"/>
    <tableColumn id="9064" uniqueName="9064" name="Column9055" queryTableFieldId="7330" dataDxfId="7547"/>
    <tableColumn id="9065" uniqueName="9065" name="Column9056" queryTableFieldId="7329" dataDxfId="7546"/>
    <tableColumn id="9066" uniqueName="9066" name="Column9057" queryTableFieldId="7328" dataDxfId="7545"/>
    <tableColumn id="9067" uniqueName="9067" name="Column9058" queryTableFieldId="7327" dataDxfId="7544"/>
    <tableColumn id="9068" uniqueName="9068" name="Column9059" queryTableFieldId="7326" dataDxfId="7543"/>
    <tableColumn id="9069" uniqueName="9069" name="Column9060" queryTableFieldId="7325" dataDxfId="7542"/>
    <tableColumn id="9070" uniqueName="9070" name="Column9061" queryTableFieldId="7324" dataDxfId="7541"/>
    <tableColumn id="9071" uniqueName="9071" name="Column9062" queryTableFieldId="7323" dataDxfId="7540"/>
    <tableColumn id="9072" uniqueName="9072" name="Column9063" queryTableFieldId="7322" dataDxfId="7539"/>
    <tableColumn id="9073" uniqueName="9073" name="Column9064" queryTableFieldId="7321" dataDxfId="7538"/>
    <tableColumn id="9074" uniqueName="9074" name="Column9065" queryTableFieldId="7320" dataDxfId="7537"/>
    <tableColumn id="9075" uniqueName="9075" name="Column9066" queryTableFieldId="7319" dataDxfId="7536"/>
    <tableColumn id="9076" uniqueName="9076" name="Column9067" queryTableFieldId="7318" dataDxfId="7535"/>
    <tableColumn id="9077" uniqueName="9077" name="Column9068" queryTableFieldId="7317" dataDxfId="7534"/>
    <tableColumn id="9078" uniqueName="9078" name="Column9069" queryTableFieldId="7316" dataDxfId="7533"/>
    <tableColumn id="9079" uniqueName="9079" name="Column9070" queryTableFieldId="7315" dataDxfId="7532"/>
    <tableColumn id="9080" uniqueName="9080" name="Column9071" queryTableFieldId="7314" dataDxfId="7531"/>
    <tableColumn id="9081" uniqueName="9081" name="Column9072" queryTableFieldId="7313" dataDxfId="7530"/>
    <tableColumn id="9082" uniqueName="9082" name="Column9073" queryTableFieldId="7312" dataDxfId="7529"/>
    <tableColumn id="9083" uniqueName="9083" name="Column9074" queryTableFieldId="7311" dataDxfId="7528"/>
    <tableColumn id="9084" uniqueName="9084" name="Column9075" queryTableFieldId="7310" dataDxfId="7527"/>
    <tableColumn id="9085" uniqueName="9085" name="Column9076" queryTableFieldId="7309" dataDxfId="7526"/>
    <tableColumn id="9086" uniqueName="9086" name="Column9077" queryTableFieldId="7308" dataDxfId="7525"/>
    <tableColumn id="9087" uniqueName="9087" name="Column9078" queryTableFieldId="7307" dataDxfId="7524"/>
    <tableColumn id="9088" uniqueName="9088" name="Column9079" queryTableFieldId="7306" dataDxfId="7523"/>
    <tableColumn id="9089" uniqueName="9089" name="Column9080" queryTableFieldId="7305" dataDxfId="7522"/>
    <tableColumn id="9090" uniqueName="9090" name="Column9081" queryTableFieldId="7304" dataDxfId="7521"/>
    <tableColumn id="9091" uniqueName="9091" name="Column9082" queryTableFieldId="7303" dataDxfId="7520"/>
    <tableColumn id="9092" uniqueName="9092" name="Column9083" queryTableFieldId="7302" dataDxfId="7519"/>
    <tableColumn id="9093" uniqueName="9093" name="Column9084" queryTableFieldId="7301" dataDxfId="7518"/>
    <tableColumn id="9094" uniqueName="9094" name="Column9085" queryTableFieldId="7300" dataDxfId="7517"/>
    <tableColumn id="9095" uniqueName="9095" name="Column9086" queryTableFieldId="7299" dataDxfId="7516"/>
    <tableColumn id="9096" uniqueName="9096" name="Column9087" queryTableFieldId="7298" dataDxfId="7515"/>
    <tableColumn id="9097" uniqueName="9097" name="Column9088" queryTableFieldId="7297" dataDxfId="7514"/>
    <tableColumn id="9098" uniqueName="9098" name="Column9089" queryTableFieldId="7296" dataDxfId="7513"/>
    <tableColumn id="9099" uniqueName="9099" name="Column9090" queryTableFieldId="7295" dataDxfId="7512"/>
    <tableColumn id="9100" uniqueName="9100" name="Column9091" queryTableFieldId="7294" dataDxfId="7511"/>
    <tableColumn id="9101" uniqueName="9101" name="Column9092" queryTableFieldId="7293" dataDxfId="7510"/>
    <tableColumn id="9102" uniqueName="9102" name="Column9093" queryTableFieldId="7292" dataDxfId="7509"/>
    <tableColumn id="9103" uniqueName="9103" name="Column9094" queryTableFieldId="7291" dataDxfId="7508"/>
    <tableColumn id="9104" uniqueName="9104" name="Column9095" queryTableFieldId="7290" dataDxfId="7507"/>
    <tableColumn id="9105" uniqueName="9105" name="Column9096" queryTableFieldId="7289" dataDxfId="7506"/>
    <tableColumn id="9106" uniqueName="9106" name="Column9097" queryTableFieldId="7288" dataDxfId="7505"/>
    <tableColumn id="9107" uniqueName="9107" name="Column9098" queryTableFieldId="7287" dataDxfId="7504"/>
    <tableColumn id="9108" uniqueName="9108" name="Column9099" queryTableFieldId="7286" dataDxfId="7503"/>
    <tableColumn id="9109" uniqueName="9109" name="Column9100" queryTableFieldId="7285" dataDxfId="7502"/>
    <tableColumn id="9110" uniqueName="9110" name="Column9101" queryTableFieldId="7284" dataDxfId="7501"/>
    <tableColumn id="9111" uniqueName="9111" name="Column9102" queryTableFieldId="7283" dataDxfId="7500"/>
    <tableColumn id="9112" uniqueName="9112" name="Column9103" queryTableFieldId="7282" dataDxfId="7499"/>
    <tableColumn id="9113" uniqueName="9113" name="Column9104" queryTableFieldId="7281" dataDxfId="7498"/>
    <tableColumn id="9114" uniqueName="9114" name="Column9105" queryTableFieldId="7280" dataDxfId="7497"/>
    <tableColumn id="9115" uniqueName="9115" name="Column9106" queryTableFieldId="7279" dataDxfId="7496"/>
    <tableColumn id="9116" uniqueName="9116" name="Column9107" queryTableFieldId="7278" dataDxfId="7495"/>
    <tableColumn id="9117" uniqueName="9117" name="Column9108" queryTableFieldId="7277" dataDxfId="7494"/>
    <tableColumn id="9118" uniqueName="9118" name="Column9109" queryTableFieldId="7276" dataDxfId="7493"/>
    <tableColumn id="9119" uniqueName="9119" name="Column9110" queryTableFieldId="7275" dataDxfId="7492"/>
    <tableColumn id="9120" uniqueName="9120" name="Column9111" queryTableFieldId="7274" dataDxfId="7491"/>
    <tableColumn id="9121" uniqueName="9121" name="Column9112" queryTableFieldId="7273" dataDxfId="7490"/>
    <tableColumn id="9122" uniqueName="9122" name="Column9113" queryTableFieldId="7272" dataDxfId="7489"/>
    <tableColumn id="9123" uniqueName="9123" name="Column9114" queryTableFieldId="7271" dataDxfId="7488"/>
    <tableColumn id="9124" uniqueName="9124" name="Column9115" queryTableFieldId="7270" dataDxfId="7487"/>
    <tableColumn id="9125" uniqueName="9125" name="Column9116" queryTableFieldId="7269" dataDxfId="7486"/>
    <tableColumn id="9126" uniqueName="9126" name="Column9117" queryTableFieldId="7268" dataDxfId="7485"/>
    <tableColumn id="9127" uniqueName="9127" name="Column9118" queryTableFieldId="7267" dataDxfId="7484"/>
    <tableColumn id="9128" uniqueName="9128" name="Column9119" queryTableFieldId="7266" dataDxfId="7483"/>
    <tableColumn id="9129" uniqueName="9129" name="Column9120" queryTableFieldId="7265" dataDxfId="7482"/>
    <tableColumn id="9130" uniqueName="9130" name="Column9121" queryTableFieldId="7264" dataDxfId="7481"/>
    <tableColumn id="9131" uniqueName="9131" name="Column9122" queryTableFieldId="7263" dataDxfId="7480"/>
    <tableColumn id="9132" uniqueName="9132" name="Column9123" queryTableFieldId="7262" dataDxfId="7479"/>
    <tableColumn id="9133" uniqueName="9133" name="Column9124" queryTableFieldId="7261" dataDxfId="7478"/>
    <tableColumn id="9134" uniqueName="9134" name="Column9125" queryTableFieldId="7260" dataDxfId="7477"/>
    <tableColumn id="9135" uniqueName="9135" name="Column9126" queryTableFieldId="7259" dataDxfId="7476"/>
    <tableColumn id="9136" uniqueName="9136" name="Column9127" queryTableFieldId="7258" dataDxfId="7475"/>
    <tableColumn id="9137" uniqueName="9137" name="Column9128" queryTableFieldId="7257" dataDxfId="7474"/>
    <tableColumn id="9138" uniqueName="9138" name="Column9129" queryTableFieldId="7256" dataDxfId="7473"/>
    <tableColumn id="9139" uniqueName="9139" name="Column9130" queryTableFieldId="7255" dataDxfId="7472"/>
    <tableColumn id="9140" uniqueName="9140" name="Column9131" queryTableFieldId="7254" dataDxfId="7471"/>
    <tableColumn id="9141" uniqueName="9141" name="Column9132" queryTableFieldId="7253" dataDxfId="7470"/>
    <tableColumn id="9142" uniqueName="9142" name="Column9133" queryTableFieldId="7252" dataDxfId="7469"/>
    <tableColumn id="9143" uniqueName="9143" name="Column9134" queryTableFieldId="7251" dataDxfId="7468"/>
    <tableColumn id="9144" uniqueName="9144" name="Column9135" queryTableFieldId="7250" dataDxfId="7467"/>
    <tableColumn id="9145" uniqueName="9145" name="Column9136" queryTableFieldId="7249" dataDxfId="7466"/>
    <tableColumn id="9146" uniqueName="9146" name="Column9137" queryTableFieldId="7248" dataDxfId="7465"/>
    <tableColumn id="9147" uniqueName="9147" name="Column9138" queryTableFieldId="7247" dataDxfId="7464"/>
    <tableColumn id="9148" uniqueName="9148" name="Column9139" queryTableFieldId="7246" dataDxfId="7463"/>
    <tableColumn id="9149" uniqueName="9149" name="Column9140" queryTableFieldId="7245" dataDxfId="7462"/>
    <tableColumn id="9150" uniqueName="9150" name="Column9141" queryTableFieldId="7244" dataDxfId="7461"/>
    <tableColumn id="9151" uniqueName="9151" name="Column9142" queryTableFieldId="7243" dataDxfId="7460"/>
    <tableColumn id="9152" uniqueName="9152" name="Column9143" queryTableFieldId="7242" dataDxfId="7459"/>
    <tableColumn id="9153" uniqueName="9153" name="Column9144" queryTableFieldId="7241" dataDxfId="7458"/>
    <tableColumn id="9154" uniqueName="9154" name="Column9145" queryTableFieldId="7240" dataDxfId="7457"/>
    <tableColumn id="9155" uniqueName="9155" name="Column9146" queryTableFieldId="7239" dataDxfId="7456"/>
    <tableColumn id="9156" uniqueName="9156" name="Column9147" queryTableFieldId="7238" dataDxfId="7455"/>
    <tableColumn id="9157" uniqueName="9157" name="Column9148" queryTableFieldId="7237" dataDxfId="7454"/>
    <tableColumn id="9158" uniqueName="9158" name="Column9149" queryTableFieldId="7236" dataDxfId="7453"/>
    <tableColumn id="9159" uniqueName="9159" name="Column9150" queryTableFieldId="7235" dataDxfId="7452"/>
    <tableColumn id="9160" uniqueName="9160" name="Column9151" queryTableFieldId="7234" dataDxfId="7451"/>
    <tableColumn id="9161" uniqueName="9161" name="Column9152" queryTableFieldId="7233" dataDxfId="7450"/>
    <tableColumn id="9162" uniqueName="9162" name="Column9153" queryTableFieldId="7232" dataDxfId="7449"/>
    <tableColumn id="9163" uniqueName="9163" name="Column9154" queryTableFieldId="7231" dataDxfId="7448"/>
    <tableColumn id="9164" uniqueName="9164" name="Column9155" queryTableFieldId="7230" dataDxfId="7447"/>
    <tableColumn id="9165" uniqueName="9165" name="Column9156" queryTableFieldId="7229" dataDxfId="7446"/>
    <tableColumn id="9166" uniqueName="9166" name="Column9157" queryTableFieldId="7228" dataDxfId="7445"/>
    <tableColumn id="9167" uniqueName="9167" name="Column9158" queryTableFieldId="7227" dataDxfId="7444"/>
    <tableColumn id="9168" uniqueName="9168" name="Column9159" queryTableFieldId="7226" dataDxfId="7443"/>
    <tableColumn id="9169" uniqueName="9169" name="Column9160" queryTableFieldId="7225" dataDxfId="7442"/>
    <tableColumn id="9170" uniqueName="9170" name="Column9161" queryTableFieldId="7224" dataDxfId="7441"/>
    <tableColumn id="9171" uniqueName="9171" name="Column9162" queryTableFieldId="7223" dataDxfId="7440"/>
    <tableColumn id="9172" uniqueName="9172" name="Column9163" queryTableFieldId="7222" dataDxfId="7439"/>
    <tableColumn id="9173" uniqueName="9173" name="Column9164" queryTableFieldId="7221" dataDxfId="7438"/>
    <tableColumn id="9174" uniqueName="9174" name="Column9165" queryTableFieldId="7220" dataDxfId="7437"/>
    <tableColumn id="9175" uniqueName="9175" name="Column9166" queryTableFieldId="7219" dataDxfId="7436"/>
    <tableColumn id="9176" uniqueName="9176" name="Column9167" queryTableFieldId="7218" dataDxfId="7435"/>
    <tableColumn id="9177" uniqueName="9177" name="Column9168" queryTableFieldId="7217" dataDxfId="7434"/>
    <tableColumn id="9178" uniqueName="9178" name="Column9169" queryTableFieldId="7216" dataDxfId="7433"/>
    <tableColumn id="9179" uniqueName="9179" name="Column9170" queryTableFieldId="7215" dataDxfId="7432"/>
    <tableColumn id="9180" uniqueName="9180" name="Column9171" queryTableFieldId="7214" dataDxfId="7431"/>
    <tableColumn id="9181" uniqueName="9181" name="Column9172" queryTableFieldId="7213" dataDxfId="7430"/>
    <tableColumn id="9182" uniqueName="9182" name="Column9173" queryTableFieldId="7212" dataDxfId="7429"/>
    <tableColumn id="9183" uniqueName="9183" name="Column9174" queryTableFieldId="7211" dataDxfId="7428"/>
    <tableColumn id="9184" uniqueName="9184" name="Column9175" queryTableFieldId="7210" dataDxfId="7427"/>
    <tableColumn id="9185" uniqueName="9185" name="Column9176" queryTableFieldId="7209" dataDxfId="7426"/>
    <tableColumn id="9186" uniqueName="9186" name="Column9177" queryTableFieldId="7208" dataDxfId="7425"/>
    <tableColumn id="9187" uniqueName="9187" name="Column9178" queryTableFieldId="7207" dataDxfId="7424"/>
    <tableColumn id="9188" uniqueName="9188" name="Column9179" queryTableFieldId="7206" dataDxfId="7423"/>
    <tableColumn id="9189" uniqueName="9189" name="Column9180" queryTableFieldId="7205" dataDxfId="7422"/>
    <tableColumn id="9190" uniqueName="9190" name="Column9181" queryTableFieldId="7204" dataDxfId="7421"/>
    <tableColumn id="9191" uniqueName="9191" name="Column9182" queryTableFieldId="7203" dataDxfId="7420"/>
    <tableColumn id="9192" uniqueName="9192" name="Column9183" queryTableFieldId="7202" dataDxfId="7419"/>
    <tableColumn id="9193" uniqueName="9193" name="Column9184" queryTableFieldId="7201" dataDxfId="7418"/>
    <tableColumn id="9194" uniqueName="9194" name="Column9185" queryTableFieldId="7200" dataDxfId="7417"/>
    <tableColumn id="9195" uniqueName="9195" name="Column9186" queryTableFieldId="7199" dataDxfId="7416"/>
    <tableColumn id="9196" uniqueName="9196" name="Column9187" queryTableFieldId="7198" dataDxfId="7415"/>
    <tableColumn id="9197" uniqueName="9197" name="Column9188" queryTableFieldId="7197" dataDxfId="7414"/>
    <tableColumn id="9198" uniqueName="9198" name="Column9189" queryTableFieldId="7196" dataDxfId="7413"/>
    <tableColumn id="9199" uniqueName="9199" name="Column9190" queryTableFieldId="7195" dataDxfId="7412"/>
    <tableColumn id="9200" uniqueName="9200" name="Column9191" queryTableFieldId="7194" dataDxfId="7411"/>
    <tableColumn id="9201" uniqueName="9201" name="Column9192" queryTableFieldId="7193" dataDxfId="7410"/>
    <tableColumn id="9202" uniqueName="9202" name="Column9193" queryTableFieldId="7192" dataDxfId="7409"/>
    <tableColumn id="9203" uniqueName="9203" name="Column9194" queryTableFieldId="7191" dataDxfId="7408"/>
    <tableColumn id="9204" uniqueName="9204" name="Column9195" queryTableFieldId="7190" dataDxfId="7407"/>
    <tableColumn id="9205" uniqueName="9205" name="Column9196" queryTableFieldId="7189" dataDxfId="7406"/>
    <tableColumn id="9206" uniqueName="9206" name="Column9197" queryTableFieldId="7188" dataDxfId="7405"/>
    <tableColumn id="9207" uniqueName="9207" name="Column9198" queryTableFieldId="7187" dataDxfId="7404"/>
    <tableColumn id="9208" uniqueName="9208" name="Column9199" queryTableFieldId="7186" dataDxfId="7403"/>
    <tableColumn id="9209" uniqueName="9209" name="Column9200" queryTableFieldId="7185" dataDxfId="7402"/>
    <tableColumn id="9210" uniqueName="9210" name="Column9201" queryTableFieldId="7184" dataDxfId="7401"/>
    <tableColumn id="9211" uniqueName="9211" name="Column9202" queryTableFieldId="7183" dataDxfId="7400"/>
    <tableColumn id="9212" uniqueName="9212" name="Column9203" queryTableFieldId="7182" dataDxfId="7399"/>
    <tableColumn id="9213" uniqueName="9213" name="Column9204" queryTableFieldId="7181" dataDxfId="7398"/>
    <tableColumn id="9214" uniqueName="9214" name="Column9205" queryTableFieldId="7180" dataDxfId="7397"/>
    <tableColumn id="9215" uniqueName="9215" name="Column9206" queryTableFieldId="7179" dataDxfId="7396"/>
    <tableColumn id="9216" uniqueName="9216" name="Column9207" queryTableFieldId="7178" dataDxfId="7395"/>
    <tableColumn id="9217" uniqueName="9217" name="Column9208" queryTableFieldId="7177" dataDxfId="7394"/>
    <tableColumn id="9218" uniqueName="9218" name="Column9209" queryTableFieldId="7176" dataDxfId="7393"/>
    <tableColumn id="9219" uniqueName="9219" name="Column9210" queryTableFieldId="7175" dataDxfId="7392"/>
    <tableColumn id="9220" uniqueName="9220" name="Column9211" queryTableFieldId="7174" dataDxfId="7391"/>
    <tableColumn id="9221" uniqueName="9221" name="Column9212" queryTableFieldId="7173" dataDxfId="7390"/>
    <tableColumn id="9222" uniqueName="9222" name="Column9213" queryTableFieldId="7172" dataDxfId="7389"/>
    <tableColumn id="9223" uniqueName="9223" name="Column9214" queryTableFieldId="7171" dataDxfId="7388"/>
    <tableColumn id="9224" uniqueName="9224" name="Column9215" queryTableFieldId="7170" dataDxfId="7387"/>
    <tableColumn id="9225" uniqueName="9225" name="Column9216" queryTableFieldId="7169" dataDxfId="7386"/>
    <tableColumn id="9226" uniqueName="9226" name="Column9217" queryTableFieldId="7168" dataDxfId="7385"/>
    <tableColumn id="9227" uniqueName="9227" name="Column9218" queryTableFieldId="7167" dataDxfId="7384"/>
    <tableColumn id="9228" uniqueName="9228" name="Column9219" queryTableFieldId="7166" dataDxfId="7383"/>
    <tableColumn id="9229" uniqueName="9229" name="Column9220" queryTableFieldId="7165" dataDxfId="7382"/>
    <tableColumn id="9230" uniqueName="9230" name="Column9221" queryTableFieldId="7164" dataDxfId="7381"/>
    <tableColumn id="9231" uniqueName="9231" name="Column9222" queryTableFieldId="7163" dataDxfId="7380"/>
    <tableColumn id="9232" uniqueName="9232" name="Column9223" queryTableFieldId="7162" dataDxfId="7379"/>
    <tableColumn id="9233" uniqueName="9233" name="Column9224" queryTableFieldId="7161" dataDxfId="7378"/>
    <tableColumn id="9234" uniqueName="9234" name="Column9225" queryTableFieldId="7160" dataDxfId="7377"/>
    <tableColumn id="9235" uniqueName="9235" name="Column9226" queryTableFieldId="7159" dataDxfId="7376"/>
    <tableColumn id="9236" uniqueName="9236" name="Column9227" queryTableFieldId="7158" dataDxfId="7375"/>
    <tableColumn id="9237" uniqueName="9237" name="Column9228" queryTableFieldId="7157" dataDxfId="7374"/>
    <tableColumn id="9238" uniqueName="9238" name="Column9229" queryTableFieldId="7156" dataDxfId="7373"/>
    <tableColumn id="9239" uniqueName="9239" name="Column9230" queryTableFieldId="7155" dataDxfId="7372"/>
    <tableColumn id="9240" uniqueName="9240" name="Column9231" queryTableFieldId="7154" dataDxfId="7371"/>
    <tableColumn id="9241" uniqueName="9241" name="Column9232" queryTableFieldId="7153" dataDxfId="7370"/>
    <tableColumn id="9242" uniqueName="9242" name="Column9233" queryTableFieldId="7152" dataDxfId="7369"/>
    <tableColumn id="9243" uniqueName="9243" name="Column9234" queryTableFieldId="7151" dataDxfId="7368"/>
    <tableColumn id="9244" uniqueName="9244" name="Column9235" queryTableFieldId="7150" dataDxfId="7367"/>
    <tableColumn id="9245" uniqueName="9245" name="Column9236" queryTableFieldId="7149" dataDxfId="7366"/>
    <tableColumn id="9246" uniqueName="9246" name="Column9237" queryTableFieldId="7148" dataDxfId="7365"/>
    <tableColumn id="9247" uniqueName="9247" name="Column9238" queryTableFieldId="7147" dataDxfId="7364"/>
    <tableColumn id="9248" uniqueName="9248" name="Column9239" queryTableFieldId="7146" dataDxfId="7363"/>
    <tableColumn id="9249" uniqueName="9249" name="Column9240" queryTableFieldId="7145" dataDxfId="7362"/>
    <tableColumn id="9250" uniqueName="9250" name="Column9241" queryTableFieldId="7144" dataDxfId="7361"/>
    <tableColumn id="9251" uniqueName="9251" name="Column9242" queryTableFieldId="7143" dataDxfId="7360"/>
    <tableColumn id="9252" uniqueName="9252" name="Column9243" queryTableFieldId="7142" dataDxfId="7359"/>
    <tableColumn id="9253" uniqueName="9253" name="Column9244" queryTableFieldId="7141" dataDxfId="7358"/>
    <tableColumn id="9254" uniqueName="9254" name="Column9245" queryTableFieldId="7140" dataDxfId="7357"/>
    <tableColumn id="9255" uniqueName="9255" name="Column9246" queryTableFieldId="7139" dataDxfId="7356"/>
    <tableColumn id="9256" uniqueName="9256" name="Column9247" queryTableFieldId="7138" dataDxfId="7355"/>
    <tableColumn id="9257" uniqueName="9257" name="Column9248" queryTableFieldId="7137" dataDxfId="7354"/>
    <tableColumn id="9258" uniqueName="9258" name="Column9249" queryTableFieldId="7136" dataDxfId="7353"/>
    <tableColumn id="9259" uniqueName="9259" name="Column9250" queryTableFieldId="7135" dataDxfId="7352"/>
    <tableColumn id="9260" uniqueName="9260" name="Column9251" queryTableFieldId="7134" dataDxfId="7351"/>
    <tableColumn id="9261" uniqueName="9261" name="Column9252" queryTableFieldId="7133" dataDxfId="7350"/>
    <tableColumn id="9262" uniqueName="9262" name="Column9253" queryTableFieldId="7132" dataDxfId="7349"/>
    <tableColumn id="9263" uniqueName="9263" name="Column9254" queryTableFieldId="7131" dataDxfId="7348"/>
    <tableColumn id="9264" uniqueName="9264" name="Column9255" queryTableFieldId="7130" dataDxfId="7347"/>
    <tableColumn id="9265" uniqueName="9265" name="Column9256" queryTableFieldId="7129" dataDxfId="7346"/>
    <tableColumn id="9266" uniqueName="9266" name="Column9257" queryTableFieldId="7128" dataDxfId="7345"/>
    <tableColumn id="9267" uniqueName="9267" name="Column9258" queryTableFieldId="7127" dataDxfId="7344"/>
    <tableColumn id="9268" uniqueName="9268" name="Column9259" queryTableFieldId="7126" dataDxfId="7343"/>
    <tableColumn id="9269" uniqueName="9269" name="Column9260" queryTableFieldId="7125" dataDxfId="7342"/>
    <tableColumn id="9270" uniqueName="9270" name="Column9261" queryTableFieldId="7124" dataDxfId="7341"/>
    <tableColumn id="9271" uniqueName="9271" name="Column9262" queryTableFieldId="7123" dataDxfId="7340"/>
    <tableColumn id="9272" uniqueName="9272" name="Column9263" queryTableFieldId="7122" dataDxfId="7339"/>
    <tableColumn id="9273" uniqueName="9273" name="Column9264" queryTableFieldId="7121" dataDxfId="7338"/>
    <tableColumn id="9274" uniqueName="9274" name="Column9265" queryTableFieldId="7120" dataDxfId="7337"/>
    <tableColumn id="9275" uniqueName="9275" name="Column9266" queryTableFieldId="7119" dataDxfId="7336"/>
    <tableColumn id="9276" uniqueName="9276" name="Column9267" queryTableFieldId="7118" dataDxfId="7335"/>
    <tableColumn id="9277" uniqueName="9277" name="Column9268" queryTableFieldId="7117" dataDxfId="7334"/>
    <tableColumn id="9278" uniqueName="9278" name="Column9269" queryTableFieldId="7116" dataDxfId="7333"/>
    <tableColumn id="9279" uniqueName="9279" name="Column9270" queryTableFieldId="7115" dataDxfId="7332"/>
    <tableColumn id="9280" uniqueName="9280" name="Column9271" queryTableFieldId="7114" dataDxfId="7331"/>
    <tableColumn id="9281" uniqueName="9281" name="Column9272" queryTableFieldId="7113" dataDxfId="7330"/>
    <tableColumn id="9282" uniqueName="9282" name="Column9273" queryTableFieldId="7112" dataDxfId="7329"/>
    <tableColumn id="9283" uniqueName="9283" name="Column9274" queryTableFieldId="7111" dataDxfId="7328"/>
    <tableColumn id="9284" uniqueName="9284" name="Column9275" queryTableFieldId="7110" dataDxfId="7327"/>
    <tableColumn id="9285" uniqueName="9285" name="Column9276" queryTableFieldId="7109" dataDxfId="7326"/>
    <tableColumn id="9286" uniqueName="9286" name="Column9277" queryTableFieldId="7108" dataDxfId="7325"/>
    <tableColumn id="9287" uniqueName="9287" name="Column9278" queryTableFieldId="7107" dataDxfId="7324"/>
    <tableColumn id="9288" uniqueName="9288" name="Column9279" queryTableFieldId="7106" dataDxfId="7323"/>
    <tableColumn id="9289" uniqueName="9289" name="Column9280" queryTableFieldId="7105" dataDxfId="7322"/>
    <tableColumn id="9290" uniqueName="9290" name="Column9281" queryTableFieldId="7104" dataDxfId="7321"/>
    <tableColumn id="9291" uniqueName="9291" name="Column9282" queryTableFieldId="7103" dataDxfId="7320"/>
    <tableColumn id="9292" uniqueName="9292" name="Column9283" queryTableFieldId="7102" dataDxfId="7319"/>
    <tableColumn id="9293" uniqueName="9293" name="Column9284" queryTableFieldId="7101" dataDxfId="7318"/>
    <tableColumn id="9294" uniqueName="9294" name="Column9285" queryTableFieldId="7100" dataDxfId="7317"/>
    <tableColumn id="9295" uniqueName="9295" name="Column9286" queryTableFieldId="7099" dataDxfId="7316"/>
    <tableColumn id="9296" uniqueName="9296" name="Column9287" queryTableFieldId="7098" dataDxfId="7315"/>
    <tableColumn id="9297" uniqueName="9297" name="Column9288" queryTableFieldId="7097" dataDxfId="7314"/>
    <tableColumn id="9298" uniqueName="9298" name="Column9289" queryTableFieldId="7096" dataDxfId="7313"/>
    <tableColumn id="9299" uniqueName="9299" name="Column9290" queryTableFieldId="7095" dataDxfId="7312"/>
    <tableColumn id="9300" uniqueName="9300" name="Column9291" queryTableFieldId="7094" dataDxfId="7311"/>
    <tableColumn id="9301" uniqueName="9301" name="Column9292" queryTableFieldId="7093" dataDxfId="7310"/>
    <tableColumn id="9302" uniqueName="9302" name="Column9293" queryTableFieldId="7092" dataDxfId="7309"/>
    <tableColumn id="9303" uniqueName="9303" name="Column9294" queryTableFieldId="7091" dataDxfId="7308"/>
    <tableColumn id="9304" uniqueName="9304" name="Column9295" queryTableFieldId="7090" dataDxfId="7307"/>
    <tableColumn id="9305" uniqueName="9305" name="Column9296" queryTableFieldId="7089" dataDxfId="7306"/>
    <tableColumn id="9306" uniqueName="9306" name="Column9297" queryTableFieldId="7088" dataDxfId="7305"/>
    <tableColumn id="9307" uniqueName="9307" name="Column9298" queryTableFieldId="7087" dataDxfId="7304"/>
    <tableColumn id="9308" uniqueName="9308" name="Column9299" queryTableFieldId="7086" dataDxfId="7303"/>
    <tableColumn id="9309" uniqueName="9309" name="Column9300" queryTableFieldId="7085" dataDxfId="7302"/>
    <tableColumn id="9310" uniqueName="9310" name="Column9301" queryTableFieldId="7084" dataDxfId="7301"/>
    <tableColumn id="9311" uniqueName="9311" name="Column9302" queryTableFieldId="7083" dataDxfId="7300"/>
    <tableColumn id="9312" uniqueName="9312" name="Column9303" queryTableFieldId="7082" dataDxfId="7299"/>
    <tableColumn id="9313" uniqueName="9313" name="Column9304" queryTableFieldId="7081" dataDxfId="7298"/>
    <tableColumn id="9314" uniqueName="9314" name="Column9305" queryTableFieldId="7080" dataDxfId="7297"/>
    <tableColumn id="9315" uniqueName="9315" name="Column9306" queryTableFieldId="7079" dataDxfId="7296"/>
    <tableColumn id="9316" uniqueName="9316" name="Column9307" queryTableFieldId="7078" dataDxfId="7295"/>
    <tableColumn id="9317" uniqueName="9317" name="Column9308" queryTableFieldId="7077" dataDxfId="7294"/>
    <tableColumn id="9318" uniqueName="9318" name="Column9309" queryTableFieldId="7076" dataDxfId="7293"/>
    <tableColumn id="9319" uniqueName="9319" name="Column9310" queryTableFieldId="7075" dataDxfId="7292"/>
    <tableColumn id="9320" uniqueName="9320" name="Column9311" queryTableFieldId="7074" dataDxfId="7291"/>
    <tableColumn id="9321" uniqueName="9321" name="Column9312" queryTableFieldId="7073" dataDxfId="7290"/>
    <tableColumn id="9322" uniqueName="9322" name="Column9313" queryTableFieldId="7072" dataDxfId="7289"/>
    <tableColumn id="9323" uniqueName="9323" name="Column9314" queryTableFieldId="7071" dataDxfId="7288"/>
    <tableColumn id="9324" uniqueName="9324" name="Column9315" queryTableFieldId="7070" dataDxfId="7287"/>
    <tableColumn id="9325" uniqueName="9325" name="Column9316" queryTableFieldId="7069" dataDxfId="7286"/>
    <tableColumn id="9326" uniqueName="9326" name="Column9317" queryTableFieldId="7068" dataDxfId="7285"/>
    <tableColumn id="9327" uniqueName="9327" name="Column9318" queryTableFieldId="7067" dataDxfId="7284"/>
    <tableColumn id="9328" uniqueName="9328" name="Column9319" queryTableFieldId="7066" dataDxfId="7283"/>
    <tableColumn id="9329" uniqueName="9329" name="Column9320" queryTableFieldId="7065" dataDxfId="7282"/>
    <tableColumn id="9330" uniqueName="9330" name="Column9321" queryTableFieldId="7064" dataDxfId="7281"/>
    <tableColumn id="9331" uniqueName="9331" name="Column9322" queryTableFieldId="7063" dataDxfId="7280"/>
    <tableColumn id="9332" uniqueName="9332" name="Column9323" queryTableFieldId="7062" dataDxfId="7279"/>
    <tableColumn id="9333" uniqueName="9333" name="Column9324" queryTableFieldId="7061" dataDxfId="7278"/>
    <tableColumn id="9334" uniqueName="9334" name="Column9325" queryTableFieldId="7060" dataDxfId="7277"/>
    <tableColumn id="9335" uniqueName="9335" name="Column9326" queryTableFieldId="7059" dataDxfId="7276"/>
    <tableColumn id="9336" uniqueName="9336" name="Column9327" queryTableFieldId="7058" dataDxfId="7275"/>
    <tableColumn id="9337" uniqueName="9337" name="Column9328" queryTableFieldId="7057" dataDxfId="7274"/>
    <tableColumn id="9338" uniqueName="9338" name="Column9329" queryTableFieldId="7056" dataDxfId="7273"/>
    <tableColumn id="9339" uniqueName="9339" name="Column9330" queryTableFieldId="7055" dataDxfId="7272"/>
    <tableColumn id="9340" uniqueName="9340" name="Column9331" queryTableFieldId="7054" dataDxfId="7271"/>
    <tableColumn id="9341" uniqueName="9341" name="Column9332" queryTableFieldId="7053" dataDxfId="7270"/>
    <tableColumn id="9342" uniqueName="9342" name="Column9333" queryTableFieldId="7052" dataDxfId="7269"/>
    <tableColumn id="9343" uniqueName="9343" name="Column9334" queryTableFieldId="7051" dataDxfId="7268"/>
    <tableColumn id="9344" uniqueName="9344" name="Column9335" queryTableFieldId="7050" dataDxfId="7267"/>
    <tableColumn id="9345" uniqueName="9345" name="Column9336" queryTableFieldId="7049" dataDxfId="7266"/>
    <tableColumn id="9346" uniqueName="9346" name="Column9337" queryTableFieldId="7048" dataDxfId="7265"/>
    <tableColumn id="9347" uniqueName="9347" name="Column9338" queryTableFieldId="7047" dataDxfId="7264"/>
    <tableColumn id="9348" uniqueName="9348" name="Column9339" queryTableFieldId="7046" dataDxfId="7263"/>
    <tableColumn id="9349" uniqueName="9349" name="Column9340" queryTableFieldId="7045" dataDxfId="7262"/>
    <tableColumn id="9350" uniqueName="9350" name="Column9341" queryTableFieldId="7044" dataDxfId="7261"/>
    <tableColumn id="9351" uniqueName="9351" name="Column9342" queryTableFieldId="7043" dataDxfId="7260"/>
    <tableColumn id="9352" uniqueName="9352" name="Column9343" queryTableFieldId="7042" dataDxfId="7259"/>
    <tableColumn id="9353" uniqueName="9353" name="Column9344" queryTableFieldId="7041" dataDxfId="7258"/>
    <tableColumn id="9354" uniqueName="9354" name="Column9345" queryTableFieldId="7040" dataDxfId="7257"/>
    <tableColumn id="9355" uniqueName="9355" name="Column9346" queryTableFieldId="7039" dataDxfId="7256"/>
    <tableColumn id="9356" uniqueName="9356" name="Column9347" queryTableFieldId="7038" dataDxfId="7255"/>
    <tableColumn id="9357" uniqueName="9357" name="Column9348" queryTableFieldId="7037" dataDxfId="7254"/>
    <tableColumn id="9358" uniqueName="9358" name="Column9349" queryTableFieldId="7036" dataDxfId="7253"/>
    <tableColumn id="9359" uniqueName="9359" name="Column9350" queryTableFieldId="7035" dataDxfId="7252"/>
    <tableColumn id="9360" uniqueName="9360" name="Column9351" queryTableFieldId="7034" dataDxfId="7251"/>
    <tableColumn id="9361" uniqueName="9361" name="Column9352" queryTableFieldId="7033" dataDxfId="7250"/>
    <tableColumn id="9362" uniqueName="9362" name="Column9353" queryTableFieldId="7032" dataDxfId="7249"/>
    <tableColumn id="9363" uniqueName="9363" name="Column9354" queryTableFieldId="7031" dataDxfId="7248"/>
    <tableColumn id="9364" uniqueName="9364" name="Column9355" queryTableFieldId="7030" dataDxfId="7247"/>
    <tableColumn id="9365" uniqueName="9365" name="Column9356" queryTableFieldId="7029" dataDxfId="7246"/>
    <tableColumn id="9366" uniqueName="9366" name="Column9357" queryTableFieldId="7028" dataDxfId="7245"/>
    <tableColumn id="9367" uniqueName="9367" name="Column9358" queryTableFieldId="7027" dataDxfId="7244"/>
    <tableColumn id="9368" uniqueName="9368" name="Column9359" queryTableFieldId="7026" dataDxfId="7243"/>
    <tableColumn id="9369" uniqueName="9369" name="Column9360" queryTableFieldId="7025" dataDxfId="7242"/>
    <tableColumn id="9370" uniqueName="9370" name="Column9361" queryTableFieldId="7024" dataDxfId="7241"/>
    <tableColumn id="9371" uniqueName="9371" name="Column9362" queryTableFieldId="7023" dataDxfId="7240"/>
    <tableColumn id="9372" uniqueName="9372" name="Column9363" queryTableFieldId="7022" dataDxfId="7239"/>
    <tableColumn id="9373" uniqueName="9373" name="Column9364" queryTableFieldId="7021" dataDxfId="7238"/>
    <tableColumn id="9374" uniqueName="9374" name="Column9365" queryTableFieldId="7020" dataDxfId="7237"/>
    <tableColumn id="9375" uniqueName="9375" name="Column9366" queryTableFieldId="7019" dataDxfId="7236"/>
    <tableColumn id="9376" uniqueName="9376" name="Column9367" queryTableFieldId="7018" dataDxfId="7235"/>
    <tableColumn id="9377" uniqueName="9377" name="Column9368" queryTableFieldId="7017" dataDxfId="7234"/>
    <tableColumn id="9378" uniqueName="9378" name="Column9369" queryTableFieldId="7016" dataDxfId="7233"/>
    <tableColumn id="9379" uniqueName="9379" name="Column9370" queryTableFieldId="7015" dataDxfId="7232"/>
    <tableColumn id="9380" uniqueName="9380" name="Column9371" queryTableFieldId="7014" dataDxfId="7231"/>
    <tableColumn id="9381" uniqueName="9381" name="Column9372" queryTableFieldId="7013" dataDxfId="7230"/>
    <tableColumn id="9382" uniqueName="9382" name="Column9373" queryTableFieldId="7012" dataDxfId="7229"/>
    <tableColumn id="9383" uniqueName="9383" name="Column9374" queryTableFieldId="7011" dataDxfId="7228"/>
    <tableColumn id="9384" uniqueName="9384" name="Column9375" queryTableFieldId="7010" dataDxfId="7227"/>
    <tableColumn id="9385" uniqueName="9385" name="Column9376" queryTableFieldId="7009" dataDxfId="7226"/>
    <tableColumn id="9386" uniqueName="9386" name="Column9377" queryTableFieldId="7008" dataDxfId="7225"/>
    <tableColumn id="9387" uniqueName="9387" name="Column9378" queryTableFieldId="7007" dataDxfId="7224"/>
    <tableColumn id="9388" uniqueName="9388" name="Column9379" queryTableFieldId="7006" dataDxfId="7223"/>
    <tableColumn id="9389" uniqueName="9389" name="Column9380" queryTableFieldId="7005" dataDxfId="7222"/>
    <tableColumn id="9390" uniqueName="9390" name="Column9381" queryTableFieldId="7004" dataDxfId="7221"/>
    <tableColumn id="9391" uniqueName="9391" name="Column9382" queryTableFieldId="7003" dataDxfId="7220"/>
    <tableColumn id="9392" uniqueName="9392" name="Column9383" queryTableFieldId="7002" dataDxfId="7219"/>
    <tableColumn id="9393" uniqueName="9393" name="Column9384" queryTableFieldId="7001" dataDxfId="7218"/>
    <tableColumn id="9394" uniqueName="9394" name="Column9385" queryTableFieldId="7000" dataDxfId="7217"/>
    <tableColumn id="9395" uniqueName="9395" name="Column9386" queryTableFieldId="6999" dataDxfId="7216"/>
    <tableColumn id="9396" uniqueName="9396" name="Column9387" queryTableFieldId="6998" dataDxfId="7215"/>
    <tableColumn id="9397" uniqueName="9397" name="Column9388" queryTableFieldId="6997" dataDxfId="7214"/>
    <tableColumn id="9398" uniqueName="9398" name="Column9389" queryTableFieldId="6996" dataDxfId="7213"/>
    <tableColumn id="9399" uniqueName="9399" name="Column9390" queryTableFieldId="6995" dataDxfId="7212"/>
    <tableColumn id="9400" uniqueName="9400" name="Column9391" queryTableFieldId="6994" dataDxfId="7211"/>
    <tableColumn id="9401" uniqueName="9401" name="Column9392" queryTableFieldId="6993" dataDxfId="7210"/>
    <tableColumn id="9402" uniqueName="9402" name="Column9393" queryTableFieldId="6992" dataDxfId="7209"/>
    <tableColumn id="9403" uniqueName="9403" name="Column9394" queryTableFieldId="6991" dataDxfId="7208"/>
    <tableColumn id="9404" uniqueName="9404" name="Column9395" queryTableFieldId="6990" dataDxfId="7207"/>
    <tableColumn id="9405" uniqueName="9405" name="Column9396" queryTableFieldId="6989" dataDxfId="7206"/>
    <tableColumn id="9406" uniqueName="9406" name="Column9397" queryTableFieldId="6988" dataDxfId="7205"/>
    <tableColumn id="9407" uniqueName="9407" name="Column9398" queryTableFieldId="6987" dataDxfId="7204"/>
    <tableColumn id="9408" uniqueName="9408" name="Column9399" queryTableFieldId="6986" dataDxfId="7203"/>
    <tableColumn id="9409" uniqueName="9409" name="Column9400" queryTableFieldId="6985" dataDxfId="7202"/>
    <tableColumn id="9410" uniqueName="9410" name="Column9401" queryTableFieldId="6984" dataDxfId="7201"/>
    <tableColumn id="9411" uniqueName="9411" name="Column9402" queryTableFieldId="6983" dataDxfId="7200"/>
    <tableColumn id="9412" uniqueName="9412" name="Column9403" queryTableFieldId="6982" dataDxfId="7199"/>
    <tableColumn id="9413" uniqueName="9413" name="Column9404" queryTableFieldId="6981" dataDxfId="7198"/>
    <tableColumn id="9414" uniqueName="9414" name="Column9405" queryTableFieldId="6980" dataDxfId="7197"/>
    <tableColumn id="9415" uniqueName="9415" name="Column9406" queryTableFieldId="6979" dataDxfId="7196"/>
    <tableColumn id="9416" uniqueName="9416" name="Column9407" queryTableFieldId="6978" dataDxfId="7195"/>
    <tableColumn id="9417" uniqueName="9417" name="Column9408" queryTableFieldId="6977" dataDxfId="7194"/>
    <tableColumn id="9418" uniqueName="9418" name="Column9409" queryTableFieldId="6976" dataDxfId="7193"/>
    <tableColumn id="9419" uniqueName="9419" name="Column9410" queryTableFieldId="6975" dataDxfId="7192"/>
    <tableColumn id="9420" uniqueName="9420" name="Column9411" queryTableFieldId="6974" dataDxfId="7191"/>
    <tableColumn id="9421" uniqueName="9421" name="Column9412" queryTableFieldId="6973" dataDxfId="7190"/>
    <tableColumn id="9422" uniqueName="9422" name="Column9413" queryTableFieldId="6972" dataDxfId="7189"/>
    <tableColumn id="9423" uniqueName="9423" name="Column9414" queryTableFieldId="6971" dataDxfId="7188"/>
    <tableColumn id="9424" uniqueName="9424" name="Column9415" queryTableFieldId="6970" dataDxfId="7187"/>
    <tableColumn id="9425" uniqueName="9425" name="Column9416" queryTableFieldId="6969" dataDxfId="7186"/>
    <tableColumn id="9426" uniqueName="9426" name="Column9417" queryTableFieldId="6968" dataDxfId="7185"/>
    <tableColumn id="9427" uniqueName="9427" name="Column9418" queryTableFieldId="6967" dataDxfId="7184"/>
    <tableColumn id="9428" uniqueName="9428" name="Column9419" queryTableFieldId="6966" dataDxfId="7183"/>
    <tableColumn id="9429" uniqueName="9429" name="Column9420" queryTableFieldId="6965" dataDxfId="7182"/>
    <tableColumn id="9430" uniqueName="9430" name="Column9421" queryTableFieldId="6964" dataDxfId="7181"/>
    <tableColumn id="9431" uniqueName="9431" name="Column9422" queryTableFieldId="6963" dataDxfId="7180"/>
    <tableColumn id="9432" uniqueName="9432" name="Column9423" queryTableFieldId="6962" dataDxfId="7179"/>
    <tableColumn id="9433" uniqueName="9433" name="Column9424" queryTableFieldId="6961" dataDxfId="7178"/>
    <tableColumn id="9434" uniqueName="9434" name="Column9425" queryTableFieldId="6960" dataDxfId="7177"/>
    <tableColumn id="9435" uniqueName="9435" name="Column9426" queryTableFieldId="6959" dataDxfId="7176"/>
    <tableColumn id="9436" uniqueName="9436" name="Column9427" queryTableFieldId="6958" dataDxfId="7175"/>
    <tableColumn id="9437" uniqueName="9437" name="Column9428" queryTableFieldId="6957" dataDxfId="7174"/>
    <tableColumn id="9438" uniqueName="9438" name="Column9429" queryTableFieldId="6956" dataDxfId="7173"/>
    <tableColumn id="9439" uniqueName="9439" name="Column9430" queryTableFieldId="6955" dataDxfId="7172"/>
    <tableColumn id="9440" uniqueName="9440" name="Column9431" queryTableFieldId="6954" dataDxfId="7171"/>
    <tableColumn id="9441" uniqueName="9441" name="Column9432" queryTableFieldId="6953" dataDxfId="7170"/>
    <tableColumn id="9442" uniqueName="9442" name="Column9433" queryTableFieldId="6952" dataDxfId="7169"/>
    <tableColumn id="9443" uniqueName="9443" name="Column9434" queryTableFieldId="6951" dataDxfId="7168"/>
    <tableColumn id="9444" uniqueName="9444" name="Column9435" queryTableFieldId="6950" dataDxfId="7167"/>
    <tableColumn id="9445" uniqueName="9445" name="Column9436" queryTableFieldId="6949" dataDxfId="7166"/>
    <tableColumn id="9446" uniqueName="9446" name="Column9437" queryTableFieldId="6948" dataDxfId="7165"/>
    <tableColumn id="9447" uniqueName="9447" name="Column9438" queryTableFieldId="6947" dataDxfId="7164"/>
    <tableColumn id="9448" uniqueName="9448" name="Column9439" queryTableFieldId="6946" dataDxfId="7163"/>
    <tableColumn id="9449" uniqueName="9449" name="Column9440" queryTableFieldId="6945" dataDxfId="7162"/>
    <tableColumn id="9450" uniqueName="9450" name="Column9441" queryTableFieldId="6944" dataDxfId="7161"/>
    <tableColumn id="9451" uniqueName="9451" name="Column9442" queryTableFieldId="6943" dataDxfId="7160"/>
    <tableColumn id="9452" uniqueName="9452" name="Column9443" queryTableFieldId="6942" dataDxfId="7159"/>
    <tableColumn id="9453" uniqueName="9453" name="Column9444" queryTableFieldId="6941" dataDxfId="7158"/>
    <tableColumn id="9454" uniqueName="9454" name="Column9445" queryTableFieldId="6940" dataDxfId="7157"/>
    <tableColumn id="9455" uniqueName="9455" name="Column9446" queryTableFieldId="6939" dataDxfId="7156"/>
    <tableColumn id="9456" uniqueName="9456" name="Column9447" queryTableFieldId="6938" dataDxfId="7155"/>
    <tableColumn id="9457" uniqueName="9457" name="Column9448" queryTableFieldId="6937" dataDxfId="7154"/>
    <tableColumn id="9458" uniqueName="9458" name="Column9449" queryTableFieldId="6936" dataDxfId="7153"/>
    <tableColumn id="9459" uniqueName="9459" name="Column9450" queryTableFieldId="6935" dataDxfId="7152"/>
    <tableColumn id="9460" uniqueName="9460" name="Column9451" queryTableFieldId="6934" dataDxfId="7151"/>
    <tableColumn id="9461" uniqueName="9461" name="Column9452" queryTableFieldId="6933" dataDxfId="7150"/>
    <tableColumn id="9462" uniqueName="9462" name="Column9453" queryTableFieldId="6932" dataDxfId="7149"/>
    <tableColumn id="9463" uniqueName="9463" name="Column9454" queryTableFieldId="6931" dataDxfId="7148"/>
    <tableColumn id="9464" uniqueName="9464" name="Column9455" queryTableFieldId="6930" dataDxfId="7147"/>
    <tableColumn id="9465" uniqueName="9465" name="Column9456" queryTableFieldId="6929" dataDxfId="7146"/>
    <tableColumn id="9466" uniqueName="9466" name="Column9457" queryTableFieldId="6928" dataDxfId="7145"/>
    <tableColumn id="9467" uniqueName="9467" name="Column9458" queryTableFieldId="6927" dataDxfId="7144"/>
    <tableColumn id="9468" uniqueName="9468" name="Column9459" queryTableFieldId="6926" dataDxfId="7143"/>
    <tableColumn id="9469" uniqueName="9469" name="Column9460" queryTableFieldId="6925" dataDxfId="7142"/>
    <tableColumn id="9470" uniqueName="9470" name="Column9461" queryTableFieldId="6924" dataDxfId="7141"/>
    <tableColumn id="9471" uniqueName="9471" name="Column9462" queryTableFieldId="6923" dataDxfId="7140"/>
    <tableColumn id="9472" uniqueName="9472" name="Column9463" queryTableFieldId="6922" dataDxfId="7139"/>
    <tableColumn id="9473" uniqueName="9473" name="Column9464" queryTableFieldId="6921" dataDxfId="7138"/>
    <tableColumn id="9474" uniqueName="9474" name="Column9465" queryTableFieldId="6920" dataDxfId="7137"/>
    <tableColumn id="9475" uniqueName="9475" name="Column9466" queryTableFieldId="6919" dataDxfId="7136"/>
    <tableColumn id="9476" uniqueName="9476" name="Column9467" queryTableFieldId="6918" dataDxfId="7135"/>
    <tableColumn id="9477" uniqueName="9477" name="Column9468" queryTableFieldId="6917" dataDxfId="7134"/>
    <tableColumn id="9478" uniqueName="9478" name="Column9469" queryTableFieldId="6916" dataDxfId="7133"/>
    <tableColumn id="9479" uniqueName="9479" name="Column9470" queryTableFieldId="6915" dataDxfId="7132"/>
    <tableColumn id="9480" uniqueName="9480" name="Column9471" queryTableFieldId="6914" dataDxfId="7131"/>
    <tableColumn id="9481" uniqueName="9481" name="Column9472" queryTableFieldId="6913" dataDxfId="7130"/>
    <tableColumn id="9482" uniqueName="9482" name="Column9473" queryTableFieldId="6912" dataDxfId="7129"/>
    <tableColumn id="9483" uniqueName="9483" name="Column9474" queryTableFieldId="6911" dataDxfId="7128"/>
    <tableColumn id="9484" uniqueName="9484" name="Column9475" queryTableFieldId="6910" dataDxfId="7127"/>
    <tableColumn id="9485" uniqueName="9485" name="Column9476" queryTableFieldId="6909" dataDxfId="7126"/>
    <tableColumn id="9486" uniqueName="9486" name="Column9477" queryTableFieldId="6908" dataDxfId="7125"/>
    <tableColumn id="9487" uniqueName="9487" name="Column9478" queryTableFieldId="6907" dataDxfId="7124"/>
    <tableColumn id="9488" uniqueName="9488" name="Column9479" queryTableFieldId="6906" dataDxfId="7123"/>
    <tableColumn id="9489" uniqueName="9489" name="Column9480" queryTableFieldId="6905" dataDxfId="7122"/>
    <tableColumn id="9490" uniqueName="9490" name="Column9481" queryTableFieldId="6904" dataDxfId="7121"/>
    <tableColumn id="9491" uniqueName="9491" name="Column9482" queryTableFieldId="6903" dataDxfId="7120"/>
    <tableColumn id="9492" uniqueName="9492" name="Column9483" queryTableFieldId="6902" dataDxfId="7119"/>
    <tableColumn id="9493" uniqueName="9493" name="Column9484" queryTableFieldId="6901" dataDxfId="7118"/>
    <tableColumn id="9494" uniqueName="9494" name="Column9485" queryTableFieldId="6900" dataDxfId="7117"/>
    <tableColumn id="9495" uniqueName="9495" name="Column9486" queryTableFieldId="6899" dataDxfId="7116"/>
    <tableColumn id="9496" uniqueName="9496" name="Column9487" queryTableFieldId="6898" dataDxfId="7115"/>
    <tableColumn id="9497" uniqueName="9497" name="Column9488" queryTableFieldId="6897" dataDxfId="7114"/>
    <tableColumn id="9498" uniqueName="9498" name="Column9489" queryTableFieldId="6896" dataDxfId="7113"/>
    <tableColumn id="9499" uniqueName="9499" name="Column9490" queryTableFieldId="6895" dataDxfId="7112"/>
    <tableColumn id="9500" uniqueName="9500" name="Column9491" queryTableFieldId="6894" dataDxfId="7111"/>
    <tableColumn id="9501" uniqueName="9501" name="Column9492" queryTableFieldId="6893" dataDxfId="7110"/>
    <tableColumn id="9502" uniqueName="9502" name="Column9493" queryTableFieldId="6892" dataDxfId="7109"/>
    <tableColumn id="9503" uniqueName="9503" name="Column9494" queryTableFieldId="6891" dataDxfId="7108"/>
    <tableColumn id="9504" uniqueName="9504" name="Column9495" queryTableFieldId="6890" dataDxfId="7107"/>
    <tableColumn id="9505" uniqueName="9505" name="Column9496" queryTableFieldId="6889" dataDxfId="7106"/>
    <tableColumn id="9506" uniqueName="9506" name="Column9497" queryTableFieldId="6888" dataDxfId="7105"/>
    <tableColumn id="9507" uniqueName="9507" name="Column9498" queryTableFieldId="6887" dataDxfId="7104"/>
    <tableColumn id="9508" uniqueName="9508" name="Column9499" queryTableFieldId="6886" dataDxfId="7103"/>
    <tableColumn id="9509" uniqueName="9509" name="Column9500" queryTableFieldId="6885" dataDxfId="7102"/>
    <tableColumn id="9510" uniqueName="9510" name="Column9501" queryTableFieldId="6884" dataDxfId="7101"/>
    <tableColumn id="9511" uniqueName="9511" name="Column9502" queryTableFieldId="6883" dataDxfId="7100"/>
    <tableColumn id="9512" uniqueName="9512" name="Column9503" queryTableFieldId="6882" dataDxfId="7099"/>
    <tableColumn id="9513" uniqueName="9513" name="Column9504" queryTableFieldId="6881" dataDxfId="7098"/>
    <tableColumn id="9514" uniqueName="9514" name="Column9505" queryTableFieldId="6880" dataDxfId="7097"/>
    <tableColumn id="9515" uniqueName="9515" name="Column9506" queryTableFieldId="6879" dataDxfId="7096"/>
    <tableColumn id="9516" uniqueName="9516" name="Column9507" queryTableFieldId="6878" dataDxfId="7095"/>
    <tableColumn id="9517" uniqueName="9517" name="Column9508" queryTableFieldId="6877" dataDxfId="7094"/>
    <tableColumn id="9518" uniqueName="9518" name="Column9509" queryTableFieldId="6876" dataDxfId="7093"/>
    <tableColumn id="9519" uniqueName="9519" name="Column9510" queryTableFieldId="6875" dataDxfId="7092"/>
    <tableColumn id="9520" uniqueName="9520" name="Column9511" queryTableFieldId="6874" dataDxfId="7091"/>
    <tableColumn id="9521" uniqueName="9521" name="Column9512" queryTableFieldId="6873" dataDxfId="7090"/>
    <tableColumn id="9522" uniqueName="9522" name="Column9513" queryTableFieldId="6872" dataDxfId="7089"/>
    <tableColumn id="9523" uniqueName="9523" name="Column9514" queryTableFieldId="6871" dataDxfId="7088"/>
    <tableColumn id="9524" uniqueName="9524" name="Column9515" queryTableFieldId="6870" dataDxfId="7087"/>
    <tableColumn id="9525" uniqueName="9525" name="Column9516" queryTableFieldId="6869" dataDxfId="7086"/>
    <tableColumn id="9526" uniqueName="9526" name="Column9517" queryTableFieldId="6868" dataDxfId="7085"/>
    <tableColumn id="9527" uniqueName="9527" name="Column9518" queryTableFieldId="6867" dataDxfId="7084"/>
    <tableColumn id="9528" uniqueName="9528" name="Column9519" queryTableFieldId="6866" dataDxfId="7083"/>
    <tableColumn id="9529" uniqueName="9529" name="Column9520" queryTableFieldId="6865" dataDxfId="7082"/>
    <tableColumn id="9530" uniqueName="9530" name="Column9521" queryTableFieldId="6864" dataDxfId="7081"/>
    <tableColumn id="9531" uniqueName="9531" name="Column9522" queryTableFieldId="6863" dataDxfId="7080"/>
    <tableColumn id="9532" uniqueName="9532" name="Column9523" queryTableFieldId="6862" dataDxfId="7079"/>
    <tableColumn id="9533" uniqueName="9533" name="Column9524" queryTableFieldId="6861" dataDxfId="7078"/>
    <tableColumn id="9534" uniqueName="9534" name="Column9525" queryTableFieldId="6860" dataDxfId="7077"/>
    <tableColumn id="9535" uniqueName="9535" name="Column9526" queryTableFieldId="6859" dataDxfId="7076"/>
    <tableColumn id="9536" uniqueName="9536" name="Column9527" queryTableFieldId="6858" dataDxfId="7075"/>
    <tableColumn id="9537" uniqueName="9537" name="Column9528" queryTableFieldId="6857" dataDxfId="7074"/>
    <tableColumn id="9538" uniqueName="9538" name="Column9529" queryTableFieldId="6856" dataDxfId="7073"/>
    <tableColumn id="9539" uniqueName="9539" name="Column9530" queryTableFieldId="6855" dataDxfId="7072"/>
    <tableColumn id="9540" uniqueName="9540" name="Column9531" queryTableFieldId="6854" dataDxfId="7071"/>
    <tableColumn id="9541" uniqueName="9541" name="Column9532" queryTableFieldId="6853" dataDxfId="7070"/>
    <tableColumn id="9542" uniqueName="9542" name="Column9533" queryTableFieldId="6852" dataDxfId="7069"/>
    <tableColumn id="9543" uniqueName="9543" name="Column9534" queryTableFieldId="6851" dataDxfId="7068"/>
    <tableColumn id="9544" uniqueName="9544" name="Column9535" queryTableFieldId="6850" dataDxfId="7067"/>
    <tableColumn id="9545" uniqueName="9545" name="Column9536" queryTableFieldId="6849" dataDxfId="7066"/>
    <tableColumn id="9546" uniqueName="9546" name="Column9537" queryTableFieldId="6848" dataDxfId="7065"/>
    <tableColumn id="9547" uniqueName="9547" name="Column9538" queryTableFieldId="6847" dataDxfId="7064"/>
    <tableColumn id="9548" uniqueName="9548" name="Column9539" queryTableFieldId="6846" dataDxfId="7063"/>
    <tableColumn id="9549" uniqueName="9549" name="Column9540" queryTableFieldId="6845" dataDxfId="7062"/>
    <tableColumn id="9550" uniqueName="9550" name="Column9541" queryTableFieldId="6844" dataDxfId="7061"/>
    <tableColumn id="9551" uniqueName="9551" name="Column9542" queryTableFieldId="6843" dataDxfId="7060"/>
    <tableColumn id="9552" uniqueName="9552" name="Column9543" queryTableFieldId="6842" dataDxfId="7059"/>
    <tableColumn id="9553" uniqueName="9553" name="Column9544" queryTableFieldId="6841" dataDxfId="7058"/>
    <tableColumn id="9554" uniqueName="9554" name="Column9545" queryTableFieldId="6840" dataDxfId="7057"/>
    <tableColumn id="9555" uniqueName="9555" name="Column9546" queryTableFieldId="6839" dataDxfId="7056"/>
    <tableColumn id="9556" uniqueName="9556" name="Column9547" queryTableFieldId="6838" dataDxfId="7055"/>
    <tableColumn id="9557" uniqueName="9557" name="Column9548" queryTableFieldId="6837" dataDxfId="7054"/>
    <tableColumn id="9558" uniqueName="9558" name="Column9549" queryTableFieldId="6836" dataDxfId="7053"/>
    <tableColumn id="9559" uniqueName="9559" name="Column9550" queryTableFieldId="6835" dataDxfId="7052"/>
    <tableColumn id="9560" uniqueName="9560" name="Column9551" queryTableFieldId="6834" dataDxfId="7051"/>
    <tableColumn id="9561" uniqueName="9561" name="Column9552" queryTableFieldId="6833" dataDxfId="7050"/>
    <tableColumn id="9562" uniqueName="9562" name="Column9553" queryTableFieldId="6832" dataDxfId="7049"/>
    <tableColumn id="9563" uniqueName="9563" name="Column9554" queryTableFieldId="6831" dataDxfId="7048"/>
    <tableColumn id="9564" uniqueName="9564" name="Column9555" queryTableFieldId="6830" dataDxfId="7047"/>
    <tableColumn id="9565" uniqueName="9565" name="Column9556" queryTableFieldId="6829" dataDxfId="7046"/>
    <tableColumn id="9566" uniqueName="9566" name="Column9557" queryTableFieldId="6828" dataDxfId="7045"/>
    <tableColumn id="9567" uniqueName="9567" name="Column9558" queryTableFieldId="6827" dataDxfId="7044"/>
    <tableColumn id="9568" uniqueName="9568" name="Column9559" queryTableFieldId="6826" dataDxfId="7043"/>
    <tableColumn id="9569" uniqueName="9569" name="Column9560" queryTableFieldId="6825" dataDxfId="7042"/>
    <tableColumn id="9570" uniqueName="9570" name="Column9561" queryTableFieldId="6824" dataDxfId="7041"/>
    <tableColumn id="9571" uniqueName="9571" name="Column9562" queryTableFieldId="6823" dataDxfId="7040"/>
    <tableColumn id="9572" uniqueName="9572" name="Column9563" queryTableFieldId="6822" dataDxfId="7039"/>
    <tableColumn id="9573" uniqueName="9573" name="Column9564" queryTableFieldId="6821" dataDxfId="7038"/>
    <tableColumn id="9574" uniqueName="9574" name="Column9565" queryTableFieldId="6820" dataDxfId="7037"/>
    <tableColumn id="9575" uniqueName="9575" name="Column9566" queryTableFieldId="6819" dataDxfId="7036"/>
    <tableColumn id="9576" uniqueName="9576" name="Column9567" queryTableFieldId="6818" dataDxfId="7035"/>
    <tableColumn id="9577" uniqueName="9577" name="Column9568" queryTableFieldId="6817" dataDxfId="7034"/>
    <tableColumn id="9578" uniqueName="9578" name="Column9569" queryTableFieldId="6816" dataDxfId="7033"/>
    <tableColumn id="9579" uniqueName="9579" name="Column9570" queryTableFieldId="6815" dataDxfId="7032"/>
    <tableColumn id="9580" uniqueName="9580" name="Column9571" queryTableFieldId="6814" dataDxfId="7031"/>
    <tableColumn id="9581" uniqueName="9581" name="Column9572" queryTableFieldId="6813" dataDxfId="7030"/>
    <tableColumn id="9582" uniqueName="9582" name="Column9573" queryTableFieldId="6812" dataDxfId="7029"/>
    <tableColumn id="9583" uniqueName="9583" name="Column9574" queryTableFieldId="6811" dataDxfId="7028"/>
    <tableColumn id="9584" uniqueName="9584" name="Column9575" queryTableFieldId="6810" dataDxfId="7027"/>
    <tableColumn id="9585" uniqueName="9585" name="Column9576" queryTableFieldId="6809" dataDxfId="7026"/>
    <tableColumn id="9586" uniqueName="9586" name="Column9577" queryTableFieldId="6808" dataDxfId="7025"/>
    <tableColumn id="9587" uniqueName="9587" name="Column9578" queryTableFieldId="6807" dataDxfId="7024"/>
    <tableColumn id="9588" uniqueName="9588" name="Column9579" queryTableFieldId="6806" dataDxfId="7023"/>
    <tableColumn id="9589" uniqueName="9589" name="Column9580" queryTableFieldId="6805" dataDxfId="7022"/>
    <tableColumn id="9590" uniqueName="9590" name="Column9581" queryTableFieldId="6804" dataDxfId="7021"/>
    <tableColumn id="9591" uniqueName="9591" name="Column9582" queryTableFieldId="6803" dataDxfId="7020"/>
    <tableColumn id="9592" uniqueName="9592" name="Column9583" queryTableFieldId="6802" dataDxfId="7019"/>
    <tableColumn id="9593" uniqueName="9593" name="Column9584" queryTableFieldId="6801" dataDxfId="7018"/>
    <tableColumn id="9594" uniqueName="9594" name="Column9585" queryTableFieldId="6800" dataDxfId="7017"/>
    <tableColumn id="9595" uniqueName="9595" name="Column9586" queryTableFieldId="6799" dataDxfId="7016"/>
    <tableColumn id="9596" uniqueName="9596" name="Column9587" queryTableFieldId="6798" dataDxfId="7015"/>
    <tableColumn id="9597" uniqueName="9597" name="Column9588" queryTableFieldId="6797" dataDxfId="7014"/>
    <tableColumn id="9598" uniqueName="9598" name="Column9589" queryTableFieldId="6796" dataDxfId="7013"/>
    <tableColumn id="9599" uniqueName="9599" name="Column9590" queryTableFieldId="6795" dataDxfId="7012"/>
    <tableColumn id="9600" uniqueName="9600" name="Column9591" queryTableFieldId="6794" dataDxfId="7011"/>
    <tableColumn id="9601" uniqueName="9601" name="Column9592" queryTableFieldId="6793" dataDxfId="7010"/>
    <tableColumn id="9602" uniqueName="9602" name="Column9593" queryTableFieldId="6792" dataDxfId="7009"/>
    <tableColumn id="9603" uniqueName="9603" name="Column9594" queryTableFieldId="6791" dataDxfId="7008"/>
    <tableColumn id="9604" uniqueName="9604" name="Column9595" queryTableFieldId="6790" dataDxfId="7007"/>
    <tableColumn id="9605" uniqueName="9605" name="Column9596" queryTableFieldId="6789" dataDxfId="7006"/>
    <tableColumn id="9606" uniqueName="9606" name="Column9597" queryTableFieldId="6788" dataDxfId="7005"/>
    <tableColumn id="9607" uniqueName="9607" name="Column9598" queryTableFieldId="6787" dataDxfId="7004"/>
    <tableColumn id="9608" uniqueName="9608" name="Column9599" queryTableFieldId="6786" dataDxfId="7003"/>
    <tableColumn id="9609" uniqueName="9609" name="Column9600" queryTableFieldId="6785" dataDxfId="7002"/>
    <tableColumn id="9610" uniqueName="9610" name="Column9601" queryTableFieldId="6784" dataDxfId="7001"/>
    <tableColumn id="9611" uniqueName="9611" name="Column9602" queryTableFieldId="6783" dataDxfId="7000"/>
    <tableColumn id="9612" uniqueName="9612" name="Column9603" queryTableFieldId="6782" dataDxfId="6999"/>
    <tableColumn id="9613" uniqueName="9613" name="Column9604" queryTableFieldId="6781" dataDxfId="6998"/>
    <tableColumn id="9614" uniqueName="9614" name="Column9605" queryTableFieldId="6780" dataDxfId="6997"/>
    <tableColumn id="9615" uniqueName="9615" name="Column9606" queryTableFieldId="6779" dataDxfId="6996"/>
    <tableColumn id="9616" uniqueName="9616" name="Column9607" queryTableFieldId="6778" dataDxfId="6995"/>
    <tableColumn id="9617" uniqueName="9617" name="Column9608" queryTableFieldId="6777" dataDxfId="6994"/>
    <tableColumn id="9618" uniqueName="9618" name="Column9609" queryTableFieldId="6776" dataDxfId="6993"/>
    <tableColumn id="9619" uniqueName="9619" name="Column9610" queryTableFieldId="6775" dataDxfId="6992"/>
    <tableColumn id="9620" uniqueName="9620" name="Column9611" queryTableFieldId="6774" dataDxfId="6991"/>
    <tableColumn id="9621" uniqueName="9621" name="Column9612" queryTableFieldId="6773" dataDxfId="6990"/>
    <tableColumn id="9622" uniqueName="9622" name="Column9613" queryTableFieldId="6772" dataDxfId="6989"/>
    <tableColumn id="9623" uniqueName="9623" name="Column9614" queryTableFieldId="6771" dataDxfId="6988"/>
    <tableColumn id="9624" uniqueName="9624" name="Column9615" queryTableFieldId="6770" dataDxfId="6987"/>
    <tableColumn id="9625" uniqueName="9625" name="Column9616" queryTableFieldId="6769" dataDxfId="6986"/>
    <tableColumn id="9626" uniqueName="9626" name="Column9617" queryTableFieldId="6768" dataDxfId="6985"/>
    <tableColumn id="9627" uniqueName="9627" name="Column9618" queryTableFieldId="6767" dataDxfId="6984"/>
    <tableColumn id="9628" uniqueName="9628" name="Column9619" queryTableFieldId="6766" dataDxfId="6983"/>
    <tableColumn id="9629" uniqueName="9629" name="Column9620" queryTableFieldId="6765" dataDxfId="6982"/>
    <tableColumn id="9630" uniqueName="9630" name="Column9621" queryTableFieldId="6764" dataDxfId="6981"/>
    <tableColumn id="9631" uniqueName="9631" name="Column9622" queryTableFieldId="6763" dataDxfId="6980"/>
    <tableColumn id="9632" uniqueName="9632" name="Column9623" queryTableFieldId="6762" dataDxfId="6979"/>
    <tableColumn id="9633" uniqueName="9633" name="Column9624" queryTableFieldId="6761" dataDxfId="6978"/>
    <tableColumn id="9634" uniqueName="9634" name="Column9625" queryTableFieldId="6760" dataDxfId="6977"/>
    <tableColumn id="9635" uniqueName="9635" name="Column9626" queryTableFieldId="6759" dataDxfId="6976"/>
    <tableColumn id="9636" uniqueName="9636" name="Column9627" queryTableFieldId="6758" dataDxfId="6975"/>
    <tableColumn id="9637" uniqueName="9637" name="Column9628" queryTableFieldId="6757" dataDxfId="6974"/>
    <tableColumn id="9638" uniqueName="9638" name="Column9629" queryTableFieldId="6756" dataDxfId="6973"/>
    <tableColumn id="9639" uniqueName="9639" name="Column9630" queryTableFieldId="6755" dataDxfId="6972"/>
    <tableColumn id="9640" uniqueName="9640" name="Column9631" queryTableFieldId="6754" dataDxfId="6971"/>
    <tableColumn id="9641" uniqueName="9641" name="Column9632" queryTableFieldId="6753" dataDxfId="6970"/>
    <tableColumn id="9642" uniqueName="9642" name="Column9633" queryTableFieldId="6752" dataDxfId="6969"/>
    <tableColumn id="9643" uniqueName="9643" name="Column9634" queryTableFieldId="6751" dataDxfId="6968"/>
    <tableColumn id="9644" uniqueName="9644" name="Column9635" queryTableFieldId="6750" dataDxfId="6967"/>
    <tableColumn id="9645" uniqueName="9645" name="Column9636" queryTableFieldId="6749" dataDxfId="6966"/>
    <tableColumn id="9646" uniqueName="9646" name="Column9637" queryTableFieldId="6748" dataDxfId="6965"/>
    <tableColumn id="9647" uniqueName="9647" name="Column9638" queryTableFieldId="6747" dataDxfId="6964"/>
    <tableColumn id="9648" uniqueName="9648" name="Column9639" queryTableFieldId="6746" dataDxfId="6963"/>
    <tableColumn id="9649" uniqueName="9649" name="Column9640" queryTableFieldId="6745" dataDxfId="6962"/>
    <tableColumn id="9650" uniqueName="9650" name="Column9641" queryTableFieldId="6744" dataDxfId="6961"/>
    <tableColumn id="9651" uniqueName="9651" name="Column9642" queryTableFieldId="6743" dataDxfId="6960"/>
    <tableColumn id="9652" uniqueName="9652" name="Column9643" queryTableFieldId="6742" dataDxfId="6959"/>
    <tableColumn id="9653" uniqueName="9653" name="Column9644" queryTableFieldId="6741" dataDxfId="6958"/>
    <tableColumn id="9654" uniqueName="9654" name="Column9645" queryTableFieldId="6740" dataDxfId="6957"/>
    <tableColumn id="9655" uniqueName="9655" name="Column9646" queryTableFieldId="6739" dataDxfId="6956"/>
    <tableColumn id="9656" uniqueName="9656" name="Column9647" queryTableFieldId="6738" dataDxfId="6955"/>
    <tableColumn id="9657" uniqueName="9657" name="Column9648" queryTableFieldId="6737" dataDxfId="6954"/>
    <tableColumn id="9658" uniqueName="9658" name="Column9649" queryTableFieldId="6736" dataDxfId="6953"/>
    <tableColumn id="9659" uniqueName="9659" name="Column9650" queryTableFieldId="6735" dataDxfId="6952"/>
    <tableColumn id="9660" uniqueName="9660" name="Column9651" queryTableFieldId="6734" dataDxfId="6951"/>
    <tableColumn id="9661" uniqueName="9661" name="Column9652" queryTableFieldId="6733" dataDxfId="6950"/>
    <tableColumn id="9662" uniqueName="9662" name="Column9653" queryTableFieldId="6732" dataDxfId="6949"/>
    <tableColumn id="9663" uniqueName="9663" name="Column9654" queryTableFieldId="6731" dataDxfId="6948"/>
    <tableColumn id="9664" uniqueName="9664" name="Column9655" queryTableFieldId="6730" dataDxfId="6947"/>
    <tableColumn id="9665" uniqueName="9665" name="Column9656" queryTableFieldId="6729" dataDxfId="6946"/>
    <tableColumn id="9666" uniqueName="9666" name="Column9657" queryTableFieldId="6728" dataDxfId="6945"/>
    <tableColumn id="9667" uniqueName="9667" name="Column9658" queryTableFieldId="6727" dataDxfId="6944"/>
    <tableColumn id="9668" uniqueName="9668" name="Column9659" queryTableFieldId="6726" dataDxfId="6943"/>
    <tableColumn id="9669" uniqueName="9669" name="Column9660" queryTableFieldId="6725" dataDxfId="6942"/>
    <tableColumn id="9670" uniqueName="9670" name="Column9661" queryTableFieldId="6724" dataDxfId="6941"/>
    <tableColumn id="9671" uniqueName="9671" name="Column9662" queryTableFieldId="6723" dataDxfId="6940"/>
    <tableColumn id="9672" uniqueName="9672" name="Column9663" queryTableFieldId="6722" dataDxfId="6939"/>
    <tableColumn id="9673" uniqueName="9673" name="Column9664" queryTableFieldId="6721" dataDxfId="6938"/>
    <tableColumn id="9674" uniqueName="9674" name="Column9665" queryTableFieldId="6720" dataDxfId="6937"/>
    <tableColumn id="9675" uniqueName="9675" name="Column9666" queryTableFieldId="6719" dataDxfId="6936"/>
    <tableColumn id="9676" uniqueName="9676" name="Column9667" queryTableFieldId="6718" dataDxfId="6935"/>
    <tableColumn id="9677" uniqueName="9677" name="Column9668" queryTableFieldId="6717" dataDxfId="6934"/>
    <tableColumn id="9678" uniqueName="9678" name="Column9669" queryTableFieldId="6716" dataDxfId="6933"/>
    <tableColumn id="9679" uniqueName="9679" name="Column9670" queryTableFieldId="6715" dataDxfId="6932"/>
    <tableColumn id="9680" uniqueName="9680" name="Column9671" queryTableFieldId="6714" dataDxfId="6931"/>
    <tableColumn id="9681" uniqueName="9681" name="Column9672" queryTableFieldId="6713" dataDxfId="6930"/>
    <tableColumn id="9682" uniqueName="9682" name="Column9673" queryTableFieldId="6712" dataDxfId="6929"/>
    <tableColumn id="9683" uniqueName="9683" name="Column9674" queryTableFieldId="6711" dataDxfId="6928"/>
    <tableColumn id="9684" uniqueName="9684" name="Column9675" queryTableFieldId="6710" dataDxfId="6927"/>
    <tableColumn id="9685" uniqueName="9685" name="Column9676" queryTableFieldId="6709" dataDxfId="6926"/>
    <tableColumn id="9686" uniqueName="9686" name="Column9677" queryTableFieldId="6708" dataDxfId="6925"/>
    <tableColumn id="9687" uniqueName="9687" name="Column9678" queryTableFieldId="6707" dataDxfId="6924"/>
    <tableColumn id="9688" uniqueName="9688" name="Column9679" queryTableFieldId="6706" dataDxfId="6923"/>
    <tableColumn id="9689" uniqueName="9689" name="Column9680" queryTableFieldId="6705" dataDxfId="6922"/>
    <tableColumn id="9690" uniqueName="9690" name="Column9681" queryTableFieldId="6704" dataDxfId="6921"/>
    <tableColumn id="9691" uniqueName="9691" name="Column9682" queryTableFieldId="6703" dataDxfId="6920"/>
    <tableColumn id="9692" uniqueName="9692" name="Column9683" queryTableFieldId="6702" dataDxfId="6919"/>
    <tableColumn id="9693" uniqueName="9693" name="Column9684" queryTableFieldId="6701" dataDxfId="6918"/>
    <tableColumn id="9694" uniqueName="9694" name="Column9685" queryTableFieldId="6700" dataDxfId="6917"/>
    <tableColumn id="9695" uniqueName="9695" name="Column9686" queryTableFieldId="6699" dataDxfId="6916"/>
    <tableColumn id="9696" uniqueName="9696" name="Column9687" queryTableFieldId="6698" dataDxfId="6915"/>
    <tableColumn id="9697" uniqueName="9697" name="Column9688" queryTableFieldId="6697" dataDxfId="6914"/>
    <tableColumn id="9698" uniqueName="9698" name="Column9689" queryTableFieldId="6696" dataDxfId="6913"/>
    <tableColumn id="9699" uniqueName="9699" name="Column9690" queryTableFieldId="6695" dataDxfId="6912"/>
    <tableColumn id="9700" uniqueName="9700" name="Column9691" queryTableFieldId="6694" dataDxfId="6911"/>
    <tableColumn id="9701" uniqueName="9701" name="Column9692" queryTableFieldId="6693" dataDxfId="6910"/>
    <tableColumn id="9702" uniqueName="9702" name="Column9693" queryTableFieldId="6692" dataDxfId="6909"/>
    <tableColumn id="9703" uniqueName="9703" name="Column9694" queryTableFieldId="6691" dataDxfId="6908"/>
    <tableColumn id="9704" uniqueName="9704" name="Column9695" queryTableFieldId="6690" dataDxfId="6907"/>
    <tableColumn id="9705" uniqueName="9705" name="Column9696" queryTableFieldId="6689" dataDxfId="6906"/>
    <tableColumn id="9706" uniqueName="9706" name="Column9697" queryTableFieldId="6688" dataDxfId="6905"/>
    <tableColumn id="9707" uniqueName="9707" name="Column9698" queryTableFieldId="6687" dataDxfId="6904"/>
    <tableColumn id="9708" uniqueName="9708" name="Column9699" queryTableFieldId="6686" dataDxfId="6903"/>
    <tableColumn id="9709" uniqueName="9709" name="Column9700" queryTableFieldId="6685" dataDxfId="6902"/>
    <tableColumn id="9710" uniqueName="9710" name="Column9701" queryTableFieldId="6684" dataDxfId="6901"/>
    <tableColumn id="9711" uniqueName="9711" name="Column9702" queryTableFieldId="6683" dataDxfId="6900"/>
    <tableColumn id="9712" uniqueName="9712" name="Column9703" queryTableFieldId="6682" dataDxfId="6899"/>
    <tableColumn id="9713" uniqueName="9713" name="Column9704" queryTableFieldId="6681" dataDxfId="6898"/>
    <tableColumn id="9714" uniqueName="9714" name="Column9705" queryTableFieldId="6680" dataDxfId="6897"/>
    <tableColumn id="9715" uniqueName="9715" name="Column9706" queryTableFieldId="6679" dataDxfId="6896"/>
    <tableColumn id="9716" uniqueName="9716" name="Column9707" queryTableFieldId="6678" dataDxfId="6895"/>
    <tableColumn id="9717" uniqueName="9717" name="Column9708" queryTableFieldId="6677" dataDxfId="6894"/>
    <tableColumn id="9718" uniqueName="9718" name="Column9709" queryTableFieldId="6676" dataDxfId="6893"/>
    <tableColumn id="9719" uniqueName="9719" name="Column9710" queryTableFieldId="6675" dataDxfId="6892"/>
    <tableColumn id="9720" uniqueName="9720" name="Column9711" queryTableFieldId="6674" dataDxfId="6891"/>
    <tableColumn id="9721" uniqueName="9721" name="Column9712" queryTableFieldId="6673" dataDxfId="6890"/>
    <tableColumn id="9722" uniqueName="9722" name="Column9713" queryTableFieldId="6672" dataDxfId="6889"/>
    <tableColumn id="9723" uniqueName="9723" name="Column9714" queryTableFieldId="6671" dataDxfId="6888"/>
    <tableColumn id="9724" uniqueName="9724" name="Column9715" queryTableFieldId="6670" dataDxfId="6887"/>
    <tableColumn id="9725" uniqueName="9725" name="Column9716" queryTableFieldId="6669" dataDxfId="6886"/>
    <tableColumn id="9726" uniqueName="9726" name="Column9717" queryTableFieldId="6668" dataDxfId="6885"/>
    <tableColumn id="9727" uniqueName="9727" name="Column9718" queryTableFieldId="6667" dataDxfId="6884"/>
    <tableColumn id="9728" uniqueName="9728" name="Column9719" queryTableFieldId="6666" dataDxfId="6883"/>
    <tableColumn id="9729" uniqueName="9729" name="Column9720" queryTableFieldId="6665" dataDxfId="6882"/>
    <tableColumn id="9730" uniqueName="9730" name="Column9721" queryTableFieldId="6664" dataDxfId="6881"/>
    <tableColumn id="9731" uniqueName="9731" name="Column9722" queryTableFieldId="6663" dataDxfId="6880"/>
    <tableColumn id="9732" uniqueName="9732" name="Column9723" queryTableFieldId="6662" dataDxfId="6879"/>
    <tableColumn id="9733" uniqueName="9733" name="Column9724" queryTableFieldId="6661" dataDxfId="6878"/>
    <tableColumn id="9734" uniqueName="9734" name="Column9725" queryTableFieldId="6660" dataDxfId="6877"/>
    <tableColumn id="9735" uniqueName="9735" name="Column9726" queryTableFieldId="6659" dataDxfId="6876"/>
    <tableColumn id="9736" uniqueName="9736" name="Column9727" queryTableFieldId="6658" dataDxfId="6875"/>
    <tableColumn id="9737" uniqueName="9737" name="Column9728" queryTableFieldId="6657" dataDxfId="6874"/>
    <tableColumn id="9738" uniqueName="9738" name="Column9729" queryTableFieldId="6656" dataDxfId="6873"/>
    <tableColumn id="9739" uniqueName="9739" name="Column9730" queryTableFieldId="6655" dataDxfId="6872"/>
    <tableColumn id="9740" uniqueName="9740" name="Column9731" queryTableFieldId="6654" dataDxfId="6871"/>
    <tableColumn id="9741" uniqueName="9741" name="Column9732" queryTableFieldId="6653" dataDxfId="6870"/>
    <tableColumn id="9742" uniqueName="9742" name="Column9733" queryTableFieldId="6652" dataDxfId="6869"/>
    <tableColumn id="9743" uniqueName="9743" name="Column9734" queryTableFieldId="6651" dataDxfId="6868"/>
    <tableColumn id="9744" uniqueName="9744" name="Column9735" queryTableFieldId="6650" dataDxfId="6867"/>
    <tableColumn id="9745" uniqueName="9745" name="Column9736" queryTableFieldId="6649" dataDxfId="6866"/>
    <tableColumn id="9746" uniqueName="9746" name="Column9737" queryTableFieldId="6648" dataDxfId="6865"/>
    <tableColumn id="9747" uniqueName="9747" name="Column9738" queryTableFieldId="6647" dataDxfId="6864"/>
    <tableColumn id="9748" uniqueName="9748" name="Column9739" queryTableFieldId="6646" dataDxfId="6863"/>
    <tableColumn id="9749" uniqueName="9749" name="Column9740" queryTableFieldId="6645" dataDxfId="6862"/>
    <tableColumn id="9750" uniqueName="9750" name="Column9741" queryTableFieldId="6644" dataDxfId="6861"/>
    <tableColumn id="9751" uniqueName="9751" name="Column9742" queryTableFieldId="6643" dataDxfId="6860"/>
    <tableColumn id="9752" uniqueName="9752" name="Column9743" queryTableFieldId="6642" dataDxfId="6859"/>
    <tableColumn id="9753" uniqueName="9753" name="Column9744" queryTableFieldId="6641" dataDxfId="6858"/>
    <tableColumn id="9754" uniqueName="9754" name="Column9745" queryTableFieldId="6640" dataDxfId="6857"/>
    <tableColumn id="9755" uniqueName="9755" name="Column9746" queryTableFieldId="6639" dataDxfId="6856"/>
    <tableColumn id="9756" uniqueName="9756" name="Column9747" queryTableFieldId="6638" dataDxfId="6855"/>
    <tableColumn id="9757" uniqueName="9757" name="Column9748" queryTableFieldId="6637" dataDxfId="6854"/>
    <tableColumn id="9758" uniqueName="9758" name="Column9749" queryTableFieldId="6636" dataDxfId="6853"/>
    <tableColumn id="9759" uniqueName="9759" name="Column9750" queryTableFieldId="6635" dataDxfId="6852"/>
    <tableColumn id="9760" uniqueName="9760" name="Column9751" queryTableFieldId="6634" dataDxfId="6851"/>
    <tableColumn id="9761" uniqueName="9761" name="Column9752" queryTableFieldId="6633" dataDxfId="6850"/>
    <tableColumn id="9762" uniqueName="9762" name="Column9753" queryTableFieldId="6632" dataDxfId="6849"/>
    <tableColumn id="9763" uniqueName="9763" name="Column9754" queryTableFieldId="6631" dataDxfId="6848"/>
    <tableColumn id="9764" uniqueName="9764" name="Column9755" queryTableFieldId="6630" dataDxfId="6847"/>
    <tableColumn id="9765" uniqueName="9765" name="Column9756" queryTableFieldId="6629" dataDxfId="6846"/>
    <tableColumn id="9766" uniqueName="9766" name="Column9757" queryTableFieldId="6628" dataDxfId="6845"/>
    <tableColumn id="9767" uniqueName="9767" name="Column9758" queryTableFieldId="6627" dataDxfId="6844"/>
    <tableColumn id="9768" uniqueName="9768" name="Column9759" queryTableFieldId="6626" dataDxfId="6843"/>
    <tableColumn id="9769" uniqueName="9769" name="Column9760" queryTableFieldId="6625" dataDxfId="6842"/>
    <tableColumn id="9770" uniqueName="9770" name="Column9761" queryTableFieldId="6624" dataDxfId="6841"/>
    <tableColumn id="9771" uniqueName="9771" name="Column9762" queryTableFieldId="6623" dataDxfId="6840"/>
    <tableColumn id="9772" uniqueName="9772" name="Column9763" queryTableFieldId="6622" dataDxfId="6839"/>
    <tableColumn id="9773" uniqueName="9773" name="Column9764" queryTableFieldId="6621" dataDxfId="6838"/>
    <tableColumn id="9774" uniqueName="9774" name="Column9765" queryTableFieldId="6620" dataDxfId="6837"/>
    <tableColumn id="9775" uniqueName="9775" name="Column9766" queryTableFieldId="6619" dataDxfId="6836"/>
    <tableColumn id="9776" uniqueName="9776" name="Column9767" queryTableFieldId="6618" dataDxfId="6835"/>
    <tableColumn id="9777" uniqueName="9777" name="Column9768" queryTableFieldId="6617" dataDxfId="6834"/>
    <tableColumn id="9778" uniqueName="9778" name="Column9769" queryTableFieldId="6616" dataDxfId="6833"/>
    <tableColumn id="9779" uniqueName="9779" name="Column9770" queryTableFieldId="6615" dataDxfId="6832"/>
    <tableColumn id="9780" uniqueName="9780" name="Column9771" queryTableFieldId="6614" dataDxfId="6831"/>
    <tableColumn id="9781" uniqueName="9781" name="Column9772" queryTableFieldId="6613" dataDxfId="6830"/>
    <tableColumn id="9782" uniqueName="9782" name="Column9773" queryTableFieldId="6612" dataDxfId="6829"/>
    <tableColumn id="9783" uniqueName="9783" name="Column9774" queryTableFieldId="6611" dataDxfId="6828"/>
    <tableColumn id="9784" uniqueName="9784" name="Column9775" queryTableFieldId="6610" dataDxfId="6827"/>
    <tableColumn id="9785" uniqueName="9785" name="Column9776" queryTableFieldId="6609" dataDxfId="6826"/>
    <tableColumn id="9786" uniqueName="9786" name="Column9777" queryTableFieldId="6608" dataDxfId="6825"/>
    <tableColumn id="9787" uniqueName="9787" name="Column9778" queryTableFieldId="6607" dataDxfId="6824"/>
    <tableColumn id="9788" uniqueName="9788" name="Column9779" queryTableFieldId="6606" dataDxfId="6823"/>
    <tableColumn id="9789" uniqueName="9789" name="Column9780" queryTableFieldId="6605" dataDxfId="6822"/>
    <tableColumn id="9790" uniqueName="9790" name="Column9781" queryTableFieldId="6604" dataDxfId="6821"/>
    <tableColumn id="9791" uniqueName="9791" name="Column9782" queryTableFieldId="6603" dataDxfId="6820"/>
    <tableColumn id="9792" uniqueName="9792" name="Column9783" queryTableFieldId="6602" dataDxfId="6819"/>
    <tableColumn id="9793" uniqueName="9793" name="Column9784" queryTableFieldId="6601" dataDxfId="6818"/>
    <tableColumn id="9794" uniqueName="9794" name="Column9785" queryTableFieldId="6600" dataDxfId="6817"/>
    <tableColumn id="9795" uniqueName="9795" name="Column9786" queryTableFieldId="6599" dataDxfId="6816"/>
    <tableColumn id="9796" uniqueName="9796" name="Column9787" queryTableFieldId="6598" dataDxfId="6815"/>
    <tableColumn id="9797" uniqueName="9797" name="Column9788" queryTableFieldId="6597" dataDxfId="6814"/>
    <tableColumn id="9798" uniqueName="9798" name="Column9789" queryTableFieldId="6596" dataDxfId="6813"/>
    <tableColumn id="9799" uniqueName="9799" name="Column9790" queryTableFieldId="6595" dataDxfId="6812"/>
    <tableColumn id="9800" uniqueName="9800" name="Column9791" queryTableFieldId="6594" dataDxfId="6811"/>
    <tableColumn id="9801" uniqueName="9801" name="Column9792" queryTableFieldId="6593" dataDxfId="6810"/>
    <tableColumn id="9802" uniqueName="9802" name="Column9793" queryTableFieldId="6592" dataDxfId="6809"/>
    <tableColumn id="9803" uniqueName="9803" name="Column9794" queryTableFieldId="6591" dataDxfId="6808"/>
    <tableColumn id="9804" uniqueName="9804" name="Column9795" queryTableFieldId="6590" dataDxfId="6807"/>
    <tableColumn id="9805" uniqueName="9805" name="Column9796" queryTableFieldId="6589" dataDxfId="6806"/>
    <tableColumn id="9806" uniqueName="9806" name="Column9797" queryTableFieldId="6588" dataDxfId="6805"/>
    <tableColumn id="9807" uniqueName="9807" name="Column9798" queryTableFieldId="6587" dataDxfId="6804"/>
    <tableColumn id="9808" uniqueName="9808" name="Column9799" queryTableFieldId="6586" dataDxfId="6803"/>
    <tableColumn id="9809" uniqueName="9809" name="Column9800" queryTableFieldId="6585" dataDxfId="6802"/>
    <tableColumn id="9810" uniqueName="9810" name="Column9801" queryTableFieldId="6584" dataDxfId="6801"/>
    <tableColumn id="9811" uniqueName="9811" name="Column9802" queryTableFieldId="6583" dataDxfId="6800"/>
    <tableColumn id="9812" uniqueName="9812" name="Column9803" queryTableFieldId="6582" dataDxfId="6799"/>
    <tableColumn id="9813" uniqueName="9813" name="Column9804" queryTableFieldId="6581" dataDxfId="6798"/>
    <tableColumn id="9814" uniqueName="9814" name="Column9805" queryTableFieldId="6580" dataDxfId="6797"/>
    <tableColumn id="9815" uniqueName="9815" name="Column9806" queryTableFieldId="6579" dataDxfId="6796"/>
    <tableColumn id="9816" uniqueName="9816" name="Column9807" queryTableFieldId="6578" dataDxfId="6795"/>
    <tableColumn id="9817" uniqueName="9817" name="Column9808" queryTableFieldId="6577" dataDxfId="6794"/>
    <tableColumn id="9818" uniqueName="9818" name="Column9809" queryTableFieldId="6576" dataDxfId="6793"/>
    <tableColumn id="9819" uniqueName="9819" name="Column9810" queryTableFieldId="6575" dataDxfId="6792"/>
    <tableColumn id="9820" uniqueName="9820" name="Column9811" queryTableFieldId="6574" dataDxfId="6791"/>
    <tableColumn id="9821" uniqueName="9821" name="Column9812" queryTableFieldId="6573" dataDxfId="6790"/>
    <tableColumn id="9822" uniqueName="9822" name="Column9813" queryTableFieldId="6572" dataDxfId="6789"/>
    <tableColumn id="9823" uniqueName="9823" name="Column9814" queryTableFieldId="6571" dataDxfId="6788"/>
    <tableColumn id="9824" uniqueName="9824" name="Column9815" queryTableFieldId="6570" dataDxfId="6787"/>
    <tableColumn id="9825" uniqueName="9825" name="Column9816" queryTableFieldId="6569" dataDxfId="6786"/>
    <tableColumn id="9826" uniqueName="9826" name="Column9817" queryTableFieldId="6568" dataDxfId="6785"/>
    <tableColumn id="9827" uniqueName="9827" name="Column9818" queryTableFieldId="6567" dataDxfId="6784"/>
    <tableColumn id="9828" uniqueName="9828" name="Column9819" queryTableFieldId="6566" dataDxfId="6783"/>
    <tableColumn id="9829" uniqueName="9829" name="Column9820" queryTableFieldId="6565" dataDxfId="6782"/>
    <tableColumn id="9830" uniqueName="9830" name="Column9821" queryTableFieldId="6564" dataDxfId="6781"/>
    <tableColumn id="9831" uniqueName="9831" name="Column9822" queryTableFieldId="6563" dataDxfId="6780"/>
    <tableColumn id="9832" uniqueName="9832" name="Column9823" queryTableFieldId="6562" dataDxfId="6779"/>
    <tableColumn id="9833" uniqueName="9833" name="Column9824" queryTableFieldId="6561" dataDxfId="6778"/>
    <tableColumn id="9834" uniqueName="9834" name="Column9825" queryTableFieldId="6560" dataDxfId="6777"/>
    <tableColumn id="9835" uniqueName="9835" name="Column9826" queryTableFieldId="6559" dataDxfId="6776"/>
    <tableColumn id="9836" uniqueName="9836" name="Column9827" queryTableFieldId="6558" dataDxfId="6775"/>
    <tableColumn id="9837" uniqueName="9837" name="Column9828" queryTableFieldId="6557" dataDxfId="6774"/>
    <tableColumn id="9838" uniqueName="9838" name="Column9829" queryTableFieldId="6556" dataDxfId="6773"/>
    <tableColumn id="9839" uniqueName="9839" name="Column9830" queryTableFieldId="6555" dataDxfId="6772"/>
    <tableColumn id="9840" uniqueName="9840" name="Column9831" queryTableFieldId="6554" dataDxfId="6771"/>
    <tableColumn id="9841" uniqueName="9841" name="Column9832" queryTableFieldId="6553" dataDxfId="6770"/>
    <tableColumn id="9842" uniqueName="9842" name="Column9833" queryTableFieldId="6552" dataDxfId="6769"/>
    <tableColumn id="9843" uniqueName="9843" name="Column9834" queryTableFieldId="6551" dataDxfId="6768"/>
    <tableColumn id="9844" uniqueName="9844" name="Column9835" queryTableFieldId="6550" dataDxfId="6767"/>
    <tableColumn id="9845" uniqueName="9845" name="Column9836" queryTableFieldId="6549" dataDxfId="6766"/>
    <tableColumn id="9846" uniqueName="9846" name="Column9837" queryTableFieldId="6548" dataDxfId="6765"/>
    <tableColumn id="9847" uniqueName="9847" name="Column9838" queryTableFieldId="6547" dataDxfId="6764"/>
    <tableColumn id="9848" uniqueName="9848" name="Column9839" queryTableFieldId="6546" dataDxfId="6763"/>
    <tableColumn id="9849" uniqueName="9849" name="Column9840" queryTableFieldId="6545" dataDxfId="6762"/>
    <tableColumn id="9850" uniqueName="9850" name="Column9841" queryTableFieldId="6544" dataDxfId="6761"/>
    <tableColumn id="9851" uniqueName="9851" name="Column9842" queryTableFieldId="6543" dataDxfId="6760"/>
    <tableColumn id="9852" uniqueName="9852" name="Column9843" queryTableFieldId="6542" dataDxfId="6759"/>
    <tableColumn id="9853" uniqueName="9853" name="Column9844" queryTableFieldId="6541" dataDxfId="6758"/>
    <tableColumn id="9854" uniqueName="9854" name="Column9845" queryTableFieldId="6540" dataDxfId="6757"/>
    <tableColumn id="9855" uniqueName="9855" name="Column9846" queryTableFieldId="6539" dataDxfId="6756"/>
    <tableColumn id="9856" uniqueName="9856" name="Column9847" queryTableFieldId="6538" dataDxfId="6755"/>
    <tableColumn id="9857" uniqueName="9857" name="Column9848" queryTableFieldId="6537" dataDxfId="6754"/>
    <tableColumn id="9858" uniqueName="9858" name="Column9849" queryTableFieldId="6536" dataDxfId="6753"/>
    <tableColumn id="9859" uniqueName="9859" name="Column9850" queryTableFieldId="6535" dataDxfId="6752"/>
    <tableColumn id="9860" uniqueName="9860" name="Column9851" queryTableFieldId="6534" dataDxfId="6751"/>
    <tableColumn id="9861" uniqueName="9861" name="Column9852" queryTableFieldId="6533" dataDxfId="6750"/>
    <tableColumn id="9862" uniqueName="9862" name="Column9853" queryTableFieldId="6532" dataDxfId="6749"/>
    <tableColumn id="9863" uniqueName="9863" name="Column9854" queryTableFieldId="6531" dataDxfId="6748"/>
    <tableColumn id="9864" uniqueName="9864" name="Column9855" queryTableFieldId="6530" dataDxfId="6747"/>
    <tableColumn id="9865" uniqueName="9865" name="Column9856" queryTableFieldId="6529" dataDxfId="6746"/>
    <tableColumn id="9866" uniqueName="9866" name="Column9857" queryTableFieldId="6528" dataDxfId="6745"/>
    <tableColumn id="9867" uniqueName="9867" name="Column9858" queryTableFieldId="6527" dataDxfId="6744"/>
    <tableColumn id="9868" uniqueName="9868" name="Column9859" queryTableFieldId="6526" dataDxfId="6743"/>
    <tableColumn id="9869" uniqueName="9869" name="Column9860" queryTableFieldId="6525" dataDxfId="6742"/>
    <tableColumn id="9870" uniqueName="9870" name="Column9861" queryTableFieldId="6524" dataDxfId="6741"/>
    <tableColumn id="9871" uniqueName="9871" name="Column9862" queryTableFieldId="6523" dataDxfId="6740"/>
    <tableColumn id="9872" uniqueName="9872" name="Column9863" queryTableFieldId="6522" dataDxfId="6739"/>
    <tableColumn id="9873" uniqueName="9873" name="Column9864" queryTableFieldId="6521" dataDxfId="6738"/>
    <tableColumn id="9874" uniqueName="9874" name="Column9865" queryTableFieldId="6520" dataDxfId="6737"/>
    <tableColumn id="9875" uniqueName="9875" name="Column9866" queryTableFieldId="6519" dataDxfId="6736"/>
    <tableColumn id="9876" uniqueName="9876" name="Column9867" queryTableFieldId="6518" dataDxfId="6735"/>
    <tableColumn id="9877" uniqueName="9877" name="Column9868" queryTableFieldId="6517" dataDxfId="6734"/>
    <tableColumn id="9878" uniqueName="9878" name="Column9869" queryTableFieldId="6516" dataDxfId="6733"/>
    <tableColumn id="9879" uniqueName="9879" name="Column9870" queryTableFieldId="6515" dataDxfId="6732"/>
    <tableColumn id="9880" uniqueName="9880" name="Column9871" queryTableFieldId="6514" dataDxfId="6731"/>
    <tableColumn id="9881" uniqueName="9881" name="Column9872" queryTableFieldId="6513" dataDxfId="6730"/>
    <tableColumn id="9882" uniqueName="9882" name="Column9873" queryTableFieldId="6512" dataDxfId="6729"/>
    <tableColumn id="9883" uniqueName="9883" name="Column9874" queryTableFieldId="6511" dataDxfId="6728"/>
    <tableColumn id="9884" uniqueName="9884" name="Column9875" queryTableFieldId="6510" dataDxfId="6727"/>
    <tableColumn id="9885" uniqueName="9885" name="Column9876" queryTableFieldId="6509" dataDxfId="6726"/>
    <tableColumn id="9886" uniqueName="9886" name="Column9877" queryTableFieldId="6508" dataDxfId="6725"/>
    <tableColumn id="9887" uniqueName="9887" name="Column9878" queryTableFieldId="6507" dataDxfId="6724"/>
    <tableColumn id="9888" uniqueName="9888" name="Column9879" queryTableFieldId="6506" dataDxfId="6723"/>
    <tableColumn id="9889" uniqueName="9889" name="Column9880" queryTableFieldId="6505" dataDxfId="6722"/>
    <tableColumn id="9890" uniqueName="9890" name="Column9881" queryTableFieldId="6504" dataDxfId="6721"/>
    <tableColumn id="9891" uniqueName="9891" name="Column9882" queryTableFieldId="6503" dataDxfId="6720"/>
    <tableColumn id="9892" uniqueName="9892" name="Column9883" queryTableFieldId="6502" dataDxfId="6719"/>
    <tableColumn id="9893" uniqueName="9893" name="Column9884" queryTableFieldId="6501" dataDxfId="6718"/>
    <tableColumn id="9894" uniqueName="9894" name="Column9885" queryTableFieldId="6500" dataDxfId="6717"/>
    <tableColumn id="9895" uniqueName="9895" name="Column9886" queryTableFieldId="6499" dataDxfId="6716"/>
    <tableColumn id="9896" uniqueName="9896" name="Column9887" queryTableFieldId="6498" dataDxfId="6715"/>
    <tableColumn id="9897" uniqueName="9897" name="Column9888" queryTableFieldId="6497" dataDxfId="6714"/>
    <tableColumn id="9898" uniqueName="9898" name="Column9889" queryTableFieldId="6496" dataDxfId="6713"/>
    <tableColumn id="9899" uniqueName="9899" name="Column9890" queryTableFieldId="6495" dataDxfId="6712"/>
    <tableColumn id="9900" uniqueName="9900" name="Column9891" queryTableFieldId="6494" dataDxfId="6711"/>
    <tableColumn id="9901" uniqueName="9901" name="Column9892" queryTableFieldId="6493" dataDxfId="6710"/>
    <tableColumn id="9902" uniqueName="9902" name="Column9893" queryTableFieldId="6492" dataDxfId="6709"/>
    <tableColumn id="9903" uniqueName="9903" name="Column9894" queryTableFieldId="6491" dataDxfId="6708"/>
    <tableColumn id="9904" uniqueName="9904" name="Column9895" queryTableFieldId="6490" dataDxfId="6707"/>
    <tableColumn id="9905" uniqueName="9905" name="Column9896" queryTableFieldId="6489" dataDxfId="6706"/>
    <tableColumn id="9906" uniqueName="9906" name="Column9897" queryTableFieldId="6488" dataDxfId="6705"/>
    <tableColumn id="9907" uniqueName="9907" name="Column9898" queryTableFieldId="6487" dataDxfId="6704"/>
    <tableColumn id="9908" uniqueName="9908" name="Column9899" queryTableFieldId="6486" dataDxfId="6703"/>
    <tableColumn id="9909" uniqueName="9909" name="Column9900" queryTableFieldId="6485" dataDxfId="6702"/>
    <tableColumn id="9910" uniqueName="9910" name="Column9901" queryTableFieldId="6484" dataDxfId="6701"/>
    <tableColumn id="9911" uniqueName="9911" name="Column9902" queryTableFieldId="6483" dataDxfId="6700"/>
    <tableColumn id="9912" uniqueName="9912" name="Column9903" queryTableFieldId="6482" dataDxfId="6699"/>
    <tableColumn id="9913" uniqueName="9913" name="Column9904" queryTableFieldId="6481" dataDxfId="6698"/>
    <tableColumn id="9914" uniqueName="9914" name="Column9905" queryTableFieldId="6480" dataDxfId="6697"/>
    <tableColumn id="9915" uniqueName="9915" name="Column9906" queryTableFieldId="6479" dataDxfId="6696"/>
    <tableColumn id="9916" uniqueName="9916" name="Column9907" queryTableFieldId="6478" dataDxfId="6695"/>
    <tableColumn id="9917" uniqueName="9917" name="Column9908" queryTableFieldId="6477" dataDxfId="6694"/>
    <tableColumn id="9918" uniqueName="9918" name="Column9909" queryTableFieldId="6476" dataDxfId="6693"/>
    <tableColumn id="9919" uniqueName="9919" name="Column9910" queryTableFieldId="6475" dataDxfId="6692"/>
    <tableColumn id="9920" uniqueName="9920" name="Column9911" queryTableFieldId="6474" dataDxfId="6691"/>
    <tableColumn id="9921" uniqueName="9921" name="Column9912" queryTableFieldId="6473" dataDxfId="6690"/>
    <tableColumn id="9922" uniqueName="9922" name="Column9913" queryTableFieldId="6472" dataDxfId="6689"/>
    <tableColumn id="9923" uniqueName="9923" name="Column9914" queryTableFieldId="6471" dataDxfId="6688"/>
    <tableColumn id="9924" uniqueName="9924" name="Column9915" queryTableFieldId="6470" dataDxfId="6687"/>
    <tableColumn id="9925" uniqueName="9925" name="Column9916" queryTableFieldId="6469" dataDxfId="6686"/>
    <tableColumn id="9926" uniqueName="9926" name="Column9917" queryTableFieldId="6468" dataDxfId="6685"/>
    <tableColumn id="9927" uniqueName="9927" name="Column9918" queryTableFieldId="6467" dataDxfId="6684"/>
    <tableColumn id="9928" uniqueName="9928" name="Column9919" queryTableFieldId="6466" dataDxfId="6683"/>
    <tableColumn id="9929" uniqueName="9929" name="Column9920" queryTableFieldId="6465" dataDxfId="6682"/>
    <tableColumn id="9930" uniqueName="9930" name="Column9921" queryTableFieldId="6464" dataDxfId="6681"/>
    <tableColumn id="9931" uniqueName="9931" name="Column9922" queryTableFieldId="6463" dataDxfId="6680"/>
    <tableColumn id="9932" uniqueName="9932" name="Column9923" queryTableFieldId="6462" dataDxfId="6679"/>
    <tableColumn id="9933" uniqueName="9933" name="Column9924" queryTableFieldId="6461" dataDxfId="6678"/>
    <tableColumn id="9934" uniqueName="9934" name="Column9925" queryTableFieldId="6460" dataDxfId="6677"/>
    <tableColumn id="9935" uniqueName="9935" name="Column9926" queryTableFieldId="6459" dataDxfId="6676"/>
    <tableColumn id="9936" uniqueName="9936" name="Column9927" queryTableFieldId="6458" dataDxfId="6675"/>
    <tableColumn id="9937" uniqueName="9937" name="Column9928" queryTableFieldId="6457" dataDxfId="6674"/>
    <tableColumn id="9938" uniqueName="9938" name="Column9929" queryTableFieldId="6456" dataDxfId="6673"/>
    <tableColumn id="9939" uniqueName="9939" name="Column9930" queryTableFieldId="6455" dataDxfId="6672"/>
    <tableColumn id="9940" uniqueName="9940" name="Column9931" queryTableFieldId="6454" dataDxfId="6671"/>
    <tableColumn id="9941" uniqueName="9941" name="Column9932" queryTableFieldId="6453" dataDxfId="6670"/>
    <tableColumn id="9942" uniqueName="9942" name="Column9933" queryTableFieldId="6452" dataDxfId="6669"/>
    <tableColumn id="9943" uniqueName="9943" name="Column9934" queryTableFieldId="6451" dataDxfId="6668"/>
    <tableColumn id="9944" uniqueName="9944" name="Column9935" queryTableFieldId="6450" dataDxfId="6667"/>
    <tableColumn id="9945" uniqueName="9945" name="Column9936" queryTableFieldId="6449" dataDxfId="6666"/>
    <tableColumn id="9946" uniqueName="9946" name="Column9937" queryTableFieldId="6448" dataDxfId="6665"/>
    <tableColumn id="9947" uniqueName="9947" name="Column9938" queryTableFieldId="6447" dataDxfId="6664"/>
    <tableColumn id="9948" uniqueName="9948" name="Column9939" queryTableFieldId="6446" dataDxfId="6663"/>
    <tableColumn id="9949" uniqueName="9949" name="Column9940" queryTableFieldId="6445" dataDxfId="6662"/>
    <tableColumn id="9950" uniqueName="9950" name="Column9941" queryTableFieldId="6444" dataDxfId="6661"/>
    <tableColumn id="9951" uniqueName="9951" name="Column9942" queryTableFieldId="6443" dataDxfId="6660"/>
    <tableColumn id="9952" uniqueName="9952" name="Column9943" queryTableFieldId="6442" dataDxfId="6659"/>
    <tableColumn id="9953" uniqueName="9953" name="Column9944" queryTableFieldId="6441" dataDxfId="6658"/>
    <tableColumn id="9954" uniqueName="9954" name="Column9945" queryTableFieldId="6440" dataDxfId="6657"/>
    <tableColumn id="9955" uniqueName="9955" name="Column9946" queryTableFieldId="6439" dataDxfId="6656"/>
    <tableColumn id="9956" uniqueName="9956" name="Column9947" queryTableFieldId="6438" dataDxfId="6655"/>
    <tableColumn id="9957" uniqueName="9957" name="Column9948" queryTableFieldId="6437" dataDxfId="6654"/>
    <tableColumn id="9958" uniqueName="9958" name="Column9949" queryTableFieldId="6436" dataDxfId="6653"/>
    <tableColumn id="9959" uniqueName="9959" name="Column9950" queryTableFieldId="6435" dataDxfId="6652"/>
    <tableColumn id="9960" uniqueName="9960" name="Column9951" queryTableFieldId="6434" dataDxfId="6651"/>
    <tableColumn id="9961" uniqueName="9961" name="Column9952" queryTableFieldId="6433" dataDxfId="6650"/>
    <tableColumn id="9962" uniqueName="9962" name="Column9953" queryTableFieldId="6432" dataDxfId="6649"/>
    <tableColumn id="9963" uniqueName="9963" name="Column9954" queryTableFieldId="6431" dataDxfId="6648"/>
    <tableColumn id="9964" uniqueName="9964" name="Column9955" queryTableFieldId="6430" dataDxfId="6647"/>
    <tableColumn id="9965" uniqueName="9965" name="Column9956" queryTableFieldId="6429" dataDxfId="6646"/>
    <tableColumn id="9966" uniqueName="9966" name="Column9957" queryTableFieldId="6428" dataDxfId="6645"/>
    <tableColumn id="9967" uniqueName="9967" name="Column9958" queryTableFieldId="6427" dataDxfId="6644"/>
    <tableColumn id="9968" uniqueName="9968" name="Column9959" queryTableFieldId="6426" dataDxfId="6643"/>
    <tableColumn id="9969" uniqueName="9969" name="Column9960" queryTableFieldId="6425" dataDxfId="6642"/>
    <tableColumn id="9970" uniqueName="9970" name="Column9961" queryTableFieldId="6424" dataDxfId="6641"/>
    <tableColumn id="9971" uniqueName="9971" name="Column9962" queryTableFieldId="6423" dataDxfId="6640"/>
    <tableColumn id="9972" uniqueName="9972" name="Column9963" queryTableFieldId="6422" dataDxfId="6639"/>
    <tableColumn id="9973" uniqueName="9973" name="Column9964" queryTableFieldId="6421" dataDxfId="6638"/>
    <tableColumn id="9974" uniqueName="9974" name="Column9965" queryTableFieldId="6420" dataDxfId="6637"/>
    <tableColumn id="9975" uniqueName="9975" name="Column9966" queryTableFieldId="6419" dataDxfId="6636"/>
    <tableColumn id="9976" uniqueName="9976" name="Column9967" queryTableFieldId="6418" dataDxfId="6635"/>
    <tableColumn id="9977" uniqueName="9977" name="Column9968" queryTableFieldId="6417" dataDxfId="6634"/>
    <tableColumn id="9978" uniqueName="9978" name="Column9969" queryTableFieldId="6416" dataDxfId="6633"/>
    <tableColumn id="9979" uniqueName="9979" name="Column9970" queryTableFieldId="6415" dataDxfId="6632"/>
    <tableColumn id="9980" uniqueName="9980" name="Column9971" queryTableFieldId="6414" dataDxfId="6631"/>
    <tableColumn id="9981" uniqueName="9981" name="Column9972" queryTableFieldId="6413" dataDxfId="6630"/>
    <tableColumn id="9982" uniqueName="9982" name="Column9973" queryTableFieldId="6412" dataDxfId="6629"/>
    <tableColumn id="9983" uniqueName="9983" name="Column9974" queryTableFieldId="6411" dataDxfId="6628"/>
    <tableColumn id="9984" uniqueName="9984" name="Column9975" queryTableFieldId="6410" dataDxfId="6627"/>
    <tableColumn id="9985" uniqueName="9985" name="Column9976" queryTableFieldId="6409" dataDxfId="6626"/>
    <tableColumn id="9986" uniqueName="9986" name="Column9977" queryTableFieldId="6408" dataDxfId="6625"/>
    <tableColumn id="9987" uniqueName="9987" name="Column9978" queryTableFieldId="6407" dataDxfId="6624"/>
    <tableColumn id="9988" uniqueName="9988" name="Column9979" queryTableFieldId="6406" dataDxfId="6623"/>
    <tableColumn id="9989" uniqueName="9989" name="Column9980" queryTableFieldId="6405" dataDxfId="6622"/>
    <tableColumn id="9990" uniqueName="9990" name="Column9981" queryTableFieldId="6404" dataDxfId="6621"/>
    <tableColumn id="9991" uniqueName="9991" name="Column9982" queryTableFieldId="6403" dataDxfId="6620"/>
    <tableColumn id="9992" uniqueName="9992" name="Column9983" queryTableFieldId="6402" dataDxfId="6619"/>
    <tableColumn id="9993" uniqueName="9993" name="Column9984" queryTableFieldId="6401" dataDxfId="6618"/>
    <tableColumn id="9994" uniqueName="9994" name="Column9985" queryTableFieldId="6400" dataDxfId="6617"/>
    <tableColumn id="9995" uniqueName="9995" name="Column9986" queryTableFieldId="6399" dataDxfId="6616"/>
    <tableColumn id="9996" uniqueName="9996" name="Column9987" queryTableFieldId="6398" dataDxfId="6615"/>
    <tableColumn id="9997" uniqueName="9997" name="Column9988" queryTableFieldId="6397" dataDxfId="6614"/>
    <tableColumn id="9998" uniqueName="9998" name="Column9989" queryTableFieldId="6396" dataDxfId="6613"/>
    <tableColumn id="9999" uniqueName="9999" name="Column9990" queryTableFieldId="6395" dataDxfId="6612"/>
    <tableColumn id="10000" uniqueName="10000" name="Column9991" queryTableFieldId="6394" dataDxfId="6611"/>
    <tableColumn id="10001" uniqueName="10001" name="Column9992" queryTableFieldId="6393" dataDxfId="6610"/>
    <tableColumn id="10002" uniqueName="10002" name="Column9993" queryTableFieldId="6392" dataDxfId="6609"/>
    <tableColumn id="10003" uniqueName="10003" name="Column9994" queryTableFieldId="6391" dataDxfId="6608"/>
    <tableColumn id="10004" uniqueName="10004" name="Column9995" queryTableFieldId="6390" dataDxfId="6607"/>
    <tableColumn id="10005" uniqueName="10005" name="Column9996" queryTableFieldId="6389" dataDxfId="6606"/>
    <tableColumn id="10006" uniqueName="10006" name="Column9997" queryTableFieldId="6388" dataDxfId="6605"/>
    <tableColumn id="10007" uniqueName="10007" name="Column9998" queryTableFieldId="6387" dataDxfId="6604"/>
    <tableColumn id="10008" uniqueName="10008" name="Column9999" queryTableFieldId="6386" dataDxfId="6603"/>
    <tableColumn id="10009" uniqueName="10009" name="Column10000" queryTableFieldId="6385" dataDxfId="6602"/>
    <tableColumn id="10010" uniqueName="10010" name="Column10001" queryTableFieldId="6384" dataDxfId="6601"/>
    <tableColumn id="10011" uniqueName="10011" name="Column10002" queryTableFieldId="6383" dataDxfId="6600"/>
    <tableColumn id="10012" uniqueName="10012" name="Column10003" queryTableFieldId="6382" dataDxfId="6599"/>
    <tableColumn id="10013" uniqueName="10013" name="Column10004" queryTableFieldId="6381" dataDxfId="6598"/>
    <tableColumn id="10014" uniqueName="10014" name="Column10005" queryTableFieldId="6380" dataDxfId="6597"/>
    <tableColumn id="10015" uniqueName="10015" name="Column10006" queryTableFieldId="6379" dataDxfId="6596"/>
    <tableColumn id="10016" uniqueName="10016" name="Column10007" queryTableFieldId="6378" dataDxfId="6595"/>
    <tableColumn id="10017" uniqueName="10017" name="Column10008" queryTableFieldId="6377" dataDxfId="6594"/>
    <tableColumn id="10018" uniqueName="10018" name="Column10009" queryTableFieldId="6376" dataDxfId="6593"/>
    <tableColumn id="10019" uniqueName="10019" name="Column10010" queryTableFieldId="6375" dataDxfId="6592"/>
    <tableColumn id="10020" uniqueName="10020" name="Column10011" queryTableFieldId="6374" dataDxfId="6591"/>
    <tableColumn id="10021" uniqueName="10021" name="Column10012" queryTableFieldId="6373" dataDxfId="6590"/>
    <tableColumn id="10022" uniqueName="10022" name="Column10013" queryTableFieldId="6372" dataDxfId="6589"/>
    <tableColumn id="10023" uniqueName="10023" name="Column10014" queryTableFieldId="6371" dataDxfId="6588"/>
    <tableColumn id="10024" uniqueName="10024" name="Column10015" queryTableFieldId="6370" dataDxfId="6587"/>
    <tableColumn id="10025" uniqueName="10025" name="Column10016" queryTableFieldId="6369" dataDxfId="6586"/>
    <tableColumn id="10026" uniqueName="10026" name="Column10017" queryTableFieldId="6368" dataDxfId="6585"/>
    <tableColumn id="10027" uniqueName="10027" name="Column10018" queryTableFieldId="6367" dataDxfId="6584"/>
    <tableColumn id="10028" uniqueName="10028" name="Column10019" queryTableFieldId="6366" dataDxfId="6583"/>
    <tableColumn id="10029" uniqueName="10029" name="Column10020" queryTableFieldId="6365" dataDxfId="6582"/>
    <tableColumn id="10030" uniqueName="10030" name="Column10021" queryTableFieldId="6364" dataDxfId="6581"/>
    <tableColumn id="10031" uniqueName="10031" name="Column10022" queryTableFieldId="6363" dataDxfId="6580"/>
    <tableColumn id="10032" uniqueName="10032" name="Column10023" queryTableFieldId="6362" dataDxfId="6579"/>
    <tableColumn id="10033" uniqueName="10033" name="Column10024" queryTableFieldId="6361" dataDxfId="6578"/>
    <tableColumn id="10034" uniqueName="10034" name="Column10025" queryTableFieldId="6360" dataDxfId="6577"/>
    <tableColumn id="10035" uniqueName="10035" name="Column10026" queryTableFieldId="6359" dataDxfId="6576"/>
    <tableColumn id="10036" uniqueName="10036" name="Column10027" queryTableFieldId="6358" dataDxfId="6575"/>
    <tableColumn id="10037" uniqueName="10037" name="Column10028" queryTableFieldId="6357" dataDxfId="6574"/>
    <tableColumn id="10038" uniqueName="10038" name="Column10029" queryTableFieldId="6356" dataDxfId="6573"/>
    <tableColumn id="10039" uniqueName="10039" name="Column10030" queryTableFieldId="6355" dataDxfId="6572"/>
    <tableColumn id="10040" uniqueName="10040" name="Column10031" queryTableFieldId="6354" dataDxfId="6571"/>
    <tableColumn id="10041" uniqueName="10041" name="Column10032" queryTableFieldId="6353" dataDxfId="6570"/>
    <tableColumn id="10042" uniqueName="10042" name="Column10033" queryTableFieldId="6352" dataDxfId="6569"/>
    <tableColumn id="10043" uniqueName="10043" name="Column10034" queryTableFieldId="6351" dataDxfId="6568"/>
    <tableColumn id="10044" uniqueName="10044" name="Column10035" queryTableFieldId="6350" dataDxfId="6567"/>
    <tableColumn id="10045" uniqueName="10045" name="Column10036" queryTableFieldId="6349" dataDxfId="6566"/>
    <tableColumn id="10046" uniqueName="10046" name="Column10037" queryTableFieldId="6348" dataDxfId="6565"/>
    <tableColumn id="10047" uniqueName="10047" name="Column10038" queryTableFieldId="6347" dataDxfId="6564"/>
    <tableColumn id="10048" uniqueName="10048" name="Column10039" queryTableFieldId="6346" dataDxfId="6563"/>
    <tableColumn id="10049" uniqueName="10049" name="Column10040" queryTableFieldId="6345" dataDxfId="6562"/>
    <tableColumn id="10050" uniqueName="10050" name="Column10041" queryTableFieldId="6344" dataDxfId="6561"/>
    <tableColumn id="10051" uniqueName="10051" name="Column10042" queryTableFieldId="6343" dataDxfId="6560"/>
    <tableColumn id="10052" uniqueName="10052" name="Column10043" queryTableFieldId="6342" dataDxfId="6559"/>
    <tableColumn id="10053" uniqueName="10053" name="Column10044" queryTableFieldId="6341" dataDxfId="6558"/>
    <tableColumn id="10054" uniqueName="10054" name="Column10045" queryTableFieldId="6340" dataDxfId="6557"/>
    <tableColumn id="10055" uniqueName="10055" name="Column10046" queryTableFieldId="6339" dataDxfId="6556"/>
    <tableColumn id="10056" uniqueName="10056" name="Column10047" queryTableFieldId="6338" dataDxfId="6555"/>
    <tableColumn id="10057" uniqueName="10057" name="Column10048" queryTableFieldId="6337" dataDxfId="6554"/>
    <tableColumn id="10058" uniqueName="10058" name="Column10049" queryTableFieldId="6336" dataDxfId="6553"/>
    <tableColumn id="10059" uniqueName="10059" name="Column10050" queryTableFieldId="6335" dataDxfId="6552"/>
    <tableColumn id="10060" uniqueName="10060" name="Column10051" queryTableFieldId="6334" dataDxfId="6551"/>
    <tableColumn id="10061" uniqueName="10061" name="Column10052" queryTableFieldId="6333" dataDxfId="6550"/>
    <tableColumn id="10062" uniqueName="10062" name="Column10053" queryTableFieldId="6332" dataDxfId="6549"/>
    <tableColumn id="10063" uniqueName="10063" name="Column10054" queryTableFieldId="6331" dataDxfId="6548"/>
    <tableColumn id="10064" uniqueName="10064" name="Column10055" queryTableFieldId="6330" dataDxfId="6547"/>
    <tableColumn id="10065" uniqueName="10065" name="Column10056" queryTableFieldId="6329" dataDxfId="6546"/>
    <tableColumn id="10066" uniqueName="10066" name="Column10057" queryTableFieldId="6328" dataDxfId="6545"/>
    <tableColumn id="10067" uniqueName="10067" name="Column10058" queryTableFieldId="6327" dataDxfId="6544"/>
    <tableColumn id="10068" uniqueName="10068" name="Column10059" queryTableFieldId="6326" dataDxfId="6543"/>
    <tableColumn id="10069" uniqueName="10069" name="Column10060" queryTableFieldId="6325" dataDxfId="6542"/>
    <tableColumn id="10070" uniqueName="10070" name="Column10061" queryTableFieldId="6324" dataDxfId="6541"/>
    <tableColumn id="10071" uniqueName="10071" name="Column10062" queryTableFieldId="6323" dataDxfId="6540"/>
    <tableColumn id="10072" uniqueName="10072" name="Column10063" queryTableFieldId="6322" dataDxfId="6539"/>
    <tableColumn id="10073" uniqueName="10073" name="Column10064" queryTableFieldId="6321" dataDxfId="6538"/>
    <tableColumn id="10074" uniqueName="10074" name="Column10065" queryTableFieldId="6320" dataDxfId="6537"/>
    <tableColumn id="10075" uniqueName="10075" name="Column10066" queryTableFieldId="6319" dataDxfId="6536"/>
    <tableColumn id="10076" uniqueName="10076" name="Column10067" queryTableFieldId="6318" dataDxfId="6535"/>
    <tableColumn id="10077" uniqueName="10077" name="Column10068" queryTableFieldId="6317" dataDxfId="6534"/>
    <tableColumn id="10078" uniqueName="10078" name="Column10069" queryTableFieldId="6316" dataDxfId="6533"/>
    <tableColumn id="10079" uniqueName="10079" name="Column10070" queryTableFieldId="6315" dataDxfId="6532"/>
    <tableColumn id="10080" uniqueName="10080" name="Column10071" queryTableFieldId="6314" dataDxfId="6531"/>
    <tableColumn id="10081" uniqueName="10081" name="Column10072" queryTableFieldId="6313" dataDxfId="6530"/>
    <tableColumn id="10082" uniqueName="10082" name="Column10073" queryTableFieldId="6312" dataDxfId="6529"/>
    <tableColumn id="10083" uniqueName="10083" name="Column10074" queryTableFieldId="6311" dataDxfId="6528"/>
    <tableColumn id="10084" uniqueName="10084" name="Column10075" queryTableFieldId="6310" dataDxfId="6527"/>
    <tableColumn id="10085" uniqueName="10085" name="Column10076" queryTableFieldId="6309" dataDxfId="6526"/>
    <tableColumn id="10086" uniqueName="10086" name="Column10077" queryTableFieldId="6308" dataDxfId="6525"/>
    <tableColumn id="10087" uniqueName="10087" name="Column10078" queryTableFieldId="6307" dataDxfId="6524"/>
    <tableColumn id="10088" uniqueName="10088" name="Column10079" queryTableFieldId="6306" dataDxfId="6523"/>
    <tableColumn id="10089" uniqueName="10089" name="Column10080" queryTableFieldId="6305" dataDxfId="6522"/>
    <tableColumn id="10090" uniqueName="10090" name="Column10081" queryTableFieldId="6304" dataDxfId="6521"/>
    <tableColumn id="10091" uniqueName="10091" name="Column10082" queryTableFieldId="6303" dataDxfId="6520"/>
    <tableColumn id="10092" uniqueName="10092" name="Column10083" queryTableFieldId="6302" dataDxfId="6519"/>
    <tableColumn id="10093" uniqueName="10093" name="Column10084" queryTableFieldId="6301" dataDxfId="6518"/>
    <tableColumn id="10094" uniqueName="10094" name="Column10085" queryTableFieldId="6300" dataDxfId="6517"/>
    <tableColumn id="10095" uniqueName="10095" name="Column10086" queryTableFieldId="6299" dataDxfId="6516"/>
    <tableColumn id="10096" uniqueName="10096" name="Column10087" queryTableFieldId="6298" dataDxfId="6515"/>
    <tableColumn id="10097" uniqueName="10097" name="Column10088" queryTableFieldId="6297" dataDxfId="6514"/>
    <tableColumn id="10098" uniqueName="10098" name="Column10089" queryTableFieldId="6296" dataDxfId="6513"/>
    <tableColumn id="10099" uniqueName="10099" name="Column10090" queryTableFieldId="6295" dataDxfId="6512"/>
    <tableColumn id="10100" uniqueName="10100" name="Column10091" queryTableFieldId="6294" dataDxfId="6511"/>
    <tableColumn id="10101" uniqueName="10101" name="Column10092" queryTableFieldId="6293" dataDxfId="6510"/>
    <tableColumn id="10102" uniqueName="10102" name="Column10093" queryTableFieldId="6292" dataDxfId="6509"/>
    <tableColumn id="10103" uniqueName="10103" name="Column10094" queryTableFieldId="6291" dataDxfId="6508"/>
    <tableColumn id="10104" uniqueName="10104" name="Column10095" queryTableFieldId="6290" dataDxfId="6507"/>
    <tableColumn id="10105" uniqueName="10105" name="Column10096" queryTableFieldId="6289" dataDxfId="6506"/>
    <tableColumn id="10106" uniqueName="10106" name="Column10097" queryTableFieldId="6288" dataDxfId="6505"/>
    <tableColumn id="10107" uniqueName="10107" name="Column10098" queryTableFieldId="6287" dataDxfId="6504"/>
    <tableColumn id="10108" uniqueName="10108" name="Column10099" queryTableFieldId="6286" dataDxfId="6503"/>
    <tableColumn id="10109" uniqueName="10109" name="Column10100" queryTableFieldId="6285" dataDxfId="6502"/>
    <tableColumn id="10110" uniqueName="10110" name="Column10101" queryTableFieldId="6284" dataDxfId="6501"/>
    <tableColumn id="10111" uniqueName="10111" name="Column10102" queryTableFieldId="6283" dataDxfId="6500"/>
    <tableColumn id="10112" uniqueName="10112" name="Column10103" queryTableFieldId="6282" dataDxfId="6499"/>
    <tableColumn id="10113" uniqueName="10113" name="Column10104" queryTableFieldId="6281" dataDxfId="6498"/>
    <tableColumn id="10114" uniqueName="10114" name="Column10105" queryTableFieldId="6280" dataDxfId="6497"/>
    <tableColumn id="10115" uniqueName="10115" name="Column10106" queryTableFieldId="6279" dataDxfId="6496"/>
    <tableColumn id="10116" uniqueName="10116" name="Column10107" queryTableFieldId="6278" dataDxfId="6495"/>
    <tableColumn id="10117" uniqueName="10117" name="Column10108" queryTableFieldId="6277" dataDxfId="6494"/>
    <tableColumn id="10118" uniqueName="10118" name="Column10109" queryTableFieldId="6276" dataDxfId="6493"/>
    <tableColumn id="10119" uniqueName="10119" name="Column10110" queryTableFieldId="6275" dataDxfId="6492"/>
    <tableColumn id="10120" uniqueName="10120" name="Column10111" queryTableFieldId="6274" dataDxfId="6491"/>
    <tableColumn id="10121" uniqueName="10121" name="Column10112" queryTableFieldId="6273" dataDxfId="6490"/>
    <tableColumn id="10122" uniqueName="10122" name="Column10113" queryTableFieldId="6272" dataDxfId="6489"/>
    <tableColumn id="10123" uniqueName="10123" name="Column10114" queryTableFieldId="6271" dataDxfId="6488"/>
    <tableColumn id="10124" uniqueName="10124" name="Column10115" queryTableFieldId="6270" dataDxfId="6487"/>
    <tableColumn id="10125" uniqueName="10125" name="Column10116" queryTableFieldId="6269" dataDxfId="6486"/>
    <tableColumn id="10126" uniqueName="10126" name="Column10117" queryTableFieldId="6268" dataDxfId="6485"/>
    <tableColumn id="10127" uniqueName="10127" name="Column10118" queryTableFieldId="6267" dataDxfId="6484"/>
    <tableColumn id="10128" uniqueName="10128" name="Column10119" queryTableFieldId="6266" dataDxfId="6483"/>
    <tableColumn id="10129" uniqueName="10129" name="Column10120" queryTableFieldId="6265" dataDxfId="6482"/>
    <tableColumn id="10130" uniqueName="10130" name="Column10121" queryTableFieldId="6264" dataDxfId="6481"/>
    <tableColumn id="10131" uniqueName="10131" name="Column10122" queryTableFieldId="6263" dataDxfId="6480"/>
    <tableColumn id="10132" uniqueName="10132" name="Column10123" queryTableFieldId="6262" dataDxfId="6479"/>
    <tableColumn id="10133" uniqueName="10133" name="Column10124" queryTableFieldId="6261" dataDxfId="6478"/>
    <tableColumn id="10134" uniqueName="10134" name="Column10125" queryTableFieldId="6260" dataDxfId="6477"/>
    <tableColumn id="10135" uniqueName="10135" name="Column10126" queryTableFieldId="6259" dataDxfId="6476"/>
    <tableColumn id="10136" uniqueName="10136" name="Column10127" queryTableFieldId="6258" dataDxfId="6475"/>
    <tableColumn id="10137" uniqueName="10137" name="Column10128" queryTableFieldId="6257" dataDxfId="6474"/>
    <tableColumn id="10138" uniqueName="10138" name="Column10129" queryTableFieldId="6256" dataDxfId="6473"/>
    <tableColumn id="10139" uniqueName="10139" name="Column10130" queryTableFieldId="6255" dataDxfId="6472"/>
    <tableColumn id="10140" uniqueName="10140" name="Column10131" queryTableFieldId="6254" dataDxfId="6471"/>
    <tableColumn id="10141" uniqueName="10141" name="Column10132" queryTableFieldId="6253" dataDxfId="6470"/>
    <tableColumn id="10142" uniqueName="10142" name="Column10133" queryTableFieldId="6252" dataDxfId="6469"/>
    <tableColumn id="10143" uniqueName="10143" name="Column10134" queryTableFieldId="6251" dataDxfId="6468"/>
    <tableColumn id="10144" uniqueName="10144" name="Column10135" queryTableFieldId="6250" dataDxfId="6467"/>
    <tableColumn id="10145" uniqueName="10145" name="Column10136" queryTableFieldId="6249" dataDxfId="6466"/>
    <tableColumn id="10146" uniqueName="10146" name="Column10137" queryTableFieldId="6248" dataDxfId="6465"/>
    <tableColumn id="10147" uniqueName="10147" name="Column10138" queryTableFieldId="6247" dataDxfId="6464"/>
    <tableColumn id="10148" uniqueName="10148" name="Column10139" queryTableFieldId="6246" dataDxfId="6463"/>
    <tableColumn id="10149" uniqueName="10149" name="Column10140" queryTableFieldId="6245" dataDxfId="6462"/>
    <tableColumn id="10150" uniqueName="10150" name="Column10141" queryTableFieldId="6244" dataDxfId="6461"/>
    <tableColumn id="10151" uniqueName="10151" name="Column10142" queryTableFieldId="6243" dataDxfId="6460"/>
    <tableColumn id="10152" uniqueName="10152" name="Column10143" queryTableFieldId="6242" dataDxfId="6459"/>
    <tableColumn id="10153" uniqueName="10153" name="Column10144" queryTableFieldId="6241" dataDxfId="6458"/>
    <tableColumn id="10154" uniqueName="10154" name="Column10145" queryTableFieldId="6240" dataDxfId="6457"/>
    <tableColumn id="10155" uniqueName="10155" name="Column10146" queryTableFieldId="6239" dataDxfId="6456"/>
    <tableColumn id="10156" uniqueName="10156" name="Column10147" queryTableFieldId="6238" dataDxfId="6455"/>
    <tableColumn id="10157" uniqueName="10157" name="Column10148" queryTableFieldId="6237" dataDxfId="6454"/>
    <tableColumn id="10158" uniqueName="10158" name="Column10149" queryTableFieldId="6236" dataDxfId="6453"/>
    <tableColumn id="10159" uniqueName="10159" name="Column10150" queryTableFieldId="6235" dataDxfId="6452"/>
    <tableColumn id="10160" uniqueName="10160" name="Column10151" queryTableFieldId="6234" dataDxfId="6451"/>
    <tableColumn id="10161" uniqueName="10161" name="Column10152" queryTableFieldId="6233" dataDxfId="6450"/>
    <tableColumn id="10162" uniqueName="10162" name="Column10153" queryTableFieldId="6232" dataDxfId="6449"/>
    <tableColumn id="10163" uniqueName="10163" name="Column10154" queryTableFieldId="6231" dataDxfId="6448"/>
    <tableColumn id="10164" uniqueName="10164" name="Column10155" queryTableFieldId="6230" dataDxfId="6447"/>
    <tableColumn id="10165" uniqueName="10165" name="Column10156" queryTableFieldId="6229" dataDxfId="6446"/>
    <tableColumn id="10166" uniqueName="10166" name="Column10157" queryTableFieldId="6228" dataDxfId="6445"/>
    <tableColumn id="10167" uniqueName="10167" name="Column10158" queryTableFieldId="6227" dataDxfId="6444"/>
    <tableColumn id="10168" uniqueName="10168" name="Column10159" queryTableFieldId="6226" dataDxfId="6443"/>
    <tableColumn id="10169" uniqueName="10169" name="Column10160" queryTableFieldId="6225" dataDxfId="6442"/>
    <tableColumn id="10170" uniqueName="10170" name="Column10161" queryTableFieldId="6224" dataDxfId="6441"/>
    <tableColumn id="10171" uniqueName="10171" name="Column10162" queryTableFieldId="6223" dataDxfId="6440"/>
    <tableColumn id="10172" uniqueName="10172" name="Column10163" queryTableFieldId="6222" dataDxfId="6439"/>
    <tableColumn id="10173" uniqueName="10173" name="Column10164" queryTableFieldId="6221" dataDxfId="6438"/>
    <tableColumn id="10174" uniqueName="10174" name="Column10165" queryTableFieldId="6220" dataDxfId="6437"/>
    <tableColumn id="10175" uniqueName="10175" name="Column10166" queryTableFieldId="6219" dataDxfId="6436"/>
    <tableColumn id="10176" uniqueName="10176" name="Column10167" queryTableFieldId="6218" dataDxfId="6435"/>
    <tableColumn id="10177" uniqueName="10177" name="Column10168" queryTableFieldId="6217" dataDxfId="6434"/>
    <tableColumn id="10178" uniqueName="10178" name="Column10169" queryTableFieldId="6216" dataDxfId="6433"/>
    <tableColumn id="10179" uniqueName="10179" name="Column10170" queryTableFieldId="6215" dataDxfId="6432"/>
    <tableColumn id="10180" uniqueName="10180" name="Column10171" queryTableFieldId="6214" dataDxfId="6431"/>
    <tableColumn id="10181" uniqueName="10181" name="Column10172" queryTableFieldId="6213" dataDxfId="6430"/>
    <tableColumn id="10182" uniqueName="10182" name="Column10173" queryTableFieldId="6212" dataDxfId="6429"/>
    <tableColumn id="10183" uniqueName="10183" name="Column10174" queryTableFieldId="6211" dataDxfId="6428"/>
    <tableColumn id="10184" uniqueName="10184" name="Column10175" queryTableFieldId="6210" dataDxfId="6427"/>
    <tableColumn id="10185" uniqueName="10185" name="Column10176" queryTableFieldId="6209" dataDxfId="6426"/>
    <tableColumn id="10186" uniqueName="10186" name="Column10177" queryTableFieldId="6208" dataDxfId="6425"/>
    <tableColumn id="10187" uniqueName="10187" name="Column10178" queryTableFieldId="6207" dataDxfId="6424"/>
    <tableColumn id="10188" uniqueName="10188" name="Column10179" queryTableFieldId="6206" dataDxfId="6423"/>
    <tableColumn id="10189" uniqueName="10189" name="Column10180" queryTableFieldId="6205" dataDxfId="6422"/>
    <tableColumn id="10190" uniqueName="10190" name="Column10181" queryTableFieldId="6204" dataDxfId="6421"/>
    <tableColumn id="10191" uniqueName="10191" name="Column10182" queryTableFieldId="6203" dataDxfId="6420"/>
    <tableColumn id="10192" uniqueName="10192" name="Column10183" queryTableFieldId="6202" dataDxfId="6419"/>
    <tableColumn id="10193" uniqueName="10193" name="Column10184" queryTableFieldId="6201" dataDxfId="6418"/>
    <tableColumn id="10194" uniqueName="10194" name="Column10185" queryTableFieldId="6200" dataDxfId="6417"/>
    <tableColumn id="10195" uniqueName="10195" name="Column10186" queryTableFieldId="6199" dataDxfId="6416"/>
    <tableColumn id="10196" uniqueName="10196" name="Column10187" queryTableFieldId="6198" dataDxfId="6415"/>
    <tableColumn id="10197" uniqueName="10197" name="Column10188" queryTableFieldId="6197" dataDxfId="6414"/>
    <tableColumn id="10198" uniqueName="10198" name="Column10189" queryTableFieldId="6196" dataDxfId="6413"/>
    <tableColumn id="10199" uniqueName="10199" name="Column10190" queryTableFieldId="6195" dataDxfId="6412"/>
    <tableColumn id="10200" uniqueName="10200" name="Column10191" queryTableFieldId="6194" dataDxfId="6411"/>
    <tableColumn id="10201" uniqueName="10201" name="Column10192" queryTableFieldId="6193" dataDxfId="6410"/>
    <tableColumn id="10202" uniqueName="10202" name="Column10193" queryTableFieldId="6192" dataDxfId="6409"/>
    <tableColumn id="10203" uniqueName="10203" name="Column10194" queryTableFieldId="6191" dataDxfId="6408"/>
    <tableColumn id="10204" uniqueName="10204" name="Column10195" queryTableFieldId="6190" dataDxfId="6407"/>
    <tableColumn id="10205" uniqueName="10205" name="Column10196" queryTableFieldId="6189" dataDxfId="6406"/>
    <tableColumn id="10206" uniqueName="10206" name="Column10197" queryTableFieldId="6188" dataDxfId="6405"/>
    <tableColumn id="10207" uniqueName="10207" name="Column10198" queryTableFieldId="6187" dataDxfId="6404"/>
    <tableColumn id="10208" uniqueName="10208" name="Column10199" queryTableFieldId="6186" dataDxfId="6403"/>
    <tableColumn id="10209" uniqueName="10209" name="Column10200" queryTableFieldId="6185" dataDxfId="6402"/>
    <tableColumn id="10210" uniqueName="10210" name="Column10201" queryTableFieldId="6184" dataDxfId="6401"/>
    <tableColumn id="10211" uniqueName="10211" name="Column10202" queryTableFieldId="6183" dataDxfId="6400"/>
    <tableColumn id="10212" uniqueName="10212" name="Column10203" queryTableFieldId="6182" dataDxfId="6399"/>
    <tableColumn id="10213" uniqueName="10213" name="Column10204" queryTableFieldId="6181" dataDxfId="6398"/>
    <tableColumn id="10214" uniqueName="10214" name="Column10205" queryTableFieldId="6180" dataDxfId="6397"/>
    <tableColumn id="10215" uniqueName="10215" name="Column10206" queryTableFieldId="6179" dataDxfId="6396"/>
    <tableColumn id="10216" uniqueName="10216" name="Column10207" queryTableFieldId="6178" dataDxfId="6395"/>
    <tableColumn id="10217" uniqueName="10217" name="Column10208" queryTableFieldId="6177" dataDxfId="6394"/>
    <tableColumn id="10218" uniqueName="10218" name="Column10209" queryTableFieldId="6176" dataDxfId="6393"/>
    <tableColumn id="10219" uniqueName="10219" name="Column10210" queryTableFieldId="6175" dataDxfId="6392"/>
    <tableColumn id="10220" uniqueName="10220" name="Column10211" queryTableFieldId="6174" dataDxfId="6391"/>
    <tableColumn id="10221" uniqueName="10221" name="Column10212" queryTableFieldId="6173" dataDxfId="6390"/>
    <tableColumn id="10222" uniqueName="10222" name="Column10213" queryTableFieldId="6172" dataDxfId="6389"/>
    <tableColumn id="10223" uniqueName="10223" name="Column10214" queryTableFieldId="6171" dataDxfId="6388"/>
    <tableColumn id="10224" uniqueName="10224" name="Column10215" queryTableFieldId="6170" dataDxfId="6387"/>
    <tableColumn id="10225" uniqueName="10225" name="Column10216" queryTableFieldId="6169" dataDxfId="6386"/>
    <tableColumn id="10226" uniqueName="10226" name="Column10217" queryTableFieldId="6168" dataDxfId="6385"/>
    <tableColumn id="10227" uniqueName="10227" name="Column10218" queryTableFieldId="6167" dataDxfId="6384"/>
    <tableColumn id="10228" uniqueName="10228" name="Column10219" queryTableFieldId="6166" dataDxfId="6383"/>
    <tableColumn id="10229" uniqueName="10229" name="Column10220" queryTableFieldId="6165" dataDxfId="6382"/>
    <tableColumn id="10230" uniqueName="10230" name="Column10221" queryTableFieldId="6164" dataDxfId="6381"/>
    <tableColumn id="10231" uniqueName="10231" name="Column10222" queryTableFieldId="6163" dataDxfId="6380"/>
    <tableColumn id="10232" uniqueName="10232" name="Column10223" queryTableFieldId="6162" dataDxfId="6379"/>
    <tableColumn id="10233" uniqueName="10233" name="Column10224" queryTableFieldId="6161" dataDxfId="6378"/>
    <tableColumn id="10234" uniqueName="10234" name="Column10225" queryTableFieldId="6160" dataDxfId="6377"/>
    <tableColumn id="10235" uniqueName="10235" name="Column10226" queryTableFieldId="6159" dataDxfId="6376"/>
    <tableColumn id="10236" uniqueName="10236" name="Column10227" queryTableFieldId="6158" dataDxfId="6375"/>
    <tableColumn id="10237" uniqueName="10237" name="Column10228" queryTableFieldId="6157" dataDxfId="6374"/>
    <tableColumn id="10238" uniqueName="10238" name="Column10229" queryTableFieldId="6156" dataDxfId="6373"/>
    <tableColumn id="10239" uniqueName="10239" name="Column10230" queryTableFieldId="6155" dataDxfId="6372"/>
    <tableColumn id="10240" uniqueName="10240" name="Column10231" queryTableFieldId="6154" dataDxfId="6371"/>
    <tableColumn id="10241" uniqueName="10241" name="Column10232" queryTableFieldId="6153" dataDxfId="6370"/>
    <tableColumn id="10242" uniqueName="10242" name="Column10233" queryTableFieldId="6152" dataDxfId="6369"/>
    <tableColumn id="10243" uniqueName="10243" name="Column10234" queryTableFieldId="6151" dataDxfId="6368"/>
    <tableColumn id="10244" uniqueName="10244" name="Column10235" queryTableFieldId="6150" dataDxfId="6367"/>
    <tableColumn id="10245" uniqueName="10245" name="Column10236" queryTableFieldId="6149" dataDxfId="6366"/>
    <tableColumn id="10246" uniqueName="10246" name="Column10237" queryTableFieldId="6148" dataDxfId="6365"/>
    <tableColumn id="10247" uniqueName="10247" name="Column10238" queryTableFieldId="6147" dataDxfId="6364"/>
    <tableColumn id="10248" uniqueName="10248" name="Column10239" queryTableFieldId="6146" dataDxfId="6363"/>
    <tableColumn id="10249" uniqueName="10249" name="Column10240" queryTableFieldId="6145" dataDxfId="6362"/>
    <tableColumn id="10250" uniqueName="10250" name="Column10241" queryTableFieldId="6144" dataDxfId="6361"/>
    <tableColumn id="10251" uniqueName="10251" name="Column10242" queryTableFieldId="6143" dataDxfId="6360"/>
    <tableColumn id="10252" uniqueName="10252" name="Column10243" queryTableFieldId="6142" dataDxfId="6359"/>
    <tableColumn id="10253" uniqueName="10253" name="Column10244" queryTableFieldId="6141" dataDxfId="6358"/>
    <tableColumn id="10254" uniqueName="10254" name="Column10245" queryTableFieldId="6140" dataDxfId="6357"/>
    <tableColumn id="10255" uniqueName="10255" name="Column10246" queryTableFieldId="6139" dataDxfId="6356"/>
    <tableColumn id="10256" uniqueName="10256" name="Column10247" queryTableFieldId="6138" dataDxfId="6355"/>
    <tableColumn id="10257" uniqueName="10257" name="Column10248" queryTableFieldId="6137" dataDxfId="6354"/>
    <tableColumn id="10258" uniqueName="10258" name="Column10249" queryTableFieldId="6136" dataDxfId="6353"/>
    <tableColumn id="10259" uniqueName="10259" name="Column10250" queryTableFieldId="6135" dataDxfId="6352"/>
    <tableColumn id="10260" uniqueName="10260" name="Column10251" queryTableFieldId="6134" dataDxfId="6351"/>
    <tableColumn id="10261" uniqueName="10261" name="Column10252" queryTableFieldId="6133" dataDxfId="6350"/>
    <tableColumn id="10262" uniqueName="10262" name="Column10253" queryTableFieldId="6132" dataDxfId="6349"/>
    <tableColumn id="10263" uniqueName="10263" name="Column10254" queryTableFieldId="6131" dataDxfId="6348"/>
    <tableColumn id="10264" uniqueName="10264" name="Column10255" queryTableFieldId="6130" dataDxfId="6347"/>
    <tableColumn id="10265" uniqueName="10265" name="Column10256" queryTableFieldId="6129" dataDxfId="6346"/>
    <tableColumn id="10266" uniqueName="10266" name="Column10257" queryTableFieldId="6128" dataDxfId="6345"/>
    <tableColumn id="10267" uniqueName="10267" name="Column10258" queryTableFieldId="6127" dataDxfId="6344"/>
    <tableColumn id="10268" uniqueName="10268" name="Column10259" queryTableFieldId="6126" dataDxfId="6343"/>
    <tableColumn id="10269" uniqueName="10269" name="Column10260" queryTableFieldId="6125" dataDxfId="6342"/>
    <tableColumn id="10270" uniqueName="10270" name="Column10261" queryTableFieldId="6124" dataDxfId="6341"/>
    <tableColumn id="10271" uniqueName="10271" name="Column10262" queryTableFieldId="6123" dataDxfId="6340"/>
    <tableColumn id="10272" uniqueName="10272" name="Column10263" queryTableFieldId="6122" dataDxfId="6339"/>
    <tableColumn id="10273" uniqueName="10273" name="Column10264" queryTableFieldId="6121" dataDxfId="6338"/>
    <tableColumn id="10274" uniqueName="10274" name="Column10265" queryTableFieldId="6120" dataDxfId="6337"/>
    <tableColumn id="10275" uniqueName="10275" name="Column10266" queryTableFieldId="6119" dataDxfId="6336"/>
    <tableColumn id="10276" uniqueName="10276" name="Column10267" queryTableFieldId="6118" dataDxfId="6335"/>
    <tableColumn id="10277" uniqueName="10277" name="Column10268" queryTableFieldId="6117" dataDxfId="6334"/>
    <tableColumn id="10278" uniqueName="10278" name="Column10269" queryTableFieldId="6116" dataDxfId="6333"/>
    <tableColumn id="10279" uniqueName="10279" name="Column10270" queryTableFieldId="6115" dataDxfId="6332"/>
    <tableColumn id="10280" uniqueName="10280" name="Column10271" queryTableFieldId="6114" dataDxfId="6331"/>
    <tableColumn id="10281" uniqueName="10281" name="Column10272" queryTableFieldId="6113" dataDxfId="6330"/>
    <tableColumn id="10282" uniqueName="10282" name="Column10273" queryTableFieldId="6112" dataDxfId="6329"/>
    <tableColumn id="10283" uniqueName="10283" name="Column10274" queryTableFieldId="6111" dataDxfId="6328"/>
    <tableColumn id="10284" uniqueName="10284" name="Column10275" queryTableFieldId="6110" dataDxfId="6327"/>
    <tableColumn id="10285" uniqueName="10285" name="Column10276" queryTableFieldId="6109" dataDxfId="6326"/>
    <tableColumn id="10286" uniqueName="10286" name="Column10277" queryTableFieldId="6108" dataDxfId="6325"/>
    <tableColumn id="10287" uniqueName="10287" name="Column10278" queryTableFieldId="6107" dataDxfId="6324"/>
    <tableColumn id="10288" uniqueName="10288" name="Column10279" queryTableFieldId="6106" dataDxfId="6323"/>
    <tableColumn id="10289" uniqueName="10289" name="Column10280" queryTableFieldId="6105" dataDxfId="6322"/>
    <tableColumn id="10290" uniqueName="10290" name="Column10281" queryTableFieldId="6104" dataDxfId="6321"/>
    <tableColumn id="10291" uniqueName="10291" name="Column10282" queryTableFieldId="6103" dataDxfId="6320"/>
    <tableColumn id="10292" uniqueName="10292" name="Column10283" queryTableFieldId="6102" dataDxfId="6319"/>
    <tableColumn id="10293" uniqueName="10293" name="Column10284" queryTableFieldId="6101" dataDxfId="6318"/>
    <tableColumn id="10294" uniqueName="10294" name="Column10285" queryTableFieldId="6100" dataDxfId="6317"/>
    <tableColumn id="10295" uniqueName="10295" name="Column10286" queryTableFieldId="6099" dataDxfId="6316"/>
    <tableColumn id="10296" uniqueName="10296" name="Column10287" queryTableFieldId="6098" dataDxfId="6315"/>
    <tableColumn id="10297" uniqueName="10297" name="Column10288" queryTableFieldId="6097" dataDxfId="6314"/>
    <tableColumn id="10298" uniqueName="10298" name="Column10289" queryTableFieldId="6096" dataDxfId="6313"/>
    <tableColumn id="10299" uniqueName="10299" name="Column10290" queryTableFieldId="6095" dataDxfId="6312"/>
    <tableColumn id="10300" uniqueName="10300" name="Column10291" queryTableFieldId="6094" dataDxfId="6311"/>
    <tableColumn id="10301" uniqueName="10301" name="Column10292" queryTableFieldId="6093" dataDxfId="6310"/>
    <tableColumn id="10302" uniqueName="10302" name="Column10293" queryTableFieldId="6092" dataDxfId="6309"/>
    <tableColumn id="10303" uniqueName="10303" name="Column10294" queryTableFieldId="6091" dataDxfId="6308"/>
    <tableColumn id="10304" uniqueName="10304" name="Column10295" queryTableFieldId="6090" dataDxfId="6307"/>
    <tableColumn id="10305" uniqueName="10305" name="Column10296" queryTableFieldId="6089" dataDxfId="6306"/>
    <tableColumn id="10306" uniqueName="10306" name="Column10297" queryTableFieldId="6088" dataDxfId="6305"/>
    <tableColumn id="10307" uniqueName="10307" name="Column10298" queryTableFieldId="6087" dataDxfId="6304"/>
    <tableColumn id="10308" uniqueName="10308" name="Column10299" queryTableFieldId="6086" dataDxfId="6303"/>
    <tableColumn id="10309" uniqueName="10309" name="Column10300" queryTableFieldId="6085" dataDxfId="6302"/>
    <tableColumn id="10310" uniqueName="10310" name="Column10301" queryTableFieldId="6084" dataDxfId="6301"/>
    <tableColumn id="10311" uniqueName="10311" name="Column10302" queryTableFieldId="6083" dataDxfId="6300"/>
    <tableColumn id="10312" uniqueName="10312" name="Column10303" queryTableFieldId="6082" dataDxfId="6299"/>
    <tableColumn id="10313" uniqueName="10313" name="Column10304" queryTableFieldId="6081" dataDxfId="6298"/>
    <tableColumn id="10314" uniqueName="10314" name="Column10305" queryTableFieldId="6080" dataDxfId="6297"/>
    <tableColumn id="10315" uniqueName="10315" name="Column10306" queryTableFieldId="6079" dataDxfId="6296"/>
    <tableColumn id="10316" uniqueName="10316" name="Column10307" queryTableFieldId="6078" dataDxfId="6295"/>
    <tableColumn id="10317" uniqueName="10317" name="Column10308" queryTableFieldId="6077" dataDxfId="6294"/>
    <tableColumn id="10318" uniqueName="10318" name="Column10309" queryTableFieldId="6076" dataDxfId="6293"/>
    <tableColumn id="10319" uniqueName="10319" name="Column10310" queryTableFieldId="6075" dataDxfId="6292"/>
    <tableColumn id="10320" uniqueName="10320" name="Column10311" queryTableFieldId="6074" dataDxfId="6291"/>
    <tableColumn id="10321" uniqueName="10321" name="Column10312" queryTableFieldId="6073" dataDxfId="6290"/>
    <tableColumn id="10322" uniqueName="10322" name="Column10313" queryTableFieldId="6072" dataDxfId="6289"/>
    <tableColumn id="10323" uniqueName="10323" name="Column10314" queryTableFieldId="6071" dataDxfId="6288"/>
    <tableColumn id="10324" uniqueName="10324" name="Column10315" queryTableFieldId="6070" dataDxfId="6287"/>
    <tableColumn id="10325" uniqueName="10325" name="Column10316" queryTableFieldId="6069" dataDxfId="6286"/>
    <tableColumn id="10326" uniqueName="10326" name="Column10317" queryTableFieldId="6068" dataDxfId="6285"/>
    <tableColumn id="10327" uniqueName="10327" name="Column10318" queryTableFieldId="6067" dataDxfId="6284"/>
    <tableColumn id="10328" uniqueName="10328" name="Column10319" queryTableFieldId="6066" dataDxfId="6283"/>
    <tableColumn id="10329" uniqueName="10329" name="Column10320" queryTableFieldId="6065" dataDxfId="6282"/>
    <tableColumn id="10330" uniqueName="10330" name="Column10321" queryTableFieldId="6064" dataDxfId="6281"/>
    <tableColumn id="10331" uniqueName="10331" name="Column10322" queryTableFieldId="6063" dataDxfId="6280"/>
    <tableColumn id="10332" uniqueName="10332" name="Column10323" queryTableFieldId="6062" dataDxfId="6279"/>
    <tableColumn id="10333" uniqueName="10333" name="Column10324" queryTableFieldId="6061" dataDxfId="6278"/>
    <tableColumn id="10334" uniqueName="10334" name="Column10325" queryTableFieldId="6060" dataDxfId="6277"/>
    <tableColumn id="10335" uniqueName="10335" name="Column10326" queryTableFieldId="6059" dataDxfId="6276"/>
    <tableColumn id="10336" uniqueName="10336" name="Column10327" queryTableFieldId="6058" dataDxfId="6275"/>
    <tableColumn id="10337" uniqueName="10337" name="Column10328" queryTableFieldId="6057" dataDxfId="6274"/>
    <tableColumn id="10338" uniqueName="10338" name="Column10329" queryTableFieldId="6056" dataDxfId="6273"/>
    <tableColumn id="10339" uniqueName="10339" name="Column10330" queryTableFieldId="6055" dataDxfId="6272"/>
    <tableColumn id="10340" uniqueName="10340" name="Column10331" queryTableFieldId="6054" dataDxfId="6271"/>
    <tableColumn id="10341" uniqueName="10341" name="Column10332" queryTableFieldId="6053" dataDxfId="6270"/>
    <tableColumn id="10342" uniqueName="10342" name="Column10333" queryTableFieldId="6052" dataDxfId="6269"/>
    <tableColumn id="10343" uniqueName="10343" name="Column10334" queryTableFieldId="6051" dataDxfId="6268"/>
    <tableColumn id="10344" uniqueName="10344" name="Column10335" queryTableFieldId="6050" dataDxfId="6267"/>
    <tableColumn id="10345" uniqueName="10345" name="Column10336" queryTableFieldId="6049" dataDxfId="6266"/>
    <tableColumn id="10346" uniqueName="10346" name="Column10337" queryTableFieldId="6048" dataDxfId="6265"/>
    <tableColumn id="10347" uniqueName="10347" name="Column10338" queryTableFieldId="6047" dataDxfId="6264"/>
    <tableColumn id="10348" uniqueName="10348" name="Column10339" queryTableFieldId="6046" dataDxfId="6263"/>
    <tableColumn id="10349" uniqueName="10349" name="Column10340" queryTableFieldId="6045" dataDxfId="6262"/>
    <tableColumn id="10350" uniqueName="10350" name="Column10341" queryTableFieldId="6044" dataDxfId="6261"/>
    <tableColumn id="10351" uniqueName="10351" name="Column10342" queryTableFieldId="6043" dataDxfId="6260"/>
    <tableColumn id="10352" uniqueName="10352" name="Column10343" queryTableFieldId="6042" dataDxfId="6259"/>
    <tableColumn id="10353" uniqueName="10353" name="Column10344" queryTableFieldId="6041" dataDxfId="6258"/>
    <tableColumn id="10354" uniqueName="10354" name="Column10345" queryTableFieldId="6040" dataDxfId="6257"/>
    <tableColumn id="10355" uniqueName="10355" name="Column10346" queryTableFieldId="6039" dataDxfId="6256"/>
    <tableColumn id="10356" uniqueName="10356" name="Column10347" queryTableFieldId="6038" dataDxfId="6255"/>
    <tableColumn id="10357" uniqueName="10357" name="Column10348" queryTableFieldId="6037" dataDxfId="6254"/>
    <tableColumn id="10358" uniqueName="10358" name="Column10349" queryTableFieldId="6036" dataDxfId="6253"/>
    <tableColumn id="10359" uniqueName="10359" name="Column10350" queryTableFieldId="6035" dataDxfId="6252"/>
    <tableColumn id="10360" uniqueName="10360" name="Column10351" queryTableFieldId="6034" dataDxfId="6251"/>
    <tableColumn id="10361" uniqueName="10361" name="Column10352" queryTableFieldId="6033" dataDxfId="6250"/>
    <tableColumn id="10362" uniqueName="10362" name="Column10353" queryTableFieldId="6032" dataDxfId="6249"/>
    <tableColumn id="10363" uniqueName="10363" name="Column10354" queryTableFieldId="6031" dataDxfId="6248"/>
    <tableColumn id="10364" uniqueName="10364" name="Column10355" queryTableFieldId="6030" dataDxfId="6247"/>
    <tableColumn id="10365" uniqueName="10365" name="Column10356" queryTableFieldId="6029" dataDxfId="6246"/>
    <tableColumn id="10366" uniqueName="10366" name="Column10357" queryTableFieldId="6028" dataDxfId="6245"/>
    <tableColumn id="10367" uniqueName="10367" name="Column10358" queryTableFieldId="6027" dataDxfId="6244"/>
    <tableColumn id="10368" uniqueName="10368" name="Column10359" queryTableFieldId="6026" dataDxfId="6243"/>
    <tableColumn id="10369" uniqueName="10369" name="Column10360" queryTableFieldId="6025" dataDxfId="6242"/>
    <tableColumn id="10370" uniqueName="10370" name="Column10361" queryTableFieldId="6024" dataDxfId="6241"/>
    <tableColumn id="10371" uniqueName="10371" name="Column10362" queryTableFieldId="6023" dataDxfId="6240"/>
    <tableColumn id="10372" uniqueName="10372" name="Column10363" queryTableFieldId="6022" dataDxfId="6239"/>
    <tableColumn id="10373" uniqueName="10373" name="Column10364" queryTableFieldId="6021" dataDxfId="6238"/>
    <tableColumn id="10374" uniqueName="10374" name="Column10365" queryTableFieldId="6020" dataDxfId="6237"/>
    <tableColumn id="10375" uniqueName="10375" name="Column10366" queryTableFieldId="6019" dataDxfId="6236"/>
    <tableColumn id="10376" uniqueName="10376" name="Column10367" queryTableFieldId="6018" dataDxfId="6235"/>
    <tableColumn id="10377" uniqueName="10377" name="Column10368" queryTableFieldId="6017" dataDxfId="6234"/>
    <tableColumn id="10378" uniqueName="10378" name="Column10369" queryTableFieldId="6016" dataDxfId="6233"/>
    <tableColumn id="10379" uniqueName="10379" name="Column10370" queryTableFieldId="6015" dataDxfId="6232"/>
    <tableColumn id="10380" uniqueName="10380" name="Column10371" queryTableFieldId="6014" dataDxfId="6231"/>
    <tableColumn id="10381" uniqueName="10381" name="Column10372" queryTableFieldId="6013" dataDxfId="6230"/>
    <tableColumn id="10382" uniqueName="10382" name="Column10373" queryTableFieldId="6012" dataDxfId="6229"/>
    <tableColumn id="10383" uniqueName="10383" name="Column10374" queryTableFieldId="6011" dataDxfId="6228"/>
    <tableColumn id="10384" uniqueName="10384" name="Column10375" queryTableFieldId="6010" dataDxfId="6227"/>
    <tableColumn id="10385" uniqueName="10385" name="Column10376" queryTableFieldId="6009" dataDxfId="6226"/>
    <tableColumn id="10386" uniqueName="10386" name="Column10377" queryTableFieldId="6008" dataDxfId="6225"/>
    <tableColumn id="10387" uniqueName="10387" name="Column10378" queryTableFieldId="6007" dataDxfId="6224"/>
    <tableColumn id="10388" uniqueName="10388" name="Column10379" queryTableFieldId="6006" dataDxfId="6223"/>
    <tableColumn id="10389" uniqueName="10389" name="Column10380" queryTableFieldId="6005" dataDxfId="6222"/>
    <tableColumn id="10390" uniqueName="10390" name="Column10381" queryTableFieldId="6004" dataDxfId="6221"/>
    <tableColumn id="10391" uniqueName="10391" name="Column10382" queryTableFieldId="6003" dataDxfId="6220"/>
    <tableColumn id="10392" uniqueName="10392" name="Column10383" queryTableFieldId="6002" dataDxfId="6219"/>
    <tableColumn id="10393" uniqueName="10393" name="Column10384" queryTableFieldId="6001" dataDxfId="6218"/>
    <tableColumn id="10394" uniqueName="10394" name="Column10385" queryTableFieldId="6000" dataDxfId="6217"/>
    <tableColumn id="10395" uniqueName="10395" name="Column10386" queryTableFieldId="5999" dataDxfId="6216"/>
    <tableColumn id="10396" uniqueName="10396" name="Column10387" queryTableFieldId="5998" dataDxfId="6215"/>
    <tableColumn id="10397" uniqueName="10397" name="Column10388" queryTableFieldId="5997" dataDxfId="6214"/>
    <tableColumn id="10398" uniqueName="10398" name="Column10389" queryTableFieldId="5996" dataDxfId="6213"/>
    <tableColumn id="10399" uniqueName="10399" name="Column10390" queryTableFieldId="5995" dataDxfId="6212"/>
    <tableColumn id="10400" uniqueName="10400" name="Column10391" queryTableFieldId="5994" dataDxfId="6211"/>
    <tableColumn id="10401" uniqueName="10401" name="Column10392" queryTableFieldId="5993" dataDxfId="6210"/>
    <tableColumn id="10402" uniqueName="10402" name="Column10393" queryTableFieldId="5992" dataDxfId="6209"/>
    <tableColumn id="10403" uniqueName="10403" name="Column10394" queryTableFieldId="5991" dataDxfId="6208"/>
    <tableColumn id="10404" uniqueName="10404" name="Column10395" queryTableFieldId="5990" dataDxfId="6207"/>
    <tableColumn id="10405" uniqueName="10405" name="Column10396" queryTableFieldId="5989" dataDxfId="6206"/>
    <tableColumn id="10406" uniqueName="10406" name="Column10397" queryTableFieldId="5988" dataDxfId="6205"/>
    <tableColumn id="10407" uniqueName="10407" name="Column10398" queryTableFieldId="5987" dataDxfId="6204"/>
    <tableColumn id="10408" uniqueName="10408" name="Column10399" queryTableFieldId="5986" dataDxfId="6203"/>
    <tableColumn id="10409" uniqueName="10409" name="Column10400" queryTableFieldId="5985" dataDxfId="6202"/>
    <tableColumn id="10410" uniqueName="10410" name="Column10401" queryTableFieldId="5984" dataDxfId="6201"/>
    <tableColumn id="10411" uniqueName="10411" name="Column10402" queryTableFieldId="5983" dataDxfId="6200"/>
    <tableColumn id="10412" uniqueName="10412" name="Column10403" queryTableFieldId="5982" dataDxfId="6199"/>
    <tableColumn id="10413" uniqueName="10413" name="Column10404" queryTableFieldId="5981" dataDxfId="6198"/>
    <tableColumn id="10414" uniqueName="10414" name="Column10405" queryTableFieldId="5980" dataDxfId="6197"/>
    <tableColumn id="10415" uniqueName="10415" name="Column10406" queryTableFieldId="5979" dataDxfId="6196"/>
    <tableColumn id="10416" uniqueName="10416" name="Column10407" queryTableFieldId="5978" dataDxfId="6195"/>
    <tableColumn id="10417" uniqueName="10417" name="Column10408" queryTableFieldId="5977" dataDxfId="6194"/>
    <tableColumn id="10418" uniqueName="10418" name="Column10409" queryTableFieldId="5976" dataDxfId="6193"/>
    <tableColumn id="10419" uniqueName="10419" name="Column10410" queryTableFieldId="5975" dataDxfId="6192"/>
    <tableColumn id="10420" uniqueName="10420" name="Column10411" queryTableFieldId="5974" dataDxfId="6191"/>
    <tableColumn id="10421" uniqueName="10421" name="Column10412" queryTableFieldId="5973" dataDxfId="6190"/>
    <tableColumn id="10422" uniqueName="10422" name="Column10413" queryTableFieldId="5972" dataDxfId="6189"/>
    <tableColumn id="10423" uniqueName="10423" name="Column10414" queryTableFieldId="5971" dataDxfId="6188"/>
    <tableColumn id="10424" uniqueName="10424" name="Column10415" queryTableFieldId="5970" dataDxfId="6187"/>
    <tableColumn id="10425" uniqueName="10425" name="Column10416" queryTableFieldId="5969" dataDxfId="6186"/>
    <tableColumn id="10426" uniqueName="10426" name="Column10417" queryTableFieldId="5968" dataDxfId="6185"/>
    <tableColumn id="10427" uniqueName="10427" name="Column10418" queryTableFieldId="5967" dataDxfId="6184"/>
    <tableColumn id="10428" uniqueName="10428" name="Column10419" queryTableFieldId="5966" dataDxfId="6183"/>
    <tableColumn id="10429" uniqueName="10429" name="Column10420" queryTableFieldId="5965" dataDxfId="6182"/>
    <tableColumn id="10430" uniqueName="10430" name="Column10421" queryTableFieldId="5964" dataDxfId="6181"/>
    <tableColumn id="10431" uniqueName="10431" name="Column10422" queryTableFieldId="5963" dataDxfId="6180"/>
    <tableColumn id="10432" uniqueName="10432" name="Column10423" queryTableFieldId="5962" dataDxfId="6179"/>
    <tableColumn id="10433" uniqueName="10433" name="Column10424" queryTableFieldId="5961" dataDxfId="6178"/>
    <tableColumn id="10434" uniqueName="10434" name="Column10425" queryTableFieldId="5960" dataDxfId="6177"/>
    <tableColumn id="10435" uniqueName="10435" name="Column10426" queryTableFieldId="5959" dataDxfId="6176"/>
    <tableColumn id="10436" uniqueName="10436" name="Column10427" queryTableFieldId="5958" dataDxfId="6175"/>
    <tableColumn id="10437" uniqueName="10437" name="Column10428" queryTableFieldId="5957" dataDxfId="6174"/>
    <tableColumn id="10438" uniqueName="10438" name="Column10429" queryTableFieldId="5956" dataDxfId="6173"/>
    <tableColumn id="10439" uniqueName="10439" name="Column10430" queryTableFieldId="5955" dataDxfId="6172"/>
    <tableColumn id="10440" uniqueName="10440" name="Column10431" queryTableFieldId="5954" dataDxfId="6171"/>
    <tableColumn id="10441" uniqueName="10441" name="Column10432" queryTableFieldId="5953" dataDxfId="6170"/>
    <tableColumn id="10442" uniqueName="10442" name="Column10433" queryTableFieldId="5952" dataDxfId="6169"/>
    <tableColumn id="10443" uniqueName="10443" name="Column10434" queryTableFieldId="5951" dataDxfId="6168"/>
    <tableColumn id="10444" uniqueName="10444" name="Column10435" queryTableFieldId="5950" dataDxfId="6167"/>
    <tableColumn id="10445" uniqueName="10445" name="Column10436" queryTableFieldId="5949" dataDxfId="6166"/>
    <tableColumn id="10446" uniqueName="10446" name="Column10437" queryTableFieldId="5948" dataDxfId="6165"/>
    <tableColumn id="10447" uniqueName="10447" name="Column10438" queryTableFieldId="5947" dataDxfId="6164"/>
    <tableColumn id="10448" uniqueName="10448" name="Column10439" queryTableFieldId="5946" dataDxfId="6163"/>
    <tableColumn id="10449" uniqueName="10449" name="Column10440" queryTableFieldId="5945" dataDxfId="6162"/>
    <tableColumn id="10450" uniqueName="10450" name="Column10441" queryTableFieldId="5944" dataDxfId="6161"/>
    <tableColumn id="10451" uniqueName="10451" name="Column10442" queryTableFieldId="5943" dataDxfId="6160"/>
    <tableColumn id="10452" uniqueName="10452" name="Column10443" queryTableFieldId="5942" dataDxfId="6159"/>
    <tableColumn id="10453" uniqueName="10453" name="Column10444" queryTableFieldId="5941" dataDxfId="6158"/>
    <tableColumn id="10454" uniqueName="10454" name="Column10445" queryTableFieldId="5940" dataDxfId="6157"/>
    <tableColumn id="10455" uniqueName="10455" name="Column10446" queryTableFieldId="5939" dataDxfId="6156"/>
    <tableColumn id="10456" uniqueName="10456" name="Column10447" queryTableFieldId="5938" dataDxfId="6155"/>
    <tableColumn id="10457" uniqueName="10457" name="Column10448" queryTableFieldId="5937" dataDxfId="6154"/>
    <tableColumn id="10458" uniqueName="10458" name="Column10449" queryTableFieldId="5936" dataDxfId="6153"/>
    <tableColumn id="10459" uniqueName="10459" name="Column10450" queryTableFieldId="5935" dataDxfId="6152"/>
    <tableColumn id="10460" uniqueName="10460" name="Column10451" queryTableFieldId="5934" dataDxfId="6151"/>
    <tableColumn id="10461" uniqueName="10461" name="Column10452" queryTableFieldId="5933" dataDxfId="6150"/>
    <tableColumn id="10462" uniqueName="10462" name="Column10453" queryTableFieldId="5932" dataDxfId="6149"/>
    <tableColumn id="10463" uniqueName="10463" name="Column10454" queryTableFieldId="5931" dataDxfId="6148"/>
    <tableColumn id="10464" uniqueName="10464" name="Column10455" queryTableFieldId="5930" dataDxfId="6147"/>
    <tableColumn id="10465" uniqueName="10465" name="Column10456" queryTableFieldId="5929" dataDxfId="6146"/>
    <tableColumn id="10466" uniqueName="10466" name="Column10457" queryTableFieldId="5928" dataDxfId="6145"/>
    <tableColumn id="10467" uniqueName="10467" name="Column10458" queryTableFieldId="5927" dataDxfId="6144"/>
    <tableColumn id="10468" uniqueName="10468" name="Column10459" queryTableFieldId="5926" dataDxfId="6143"/>
    <tableColumn id="10469" uniqueName="10469" name="Column10460" queryTableFieldId="5925" dataDxfId="6142"/>
    <tableColumn id="10470" uniqueName="10470" name="Column10461" queryTableFieldId="5924" dataDxfId="6141"/>
    <tableColumn id="10471" uniqueName="10471" name="Column10462" queryTableFieldId="5923" dataDxfId="6140"/>
    <tableColumn id="10472" uniqueName="10472" name="Column10463" queryTableFieldId="5922" dataDxfId="6139"/>
    <tableColumn id="10473" uniqueName="10473" name="Column10464" queryTableFieldId="5921" dataDxfId="6138"/>
    <tableColumn id="10474" uniqueName="10474" name="Column10465" queryTableFieldId="5920" dataDxfId="6137"/>
    <tableColumn id="10475" uniqueName="10475" name="Column10466" queryTableFieldId="5919" dataDxfId="6136"/>
    <tableColumn id="10476" uniqueName="10476" name="Column10467" queryTableFieldId="5918" dataDxfId="6135"/>
    <tableColumn id="10477" uniqueName="10477" name="Column10468" queryTableFieldId="5917" dataDxfId="6134"/>
    <tableColumn id="10478" uniqueName="10478" name="Column10469" queryTableFieldId="5916" dataDxfId="6133"/>
    <tableColumn id="10479" uniqueName="10479" name="Column10470" queryTableFieldId="5915" dataDxfId="6132"/>
    <tableColumn id="10480" uniqueName="10480" name="Column10471" queryTableFieldId="5914" dataDxfId="6131"/>
    <tableColumn id="10481" uniqueName="10481" name="Column10472" queryTableFieldId="5913" dataDxfId="6130"/>
    <tableColumn id="10482" uniqueName="10482" name="Column10473" queryTableFieldId="5912" dataDxfId="6129"/>
    <tableColumn id="10483" uniqueName="10483" name="Column10474" queryTableFieldId="5911" dataDxfId="6128"/>
    <tableColumn id="10484" uniqueName="10484" name="Column10475" queryTableFieldId="5910" dataDxfId="6127"/>
    <tableColumn id="10485" uniqueName="10485" name="Column10476" queryTableFieldId="5909" dataDxfId="6126"/>
    <tableColumn id="10486" uniqueName="10486" name="Column10477" queryTableFieldId="5908" dataDxfId="6125"/>
    <tableColumn id="10487" uniqueName="10487" name="Column10478" queryTableFieldId="5907" dataDxfId="6124"/>
    <tableColumn id="10488" uniqueName="10488" name="Column10479" queryTableFieldId="5906" dataDxfId="6123"/>
    <tableColumn id="10489" uniqueName="10489" name="Column10480" queryTableFieldId="5905" dataDxfId="6122"/>
    <tableColumn id="10490" uniqueName="10490" name="Column10481" queryTableFieldId="5904" dataDxfId="6121"/>
    <tableColumn id="10491" uniqueName="10491" name="Column10482" queryTableFieldId="5903" dataDxfId="6120"/>
    <tableColumn id="10492" uniqueName="10492" name="Column10483" queryTableFieldId="5902" dataDxfId="6119"/>
    <tableColumn id="10493" uniqueName="10493" name="Column10484" queryTableFieldId="5901" dataDxfId="6118"/>
    <tableColumn id="10494" uniqueName="10494" name="Column10485" queryTableFieldId="5900" dataDxfId="6117"/>
    <tableColumn id="10495" uniqueName="10495" name="Column10486" queryTableFieldId="5899" dataDxfId="6116"/>
    <tableColumn id="10496" uniqueName="10496" name="Column10487" queryTableFieldId="5898" dataDxfId="6115"/>
    <tableColumn id="10497" uniqueName="10497" name="Column10488" queryTableFieldId="5897" dataDxfId="6114"/>
    <tableColumn id="10498" uniqueName="10498" name="Column10489" queryTableFieldId="5896" dataDxfId="6113"/>
    <tableColumn id="10499" uniqueName="10499" name="Column10490" queryTableFieldId="5895" dataDxfId="6112"/>
    <tableColumn id="10500" uniqueName="10500" name="Column10491" queryTableFieldId="5894" dataDxfId="6111"/>
    <tableColumn id="10501" uniqueName="10501" name="Column10492" queryTableFieldId="5893" dataDxfId="6110"/>
    <tableColumn id="10502" uniqueName="10502" name="Column10493" queryTableFieldId="5892" dataDxfId="6109"/>
    <tableColumn id="10503" uniqueName="10503" name="Column10494" queryTableFieldId="5891" dataDxfId="6108"/>
    <tableColumn id="10504" uniqueName="10504" name="Column10495" queryTableFieldId="5890" dataDxfId="6107"/>
    <tableColumn id="10505" uniqueName="10505" name="Column10496" queryTableFieldId="5889" dataDxfId="6106"/>
    <tableColumn id="10506" uniqueName="10506" name="Column10497" queryTableFieldId="5888" dataDxfId="6105"/>
    <tableColumn id="10507" uniqueName="10507" name="Column10498" queryTableFieldId="5887" dataDxfId="6104"/>
    <tableColumn id="10508" uniqueName="10508" name="Column10499" queryTableFieldId="5886" dataDxfId="6103"/>
    <tableColumn id="10509" uniqueName="10509" name="Column10500" queryTableFieldId="5885" dataDxfId="6102"/>
    <tableColumn id="10510" uniqueName="10510" name="Column10501" queryTableFieldId="5884" dataDxfId="6101"/>
    <tableColumn id="10511" uniqueName="10511" name="Column10502" queryTableFieldId="5883" dataDxfId="6100"/>
    <tableColumn id="10512" uniqueName="10512" name="Column10503" queryTableFieldId="5882" dataDxfId="6099"/>
    <tableColumn id="10513" uniqueName="10513" name="Column10504" queryTableFieldId="5881" dataDxfId="6098"/>
    <tableColumn id="10514" uniqueName="10514" name="Column10505" queryTableFieldId="5880" dataDxfId="6097"/>
    <tableColumn id="10515" uniqueName="10515" name="Column10506" queryTableFieldId="5879" dataDxfId="6096"/>
    <tableColumn id="10516" uniqueName="10516" name="Column10507" queryTableFieldId="5878" dataDxfId="6095"/>
    <tableColumn id="10517" uniqueName="10517" name="Column10508" queryTableFieldId="5877" dataDxfId="6094"/>
    <tableColumn id="10518" uniqueName="10518" name="Column10509" queryTableFieldId="5876" dataDxfId="6093"/>
    <tableColumn id="10519" uniqueName="10519" name="Column10510" queryTableFieldId="5875" dataDxfId="6092"/>
    <tableColumn id="10520" uniqueName="10520" name="Column10511" queryTableFieldId="5874" dataDxfId="6091"/>
    <tableColumn id="10521" uniqueName="10521" name="Column10512" queryTableFieldId="5873" dataDxfId="6090"/>
    <tableColumn id="10522" uniqueName="10522" name="Column10513" queryTableFieldId="5872" dataDxfId="6089"/>
    <tableColumn id="10523" uniqueName="10523" name="Column10514" queryTableFieldId="5871" dataDxfId="6088"/>
    <tableColumn id="10524" uniqueName="10524" name="Column10515" queryTableFieldId="5870" dataDxfId="6087"/>
    <tableColumn id="10525" uniqueName="10525" name="Column10516" queryTableFieldId="5869" dataDxfId="6086"/>
    <tableColumn id="10526" uniqueName="10526" name="Column10517" queryTableFieldId="5868" dataDxfId="6085"/>
    <tableColumn id="10527" uniqueName="10527" name="Column10518" queryTableFieldId="5867" dataDxfId="6084"/>
    <tableColumn id="10528" uniqueName="10528" name="Column10519" queryTableFieldId="5866" dataDxfId="6083"/>
    <tableColumn id="10529" uniqueName="10529" name="Column10520" queryTableFieldId="5865" dataDxfId="6082"/>
    <tableColumn id="10530" uniqueName="10530" name="Column10521" queryTableFieldId="5864" dataDxfId="6081"/>
    <tableColumn id="10531" uniqueName="10531" name="Column10522" queryTableFieldId="5863" dataDxfId="6080"/>
    <tableColumn id="10532" uniqueName="10532" name="Column10523" queryTableFieldId="5862" dataDxfId="6079"/>
    <tableColumn id="10533" uniqueName="10533" name="Column10524" queryTableFieldId="5861" dataDxfId="6078"/>
    <tableColumn id="10534" uniqueName="10534" name="Column10525" queryTableFieldId="5860" dataDxfId="6077"/>
    <tableColumn id="10535" uniqueName="10535" name="Column10526" queryTableFieldId="5859" dataDxfId="6076"/>
    <tableColumn id="10536" uniqueName="10536" name="Column10527" queryTableFieldId="5858" dataDxfId="6075"/>
    <tableColumn id="10537" uniqueName="10537" name="Column10528" queryTableFieldId="5857" dataDxfId="6074"/>
    <tableColumn id="10538" uniqueName="10538" name="Column10529" queryTableFieldId="5856" dataDxfId="6073"/>
    <tableColumn id="10539" uniqueName="10539" name="Column10530" queryTableFieldId="5855" dataDxfId="6072"/>
    <tableColumn id="10540" uniqueName="10540" name="Column10531" queryTableFieldId="5854" dataDxfId="6071"/>
    <tableColumn id="10541" uniqueName="10541" name="Column10532" queryTableFieldId="5853" dataDxfId="6070"/>
    <tableColumn id="10542" uniqueName="10542" name="Column10533" queryTableFieldId="5852" dataDxfId="6069"/>
    <tableColumn id="10543" uniqueName="10543" name="Column10534" queryTableFieldId="5851" dataDxfId="6068"/>
    <tableColumn id="10544" uniqueName="10544" name="Column10535" queryTableFieldId="5850" dataDxfId="6067"/>
    <tableColumn id="10545" uniqueName="10545" name="Column10536" queryTableFieldId="5849" dataDxfId="6066"/>
    <tableColumn id="10546" uniqueName="10546" name="Column10537" queryTableFieldId="5848" dataDxfId="6065"/>
    <tableColumn id="10547" uniqueName="10547" name="Column10538" queryTableFieldId="5847" dataDxfId="6064"/>
    <tableColumn id="10548" uniqueName="10548" name="Column10539" queryTableFieldId="5846" dataDxfId="6063"/>
    <tableColumn id="10549" uniqueName="10549" name="Column10540" queryTableFieldId="5845" dataDxfId="6062"/>
    <tableColumn id="10550" uniqueName="10550" name="Column10541" queryTableFieldId="5844" dataDxfId="6061"/>
    <tableColumn id="10551" uniqueName="10551" name="Column10542" queryTableFieldId="5843" dataDxfId="6060"/>
    <tableColumn id="10552" uniqueName="10552" name="Column10543" queryTableFieldId="5842" dataDxfId="6059"/>
    <tableColumn id="10553" uniqueName="10553" name="Column10544" queryTableFieldId="5841" dataDxfId="6058"/>
    <tableColumn id="10554" uniqueName="10554" name="Column10545" queryTableFieldId="5840" dataDxfId="6057"/>
    <tableColumn id="10555" uniqueName="10555" name="Column10546" queryTableFieldId="5839" dataDxfId="6056"/>
    <tableColumn id="10556" uniqueName="10556" name="Column10547" queryTableFieldId="5838" dataDxfId="6055"/>
    <tableColumn id="10557" uniqueName="10557" name="Column10548" queryTableFieldId="5837" dataDxfId="6054"/>
    <tableColumn id="10558" uniqueName="10558" name="Column10549" queryTableFieldId="5836" dataDxfId="6053"/>
    <tableColumn id="10559" uniqueName="10559" name="Column10550" queryTableFieldId="5835" dataDxfId="6052"/>
    <tableColumn id="10560" uniqueName="10560" name="Column10551" queryTableFieldId="5834" dataDxfId="6051"/>
    <tableColumn id="10561" uniqueName="10561" name="Column10552" queryTableFieldId="5833" dataDxfId="6050"/>
    <tableColumn id="10562" uniqueName="10562" name="Column10553" queryTableFieldId="5832" dataDxfId="6049"/>
    <tableColumn id="10563" uniqueName="10563" name="Column10554" queryTableFieldId="5831" dataDxfId="6048"/>
    <tableColumn id="10564" uniqueName="10564" name="Column10555" queryTableFieldId="5830" dataDxfId="6047"/>
    <tableColumn id="10565" uniqueName="10565" name="Column10556" queryTableFieldId="5829" dataDxfId="6046"/>
    <tableColumn id="10566" uniqueName="10566" name="Column10557" queryTableFieldId="5828" dataDxfId="6045"/>
    <tableColumn id="10567" uniqueName="10567" name="Column10558" queryTableFieldId="5827" dataDxfId="6044"/>
    <tableColumn id="10568" uniqueName="10568" name="Column10559" queryTableFieldId="5826" dataDxfId="6043"/>
    <tableColumn id="10569" uniqueName="10569" name="Column10560" queryTableFieldId="5825" dataDxfId="6042"/>
    <tableColumn id="10570" uniqueName="10570" name="Column10561" queryTableFieldId="5824" dataDxfId="6041"/>
    <tableColumn id="10571" uniqueName="10571" name="Column10562" queryTableFieldId="5823" dataDxfId="6040"/>
    <tableColumn id="10572" uniqueName="10572" name="Column10563" queryTableFieldId="5822" dataDxfId="6039"/>
    <tableColumn id="10573" uniqueName="10573" name="Column10564" queryTableFieldId="5821" dataDxfId="6038"/>
    <tableColumn id="10574" uniqueName="10574" name="Column10565" queryTableFieldId="5820" dataDxfId="6037"/>
    <tableColumn id="10575" uniqueName="10575" name="Column10566" queryTableFieldId="5819" dataDxfId="6036"/>
    <tableColumn id="10576" uniqueName="10576" name="Column10567" queryTableFieldId="5818" dataDxfId="6035"/>
    <tableColumn id="10577" uniqueName="10577" name="Column10568" queryTableFieldId="5817" dataDxfId="6034"/>
    <tableColumn id="10578" uniqueName="10578" name="Column10569" queryTableFieldId="5816" dataDxfId="6033"/>
    <tableColumn id="10579" uniqueName="10579" name="Column10570" queryTableFieldId="5815" dataDxfId="6032"/>
    <tableColumn id="10580" uniqueName="10580" name="Column10571" queryTableFieldId="5814" dataDxfId="6031"/>
    <tableColumn id="10581" uniqueName="10581" name="Column10572" queryTableFieldId="5813" dataDxfId="6030"/>
    <tableColumn id="10582" uniqueName="10582" name="Column10573" queryTableFieldId="5812" dataDxfId="6029"/>
    <tableColumn id="10583" uniqueName="10583" name="Column10574" queryTableFieldId="5811" dataDxfId="6028"/>
    <tableColumn id="10584" uniqueName="10584" name="Column10575" queryTableFieldId="5810" dataDxfId="6027"/>
    <tableColumn id="10585" uniqueName="10585" name="Column10576" queryTableFieldId="5809" dataDxfId="6026"/>
    <tableColumn id="10586" uniqueName="10586" name="Column10577" queryTableFieldId="5808" dataDxfId="6025"/>
    <tableColumn id="10587" uniqueName="10587" name="Column10578" queryTableFieldId="5807" dataDxfId="6024"/>
    <tableColumn id="10588" uniqueName="10588" name="Column10579" queryTableFieldId="5806" dataDxfId="6023"/>
    <tableColumn id="10589" uniqueName="10589" name="Column10580" queryTableFieldId="5805" dataDxfId="6022"/>
    <tableColumn id="10590" uniqueName="10590" name="Column10581" queryTableFieldId="5804" dataDxfId="6021"/>
    <tableColumn id="10591" uniqueName="10591" name="Column10582" queryTableFieldId="5803" dataDxfId="6020"/>
    <tableColumn id="10592" uniqueName="10592" name="Column10583" queryTableFieldId="5802" dataDxfId="6019"/>
    <tableColumn id="10593" uniqueName="10593" name="Column10584" queryTableFieldId="5801" dataDxfId="6018"/>
    <tableColumn id="10594" uniqueName="10594" name="Column10585" queryTableFieldId="5800" dataDxfId="6017"/>
    <tableColumn id="10595" uniqueName="10595" name="Column10586" queryTableFieldId="5799" dataDxfId="6016"/>
    <tableColumn id="10596" uniqueName="10596" name="Column10587" queryTableFieldId="5798" dataDxfId="6015"/>
    <tableColumn id="10597" uniqueName="10597" name="Column10588" queryTableFieldId="5797" dataDxfId="6014"/>
    <tableColumn id="10598" uniqueName="10598" name="Column10589" queryTableFieldId="5796" dataDxfId="6013"/>
    <tableColumn id="10599" uniqueName="10599" name="Column10590" queryTableFieldId="5795" dataDxfId="6012"/>
    <tableColumn id="10600" uniqueName="10600" name="Column10591" queryTableFieldId="5794" dataDxfId="6011"/>
    <tableColumn id="10601" uniqueName="10601" name="Column10592" queryTableFieldId="5793" dataDxfId="6010"/>
    <tableColumn id="10602" uniqueName="10602" name="Column10593" queryTableFieldId="5792" dataDxfId="6009"/>
    <tableColumn id="10603" uniqueName="10603" name="Column10594" queryTableFieldId="5791" dataDxfId="6008"/>
    <tableColumn id="10604" uniqueName="10604" name="Column10595" queryTableFieldId="5790" dataDxfId="6007"/>
    <tableColumn id="10605" uniqueName="10605" name="Column10596" queryTableFieldId="5789" dataDxfId="6006"/>
    <tableColumn id="10606" uniqueName="10606" name="Column10597" queryTableFieldId="5788" dataDxfId="6005"/>
    <tableColumn id="10607" uniqueName="10607" name="Column10598" queryTableFieldId="5787" dataDxfId="6004"/>
    <tableColumn id="10608" uniqueName="10608" name="Column10599" queryTableFieldId="5786" dataDxfId="6003"/>
    <tableColumn id="10609" uniqueName="10609" name="Column10600" queryTableFieldId="5785" dataDxfId="6002"/>
    <tableColumn id="10610" uniqueName="10610" name="Column10601" queryTableFieldId="5784" dataDxfId="6001"/>
    <tableColumn id="10611" uniqueName="10611" name="Column10602" queryTableFieldId="5783" dataDxfId="6000"/>
    <tableColumn id="10612" uniqueName="10612" name="Column10603" queryTableFieldId="5782" dataDxfId="5999"/>
    <tableColumn id="10613" uniqueName="10613" name="Column10604" queryTableFieldId="5781" dataDxfId="5998"/>
    <tableColumn id="10614" uniqueName="10614" name="Column10605" queryTableFieldId="5780" dataDxfId="5997"/>
    <tableColumn id="10615" uniqueName="10615" name="Column10606" queryTableFieldId="5779" dataDxfId="5996"/>
    <tableColumn id="10616" uniqueName="10616" name="Column10607" queryTableFieldId="5778" dataDxfId="5995"/>
    <tableColumn id="10617" uniqueName="10617" name="Column10608" queryTableFieldId="5777" dataDxfId="5994"/>
    <tableColumn id="10618" uniqueName="10618" name="Column10609" queryTableFieldId="5776" dataDxfId="5993"/>
    <tableColumn id="10619" uniqueName="10619" name="Column10610" queryTableFieldId="5775" dataDxfId="5992"/>
    <tableColumn id="10620" uniqueName="10620" name="Column10611" queryTableFieldId="5774" dataDxfId="5991"/>
    <tableColumn id="10621" uniqueName="10621" name="Column10612" queryTableFieldId="5773" dataDxfId="5990"/>
    <tableColumn id="10622" uniqueName="10622" name="Column10613" queryTableFieldId="5772" dataDxfId="5989"/>
    <tableColumn id="10623" uniqueName="10623" name="Column10614" queryTableFieldId="5771" dataDxfId="5988"/>
    <tableColumn id="10624" uniqueName="10624" name="Column10615" queryTableFieldId="5770" dataDxfId="5987"/>
    <tableColumn id="10625" uniqueName="10625" name="Column10616" queryTableFieldId="5769" dataDxfId="5986"/>
    <tableColumn id="10626" uniqueName="10626" name="Column10617" queryTableFieldId="5768" dataDxfId="5985"/>
    <tableColumn id="10627" uniqueName="10627" name="Column10618" queryTableFieldId="5767" dataDxfId="5984"/>
    <tableColumn id="10628" uniqueName="10628" name="Column10619" queryTableFieldId="5766" dataDxfId="5983"/>
    <tableColumn id="10629" uniqueName="10629" name="Column10620" queryTableFieldId="5765" dataDxfId="5982"/>
    <tableColumn id="10630" uniqueName="10630" name="Column10621" queryTableFieldId="5764" dataDxfId="5981"/>
    <tableColumn id="10631" uniqueName="10631" name="Column10622" queryTableFieldId="5763" dataDxfId="5980"/>
    <tableColumn id="10632" uniqueName="10632" name="Column10623" queryTableFieldId="5762" dataDxfId="5979"/>
    <tableColumn id="10633" uniqueName="10633" name="Column10624" queryTableFieldId="5761" dataDxfId="5978"/>
    <tableColumn id="10634" uniqueName="10634" name="Column10625" queryTableFieldId="5760" dataDxfId="5977"/>
    <tableColumn id="10635" uniqueName="10635" name="Column10626" queryTableFieldId="5759" dataDxfId="5976"/>
    <tableColumn id="10636" uniqueName="10636" name="Column10627" queryTableFieldId="5758" dataDxfId="5975"/>
    <tableColumn id="10637" uniqueName="10637" name="Column10628" queryTableFieldId="5757" dataDxfId="5974"/>
    <tableColumn id="10638" uniqueName="10638" name="Column10629" queryTableFieldId="5756" dataDxfId="5973"/>
    <tableColumn id="10639" uniqueName="10639" name="Column10630" queryTableFieldId="5755" dataDxfId="5972"/>
    <tableColumn id="10640" uniqueName="10640" name="Column10631" queryTableFieldId="5754" dataDxfId="5971"/>
    <tableColumn id="10641" uniqueName="10641" name="Column10632" queryTableFieldId="5753" dataDxfId="5970"/>
    <tableColumn id="10642" uniqueName="10642" name="Column10633" queryTableFieldId="5752" dataDxfId="5969"/>
    <tableColumn id="10643" uniqueName="10643" name="Column10634" queryTableFieldId="5751" dataDxfId="5968"/>
    <tableColumn id="10644" uniqueName="10644" name="Column10635" queryTableFieldId="5750" dataDxfId="5967"/>
    <tableColumn id="10645" uniqueName="10645" name="Column10636" queryTableFieldId="5749" dataDxfId="5966"/>
    <tableColumn id="10646" uniqueName="10646" name="Column10637" queryTableFieldId="5748" dataDxfId="5965"/>
    <tableColumn id="10647" uniqueName="10647" name="Column10638" queryTableFieldId="5747" dataDxfId="5964"/>
    <tableColumn id="10648" uniqueName="10648" name="Column10639" queryTableFieldId="5746" dataDxfId="5963"/>
    <tableColumn id="10649" uniqueName="10649" name="Column10640" queryTableFieldId="5745" dataDxfId="5962"/>
    <tableColumn id="10650" uniqueName="10650" name="Column10641" queryTableFieldId="5744" dataDxfId="5961"/>
    <tableColumn id="10651" uniqueName="10651" name="Column10642" queryTableFieldId="5743" dataDxfId="5960"/>
    <tableColumn id="10652" uniqueName="10652" name="Column10643" queryTableFieldId="5742" dataDxfId="5959"/>
    <tableColumn id="10653" uniqueName="10653" name="Column10644" queryTableFieldId="5741" dataDxfId="5958"/>
    <tableColumn id="10654" uniqueName="10654" name="Column10645" queryTableFieldId="5740" dataDxfId="5957"/>
    <tableColumn id="10655" uniqueName="10655" name="Column10646" queryTableFieldId="5739" dataDxfId="5956"/>
    <tableColumn id="10656" uniqueName="10656" name="Column10647" queryTableFieldId="5738" dataDxfId="5955"/>
    <tableColumn id="10657" uniqueName="10657" name="Column10648" queryTableFieldId="5737" dataDxfId="5954"/>
    <tableColumn id="10658" uniqueName="10658" name="Column10649" queryTableFieldId="5736" dataDxfId="5953"/>
    <tableColumn id="10659" uniqueName="10659" name="Column10650" queryTableFieldId="5735" dataDxfId="5952"/>
    <tableColumn id="10660" uniqueName="10660" name="Column10651" queryTableFieldId="5734" dataDxfId="5951"/>
    <tableColumn id="10661" uniqueName="10661" name="Column10652" queryTableFieldId="5733" dataDxfId="5950"/>
    <tableColumn id="10662" uniqueName="10662" name="Column10653" queryTableFieldId="5732" dataDxfId="5949"/>
    <tableColumn id="10663" uniqueName="10663" name="Column10654" queryTableFieldId="5731" dataDxfId="5948"/>
    <tableColumn id="10664" uniqueName="10664" name="Column10655" queryTableFieldId="5730" dataDxfId="5947"/>
    <tableColumn id="10665" uniqueName="10665" name="Column10656" queryTableFieldId="5729" dataDxfId="5946"/>
    <tableColumn id="10666" uniqueName="10666" name="Column10657" queryTableFieldId="5728" dataDxfId="5945"/>
    <tableColumn id="10667" uniqueName="10667" name="Column10658" queryTableFieldId="5727" dataDxfId="5944"/>
    <tableColumn id="10668" uniqueName="10668" name="Column10659" queryTableFieldId="5726" dataDxfId="5943"/>
    <tableColumn id="10669" uniqueName="10669" name="Column10660" queryTableFieldId="5725" dataDxfId="5942"/>
    <tableColumn id="10670" uniqueName="10670" name="Column10661" queryTableFieldId="5724" dataDxfId="5941"/>
    <tableColumn id="10671" uniqueName="10671" name="Column10662" queryTableFieldId="5723" dataDxfId="5940"/>
    <tableColumn id="10672" uniqueName="10672" name="Column10663" queryTableFieldId="5722" dataDxfId="5939"/>
    <tableColumn id="10673" uniqueName="10673" name="Column10664" queryTableFieldId="5721" dataDxfId="5938"/>
    <tableColumn id="10674" uniqueName="10674" name="Column10665" queryTableFieldId="5720" dataDxfId="5937"/>
    <tableColumn id="10675" uniqueName="10675" name="Column10666" queryTableFieldId="5719" dataDxfId="5936"/>
    <tableColumn id="10676" uniqueName="10676" name="Column10667" queryTableFieldId="5718" dataDxfId="5935"/>
    <tableColumn id="10677" uniqueName="10677" name="Column10668" queryTableFieldId="5717" dataDxfId="5934"/>
    <tableColumn id="10678" uniqueName="10678" name="Column10669" queryTableFieldId="5716" dataDxfId="5933"/>
    <tableColumn id="10679" uniqueName="10679" name="Column10670" queryTableFieldId="5715" dataDxfId="5932"/>
    <tableColumn id="10680" uniqueName="10680" name="Column10671" queryTableFieldId="5714" dataDxfId="5931"/>
    <tableColumn id="10681" uniqueName="10681" name="Column10672" queryTableFieldId="5713" dataDxfId="5930"/>
    <tableColumn id="10682" uniqueName="10682" name="Column10673" queryTableFieldId="5712" dataDxfId="5929"/>
    <tableColumn id="10683" uniqueName="10683" name="Column10674" queryTableFieldId="5711" dataDxfId="5928"/>
    <tableColumn id="10684" uniqueName="10684" name="Column10675" queryTableFieldId="5710" dataDxfId="5927"/>
    <tableColumn id="10685" uniqueName="10685" name="Column10676" queryTableFieldId="5709" dataDxfId="5926"/>
    <tableColumn id="10686" uniqueName="10686" name="Column10677" queryTableFieldId="5708" dataDxfId="5925"/>
    <tableColumn id="10687" uniqueName="10687" name="Column10678" queryTableFieldId="5707" dataDxfId="5924"/>
    <tableColumn id="10688" uniqueName="10688" name="Column10679" queryTableFieldId="5706" dataDxfId="5923"/>
    <tableColumn id="10689" uniqueName="10689" name="Column10680" queryTableFieldId="5705" dataDxfId="5922"/>
    <tableColumn id="10690" uniqueName="10690" name="Column10681" queryTableFieldId="5704" dataDxfId="5921"/>
    <tableColumn id="10691" uniqueName="10691" name="Column10682" queryTableFieldId="5703" dataDxfId="5920"/>
    <tableColumn id="10692" uniqueName="10692" name="Column10683" queryTableFieldId="5702" dataDxfId="5919"/>
    <tableColumn id="10693" uniqueName="10693" name="Column10684" queryTableFieldId="5701" dataDxfId="5918"/>
    <tableColumn id="10694" uniqueName="10694" name="Column10685" queryTableFieldId="5700" dataDxfId="5917"/>
    <tableColumn id="10695" uniqueName="10695" name="Column10686" queryTableFieldId="5699" dataDxfId="5916"/>
    <tableColumn id="10696" uniqueName="10696" name="Column10687" queryTableFieldId="5698" dataDxfId="5915"/>
    <tableColumn id="10697" uniqueName="10697" name="Column10688" queryTableFieldId="5697" dataDxfId="5914"/>
    <tableColumn id="10698" uniqueName="10698" name="Column10689" queryTableFieldId="5696" dataDxfId="5913"/>
    <tableColumn id="10699" uniqueName="10699" name="Column10690" queryTableFieldId="5695" dataDxfId="5912"/>
    <tableColumn id="10700" uniqueName="10700" name="Column10691" queryTableFieldId="5694" dataDxfId="5911"/>
    <tableColumn id="10701" uniqueName="10701" name="Column10692" queryTableFieldId="5693" dataDxfId="5910"/>
    <tableColumn id="10702" uniqueName="10702" name="Column10693" queryTableFieldId="5692" dataDxfId="5909"/>
    <tableColumn id="10703" uniqueName="10703" name="Column10694" queryTableFieldId="5691" dataDxfId="5908"/>
    <tableColumn id="10704" uniqueName="10704" name="Column10695" queryTableFieldId="5690" dataDxfId="5907"/>
    <tableColumn id="10705" uniqueName="10705" name="Column10696" queryTableFieldId="5689" dataDxfId="5906"/>
    <tableColumn id="10706" uniqueName="10706" name="Column10697" queryTableFieldId="5688" dataDxfId="5905"/>
    <tableColumn id="10707" uniqueName="10707" name="Column10698" queryTableFieldId="5687" dataDxfId="5904"/>
    <tableColumn id="10708" uniqueName="10708" name="Column10699" queryTableFieldId="5686" dataDxfId="5903"/>
    <tableColumn id="10709" uniqueName="10709" name="Column10700" queryTableFieldId="5685" dataDxfId="5902"/>
    <tableColumn id="10710" uniqueName="10710" name="Column10701" queryTableFieldId="5684" dataDxfId="5901"/>
    <tableColumn id="10711" uniqueName="10711" name="Column10702" queryTableFieldId="5683" dataDxfId="5900"/>
    <tableColumn id="10712" uniqueName="10712" name="Column10703" queryTableFieldId="5682" dataDxfId="5899"/>
    <tableColumn id="10713" uniqueName="10713" name="Column10704" queryTableFieldId="5681" dataDxfId="5898"/>
    <tableColumn id="10714" uniqueName="10714" name="Column10705" queryTableFieldId="5680" dataDxfId="5897"/>
    <tableColumn id="10715" uniqueName="10715" name="Column10706" queryTableFieldId="5679" dataDxfId="5896"/>
    <tableColumn id="10716" uniqueName="10716" name="Column10707" queryTableFieldId="5678" dataDxfId="5895"/>
    <tableColumn id="10717" uniqueName="10717" name="Column10708" queryTableFieldId="5677" dataDxfId="5894"/>
    <tableColumn id="10718" uniqueName="10718" name="Column10709" queryTableFieldId="5676" dataDxfId="5893"/>
    <tableColumn id="10719" uniqueName="10719" name="Column10710" queryTableFieldId="5675" dataDxfId="5892"/>
    <tableColumn id="10720" uniqueName="10720" name="Column10711" queryTableFieldId="5674" dataDxfId="5891"/>
    <tableColumn id="10721" uniqueName="10721" name="Column10712" queryTableFieldId="5673" dataDxfId="5890"/>
    <tableColumn id="10722" uniqueName="10722" name="Column10713" queryTableFieldId="5672" dataDxfId="5889"/>
    <tableColumn id="10723" uniqueName="10723" name="Column10714" queryTableFieldId="5671" dataDxfId="5888"/>
    <tableColumn id="10724" uniqueName="10724" name="Column10715" queryTableFieldId="5670" dataDxfId="5887"/>
    <tableColumn id="10725" uniqueName="10725" name="Column10716" queryTableFieldId="5669" dataDxfId="5886"/>
    <tableColumn id="10726" uniqueName="10726" name="Column10717" queryTableFieldId="5668" dataDxfId="5885"/>
    <tableColumn id="10727" uniqueName="10727" name="Column10718" queryTableFieldId="5667" dataDxfId="5884"/>
    <tableColumn id="10728" uniqueName="10728" name="Column10719" queryTableFieldId="5666" dataDxfId="5883"/>
    <tableColumn id="10729" uniqueName="10729" name="Column10720" queryTableFieldId="5665" dataDxfId="5882"/>
    <tableColumn id="10730" uniqueName="10730" name="Column10721" queryTableFieldId="5664" dataDxfId="5881"/>
    <tableColumn id="10731" uniqueName="10731" name="Column10722" queryTableFieldId="5663" dataDxfId="5880"/>
    <tableColumn id="10732" uniqueName="10732" name="Column10723" queryTableFieldId="5662" dataDxfId="5879"/>
    <tableColumn id="10733" uniqueName="10733" name="Column10724" queryTableFieldId="5661" dataDxfId="5878"/>
    <tableColumn id="10734" uniqueName="10734" name="Column10725" queryTableFieldId="5660" dataDxfId="5877"/>
    <tableColumn id="10735" uniqueName="10735" name="Column10726" queryTableFieldId="5659" dataDxfId="5876"/>
    <tableColumn id="10736" uniqueName="10736" name="Column10727" queryTableFieldId="5658" dataDxfId="5875"/>
    <tableColumn id="10737" uniqueName="10737" name="Column10728" queryTableFieldId="5657" dataDxfId="5874"/>
    <tableColumn id="10738" uniqueName="10738" name="Column10729" queryTableFieldId="5656" dataDxfId="5873"/>
    <tableColumn id="10739" uniqueName="10739" name="Column10730" queryTableFieldId="5655" dataDxfId="5872"/>
    <tableColumn id="10740" uniqueName="10740" name="Column10731" queryTableFieldId="5654" dataDxfId="5871"/>
    <tableColumn id="10741" uniqueName="10741" name="Column10732" queryTableFieldId="5653" dataDxfId="5870"/>
    <tableColumn id="10742" uniqueName="10742" name="Column10733" queryTableFieldId="5652" dataDxfId="5869"/>
    <tableColumn id="10743" uniqueName="10743" name="Column10734" queryTableFieldId="5651" dataDxfId="5868"/>
    <tableColumn id="10744" uniqueName="10744" name="Column10735" queryTableFieldId="5650" dataDxfId="5867"/>
    <tableColumn id="10745" uniqueName="10745" name="Column10736" queryTableFieldId="5649" dataDxfId="5866"/>
    <tableColumn id="10746" uniqueName="10746" name="Column10737" queryTableFieldId="5648" dataDxfId="5865"/>
    <tableColumn id="10747" uniqueName="10747" name="Column10738" queryTableFieldId="5647" dataDxfId="5864"/>
    <tableColumn id="10748" uniqueName="10748" name="Column10739" queryTableFieldId="5646" dataDxfId="5863"/>
    <tableColumn id="10749" uniqueName="10749" name="Column10740" queryTableFieldId="5645" dataDxfId="5862"/>
    <tableColumn id="10750" uniqueName="10750" name="Column10741" queryTableFieldId="5644" dataDxfId="5861"/>
    <tableColumn id="10751" uniqueName="10751" name="Column10742" queryTableFieldId="5643" dataDxfId="5860"/>
    <tableColumn id="10752" uniqueName="10752" name="Column10743" queryTableFieldId="5642" dataDxfId="5859"/>
    <tableColumn id="10753" uniqueName="10753" name="Column10744" queryTableFieldId="5641" dataDxfId="5858"/>
    <tableColumn id="10754" uniqueName="10754" name="Column10745" queryTableFieldId="5640" dataDxfId="5857"/>
    <tableColumn id="10755" uniqueName="10755" name="Column10746" queryTableFieldId="5639" dataDxfId="5856"/>
    <tableColumn id="10756" uniqueName="10756" name="Column10747" queryTableFieldId="5638" dataDxfId="5855"/>
    <tableColumn id="10757" uniqueName="10757" name="Column10748" queryTableFieldId="5637" dataDxfId="5854"/>
    <tableColumn id="10758" uniqueName="10758" name="Column10749" queryTableFieldId="5636" dataDxfId="5853"/>
    <tableColumn id="10759" uniqueName="10759" name="Column10750" queryTableFieldId="5635" dataDxfId="5852"/>
    <tableColumn id="10760" uniqueName="10760" name="Column10751" queryTableFieldId="5634" dataDxfId="5851"/>
    <tableColumn id="10761" uniqueName="10761" name="Column10752" queryTableFieldId="5633" dataDxfId="5850"/>
    <tableColumn id="10762" uniqueName="10762" name="Column10753" queryTableFieldId="5632" dataDxfId="5849"/>
    <tableColumn id="10763" uniqueName="10763" name="Column10754" queryTableFieldId="5631" dataDxfId="5848"/>
    <tableColumn id="10764" uniqueName="10764" name="Column10755" queryTableFieldId="5630" dataDxfId="5847"/>
    <tableColumn id="10765" uniqueName="10765" name="Column10756" queryTableFieldId="5629" dataDxfId="5846"/>
    <tableColumn id="10766" uniqueName="10766" name="Column10757" queryTableFieldId="5628" dataDxfId="5845"/>
    <tableColumn id="10767" uniqueName="10767" name="Column10758" queryTableFieldId="5627" dataDxfId="5844"/>
    <tableColumn id="10768" uniqueName="10768" name="Column10759" queryTableFieldId="5626" dataDxfId="5843"/>
    <tableColumn id="10769" uniqueName="10769" name="Column10760" queryTableFieldId="5625" dataDxfId="5842"/>
    <tableColumn id="10770" uniqueName="10770" name="Column10761" queryTableFieldId="5624" dataDxfId="5841"/>
    <tableColumn id="10771" uniqueName="10771" name="Column10762" queryTableFieldId="5623" dataDxfId="5840"/>
    <tableColumn id="10772" uniqueName="10772" name="Column10763" queryTableFieldId="5622" dataDxfId="5839"/>
    <tableColumn id="10773" uniqueName="10773" name="Column10764" queryTableFieldId="5621" dataDxfId="5838"/>
    <tableColumn id="10774" uniqueName="10774" name="Column10765" queryTableFieldId="5620" dataDxfId="5837"/>
    <tableColumn id="10775" uniqueName="10775" name="Column10766" queryTableFieldId="5619" dataDxfId="5836"/>
    <tableColumn id="10776" uniqueName="10776" name="Column10767" queryTableFieldId="5618" dataDxfId="5835"/>
    <tableColumn id="10777" uniqueName="10777" name="Column10768" queryTableFieldId="5617" dataDxfId="5834"/>
    <tableColumn id="10778" uniqueName="10778" name="Column10769" queryTableFieldId="5616" dataDxfId="5833"/>
    <tableColumn id="10779" uniqueName="10779" name="Column10770" queryTableFieldId="5615" dataDxfId="5832"/>
    <tableColumn id="10780" uniqueName="10780" name="Column10771" queryTableFieldId="5614" dataDxfId="5831"/>
    <tableColumn id="10781" uniqueName="10781" name="Column10772" queryTableFieldId="5613" dataDxfId="5830"/>
    <tableColumn id="10782" uniqueName="10782" name="Column10773" queryTableFieldId="5612" dataDxfId="5829"/>
    <tableColumn id="10783" uniqueName="10783" name="Column10774" queryTableFieldId="5611" dataDxfId="5828"/>
    <tableColumn id="10784" uniqueName="10784" name="Column10775" queryTableFieldId="5610" dataDxfId="5827"/>
    <tableColumn id="10785" uniqueName="10785" name="Column10776" queryTableFieldId="5609" dataDxfId="5826"/>
    <tableColumn id="10786" uniqueName="10786" name="Column10777" queryTableFieldId="5608" dataDxfId="5825"/>
    <tableColumn id="10787" uniqueName="10787" name="Column10778" queryTableFieldId="5607" dataDxfId="5824"/>
    <tableColumn id="10788" uniqueName="10788" name="Column10779" queryTableFieldId="5606" dataDxfId="5823"/>
    <tableColumn id="10789" uniqueName="10789" name="Column10780" queryTableFieldId="5605" dataDxfId="5822"/>
    <tableColumn id="10790" uniqueName="10790" name="Column10781" queryTableFieldId="5604" dataDxfId="5821"/>
    <tableColumn id="10791" uniqueName="10791" name="Column10782" queryTableFieldId="5603" dataDxfId="5820"/>
    <tableColumn id="10792" uniqueName="10792" name="Column10783" queryTableFieldId="5602" dataDxfId="5819"/>
    <tableColumn id="10793" uniqueName="10793" name="Column10784" queryTableFieldId="5601" dataDxfId="5818"/>
    <tableColumn id="10794" uniqueName="10794" name="Column10785" queryTableFieldId="5600" dataDxfId="5817"/>
    <tableColumn id="10795" uniqueName="10795" name="Column10786" queryTableFieldId="5599" dataDxfId="5816"/>
    <tableColumn id="10796" uniqueName="10796" name="Column10787" queryTableFieldId="5598" dataDxfId="5815"/>
    <tableColumn id="10797" uniqueName="10797" name="Column10788" queryTableFieldId="5597" dataDxfId="5814"/>
    <tableColumn id="10798" uniqueName="10798" name="Column10789" queryTableFieldId="5596" dataDxfId="5813"/>
    <tableColumn id="10799" uniqueName="10799" name="Column10790" queryTableFieldId="5595" dataDxfId="5812"/>
    <tableColumn id="10800" uniqueName="10800" name="Column10791" queryTableFieldId="5594" dataDxfId="5811"/>
    <tableColumn id="10801" uniqueName="10801" name="Column10792" queryTableFieldId="5593" dataDxfId="5810"/>
    <tableColumn id="10802" uniqueName="10802" name="Column10793" queryTableFieldId="5592" dataDxfId="5809"/>
    <tableColumn id="10803" uniqueName="10803" name="Column10794" queryTableFieldId="5591" dataDxfId="5808"/>
    <tableColumn id="10804" uniqueName="10804" name="Column10795" queryTableFieldId="5590" dataDxfId="5807"/>
    <tableColumn id="10805" uniqueName="10805" name="Column10796" queryTableFieldId="5589" dataDxfId="5806"/>
    <tableColumn id="10806" uniqueName="10806" name="Column10797" queryTableFieldId="5588" dataDxfId="5805"/>
    <tableColumn id="10807" uniqueName="10807" name="Column10798" queryTableFieldId="5587" dataDxfId="5804"/>
    <tableColumn id="10808" uniqueName="10808" name="Column10799" queryTableFieldId="5586" dataDxfId="5803"/>
    <tableColumn id="10809" uniqueName="10809" name="Column10800" queryTableFieldId="5585" dataDxfId="5802"/>
    <tableColumn id="10810" uniqueName="10810" name="Column10801" queryTableFieldId="5584" dataDxfId="5801"/>
    <tableColumn id="10811" uniqueName="10811" name="Column10802" queryTableFieldId="5583" dataDxfId="5800"/>
    <tableColumn id="10812" uniqueName="10812" name="Column10803" queryTableFieldId="5582" dataDxfId="5799"/>
    <tableColumn id="10813" uniqueName="10813" name="Column10804" queryTableFieldId="5581" dataDxfId="5798"/>
    <tableColumn id="10814" uniqueName="10814" name="Column10805" queryTableFieldId="5580" dataDxfId="5797"/>
    <tableColumn id="10815" uniqueName="10815" name="Column10806" queryTableFieldId="5579" dataDxfId="5796"/>
    <tableColumn id="10816" uniqueName="10816" name="Column10807" queryTableFieldId="5578" dataDxfId="5795"/>
    <tableColumn id="10817" uniqueName="10817" name="Column10808" queryTableFieldId="5577" dataDxfId="5794"/>
    <tableColumn id="10818" uniqueName="10818" name="Column10809" queryTableFieldId="5576" dataDxfId="5793"/>
    <tableColumn id="10819" uniqueName="10819" name="Column10810" queryTableFieldId="5575" dataDxfId="5792"/>
    <tableColumn id="10820" uniqueName="10820" name="Column10811" queryTableFieldId="5574" dataDxfId="5791"/>
    <tableColumn id="10821" uniqueName="10821" name="Column10812" queryTableFieldId="5573" dataDxfId="5790"/>
    <tableColumn id="10822" uniqueName="10822" name="Column10813" queryTableFieldId="5572" dataDxfId="5789"/>
    <tableColumn id="10823" uniqueName="10823" name="Column10814" queryTableFieldId="5571" dataDxfId="5788"/>
    <tableColumn id="10824" uniqueName="10824" name="Column10815" queryTableFieldId="5570" dataDxfId="5787"/>
    <tableColumn id="10825" uniqueName="10825" name="Column10816" queryTableFieldId="5569" dataDxfId="5786"/>
    <tableColumn id="10826" uniqueName="10826" name="Column10817" queryTableFieldId="5568" dataDxfId="5785"/>
    <tableColumn id="10827" uniqueName="10827" name="Column10818" queryTableFieldId="5567" dataDxfId="5784"/>
    <tableColumn id="10828" uniqueName="10828" name="Column10819" queryTableFieldId="5566" dataDxfId="5783"/>
    <tableColumn id="10829" uniqueName="10829" name="Column10820" queryTableFieldId="5565" dataDxfId="5782"/>
    <tableColumn id="10830" uniqueName="10830" name="Column10821" queryTableFieldId="5564" dataDxfId="5781"/>
    <tableColumn id="10831" uniqueName="10831" name="Column10822" queryTableFieldId="5563" dataDxfId="5780"/>
    <tableColumn id="10832" uniqueName="10832" name="Column10823" queryTableFieldId="5562" dataDxfId="5779"/>
    <tableColumn id="10833" uniqueName="10833" name="Column10824" queryTableFieldId="5561" dataDxfId="5778"/>
    <tableColumn id="10834" uniqueName="10834" name="Column10825" queryTableFieldId="5560" dataDxfId="5777"/>
    <tableColumn id="10835" uniqueName="10835" name="Column10826" queryTableFieldId="5559" dataDxfId="5776"/>
    <tableColumn id="10836" uniqueName="10836" name="Column10827" queryTableFieldId="5558" dataDxfId="5775"/>
    <tableColumn id="10837" uniqueName="10837" name="Column10828" queryTableFieldId="5557" dataDxfId="5774"/>
    <tableColumn id="10838" uniqueName="10838" name="Column10829" queryTableFieldId="5556" dataDxfId="5773"/>
    <tableColumn id="10839" uniqueName="10839" name="Column10830" queryTableFieldId="5555" dataDxfId="5772"/>
    <tableColumn id="10840" uniqueName="10840" name="Column10831" queryTableFieldId="5554" dataDxfId="5771"/>
    <tableColumn id="10841" uniqueName="10841" name="Column10832" queryTableFieldId="5553" dataDxfId="5770"/>
    <tableColumn id="10842" uniqueName="10842" name="Column10833" queryTableFieldId="5552" dataDxfId="5769"/>
    <tableColumn id="10843" uniqueName="10843" name="Column10834" queryTableFieldId="5551" dataDxfId="5768"/>
    <tableColumn id="10844" uniqueName="10844" name="Column10835" queryTableFieldId="5550" dataDxfId="5767"/>
    <tableColumn id="10845" uniqueName="10845" name="Column10836" queryTableFieldId="5549" dataDxfId="5766"/>
    <tableColumn id="10846" uniqueName="10846" name="Column10837" queryTableFieldId="5548" dataDxfId="5765"/>
    <tableColumn id="10847" uniqueName="10847" name="Column10838" queryTableFieldId="5547" dataDxfId="5764"/>
    <tableColumn id="10848" uniqueName="10848" name="Column10839" queryTableFieldId="5546" dataDxfId="5763"/>
    <tableColumn id="10849" uniqueName="10849" name="Column10840" queryTableFieldId="5545" dataDxfId="5762"/>
    <tableColumn id="10850" uniqueName="10850" name="Column10841" queryTableFieldId="5544" dataDxfId="5761"/>
    <tableColumn id="10851" uniqueName="10851" name="Column10842" queryTableFieldId="5543" dataDxfId="5760"/>
    <tableColumn id="10852" uniqueName="10852" name="Column10843" queryTableFieldId="5542" dataDxfId="5759"/>
    <tableColumn id="10853" uniqueName="10853" name="Column10844" queryTableFieldId="5541" dataDxfId="5758"/>
    <tableColumn id="10854" uniqueName="10854" name="Column10845" queryTableFieldId="5540" dataDxfId="5757"/>
    <tableColumn id="10855" uniqueName="10855" name="Column10846" queryTableFieldId="5539" dataDxfId="5756"/>
    <tableColumn id="10856" uniqueName="10856" name="Column10847" queryTableFieldId="5538" dataDxfId="5755"/>
    <tableColumn id="10857" uniqueName="10857" name="Column10848" queryTableFieldId="5537" dataDxfId="5754"/>
    <tableColumn id="10858" uniqueName="10858" name="Column10849" queryTableFieldId="5536" dataDxfId="5753"/>
    <tableColumn id="10859" uniqueName="10859" name="Column10850" queryTableFieldId="5535" dataDxfId="5752"/>
    <tableColumn id="10860" uniqueName="10860" name="Column10851" queryTableFieldId="5534" dataDxfId="5751"/>
    <tableColumn id="10861" uniqueName="10861" name="Column10852" queryTableFieldId="5533" dataDxfId="5750"/>
    <tableColumn id="10862" uniqueName="10862" name="Column10853" queryTableFieldId="5532" dataDxfId="5749"/>
    <tableColumn id="10863" uniqueName="10863" name="Column10854" queryTableFieldId="5531" dataDxfId="5748"/>
    <tableColumn id="10864" uniqueName="10864" name="Column10855" queryTableFieldId="5530" dataDxfId="5747"/>
    <tableColumn id="10865" uniqueName="10865" name="Column10856" queryTableFieldId="5529" dataDxfId="5746"/>
    <tableColumn id="10866" uniqueName="10866" name="Column10857" queryTableFieldId="5528" dataDxfId="5745"/>
    <tableColumn id="10867" uniqueName="10867" name="Column10858" queryTableFieldId="5527" dataDxfId="5744"/>
    <tableColumn id="10868" uniqueName="10868" name="Column10859" queryTableFieldId="5526" dataDxfId="5743"/>
    <tableColumn id="10869" uniqueName="10869" name="Column10860" queryTableFieldId="5525" dataDxfId="5742"/>
    <tableColumn id="10870" uniqueName="10870" name="Column10861" queryTableFieldId="5524" dataDxfId="5741"/>
    <tableColumn id="10871" uniqueName="10871" name="Column10862" queryTableFieldId="5523" dataDxfId="5740"/>
    <tableColumn id="10872" uniqueName="10872" name="Column10863" queryTableFieldId="5522" dataDxfId="5739"/>
    <tableColumn id="10873" uniqueName="10873" name="Column10864" queryTableFieldId="5521" dataDxfId="5738"/>
    <tableColumn id="10874" uniqueName="10874" name="Column10865" queryTableFieldId="5520" dataDxfId="5737"/>
    <tableColumn id="10875" uniqueName="10875" name="Column10866" queryTableFieldId="5519" dataDxfId="5736"/>
    <tableColumn id="10876" uniqueName="10876" name="Column10867" queryTableFieldId="5518" dataDxfId="5735"/>
    <tableColumn id="10877" uniqueName="10877" name="Column10868" queryTableFieldId="5517" dataDxfId="5734"/>
    <tableColumn id="10878" uniqueName="10878" name="Column10869" queryTableFieldId="5516" dataDxfId="5733"/>
    <tableColumn id="10879" uniqueName="10879" name="Column10870" queryTableFieldId="5515" dataDxfId="5732"/>
    <tableColumn id="10880" uniqueName="10880" name="Column10871" queryTableFieldId="5514" dataDxfId="5731"/>
    <tableColumn id="10881" uniqueName="10881" name="Column10872" queryTableFieldId="5513" dataDxfId="5730"/>
    <tableColumn id="10882" uniqueName="10882" name="Column10873" queryTableFieldId="5512" dataDxfId="5729"/>
    <tableColumn id="10883" uniqueName="10883" name="Column10874" queryTableFieldId="5511" dataDxfId="5728"/>
    <tableColumn id="10884" uniqueName="10884" name="Column10875" queryTableFieldId="5510" dataDxfId="5727"/>
    <tableColumn id="10885" uniqueName="10885" name="Column10876" queryTableFieldId="5509" dataDxfId="5726"/>
    <tableColumn id="10886" uniqueName="10886" name="Column10877" queryTableFieldId="5508" dataDxfId="5725"/>
    <tableColumn id="10887" uniqueName="10887" name="Column10878" queryTableFieldId="5507" dataDxfId="5724"/>
    <tableColumn id="10888" uniqueName="10888" name="Column10879" queryTableFieldId="5506" dataDxfId="5723"/>
    <tableColumn id="10889" uniqueName="10889" name="Column10880" queryTableFieldId="5505" dataDxfId="5722"/>
    <tableColumn id="10890" uniqueName="10890" name="Column10881" queryTableFieldId="5504" dataDxfId="5721"/>
    <tableColumn id="10891" uniqueName="10891" name="Column10882" queryTableFieldId="5503" dataDxfId="5720"/>
    <tableColumn id="10892" uniqueName="10892" name="Column10883" queryTableFieldId="5502" dataDxfId="5719"/>
    <tableColumn id="10893" uniqueName="10893" name="Column10884" queryTableFieldId="5501" dataDxfId="5718"/>
    <tableColumn id="10894" uniqueName="10894" name="Column10885" queryTableFieldId="5500" dataDxfId="5717"/>
    <tableColumn id="10895" uniqueName="10895" name="Column10886" queryTableFieldId="5499" dataDxfId="5716"/>
    <tableColumn id="10896" uniqueName="10896" name="Column10887" queryTableFieldId="5498" dataDxfId="5715"/>
    <tableColumn id="10897" uniqueName="10897" name="Column10888" queryTableFieldId="5497" dataDxfId="5714"/>
    <tableColumn id="10898" uniqueName="10898" name="Column10889" queryTableFieldId="5496" dataDxfId="5713"/>
    <tableColumn id="10899" uniqueName="10899" name="Column10890" queryTableFieldId="5495" dataDxfId="5712"/>
    <tableColumn id="10900" uniqueName="10900" name="Column10891" queryTableFieldId="5494" dataDxfId="5711"/>
    <tableColumn id="10901" uniqueName="10901" name="Column10892" queryTableFieldId="5493" dataDxfId="5710"/>
    <tableColumn id="10902" uniqueName="10902" name="Column10893" queryTableFieldId="5492" dataDxfId="5709"/>
    <tableColumn id="10903" uniqueName="10903" name="Column10894" queryTableFieldId="5491" dataDxfId="5708"/>
    <tableColumn id="10904" uniqueName="10904" name="Column10895" queryTableFieldId="5490" dataDxfId="5707"/>
    <tableColumn id="10905" uniqueName="10905" name="Column10896" queryTableFieldId="5489" dataDxfId="5706"/>
    <tableColumn id="10906" uniqueName="10906" name="Column10897" queryTableFieldId="5488" dataDxfId="5705"/>
    <tableColumn id="10907" uniqueName="10907" name="Column10898" queryTableFieldId="5487" dataDxfId="5704"/>
    <tableColumn id="10908" uniqueName="10908" name="Column10899" queryTableFieldId="5486" dataDxfId="5703"/>
    <tableColumn id="10909" uniqueName="10909" name="Column10900" queryTableFieldId="5485" dataDxfId="5702"/>
    <tableColumn id="10910" uniqueName="10910" name="Column10901" queryTableFieldId="5484" dataDxfId="5701"/>
    <tableColumn id="10911" uniqueName="10911" name="Column10902" queryTableFieldId="5483" dataDxfId="5700"/>
    <tableColumn id="10912" uniqueName="10912" name="Column10903" queryTableFieldId="5482" dataDxfId="5699"/>
    <tableColumn id="10913" uniqueName="10913" name="Column10904" queryTableFieldId="5481" dataDxfId="5698"/>
    <tableColumn id="10914" uniqueName="10914" name="Column10905" queryTableFieldId="5480" dataDxfId="5697"/>
    <tableColumn id="10915" uniqueName="10915" name="Column10906" queryTableFieldId="5479" dataDxfId="5696"/>
    <tableColumn id="10916" uniqueName="10916" name="Column10907" queryTableFieldId="5478" dataDxfId="5695"/>
    <tableColumn id="10917" uniqueName="10917" name="Column10908" queryTableFieldId="5477" dataDxfId="5694"/>
    <tableColumn id="10918" uniqueName="10918" name="Column10909" queryTableFieldId="5476" dataDxfId="5693"/>
    <tableColumn id="10919" uniqueName="10919" name="Column10910" queryTableFieldId="5475" dataDxfId="5692"/>
    <tableColumn id="10920" uniqueName="10920" name="Column10911" queryTableFieldId="5474" dataDxfId="5691"/>
    <tableColumn id="10921" uniqueName="10921" name="Column10912" queryTableFieldId="5473" dataDxfId="5690"/>
    <tableColumn id="10922" uniqueName="10922" name="Column10913" queryTableFieldId="5472" dataDxfId="5689"/>
    <tableColumn id="10923" uniqueName="10923" name="Column10914" queryTableFieldId="5471" dataDxfId="5688"/>
    <tableColumn id="10924" uniqueName="10924" name="Column10915" queryTableFieldId="5470" dataDxfId="5687"/>
    <tableColumn id="10925" uniqueName="10925" name="Column10916" queryTableFieldId="5469" dataDxfId="5686"/>
    <tableColumn id="10926" uniqueName="10926" name="Column10917" queryTableFieldId="5468" dataDxfId="5685"/>
    <tableColumn id="10927" uniqueName="10927" name="Column10918" queryTableFieldId="5467" dataDxfId="5684"/>
    <tableColumn id="10928" uniqueName="10928" name="Column10919" queryTableFieldId="5466" dataDxfId="5683"/>
    <tableColumn id="10929" uniqueName="10929" name="Column10920" queryTableFieldId="5465" dataDxfId="5682"/>
    <tableColumn id="10930" uniqueName="10930" name="Column10921" queryTableFieldId="5464" dataDxfId="5681"/>
    <tableColumn id="10931" uniqueName="10931" name="Column10922" queryTableFieldId="5463" dataDxfId="5680"/>
    <tableColumn id="10932" uniqueName="10932" name="Column10923" queryTableFieldId="5462" dataDxfId="5679"/>
    <tableColumn id="10933" uniqueName="10933" name="Column10924" queryTableFieldId="5461" dataDxfId="5678"/>
    <tableColumn id="10934" uniqueName="10934" name="Column10925" queryTableFieldId="5460" dataDxfId="5677"/>
    <tableColumn id="10935" uniqueName="10935" name="Column10926" queryTableFieldId="5459" dataDxfId="5676"/>
    <tableColumn id="10936" uniqueName="10936" name="Column10927" queryTableFieldId="5458" dataDxfId="5675"/>
    <tableColumn id="10937" uniqueName="10937" name="Column10928" queryTableFieldId="5457" dataDxfId="5674"/>
    <tableColumn id="10938" uniqueName="10938" name="Column10929" queryTableFieldId="5456" dataDxfId="5673"/>
    <tableColumn id="10939" uniqueName="10939" name="Column10930" queryTableFieldId="5455" dataDxfId="5672"/>
    <tableColumn id="10940" uniqueName="10940" name="Column10931" queryTableFieldId="5454" dataDxfId="5671"/>
    <tableColumn id="10941" uniqueName="10941" name="Column10932" queryTableFieldId="5453" dataDxfId="5670"/>
    <tableColumn id="10942" uniqueName="10942" name="Column10933" queryTableFieldId="5452" dataDxfId="5669"/>
    <tableColumn id="10943" uniqueName="10943" name="Column10934" queryTableFieldId="5451" dataDxfId="5668"/>
    <tableColumn id="10944" uniqueName="10944" name="Column10935" queryTableFieldId="5450" dataDxfId="5667"/>
    <tableColumn id="10945" uniqueName="10945" name="Column10936" queryTableFieldId="5449" dataDxfId="5666"/>
    <tableColumn id="10946" uniqueName="10946" name="Column10937" queryTableFieldId="5448" dataDxfId="5665"/>
    <tableColumn id="10947" uniqueName="10947" name="Column10938" queryTableFieldId="5447" dataDxfId="5664"/>
    <tableColumn id="10948" uniqueName="10948" name="Column10939" queryTableFieldId="5446" dataDxfId="5663"/>
    <tableColumn id="10949" uniqueName="10949" name="Column10940" queryTableFieldId="5445" dataDxfId="5662"/>
    <tableColumn id="10950" uniqueName="10950" name="Column10941" queryTableFieldId="5444" dataDxfId="5661"/>
    <tableColumn id="10951" uniqueName="10951" name="Column10942" queryTableFieldId="5443" dataDxfId="5660"/>
    <tableColumn id="10952" uniqueName="10952" name="Column10943" queryTableFieldId="5442" dataDxfId="5659"/>
    <tableColumn id="10953" uniqueName="10953" name="Column10944" queryTableFieldId="5441" dataDxfId="5658"/>
    <tableColumn id="10954" uniqueName="10954" name="Column10945" queryTableFieldId="5440" dataDxfId="5657"/>
    <tableColumn id="10955" uniqueName="10955" name="Column10946" queryTableFieldId="5439" dataDxfId="5656"/>
    <tableColumn id="10956" uniqueName="10956" name="Column10947" queryTableFieldId="5438" dataDxfId="5655"/>
    <tableColumn id="10957" uniqueName="10957" name="Column10948" queryTableFieldId="5437" dataDxfId="5654"/>
    <tableColumn id="10958" uniqueName="10958" name="Column10949" queryTableFieldId="5436" dataDxfId="5653"/>
    <tableColumn id="10959" uniqueName="10959" name="Column10950" queryTableFieldId="5435" dataDxfId="5652"/>
    <tableColumn id="10960" uniqueName="10960" name="Column10951" queryTableFieldId="5434" dataDxfId="5651"/>
    <tableColumn id="10961" uniqueName="10961" name="Column10952" queryTableFieldId="5433" dataDxfId="5650"/>
    <tableColumn id="10962" uniqueName="10962" name="Column10953" queryTableFieldId="5432" dataDxfId="5649"/>
    <tableColumn id="10963" uniqueName="10963" name="Column10954" queryTableFieldId="5431" dataDxfId="5648"/>
    <tableColumn id="10964" uniqueName="10964" name="Column10955" queryTableFieldId="5430" dataDxfId="5647"/>
    <tableColumn id="10965" uniqueName="10965" name="Column10956" queryTableFieldId="5429" dataDxfId="5646"/>
    <tableColumn id="10966" uniqueName="10966" name="Column10957" queryTableFieldId="5428" dataDxfId="5645"/>
    <tableColumn id="10967" uniqueName="10967" name="Column10958" queryTableFieldId="5427" dataDxfId="5644"/>
    <tableColumn id="10968" uniqueName="10968" name="Column10959" queryTableFieldId="5426" dataDxfId="5643"/>
    <tableColumn id="10969" uniqueName="10969" name="Column10960" queryTableFieldId="5425" dataDxfId="5642"/>
    <tableColumn id="10970" uniqueName="10970" name="Column10961" queryTableFieldId="5424" dataDxfId="5641"/>
    <tableColumn id="10971" uniqueName="10971" name="Column10962" queryTableFieldId="5423" dataDxfId="5640"/>
    <tableColumn id="10972" uniqueName="10972" name="Column10963" queryTableFieldId="5422" dataDxfId="5639"/>
    <tableColumn id="10973" uniqueName="10973" name="Column10964" queryTableFieldId="5421" dataDxfId="5638"/>
    <tableColumn id="10974" uniqueName="10974" name="Column10965" queryTableFieldId="5420" dataDxfId="5637"/>
    <tableColumn id="10975" uniqueName="10975" name="Column10966" queryTableFieldId="5419" dataDxfId="5636"/>
    <tableColumn id="10976" uniqueName="10976" name="Column10967" queryTableFieldId="5418" dataDxfId="5635"/>
    <tableColumn id="10977" uniqueName="10977" name="Column10968" queryTableFieldId="5417" dataDxfId="5634"/>
    <tableColumn id="10978" uniqueName="10978" name="Column10969" queryTableFieldId="5416" dataDxfId="5633"/>
    <tableColumn id="10979" uniqueName="10979" name="Column10970" queryTableFieldId="5415" dataDxfId="5632"/>
    <tableColumn id="10980" uniqueName="10980" name="Column10971" queryTableFieldId="5414" dataDxfId="5631"/>
    <tableColumn id="10981" uniqueName="10981" name="Column10972" queryTableFieldId="5413" dataDxfId="5630"/>
    <tableColumn id="10982" uniqueName="10982" name="Column10973" queryTableFieldId="5412" dataDxfId="5629"/>
    <tableColumn id="10983" uniqueName="10983" name="Column10974" queryTableFieldId="5411" dataDxfId="5628"/>
    <tableColumn id="10984" uniqueName="10984" name="Column10975" queryTableFieldId="5410" dataDxfId="5627"/>
    <tableColumn id="10985" uniqueName="10985" name="Column10976" queryTableFieldId="5409" dataDxfId="5626"/>
    <tableColumn id="10986" uniqueName="10986" name="Column10977" queryTableFieldId="5408" dataDxfId="5625"/>
    <tableColumn id="10987" uniqueName="10987" name="Column10978" queryTableFieldId="5407" dataDxfId="5624"/>
    <tableColumn id="10988" uniqueName="10988" name="Column10979" queryTableFieldId="5406" dataDxfId="5623"/>
    <tableColumn id="10989" uniqueName="10989" name="Column10980" queryTableFieldId="5405" dataDxfId="5622"/>
    <tableColumn id="10990" uniqueName="10990" name="Column10981" queryTableFieldId="5404" dataDxfId="5621"/>
    <tableColumn id="10991" uniqueName="10991" name="Column10982" queryTableFieldId="5403" dataDxfId="5620"/>
    <tableColumn id="10992" uniqueName="10992" name="Column10983" queryTableFieldId="5402" dataDxfId="5619"/>
    <tableColumn id="10993" uniqueName="10993" name="Column10984" queryTableFieldId="5401" dataDxfId="5618"/>
    <tableColumn id="10994" uniqueName="10994" name="Column10985" queryTableFieldId="5400" dataDxfId="5617"/>
    <tableColumn id="10995" uniqueName="10995" name="Column10986" queryTableFieldId="5399" dataDxfId="5616"/>
    <tableColumn id="10996" uniqueName="10996" name="Column10987" queryTableFieldId="5398" dataDxfId="5615"/>
    <tableColumn id="10997" uniqueName="10997" name="Column10988" queryTableFieldId="5397" dataDxfId="5614"/>
    <tableColumn id="10998" uniqueName="10998" name="Column10989" queryTableFieldId="5396" dataDxfId="5613"/>
    <tableColumn id="10999" uniqueName="10999" name="Column10990" queryTableFieldId="5395" dataDxfId="5612"/>
    <tableColumn id="11000" uniqueName="11000" name="Column10991" queryTableFieldId="5394" dataDxfId="5611"/>
    <tableColumn id="11001" uniqueName="11001" name="Column10992" queryTableFieldId="5393" dataDxfId="5610"/>
    <tableColumn id="11002" uniqueName="11002" name="Column10993" queryTableFieldId="5392" dataDxfId="5609"/>
    <tableColumn id="11003" uniqueName="11003" name="Column10994" queryTableFieldId="5391" dataDxfId="5608"/>
    <tableColumn id="11004" uniqueName="11004" name="Column10995" queryTableFieldId="5390" dataDxfId="5607"/>
    <tableColumn id="11005" uniqueName="11005" name="Column10996" queryTableFieldId="5389" dataDxfId="5606"/>
    <tableColumn id="11006" uniqueName="11006" name="Column10997" queryTableFieldId="5388" dataDxfId="5605"/>
    <tableColumn id="11007" uniqueName="11007" name="Column10998" queryTableFieldId="5387" dataDxfId="5604"/>
    <tableColumn id="11008" uniqueName="11008" name="Column10999" queryTableFieldId="5386" dataDxfId="5603"/>
    <tableColumn id="11009" uniqueName="11009" name="Column11000" queryTableFieldId="5385" dataDxfId="5602"/>
    <tableColumn id="11010" uniqueName="11010" name="Column11001" queryTableFieldId="5384" dataDxfId="5601"/>
    <tableColumn id="11011" uniqueName="11011" name="Column11002" queryTableFieldId="5383" dataDxfId="5600"/>
    <tableColumn id="11012" uniqueName="11012" name="Column11003" queryTableFieldId="5382" dataDxfId="5599"/>
    <tableColumn id="11013" uniqueName="11013" name="Column11004" queryTableFieldId="5381" dataDxfId="5598"/>
    <tableColumn id="11014" uniqueName="11014" name="Column11005" queryTableFieldId="5380" dataDxfId="5597"/>
    <tableColumn id="11015" uniqueName="11015" name="Column11006" queryTableFieldId="5379" dataDxfId="5596"/>
    <tableColumn id="11016" uniqueName="11016" name="Column11007" queryTableFieldId="5378" dataDxfId="5595"/>
    <tableColumn id="11017" uniqueName="11017" name="Column11008" queryTableFieldId="5377" dataDxfId="5594"/>
    <tableColumn id="11018" uniqueName="11018" name="Column11009" queryTableFieldId="5376" dataDxfId="5593"/>
    <tableColumn id="11019" uniqueName="11019" name="Column11010" queryTableFieldId="5375" dataDxfId="5592"/>
    <tableColumn id="11020" uniqueName="11020" name="Column11011" queryTableFieldId="5374" dataDxfId="5591"/>
    <tableColumn id="11021" uniqueName="11021" name="Column11012" queryTableFieldId="5373" dataDxfId="5590"/>
    <tableColumn id="11022" uniqueName="11022" name="Column11013" queryTableFieldId="5372" dataDxfId="5589"/>
    <tableColumn id="11023" uniqueName="11023" name="Column11014" queryTableFieldId="5371" dataDxfId="5588"/>
    <tableColumn id="11024" uniqueName="11024" name="Column11015" queryTableFieldId="5370" dataDxfId="5587"/>
    <tableColumn id="11025" uniqueName="11025" name="Column11016" queryTableFieldId="5369" dataDxfId="5586"/>
    <tableColumn id="11026" uniqueName="11026" name="Column11017" queryTableFieldId="5368" dataDxfId="5585"/>
    <tableColumn id="11027" uniqueName="11027" name="Column11018" queryTableFieldId="5367" dataDxfId="5584"/>
    <tableColumn id="11028" uniqueName="11028" name="Column11019" queryTableFieldId="5366" dataDxfId="5583"/>
    <tableColumn id="11029" uniqueName="11029" name="Column11020" queryTableFieldId="5365" dataDxfId="5582"/>
    <tableColumn id="11030" uniqueName="11030" name="Column11021" queryTableFieldId="5364" dataDxfId="5581"/>
    <tableColumn id="11031" uniqueName="11031" name="Column11022" queryTableFieldId="5363" dataDxfId="5580"/>
    <tableColumn id="11032" uniqueName="11032" name="Column11023" queryTableFieldId="5362" dataDxfId="5579"/>
    <tableColumn id="11033" uniqueName="11033" name="Column11024" queryTableFieldId="5361" dataDxfId="5578"/>
    <tableColumn id="11034" uniqueName="11034" name="Column11025" queryTableFieldId="5360" dataDxfId="5577"/>
    <tableColumn id="11035" uniqueName="11035" name="Column11026" queryTableFieldId="5359" dataDxfId="5576"/>
    <tableColumn id="11036" uniqueName="11036" name="Column11027" queryTableFieldId="5358" dataDxfId="5575"/>
    <tableColumn id="11037" uniqueName="11037" name="Column11028" queryTableFieldId="5357" dataDxfId="5574"/>
    <tableColumn id="11038" uniqueName="11038" name="Column11029" queryTableFieldId="5356" dataDxfId="5573"/>
    <tableColumn id="11039" uniqueName="11039" name="Column11030" queryTableFieldId="5355" dataDxfId="5572"/>
    <tableColumn id="11040" uniqueName="11040" name="Column11031" queryTableFieldId="5354" dataDxfId="5571"/>
    <tableColumn id="11041" uniqueName="11041" name="Column11032" queryTableFieldId="5353" dataDxfId="5570"/>
    <tableColumn id="11042" uniqueName="11042" name="Column11033" queryTableFieldId="5352" dataDxfId="5569"/>
    <tableColumn id="11043" uniqueName="11043" name="Column11034" queryTableFieldId="5351" dataDxfId="5568"/>
    <tableColumn id="11044" uniqueName="11044" name="Column11035" queryTableFieldId="5350" dataDxfId="5567"/>
    <tableColumn id="11045" uniqueName="11045" name="Column11036" queryTableFieldId="5349" dataDxfId="5566"/>
    <tableColumn id="11046" uniqueName="11046" name="Column11037" queryTableFieldId="5348" dataDxfId="5565"/>
    <tableColumn id="11047" uniqueName="11047" name="Column11038" queryTableFieldId="5347" dataDxfId="5564"/>
    <tableColumn id="11048" uniqueName="11048" name="Column11039" queryTableFieldId="5346" dataDxfId="5563"/>
    <tableColumn id="11049" uniqueName="11049" name="Column11040" queryTableFieldId="5345" dataDxfId="5562"/>
    <tableColumn id="11050" uniqueName="11050" name="Column11041" queryTableFieldId="5344" dataDxfId="5561"/>
    <tableColumn id="11051" uniqueName="11051" name="Column11042" queryTableFieldId="5343" dataDxfId="5560"/>
    <tableColumn id="11052" uniqueName="11052" name="Column11043" queryTableFieldId="5342" dataDxfId="5559"/>
    <tableColumn id="11053" uniqueName="11053" name="Column11044" queryTableFieldId="5341" dataDxfId="5558"/>
    <tableColumn id="11054" uniqueName="11054" name="Column11045" queryTableFieldId="5340" dataDxfId="5557"/>
    <tableColumn id="11055" uniqueName="11055" name="Column11046" queryTableFieldId="5339" dataDxfId="5556"/>
    <tableColumn id="11056" uniqueName="11056" name="Column11047" queryTableFieldId="5338" dataDxfId="5555"/>
    <tableColumn id="11057" uniqueName="11057" name="Column11048" queryTableFieldId="5337" dataDxfId="5554"/>
    <tableColumn id="11058" uniqueName="11058" name="Column11049" queryTableFieldId="5336" dataDxfId="5553"/>
    <tableColumn id="11059" uniqueName="11059" name="Column11050" queryTableFieldId="5335" dataDxfId="5552"/>
    <tableColumn id="11060" uniqueName="11060" name="Column11051" queryTableFieldId="5334" dataDxfId="5551"/>
    <tableColumn id="11061" uniqueName="11061" name="Column11052" queryTableFieldId="5333" dataDxfId="5550"/>
    <tableColumn id="11062" uniqueName="11062" name="Column11053" queryTableFieldId="5332" dataDxfId="5549"/>
    <tableColumn id="11063" uniqueName="11063" name="Column11054" queryTableFieldId="5331" dataDxfId="5548"/>
    <tableColumn id="11064" uniqueName="11064" name="Column11055" queryTableFieldId="5330" dataDxfId="5547"/>
    <tableColumn id="11065" uniqueName="11065" name="Column11056" queryTableFieldId="5329" dataDxfId="5546"/>
    <tableColumn id="11066" uniqueName="11066" name="Column11057" queryTableFieldId="5328" dataDxfId="5545"/>
    <tableColumn id="11067" uniqueName="11067" name="Column11058" queryTableFieldId="5327" dataDxfId="5544"/>
    <tableColumn id="11068" uniqueName="11068" name="Column11059" queryTableFieldId="5326" dataDxfId="5543"/>
    <tableColumn id="11069" uniqueName="11069" name="Column11060" queryTableFieldId="5325" dataDxfId="5542"/>
    <tableColumn id="11070" uniqueName="11070" name="Column11061" queryTableFieldId="5324" dataDxfId="5541"/>
    <tableColumn id="11071" uniqueName="11071" name="Column11062" queryTableFieldId="5323" dataDxfId="5540"/>
    <tableColumn id="11072" uniqueName="11072" name="Column11063" queryTableFieldId="5322" dataDxfId="5539"/>
    <tableColumn id="11073" uniqueName="11073" name="Column11064" queryTableFieldId="5321" dataDxfId="5538"/>
    <tableColumn id="11074" uniqueName="11074" name="Column11065" queryTableFieldId="5320" dataDxfId="5537"/>
    <tableColumn id="11075" uniqueName="11075" name="Column11066" queryTableFieldId="5319" dataDxfId="5536"/>
    <tableColumn id="11076" uniqueName="11076" name="Column11067" queryTableFieldId="5318" dataDxfId="5535"/>
    <tableColumn id="11077" uniqueName="11077" name="Column11068" queryTableFieldId="5317" dataDxfId="5534"/>
    <tableColumn id="11078" uniqueName="11078" name="Column11069" queryTableFieldId="5316" dataDxfId="5533"/>
    <tableColumn id="11079" uniqueName="11079" name="Column11070" queryTableFieldId="5315" dataDxfId="5532"/>
    <tableColumn id="11080" uniqueName="11080" name="Column11071" queryTableFieldId="5314" dataDxfId="5531"/>
    <tableColumn id="11081" uniqueName="11081" name="Column11072" queryTableFieldId="5313" dataDxfId="5530"/>
    <tableColumn id="11082" uniqueName="11082" name="Column11073" queryTableFieldId="5312" dataDxfId="5529"/>
    <tableColumn id="11083" uniqueName="11083" name="Column11074" queryTableFieldId="5311" dataDxfId="5528"/>
    <tableColumn id="11084" uniqueName="11084" name="Column11075" queryTableFieldId="5310" dataDxfId="5527"/>
    <tableColumn id="11085" uniqueName="11085" name="Column11076" queryTableFieldId="5309" dataDxfId="5526"/>
    <tableColumn id="11086" uniqueName="11086" name="Column11077" queryTableFieldId="5308" dataDxfId="5525"/>
    <tableColumn id="11087" uniqueName="11087" name="Column11078" queryTableFieldId="5307" dataDxfId="5524"/>
    <tableColumn id="11088" uniqueName="11088" name="Column11079" queryTableFieldId="5306" dataDxfId="5523"/>
    <tableColumn id="11089" uniqueName="11089" name="Column11080" queryTableFieldId="5305" dataDxfId="5522"/>
    <tableColumn id="11090" uniqueName="11090" name="Column11081" queryTableFieldId="5304" dataDxfId="5521"/>
    <tableColumn id="11091" uniqueName="11091" name="Column11082" queryTableFieldId="5303" dataDxfId="5520"/>
    <tableColumn id="11092" uniqueName="11092" name="Column11083" queryTableFieldId="5302" dataDxfId="5519"/>
    <tableColumn id="11093" uniqueName="11093" name="Column11084" queryTableFieldId="5301" dataDxfId="5518"/>
    <tableColumn id="11094" uniqueName="11094" name="Column11085" queryTableFieldId="5300" dataDxfId="5517"/>
    <tableColumn id="11095" uniqueName="11095" name="Column11086" queryTableFieldId="5299" dataDxfId="5516"/>
    <tableColumn id="11096" uniqueName="11096" name="Column11087" queryTableFieldId="5298" dataDxfId="5515"/>
    <tableColumn id="11097" uniqueName="11097" name="Column11088" queryTableFieldId="5297" dataDxfId="5514"/>
    <tableColumn id="11098" uniqueName="11098" name="Column11089" queryTableFieldId="5296" dataDxfId="5513"/>
    <tableColumn id="11099" uniqueName="11099" name="Column11090" queryTableFieldId="5295" dataDxfId="5512"/>
    <tableColumn id="11100" uniqueName="11100" name="Column11091" queryTableFieldId="5294" dataDxfId="5511"/>
    <tableColumn id="11101" uniqueName="11101" name="Column11092" queryTableFieldId="5293" dataDxfId="5510"/>
    <tableColumn id="11102" uniqueName="11102" name="Column11093" queryTableFieldId="5292" dataDxfId="5509"/>
    <tableColumn id="11103" uniqueName="11103" name="Column11094" queryTableFieldId="5291" dataDxfId="5508"/>
    <tableColumn id="11104" uniqueName="11104" name="Column11095" queryTableFieldId="5290" dataDxfId="5507"/>
    <tableColumn id="11105" uniqueName="11105" name="Column11096" queryTableFieldId="5289" dataDxfId="5506"/>
    <tableColumn id="11106" uniqueName="11106" name="Column11097" queryTableFieldId="5288" dataDxfId="5505"/>
    <tableColumn id="11107" uniqueName="11107" name="Column11098" queryTableFieldId="5287" dataDxfId="5504"/>
    <tableColumn id="11108" uniqueName="11108" name="Column11099" queryTableFieldId="5286" dataDxfId="5503"/>
    <tableColumn id="11109" uniqueName="11109" name="Column11100" queryTableFieldId="5285" dataDxfId="5502"/>
    <tableColumn id="11110" uniqueName="11110" name="Column11101" queryTableFieldId="5284" dataDxfId="5501"/>
    <tableColumn id="11111" uniqueName="11111" name="Column11102" queryTableFieldId="5283" dataDxfId="5500"/>
    <tableColumn id="11112" uniqueName="11112" name="Column11103" queryTableFieldId="5282" dataDxfId="5499"/>
    <tableColumn id="11113" uniqueName="11113" name="Column11104" queryTableFieldId="5281" dataDxfId="5498"/>
    <tableColumn id="11114" uniqueName="11114" name="Column11105" queryTableFieldId="5280" dataDxfId="5497"/>
    <tableColumn id="11115" uniqueName="11115" name="Column11106" queryTableFieldId="5279" dataDxfId="5496"/>
    <tableColumn id="11116" uniqueName="11116" name="Column11107" queryTableFieldId="5278" dataDxfId="5495"/>
    <tableColumn id="11117" uniqueName="11117" name="Column11108" queryTableFieldId="5277" dataDxfId="5494"/>
    <tableColumn id="11118" uniqueName="11118" name="Column11109" queryTableFieldId="5276" dataDxfId="5493"/>
    <tableColumn id="11119" uniqueName="11119" name="Column11110" queryTableFieldId="5275" dataDxfId="5492"/>
    <tableColumn id="11120" uniqueName="11120" name="Column11111" queryTableFieldId="5274" dataDxfId="5491"/>
    <tableColumn id="11121" uniqueName="11121" name="Column11112" queryTableFieldId="5273" dataDxfId="5490"/>
    <tableColumn id="11122" uniqueName="11122" name="Column11113" queryTableFieldId="5272" dataDxfId="5489"/>
    <tableColumn id="11123" uniqueName="11123" name="Column11114" queryTableFieldId="5271" dataDxfId="5488"/>
    <tableColumn id="11124" uniqueName="11124" name="Column11115" queryTableFieldId="5270" dataDxfId="5487"/>
    <tableColumn id="11125" uniqueName="11125" name="Column11116" queryTableFieldId="5269" dataDxfId="5486"/>
    <tableColumn id="11126" uniqueName="11126" name="Column11117" queryTableFieldId="5268" dataDxfId="5485"/>
    <tableColumn id="11127" uniqueName="11127" name="Column11118" queryTableFieldId="5267" dataDxfId="5484"/>
    <tableColumn id="11128" uniqueName="11128" name="Column11119" queryTableFieldId="5266" dataDxfId="5483"/>
    <tableColumn id="11129" uniqueName="11129" name="Column11120" queryTableFieldId="5265" dataDxfId="5482"/>
    <tableColumn id="11130" uniqueName="11130" name="Column11121" queryTableFieldId="5264" dataDxfId="5481"/>
    <tableColumn id="11131" uniqueName="11131" name="Column11122" queryTableFieldId="5263" dataDxfId="5480"/>
    <tableColumn id="11132" uniqueName="11132" name="Column11123" queryTableFieldId="5262" dataDxfId="5479"/>
    <tableColumn id="11133" uniqueName="11133" name="Column11124" queryTableFieldId="5261" dataDxfId="5478"/>
    <tableColumn id="11134" uniqueName="11134" name="Column11125" queryTableFieldId="5260" dataDxfId="5477"/>
    <tableColumn id="11135" uniqueName="11135" name="Column11126" queryTableFieldId="5259" dataDxfId="5476"/>
    <tableColumn id="11136" uniqueName="11136" name="Column11127" queryTableFieldId="5258" dataDxfId="5475"/>
    <tableColumn id="11137" uniqueName="11137" name="Column11128" queryTableFieldId="5257" dataDxfId="5474"/>
    <tableColumn id="11138" uniqueName="11138" name="Column11129" queryTableFieldId="5256" dataDxfId="5473"/>
    <tableColumn id="11139" uniqueName="11139" name="Column11130" queryTableFieldId="5255" dataDxfId="5472"/>
    <tableColumn id="11140" uniqueName="11140" name="Column11131" queryTableFieldId="5254" dataDxfId="5471"/>
    <tableColumn id="11141" uniqueName="11141" name="Column11132" queryTableFieldId="5253" dataDxfId="5470"/>
    <tableColumn id="11142" uniqueName="11142" name="Column11133" queryTableFieldId="5252" dataDxfId="5469"/>
    <tableColumn id="11143" uniqueName="11143" name="Column11134" queryTableFieldId="5251" dataDxfId="5468"/>
    <tableColumn id="11144" uniqueName="11144" name="Column11135" queryTableFieldId="5250" dataDxfId="5467"/>
    <tableColumn id="11145" uniqueName="11145" name="Column11136" queryTableFieldId="5249" dataDxfId="5466"/>
    <tableColumn id="11146" uniqueName="11146" name="Column11137" queryTableFieldId="5248" dataDxfId="5465"/>
    <tableColumn id="11147" uniqueName="11147" name="Column11138" queryTableFieldId="5247" dataDxfId="5464"/>
    <tableColumn id="11148" uniqueName="11148" name="Column11139" queryTableFieldId="5246" dataDxfId="5463"/>
    <tableColumn id="11149" uniqueName="11149" name="Column11140" queryTableFieldId="5245" dataDxfId="5462"/>
    <tableColumn id="11150" uniqueName="11150" name="Column11141" queryTableFieldId="5244" dataDxfId="5461"/>
    <tableColumn id="11151" uniqueName="11151" name="Column11142" queryTableFieldId="5243" dataDxfId="5460"/>
    <tableColumn id="11152" uniqueName="11152" name="Column11143" queryTableFieldId="5242" dataDxfId="5459"/>
    <tableColumn id="11153" uniqueName="11153" name="Column11144" queryTableFieldId="5241" dataDxfId="5458"/>
    <tableColumn id="11154" uniqueName="11154" name="Column11145" queryTableFieldId="5240" dataDxfId="5457"/>
    <tableColumn id="11155" uniqueName="11155" name="Column11146" queryTableFieldId="5239" dataDxfId="5456"/>
    <tableColumn id="11156" uniqueName="11156" name="Column11147" queryTableFieldId="5238" dataDxfId="5455"/>
    <tableColumn id="11157" uniqueName="11157" name="Column11148" queryTableFieldId="5237" dataDxfId="5454"/>
    <tableColumn id="11158" uniqueName="11158" name="Column11149" queryTableFieldId="5236" dataDxfId="5453"/>
    <tableColumn id="11159" uniqueName="11159" name="Column11150" queryTableFieldId="5235" dataDxfId="5452"/>
    <tableColumn id="11160" uniqueName="11160" name="Column11151" queryTableFieldId="5234" dataDxfId="5451"/>
    <tableColumn id="11161" uniqueName="11161" name="Column11152" queryTableFieldId="5233" dataDxfId="5450"/>
    <tableColumn id="11162" uniqueName="11162" name="Column11153" queryTableFieldId="5232" dataDxfId="5449"/>
    <tableColumn id="11163" uniqueName="11163" name="Column11154" queryTableFieldId="5231" dataDxfId="5448"/>
    <tableColumn id="11164" uniqueName="11164" name="Column11155" queryTableFieldId="5230" dataDxfId="5447"/>
    <tableColumn id="11165" uniqueName="11165" name="Column11156" queryTableFieldId="5229" dataDxfId="5446"/>
    <tableColumn id="11166" uniqueName="11166" name="Column11157" queryTableFieldId="5228" dataDxfId="5445"/>
    <tableColumn id="11167" uniqueName="11167" name="Column11158" queryTableFieldId="5227" dataDxfId="5444"/>
    <tableColumn id="11168" uniqueName="11168" name="Column11159" queryTableFieldId="5226" dataDxfId="5443"/>
    <tableColumn id="11169" uniqueName="11169" name="Column11160" queryTableFieldId="5225" dataDxfId="5442"/>
    <tableColumn id="11170" uniqueName="11170" name="Column11161" queryTableFieldId="5224" dataDxfId="5441"/>
    <tableColumn id="11171" uniqueName="11171" name="Column11162" queryTableFieldId="5223" dataDxfId="5440"/>
    <tableColumn id="11172" uniqueName="11172" name="Column11163" queryTableFieldId="5222" dataDxfId="5439"/>
    <tableColumn id="11173" uniqueName="11173" name="Column11164" queryTableFieldId="5221" dataDxfId="5438"/>
    <tableColumn id="11174" uniqueName="11174" name="Column11165" queryTableFieldId="5220" dataDxfId="5437"/>
    <tableColumn id="11175" uniqueName="11175" name="Column11166" queryTableFieldId="5219" dataDxfId="5436"/>
    <tableColumn id="11176" uniqueName="11176" name="Column11167" queryTableFieldId="5218" dataDxfId="5435"/>
    <tableColumn id="11177" uniqueName="11177" name="Column11168" queryTableFieldId="5217" dataDxfId="5434"/>
    <tableColumn id="11178" uniqueName="11178" name="Column11169" queryTableFieldId="5216" dataDxfId="5433"/>
    <tableColumn id="11179" uniqueName="11179" name="Column11170" queryTableFieldId="5215" dataDxfId="5432"/>
    <tableColumn id="11180" uniqueName="11180" name="Column11171" queryTableFieldId="5214" dataDxfId="5431"/>
    <tableColumn id="11181" uniqueName="11181" name="Column11172" queryTableFieldId="5213" dataDxfId="5430"/>
    <tableColumn id="11182" uniqueName="11182" name="Column11173" queryTableFieldId="5212" dataDxfId="5429"/>
    <tableColumn id="11183" uniqueName="11183" name="Column11174" queryTableFieldId="5211" dataDxfId="5428"/>
    <tableColumn id="11184" uniqueName="11184" name="Column11175" queryTableFieldId="5210" dataDxfId="5427"/>
    <tableColumn id="11185" uniqueName="11185" name="Column11176" queryTableFieldId="5209" dataDxfId="5426"/>
    <tableColumn id="11186" uniqueName="11186" name="Column11177" queryTableFieldId="5208" dataDxfId="5425"/>
    <tableColumn id="11187" uniqueName="11187" name="Column11178" queryTableFieldId="5207" dataDxfId="5424"/>
    <tableColumn id="11188" uniqueName="11188" name="Column11179" queryTableFieldId="5206" dataDxfId="5423"/>
    <tableColumn id="11189" uniqueName="11189" name="Column11180" queryTableFieldId="5205" dataDxfId="5422"/>
    <tableColumn id="11190" uniqueName="11190" name="Column11181" queryTableFieldId="5204" dataDxfId="5421"/>
    <tableColumn id="11191" uniqueName="11191" name="Column11182" queryTableFieldId="5203" dataDxfId="5420"/>
    <tableColumn id="11192" uniqueName="11192" name="Column11183" queryTableFieldId="5202" dataDxfId="5419"/>
    <tableColumn id="11193" uniqueName="11193" name="Column11184" queryTableFieldId="5201" dataDxfId="5418"/>
    <tableColumn id="11194" uniqueName="11194" name="Column11185" queryTableFieldId="5200" dataDxfId="5417"/>
    <tableColumn id="11195" uniqueName="11195" name="Column11186" queryTableFieldId="5199" dataDxfId="5416"/>
    <tableColumn id="11196" uniqueName="11196" name="Column11187" queryTableFieldId="5198" dataDxfId="5415"/>
    <tableColumn id="11197" uniqueName="11197" name="Column11188" queryTableFieldId="5197" dataDxfId="5414"/>
    <tableColumn id="11198" uniqueName="11198" name="Column11189" queryTableFieldId="5196" dataDxfId="5413"/>
    <tableColumn id="11199" uniqueName="11199" name="Column11190" queryTableFieldId="5195" dataDxfId="5412"/>
    <tableColumn id="11200" uniqueName="11200" name="Column11191" queryTableFieldId="5194" dataDxfId="5411"/>
    <tableColumn id="11201" uniqueName="11201" name="Column11192" queryTableFieldId="5193" dataDxfId="5410"/>
    <tableColumn id="11202" uniqueName="11202" name="Column11193" queryTableFieldId="5192" dataDxfId="5409"/>
    <tableColumn id="11203" uniqueName="11203" name="Column11194" queryTableFieldId="5191" dataDxfId="5408"/>
    <tableColumn id="11204" uniqueName="11204" name="Column11195" queryTableFieldId="5190" dataDxfId="5407"/>
    <tableColumn id="11205" uniqueName="11205" name="Column11196" queryTableFieldId="5189" dataDxfId="5406"/>
    <tableColumn id="11206" uniqueName="11206" name="Column11197" queryTableFieldId="5188" dataDxfId="5405"/>
    <tableColumn id="11207" uniqueName="11207" name="Column11198" queryTableFieldId="5187" dataDxfId="5404"/>
    <tableColumn id="11208" uniqueName="11208" name="Column11199" queryTableFieldId="5186" dataDxfId="5403"/>
    <tableColumn id="11209" uniqueName="11209" name="Column11200" queryTableFieldId="5185" dataDxfId="5402"/>
    <tableColumn id="11210" uniqueName="11210" name="Column11201" queryTableFieldId="5184" dataDxfId="5401"/>
    <tableColumn id="11211" uniqueName="11211" name="Column11202" queryTableFieldId="5183" dataDxfId="5400"/>
    <tableColumn id="11212" uniqueName="11212" name="Column11203" queryTableFieldId="5182" dataDxfId="5399"/>
    <tableColumn id="11213" uniqueName="11213" name="Column11204" queryTableFieldId="5181" dataDxfId="5398"/>
    <tableColumn id="11214" uniqueName="11214" name="Column11205" queryTableFieldId="5180" dataDxfId="5397"/>
    <tableColumn id="11215" uniqueName="11215" name="Column11206" queryTableFieldId="5179" dataDxfId="5396"/>
    <tableColumn id="11216" uniqueName="11216" name="Column11207" queryTableFieldId="5178" dataDxfId="5395"/>
    <tableColumn id="11217" uniqueName="11217" name="Column11208" queryTableFieldId="5177" dataDxfId="5394"/>
    <tableColumn id="11218" uniqueName="11218" name="Column11209" queryTableFieldId="5176" dataDxfId="5393"/>
    <tableColumn id="11219" uniqueName="11219" name="Column11210" queryTableFieldId="5175" dataDxfId="5392"/>
    <tableColumn id="11220" uniqueName="11220" name="Column11211" queryTableFieldId="5174" dataDxfId="5391"/>
    <tableColumn id="11221" uniqueName="11221" name="Column11212" queryTableFieldId="5173" dataDxfId="5390"/>
    <tableColumn id="11222" uniqueName="11222" name="Column11213" queryTableFieldId="5172" dataDxfId="5389"/>
    <tableColumn id="11223" uniqueName="11223" name="Column11214" queryTableFieldId="5171" dataDxfId="5388"/>
    <tableColumn id="11224" uniqueName="11224" name="Column11215" queryTableFieldId="5170" dataDxfId="5387"/>
    <tableColumn id="11225" uniqueName="11225" name="Column11216" queryTableFieldId="5169" dataDxfId="5386"/>
    <tableColumn id="11226" uniqueName="11226" name="Column11217" queryTableFieldId="5168" dataDxfId="5385"/>
    <tableColumn id="11227" uniqueName="11227" name="Column11218" queryTableFieldId="5167" dataDxfId="5384"/>
    <tableColumn id="11228" uniqueName="11228" name="Column11219" queryTableFieldId="5166" dataDxfId="5383"/>
    <tableColumn id="11229" uniqueName="11229" name="Column11220" queryTableFieldId="5165" dataDxfId="5382"/>
    <tableColumn id="11230" uniqueName="11230" name="Column11221" queryTableFieldId="5164" dataDxfId="5381"/>
    <tableColumn id="11231" uniqueName="11231" name="Column11222" queryTableFieldId="5163" dataDxfId="5380"/>
    <tableColumn id="11232" uniqueName="11232" name="Column11223" queryTableFieldId="5162" dataDxfId="5379"/>
    <tableColumn id="11233" uniqueName="11233" name="Column11224" queryTableFieldId="5161" dataDxfId="5378"/>
    <tableColumn id="11234" uniqueName="11234" name="Column11225" queryTableFieldId="5160" dataDxfId="5377"/>
    <tableColumn id="11235" uniqueName="11235" name="Column11226" queryTableFieldId="5159" dataDxfId="5376"/>
    <tableColumn id="11236" uniqueName="11236" name="Column11227" queryTableFieldId="5158" dataDxfId="5375"/>
    <tableColumn id="11237" uniqueName="11237" name="Column11228" queryTableFieldId="5157" dataDxfId="5374"/>
    <tableColumn id="11238" uniqueName="11238" name="Column11229" queryTableFieldId="5156" dataDxfId="5373"/>
    <tableColumn id="11239" uniqueName="11239" name="Column11230" queryTableFieldId="5155" dataDxfId="5372"/>
    <tableColumn id="11240" uniqueName="11240" name="Column11231" queryTableFieldId="5154" dataDxfId="5371"/>
    <tableColumn id="11241" uniqueName="11241" name="Column11232" queryTableFieldId="5153" dataDxfId="5370"/>
    <tableColumn id="11242" uniqueName="11242" name="Column11233" queryTableFieldId="5152" dataDxfId="5369"/>
    <tableColumn id="11243" uniqueName="11243" name="Column11234" queryTableFieldId="5151" dataDxfId="5368"/>
    <tableColumn id="11244" uniqueName="11244" name="Column11235" queryTableFieldId="5150" dataDxfId="5367"/>
    <tableColumn id="11245" uniqueName="11245" name="Column11236" queryTableFieldId="5149" dataDxfId="5366"/>
    <tableColumn id="11246" uniqueName="11246" name="Column11237" queryTableFieldId="5148" dataDxfId="5365"/>
    <tableColumn id="11247" uniqueName="11247" name="Column11238" queryTableFieldId="5147" dataDxfId="5364"/>
    <tableColumn id="11248" uniqueName="11248" name="Column11239" queryTableFieldId="5146" dataDxfId="5363"/>
    <tableColumn id="11249" uniqueName="11249" name="Column11240" queryTableFieldId="5145" dataDxfId="5362"/>
    <tableColumn id="11250" uniqueName="11250" name="Column11241" queryTableFieldId="5144" dataDxfId="5361"/>
    <tableColumn id="11251" uniqueName="11251" name="Column11242" queryTableFieldId="5143" dataDxfId="5360"/>
    <tableColumn id="11252" uniqueName="11252" name="Column11243" queryTableFieldId="5142" dataDxfId="5359"/>
    <tableColumn id="11253" uniqueName="11253" name="Column11244" queryTableFieldId="5141" dataDxfId="5358"/>
    <tableColumn id="11254" uniqueName="11254" name="Column11245" queryTableFieldId="5140" dataDxfId="5357"/>
    <tableColumn id="11255" uniqueName="11255" name="Column11246" queryTableFieldId="5139" dataDxfId="5356"/>
    <tableColumn id="11256" uniqueName="11256" name="Column11247" queryTableFieldId="5138" dataDxfId="5355"/>
    <tableColumn id="11257" uniqueName="11257" name="Column11248" queryTableFieldId="5137" dataDxfId="5354"/>
    <tableColumn id="11258" uniqueName="11258" name="Column11249" queryTableFieldId="5136" dataDxfId="5353"/>
    <tableColumn id="11259" uniqueName="11259" name="Column11250" queryTableFieldId="5135" dataDxfId="5352"/>
    <tableColumn id="11260" uniqueName="11260" name="Column11251" queryTableFieldId="5134" dataDxfId="5351"/>
    <tableColumn id="11261" uniqueName="11261" name="Column11252" queryTableFieldId="5133" dataDxfId="5350"/>
    <tableColumn id="11262" uniqueName="11262" name="Column11253" queryTableFieldId="5132" dataDxfId="5349"/>
    <tableColumn id="11263" uniqueName="11263" name="Column11254" queryTableFieldId="5131" dataDxfId="5348"/>
    <tableColumn id="11264" uniqueName="11264" name="Column11255" queryTableFieldId="5130" dataDxfId="5347"/>
    <tableColumn id="11265" uniqueName="11265" name="Column11256" queryTableFieldId="5129" dataDxfId="5346"/>
    <tableColumn id="11266" uniqueName="11266" name="Column11257" queryTableFieldId="5128" dataDxfId="5345"/>
    <tableColumn id="11267" uniqueName="11267" name="Column11258" queryTableFieldId="5127" dataDxfId="5344"/>
    <tableColumn id="11268" uniqueName="11268" name="Column11259" queryTableFieldId="5126" dataDxfId="5343"/>
    <tableColumn id="11269" uniqueName="11269" name="Column11260" queryTableFieldId="5125" dataDxfId="5342"/>
    <tableColumn id="11270" uniqueName="11270" name="Column11261" queryTableFieldId="5124" dataDxfId="5341"/>
    <tableColumn id="11271" uniqueName="11271" name="Column11262" queryTableFieldId="5123" dataDxfId="5340"/>
    <tableColumn id="11272" uniqueName="11272" name="Column11263" queryTableFieldId="5122" dataDxfId="5339"/>
    <tableColumn id="11273" uniqueName="11273" name="Column11264" queryTableFieldId="5121" dataDxfId="5338"/>
    <tableColumn id="11274" uniqueName="11274" name="Column11265" queryTableFieldId="5120" dataDxfId="5337"/>
    <tableColumn id="11275" uniqueName="11275" name="Column11266" queryTableFieldId="5119" dataDxfId="5336"/>
    <tableColumn id="11276" uniqueName="11276" name="Column11267" queryTableFieldId="5118" dataDxfId="5335"/>
    <tableColumn id="11277" uniqueName="11277" name="Column11268" queryTableFieldId="5117" dataDxfId="5334"/>
    <tableColumn id="11278" uniqueName="11278" name="Column11269" queryTableFieldId="5116" dataDxfId="5333"/>
    <tableColumn id="11279" uniqueName="11279" name="Column11270" queryTableFieldId="5115" dataDxfId="5332"/>
    <tableColumn id="11280" uniqueName="11280" name="Column11271" queryTableFieldId="5114" dataDxfId="5331"/>
    <tableColumn id="11281" uniqueName="11281" name="Column11272" queryTableFieldId="5113" dataDxfId="5330"/>
    <tableColumn id="11282" uniqueName="11282" name="Column11273" queryTableFieldId="5112" dataDxfId="5329"/>
    <tableColumn id="11283" uniqueName="11283" name="Column11274" queryTableFieldId="5111" dataDxfId="5328"/>
    <tableColumn id="11284" uniqueName="11284" name="Column11275" queryTableFieldId="5110" dataDxfId="5327"/>
    <tableColumn id="11285" uniqueName="11285" name="Column11276" queryTableFieldId="5109" dataDxfId="5326"/>
    <tableColumn id="11286" uniqueName="11286" name="Column11277" queryTableFieldId="5108" dataDxfId="5325"/>
    <tableColumn id="11287" uniqueName="11287" name="Column11278" queryTableFieldId="5107" dataDxfId="5324"/>
    <tableColumn id="11288" uniqueName="11288" name="Column11279" queryTableFieldId="5106" dataDxfId="5323"/>
    <tableColumn id="11289" uniqueName="11289" name="Column11280" queryTableFieldId="5105" dataDxfId="5322"/>
    <tableColumn id="11290" uniqueName="11290" name="Column11281" queryTableFieldId="5104" dataDxfId="5321"/>
    <tableColumn id="11291" uniqueName="11291" name="Column11282" queryTableFieldId="5103" dataDxfId="5320"/>
    <tableColumn id="11292" uniqueName="11292" name="Column11283" queryTableFieldId="5102" dataDxfId="5319"/>
    <tableColumn id="11293" uniqueName="11293" name="Column11284" queryTableFieldId="5101" dataDxfId="5318"/>
    <tableColumn id="11294" uniqueName="11294" name="Column11285" queryTableFieldId="5100" dataDxfId="5317"/>
    <tableColumn id="11295" uniqueName="11295" name="Column11286" queryTableFieldId="5099" dataDxfId="5316"/>
    <tableColumn id="11296" uniqueName="11296" name="Column11287" queryTableFieldId="5098" dataDxfId="5315"/>
    <tableColumn id="11297" uniqueName="11297" name="Column11288" queryTableFieldId="5097" dataDxfId="5314"/>
    <tableColumn id="11298" uniqueName="11298" name="Column11289" queryTableFieldId="5096" dataDxfId="5313"/>
    <tableColumn id="11299" uniqueName="11299" name="Column11290" queryTableFieldId="5095" dataDxfId="5312"/>
    <tableColumn id="11300" uniqueName="11300" name="Column11291" queryTableFieldId="5094" dataDxfId="5311"/>
    <tableColumn id="11301" uniqueName="11301" name="Column11292" queryTableFieldId="5093" dataDxfId="5310"/>
    <tableColumn id="11302" uniqueName="11302" name="Column11293" queryTableFieldId="5092" dataDxfId="5309"/>
    <tableColumn id="11303" uniqueName="11303" name="Column11294" queryTableFieldId="5091" dataDxfId="5308"/>
    <tableColumn id="11304" uniqueName="11304" name="Column11295" queryTableFieldId="5090" dataDxfId="5307"/>
    <tableColumn id="11305" uniqueName="11305" name="Column11296" queryTableFieldId="5089" dataDxfId="5306"/>
    <tableColumn id="11306" uniqueName="11306" name="Column11297" queryTableFieldId="5088" dataDxfId="5305"/>
    <tableColumn id="11307" uniqueName="11307" name="Column11298" queryTableFieldId="5087" dataDxfId="5304"/>
    <tableColumn id="11308" uniqueName="11308" name="Column11299" queryTableFieldId="5086" dataDxfId="5303"/>
    <tableColumn id="11309" uniqueName="11309" name="Column11300" queryTableFieldId="5085" dataDxfId="5302"/>
    <tableColumn id="11310" uniqueName="11310" name="Column11301" queryTableFieldId="5084" dataDxfId="5301"/>
    <tableColumn id="11311" uniqueName="11311" name="Column11302" queryTableFieldId="5083" dataDxfId="5300"/>
    <tableColumn id="11312" uniqueName="11312" name="Column11303" queryTableFieldId="5082" dataDxfId="5299"/>
    <tableColumn id="11313" uniqueName="11313" name="Column11304" queryTableFieldId="5081" dataDxfId="5298"/>
    <tableColumn id="11314" uniqueName="11314" name="Column11305" queryTableFieldId="5080" dataDxfId="5297"/>
    <tableColumn id="11315" uniqueName="11315" name="Column11306" queryTableFieldId="5079" dataDxfId="5296"/>
    <tableColumn id="11316" uniqueName="11316" name="Column11307" queryTableFieldId="5078" dataDxfId="5295"/>
    <tableColumn id="11317" uniqueName="11317" name="Column11308" queryTableFieldId="5077" dataDxfId="5294"/>
    <tableColumn id="11318" uniqueName="11318" name="Column11309" queryTableFieldId="5076" dataDxfId="5293"/>
    <tableColumn id="11319" uniqueName="11319" name="Column11310" queryTableFieldId="5075" dataDxfId="5292"/>
    <tableColumn id="11320" uniqueName="11320" name="Column11311" queryTableFieldId="5074" dataDxfId="5291"/>
    <tableColumn id="11321" uniqueName="11321" name="Column11312" queryTableFieldId="5073" dataDxfId="5290"/>
    <tableColumn id="11322" uniqueName="11322" name="Column11313" queryTableFieldId="5072" dataDxfId="5289"/>
    <tableColumn id="11323" uniqueName="11323" name="Column11314" queryTableFieldId="5071" dataDxfId="5288"/>
    <tableColumn id="11324" uniqueName="11324" name="Column11315" queryTableFieldId="5070" dataDxfId="5287"/>
    <tableColumn id="11325" uniqueName="11325" name="Column11316" queryTableFieldId="5069" dataDxfId="5286"/>
    <tableColumn id="11326" uniqueName="11326" name="Column11317" queryTableFieldId="5068" dataDxfId="5285"/>
    <tableColumn id="11327" uniqueName="11327" name="Column11318" queryTableFieldId="5067" dataDxfId="5284"/>
    <tableColumn id="11328" uniqueName="11328" name="Column11319" queryTableFieldId="5066" dataDxfId="5283"/>
    <tableColumn id="11329" uniqueName="11329" name="Column11320" queryTableFieldId="5065" dataDxfId="5282"/>
    <tableColumn id="11330" uniqueName="11330" name="Column11321" queryTableFieldId="5064" dataDxfId="5281"/>
    <tableColumn id="11331" uniqueName="11331" name="Column11322" queryTableFieldId="5063" dataDxfId="5280"/>
    <tableColumn id="11332" uniqueName="11332" name="Column11323" queryTableFieldId="5062" dataDxfId="5279"/>
    <tableColumn id="11333" uniqueName="11333" name="Column11324" queryTableFieldId="5061" dataDxfId="5278"/>
    <tableColumn id="11334" uniqueName="11334" name="Column11325" queryTableFieldId="5060" dataDxfId="5277"/>
    <tableColumn id="11335" uniqueName="11335" name="Column11326" queryTableFieldId="5059" dataDxfId="5276"/>
    <tableColumn id="11336" uniqueName="11336" name="Column11327" queryTableFieldId="5058" dataDxfId="5275"/>
    <tableColumn id="11337" uniqueName="11337" name="Column11328" queryTableFieldId="5057" dataDxfId="5274"/>
    <tableColumn id="11338" uniqueName="11338" name="Column11329" queryTableFieldId="5056" dataDxfId="5273"/>
    <tableColumn id="11339" uniqueName="11339" name="Column11330" queryTableFieldId="5055" dataDxfId="5272"/>
    <tableColumn id="11340" uniqueName="11340" name="Column11331" queryTableFieldId="5054" dataDxfId="5271"/>
    <tableColumn id="11341" uniqueName="11341" name="Column11332" queryTableFieldId="5053" dataDxfId="5270"/>
    <tableColumn id="11342" uniqueName="11342" name="Column11333" queryTableFieldId="5052" dataDxfId="5269"/>
    <tableColumn id="11343" uniqueName="11343" name="Column11334" queryTableFieldId="5051" dataDxfId="5268"/>
    <tableColumn id="11344" uniqueName="11344" name="Column11335" queryTableFieldId="5050" dataDxfId="5267"/>
    <tableColumn id="11345" uniqueName="11345" name="Column11336" queryTableFieldId="5049" dataDxfId="5266"/>
    <tableColumn id="11346" uniqueName="11346" name="Column11337" queryTableFieldId="5048" dataDxfId="5265"/>
    <tableColumn id="11347" uniqueName="11347" name="Column11338" queryTableFieldId="5047" dataDxfId="5264"/>
    <tableColumn id="11348" uniqueName="11348" name="Column11339" queryTableFieldId="5046" dataDxfId="5263"/>
    <tableColumn id="11349" uniqueName="11349" name="Column11340" queryTableFieldId="5045" dataDxfId="5262"/>
    <tableColumn id="11350" uniqueName="11350" name="Column11341" queryTableFieldId="5044" dataDxfId="5261"/>
    <tableColumn id="11351" uniqueName="11351" name="Column11342" queryTableFieldId="5043" dataDxfId="5260"/>
    <tableColumn id="11352" uniqueName="11352" name="Column11343" queryTableFieldId="5042" dataDxfId="5259"/>
    <tableColumn id="11353" uniqueName="11353" name="Column11344" queryTableFieldId="5041" dataDxfId="5258"/>
    <tableColumn id="11354" uniqueName="11354" name="Column11345" queryTableFieldId="5040" dataDxfId="5257"/>
    <tableColumn id="11355" uniqueName="11355" name="Column11346" queryTableFieldId="5039" dataDxfId="5256"/>
    <tableColumn id="11356" uniqueName="11356" name="Column11347" queryTableFieldId="5038" dataDxfId="5255"/>
    <tableColumn id="11357" uniqueName="11357" name="Column11348" queryTableFieldId="5037" dataDxfId="5254"/>
    <tableColumn id="11358" uniqueName="11358" name="Column11349" queryTableFieldId="5036" dataDxfId="5253"/>
    <tableColumn id="11359" uniqueName="11359" name="Column11350" queryTableFieldId="5035" dataDxfId="5252"/>
    <tableColumn id="11360" uniqueName="11360" name="Column11351" queryTableFieldId="5034" dataDxfId="5251"/>
    <tableColumn id="11361" uniqueName="11361" name="Column11352" queryTableFieldId="5033" dataDxfId="5250"/>
    <tableColumn id="11362" uniqueName="11362" name="Column11353" queryTableFieldId="5032" dataDxfId="5249"/>
    <tableColumn id="11363" uniqueName="11363" name="Column11354" queryTableFieldId="5031" dataDxfId="5248"/>
    <tableColumn id="11364" uniqueName="11364" name="Column11355" queryTableFieldId="5030" dataDxfId="5247"/>
    <tableColumn id="11365" uniqueName="11365" name="Column11356" queryTableFieldId="5029" dataDxfId="5246"/>
    <tableColumn id="11366" uniqueName="11366" name="Column11357" queryTableFieldId="5028" dataDxfId="5245"/>
    <tableColumn id="11367" uniqueName="11367" name="Column11358" queryTableFieldId="5027" dataDxfId="5244"/>
    <tableColumn id="11368" uniqueName="11368" name="Column11359" queryTableFieldId="5026" dataDxfId="5243"/>
    <tableColumn id="11369" uniqueName="11369" name="Column11360" queryTableFieldId="5025" dataDxfId="5242"/>
    <tableColumn id="11370" uniqueName="11370" name="Column11361" queryTableFieldId="5024" dataDxfId="5241"/>
    <tableColumn id="11371" uniqueName="11371" name="Column11362" queryTableFieldId="5023" dataDxfId="5240"/>
    <tableColumn id="11372" uniqueName="11372" name="Column11363" queryTableFieldId="5022" dataDxfId="5239"/>
    <tableColumn id="11373" uniqueName="11373" name="Column11364" queryTableFieldId="5021" dataDxfId="5238"/>
    <tableColumn id="11374" uniqueName="11374" name="Column11365" queryTableFieldId="5020" dataDxfId="5237"/>
    <tableColumn id="11375" uniqueName="11375" name="Column11366" queryTableFieldId="5019" dataDxfId="5236"/>
    <tableColumn id="11376" uniqueName="11376" name="Column11367" queryTableFieldId="5018" dataDxfId="5235"/>
    <tableColumn id="11377" uniqueName="11377" name="Column11368" queryTableFieldId="5017" dataDxfId="5234"/>
    <tableColumn id="11378" uniqueName="11378" name="Column11369" queryTableFieldId="5016" dataDxfId="5233"/>
    <tableColumn id="11379" uniqueName="11379" name="Column11370" queryTableFieldId="5015" dataDxfId="5232"/>
    <tableColumn id="11380" uniqueName="11380" name="Column11371" queryTableFieldId="5014" dataDxfId="5231"/>
    <tableColumn id="11381" uniqueName="11381" name="Column11372" queryTableFieldId="5013" dataDxfId="5230"/>
    <tableColumn id="11382" uniqueName="11382" name="Column11373" queryTableFieldId="5012" dataDxfId="5229"/>
    <tableColumn id="11383" uniqueName="11383" name="Column11374" queryTableFieldId="5011" dataDxfId="5228"/>
    <tableColumn id="11384" uniqueName="11384" name="Column11375" queryTableFieldId="5010" dataDxfId="5227"/>
    <tableColumn id="11385" uniqueName="11385" name="Column11376" queryTableFieldId="5009" dataDxfId="5226"/>
    <tableColumn id="11386" uniqueName="11386" name="Column11377" queryTableFieldId="5008" dataDxfId="5225"/>
    <tableColumn id="11387" uniqueName="11387" name="Column11378" queryTableFieldId="5007" dataDxfId="5224"/>
    <tableColumn id="11388" uniqueName="11388" name="Column11379" queryTableFieldId="5006" dataDxfId="5223"/>
    <tableColumn id="11389" uniqueName="11389" name="Column11380" queryTableFieldId="5005" dataDxfId="5222"/>
    <tableColumn id="11390" uniqueName="11390" name="Column11381" queryTableFieldId="5004" dataDxfId="5221"/>
    <tableColumn id="11391" uniqueName="11391" name="Column11382" queryTableFieldId="5003" dataDxfId="5220"/>
    <tableColumn id="11392" uniqueName="11392" name="Column11383" queryTableFieldId="5002" dataDxfId="5219"/>
    <tableColumn id="11393" uniqueName="11393" name="Column11384" queryTableFieldId="5001" dataDxfId="5218"/>
    <tableColumn id="11394" uniqueName="11394" name="Column11385" queryTableFieldId="5000" dataDxfId="5217"/>
    <tableColumn id="11395" uniqueName="11395" name="Column11386" queryTableFieldId="4999" dataDxfId="5216"/>
    <tableColumn id="11396" uniqueName="11396" name="Column11387" queryTableFieldId="4998" dataDxfId="5215"/>
    <tableColumn id="11397" uniqueName="11397" name="Column11388" queryTableFieldId="4997" dataDxfId="5214"/>
    <tableColumn id="11398" uniqueName="11398" name="Column11389" queryTableFieldId="4996" dataDxfId="5213"/>
    <tableColumn id="11399" uniqueName="11399" name="Column11390" queryTableFieldId="4995" dataDxfId="5212"/>
    <tableColumn id="11400" uniqueName="11400" name="Column11391" queryTableFieldId="4994" dataDxfId="5211"/>
    <tableColumn id="11401" uniqueName="11401" name="Column11392" queryTableFieldId="4993" dataDxfId="5210"/>
    <tableColumn id="11402" uniqueName="11402" name="Column11393" queryTableFieldId="4992" dataDxfId="5209"/>
    <tableColumn id="11403" uniqueName="11403" name="Column11394" queryTableFieldId="4991" dataDxfId="5208"/>
    <tableColumn id="11404" uniqueName="11404" name="Column11395" queryTableFieldId="4990" dataDxfId="5207"/>
    <tableColumn id="11405" uniqueName="11405" name="Column11396" queryTableFieldId="4989" dataDxfId="5206"/>
    <tableColumn id="11406" uniqueName="11406" name="Column11397" queryTableFieldId="4988" dataDxfId="5205"/>
    <tableColumn id="11407" uniqueName="11407" name="Column11398" queryTableFieldId="4987" dataDxfId="5204"/>
    <tableColumn id="11408" uniqueName="11408" name="Column11399" queryTableFieldId="4986" dataDxfId="5203"/>
    <tableColumn id="11409" uniqueName="11409" name="Column11400" queryTableFieldId="4985" dataDxfId="5202"/>
    <tableColumn id="11410" uniqueName="11410" name="Column11401" queryTableFieldId="4984" dataDxfId="5201"/>
    <tableColumn id="11411" uniqueName="11411" name="Column11402" queryTableFieldId="4983" dataDxfId="5200"/>
    <tableColumn id="11412" uniqueName="11412" name="Column11403" queryTableFieldId="4982" dataDxfId="5199"/>
    <tableColumn id="11413" uniqueName="11413" name="Column11404" queryTableFieldId="4981" dataDxfId="5198"/>
    <tableColumn id="11414" uniqueName="11414" name="Column11405" queryTableFieldId="4980" dataDxfId="5197"/>
    <tableColumn id="11415" uniqueName="11415" name="Column11406" queryTableFieldId="4979" dataDxfId="5196"/>
    <tableColumn id="11416" uniqueName="11416" name="Column11407" queryTableFieldId="4978" dataDxfId="5195"/>
    <tableColumn id="11417" uniqueName="11417" name="Column11408" queryTableFieldId="4977" dataDxfId="5194"/>
    <tableColumn id="11418" uniqueName="11418" name="Column11409" queryTableFieldId="4976" dataDxfId="5193"/>
    <tableColumn id="11419" uniqueName="11419" name="Column11410" queryTableFieldId="4975" dataDxfId="5192"/>
    <tableColumn id="11420" uniqueName="11420" name="Column11411" queryTableFieldId="4974" dataDxfId="5191"/>
    <tableColumn id="11421" uniqueName="11421" name="Column11412" queryTableFieldId="4973" dataDxfId="5190"/>
    <tableColumn id="11422" uniqueName="11422" name="Column11413" queryTableFieldId="4972" dataDxfId="5189"/>
    <tableColumn id="11423" uniqueName="11423" name="Column11414" queryTableFieldId="4971" dataDxfId="5188"/>
    <tableColumn id="11424" uniqueName="11424" name="Column11415" queryTableFieldId="4970" dataDxfId="5187"/>
    <tableColumn id="11425" uniqueName="11425" name="Column11416" queryTableFieldId="4969" dataDxfId="5186"/>
    <tableColumn id="11426" uniqueName="11426" name="Column11417" queryTableFieldId="4968" dataDxfId="5185"/>
    <tableColumn id="11427" uniqueName="11427" name="Column11418" queryTableFieldId="4967" dataDxfId="5184"/>
    <tableColumn id="11428" uniqueName="11428" name="Column11419" queryTableFieldId="4966" dataDxfId="5183"/>
    <tableColumn id="11429" uniqueName="11429" name="Column11420" queryTableFieldId="4965" dataDxfId="5182"/>
    <tableColumn id="11430" uniqueName="11430" name="Column11421" queryTableFieldId="4964" dataDxfId="5181"/>
    <tableColumn id="11431" uniqueName="11431" name="Column11422" queryTableFieldId="4963" dataDxfId="5180"/>
    <tableColumn id="11432" uniqueName="11432" name="Column11423" queryTableFieldId="4962" dataDxfId="5179"/>
    <tableColumn id="11433" uniqueName="11433" name="Column11424" queryTableFieldId="4961" dataDxfId="5178"/>
    <tableColumn id="11434" uniqueName="11434" name="Column11425" queryTableFieldId="4960" dataDxfId="5177"/>
    <tableColumn id="11435" uniqueName="11435" name="Column11426" queryTableFieldId="4959" dataDxfId="5176"/>
    <tableColumn id="11436" uniqueName="11436" name="Column11427" queryTableFieldId="4958" dataDxfId="5175"/>
    <tableColumn id="11437" uniqueName="11437" name="Column11428" queryTableFieldId="4957" dataDxfId="5174"/>
    <tableColumn id="11438" uniqueName="11438" name="Column11429" queryTableFieldId="4956" dataDxfId="5173"/>
    <tableColumn id="11439" uniqueName="11439" name="Column11430" queryTableFieldId="4955" dataDxfId="5172"/>
    <tableColumn id="11440" uniqueName="11440" name="Column11431" queryTableFieldId="4954" dataDxfId="5171"/>
    <tableColumn id="11441" uniqueName="11441" name="Column11432" queryTableFieldId="4953" dataDxfId="5170"/>
    <tableColumn id="11442" uniqueName="11442" name="Column11433" queryTableFieldId="4952" dataDxfId="5169"/>
    <tableColumn id="11443" uniqueName="11443" name="Column11434" queryTableFieldId="4951" dataDxfId="5168"/>
    <tableColumn id="11444" uniqueName="11444" name="Column11435" queryTableFieldId="4950" dataDxfId="5167"/>
    <tableColumn id="11445" uniqueName="11445" name="Column11436" queryTableFieldId="4949" dataDxfId="5166"/>
    <tableColumn id="11446" uniqueName="11446" name="Column11437" queryTableFieldId="4948" dataDxfId="5165"/>
    <tableColumn id="11447" uniqueName="11447" name="Column11438" queryTableFieldId="4947" dataDxfId="5164"/>
    <tableColumn id="11448" uniqueName="11448" name="Column11439" queryTableFieldId="4946" dataDxfId="5163"/>
    <tableColumn id="11449" uniqueName="11449" name="Column11440" queryTableFieldId="4945" dataDxfId="5162"/>
    <tableColumn id="11450" uniqueName="11450" name="Column11441" queryTableFieldId="4944" dataDxfId="5161"/>
    <tableColumn id="11451" uniqueName="11451" name="Column11442" queryTableFieldId="4943" dataDxfId="5160"/>
    <tableColumn id="11452" uniqueName="11452" name="Column11443" queryTableFieldId="4942" dataDxfId="5159"/>
    <tableColumn id="11453" uniqueName="11453" name="Column11444" queryTableFieldId="4941" dataDxfId="5158"/>
    <tableColumn id="11454" uniqueName="11454" name="Column11445" queryTableFieldId="4940" dataDxfId="5157"/>
    <tableColumn id="11455" uniqueName="11455" name="Column11446" queryTableFieldId="4939" dataDxfId="5156"/>
    <tableColumn id="11456" uniqueName="11456" name="Column11447" queryTableFieldId="4938" dataDxfId="5155"/>
    <tableColumn id="11457" uniqueName="11457" name="Column11448" queryTableFieldId="4937" dataDxfId="5154"/>
    <tableColumn id="11458" uniqueName="11458" name="Column11449" queryTableFieldId="4936" dataDxfId="5153"/>
    <tableColumn id="11459" uniqueName="11459" name="Column11450" queryTableFieldId="4935" dataDxfId="5152"/>
    <tableColumn id="11460" uniqueName="11460" name="Column11451" queryTableFieldId="4934" dataDxfId="5151"/>
    <tableColumn id="11461" uniqueName="11461" name="Column11452" queryTableFieldId="4933" dataDxfId="5150"/>
    <tableColumn id="11462" uniqueName="11462" name="Column11453" queryTableFieldId="4932" dataDxfId="5149"/>
    <tableColumn id="11463" uniqueName="11463" name="Column11454" queryTableFieldId="4931" dataDxfId="5148"/>
    <tableColumn id="11464" uniqueName="11464" name="Column11455" queryTableFieldId="4930" dataDxfId="5147"/>
    <tableColumn id="11465" uniqueName="11465" name="Column11456" queryTableFieldId="4929" dataDxfId="5146"/>
    <tableColumn id="11466" uniqueName="11466" name="Column11457" queryTableFieldId="4928" dataDxfId="5145"/>
    <tableColumn id="11467" uniqueName="11467" name="Column11458" queryTableFieldId="4927" dataDxfId="5144"/>
    <tableColumn id="11468" uniqueName="11468" name="Column11459" queryTableFieldId="4926" dataDxfId="5143"/>
    <tableColumn id="11469" uniqueName="11469" name="Column11460" queryTableFieldId="4925" dataDxfId="5142"/>
    <tableColumn id="11470" uniqueName="11470" name="Column11461" queryTableFieldId="4924" dataDxfId="5141"/>
    <tableColumn id="11471" uniqueName="11471" name="Column11462" queryTableFieldId="4923" dataDxfId="5140"/>
    <tableColumn id="11472" uniqueName="11472" name="Column11463" queryTableFieldId="4922" dataDxfId="5139"/>
    <tableColumn id="11473" uniqueName="11473" name="Column11464" queryTableFieldId="4921" dataDxfId="5138"/>
    <tableColumn id="11474" uniqueName="11474" name="Column11465" queryTableFieldId="4920" dataDxfId="5137"/>
    <tableColumn id="11475" uniqueName="11475" name="Column11466" queryTableFieldId="4919" dataDxfId="5136"/>
    <tableColumn id="11476" uniqueName="11476" name="Column11467" queryTableFieldId="4918" dataDxfId="5135"/>
    <tableColumn id="11477" uniqueName="11477" name="Column11468" queryTableFieldId="4917" dataDxfId="5134"/>
    <tableColumn id="11478" uniqueName="11478" name="Column11469" queryTableFieldId="4916" dataDxfId="5133"/>
    <tableColumn id="11479" uniqueName="11479" name="Column11470" queryTableFieldId="4915" dataDxfId="5132"/>
    <tableColumn id="11480" uniqueName="11480" name="Column11471" queryTableFieldId="4914" dataDxfId="5131"/>
    <tableColumn id="11481" uniqueName="11481" name="Column11472" queryTableFieldId="4913" dataDxfId="5130"/>
    <tableColumn id="11482" uniqueName="11482" name="Column11473" queryTableFieldId="4912" dataDxfId="5129"/>
    <tableColumn id="11483" uniqueName="11483" name="Column11474" queryTableFieldId="4911" dataDxfId="5128"/>
    <tableColumn id="11484" uniqueName="11484" name="Column11475" queryTableFieldId="4910" dataDxfId="5127"/>
    <tableColumn id="11485" uniqueName="11485" name="Column11476" queryTableFieldId="4909" dataDxfId="5126"/>
    <tableColumn id="11486" uniqueName="11486" name="Column11477" queryTableFieldId="4908" dataDxfId="5125"/>
    <tableColumn id="11487" uniqueName="11487" name="Column11478" queryTableFieldId="4907" dataDxfId="5124"/>
    <tableColumn id="11488" uniqueName="11488" name="Column11479" queryTableFieldId="4906" dataDxfId="5123"/>
    <tableColumn id="11489" uniqueName="11489" name="Column11480" queryTableFieldId="4905" dataDxfId="5122"/>
    <tableColumn id="11490" uniqueName="11490" name="Column11481" queryTableFieldId="4904" dataDxfId="5121"/>
    <tableColumn id="11491" uniqueName="11491" name="Column11482" queryTableFieldId="4903" dataDxfId="5120"/>
    <tableColumn id="11492" uniqueName="11492" name="Column11483" queryTableFieldId="4902" dataDxfId="5119"/>
    <tableColumn id="11493" uniqueName="11493" name="Column11484" queryTableFieldId="4901" dataDxfId="5118"/>
    <tableColumn id="11494" uniqueName="11494" name="Column11485" queryTableFieldId="4900" dataDxfId="5117"/>
    <tableColumn id="11495" uniqueName="11495" name="Column11486" queryTableFieldId="4899" dataDxfId="5116"/>
    <tableColumn id="11496" uniqueName="11496" name="Column11487" queryTableFieldId="4898" dataDxfId="5115"/>
    <tableColumn id="11497" uniqueName="11497" name="Column11488" queryTableFieldId="4897" dataDxfId="5114"/>
    <tableColumn id="11498" uniqueName="11498" name="Column11489" queryTableFieldId="4896" dataDxfId="5113"/>
    <tableColumn id="11499" uniqueName="11499" name="Column11490" queryTableFieldId="4895" dataDxfId="5112"/>
    <tableColumn id="11500" uniqueName="11500" name="Column11491" queryTableFieldId="4894" dataDxfId="5111"/>
    <tableColumn id="11501" uniqueName="11501" name="Column11492" queryTableFieldId="4893" dataDxfId="5110"/>
    <tableColumn id="11502" uniqueName="11502" name="Column11493" queryTableFieldId="4892" dataDxfId="5109"/>
    <tableColumn id="11503" uniqueName="11503" name="Column11494" queryTableFieldId="4891" dataDxfId="5108"/>
    <tableColumn id="11504" uniqueName="11504" name="Column11495" queryTableFieldId="4890" dataDxfId="5107"/>
    <tableColumn id="11505" uniqueName="11505" name="Column11496" queryTableFieldId="4889" dataDxfId="5106"/>
    <tableColumn id="11506" uniqueName="11506" name="Column11497" queryTableFieldId="4888" dataDxfId="5105"/>
    <tableColumn id="11507" uniqueName="11507" name="Column11498" queryTableFieldId="4887" dataDxfId="5104"/>
    <tableColumn id="11508" uniqueName="11508" name="Column11499" queryTableFieldId="4886" dataDxfId="5103"/>
    <tableColumn id="11509" uniqueName="11509" name="Column11500" queryTableFieldId="4885" dataDxfId="5102"/>
    <tableColumn id="11510" uniqueName="11510" name="Column11501" queryTableFieldId="4884" dataDxfId="5101"/>
    <tableColumn id="11511" uniqueName="11511" name="Column11502" queryTableFieldId="4883" dataDxfId="5100"/>
    <tableColumn id="11512" uniqueName="11512" name="Column11503" queryTableFieldId="4882" dataDxfId="5099"/>
    <tableColumn id="11513" uniqueName="11513" name="Column11504" queryTableFieldId="4881" dataDxfId="5098"/>
    <tableColumn id="11514" uniqueName="11514" name="Column11505" queryTableFieldId="4880" dataDxfId="5097"/>
    <tableColumn id="11515" uniqueName="11515" name="Column11506" queryTableFieldId="4879" dataDxfId="5096"/>
    <tableColumn id="11516" uniqueName="11516" name="Column11507" queryTableFieldId="4878" dataDxfId="5095"/>
    <tableColumn id="11517" uniqueName="11517" name="Column11508" queryTableFieldId="4877" dataDxfId="5094"/>
    <tableColumn id="11518" uniqueName="11518" name="Column11509" queryTableFieldId="4876" dataDxfId="5093"/>
    <tableColumn id="11519" uniqueName="11519" name="Column11510" queryTableFieldId="4875" dataDxfId="5092"/>
    <tableColumn id="11520" uniqueName="11520" name="Column11511" queryTableFieldId="4874" dataDxfId="5091"/>
    <tableColumn id="11521" uniqueName="11521" name="Column11512" queryTableFieldId="4873" dataDxfId="5090"/>
    <tableColumn id="11522" uniqueName="11522" name="Column11513" queryTableFieldId="4872" dataDxfId="5089"/>
    <tableColumn id="11523" uniqueName="11523" name="Column11514" queryTableFieldId="4871" dataDxfId="5088"/>
    <tableColumn id="11524" uniqueName="11524" name="Column11515" queryTableFieldId="4870" dataDxfId="5087"/>
    <tableColumn id="11525" uniqueName="11525" name="Column11516" queryTableFieldId="4869" dataDxfId="5086"/>
    <tableColumn id="11526" uniqueName="11526" name="Column11517" queryTableFieldId="4868" dataDxfId="5085"/>
    <tableColumn id="11527" uniqueName="11527" name="Column11518" queryTableFieldId="4867" dataDxfId="5084"/>
    <tableColumn id="11528" uniqueName="11528" name="Column11519" queryTableFieldId="4866" dataDxfId="5083"/>
    <tableColumn id="11529" uniqueName="11529" name="Column11520" queryTableFieldId="4865" dataDxfId="5082"/>
    <tableColumn id="11530" uniqueName="11530" name="Column11521" queryTableFieldId="4864" dataDxfId="5081"/>
    <tableColumn id="11531" uniqueName="11531" name="Column11522" queryTableFieldId="4863" dataDxfId="5080"/>
    <tableColumn id="11532" uniqueName="11532" name="Column11523" queryTableFieldId="4862" dataDxfId="5079"/>
    <tableColumn id="11533" uniqueName="11533" name="Column11524" queryTableFieldId="4861" dataDxfId="5078"/>
    <tableColumn id="11534" uniqueName="11534" name="Column11525" queryTableFieldId="4860" dataDxfId="5077"/>
    <tableColumn id="11535" uniqueName="11535" name="Column11526" queryTableFieldId="4859" dataDxfId="5076"/>
    <tableColumn id="11536" uniqueName="11536" name="Column11527" queryTableFieldId="4858" dataDxfId="5075"/>
    <tableColumn id="11537" uniqueName="11537" name="Column11528" queryTableFieldId="4857" dataDxfId="5074"/>
    <tableColumn id="11538" uniqueName="11538" name="Column11529" queryTableFieldId="4856" dataDxfId="5073"/>
    <tableColumn id="11539" uniqueName="11539" name="Column11530" queryTableFieldId="4855" dataDxfId="5072"/>
    <tableColumn id="11540" uniqueName="11540" name="Column11531" queryTableFieldId="4854" dataDxfId="5071"/>
    <tableColumn id="11541" uniqueName="11541" name="Column11532" queryTableFieldId="4853" dataDxfId="5070"/>
    <tableColumn id="11542" uniqueName="11542" name="Column11533" queryTableFieldId="4852" dataDxfId="5069"/>
    <tableColumn id="11543" uniqueName="11543" name="Column11534" queryTableFieldId="4851" dataDxfId="5068"/>
    <tableColumn id="11544" uniqueName="11544" name="Column11535" queryTableFieldId="4850" dataDxfId="5067"/>
    <tableColumn id="11545" uniqueName="11545" name="Column11536" queryTableFieldId="4849" dataDxfId="5066"/>
    <tableColumn id="11546" uniqueName="11546" name="Column11537" queryTableFieldId="4848" dataDxfId="5065"/>
    <tableColumn id="11547" uniqueName="11547" name="Column11538" queryTableFieldId="4847" dataDxfId="5064"/>
    <tableColumn id="11548" uniqueName="11548" name="Column11539" queryTableFieldId="4846" dataDxfId="5063"/>
    <tableColumn id="11549" uniqueName="11549" name="Column11540" queryTableFieldId="4845" dataDxfId="5062"/>
    <tableColumn id="11550" uniqueName="11550" name="Column11541" queryTableFieldId="4844" dataDxfId="5061"/>
    <tableColumn id="11551" uniqueName="11551" name="Column11542" queryTableFieldId="4843" dataDxfId="5060"/>
    <tableColumn id="11552" uniqueName="11552" name="Column11543" queryTableFieldId="4842" dataDxfId="5059"/>
    <tableColumn id="11553" uniqueName="11553" name="Column11544" queryTableFieldId="4841" dataDxfId="5058"/>
    <tableColumn id="11554" uniqueName="11554" name="Column11545" queryTableFieldId="4840" dataDxfId="5057"/>
    <tableColumn id="11555" uniqueName="11555" name="Column11546" queryTableFieldId="4839" dataDxfId="5056"/>
    <tableColumn id="11556" uniqueName="11556" name="Column11547" queryTableFieldId="4838" dataDxfId="5055"/>
    <tableColumn id="11557" uniqueName="11557" name="Column11548" queryTableFieldId="4837" dataDxfId="5054"/>
    <tableColumn id="11558" uniqueName="11558" name="Column11549" queryTableFieldId="4836" dataDxfId="5053"/>
    <tableColumn id="11559" uniqueName="11559" name="Column11550" queryTableFieldId="4835" dataDxfId="5052"/>
    <tableColumn id="11560" uniqueName="11560" name="Column11551" queryTableFieldId="4834" dataDxfId="5051"/>
    <tableColumn id="11561" uniqueName="11561" name="Column11552" queryTableFieldId="4833" dataDxfId="5050"/>
    <tableColumn id="11562" uniqueName="11562" name="Column11553" queryTableFieldId="4832" dataDxfId="5049"/>
    <tableColumn id="11563" uniqueName="11563" name="Column11554" queryTableFieldId="4831" dataDxfId="5048"/>
    <tableColumn id="11564" uniqueName="11564" name="Column11555" queryTableFieldId="4830" dataDxfId="5047"/>
    <tableColumn id="11565" uniqueName="11565" name="Column11556" queryTableFieldId="4829" dataDxfId="5046"/>
    <tableColumn id="11566" uniqueName="11566" name="Column11557" queryTableFieldId="4828" dataDxfId="5045"/>
    <tableColumn id="11567" uniqueName="11567" name="Column11558" queryTableFieldId="4827" dataDxfId="5044"/>
    <tableColumn id="11568" uniqueName="11568" name="Column11559" queryTableFieldId="4826" dataDxfId="5043"/>
    <tableColumn id="11569" uniqueName="11569" name="Column11560" queryTableFieldId="4825" dataDxfId="5042"/>
    <tableColumn id="11570" uniqueName="11570" name="Column11561" queryTableFieldId="4824" dataDxfId="5041"/>
    <tableColumn id="11571" uniqueName="11571" name="Column11562" queryTableFieldId="4823" dataDxfId="5040"/>
    <tableColumn id="11572" uniqueName="11572" name="Column11563" queryTableFieldId="4822" dataDxfId="5039"/>
    <tableColumn id="11573" uniqueName="11573" name="Column11564" queryTableFieldId="4821" dataDxfId="5038"/>
    <tableColumn id="11574" uniqueName="11574" name="Column11565" queryTableFieldId="4820" dataDxfId="5037"/>
    <tableColumn id="11575" uniqueName="11575" name="Column11566" queryTableFieldId="4819" dataDxfId="5036"/>
    <tableColumn id="11576" uniqueName="11576" name="Column11567" queryTableFieldId="4818" dataDxfId="5035"/>
    <tableColumn id="11577" uniqueName="11577" name="Column11568" queryTableFieldId="4817" dataDxfId="5034"/>
    <tableColumn id="11578" uniqueName="11578" name="Column11569" queryTableFieldId="4816" dataDxfId="5033"/>
    <tableColumn id="11579" uniqueName="11579" name="Column11570" queryTableFieldId="4815" dataDxfId="5032"/>
    <tableColumn id="11580" uniqueName="11580" name="Column11571" queryTableFieldId="4814" dataDxfId="5031"/>
    <tableColumn id="11581" uniqueName="11581" name="Column11572" queryTableFieldId="4813" dataDxfId="5030"/>
    <tableColumn id="11582" uniqueName="11582" name="Column11573" queryTableFieldId="4812" dataDxfId="5029"/>
    <tableColumn id="11583" uniqueName="11583" name="Column11574" queryTableFieldId="4811" dataDxfId="5028"/>
    <tableColumn id="11584" uniqueName="11584" name="Column11575" queryTableFieldId="4810" dataDxfId="5027"/>
    <tableColumn id="11585" uniqueName="11585" name="Column11576" queryTableFieldId="4809" dataDxfId="5026"/>
    <tableColumn id="11586" uniqueName="11586" name="Column11577" queryTableFieldId="4808" dataDxfId="5025"/>
    <tableColumn id="11587" uniqueName="11587" name="Column11578" queryTableFieldId="4807" dataDxfId="5024"/>
    <tableColumn id="11588" uniqueName="11588" name="Column11579" queryTableFieldId="4806" dataDxfId="5023"/>
    <tableColumn id="11589" uniqueName="11589" name="Column11580" queryTableFieldId="4805" dataDxfId="5022"/>
    <tableColumn id="11590" uniqueName="11590" name="Column11581" queryTableFieldId="4804" dataDxfId="5021"/>
    <tableColumn id="11591" uniqueName="11591" name="Column11582" queryTableFieldId="4803" dataDxfId="5020"/>
    <tableColumn id="11592" uniqueName="11592" name="Column11583" queryTableFieldId="4802" dataDxfId="5019"/>
    <tableColumn id="11593" uniqueName="11593" name="Column11584" queryTableFieldId="4801" dataDxfId="5018"/>
    <tableColumn id="11594" uniqueName="11594" name="Column11585" queryTableFieldId="4800" dataDxfId="5017"/>
    <tableColumn id="11595" uniqueName="11595" name="Column11586" queryTableFieldId="4799" dataDxfId="5016"/>
    <tableColumn id="11596" uniqueName="11596" name="Column11587" queryTableFieldId="4798" dataDxfId="5015"/>
    <tableColumn id="11597" uniqueName="11597" name="Column11588" queryTableFieldId="4797" dataDxfId="5014"/>
    <tableColumn id="11598" uniqueName="11598" name="Column11589" queryTableFieldId="4796" dataDxfId="5013"/>
    <tableColumn id="11599" uniqueName="11599" name="Column11590" queryTableFieldId="4795" dataDxfId="5012"/>
    <tableColumn id="11600" uniqueName="11600" name="Column11591" queryTableFieldId="4794" dataDxfId="5011"/>
    <tableColumn id="11601" uniqueName="11601" name="Column11592" queryTableFieldId="4793" dataDxfId="5010"/>
    <tableColumn id="11602" uniqueName="11602" name="Column11593" queryTableFieldId="4792" dataDxfId="5009"/>
    <tableColumn id="11603" uniqueName="11603" name="Column11594" queryTableFieldId="4791" dataDxfId="5008"/>
    <tableColumn id="11604" uniqueName="11604" name="Column11595" queryTableFieldId="4790" dataDxfId="5007"/>
    <tableColumn id="11605" uniqueName="11605" name="Column11596" queryTableFieldId="4789" dataDxfId="5006"/>
    <tableColumn id="11606" uniqueName="11606" name="Column11597" queryTableFieldId="4788" dataDxfId="5005"/>
    <tableColumn id="11607" uniqueName="11607" name="Column11598" queryTableFieldId="4787" dataDxfId="5004"/>
    <tableColumn id="11608" uniqueName="11608" name="Column11599" queryTableFieldId="4786" dataDxfId="5003"/>
    <tableColumn id="11609" uniqueName="11609" name="Column11600" queryTableFieldId="4785" dataDxfId="5002"/>
    <tableColumn id="11610" uniqueName="11610" name="Column11601" queryTableFieldId="4784" dataDxfId="5001"/>
    <tableColumn id="11611" uniqueName="11611" name="Column11602" queryTableFieldId="4783" dataDxfId="5000"/>
    <tableColumn id="11612" uniqueName="11612" name="Column11603" queryTableFieldId="4782" dataDxfId="4999"/>
    <tableColumn id="11613" uniqueName="11613" name="Column11604" queryTableFieldId="4781" dataDxfId="4998"/>
    <tableColumn id="11614" uniqueName="11614" name="Column11605" queryTableFieldId="4780" dataDxfId="4997"/>
    <tableColumn id="11615" uniqueName="11615" name="Column11606" queryTableFieldId="4779" dataDxfId="4996"/>
    <tableColumn id="11616" uniqueName="11616" name="Column11607" queryTableFieldId="4778" dataDxfId="4995"/>
    <tableColumn id="11617" uniqueName="11617" name="Column11608" queryTableFieldId="4777" dataDxfId="4994"/>
    <tableColumn id="11618" uniqueName="11618" name="Column11609" queryTableFieldId="4776" dataDxfId="4993"/>
    <tableColumn id="11619" uniqueName="11619" name="Column11610" queryTableFieldId="4775" dataDxfId="4992"/>
    <tableColumn id="11620" uniqueName="11620" name="Column11611" queryTableFieldId="4774" dataDxfId="4991"/>
    <tableColumn id="11621" uniqueName="11621" name="Column11612" queryTableFieldId="4773" dataDxfId="4990"/>
    <tableColumn id="11622" uniqueName="11622" name="Column11613" queryTableFieldId="4772" dataDxfId="4989"/>
    <tableColumn id="11623" uniqueName="11623" name="Column11614" queryTableFieldId="4771" dataDxfId="4988"/>
    <tableColumn id="11624" uniqueName="11624" name="Column11615" queryTableFieldId="4770" dataDxfId="4987"/>
    <tableColumn id="11625" uniqueName="11625" name="Column11616" queryTableFieldId="4769" dataDxfId="4986"/>
    <tableColumn id="11626" uniqueName="11626" name="Column11617" queryTableFieldId="4768" dataDxfId="4985"/>
    <tableColumn id="11627" uniqueName="11627" name="Column11618" queryTableFieldId="4767" dataDxfId="4984"/>
    <tableColumn id="11628" uniqueName="11628" name="Column11619" queryTableFieldId="4766" dataDxfId="4983"/>
    <tableColumn id="11629" uniqueName="11629" name="Column11620" queryTableFieldId="4765" dataDxfId="4982"/>
    <tableColumn id="11630" uniqueName="11630" name="Column11621" queryTableFieldId="4764" dataDxfId="4981"/>
    <tableColumn id="11631" uniqueName="11631" name="Column11622" queryTableFieldId="4763" dataDxfId="4980"/>
    <tableColumn id="11632" uniqueName="11632" name="Column11623" queryTableFieldId="4762" dataDxfId="4979"/>
    <tableColumn id="11633" uniqueName="11633" name="Column11624" queryTableFieldId="4761" dataDxfId="4978"/>
    <tableColumn id="11634" uniqueName="11634" name="Column11625" queryTableFieldId="4760" dataDxfId="4977"/>
    <tableColumn id="11635" uniqueName="11635" name="Column11626" queryTableFieldId="4759" dataDxfId="4976"/>
    <tableColumn id="11636" uniqueName="11636" name="Column11627" queryTableFieldId="4758" dataDxfId="4975"/>
    <tableColumn id="11637" uniqueName="11637" name="Column11628" queryTableFieldId="4757" dataDxfId="4974"/>
    <tableColumn id="11638" uniqueName="11638" name="Column11629" queryTableFieldId="4756" dataDxfId="4973"/>
    <tableColumn id="11639" uniqueName="11639" name="Column11630" queryTableFieldId="4755" dataDxfId="4972"/>
    <tableColumn id="11640" uniqueName="11640" name="Column11631" queryTableFieldId="4754" dataDxfId="4971"/>
    <tableColumn id="11641" uniqueName="11641" name="Column11632" queryTableFieldId="4753" dataDxfId="4970"/>
    <tableColumn id="11642" uniqueName="11642" name="Column11633" queryTableFieldId="4752" dataDxfId="4969"/>
    <tableColumn id="11643" uniqueName="11643" name="Column11634" queryTableFieldId="4751" dataDxfId="4968"/>
    <tableColumn id="11644" uniqueName="11644" name="Column11635" queryTableFieldId="4750" dataDxfId="4967"/>
    <tableColumn id="11645" uniqueName="11645" name="Column11636" queryTableFieldId="4749" dataDxfId="4966"/>
    <tableColumn id="11646" uniqueName="11646" name="Column11637" queryTableFieldId="4748" dataDxfId="4965"/>
    <tableColumn id="11647" uniqueName="11647" name="Column11638" queryTableFieldId="4747" dataDxfId="4964"/>
    <tableColumn id="11648" uniqueName="11648" name="Column11639" queryTableFieldId="4746" dataDxfId="4963"/>
    <tableColumn id="11649" uniqueName="11649" name="Column11640" queryTableFieldId="4745" dataDxfId="4962"/>
    <tableColumn id="11650" uniqueName="11650" name="Column11641" queryTableFieldId="4744" dataDxfId="4961"/>
    <tableColumn id="11651" uniqueName="11651" name="Column11642" queryTableFieldId="4743" dataDxfId="4960"/>
    <tableColumn id="11652" uniqueName="11652" name="Column11643" queryTableFieldId="4742" dataDxfId="4959"/>
    <tableColumn id="11653" uniqueName="11653" name="Column11644" queryTableFieldId="4741" dataDxfId="4958"/>
    <tableColumn id="11654" uniqueName="11654" name="Column11645" queryTableFieldId="4740" dataDxfId="4957"/>
    <tableColumn id="11655" uniqueName="11655" name="Column11646" queryTableFieldId="4739" dataDxfId="4956"/>
    <tableColumn id="11656" uniqueName="11656" name="Column11647" queryTableFieldId="4738" dataDxfId="4955"/>
    <tableColumn id="11657" uniqueName="11657" name="Column11648" queryTableFieldId="4737" dataDxfId="4954"/>
    <tableColumn id="11658" uniqueName="11658" name="Column11649" queryTableFieldId="4736" dataDxfId="4953"/>
    <tableColumn id="11659" uniqueName="11659" name="Column11650" queryTableFieldId="4735" dataDxfId="4952"/>
    <tableColumn id="11660" uniqueName="11660" name="Column11651" queryTableFieldId="4734" dataDxfId="4951"/>
    <tableColumn id="11661" uniqueName="11661" name="Column11652" queryTableFieldId="4733" dataDxfId="4950"/>
    <tableColumn id="11662" uniqueName="11662" name="Column11653" queryTableFieldId="4732" dataDxfId="4949"/>
    <tableColumn id="11663" uniqueName="11663" name="Column11654" queryTableFieldId="4731" dataDxfId="4948"/>
    <tableColumn id="11664" uniqueName="11664" name="Column11655" queryTableFieldId="4730" dataDxfId="4947"/>
    <tableColumn id="11665" uniqueName="11665" name="Column11656" queryTableFieldId="4729" dataDxfId="4946"/>
    <tableColumn id="11666" uniqueName="11666" name="Column11657" queryTableFieldId="4728" dataDxfId="4945"/>
    <tableColumn id="11667" uniqueName="11667" name="Column11658" queryTableFieldId="4727" dataDxfId="4944"/>
    <tableColumn id="11668" uniqueName="11668" name="Column11659" queryTableFieldId="4726" dataDxfId="4943"/>
    <tableColumn id="11669" uniqueName="11669" name="Column11660" queryTableFieldId="4725" dataDxfId="4942"/>
    <tableColumn id="11670" uniqueName="11670" name="Column11661" queryTableFieldId="4724" dataDxfId="4941"/>
    <tableColumn id="11671" uniqueName="11671" name="Column11662" queryTableFieldId="4723" dataDxfId="4940"/>
    <tableColumn id="11672" uniqueName="11672" name="Column11663" queryTableFieldId="4722" dataDxfId="4939"/>
    <tableColumn id="11673" uniqueName="11673" name="Column11664" queryTableFieldId="4721" dataDxfId="4938"/>
    <tableColumn id="11674" uniqueName="11674" name="Column11665" queryTableFieldId="4720" dataDxfId="4937"/>
    <tableColumn id="11675" uniqueName="11675" name="Column11666" queryTableFieldId="4719" dataDxfId="4936"/>
    <tableColumn id="11676" uniqueName="11676" name="Column11667" queryTableFieldId="4718" dataDxfId="4935"/>
    <tableColumn id="11677" uniqueName="11677" name="Column11668" queryTableFieldId="4717" dataDxfId="4934"/>
    <tableColumn id="11678" uniqueName="11678" name="Column11669" queryTableFieldId="4716" dataDxfId="4933"/>
    <tableColumn id="11679" uniqueName="11679" name="Column11670" queryTableFieldId="4715" dataDxfId="4932"/>
    <tableColumn id="11680" uniqueName="11680" name="Column11671" queryTableFieldId="4714" dataDxfId="4931"/>
    <tableColumn id="11681" uniqueName="11681" name="Column11672" queryTableFieldId="4713" dataDxfId="4930"/>
    <tableColumn id="11682" uniqueName="11682" name="Column11673" queryTableFieldId="4712" dataDxfId="4929"/>
    <tableColumn id="11683" uniqueName="11683" name="Column11674" queryTableFieldId="4711" dataDxfId="4928"/>
    <tableColumn id="11684" uniqueName="11684" name="Column11675" queryTableFieldId="4710" dataDxfId="4927"/>
    <tableColumn id="11685" uniqueName="11685" name="Column11676" queryTableFieldId="4709" dataDxfId="4926"/>
    <tableColumn id="11686" uniqueName="11686" name="Column11677" queryTableFieldId="4708" dataDxfId="4925"/>
    <tableColumn id="11687" uniqueName="11687" name="Column11678" queryTableFieldId="4707" dataDxfId="4924"/>
    <tableColumn id="11688" uniqueName="11688" name="Column11679" queryTableFieldId="4706" dataDxfId="4923"/>
    <tableColumn id="11689" uniqueName="11689" name="Column11680" queryTableFieldId="4705" dataDxfId="4922"/>
    <tableColumn id="11690" uniqueName="11690" name="Column11681" queryTableFieldId="4704" dataDxfId="4921"/>
    <tableColumn id="11691" uniqueName="11691" name="Column11682" queryTableFieldId="4703" dataDxfId="4920"/>
    <tableColumn id="11692" uniqueName="11692" name="Column11683" queryTableFieldId="4702" dataDxfId="4919"/>
    <tableColumn id="11693" uniqueName="11693" name="Column11684" queryTableFieldId="4701" dataDxfId="4918"/>
    <tableColumn id="11694" uniqueName="11694" name="Column11685" queryTableFieldId="4700" dataDxfId="4917"/>
    <tableColumn id="11695" uniqueName="11695" name="Column11686" queryTableFieldId="4699" dataDxfId="4916"/>
    <tableColumn id="11696" uniqueName="11696" name="Column11687" queryTableFieldId="4698" dataDxfId="4915"/>
    <tableColumn id="11697" uniqueName="11697" name="Column11688" queryTableFieldId="4697" dataDxfId="4914"/>
    <tableColumn id="11698" uniqueName="11698" name="Column11689" queryTableFieldId="4696" dataDxfId="4913"/>
    <tableColumn id="11699" uniqueName="11699" name="Column11690" queryTableFieldId="4695" dataDxfId="4912"/>
    <tableColumn id="11700" uniqueName="11700" name="Column11691" queryTableFieldId="4694" dataDxfId="4911"/>
    <tableColumn id="11701" uniqueName="11701" name="Column11692" queryTableFieldId="4693" dataDxfId="4910"/>
    <tableColumn id="11702" uniqueName="11702" name="Column11693" queryTableFieldId="4692" dataDxfId="4909"/>
    <tableColumn id="11703" uniqueName="11703" name="Column11694" queryTableFieldId="4691" dataDxfId="4908"/>
    <tableColumn id="11704" uniqueName="11704" name="Column11695" queryTableFieldId="4690" dataDxfId="4907"/>
    <tableColumn id="11705" uniqueName="11705" name="Column11696" queryTableFieldId="4689" dataDxfId="4906"/>
    <tableColumn id="11706" uniqueName="11706" name="Column11697" queryTableFieldId="4688" dataDxfId="4905"/>
    <tableColumn id="11707" uniqueName="11707" name="Column11698" queryTableFieldId="4687" dataDxfId="4904"/>
    <tableColumn id="11708" uniqueName="11708" name="Column11699" queryTableFieldId="4686" dataDxfId="4903"/>
    <tableColumn id="11709" uniqueName="11709" name="Column11700" queryTableFieldId="4685" dataDxfId="4902"/>
    <tableColumn id="11710" uniqueName="11710" name="Column11701" queryTableFieldId="4684" dataDxfId="4901"/>
    <tableColumn id="11711" uniqueName="11711" name="Column11702" queryTableFieldId="4683" dataDxfId="4900"/>
    <tableColumn id="11712" uniqueName="11712" name="Column11703" queryTableFieldId="4682" dataDxfId="4899"/>
    <tableColumn id="11713" uniqueName="11713" name="Column11704" queryTableFieldId="4681" dataDxfId="4898"/>
    <tableColumn id="11714" uniqueName="11714" name="Column11705" queryTableFieldId="4680" dataDxfId="4897"/>
    <tableColumn id="11715" uniqueName="11715" name="Column11706" queryTableFieldId="4679" dataDxfId="4896"/>
    <tableColumn id="11716" uniqueName="11716" name="Column11707" queryTableFieldId="4678" dataDxfId="4895"/>
    <tableColumn id="11717" uniqueName="11717" name="Column11708" queryTableFieldId="4677" dataDxfId="4894"/>
    <tableColumn id="11718" uniqueName="11718" name="Column11709" queryTableFieldId="4676" dataDxfId="4893"/>
    <tableColumn id="11719" uniqueName="11719" name="Column11710" queryTableFieldId="4675" dataDxfId="4892"/>
    <tableColumn id="11720" uniqueName="11720" name="Column11711" queryTableFieldId="4674" dataDxfId="4891"/>
    <tableColumn id="11721" uniqueName="11721" name="Column11712" queryTableFieldId="4673" dataDxfId="4890"/>
    <tableColumn id="11722" uniqueName="11722" name="Column11713" queryTableFieldId="4672" dataDxfId="4889"/>
    <tableColumn id="11723" uniqueName="11723" name="Column11714" queryTableFieldId="4671" dataDxfId="4888"/>
    <tableColumn id="11724" uniqueName="11724" name="Column11715" queryTableFieldId="4670" dataDxfId="4887"/>
    <tableColumn id="11725" uniqueName="11725" name="Column11716" queryTableFieldId="4669" dataDxfId="4886"/>
    <tableColumn id="11726" uniqueName="11726" name="Column11717" queryTableFieldId="4668" dataDxfId="4885"/>
    <tableColumn id="11727" uniqueName="11727" name="Column11718" queryTableFieldId="4667" dataDxfId="4884"/>
    <tableColumn id="11728" uniqueName="11728" name="Column11719" queryTableFieldId="4666" dataDxfId="4883"/>
    <tableColumn id="11729" uniqueName="11729" name="Column11720" queryTableFieldId="4665" dataDxfId="4882"/>
    <tableColumn id="11730" uniqueName="11730" name="Column11721" queryTableFieldId="4664" dataDxfId="4881"/>
    <tableColumn id="11731" uniqueName="11731" name="Column11722" queryTableFieldId="4663" dataDxfId="4880"/>
    <tableColumn id="11732" uniqueName="11732" name="Column11723" queryTableFieldId="4662" dataDxfId="4879"/>
    <tableColumn id="11733" uniqueName="11733" name="Column11724" queryTableFieldId="4661" dataDxfId="4878"/>
    <tableColumn id="11734" uniqueName="11734" name="Column11725" queryTableFieldId="4660" dataDxfId="4877"/>
    <tableColumn id="11735" uniqueName="11735" name="Column11726" queryTableFieldId="4659" dataDxfId="4876"/>
    <tableColumn id="11736" uniqueName="11736" name="Column11727" queryTableFieldId="4658" dataDxfId="4875"/>
    <tableColumn id="11737" uniqueName="11737" name="Column11728" queryTableFieldId="4657" dataDxfId="4874"/>
    <tableColumn id="11738" uniqueName="11738" name="Column11729" queryTableFieldId="4656" dataDxfId="4873"/>
    <tableColumn id="11739" uniqueName="11739" name="Column11730" queryTableFieldId="4655" dataDxfId="4872"/>
    <tableColumn id="11740" uniqueName="11740" name="Column11731" queryTableFieldId="4654" dataDxfId="4871"/>
    <tableColumn id="11741" uniqueName="11741" name="Column11732" queryTableFieldId="4653" dataDxfId="4870"/>
    <tableColumn id="11742" uniqueName="11742" name="Column11733" queryTableFieldId="4652" dataDxfId="4869"/>
    <tableColumn id="11743" uniqueName="11743" name="Column11734" queryTableFieldId="4651" dataDxfId="4868"/>
    <tableColumn id="11744" uniqueName="11744" name="Column11735" queryTableFieldId="4650" dataDxfId="4867"/>
    <tableColumn id="11745" uniqueName="11745" name="Column11736" queryTableFieldId="4649" dataDxfId="4866"/>
    <tableColumn id="11746" uniqueName="11746" name="Column11737" queryTableFieldId="4648" dataDxfId="4865"/>
    <tableColumn id="11747" uniqueName="11747" name="Column11738" queryTableFieldId="4647" dataDxfId="4864"/>
    <tableColumn id="11748" uniqueName="11748" name="Column11739" queryTableFieldId="4646" dataDxfId="4863"/>
    <tableColumn id="11749" uniqueName="11749" name="Column11740" queryTableFieldId="4645" dataDxfId="4862"/>
    <tableColumn id="11750" uniqueName="11750" name="Column11741" queryTableFieldId="4644" dataDxfId="4861"/>
    <tableColumn id="11751" uniqueName="11751" name="Column11742" queryTableFieldId="4643" dataDxfId="4860"/>
    <tableColumn id="11752" uniqueName="11752" name="Column11743" queryTableFieldId="4642" dataDxfId="4859"/>
    <tableColumn id="11753" uniqueName="11753" name="Column11744" queryTableFieldId="4641" dataDxfId="4858"/>
    <tableColumn id="11754" uniqueName="11754" name="Column11745" queryTableFieldId="4640" dataDxfId="4857"/>
    <tableColumn id="11755" uniqueName="11755" name="Column11746" queryTableFieldId="4639" dataDxfId="4856"/>
    <tableColumn id="11756" uniqueName="11756" name="Column11747" queryTableFieldId="4638" dataDxfId="4855"/>
    <tableColumn id="11757" uniqueName="11757" name="Column11748" queryTableFieldId="4637" dataDxfId="4854"/>
    <tableColumn id="11758" uniqueName="11758" name="Column11749" queryTableFieldId="4636" dataDxfId="4853"/>
    <tableColumn id="11759" uniqueName="11759" name="Column11750" queryTableFieldId="4635" dataDxfId="4852"/>
    <tableColumn id="11760" uniqueName="11760" name="Column11751" queryTableFieldId="4634" dataDxfId="4851"/>
    <tableColumn id="11761" uniqueName="11761" name="Column11752" queryTableFieldId="4633" dataDxfId="4850"/>
    <tableColumn id="11762" uniqueName="11762" name="Column11753" queryTableFieldId="4632" dataDxfId="4849"/>
    <tableColumn id="11763" uniqueName="11763" name="Column11754" queryTableFieldId="4631" dataDxfId="4848"/>
    <tableColumn id="11764" uniqueName="11764" name="Column11755" queryTableFieldId="4630" dataDxfId="4847"/>
    <tableColumn id="11765" uniqueName="11765" name="Column11756" queryTableFieldId="4629" dataDxfId="4846"/>
    <tableColumn id="11766" uniqueName="11766" name="Column11757" queryTableFieldId="4628" dataDxfId="4845"/>
    <tableColumn id="11767" uniqueName="11767" name="Column11758" queryTableFieldId="4627" dataDxfId="4844"/>
    <tableColumn id="11768" uniqueName="11768" name="Column11759" queryTableFieldId="4626" dataDxfId="4843"/>
    <tableColumn id="11769" uniqueName="11769" name="Column11760" queryTableFieldId="4625" dataDxfId="4842"/>
    <tableColumn id="11770" uniqueName="11770" name="Column11761" queryTableFieldId="4624" dataDxfId="4841"/>
    <tableColumn id="11771" uniqueName="11771" name="Column11762" queryTableFieldId="4623" dataDxfId="4840"/>
    <tableColumn id="11772" uniqueName="11772" name="Column11763" queryTableFieldId="4622" dataDxfId="4839"/>
    <tableColumn id="11773" uniqueName="11773" name="Column11764" queryTableFieldId="4621" dataDxfId="4838"/>
    <tableColumn id="11774" uniqueName="11774" name="Column11765" queryTableFieldId="4620" dataDxfId="4837"/>
    <tableColumn id="11775" uniqueName="11775" name="Column11766" queryTableFieldId="4619" dataDxfId="4836"/>
    <tableColumn id="11776" uniqueName="11776" name="Column11767" queryTableFieldId="4618" dataDxfId="4835"/>
    <tableColumn id="11777" uniqueName="11777" name="Column11768" queryTableFieldId="4617" dataDxfId="4834"/>
    <tableColumn id="11778" uniqueName="11778" name="Column11769" queryTableFieldId="4616" dataDxfId="4833"/>
    <tableColumn id="11779" uniqueName="11779" name="Column11770" queryTableFieldId="4615" dataDxfId="4832"/>
    <tableColumn id="11780" uniqueName="11780" name="Column11771" queryTableFieldId="4614" dataDxfId="4831"/>
    <tableColumn id="11781" uniqueName="11781" name="Column11772" queryTableFieldId="4613" dataDxfId="4830"/>
    <tableColumn id="11782" uniqueName="11782" name="Column11773" queryTableFieldId="4612" dataDxfId="4829"/>
    <tableColumn id="11783" uniqueName="11783" name="Column11774" queryTableFieldId="4611" dataDxfId="4828"/>
    <tableColumn id="11784" uniqueName="11784" name="Column11775" queryTableFieldId="4610" dataDxfId="4827"/>
    <tableColumn id="11785" uniqueName="11785" name="Column11776" queryTableFieldId="4609" dataDxfId="4826"/>
    <tableColumn id="11786" uniqueName="11786" name="Column11777" queryTableFieldId="4608" dataDxfId="4825"/>
    <tableColumn id="11787" uniqueName="11787" name="Column11778" queryTableFieldId="4607" dataDxfId="4824"/>
    <tableColumn id="11788" uniqueName="11788" name="Column11779" queryTableFieldId="4606" dataDxfId="4823"/>
    <tableColumn id="11789" uniqueName="11789" name="Column11780" queryTableFieldId="4605" dataDxfId="4822"/>
    <tableColumn id="11790" uniqueName="11790" name="Column11781" queryTableFieldId="4604" dataDxfId="4821"/>
    <tableColumn id="11791" uniqueName="11791" name="Column11782" queryTableFieldId="4603" dataDxfId="4820"/>
    <tableColumn id="11792" uniqueName="11792" name="Column11783" queryTableFieldId="4602" dataDxfId="4819"/>
    <tableColumn id="11793" uniqueName="11793" name="Column11784" queryTableFieldId="4601" dataDxfId="4818"/>
    <tableColumn id="11794" uniqueName="11794" name="Column11785" queryTableFieldId="4600" dataDxfId="4817"/>
    <tableColumn id="11795" uniqueName="11795" name="Column11786" queryTableFieldId="4599" dataDxfId="4816"/>
    <tableColumn id="11796" uniqueName="11796" name="Column11787" queryTableFieldId="4598" dataDxfId="4815"/>
    <tableColumn id="11797" uniqueName="11797" name="Column11788" queryTableFieldId="4597" dataDxfId="4814"/>
    <tableColumn id="11798" uniqueName="11798" name="Column11789" queryTableFieldId="4596" dataDxfId="4813"/>
    <tableColumn id="11799" uniqueName="11799" name="Column11790" queryTableFieldId="4595" dataDxfId="4812"/>
    <tableColumn id="11800" uniqueName="11800" name="Column11791" queryTableFieldId="4594" dataDxfId="4811"/>
    <tableColumn id="11801" uniqueName="11801" name="Column11792" queryTableFieldId="4593" dataDxfId="4810"/>
    <tableColumn id="11802" uniqueName="11802" name="Column11793" queryTableFieldId="4592" dataDxfId="4809"/>
    <tableColumn id="11803" uniqueName="11803" name="Column11794" queryTableFieldId="4591" dataDxfId="4808"/>
    <tableColumn id="11804" uniqueName="11804" name="Column11795" queryTableFieldId="4590" dataDxfId="4807"/>
    <tableColumn id="11805" uniqueName="11805" name="Column11796" queryTableFieldId="4589" dataDxfId="4806"/>
    <tableColumn id="11806" uniqueName="11806" name="Column11797" queryTableFieldId="4588" dataDxfId="4805"/>
    <tableColumn id="11807" uniqueName="11807" name="Column11798" queryTableFieldId="4587" dataDxfId="4804"/>
    <tableColumn id="11808" uniqueName="11808" name="Column11799" queryTableFieldId="4586" dataDxfId="4803"/>
    <tableColumn id="11809" uniqueName="11809" name="Column11800" queryTableFieldId="4585" dataDxfId="4802"/>
    <tableColumn id="11810" uniqueName="11810" name="Column11801" queryTableFieldId="4584" dataDxfId="4801"/>
    <tableColumn id="11811" uniqueName="11811" name="Column11802" queryTableFieldId="4583" dataDxfId="4800"/>
    <tableColumn id="11812" uniqueName="11812" name="Column11803" queryTableFieldId="4582" dataDxfId="4799"/>
    <tableColumn id="11813" uniqueName="11813" name="Column11804" queryTableFieldId="4581" dataDxfId="4798"/>
    <tableColumn id="11814" uniqueName="11814" name="Column11805" queryTableFieldId="4580" dataDxfId="4797"/>
    <tableColumn id="11815" uniqueName="11815" name="Column11806" queryTableFieldId="4579" dataDxfId="4796"/>
    <tableColumn id="11816" uniqueName="11816" name="Column11807" queryTableFieldId="4578" dataDxfId="4795"/>
    <tableColumn id="11817" uniqueName="11817" name="Column11808" queryTableFieldId="4577" dataDxfId="4794"/>
    <tableColumn id="11818" uniqueName="11818" name="Column11809" queryTableFieldId="4576" dataDxfId="4793"/>
    <tableColumn id="11819" uniqueName="11819" name="Column11810" queryTableFieldId="4575" dataDxfId="4792"/>
    <tableColumn id="11820" uniqueName="11820" name="Column11811" queryTableFieldId="4574" dataDxfId="4791"/>
    <tableColumn id="11821" uniqueName="11821" name="Column11812" queryTableFieldId="4573" dataDxfId="4790"/>
    <tableColumn id="11822" uniqueName="11822" name="Column11813" queryTableFieldId="4572" dataDxfId="4789"/>
    <tableColumn id="11823" uniqueName="11823" name="Column11814" queryTableFieldId="4571" dataDxfId="4788"/>
    <tableColumn id="11824" uniqueName="11824" name="Column11815" queryTableFieldId="4570" dataDxfId="4787"/>
    <tableColumn id="11825" uniqueName="11825" name="Column11816" queryTableFieldId="4569" dataDxfId="4786"/>
    <tableColumn id="11826" uniqueName="11826" name="Column11817" queryTableFieldId="4568" dataDxfId="4785"/>
    <tableColumn id="11827" uniqueName="11827" name="Column11818" queryTableFieldId="4567" dataDxfId="4784"/>
    <tableColumn id="11828" uniqueName="11828" name="Column11819" queryTableFieldId="4566" dataDxfId="4783"/>
    <tableColumn id="11829" uniqueName="11829" name="Column11820" queryTableFieldId="4565" dataDxfId="4782"/>
    <tableColumn id="11830" uniqueName="11830" name="Column11821" queryTableFieldId="4564" dataDxfId="4781"/>
    <tableColumn id="11831" uniqueName="11831" name="Column11822" queryTableFieldId="4563" dataDxfId="4780"/>
    <tableColumn id="11832" uniqueName="11832" name="Column11823" queryTableFieldId="4562" dataDxfId="4779"/>
    <tableColumn id="11833" uniqueName="11833" name="Column11824" queryTableFieldId="4561" dataDxfId="4778"/>
    <tableColumn id="11834" uniqueName="11834" name="Column11825" queryTableFieldId="4560" dataDxfId="4777"/>
    <tableColumn id="11835" uniqueName="11835" name="Column11826" queryTableFieldId="4559" dataDxfId="4776"/>
    <tableColumn id="11836" uniqueName="11836" name="Column11827" queryTableFieldId="4558" dataDxfId="4775"/>
    <tableColumn id="11837" uniqueName="11837" name="Column11828" queryTableFieldId="4557" dataDxfId="4774"/>
    <tableColumn id="11838" uniqueName="11838" name="Column11829" queryTableFieldId="4556" dataDxfId="4773"/>
    <tableColumn id="11839" uniqueName="11839" name="Column11830" queryTableFieldId="4555" dataDxfId="4772"/>
    <tableColumn id="11840" uniqueName="11840" name="Column11831" queryTableFieldId="4554" dataDxfId="4771"/>
    <tableColumn id="11841" uniqueName="11841" name="Column11832" queryTableFieldId="4553" dataDxfId="4770"/>
    <tableColumn id="11842" uniqueName="11842" name="Column11833" queryTableFieldId="4552" dataDxfId="4769"/>
    <tableColumn id="11843" uniqueName="11843" name="Column11834" queryTableFieldId="4551" dataDxfId="4768"/>
    <tableColumn id="11844" uniqueName="11844" name="Column11835" queryTableFieldId="4550" dataDxfId="4767"/>
    <tableColumn id="11845" uniqueName="11845" name="Column11836" queryTableFieldId="4549" dataDxfId="4766"/>
    <tableColumn id="11846" uniqueName="11846" name="Column11837" queryTableFieldId="4548" dataDxfId="4765"/>
    <tableColumn id="11847" uniqueName="11847" name="Column11838" queryTableFieldId="4547" dataDxfId="4764"/>
    <tableColumn id="11848" uniqueName="11848" name="Column11839" queryTableFieldId="4546" dataDxfId="4763"/>
    <tableColumn id="11849" uniqueName="11849" name="Column11840" queryTableFieldId="4545" dataDxfId="4762"/>
    <tableColumn id="11850" uniqueName="11850" name="Column11841" queryTableFieldId="4544" dataDxfId="4761"/>
    <tableColumn id="11851" uniqueName="11851" name="Column11842" queryTableFieldId="4543" dataDxfId="4760"/>
    <tableColumn id="11852" uniqueName="11852" name="Column11843" queryTableFieldId="4542" dataDxfId="4759"/>
    <tableColumn id="11853" uniqueName="11853" name="Column11844" queryTableFieldId="4541" dataDxfId="4758"/>
    <tableColumn id="11854" uniqueName="11854" name="Column11845" queryTableFieldId="4540" dataDxfId="4757"/>
    <tableColumn id="11855" uniqueName="11855" name="Column11846" queryTableFieldId="4539" dataDxfId="4756"/>
    <tableColumn id="11856" uniqueName="11856" name="Column11847" queryTableFieldId="4538" dataDxfId="4755"/>
    <tableColumn id="11857" uniqueName="11857" name="Column11848" queryTableFieldId="4537" dataDxfId="4754"/>
    <tableColumn id="11858" uniqueName="11858" name="Column11849" queryTableFieldId="4536" dataDxfId="4753"/>
    <tableColumn id="11859" uniqueName="11859" name="Column11850" queryTableFieldId="4535" dataDxfId="4752"/>
    <tableColumn id="11860" uniqueName="11860" name="Column11851" queryTableFieldId="4534" dataDxfId="4751"/>
    <tableColumn id="11861" uniqueName="11861" name="Column11852" queryTableFieldId="4533" dataDxfId="4750"/>
    <tableColumn id="11862" uniqueName="11862" name="Column11853" queryTableFieldId="4532" dataDxfId="4749"/>
    <tableColumn id="11863" uniqueName="11863" name="Column11854" queryTableFieldId="4531" dataDxfId="4748"/>
    <tableColumn id="11864" uniqueName="11864" name="Column11855" queryTableFieldId="4530" dataDxfId="4747"/>
    <tableColumn id="11865" uniqueName="11865" name="Column11856" queryTableFieldId="4529" dataDxfId="4746"/>
    <tableColumn id="11866" uniqueName="11866" name="Column11857" queryTableFieldId="4528" dataDxfId="4745"/>
    <tableColumn id="11867" uniqueName="11867" name="Column11858" queryTableFieldId="4527" dataDxfId="4744"/>
    <tableColumn id="11868" uniqueName="11868" name="Column11859" queryTableFieldId="4526" dataDxfId="4743"/>
    <tableColumn id="11869" uniqueName="11869" name="Column11860" queryTableFieldId="4525" dataDxfId="4742"/>
    <tableColumn id="11870" uniqueName="11870" name="Column11861" queryTableFieldId="4524" dataDxfId="4741"/>
    <tableColumn id="11871" uniqueName="11871" name="Column11862" queryTableFieldId="4523" dataDxfId="4740"/>
    <tableColumn id="11872" uniqueName="11872" name="Column11863" queryTableFieldId="4522" dataDxfId="4739"/>
    <tableColumn id="11873" uniqueName="11873" name="Column11864" queryTableFieldId="4521" dataDxfId="4738"/>
    <tableColumn id="11874" uniqueName="11874" name="Column11865" queryTableFieldId="4520" dataDxfId="4737"/>
    <tableColumn id="11875" uniqueName="11875" name="Column11866" queryTableFieldId="4519" dataDxfId="4736"/>
    <tableColumn id="11876" uniqueName="11876" name="Column11867" queryTableFieldId="4518" dataDxfId="4735"/>
    <tableColumn id="11877" uniqueName="11877" name="Column11868" queryTableFieldId="4517" dataDxfId="4734"/>
    <tableColumn id="11878" uniqueName="11878" name="Column11869" queryTableFieldId="4516" dataDxfId="4733"/>
    <tableColumn id="11879" uniqueName="11879" name="Column11870" queryTableFieldId="4515" dataDxfId="4732"/>
    <tableColumn id="11880" uniqueName="11880" name="Column11871" queryTableFieldId="4514" dataDxfId="4731"/>
    <tableColumn id="11881" uniqueName="11881" name="Column11872" queryTableFieldId="4513" dataDxfId="4730"/>
    <tableColumn id="11882" uniqueName="11882" name="Column11873" queryTableFieldId="4512" dataDxfId="4729"/>
    <tableColumn id="11883" uniqueName="11883" name="Column11874" queryTableFieldId="4511" dataDxfId="4728"/>
    <tableColumn id="11884" uniqueName="11884" name="Column11875" queryTableFieldId="4510" dataDxfId="4727"/>
    <tableColumn id="11885" uniqueName="11885" name="Column11876" queryTableFieldId="4509" dataDxfId="4726"/>
    <tableColumn id="11886" uniqueName="11886" name="Column11877" queryTableFieldId="4508" dataDxfId="4725"/>
    <tableColumn id="11887" uniqueName="11887" name="Column11878" queryTableFieldId="4507" dataDxfId="4724"/>
    <tableColumn id="11888" uniqueName="11888" name="Column11879" queryTableFieldId="4506" dataDxfId="4723"/>
    <tableColumn id="11889" uniqueName="11889" name="Column11880" queryTableFieldId="4505" dataDxfId="4722"/>
    <tableColumn id="11890" uniqueName="11890" name="Column11881" queryTableFieldId="4504" dataDxfId="4721"/>
    <tableColumn id="11891" uniqueName="11891" name="Column11882" queryTableFieldId="4503" dataDxfId="4720"/>
    <tableColumn id="11892" uniqueName="11892" name="Column11883" queryTableFieldId="4502" dataDxfId="4719"/>
    <tableColumn id="11893" uniqueName="11893" name="Column11884" queryTableFieldId="4501" dataDxfId="4718"/>
    <tableColumn id="11894" uniqueName="11894" name="Column11885" queryTableFieldId="4500" dataDxfId="4717"/>
    <tableColumn id="11895" uniqueName="11895" name="Column11886" queryTableFieldId="4499" dataDxfId="4716"/>
    <tableColumn id="11896" uniqueName="11896" name="Column11887" queryTableFieldId="4498" dataDxfId="4715"/>
    <tableColumn id="11897" uniqueName="11897" name="Column11888" queryTableFieldId="4497" dataDxfId="4714"/>
    <tableColumn id="11898" uniqueName="11898" name="Column11889" queryTableFieldId="4496" dataDxfId="4713"/>
    <tableColumn id="11899" uniqueName="11899" name="Column11890" queryTableFieldId="4495" dataDxfId="4712"/>
    <tableColumn id="11900" uniqueName="11900" name="Column11891" queryTableFieldId="4494" dataDxfId="4711"/>
    <tableColumn id="11901" uniqueName="11901" name="Column11892" queryTableFieldId="4493" dataDxfId="4710"/>
    <tableColumn id="11902" uniqueName="11902" name="Column11893" queryTableFieldId="4492" dataDxfId="4709"/>
    <tableColumn id="11903" uniqueName="11903" name="Column11894" queryTableFieldId="4491" dataDxfId="4708"/>
    <tableColumn id="11904" uniqueName="11904" name="Column11895" queryTableFieldId="4490" dataDxfId="4707"/>
    <tableColumn id="11905" uniqueName="11905" name="Column11896" queryTableFieldId="4489" dataDxfId="4706"/>
    <tableColumn id="11906" uniqueName="11906" name="Column11897" queryTableFieldId="4488" dataDxfId="4705"/>
    <tableColumn id="11907" uniqueName="11907" name="Column11898" queryTableFieldId="4487" dataDxfId="4704"/>
    <tableColumn id="11908" uniqueName="11908" name="Column11899" queryTableFieldId="4486" dataDxfId="4703"/>
    <tableColumn id="11909" uniqueName="11909" name="Column11900" queryTableFieldId="4485" dataDxfId="4702"/>
    <tableColumn id="11910" uniqueName="11910" name="Column11901" queryTableFieldId="4484" dataDxfId="4701"/>
    <tableColumn id="11911" uniqueName="11911" name="Column11902" queryTableFieldId="4483" dataDxfId="4700"/>
    <tableColumn id="11912" uniqueName="11912" name="Column11903" queryTableFieldId="4482" dataDxfId="4699"/>
    <tableColumn id="11913" uniqueName="11913" name="Column11904" queryTableFieldId="4481" dataDxfId="4698"/>
    <tableColumn id="11914" uniqueName="11914" name="Column11905" queryTableFieldId="4480" dataDxfId="4697"/>
    <tableColumn id="11915" uniqueName="11915" name="Column11906" queryTableFieldId="4479" dataDxfId="4696"/>
    <tableColumn id="11916" uniqueName="11916" name="Column11907" queryTableFieldId="4478" dataDxfId="4695"/>
    <tableColumn id="11917" uniqueName="11917" name="Column11908" queryTableFieldId="4477" dataDxfId="4694"/>
    <tableColumn id="11918" uniqueName="11918" name="Column11909" queryTableFieldId="4476" dataDxfId="4693"/>
    <tableColumn id="11919" uniqueName="11919" name="Column11910" queryTableFieldId="4475" dataDxfId="4692"/>
    <tableColumn id="11920" uniqueName="11920" name="Column11911" queryTableFieldId="4474" dataDxfId="4691"/>
    <tableColumn id="11921" uniqueName="11921" name="Column11912" queryTableFieldId="4473" dataDxfId="4690"/>
    <tableColumn id="11922" uniqueName="11922" name="Column11913" queryTableFieldId="4472" dataDxfId="4689"/>
    <tableColumn id="11923" uniqueName="11923" name="Column11914" queryTableFieldId="4471" dataDxfId="4688"/>
    <tableColumn id="11924" uniqueName="11924" name="Column11915" queryTableFieldId="4470" dataDxfId="4687"/>
    <tableColumn id="11925" uniqueName="11925" name="Column11916" queryTableFieldId="4469" dataDxfId="4686"/>
    <tableColumn id="11926" uniqueName="11926" name="Column11917" queryTableFieldId="4468" dataDxfId="4685"/>
    <tableColumn id="11927" uniqueName="11927" name="Column11918" queryTableFieldId="4467" dataDxfId="4684"/>
    <tableColumn id="11928" uniqueName="11928" name="Column11919" queryTableFieldId="4466" dataDxfId="4683"/>
    <tableColumn id="11929" uniqueName="11929" name="Column11920" queryTableFieldId="4465" dataDxfId="4682"/>
    <tableColumn id="11930" uniqueName="11930" name="Column11921" queryTableFieldId="4464" dataDxfId="4681"/>
    <tableColumn id="11931" uniqueName="11931" name="Column11922" queryTableFieldId="4463" dataDxfId="4680"/>
    <tableColumn id="11932" uniqueName="11932" name="Column11923" queryTableFieldId="4462" dataDxfId="4679"/>
    <tableColumn id="11933" uniqueName="11933" name="Column11924" queryTableFieldId="4461" dataDxfId="4678"/>
    <tableColumn id="11934" uniqueName="11934" name="Column11925" queryTableFieldId="4460" dataDxfId="4677"/>
    <tableColumn id="11935" uniqueName="11935" name="Column11926" queryTableFieldId="4459" dataDxfId="4676"/>
    <tableColumn id="11936" uniqueName="11936" name="Column11927" queryTableFieldId="4458" dataDxfId="4675"/>
    <tableColumn id="11937" uniqueName="11937" name="Column11928" queryTableFieldId="4457" dataDxfId="4674"/>
    <tableColumn id="11938" uniqueName="11938" name="Column11929" queryTableFieldId="4456" dataDxfId="4673"/>
    <tableColumn id="11939" uniqueName="11939" name="Column11930" queryTableFieldId="4455" dataDxfId="4672"/>
    <tableColumn id="11940" uniqueName="11940" name="Column11931" queryTableFieldId="4454" dataDxfId="4671"/>
    <tableColumn id="11941" uniqueName="11941" name="Column11932" queryTableFieldId="4453" dataDxfId="4670"/>
    <tableColumn id="11942" uniqueName="11942" name="Column11933" queryTableFieldId="4452" dataDxfId="4669"/>
    <tableColumn id="11943" uniqueName="11943" name="Column11934" queryTableFieldId="4451" dataDxfId="4668"/>
    <tableColumn id="11944" uniqueName="11944" name="Column11935" queryTableFieldId="4450" dataDxfId="4667"/>
    <tableColumn id="11945" uniqueName="11945" name="Column11936" queryTableFieldId="4449" dataDxfId="4666"/>
    <tableColumn id="11946" uniqueName="11946" name="Column11937" queryTableFieldId="4448" dataDxfId="4665"/>
    <tableColumn id="11947" uniqueName="11947" name="Column11938" queryTableFieldId="4447" dataDxfId="4664"/>
    <tableColumn id="11948" uniqueName="11948" name="Column11939" queryTableFieldId="4446" dataDxfId="4663"/>
    <tableColumn id="11949" uniqueName="11949" name="Column11940" queryTableFieldId="4445" dataDxfId="4662"/>
    <tableColumn id="11950" uniqueName="11950" name="Column11941" queryTableFieldId="4444" dataDxfId="4661"/>
    <tableColumn id="11951" uniqueName="11951" name="Column11942" queryTableFieldId="4443" dataDxfId="4660"/>
    <tableColumn id="11952" uniqueName="11952" name="Column11943" queryTableFieldId="4442" dataDxfId="4659"/>
    <tableColumn id="11953" uniqueName="11953" name="Column11944" queryTableFieldId="4441" dataDxfId="4658"/>
    <tableColumn id="11954" uniqueName="11954" name="Column11945" queryTableFieldId="4440" dataDxfId="4657"/>
    <tableColumn id="11955" uniqueName="11955" name="Column11946" queryTableFieldId="4439" dataDxfId="4656"/>
    <tableColumn id="11956" uniqueName="11956" name="Column11947" queryTableFieldId="4438" dataDxfId="4655"/>
    <tableColumn id="11957" uniqueName="11957" name="Column11948" queryTableFieldId="4437" dataDxfId="4654"/>
    <tableColumn id="11958" uniqueName="11958" name="Column11949" queryTableFieldId="4436" dataDxfId="4653"/>
    <tableColumn id="11959" uniqueName="11959" name="Column11950" queryTableFieldId="4435" dataDxfId="4652"/>
    <tableColumn id="11960" uniqueName="11960" name="Column11951" queryTableFieldId="4434" dataDxfId="4651"/>
    <tableColumn id="11961" uniqueName="11961" name="Column11952" queryTableFieldId="4433" dataDxfId="4650"/>
    <tableColumn id="11962" uniqueName="11962" name="Column11953" queryTableFieldId="4432" dataDxfId="4649"/>
    <tableColumn id="11963" uniqueName="11963" name="Column11954" queryTableFieldId="4431" dataDxfId="4648"/>
    <tableColumn id="11964" uniqueName="11964" name="Column11955" queryTableFieldId="4430" dataDxfId="4647"/>
    <tableColumn id="11965" uniqueName="11965" name="Column11956" queryTableFieldId="4429" dataDxfId="4646"/>
    <tableColumn id="11966" uniqueName="11966" name="Column11957" queryTableFieldId="4428" dataDxfId="4645"/>
    <tableColumn id="11967" uniqueName="11967" name="Column11958" queryTableFieldId="4427" dataDxfId="4644"/>
    <tableColumn id="11968" uniqueName="11968" name="Column11959" queryTableFieldId="4426" dataDxfId="4643"/>
    <tableColumn id="11969" uniqueName="11969" name="Column11960" queryTableFieldId="4425" dataDxfId="4642"/>
    <tableColumn id="11970" uniqueName="11970" name="Column11961" queryTableFieldId="4424" dataDxfId="4641"/>
    <tableColumn id="11971" uniqueName="11971" name="Column11962" queryTableFieldId="4423" dataDxfId="4640"/>
    <tableColumn id="11972" uniqueName="11972" name="Column11963" queryTableFieldId="4422" dataDxfId="4639"/>
    <tableColumn id="11973" uniqueName="11973" name="Column11964" queryTableFieldId="4421" dataDxfId="4638"/>
    <tableColumn id="11974" uniqueName="11974" name="Column11965" queryTableFieldId="4420" dataDxfId="4637"/>
    <tableColumn id="11975" uniqueName="11975" name="Column11966" queryTableFieldId="4419" dataDxfId="4636"/>
    <tableColumn id="11976" uniqueName="11976" name="Column11967" queryTableFieldId="4418" dataDxfId="4635"/>
    <tableColumn id="11977" uniqueName="11977" name="Column11968" queryTableFieldId="4417" dataDxfId="4634"/>
    <tableColumn id="11978" uniqueName="11978" name="Column11969" queryTableFieldId="4416" dataDxfId="4633"/>
    <tableColumn id="11979" uniqueName="11979" name="Column11970" queryTableFieldId="4415" dataDxfId="4632"/>
    <tableColumn id="11980" uniqueName="11980" name="Column11971" queryTableFieldId="4414" dataDxfId="4631"/>
    <tableColumn id="11981" uniqueName="11981" name="Column11972" queryTableFieldId="4413" dataDxfId="4630"/>
    <tableColumn id="11982" uniqueName="11982" name="Column11973" queryTableFieldId="4412" dataDxfId="4629"/>
    <tableColumn id="11983" uniqueName="11983" name="Column11974" queryTableFieldId="4411" dataDxfId="4628"/>
    <tableColumn id="11984" uniqueName="11984" name="Column11975" queryTableFieldId="4410" dataDxfId="4627"/>
    <tableColumn id="11985" uniqueName="11985" name="Column11976" queryTableFieldId="4409" dataDxfId="4626"/>
    <tableColumn id="11986" uniqueName="11986" name="Column11977" queryTableFieldId="4408" dataDxfId="4625"/>
    <tableColumn id="11987" uniqueName="11987" name="Column11978" queryTableFieldId="4407" dataDxfId="4624"/>
    <tableColumn id="11988" uniqueName="11988" name="Column11979" queryTableFieldId="4406" dataDxfId="4623"/>
    <tableColumn id="11989" uniqueName="11989" name="Column11980" queryTableFieldId="4405" dataDxfId="4622"/>
    <tableColumn id="11990" uniqueName="11990" name="Column11981" queryTableFieldId="4404" dataDxfId="4621"/>
    <tableColumn id="11991" uniqueName="11991" name="Column11982" queryTableFieldId="4403" dataDxfId="4620"/>
    <tableColumn id="11992" uniqueName="11992" name="Column11983" queryTableFieldId="4402" dataDxfId="4619"/>
    <tableColumn id="11993" uniqueName="11993" name="Column11984" queryTableFieldId="4401" dataDxfId="4618"/>
    <tableColumn id="11994" uniqueName="11994" name="Column11985" queryTableFieldId="4400" dataDxfId="4617"/>
    <tableColumn id="11995" uniqueName="11995" name="Column11986" queryTableFieldId="4399" dataDxfId="4616"/>
    <tableColumn id="11996" uniqueName="11996" name="Column11987" queryTableFieldId="4398" dataDxfId="4615"/>
    <tableColumn id="11997" uniqueName="11997" name="Column11988" queryTableFieldId="4397" dataDxfId="4614"/>
    <tableColumn id="11998" uniqueName="11998" name="Column11989" queryTableFieldId="4396" dataDxfId="4613"/>
    <tableColumn id="11999" uniqueName="11999" name="Column11990" queryTableFieldId="4395" dataDxfId="4612"/>
    <tableColumn id="12000" uniqueName="12000" name="Column11991" queryTableFieldId="4394" dataDxfId="4611"/>
    <tableColumn id="12001" uniqueName="12001" name="Column11992" queryTableFieldId="4393" dataDxfId="4610"/>
    <tableColumn id="12002" uniqueName="12002" name="Column11993" queryTableFieldId="4392" dataDxfId="4609"/>
    <tableColumn id="12003" uniqueName="12003" name="Column11994" queryTableFieldId="4391" dataDxfId="4608"/>
    <tableColumn id="12004" uniqueName="12004" name="Column11995" queryTableFieldId="4390" dataDxfId="4607"/>
    <tableColumn id="12005" uniqueName="12005" name="Column11996" queryTableFieldId="4389" dataDxfId="4606"/>
    <tableColumn id="12006" uniqueName="12006" name="Column11997" queryTableFieldId="4388" dataDxfId="4605"/>
    <tableColumn id="12007" uniqueName="12007" name="Column11998" queryTableFieldId="4387" dataDxfId="4604"/>
    <tableColumn id="12008" uniqueName="12008" name="Column11999" queryTableFieldId="4386" dataDxfId="4603"/>
    <tableColumn id="12009" uniqueName="12009" name="Column12000" queryTableFieldId="4385" dataDxfId="4602"/>
    <tableColumn id="12010" uniqueName="12010" name="Column12001" queryTableFieldId="4384" dataDxfId="4601"/>
    <tableColumn id="12011" uniqueName="12011" name="Column12002" queryTableFieldId="4383" dataDxfId="4600"/>
    <tableColumn id="12012" uniqueName="12012" name="Column12003" queryTableFieldId="4382" dataDxfId="4599"/>
    <tableColumn id="12013" uniqueName="12013" name="Column12004" queryTableFieldId="4381" dataDxfId="4598"/>
    <tableColumn id="12014" uniqueName="12014" name="Column12005" queryTableFieldId="4380" dataDxfId="4597"/>
    <tableColumn id="12015" uniqueName="12015" name="Column12006" queryTableFieldId="4379" dataDxfId="4596"/>
    <tableColumn id="12016" uniqueName="12016" name="Column12007" queryTableFieldId="4378" dataDxfId="4595"/>
    <tableColumn id="12017" uniqueName="12017" name="Column12008" queryTableFieldId="4377" dataDxfId="4594"/>
    <tableColumn id="12018" uniqueName="12018" name="Column12009" queryTableFieldId="4376" dataDxfId="4593"/>
    <tableColumn id="12019" uniqueName="12019" name="Column12010" queryTableFieldId="4375" dataDxfId="4592"/>
    <tableColumn id="12020" uniqueName="12020" name="Column12011" queryTableFieldId="4374" dataDxfId="4591"/>
    <tableColumn id="12021" uniqueName="12021" name="Column12012" queryTableFieldId="4373" dataDxfId="4590"/>
    <tableColumn id="12022" uniqueName="12022" name="Column12013" queryTableFieldId="4372" dataDxfId="4589"/>
    <tableColumn id="12023" uniqueName="12023" name="Column12014" queryTableFieldId="4371" dataDxfId="4588"/>
    <tableColumn id="12024" uniqueName="12024" name="Column12015" queryTableFieldId="4370" dataDxfId="4587"/>
    <tableColumn id="12025" uniqueName="12025" name="Column12016" queryTableFieldId="4369" dataDxfId="4586"/>
    <tableColumn id="12026" uniqueName="12026" name="Column12017" queryTableFieldId="4368" dataDxfId="4585"/>
    <tableColumn id="12027" uniqueName="12027" name="Column12018" queryTableFieldId="4367" dataDxfId="4584"/>
    <tableColumn id="12028" uniqueName="12028" name="Column12019" queryTableFieldId="4366" dataDxfId="4583"/>
    <tableColumn id="12029" uniqueName="12029" name="Column12020" queryTableFieldId="4365" dataDxfId="4582"/>
    <tableColumn id="12030" uniqueName="12030" name="Column12021" queryTableFieldId="4364" dataDxfId="4581"/>
    <tableColumn id="12031" uniqueName="12031" name="Column12022" queryTableFieldId="4363" dataDxfId="4580"/>
    <tableColumn id="12032" uniqueName="12032" name="Column12023" queryTableFieldId="4362" dataDxfId="4579"/>
    <tableColumn id="12033" uniqueName="12033" name="Column12024" queryTableFieldId="4361" dataDxfId="4578"/>
    <tableColumn id="12034" uniqueName="12034" name="Column12025" queryTableFieldId="4360" dataDxfId="4577"/>
    <tableColumn id="12035" uniqueName="12035" name="Column12026" queryTableFieldId="4359" dataDxfId="4576"/>
    <tableColumn id="12036" uniqueName="12036" name="Column12027" queryTableFieldId="4358" dataDxfId="4575"/>
    <tableColumn id="12037" uniqueName="12037" name="Column12028" queryTableFieldId="4357" dataDxfId="4574"/>
    <tableColumn id="12038" uniqueName="12038" name="Column12029" queryTableFieldId="4356" dataDxfId="4573"/>
    <tableColumn id="12039" uniqueName="12039" name="Column12030" queryTableFieldId="4355" dataDxfId="4572"/>
    <tableColumn id="12040" uniqueName="12040" name="Column12031" queryTableFieldId="4354" dataDxfId="4571"/>
    <tableColumn id="12041" uniqueName="12041" name="Column12032" queryTableFieldId="4353" dataDxfId="4570"/>
    <tableColumn id="12042" uniqueName="12042" name="Column12033" queryTableFieldId="4352" dataDxfId="4569"/>
    <tableColumn id="12043" uniqueName="12043" name="Column12034" queryTableFieldId="4351" dataDxfId="4568"/>
    <tableColumn id="12044" uniqueName="12044" name="Column12035" queryTableFieldId="4350" dataDxfId="4567"/>
    <tableColumn id="12045" uniqueName="12045" name="Column12036" queryTableFieldId="4349" dataDxfId="4566"/>
    <tableColumn id="12046" uniqueName="12046" name="Column12037" queryTableFieldId="4348" dataDxfId="4565"/>
    <tableColumn id="12047" uniqueName="12047" name="Column12038" queryTableFieldId="4347" dataDxfId="4564"/>
    <tableColumn id="12048" uniqueName="12048" name="Column12039" queryTableFieldId="4346" dataDxfId="4563"/>
    <tableColumn id="12049" uniqueName="12049" name="Column12040" queryTableFieldId="4345" dataDxfId="4562"/>
    <tableColumn id="12050" uniqueName="12050" name="Column12041" queryTableFieldId="4344" dataDxfId="4561"/>
    <tableColumn id="12051" uniqueName="12051" name="Column12042" queryTableFieldId="4343" dataDxfId="4560"/>
    <tableColumn id="12052" uniqueName="12052" name="Column12043" queryTableFieldId="4342" dataDxfId="4559"/>
    <tableColumn id="12053" uniqueName="12053" name="Column12044" queryTableFieldId="4341" dataDxfId="4558"/>
    <tableColumn id="12054" uniqueName="12054" name="Column12045" queryTableFieldId="4340" dataDxfId="4557"/>
    <tableColumn id="12055" uniqueName="12055" name="Column12046" queryTableFieldId="4339" dataDxfId="4556"/>
    <tableColumn id="12056" uniqueName="12056" name="Column12047" queryTableFieldId="4338" dataDxfId="4555"/>
    <tableColumn id="12057" uniqueName="12057" name="Column12048" queryTableFieldId="4337" dataDxfId="4554"/>
    <tableColumn id="12058" uniqueName="12058" name="Column12049" queryTableFieldId="4336" dataDxfId="4553"/>
    <tableColumn id="12059" uniqueName="12059" name="Column12050" queryTableFieldId="4335" dataDxfId="4552"/>
    <tableColumn id="12060" uniqueName="12060" name="Column12051" queryTableFieldId="4334" dataDxfId="4551"/>
    <tableColumn id="12061" uniqueName="12061" name="Column12052" queryTableFieldId="4333" dataDxfId="4550"/>
    <tableColumn id="12062" uniqueName="12062" name="Column12053" queryTableFieldId="4332" dataDxfId="4549"/>
    <tableColumn id="12063" uniqueName="12063" name="Column12054" queryTableFieldId="4331" dataDxfId="4548"/>
    <tableColumn id="12064" uniqueName="12064" name="Column12055" queryTableFieldId="4330" dataDxfId="4547"/>
    <tableColumn id="12065" uniqueName="12065" name="Column12056" queryTableFieldId="4329" dataDxfId="4546"/>
    <tableColumn id="12066" uniqueName="12066" name="Column12057" queryTableFieldId="4328" dataDxfId="4545"/>
    <tableColumn id="12067" uniqueName="12067" name="Column12058" queryTableFieldId="4327" dataDxfId="4544"/>
    <tableColumn id="12068" uniqueName="12068" name="Column12059" queryTableFieldId="4326" dataDxfId="4543"/>
    <tableColumn id="12069" uniqueName="12069" name="Column12060" queryTableFieldId="4325" dataDxfId="4542"/>
    <tableColumn id="12070" uniqueName="12070" name="Column12061" queryTableFieldId="4324" dataDxfId="4541"/>
    <tableColumn id="12071" uniqueName="12071" name="Column12062" queryTableFieldId="4323" dataDxfId="4540"/>
    <tableColumn id="12072" uniqueName="12072" name="Column12063" queryTableFieldId="4322" dataDxfId="4539"/>
    <tableColumn id="12073" uniqueName="12073" name="Column12064" queryTableFieldId="4321" dataDxfId="4538"/>
    <tableColumn id="12074" uniqueName="12074" name="Column12065" queryTableFieldId="4320" dataDxfId="4537"/>
    <tableColumn id="12075" uniqueName="12075" name="Column12066" queryTableFieldId="4319" dataDxfId="4536"/>
    <tableColumn id="12076" uniqueName="12076" name="Column12067" queryTableFieldId="4318" dataDxfId="4535"/>
    <tableColumn id="12077" uniqueName="12077" name="Column12068" queryTableFieldId="4317" dataDxfId="4534"/>
    <tableColumn id="12078" uniqueName="12078" name="Column12069" queryTableFieldId="4316" dataDxfId="4533"/>
    <tableColumn id="12079" uniqueName="12079" name="Column12070" queryTableFieldId="4315" dataDxfId="4532"/>
    <tableColumn id="12080" uniqueName="12080" name="Column12071" queryTableFieldId="4314" dataDxfId="4531"/>
    <tableColumn id="12081" uniqueName="12081" name="Column12072" queryTableFieldId="4313" dataDxfId="4530"/>
    <tableColumn id="12082" uniqueName="12082" name="Column12073" queryTableFieldId="4312" dataDxfId="4529"/>
    <tableColumn id="12083" uniqueName="12083" name="Column12074" queryTableFieldId="4311" dataDxfId="4528"/>
    <tableColumn id="12084" uniqueName="12084" name="Column12075" queryTableFieldId="4310" dataDxfId="4527"/>
    <tableColumn id="12085" uniqueName="12085" name="Column12076" queryTableFieldId="4309" dataDxfId="4526"/>
    <tableColumn id="12086" uniqueName="12086" name="Column12077" queryTableFieldId="4308" dataDxfId="4525"/>
    <tableColumn id="12087" uniqueName="12087" name="Column12078" queryTableFieldId="4307" dataDxfId="4524"/>
    <tableColumn id="12088" uniqueName="12088" name="Column12079" queryTableFieldId="4306" dataDxfId="4523"/>
    <tableColumn id="12089" uniqueName="12089" name="Column12080" queryTableFieldId="4305" dataDxfId="4522"/>
    <tableColumn id="12090" uniqueName="12090" name="Column12081" queryTableFieldId="4304" dataDxfId="4521"/>
    <tableColumn id="12091" uniqueName="12091" name="Column12082" queryTableFieldId="4303" dataDxfId="4520"/>
    <tableColumn id="12092" uniqueName="12092" name="Column12083" queryTableFieldId="4302" dataDxfId="4519"/>
    <tableColumn id="12093" uniqueName="12093" name="Column12084" queryTableFieldId="4301" dataDxfId="4518"/>
    <tableColumn id="12094" uniqueName="12094" name="Column12085" queryTableFieldId="4300" dataDxfId="4517"/>
    <tableColumn id="12095" uniqueName="12095" name="Column12086" queryTableFieldId="4299" dataDxfId="4516"/>
    <tableColumn id="12096" uniqueName="12096" name="Column12087" queryTableFieldId="4298" dataDxfId="4515"/>
    <tableColumn id="12097" uniqueName="12097" name="Column12088" queryTableFieldId="4297" dataDxfId="4514"/>
    <tableColumn id="12098" uniqueName="12098" name="Column12089" queryTableFieldId="4296" dataDxfId="4513"/>
    <tableColumn id="12099" uniqueName="12099" name="Column12090" queryTableFieldId="4295" dataDxfId="4512"/>
    <tableColumn id="12100" uniqueName="12100" name="Column12091" queryTableFieldId="4294" dataDxfId="4511"/>
    <tableColumn id="12101" uniqueName="12101" name="Column12092" queryTableFieldId="4293" dataDxfId="4510"/>
    <tableColumn id="12102" uniqueName="12102" name="Column12093" queryTableFieldId="4292" dataDxfId="4509"/>
    <tableColumn id="12103" uniqueName="12103" name="Column12094" queryTableFieldId="4291" dataDxfId="4508"/>
    <tableColumn id="12104" uniqueName="12104" name="Column12095" queryTableFieldId="4290" dataDxfId="4507"/>
    <tableColumn id="12105" uniqueName="12105" name="Column12096" queryTableFieldId="4289" dataDxfId="4506"/>
    <tableColumn id="12106" uniqueName="12106" name="Column12097" queryTableFieldId="4288" dataDxfId="4505"/>
    <tableColumn id="12107" uniqueName="12107" name="Column12098" queryTableFieldId="4287" dataDxfId="4504"/>
    <tableColumn id="12108" uniqueName="12108" name="Column12099" queryTableFieldId="4286" dataDxfId="4503"/>
    <tableColumn id="12109" uniqueName="12109" name="Column12100" queryTableFieldId="4285" dataDxfId="4502"/>
    <tableColumn id="12110" uniqueName="12110" name="Column12101" queryTableFieldId="4284" dataDxfId="4501"/>
    <tableColumn id="12111" uniqueName="12111" name="Column12102" queryTableFieldId="4283" dataDxfId="4500"/>
    <tableColumn id="12112" uniqueName="12112" name="Column12103" queryTableFieldId="4282" dataDxfId="4499"/>
    <tableColumn id="12113" uniqueName="12113" name="Column12104" queryTableFieldId="4281" dataDxfId="4498"/>
    <tableColumn id="12114" uniqueName="12114" name="Column12105" queryTableFieldId="4280" dataDxfId="4497"/>
    <tableColumn id="12115" uniqueName="12115" name="Column12106" queryTableFieldId="4279" dataDxfId="4496"/>
    <tableColumn id="12116" uniqueName="12116" name="Column12107" queryTableFieldId="4278" dataDxfId="4495"/>
    <tableColumn id="12117" uniqueName="12117" name="Column12108" queryTableFieldId="4277" dataDxfId="4494"/>
    <tableColumn id="12118" uniqueName="12118" name="Column12109" queryTableFieldId="4276" dataDxfId="4493"/>
    <tableColumn id="12119" uniqueName="12119" name="Column12110" queryTableFieldId="4275" dataDxfId="4492"/>
    <tableColumn id="12120" uniqueName="12120" name="Column12111" queryTableFieldId="4274" dataDxfId="4491"/>
    <tableColumn id="12121" uniqueName="12121" name="Column12112" queryTableFieldId="4273" dataDxfId="4490"/>
    <tableColumn id="12122" uniqueName="12122" name="Column12113" queryTableFieldId="4272" dataDxfId="4489"/>
    <tableColumn id="12123" uniqueName="12123" name="Column12114" queryTableFieldId="4271" dataDxfId="4488"/>
    <tableColumn id="12124" uniqueName="12124" name="Column12115" queryTableFieldId="4270" dataDxfId="4487"/>
    <tableColumn id="12125" uniqueName="12125" name="Column12116" queryTableFieldId="4269" dataDxfId="4486"/>
    <tableColumn id="12126" uniqueName="12126" name="Column12117" queryTableFieldId="4268" dataDxfId="4485"/>
    <tableColumn id="12127" uniqueName="12127" name="Column12118" queryTableFieldId="4267" dataDxfId="4484"/>
    <tableColumn id="12128" uniqueName="12128" name="Column12119" queryTableFieldId="4266" dataDxfId="4483"/>
    <tableColumn id="12129" uniqueName="12129" name="Column12120" queryTableFieldId="4265" dataDxfId="4482"/>
    <tableColumn id="12130" uniqueName="12130" name="Column12121" queryTableFieldId="4264" dataDxfId="4481"/>
    <tableColumn id="12131" uniqueName="12131" name="Column12122" queryTableFieldId="4263" dataDxfId="4480"/>
    <tableColumn id="12132" uniqueName="12132" name="Column12123" queryTableFieldId="4262" dataDxfId="4479"/>
    <tableColumn id="12133" uniqueName="12133" name="Column12124" queryTableFieldId="4261" dataDxfId="4478"/>
    <tableColumn id="12134" uniqueName="12134" name="Column12125" queryTableFieldId="4260" dataDxfId="4477"/>
    <tableColumn id="12135" uniqueName="12135" name="Column12126" queryTableFieldId="4259" dataDxfId="4476"/>
    <tableColumn id="12136" uniqueName="12136" name="Column12127" queryTableFieldId="4258" dataDxfId="4475"/>
    <tableColumn id="12137" uniqueName="12137" name="Column12128" queryTableFieldId="4257" dataDxfId="4474"/>
    <tableColumn id="12138" uniqueName="12138" name="Column12129" queryTableFieldId="4256" dataDxfId="4473"/>
    <tableColumn id="12139" uniqueName="12139" name="Column12130" queryTableFieldId="4255" dataDxfId="4472"/>
    <tableColumn id="12140" uniqueName="12140" name="Column12131" queryTableFieldId="4254" dataDxfId="4471"/>
    <tableColumn id="12141" uniqueName="12141" name="Column12132" queryTableFieldId="4253" dataDxfId="4470"/>
    <tableColumn id="12142" uniqueName="12142" name="Column12133" queryTableFieldId="4252" dataDxfId="4469"/>
    <tableColumn id="12143" uniqueName="12143" name="Column12134" queryTableFieldId="4251" dataDxfId="4468"/>
    <tableColumn id="12144" uniqueName="12144" name="Column12135" queryTableFieldId="4250" dataDxfId="4467"/>
    <tableColumn id="12145" uniqueName="12145" name="Column12136" queryTableFieldId="4249" dataDxfId="4466"/>
    <tableColumn id="12146" uniqueName="12146" name="Column12137" queryTableFieldId="4248" dataDxfId="4465"/>
    <tableColumn id="12147" uniqueName="12147" name="Column12138" queryTableFieldId="4247" dataDxfId="4464"/>
    <tableColumn id="12148" uniqueName="12148" name="Column12139" queryTableFieldId="4246" dataDxfId="4463"/>
    <tableColumn id="12149" uniqueName="12149" name="Column12140" queryTableFieldId="4245" dataDxfId="4462"/>
    <tableColumn id="12150" uniqueName="12150" name="Column12141" queryTableFieldId="4244" dataDxfId="4461"/>
    <tableColumn id="12151" uniqueName="12151" name="Column12142" queryTableFieldId="4243" dataDxfId="4460"/>
    <tableColumn id="12152" uniqueName="12152" name="Column12143" queryTableFieldId="4242" dataDxfId="4459"/>
    <tableColumn id="12153" uniqueName="12153" name="Column12144" queryTableFieldId="4241" dataDxfId="4458"/>
    <tableColumn id="12154" uniqueName="12154" name="Column12145" queryTableFieldId="4240" dataDxfId="4457"/>
    <tableColumn id="12155" uniqueName="12155" name="Column12146" queryTableFieldId="4239" dataDxfId="4456"/>
    <tableColumn id="12156" uniqueName="12156" name="Column12147" queryTableFieldId="4238" dataDxfId="4455"/>
    <tableColumn id="12157" uniqueName="12157" name="Column12148" queryTableFieldId="4237" dataDxfId="4454"/>
    <tableColumn id="12158" uniqueName="12158" name="Column12149" queryTableFieldId="4236" dataDxfId="4453"/>
    <tableColumn id="12159" uniqueName="12159" name="Column12150" queryTableFieldId="4235" dataDxfId="4452"/>
    <tableColumn id="12160" uniqueName="12160" name="Column12151" queryTableFieldId="4234" dataDxfId="4451"/>
    <tableColumn id="12161" uniqueName="12161" name="Column12152" queryTableFieldId="4233" dataDxfId="4450"/>
    <tableColumn id="12162" uniqueName="12162" name="Column12153" queryTableFieldId="4232" dataDxfId="4449"/>
    <tableColumn id="12163" uniqueName="12163" name="Column12154" queryTableFieldId="4231" dataDxfId="4448"/>
    <tableColumn id="12164" uniqueName="12164" name="Column12155" queryTableFieldId="4230" dataDxfId="4447"/>
    <tableColumn id="12165" uniqueName="12165" name="Column12156" queryTableFieldId="4229" dataDxfId="4446"/>
    <tableColumn id="12166" uniqueName="12166" name="Column12157" queryTableFieldId="4228" dataDxfId="4445"/>
    <tableColumn id="12167" uniqueName="12167" name="Column12158" queryTableFieldId="4227" dataDxfId="4444"/>
    <tableColumn id="12168" uniqueName="12168" name="Column12159" queryTableFieldId="4226" dataDxfId="4443"/>
    <tableColumn id="12169" uniqueName="12169" name="Column12160" queryTableFieldId="4225" dataDxfId="4442"/>
    <tableColumn id="12170" uniqueName="12170" name="Column12161" queryTableFieldId="4224" dataDxfId="4441"/>
    <tableColumn id="12171" uniqueName="12171" name="Column12162" queryTableFieldId="4223" dataDxfId="4440"/>
    <tableColumn id="12172" uniqueName="12172" name="Column12163" queryTableFieldId="4222" dataDxfId="4439"/>
    <tableColumn id="12173" uniqueName="12173" name="Column12164" queryTableFieldId="4221" dataDxfId="4438"/>
    <tableColumn id="12174" uniqueName="12174" name="Column12165" queryTableFieldId="4220" dataDxfId="4437"/>
    <tableColumn id="12175" uniqueName="12175" name="Column12166" queryTableFieldId="4219" dataDxfId="4436"/>
    <tableColumn id="12176" uniqueName="12176" name="Column12167" queryTableFieldId="4218" dataDxfId="4435"/>
    <tableColumn id="12177" uniqueName="12177" name="Column12168" queryTableFieldId="4217" dataDxfId="4434"/>
    <tableColumn id="12178" uniqueName="12178" name="Column12169" queryTableFieldId="4216" dataDxfId="4433"/>
    <tableColumn id="12179" uniqueName="12179" name="Column12170" queryTableFieldId="4215" dataDxfId="4432"/>
    <tableColumn id="12180" uniqueName="12180" name="Column12171" queryTableFieldId="4214" dataDxfId="4431"/>
    <tableColumn id="12181" uniqueName="12181" name="Column12172" queryTableFieldId="4213" dataDxfId="4430"/>
    <tableColumn id="12182" uniqueName="12182" name="Column12173" queryTableFieldId="4212" dataDxfId="4429"/>
    <tableColumn id="12183" uniqueName="12183" name="Column12174" queryTableFieldId="4211" dataDxfId="4428"/>
    <tableColumn id="12184" uniqueName="12184" name="Column12175" queryTableFieldId="4210" dataDxfId="4427"/>
    <tableColumn id="12185" uniqueName="12185" name="Column12176" queryTableFieldId="4209" dataDxfId="4426"/>
    <tableColumn id="12186" uniqueName="12186" name="Column12177" queryTableFieldId="4208" dataDxfId="4425"/>
    <tableColumn id="12187" uniqueName="12187" name="Column12178" queryTableFieldId="4207" dataDxfId="4424"/>
    <tableColumn id="12188" uniqueName="12188" name="Column12179" queryTableFieldId="4206" dataDxfId="4423"/>
    <tableColumn id="12189" uniqueName="12189" name="Column12180" queryTableFieldId="4205" dataDxfId="4422"/>
    <tableColumn id="12190" uniqueName="12190" name="Column12181" queryTableFieldId="4204" dataDxfId="4421"/>
    <tableColumn id="12191" uniqueName="12191" name="Column12182" queryTableFieldId="4203" dataDxfId="4420"/>
    <tableColumn id="12192" uniqueName="12192" name="Column12183" queryTableFieldId="4202" dataDxfId="4419"/>
    <tableColumn id="12193" uniqueName="12193" name="Column12184" queryTableFieldId="4201" dataDxfId="4418"/>
    <tableColumn id="12194" uniqueName="12194" name="Column12185" queryTableFieldId="4200" dataDxfId="4417"/>
    <tableColumn id="12195" uniqueName="12195" name="Column12186" queryTableFieldId="4199" dataDxfId="4416"/>
    <tableColumn id="12196" uniqueName="12196" name="Column12187" queryTableFieldId="4198" dataDxfId="4415"/>
    <tableColumn id="12197" uniqueName="12197" name="Column12188" queryTableFieldId="4197" dataDxfId="4414"/>
    <tableColumn id="12198" uniqueName="12198" name="Column12189" queryTableFieldId="4196" dataDxfId="4413"/>
    <tableColumn id="12199" uniqueName="12199" name="Column12190" queryTableFieldId="4195" dataDxfId="4412"/>
    <tableColumn id="12200" uniqueName="12200" name="Column12191" queryTableFieldId="4194" dataDxfId="4411"/>
    <tableColumn id="12201" uniqueName="12201" name="Column12192" queryTableFieldId="4193" dataDxfId="4410"/>
    <tableColumn id="12202" uniqueName="12202" name="Column12193" queryTableFieldId="4192" dataDxfId="4409"/>
    <tableColumn id="12203" uniqueName="12203" name="Column12194" queryTableFieldId="4191" dataDxfId="4408"/>
    <tableColumn id="12204" uniqueName="12204" name="Column12195" queryTableFieldId="4190" dataDxfId="4407"/>
    <tableColumn id="12205" uniqueName="12205" name="Column12196" queryTableFieldId="4189" dataDxfId="4406"/>
    <tableColumn id="12206" uniqueName="12206" name="Column12197" queryTableFieldId="4188" dataDxfId="4405"/>
    <tableColumn id="12207" uniqueName="12207" name="Column12198" queryTableFieldId="4187" dataDxfId="4404"/>
    <tableColumn id="12208" uniqueName="12208" name="Column12199" queryTableFieldId="4186" dataDxfId="4403"/>
    <tableColumn id="12209" uniqueName="12209" name="Column12200" queryTableFieldId="4185" dataDxfId="4402"/>
    <tableColumn id="12210" uniqueName="12210" name="Column12201" queryTableFieldId="4184" dataDxfId="4401"/>
    <tableColumn id="12211" uniqueName="12211" name="Column12202" queryTableFieldId="4183" dataDxfId="4400"/>
    <tableColumn id="12212" uniqueName="12212" name="Column12203" queryTableFieldId="4182" dataDxfId="4399"/>
    <tableColumn id="12213" uniqueName="12213" name="Column12204" queryTableFieldId="4181" dataDxfId="4398"/>
    <tableColumn id="12214" uniqueName="12214" name="Column12205" queryTableFieldId="4180" dataDxfId="4397"/>
    <tableColumn id="12215" uniqueName="12215" name="Column12206" queryTableFieldId="4179" dataDxfId="4396"/>
    <tableColumn id="12216" uniqueName="12216" name="Column12207" queryTableFieldId="4178" dataDxfId="4395"/>
    <tableColumn id="12217" uniqueName="12217" name="Column12208" queryTableFieldId="4177" dataDxfId="4394"/>
    <tableColumn id="12218" uniqueName="12218" name="Column12209" queryTableFieldId="4176" dataDxfId="4393"/>
    <tableColumn id="12219" uniqueName="12219" name="Column12210" queryTableFieldId="4175" dataDxfId="4392"/>
    <tableColumn id="12220" uniqueName="12220" name="Column12211" queryTableFieldId="4174" dataDxfId="4391"/>
    <tableColumn id="12221" uniqueName="12221" name="Column12212" queryTableFieldId="4173" dataDxfId="4390"/>
    <tableColumn id="12222" uniqueName="12222" name="Column12213" queryTableFieldId="4172" dataDxfId="4389"/>
    <tableColumn id="12223" uniqueName="12223" name="Column12214" queryTableFieldId="4171" dataDxfId="4388"/>
    <tableColumn id="12224" uniqueName="12224" name="Column12215" queryTableFieldId="4170" dataDxfId="4387"/>
    <tableColumn id="12225" uniqueName="12225" name="Column12216" queryTableFieldId="4169" dataDxfId="4386"/>
    <tableColumn id="12226" uniqueName="12226" name="Column12217" queryTableFieldId="4168" dataDxfId="4385"/>
    <tableColumn id="12227" uniqueName="12227" name="Column12218" queryTableFieldId="4167" dataDxfId="4384"/>
    <tableColumn id="12228" uniqueName="12228" name="Column12219" queryTableFieldId="4166" dataDxfId="4383"/>
    <tableColumn id="12229" uniqueName="12229" name="Column12220" queryTableFieldId="4165" dataDxfId="4382"/>
    <tableColumn id="12230" uniqueName="12230" name="Column12221" queryTableFieldId="4164" dataDxfId="4381"/>
    <tableColumn id="12231" uniqueName="12231" name="Column12222" queryTableFieldId="4163" dataDxfId="4380"/>
    <tableColumn id="12232" uniqueName="12232" name="Column12223" queryTableFieldId="4162" dataDxfId="4379"/>
    <tableColumn id="12233" uniqueName="12233" name="Column12224" queryTableFieldId="4161" dataDxfId="4378"/>
    <tableColumn id="12234" uniqueName="12234" name="Column12225" queryTableFieldId="4160" dataDxfId="4377"/>
    <tableColumn id="12235" uniqueName="12235" name="Column12226" queryTableFieldId="4159" dataDxfId="4376"/>
    <tableColumn id="12236" uniqueName="12236" name="Column12227" queryTableFieldId="4158" dataDxfId="4375"/>
    <tableColumn id="12237" uniqueName="12237" name="Column12228" queryTableFieldId="4157" dataDxfId="4374"/>
    <tableColumn id="12238" uniqueName="12238" name="Column12229" queryTableFieldId="4156" dataDxfId="4373"/>
    <tableColumn id="12239" uniqueName="12239" name="Column12230" queryTableFieldId="4155" dataDxfId="4372"/>
    <tableColumn id="12240" uniqueName="12240" name="Column12231" queryTableFieldId="4154" dataDxfId="4371"/>
    <tableColumn id="12241" uniqueName="12241" name="Column12232" queryTableFieldId="4153" dataDxfId="4370"/>
    <tableColumn id="12242" uniqueName="12242" name="Column12233" queryTableFieldId="4152" dataDxfId="4369"/>
    <tableColumn id="12243" uniqueName="12243" name="Column12234" queryTableFieldId="4151" dataDxfId="4368"/>
    <tableColumn id="12244" uniqueName="12244" name="Column12235" queryTableFieldId="4150" dataDxfId="4367"/>
    <tableColumn id="12245" uniqueName="12245" name="Column12236" queryTableFieldId="4149" dataDxfId="4366"/>
    <tableColumn id="12246" uniqueName="12246" name="Column12237" queryTableFieldId="4148" dataDxfId="4365"/>
    <tableColumn id="12247" uniqueName="12247" name="Column12238" queryTableFieldId="4147" dataDxfId="4364"/>
    <tableColumn id="12248" uniqueName="12248" name="Column12239" queryTableFieldId="4146" dataDxfId="4363"/>
    <tableColumn id="12249" uniqueName="12249" name="Column12240" queryTableFieldId="4145" dataDxfId="4362"/>
    <tableColumn id="12250" uniqueName="12250" name="Column12241" queryTableFieldId="4144" dataDxfId="4361"/>
    <tableColumn id="12251" uniqueName="12251" name="Column12242" queryTableFieldId="4143" dataDxfId="4360"/>
    <tableColumn id="12252" uniqueName="12252" name="Column12243" queryTableFieldId="4142" dataDxfId="4359"/>
    <tableColumn id="12253" uniqueName="12253" name="Column12244" queryTableFieldId="4141" dataDxfId="4358"/>
    <tableColumn id="12254" uniqueName="12254" name="Column12245" queryTableFieldId="4140" dataDxfId="4357"/>
    <tableColumn id="12255" uniqueName="12255" name="Column12246" queryTableFieldId="4139" dataDxfId="4356"/>
    <tableColumn id="12256" uniqueName="12256" name="Column12247" queryTableFieldId="4138" dataDxfId="4355"/>
    <tableColumn id="12257" uniqueName="12257" name="Column12248" queryTableFieldId="4137" dataDxfId="4354"/>
    <tableColumn id="12258" uniqueName="12258" name="Column12249" queryTableFieldId="4136" dataDxfId="4353"/>
    <tableColumn id="12259" uniqueName="12259" name="Column12250" queryTableFieldId="4135" dataDxfId="4352"/>
    <tableColumn id="12260" uniqueName="12260" name="Column12251" queryTableFieldId="4134" dataDxfId="4351"/>
    <tableColumn id="12261" uniqueName="12261" name="Column12252" queryTableFieldId="4133" dataDxfId="4350"/>
    <tableColumn id="12262" uniqueName="12262" name="Column12253" queryTableFieldId="4132" dataDxfId="4349"/>
    <tableColumn id="12263" uniqueName="12263" name="Column12254" queryTableFieldId="4131" dataDxfId="4348"/>
    <tableColumn id="12264" uniqueName="12264" name="Column12255" queryTableFieldId="4130" dataDxfId="4347"/>
    <tableColumn id="12265" uniqueName="12265" name="Column12256" queryTableFieldId="4129" dataDxfId="4346"/>
    <tableColumn id="12266" uniqueName="12266" name="Column12257" queryTableFieldId="4128" dataDxfId="4345"/>
    <tableColumn id="12267" uniqueName="12267" name="Column12258" queryTableFieldId="4127" dataDxfId="4344"/>
    <tableColumn id="12268" uniqueName="12268" name="Column12259" queryTableFieldId="4126" dataDxfId="4343"/>
    <tableColumn id="12269" uniqueName="12269" name="Column12260" queryTableFieldId="4125" dataDxfId="4342"/>
    <tableColumn id="12270" uniqueName="12270" name="Column12261" queryTableFieldId="4124" dataDxfId="4341"/>
    <tableColumn id="12271" uniqueName="12271" name="Column12262" queryTableFieldId="4123" dataDxfId="4340"/>
    <tableColumn id="12272" uniqueName="12272" name="Column12263" queryTableFieldId="4122" dataDxfId="4339"/>
    <tableColumn id="12273" uniqueName="12273" name="Column12264" queryTableFieldId="4121" dataDxfId="4338"/>
    <tableColumn id="12274" uniqueName="12274" name="Column12265" queryTableFieldId="4120" dataDxfId="4337"/>
    <tableColumn id="12275" uniqueName="12275" name="Column12266" queryTableFieldId="4119" dataDxfId="4336"/>
    <tableColumn id="12276" uniqueName="12276" name="Column12267" queryTableFieldId="4118" dataDxfId="4335"/>
    <tableColumn id="12277" uniqueName="12277" name="Column12268" queryTableFieldId="4117" dataDxfId="4334"/>
    <tableColumn id="12278" uniqueName="12278" name="Column12269" queryTableFieldId="4116" dataDxfId="4333"/>
    <tableColumn id="12279" uniqueName="12279" name="Column12270" queryTableFieldId="4115" dataDxfId="4332"/>
    <tableColumn id="12280" uniqueName="12280" name="Column12271" queryTableFieldId="4114" dataDxfId="4331"/>
    <tableColumn id="12281" uniqueName="12281" name="Column12272" queryTableFieldId="4113" dataDxfId="4330"/>
    <tableColumn id="12282" uniqueName="12282" name="Column12273" queryTableFieldId="4112" dataDxfId="4329"/>
    <tableColumn id="12283" uniqueName="12283" name="Column12274" queryTableFieldId="4111" dataDxfId="4328"/>
    <tableColumn id="12284" uniqueName="12284" name="Column12275" queryTableFieldId="4110" dataDxfId="4327"/>
    <tableColumn id="12285" uniqueName="12285" name="Column12276" queryTableFieldId="4109" dataDxfId="4326"/>
    <tableColumn id="12286" uniqueName="12286" name="Column12277" queryTableFieldId="4108" dataDxfId="4325"/>
    <tableColumn id="12287" uniqueName="12287" name="Column12278" queryTableFieldId="4107" dataDxfId="4324"/>
    <tableColumn id="12288" uniqueName="12288" name="Column12279" queryTableFieldId="4106" dataDxfId="4323"/>
    <tableColumn id="12289" uniqueName="12289" name="Column12280" queryTableFieldId="4105" dataDxfId="4322"/>
    <tableColumn id="12290" uniqueName="12290" name="Column12281" queryTableFieldId="4104" dataDxfId="4321"/>
    <tableColumn id="12291" uniqueName="12291" name="Column12282" queryTableFieldId="4103" dataDxfId="4320"/>
    <tableColumn id="12292" uniqueName="12292" name="Column12283" queryTableFieldId="4102" dataDxfId="4319"/>
    <tableColumn id="12293" uniqueName="12293" name="Column12284" queryTableFieldId="4101" dataDxfId="4318"/>
    <tableColumn id="12294" uniqueName="12294" name="Column12285" queryTableFieldId="4100" dataDxfId="4317"/>
    <tableColumn id="12295" uniqueName="12295" name="Column12286" queryTableFieldId="4099" dataDxfId="4316"/>
    <tableColumn id="12296" uniqueName="12296" name="Column12287" queryTableFieldId="4098" dataDxfId="4315"/>
    <tableColumn id="12297" uniqueName="12297" name="Column12288" queryTableFieldId="4097" dataDxfId="4314"/>
    <tableColumn id="12298" uniqueName="12298" name="Column12289" queryTableFieldId="4096" dataDxfId="4313"/>
    <tableColumn id="12299" uniqueName="12299" name="Column12290" queryTableFieldId="4095" dataDxfId="4312"/>
    <tableColumn id="12300" uniqueName="12300" name="Column12291" queryTableFieldId="4094" dataDxfId="4311"/>
    <tableColumn id="12301" uniqueName="12301" name="Column12292" queryTableFieldId="4093" dataDxfId="4310"/>
    <tableColumn id="12302" uniqueName="12302" name="Column12293" queryTableFieldId="4092" dataDxfId="4309"/>
    <tableColumn id="12303" uniqueName="12303" name="Column12294" queryTableFieldId="4091" dataDxfId="4308"/>
    <tableColumn id="12304" uniqueName="12304" name="Column12295" queryTableFieldId="4090" dataDxfId="4307"/>
    <tableColumn id="12305" uniqueName="12305" name="Column12296" queryTableFieldId="4089" dataDxfId="4306"/>
    <tableColumn id="12306" uniqueName="12306" name="Column12297" queryTableFieldId="4088" dataDxfId="4305"/>
    <tableColumn id="12307" uniqueName="12307" name="Column12298" queryTableFieldId="4087" dataDxfId="4304"/>
    <tableColumn id="12308" uniqueName="12308" name="Column12299" queryTableFieldId="4086" dataDxfId="4303"/>
    <tableColumn id="12309" uniqueName="12309" name="Column12300" queryTableFieldId="4085" dataDxfId="4302"/>
    <tableColumn id="12310" uniqueName="12310" name="Column12301" queryTableFieldId="4084" dataDxfId="4301"/>
    <tableColumn id="12311" uniqueName="12311" name="Column12302" queryTableFieldId="4083" dataDxfId="4300"/>
    <tableColumn id="12312" uniqueName="12312" name="Column12303" queryTableFieldId="4082" dataDxfId="4299"/>
    <tableColumn id="12313" uniqueName="12313" name="Column12304" queryTableFieldId="4081" dataDxfId="4298"/>
    <tableColumn id="12314" uniqueName="12314" name="Column12305" queryTableFieldId="4080" dataDxfId="4297"/>
    <tableColumn id="12315" uniqueName="12315" name="Column12306" queryTableFieldId="4079" dataDxfId="4296"/>
    <tableColumn id="12316" uniqueName="12316" name="Column12307" queryTableFieldId="4078" dataDxfId="4295"/>
    <tableColumn id="12317" uniqueName="12317" name="Column12308" queryTableFieldId="4077" dataDxfId="4294"/>
    <tableColumn id="12318" uniqueName="12318" name="Column12309" queryTableFieldId="4076" dataDxfId="4293"/>
    <tableColumn id="12319" uniqueName="12319" name="Column12310" queryTableFieldId="4075" dataDxfId="4292"/>
    <tableColumn id="12320" uniqueName="12320" name="Column12311" queryTableFieldId="4074" dataDxfId="4291"/>
    <tableColumn id="12321" uniqueName="12321" name="Column12312" queryTableFieldId="4073" dataDxfId="4290"/>
    <tableColumn id="12322" uniqueName="12322" name="Column12313" queryTableFieldId="4072" dataDxfId="4289"/>
    <tableColumn id="12323" uniqueName="12323" name="Column12314" queryTableFieldId="4071" dataDxfId="4288"/>
    <tableColumn id="12324" uniqueName="12324" name="Column12315" queryTableFieldId="4070" dataDxfId="4287"/>
    <tableColumn id="12325" uniqueName="12325" name="Column12316" queryTableFieldId="4069" dataDxfId="4286"/>
    <tableColumn id="12326" uniqueName="12326" name="Column12317" queryTableFieldId="4068" dataDxfId="4285"/>
    <tableColumn id="12327" uniqueName="12327" name="Column12318" queryTableFieldId="4067" dataDxfId="4284"/>
    <tableColumn id="12328" uniqueName="12328" name="Column12319" queryTableFieldId="4066" dataDxfId="4283"/>
    <tableColumn id="12329" uniqueName="12329" name="Column12320" queryTableFieldId="4065" dataDxfId="4282"/>
    <tableColumn id="12330" uniqueName="12330" name="Column12321" queryTableFieldId="4064" dataDxfId="4281"/>
    <tableColumn id="12331" uniqueName="12331" name="Column12322" queryTableFieldId="4063" dataDxfId="4280"/>
    <tableColumn id="12332" uniqueName="12332" name="Column12323" queryTableFieldId="4062" dataDxfId="4279"/>
    <tableColumn id="12333" uniqueName="12333" name="Column12324" queryTableFieldId="4061" dataDxfId="4278"/>
    <tableColumn id="12334" uniqueName="12334" name="Column12325" queryTableFieldId="4060" dataDxfId="4277"/>
    <tableColumn id="12335" uniqueName="12335" name="Column12326" queryTableFieldId="4059" dataDxfId="4276"/>
    <tableColumn id="12336" uniqueName="12336" name="Column12327" queryTableFieldId="4058" dataDxfId="4275"/>
    <tableColumn id="12337" uniqueName="12337" name="Column12328" queryTableFieldId="4057" dataDxfId="4274"/>
    <tableColumn id="12338" uniqueName="12338" name="Column12329" queryTableFieldId="4056" dataDxfId="4273"/>
    <tableColumn id="12339" uniqueName="12339" name="Column12330" queryTableFieldId="4055" dataDxfId="4272"/>
    <tableColumn id="12340" uniqueName="12340" name="Column12331" queryTableFieldId="4054" dataDxfId="4271"/>
    <tableColumn id="12341" uniqueName="12341" name="Column12332" queryTableFieldId="4053" dataDxfId="4270"/>
    <tableColumn id="12342" uniqueName="12342" name="Column12333" queryTableFieldId="4052" dataDxfId="4269"/>
    <tableColumn id="12343" uniqueName="12343" name="Column12334" queryTableFieldId="4051" dataDxfId="4268"/>
    <tableColumn id="12344" uniqueName="12344" name="Column12335" queryTableFieldId="4050" dataDxfId="4267"/>
    <tableColumn id="12345" uniqueName="12345" name="Column12336" queryTableFieldId="4049" dataDxfId="4266"/>
    <tableColumn id="12346" uniqueName="12346" name="Column12337" queryTableFieldId="4048" dataDxfId="4265"/>
    <tableColumn id="12347" uniqueName="12347" name="Column12338" queryTableFieldId="4047" dataDxfId="4264"/>
    <tableColumn id="12348" uniqueName="12348" name="Column12339" queryTableFieldId="4046" dataDxfId="4263"/>
    <tableColumn id="12349" uniqueName="12349" name="Column12340" queryTableFieldId="4045" dataDxfId="4262"/>
    <tableColumn id="12350" uniqueName="12350" name="Column12341" queryTableFieldId="4044" dataDxfId="4261"/>
    <tableColumn id="12351" uniqueName="12351" name="Column12342" queryTableFieldId="4043" dataDxfId="4260"/>
    <tableColumn id="12352" uniqueName="12352" name="Column12343" queryTableFieldId="4042" dataDxfId="4259"/>
    <tableColumn id="12353" uniqueName="12353" name="Column12344" queryTableFieldId="4041" dataDxfId="4258"/>
    <tableColumn id="12354" uniqueName="12354" name="Column12345" queryTableFieldId="4040" dataDxfId="4257"/>
    <tableColumn id="12355" uniqueName="12355" name="Column12346" queryTableFieldId="4039" dataDxfId="4256"/>
    <tableColumn id="12356" uniqueName="12356" name="Column12347" queryTableFieldId="4038" dataDxfId="4255"/>
    <tableColumn id="12357" uniqueName="12357" name="Column12348" queryTableFieldId="4037" dataDxfId="4254"/>
    <tableColumn id="12358" uniqueName="12358" name="Column12349" queryTableFieldId="4036" dataDxfId="4253"/>
    <tableColumn id="12359" uniqueName="12359" name="Column12350" queryTableFieldId="4035" dataDxfId="4252"/>
    <tableColumn id="12360" uniqueName="12360" name="Column12351" queryTableFieldId="4034" dataDxfId="4251"/>
    <tableColumn id="12361" uniqueName="12361" name="Column12352" queryTableFieldId="4033" dataDxfId="4250"/>
    <tableColumn id="12362" uniqueName="12362" name="Column12353" queryTableFieldId="4032" dataDxfId="4249"/>
    <tableColumn id="12363" uniqueName="12363" name="Column12354" queryTableFieldId="4031" dataDxfId="4248"/>
    <tableColumn id="12364" uniqueName="12364" name="Column12355" queryTableFieldId="4030" dataDxfId="4247"/>
    <tableColumn id="12365" uniqueName="12365" name="Column12356" queryTableFieldId="4029" dataDxfId="4246"/>
    <tableColumn id="12366" uniqueName="12366" name="Column12357" queryTableFieldId="4028" dataDxfId="4245"/>
    <tableColumn id="12367" uniqueName="12367" name="Column12358" queryTableFieldId="4027" dataDxfId="4244"/>
    <tableColumn id="12368" uniqueName="12368" name="Column12359" queryTableFieldId="4026" dataDxfId="4243"/>
    <tableColumn id="12369" uniqueName="12369" name="Column12360" queryTableFieldId="4025" dataDxfId="4242"/>
    <tableColumn id="12370" uniqueName="12370" name="Column12361" queryTableFieldId="4024" dataDxfId="4241"/>
    <tableColumn id="12371" uniqueName="12371" name="Column12362" queryTableFieldId="4023" dataDxfId="4240"/>
    <tableColumn id="12372" uniqueName="12372" name="Column12363" queryTableFieldId="4022" dataDxfId="4239"/>
    <tableColumn id="12373" uniqueName="12373" name="Column12364" queryTableFieldId="4021" dataDxfId="4238"/>
    <tableColumn id="12374" uniqueName="12374" name="Column12365" queryTableFieldId="4020" dataDxfId="4237"/>
    <tableColumn id="12375" uniqueName="12375" name="Column12366" queryTableFieldId="4019" dataDxfId="4236"/>
    <tableColumn id="12376" uniqueName="12376" name="Column12367" queryTableFieldId="4018" dataDxfId="4235"/>
    <tableColumn id="12377" uniqueName="12377" name="Column12368" queryTableFieldId="4017" dataDxfId="4234"/>
    <tableColumn id="12378" uniqueName="12378" name="Column12369" queryTableFieldId="4016" dataDxfId="4233"/>
    <tableColumn id="12379" uniqueName="12379" name="Column12370" queryTableFieldId="4015" dataDxfId="4232"/>
    <tableColumn id="12380" uniqueName="12380" name="Column12371" queryTableFieldId="4014" dataDxfId="4231"/>
    <tableColumn id="12381" uniqueName="12381" name="Column12372" queryTableFieldId="4013" dataDxfId="4230"/>
    <tableColumn id="12382" uniqueName="12382" name="Column12373" queryTableFieldId="4012" dataDxfId="4229"/>
    <tableColumn id="12383" uniqueName="12383" name="Column12374" queryTableFieldId="4011" dataDxfId="4228"/>
    <tableColumn id="12384" uniqueName="12384" name="Column12375" queryTableFieldId="4010" dataDxfId="4227"/>
    <tableColumn id="12385" uniqueName="12385" name="Column12376" queryTableFieldId="4009" dataDxfId="4226"/>
    <tableColumn id="12386" uniqueName="12386" name="Column12377" queryTableFieldId="4008" dataDxfId="4225"/>
    <tableColumn id="12387" uniqueName="12387" name="Column12378" queryTableFieldId="4007" dataDxfId="4224"/>
    <tableColumn id="12388" uniqueName="12388" name="Column12379" queryTableFieldId="4006" dataDxfId="4223"/>
    <tableColumn id="12389" uniqueName="12389" name="Column12380" queryTableFieldId="4005" dataDxfId="4222"/>
    <tableColumn id="12390" uniqueName="12390" name="Column12381" queryTableFieldId="4004" dataDxfId="4221"/>
    <tableColumn id="12391" uniqueName="12391" name="Column12382" queryTableFieldId="4003" dataDxfId="4220"/>
    <tableColumn id="12392" uniqueName="12392" name="Column12383" queryTableFieldId="4002" dataDxfId="4219"/>
    <tableColumn id="12393" uniqueName="12393" name="Column12384" queryTableFieldId="4001" dataDxfId="4218"/>
    <tableColumn id="12394" uniqueName="12394" name="Column12385" queryTableFieldId="4000" dataDxfId="4217"/>
    <tableColumn id="12395" uniqueName="12395" name="Column12386" queryTableFieldId="3999" dataDxfId="4216"/>
    <tableColumn id="12396" uniqueName="12396" name="Column12387" queryTableFieldId="3998" dataDxfId="4215"/>
    <tableColumn id="12397" uniqueName="12397" name="Column12388" queryTableFieldId="3997" dataDxfId="4214"/>
    <tableColumn id="12398" uniqueName="12398" name="Column12389" queryTableFieldId="3996" dataDxfId="4213"/>
    <tableColumn id="12399" uniqueName="12399" name="Column12390" queryTableFieldId="3995" dataDxfId="4212"/>
    <tableColumn id="12400" uniqueName="12400" name="Column12391" queryTableFieldId="3994" dataDxfId="4211"/>
    <tableColumn id="12401" uniqueName="12401" name="Column12392" queryTableFieldId="3993" dataDxfId="4210"/>
    <tableColumn id="12402" uniqueName="12402" name="Column12393" queryTableFieldId="3992" dataDxfId="4209"/>
    <tableColumn id="12403" uniqueName="12403" name="Column12394" queryTableFieldId="3991" dataDxfId="4208"/>
    <tableColumn id="12404" uniqueName="12404" name="Column12395" queryTableFieldId="3990" dataDxfId="4207"/>
    <tableColumn id="12405" uniqueName="12405" name="Column12396" queryTableFieldId="3989" dataDxfId="4206"/>
    <tableColumn id="12406" uniqueName="12406" name="Column12397" queryTableFieldId="3988" dataDxfId="4205"/>
    <tableColumn id="12407" uniqueName="12407" name="Column12398" queryTableFieldId="3987" dataDxfId="4204"/>
    <tableColumn id="12408" uniqueName="12408" name="Column12399" queryTableFieldId="3986" dataDxfId="4203"/>
    <tableColumn id="12409" uniqueName="12409" name="Column12400" queryTableFieldId="3985" dataDxfId="4202"/>
    <tableColumn id="12410" uniqueName="12410" name="Column12401" queryTableFieldId="3984" dataDxfId="4201"/>
    <tableColumn id="12411" uniqueName="12411" name="Column12402" queryTableFieldId="3983" dataDxfId="4200"/>
    <tableColumn id="12412" uniqueName="12412" name="Column12403" queryTableFieldId="3982" dataDxfId="4199"/>
    <tableColumn id="12413" uniqueName="12413" name="Column12404" queryTableFieldId="3981" dataDxfId="4198"/>
    <tableColumn id="12414" uniqueName="12414" name="Column12405" queryTableFieldId="3980" dataDxfId="4197"/>
    <tableColumn id="12415" uniqueName="12415" name="Column12406" queryTableFieldId="3979" dataDxfId="4196"/>
    <tableColumn id="12416" uniqueName="12416" name="Column12407" queryTableFieldId="3978" dataDxfId="4195"/>
    <tableColumn id="12417" uniqueName="12417" name="Column12408" queryTableFieldId="3977" dataDxfId="4194"/>
    <tableColumn id="12418" uniqueName="12418" name="Column12409" queryTableFieldId="3976" dataDxfId="4193"/>
    <tableColumn id="12419" uniqueName="12419" name="Column12410" queryTableFieldId="3975" dataDxfId="4192"/>
    <tableColumn id="12420" uniqueName="12420" name="Column12411" queryTableFieldId="3974" dataDxfId="4191"/>
    <tableColumn id="12421" uniqueName="12421" name="Column12412" queryTableFieldId="3973" dataDxfId="4190"/>
    <tableColumn id="12422" uniqueName="12422" name="Column12413" queryTableFieldId="3972" dataDxfId="4189"/>
    <tableColumn id="12423" uniqueName="12423" name="Column12414" queryTableFieldId="3971" dataDxfId="4188"/>
    <tableColumn id="12424" uniqueName="12424" name="Column12415" queryTableFieldId="3970" dataDxfId="4187"/>
    <tableColumn id="12425" uniqueName="12425" name="Column12416" queryTableFieldId="3969" dataDxfId="4186"/>
    <tableColumn id="12426" uniqueName="12426" name="Column12417" queryTableFieldId="3968" dataDxfId="4185"/>
    <tableColumn id="12427" uniqueName="12427" name="Column12418" queryTableFieldId="3967" dataDxfId="4184"/>
    <tableColumn id="12428" uniqueName="12428" name="Column12419" queryTableFieldId="3966" dataDxfId="4183"/>
    <tableColumn id="12429" uniqueName="12429" name="Column12420" queryTableFieldId="3965" dataDxfId="4182"/>
    <tableColumn id="12430" uniqueName="12430" name="Column12421" queryTableFieldId="3964" dataDxfId="4181"/>
    <tableColumn id="12431" uniqueName="12431" name="Column12422" queryTableFieldId="3963" dataDxfId="4180"/>
    <tableColumn id="12432" uniqueName="12432" name="Column12423" queryTableFieldId="3962" dataDxfId="4179"/>
    <tableColumn id="12433" uniqueName="12433" name="Column12424" queryTableFieldId="3961" dataDxfId="4178"/>
    <tableColumn id="12434" uniqueName="12434" name="Column12425" queryTableFieldId="3960" dataDxfId="4177"/>
    <tableColumn id="12435" uniqueName="12435" name="Column12426" queryTableFieldId="3959" dataDxfId="4176"/>
    <tableColumn id="12436" uniqueName="12436" name="Column12427" queryTableFieldId="3958" dataDxfId="4175"/>
    <tableColumn id="12437" uniqueName="12437" name="Column12428" queryTableFieldId="3957" dataDxfId="4174"/>
    <tableColumn id="12438" uniqueName="12438" name="Column12429" queryTableFieldId="3956" dataDxfId="4173"/>
    <tableColumn id="12439" uniqueName="12439" name="Column12430" queryTableFieldId="3955" dataDxfId="4172"/>
    <tableColumn id="12440" uniqueName="12440" name="Column12431" queryTableFieldId="3954" dataDxfId="4171"/>
    <tableColumn id="12441" uniqueName="12441" name="Column12432" queryTableFieldId="3953" dataDxfId="4170"/>
    <tableColumn id="12442" uniqueName="12442" name="Column12433" queryTableFieldId="3952" dataDxfId="4169"/>
    <tableColumn id="12443" uniqueName="12443" name="Column12434" queryTableFieldId="3951" dataDxfId="4168"/>
    <tableColumn id="12444" uniqueName="12444" name="Column12435" queryTableFieldId="3950" dataDxfId="4167"/>
    <tableColumn id="12445" uniqueName="12445" name="Column12436" queryTableFieldId="3949" dataDxfId="4166"/>
    <tableColumn id="12446" uniqueName="12446" name="Column12437" queryTableFieldId="3948" dataDxfId="4165"/>
    <tableColumn id="12447" uniqueName="12447" name="Column12438" queryTableFieldId="3947" dataDxfId="4164"/>
    <tableColumn id="12448" uniqueName="12448" name="Column12439" queryTableFieldId="3946" dataDxfId="4163"/>
    <tableColumn id="12449" uniqueName="12449" name="Column12440" queryTableFieldId="3945" dataDxfId="4162"/>
    <tableColumn id="12450" uniqueName="12450" name="Column12441" queryTableFieldId="3944" dataDxfId="4161"/>
    <tableColumn id="12451" uniqueName="12451" name="Column12442" queryTableFieldId="3943" dataDxfId="4160"/>
    <tableColumn id="12452" uniqueName="12452" name="Column12443" queryTableFieldId="3942" dataDxfId="4159"/>
    <tableColumn id="12453" uniqueName="12453" name="Column12444" queryTableFieldId="3941" dataDxfId="4158"/>
    <tableColumn id="12454" uniqueName="12454" name="Column12445" queryTableFieldId="3940" dataDxfId="4157"/>
    <tableColumn id="12455" uniqueName="12455" name="Column12446" queryTableFieldId="3939" dataDxfId="4156"/>
    <tableColumn id="12456" uniqueName="12456" name="Column12447" queryTableFieldId="3938" dataDxfId="4155"/>
    <tableColumn id="12457" uniqueName="12457" name="Column12448" queryTableFieldId="3937" dataDxfId="4154"/>
    <tableColumn id="12458" uniqueName="12458" name="Column12449" queryTableFieldId="3936" dataDxfId="4153"/>
    <tableColumn id="12459" uniqueName="12459" name="Column12450" queryTableFieldId="3935" dataDxfId="4152"/>
    <tableColumn id="12460" uniqueName="12460" name="Column12451" queryTableFieldId="3934" dataDxfId="4151"/>
    <tableColumn id="12461" uniqueName="12461" name="Column12452" queryTableFieldId="3933" dataDxfId="4150"/>
    <tableColumn id="12462" uniqueName="12462" name="Column12453" queryTableFieldId="3932" dataDxfId="4149"/>
    <tableColumn id="12463" uniqueName="12463" name="Column12454" queryTableFieldId="3931" dataDxfId="4148"/>
    <tableColumn id="12464" uniqueName="12464" name="Column12455" queryTableFieldId="3930" dataDxfId="4147"/>
    <tableColumn id="12465" uniqueName="12465" name="Column12456" queryTableFieldId="3929" dataDxfId="4146"/>
    <tableColumn id="12466" uniqueName="12466" name="Column12457" queryTableFieldId="3928" dataDxfId="4145"/>
    <tableColumn id="12467" uniqueName="12467" name="Column12458" queryTableFieldId="3927" dataDxfId="4144"/>
    <tableColumn id="12468" uniqueName="12468" name="Column12459" queryTableFieldId="3926" dataDxfId="4143"/>
    <tableColumn id="12469" uniqueName="12469" name="Column12460" queryTableFieldId="3925" dataDxfId="4142"/>
    <tableColumn id="12470" uniqueName="12470" name="Column12461" queryTableFieldId="3924" dataDxfId="4141"/>
    <tableColumn id="12471" uniqueName="12471" name="Column12462" queryTableFieldId="3923" dataDxfId="4140"/>
    <tableColumn id="12472" uniqueName="12472" name="Column12463" queryTableFieldId="3922" dataDxfId="4139"/>
    <tableColumn id="12473" uniqueName="12473" name="Column12464" queryTableFieldId="3921" dataDxfId="4138"/>
    <tableColumn id="12474" uniqueName="12474" name="Column12465" queryTableFieldId="3920" dataDxfId="4137"/>
    <tableColumn id="12475" uniqueName="12475" name="Column12466" queryTableFieldId="3919" dataDxfId="4136"/>
    <tableColumn id="12476" uniqueName="12476" name="Column12467" queryTableFieldId="3918" dataDxfId="4135"/>
    <tableColumn id="12477" uniqueName="12477" name="Column12468" queryTableFieldId="3917" dataDxfId="4134"/>
    <tableColumn id="12478" uniqueName="12478" name="Column12469" queryTableFieldId="3916" dataDxfId="4133"/>
    <tableColumn id="12479" uniqueName="12479" name="Column12470" queryTableFieldId="3915" dataDxfId="4132"/>
    <tableColumn id="12480" uniqueName="12480" name="Column12471" queryTableFieldId="3914" dataDxfId="4131"/>
    <tableColumn id="12481" uniqueName="12481" name="Column12472" queryTableFieldId="3913" dataDxfId="4130"/>
    <tableColumn id="12482" uniqueName="12482" name="Column12473" queryTableFieldId="3912" dataDxfId="4129"/>
    <tableColumn id="12483" uniqueName="12483" name="Column12474" queryTableFieldId="3911" dataDxfId="4128"/>
    <tableColumn id="12484" uniqueName="12484" name="Column12475" queryTableFieldId="3910" dataDxfId="4127"/>
    <tableColumn id="12485" uniqueName="12485" name="Column12476" queryTableFieldId="3909" dataDxfId="4126"/>
    <tableColumn id="12486" uniqueName="12486" name="Column12477" queryTableFieldId="3908" dataDxfId="4125"/>
    <tableColumn id="12487" uniqueName="12487" name="Column12478" queryTableFieldId="3907" dataDxfId="4124"/>
    <tableColumn id="12488" uniqueName="12488" name="Column12479" queryTableFieldId="3906" dataDxfId="4123"/>
    <tableColumn id="12489" uniqueName="12489" name="Column12480" queryTableFieldId="3905" dataDxfId="4122"/>
    <tableColumn id="12490" uniqueName="12490" name="Column12481" queryTableFieldId="3904" dataDxfId="4121"/>
    <tableColumn id="12491" uniqueName="12491" name="Column12482" queryTableFieldId="3903" dataDxfId="4120"/>
    <tableColumn id="12492" uniqueName="12492" name="Column12483" queryTableFieldId="3902" dataDxfId="4119"/>
    <tableColumn id="12493" uniqueName="12493" name="Column12484" queryTableFieldId="3901" dataDxfId="4118"/>
    <tableColumn id="12494" uniqueName="12494" name="Column12485" queryTableFieldId="3900" dataDxfId="4117"/>
    <tableColumn id="12495" uniqueName="12495" name="Column12486" queryTableFieldId="3899" dataDxfId="4116"/>
    <tableColumn id="12496" uniqueName="12496" name="Column12487" queryTableFieldId="3898" dataDxfId="4115"/>
    <tableColumn id="12497" uniqueName="12497" name="Column12488" queryTableFieldId="3897" dataDxfId="4114"/>
    <tableColumn id="12498" uniqueName="12498" name="Column12489" queryTableFieldId="3896" dataDxfId="4113"/>
    <tableColumn id="12499" uniqueName="12499" name="Column12490" queryTableFieldId="3895" dataDxfId="4112"/>
    <tableColumn id="12500" uniqueName="12500" name="Column12491" queryTableFieldId="3894" dataDxfId="4111"/>
    <tableColumn id="12501" uniqueName="12501" name="Column12492" queryTableFieldId="3893" dataDxfId="4110"/>
    <tableColumn id="12502" uniqueName="12502" name="Column12493" queryTableFieldId="3892" dataDxfId="4109"/>
    <tableColumn id="12503" uniqueName="12503" name="Column12494" queryTableFieldId="3891" dataDxfId="4108"/>
    <tableColumn id="12504" uniqueName="12504" name="Column12495" queryTableFieldId="3890" dataDxfId="4107"/>
    <tableColumn id="12505" uniqueName="12505" name="Column12496" queryTableFieldId="3889" dataDxfId="4106"/>
    <tableColumn id="12506" uniqueName="12506" name="Column12497" queryTableFieldId="3888" dataDxfId="4105"/>
    <tableColumn id="12507" uniqueName="12507" name="Column12498" queryTableFieldId="3887" dataDxfId="4104"/>
    <tableColumn id="12508" uniqueName="12508" name="Column12499" queryTableFieldId="3886" dataDxfId="4103"/>
    <tableColumn id="12509" uniqueName="12509" name="Column12500" queryTableFieldId="3885" dataDxfId="4102"/>
    <tableColumn id="12510" uniqueName="12510" name="Column12501" queryTableFieldId="3884" dataDxfId="4101"/>
    <tableColumn id="12511" uniqueName="12511" name="Column12502" queryTableFieldId="3883" dataDxfId="4100"/>
    <tableColumn id="12512" uniqueName="12512" name="Column12503" queryTableFieldId="3882" dataDxfId="4099"/>
    <tableColumn id="12513" uniqueName="12513" name="Column12504" queryTableFieldId="3881" dataDxfId="4098"/>
    <tableColumn id="12514" uniqueName="12514" name="Column12505" queryTableFieldId="3880" dataDxfId="4097"/>
    <tableColumn id="12515" uniqueName="12515" name="Column12506" queryTableFieldId="3879" dataDxfId="4096"/>
    <tableColumn id="12516" uniqueName="12516" name="Column12507" queryTableFieldId="3878" dataDxfId="4095"/>
    <tableColumn id="12517" uniqueName="12517" name="Column12508" queryTableFieldId="3877" dataDxfId="4094"/>
    <tableColumn id="12518" uniqueName="12518" name="Column12509" queryTableFieldId="3876" dataDxfId="4093"/>
    <tableColumn id="12519" uniqueName="12519" name="Column12510" queryTableFieldId="3875" dataDxfId="4092"/>
    <tableColumn id="12520" uniqueName="12520" name="Column12511" queryTableFieldId="3874" dataDxfId="4091"/>
    <tableColumn id="12521" uniqueName="12521" name="Column12512" queryTableFieldId="3873" dataDxfId="4090"/>
    <tableColumn id="12522" uniqueName="12522" name="Column12513" queryTableFieldId="3872" dataDxfId="4089"/>
    <tableColumn id="12523" uniqueName="12523" name="Column12514" queryTableFieldId="3871" dataDxfId="4088"/>
    <tableColumn id="12524" uniqueName="12524" name="Column12515" queryTableFieldId="3870" dataDxfId="4087"/>
    <tableColumn id="12525" uniqueName="12525" name="Column12516" queryTableFieldId="3869" dataDxfId="4086"/>
    <tableColumn id="12526" uniqueName="12526" name="Column12517" queryTableFieldId="3868" dataDxfId="4085"/>
    <tableColumn id="12527" uniqueName="12527" name="Column12518" queryTableFieldId="3867" dataDxfId="4084"/>
    <tableColumn id="12528" uniqueName="12528" name="Column12519" queryTableFieldId="3866" dataDxfId="4083"/>
    <tableColumn id="12529" uniqueName="12529" name="Column12520" queryTableFieldId="3865" dataDxfId="4082"/>
    <tableColumn id="12530" uniqueName="12530" name="Column12521" queryTableFieldId="3864" dataDxfId="4081"/>
    <tableColumn id="12531" uniqueName="12531" name="Column12522" queryTableFieldId="3863" dataDxfId="4080"/>
    <tableColumn id="12532" uniqueName="12532" name="Column12523" queryTableFieldId="3862" dataDxfId="4079"/>
    <tableColumn id="12533" uniqueName="12533" name="Column12524" queryTableFieldId="3861" dataDxfId="4078"/>
    <tableColumn id="12534" uniqueName="12534" name="Column12525" queryTableFieldId="3860" dataDxfId="4077"/>
    <tableColumn id="12535" uniqueName="12535" name="Column12526" queryTableFieldId="3859" dataDxfId="4076"/>
    <tableColumn id="12536" uniqueName="12536" name="Column12527" queryTableFieldId="3858" dataDxfId="4075"/>
    <tableColumn id="12537" uniqueName="12537" name="Column12528" queryTableFieldId="3857" dataDxfId="4074"/>
    <tableColumn id="12538" uniqueName="12538" name="Column12529" queryTableFieldId="3856" dataDxfId="4073"/>
    <tableColumn id="12539" uniqueName="12539" name="Column12530" queryTableFieldId="3855" dataDxfId="4072"/>
    <tableColumn id="12540" uniqueName="12540" name="Column12531" queryTableFieldId="3854" dataDxfId="4071"/>
    <tableColumn id="12541" uniqueName="12541" name="Column12532" queryTableFieldId="3853" dataDxfId="4070"/>
    <tableColumn id="12542" uniqueName="12542" name="Column12533" queryTableFieldId="3852" dataDxfId="4069"/>
    <tableColumn id="12543" uniqueName="12543" name="Column12534" queryTableFieldId="3851" dataDxfId="4068"/>
    <tableColumn id="12544" uniqueName="12544" name="Column12535" queryTableFieldId="3850" dataDxfId="4067"/>
    <tableColumn id="12545" uniqueName="12545" name="Column12536" queryTableFieldId="3849" dataDxfId="4066"/>
    <tableColumn id="12546" uniqueName="12546" name="Column12537" queryTableFieldId="3848" dataDxfId="4065"/>
    <tableColumn id="12547" uniqueName="12547" name="Column12538" queryTableFieldId="3847" dataDxfId="4064"/>
    <tableColumn id="12548" uniqueName="12548" name="Column12539" queryTableFieldId="3846" dataDxfId="4063"/>
    <tableColumn id="12549" uniqueName="12549" name="Column12540" queryTableFieldId="3845" dataDxfId="4062"/>
    <tableColumn id="12550" uniqueName="12550" name="Column12541" queryTableFieldId="3844" dataDxfId="4061"/>
    <tableColumn id="12551" uniqueName="12551" name="Column12542" queryTableFieldId="3843" dataDxfId="4060"/>
    <tableColumn id="12552" uniqueName="12552" name="Column12543" queryTableFieldId="3842" dataDxfId="4059"/>
    <tableColumn id="12553" uniqueName="12553" name="Column12544" queryTableFieldId="3841" dataDxfId="4058"/>
    <tableColumn id="12554" uniqueName="12554" name="Column12545" queryTableFieldId="3840" dataDxfId="4057"/>
    <tableColumn id="12555" uniqueName="12555" name="Column12546" queryTableFieldId="3839" dataDxfId="4056"/>
    <tableColumn id="12556" uniqueName="12556" name="Column12547" queryTableFieldId="3838" dataDxfId="4055"/>
    <tableColumn id="12557" uniqueName="12557" name="Column12548" queryTableFieldId="3837" dataDxfId="4054"/>
    <tableColumn id="12558" uniqueName="12558" name="Column12549" queryTableFieldId="3836" dataDxfId="4053"/>
    <tableColumn id="12559" uniqueName="12559" name="Column12550" queryTableFieldId="3835" dataDxfId="4052"/>
    <tableColumn id="12560" uniqueName="12560" name="Column12551" queryTableFieldId="3834" dataDxfId="4051"/>
    <tableColumn id="12561" uniqueName="12561" name="Column12552" queryTableFieldId="3833" dataDxfId="4050"/>
    <tableColumn id="12562" uniqueName="12562" name="Column12553" queryTableFieldId="3832" dataDxfId="4049"/>
    <tableColumn id="12563" uniqueName="12563" name="Column12554" queryTableFieldId="3831" dataDxfId="4048"/>
    <tableColumn id="12564" uniqueName="12564" name="Column12555" queryTableFieldId="3830" dataDxfId="4047"/>
    <tableColumn id="12565" uniqueName="12565" name="Column12556" queryTableFieldId="3829" dataDxfId="4046"/>
    <tableColumn id="12566" uniqueName="12566" name="Column12557" queryTableFieldId="3828" dataDxfId="4045"/>
    <tableColumn id="12567" uniqueName="12567" name="Column12558" queryTableFieldId="3827" dataDxfId="4044"/>
    <tableColumn id="12568" uniqueName="12568" name="Column12559" queryTableFieldId="3826" dataDxfId="4043"/>
    <tableColumn id="12569" uniqueName="12569" name="Column12560" queryTableFieldId="3825" dataDxfId="4042"/>
    <tableColumn id="12570" uniqueName="12570" name="Column12561" queryTableFieldId="3824" dataDxfId="4041"/>
    <tableColumn id="12571" uniqueName="12571" name="Column12562" queryTableFieldId="3823" dataDxfId="4040"/>
    <tableColumn id="12572" uniqueName="12572" name="Column12563" queryTableFieldId="3822" dataDxfId="4039"/>
    <tableColumn id="12573" uniqueName="12573" name="Column12564" queryTableFieldId="3821" dataDxfId="4038"/>
    <tableColumn id="12574" uniqueName="12574" name="Column12565" queryTableFieldId="3820" dataDxfId="4037"/>
    <tableColumn id="12575" uniqueName="12575" name="Column12566" queryTableFieldId="3819" dataDxfId="4036"/>
    <tableColumn id="12576" uniqueName="12576" name="Column12567" queryTableFieldId="3818" dataDxfId="4035"/>
    <tableColumn id="12577" uniqueName="12577" name="Column12568" queryTableFieldId="3817" dataDxfId="4034"/>
    <tableColumn id="12578" uniqueName="12578" name="Column12569" queryTableFieldId="3816" dataDxfId="4033"/>
    <tableColumn id="12579" uniqueName="12579" name="Column12570" queryTableFieldId="3815" dataDxfId="4032"/>
    <tableColumn id="12580" uniqueName="12580" name="Column12571" queryTableFieldId="3814" dataDxfId="4031"/>
    <tableColumn id="12581" uniqueName="12581" name="Column12572" queryTableFieldId="3813" dataDxfId="4030"/>
    <tableColumn id="12582" uniqueName="12582" name="Column12573" queryTableFieldId="3812" dataDxfId="4029"/>
    <tableColumn id="12583" uniqueName="12583" name="Column12574" queryTableFieldId="3811" dataDxfId="4028"/>
    <tableColumn id="12584" uniqueName="12584" name="Column12575" queryTableFieldId="3810" dataDxfId="4027"/>
    <tableColumn id="12585" uniqueName="12585" name="Column12576" queryTableFieldId="3809" dataDxfId="4026"/>
    <tableColumn id="12586" uniqueName="12586" name="Column12577" queryTableFieldId="3808" dataDxfId="4025"/>
    <tableColumn id="12587" uniqueName="12587" name="Column12578" queryTableFieldId="3807" dataDxfId="4024"/>
    <tableColumn id="12588" uniqueName="12588" name="Column12579" queryTableFieldId="3806" dataDxfId="4023"/>
    <tableColumn id="12589" uniqueName="12589" name="Column12580" queryTableFieldId="3805" dataDxfId="4022"/>
    <tableColumn id="12590" uniqueName="12590" name="Column12581" queryTableFieldId="3804" dataDxfId="4021"/>
    <tableColumn id="12591" uniqueName="12591" name="Column12582" queryTableFieldId="3803" dataDxfId="4020"/>
    <tableColumn id="12592" uniqueName="12592" name="Column12583" queryTableFieldId="3802" dataDxfId="4019"/>
    <tableColumn id="12593" uniqueName="12593" name="Column12584" queryTableFieldId="3801" dataDxfId="4018"/>
    <tableColumn id="12594" uniqueName="12594" name="Column12585" queryTableFieldId="3800" dataDxfId="4017"/>
    <tableColumn id="12595" uniqueName="12595" name="Column12586" queryTableFieldId="3799" dataDxfId="4016"/>
    <tableColumn id="12596" uniqueName="12596" name="Column12587" queryTableFieldId="3798" dataDxfId="4015"/>
    <tableColumn id="12597" uniqueName="12597" name="Column12588" queryTableFieldId="3797" dataDxfId="4014"/>
    <tableColumn id="12598" uniqueName="12598" name="Column12589" queryTableFieldId="3796" dataDxfId="4013"/>
    <tableColumn id="12599" uniqueName="12599" name="Column12590" queryTableFieldId="3795" dataDxfId="4012"/>
    <tableColumn id="12600" uniqueName="12600" name="Column12591" queryTableFieldId="3794" dataDxfId="4011"/>
    <tableColumn id="12601" uniqueName="12601" name="Column12592" queryTableFieldId="3793" dataDxfId="4010"/>
    <tableColumn id="12602" uniqueName="12602" name="Column12593" queryTableFieldId="3792" dataDxfId="4009"/>
    <tableColumn id="12603" uniqueName="12603" name="Column12594" queryTableFieldId="3791" dataDxfId="4008"/>
    <tableColumn id="12604" uniqueName="12604" name="Column12595" queryTableFieldId="3790" dataDxfId="4007"/>
    <tableColumn id="12605" uniqueName="12605" name="Column12596" queryTableFieldId="3789" dataDxfId="4006"/>
    <tableColumn id="12606" uniqueName="12606" name="Column12597" queryTableFieldId="3788" dataDxfId="4005"/>
    <tableColumn id="12607" uniqueName="12607" name="Column12598" queryTableFieldId="3787" dataDxfId="4004"/>
    <tableColumn id="12608" uniqueName="12608" name="Column12599" queryTableFieldId="3786" dataDxfId="4003"/>
    <tableColumn id="12609" uniqueName="12609" name="Column12600" queryTableFieldId="3785" dataDxfId="4002"/>
    <tableColumn id="12610" uniqueName="12610" name="Column12601" queryTableFieldId="3784" dataDxfId="4001"/>
    <tableColumn id="12611" uniqueName="12611" name="Column12602" queryTableFieldId="3783" dataDxfId="4000"/>
    <tableColumn id="12612" uniqueName="12612" name="Column12603" queryTableFieldId="3782" dataDxfId="3999"/>
    <tableColumn id="12613" uniqueName="12613" name="Column12604" queryTableFieldId="3781" dataDxfId="3998"/>
    <tableColumn id="12614" uniqueName="12614" name="Column12605" queryTableFieldId="3780" dataDxfId="3997"/>
    <tableColumn id="12615" uniqueName="12615" name="Column12606" queryTableFieldId="3779" dataDxfId="3996"/>
    <tableColumn id="12616" uniqueName="12616" name="Column12607" queryTableFieldId="3778" dataDxfId="3995"/>
    <tableColumn id="12617" uniqueName="12617" name="Column12608" queryTableFieldId="3777" dataDxfId="3994"/>
    <tableColumn id="12618" uniqueName="12618" name="Column12609" queryTableFieldId="3776" dataDxfId="3993"/>
    <tableColumn id="12619" uniqueName="12619" name="Column12610" queryTableFieldId="3775" dataDxfId="3992"/>
    <tableColumn id="12620" uniqueName="12620" name="Column12611" queryTableFieldId="3774" dataDxfId="3991"/>
    <tableColumn id="12621" uniqueName="12621" name="Column12612" queryTableFieldId="3773" dataDxfId="3990"/>
    <tableColumn id="12622" uniqueName="12622" name="Column12613" queryTableFieldId="3772" dataDxfId="3989"/>
    <tableColumn id="12623" uniqueName="12623" name="Column12614" queryTableFieldId="3771" dataDxfId="3988"/>
    <tableColumn id="12624" uniqueName="12624" name="Column12615" queryTableFieldId="3770" dataDxfId="3987"/>
    <tableColumn id="12625" uniqueName="12625" name="Column12616" queryTableFieldId="3769" dataDxfId="3986"/>
    <tableColumn id="12626" uniqueName="12626" name="Column12617" queryTableFieldId="3768" dataDxfId="3985"/>
    <tableColumn id="12627" uniqueName="12627" name="Column12618" queryTableFieldId="3767" dataDxfId="3984"/>
    <tableColumn id="12628" uniqueName="12628" name="Column12619" queryTableFieldId="3766" dataDxfId="3983"/>
    <tableColumn id="12629" uniqueName="12629" name="Column12620" queryTableFieldId="3765" dataDxfId="3982"/>
    <tableColumn id="12630" uniqueName="12630" name="Column12621" queryTableFieldId="3764" dataDxfId="3981"/>
    <tableColumn id="12631" uniqueName="12631" name="Column12622" queryTableFieldId="3763" dataDxfId="3980"/>
    <tableColumn id="12632" uniqueName="12632" name="Column12623" queryTableFieldId="3762" dataDxfId="3979"/>
    <tableColumn id="12633" uniqueName="12633" name="Column12624" queryTableFieldId="3761" dataDxfId="3978"/>
    <tableColumn id="12634" uniqueName="12634" name="Column12625" queryTableFieldId="3760" dataDxfId="3977"/>
    <tableColumn id="12635" uniqueName="12635" name="Column12626" queryTableFieldId="3759" dataDxfId="3976"/>
    <tableColumn id="12636" uniqueName="12636" name="Column12627" queryTableFieldId="3758" dataDxfId="3975"/>
    <tableColumn id="12637" uniqueName="12637" name="Column12628" queryTableFieldId="3757" dataDxfId="3974"/>
    <tableColumn id="12638" uniqueName="12638" name="Column12629" queryTableFieldId="3756" dataDxfId="3973"/>
    <tableColumn id="12639" uniqueName="12639" name="Column12630" queryTableFieldId="3755" dataDxfId="3972"/>
    <tableColumn id="12640" uniqueName="12640" name="Column12631" queryTableFieldId="3754" dataDxfId="3971"/>
    <tableColumn id="12641" uniqueName="12641" name="Column12632" queryTableFieldId="3753" dataDxfId="3970"/>
    <tableColumn id="12642" uniqueName="12642" name="Column12633" queryTableFieldId="3752" dataDxfId="3969"/>
    <tableColumn id="12643" uniqueName="12643" name="Column12634" queryTableFieldId="3751" dataDxfId="3968"/>
    <tableColumn id="12644" uniqueName="12644" name="Column12635" queryTableFieldId="3750" dataDxfId="3967"/>
    <tableColumn id="12645" uniqueName="12645" name="Column12636" queryTableFieldId="3749" dataDxfId="3966"/>
    <tableColumn id="12646" uniqueName="12646" name="Column12637" queryTableFieldId="3748" dataDxfId="3965"/>
    <tableColumn id="12647" uniqueName="12647" name="Column12638" queryTableFieldId="3747" dataDxfId="3964"/>
    <tableColumn id="12648" uniqueName="12648" name="Column12639" queryTableFieldId="3746" dataDxfId="3963"/>
    <tableColumn id="12649" uniqueName="12649" name="Column12640" queryTableFieldId="3745" dataDxfId="3962"/>
    <tableColumn id="12650" uniqueName="12650" name="Column12641" queryTableFieldId="3744" dataDxfId="3961"/>
    <tableColumn id="12651" uniqueName="12651" name="Column12642" queryTableFieldId="3743" dataDxfId="3960"/>
    <tableColumn id="12652" uniqueName="12652" name="Column12643" queryTableFieldId="3742" dataDxfId="3959"/>
    <tableColumn id="12653" uniqueName="12653" name="Column12644" queryTableFieldId="3741" dataDxfId="3958"/>
    <tableColumn id="12654" uniqueName="12654" name="Column12645" queryTableFieldId="3740" dataDxfId="3957"/>
    <tableColumn id="12655" uniqueName="12655" name="Column12646" queryTableFieldId="3739" dataDxfId="3956"/>
    <tableColumn id="12656" uniqueName="12656" name="Column12647" queryTableFieldId="3738" dataDxfId="3955"/>
    <tableColumn id="12657" uniqueName="12657" name="Column12648" queryTableFieldId="3737" dataDxfId="3954"/>
    <tableColumn id="12658" uniqueName="12658" name="Column12649" queryTableFieldId="3736" dataDxfId="3953"/>
    <tableColumn id="12659" uniqueName="12659" name="Column12650" queryTableFieldId="3735" dataDxfId="3952"/>
    <tableColumn id="12660" uniqueName="12660" name="Column12651" queryTableFieldId="3734" dataDxfId="3951"/>
    <tableColumn id="12661" uniqueName="12661" name="Column12652" queryTableFieldId="3733" dataDxfId="3950"/>
    <tableColumn id="12662" uniqueName="12662" name="Column12653" queryTableFieldId="3732" dataDxfId="3949"/>
    <tableColumn id="12663" uniqueName="12663" name="Column12654" queryTableFieldId="3731" dataDxfId="3948"/>
    <tableColumn id="12664" uniqueName="12664" name="Column12655" queryTableFieldId="3730" dataDxfId="3947"/>
    <tableColumn id="12665" uniqueName="12665" name="Column12656" queryTableFieldId="3729" dataDxfId="3946"/>
    <tableColumn id="12666" uniqueName="12666" name="Column12657" queryTableFieldId="3728" dataDxfId="3945"/>
    <tableColumn id="12667" uniqueName="12667" name="Column12658" queryTableFieldId="3727" dataDxfId="3944"/>
    <tableColumn id="12668" uniqueName="12668" name="Column12659" queryTableFieldId="3726" dataDxfId="3943"/>
    <tableColumn id="12669" uniqueName="12669" name="Column12660" queryTableFieldId="3725" dataDxfId="3942"/>
    <tableColumn id="12670" uniqueName="12670" name="Column12661" queryTableFieldId="3724" dataDxfId="3941"/>
    <tableColumn id="12671" uniqueName="12671" name="Column12662" queryTableFieldId="3723" dataDxfId="3940"/>
    <tableColumn id="12672" uniqueName="12672" name="Column12663" queryTableFieldId="3722" dataDxfId="3939"/>
    <tableColumn id="12673" uniqueName="12673" name="Column12664" queryTableFieldId="3721" dataDxfId="3938"/>
    <tableColumn id="12674" uniqueName="12674" name="Column12665" queryTableFieldId="3720" dataDxfId="3937"/>
    <tableColumn id="12675" uniqueName="12675" name="Column12666" queryTableFieldId="3719" dataDxfId="3936"/>
    <tableColumn id="12676" uniqueName="12676" name="Column12667" queryTableFieldId="3718" dataDxfId="3935"/>
    <tableColumn id="12677" uniqueName="12677" name="Column12668" queryTableFieldId="3717" dataDxfId="3934"/>
    <tableColumn id="12678" uniqueName="12678" name="Column12669" queryTableFieldId="3716" dataDxfId="3933"/>
    <tableColumn id="12679" uniqueName="12679" name="Column12670" queryTableFieldId="3715" dataDxfId="3932"/>
    <tableColumn id="12680" uniqueName="12680" name="Column12671" queryTableFieldId="3714" dataDxfId="3931"/>
    <tableColumn id="12681" uniqueName="12681" name="Column12672" queryTableFieldId="3713" dataDxfId="3930"/>
    <tableColumn id="12682" uniqueName="12682" name="Column12673" queryTableFieldId="3712" dataDxfId="3929"/>
    <tableColumn id="12683" uniqueName="12683" name="Column12674" queryTableFieldId="3711" dataDxfId="3928"/>
    <tableColumn id="12684" uniqueName="12684" name="Column12675" queryTableFieldId="3710" dataDxfId="3927"/>
    <tableColumn id="12685" uniqueName="12685" name="Column12676" queryTableFieldId="3709" dataDxfId="3926"/>
    <tableColumn id="12686" uniqueName="12686" name="Column12677" queryTableFieldId="3708" dataDxfId="3925"/>
    <tableColumn id="12687" uniqueName="12687" name="Column12678" queryTableFieldId="3707" dataDxfId="3924"/>
    <tableColumn id="12688" uniqueName="12688" name="Column12679" queryTableFieldId="3706" dataDxfId="3923"/>
    <tableColumn id="12689" uniqueName="12689" name="Column12680" queryTableFieldId="3705" dataDxfId="3922"/>
    <tableColumn id="12690" uniqueName="12690" name="Column12681" queryTableFieldId="3704" dataDxfId="3921"/>
    <tableColumn id="12691" uniqueName="12691" name="Column12682" queryTableFieldId="3703" dataDxfId="3920"/>
    <tableColumn id="12692" uniqueName="12692" name="Column12683" queryTableFieldId="3702" dataDxfId="3919"/>
    <tableColumn id="12693" uniqueName="12693" name="Column12684" queryTableFieldId="3701" dataDxfId="3918"/>
    <tableColumn id="12694" uniqueName="12694" name="Column12685" queryTableFieldId="3700" dataDxfId="3917"/>
    <tableColumn id="12695" uniqueName="12695" name="Column12686" queryTableFieldId="3699" dataDxfId="3916"/>
    <tableColumn id="12696" uniqueName="12696" name="Column12687" queryTableFieldId="3698" dataDxfId="3915"/>
    <tableColumn id="12697" uniqueName="12697" name="Column12688" queryTableFieldId="3697" dataDxfId="3914"/>
    <tableColumn id="12698" uniqueName="12698" name="Column12689" queryTableFieldId="3696" dataDxfId="3913"/>
    <tableColumn id="12699" uniqueName="12699" name="Column12690" queryTableFieldId="3695" dataDxfId="3912"/>
    <tableColumn id="12700" uniqueName="12700" name="Column12691" queryTableFieldId="3694" dataDxfId="3911"/>
    <tableColumn id="12701" uniqueName="12701" name="Column12692" queryTableFieldId="3693" dataDxfId="3910"/>
    <tableColumn id="12702" uniqueName="12702" name="Column12693" queryTableFieldId="3692" dataDxfId="3909"/>
    <tableColumn id="12703" uniqueName="12703" name="Column12694" queryTableFieldId="3691" dataDxfId="3908"/>
    <tableColumn id="12704" uniqueName="12704" name="Column12695" queryTableFieldId="3690" dataDxfId="3907"/>
    <tableColumn id="12705" uniqueName="12705" name="Column12696" queryTableFieldId="3689" dataDxfId="3906"/>
    <tableColumn id="12706" uniqueName="12706" name="Column12697" queryTableFieldId="3688" dataDxfId="3905"/>
    <tableColumn id="12707" uniqueName="12707" name="Column12698" queryTableFieldId="3687" dataDxfId="3904"/>
    <tableColumn id="12708" uniqueName="12708" name="Column12699" queryTableFieldId="3686" dataDxfId="3903"/>
    <tableColumn id="12709" uniqueName="12709" name="Column12700" queryTableFieldId="3685" dataDxfId="3902"/>
    <tableColumn id="12710" uniqueName="12710" name="Column12701" queryTableFieldId="3684" dataDxfId="3901"/>
    <tableColumn id="12711" uniqueName="12711" name="Column12702" queryTableFieldId="3683" dataDxfId="3900"/>
    <tableColumn id="12712" uniqueName="12712" name="Column12703" queryTableFieldId="3682" dataDxfId="3899"/>
    <tableColumn id="12713" uniqueName="12713" name="Column12704" queryTableFieldId="3681" dataDxfId="3898"/>
    <tableColumn id="12714" uniqueName="12714" name="Column12705" queryTableFieldId="3680" dataDxfId="3897"/>
    <tableColumn id="12715" uniqueName="12715" name="Column12706" queryTableFieldId="3679" dataDxfId="3896"/>
    <tableColumn id="12716" uniqueName="12716" name="Column12707" queryTableFieldId="3678" dataDxfId="3895"/>
    <tableColumn id="12717" uniqueName="12717" name="Column12708" queryTableFieldId="3677" dataDxfId="3894"/>
    <tableColumn id="12718" uniqueName="12718" name="Column12709" queryTableFieldId="3676" dataDxfId="3893"/>
    <tableColumn id="12719" uniqueName="12719" name="Column12710" queryTableFieldId="3675" dataDxfId="3892"/>
    <tableColumn id="12720" uniqueName="12720" name="Column12711" queryTableFieldId="3674" dataDxfId="3891"/>
    <tableColumn id="12721" uniqueName="12721" name="Column12712" queryTableFieldId="3673" dataDxfId="3890"/>
    <tableColumn id="12722" uniqueName="12722" name="Column12713" queryTableFieldId="3672" dataDxfId="3889"/>
    <tableColumn id="12723" uniqueName="12723" name="Column12714" queryTableFieldId="3671" dataDxfId="3888"/>
    <tableColumn id="12724" uniqueName="12724" name="Column12715" queryTableFieldId="3670" dataDxfId="3887"/>
    <tableColumn id="12725" uniqueName="12725" name="Column12716" queryTableFieldId="3669" dataDxfId="3886"/>
    <tableColumn id="12726" uniqueName="12726" name="Column12717" queryTableFieldId="3668" dataDxfId="3885"/>
    <tableColumn id="12727" uniqueName="12727" name="Column12718" queryTableFieldId="3667" dataDxfId="3884"/>
    <tableColumn id="12728" uniqueName="12728" name="Column12719" queryTableFieldId="3666" dataDxfId="3883"/>
    <tableColumn id="12729" uniqueName="12729" name="Column12720" queryTableFieldId="3665" dataDxfId="3882"/>
    <tableColumn id="12730" uniqueName="12730" name="Column12721" queryTableFieldId="3664" dataDxfId="3881"/>
    <tableColumn id="12731" uniqueName="12731" name="Column12722" queryTableFieldId="3663" dataDxfId="3880"/>
    <tableColumn id="12732" uniqueName="12732" name="Column12723" queryTableFieldId="3662" dataDxfId="3879"/>
    <tableColumn id="12733" uniqueName="12733" name="Column12724" queryTableFieldId="3661" dataDxfId="3878"/>
    <tableColumn id="12734" uniqueName="12734" name="Column12725" queryTableFieldId="3660" dataDxfId="3877"/>
    <tableColumn id="12735" uniqueName="12735" name="Column12726" queryTableFieldId="3659" dataDxfId="3876"/>
    <tableColumn id="12736" uniqueName="12736" name="Column12727" queryTableFieldId="3658" dataDxfId="3875"/>
    <tableColumn id="12737" uniqueName="12737" name="Column12728" queryTableFieldId="3657" dataDxfId="3874"/>
    <tableColumn id="12738" uniqueName="12738" name="Column12729" queryTableFieldId="3656" dataDxfId="3873"/>
    <tableColumn id="12739" uniqueName="12739" name="Column12730" queryTableFieldId="3655" dataDxfId="3872"/>
    <tableColumn id="12740" uniqueName="12740" name="Column12731" queryTableFieldId="3654" dataDxfId="3871"/>
    <tableColumn id="12741" uniqueName="12741" name="Column12732" queryTableFieldId="3653" dataDxfId="3870"/>
    <tableColumn id="12742" uniqueName="12742" name="Column12733" queryTableFieldId="3652" dataDxfId="3869"/>
    <tableColumn id="12743" uniqueName="12743" name="Column12734" queryTableFieldId="3651" dataDxfId="3868"/>
    <tableColumn id="12744" uniqueName="12744" name="Column12735" queryTableFieldId="3650" dataDxfId="3867"/>
    <tableColumn id="12745" uniqueName="12745" name="Column12736" queryTableFieldId="3649" dataDxfId="3866"/>
    <tableColumn id="12746" uniqueName="12746" name="Column12737" queryTableFieldId="3648" dataDxfId="3865"/>
    <tableColumn id="12747" uniqueName="12747" name="Column12738" queryTableFieldId="3647" dataDxfId="3864"/>
    <tableColumn id="12748" uniqueName="12748" name="Column12739" queryTableFieldId="3646" dataDxfId="3863"/>
    <tableColumn id="12749" uniqueName="12749" name="Column12740" queryTableFieldId="3645" dataDxfId="3862"/>
    <tableColumn id="12750" uniqueName="12750" name="Column12741" queryTableFieldId="3644" dataDxfId="3861"/>
    <tableColumn id="12751" uniqueName="12751" name="Column12742" queryTableFieldId="3643" dataDxfId="3860"/>
    <tableColumn id="12752" uniqueName="12752" name="Column12743" queryTableFieldId="3642" dataDxfId="3859"/>
    <tableColumn id="12753" uniqueName="12753" name="Column12744" queryTableFieldId="3641" dataDxfId="3858"/>
    <tableColumn id="12754" uniqueName="12754" name="Column12745" queryTableFieldId="3640" dataDxfId="3857"/>
    <tableColumn id="12755" uniqueName="12755" name="Column12746" queryTableFieldId="3639" dataDxfId="3856"/>
    <tableColumn id="12756" uniqueName="12756" name="Column12747" queryTableFieldId="3638" dataDxfId="3855"/>
    <tableColumn id="12757" uniqueName="12757" name="Column12748" queryTableFieldId="3637" dataDxfId="3854"/>
    <tableColumn id="12758" uniqueName="12758" name="Column12749" queryTableFieldId="3636" dataDxfId="3853"/>
    <tableColumn id="12759" uniqueName="12759" name="Column12750" queryTableFieldId="3635" dataDxfId="3852"/>
    <tableColumn id="12760" uniqueName="12760" name="Column12751" queryTableFieldId="3634" dataDxfId="3851"/>
    <tableColumn id="12761" uniqueName="12761" name="Column12752" queryTableFieldId="3633" dataDxfId="3850"/>
    <tableColumn id="12762" uniqueName="12762" name="Column12753" queryTableFieldId="3632" dataDxfId="3849"/>
    <tableColumn id="12763" uniqueName="12763" name="Column12754" queryTableFieldId="3631" dataDxfId="3848"/>
    <tableColumn id="12764" uniqueName="12764" name="Column12755" queryTableFieldId="3630" dataDxfId="3847"/>
    <tableColumn id="12765" uniqueName="12765" name="Column12756" queryTableFieldId="3629" dataDxfId="3846"/>
    <tableColumn id="12766" uniqueName="12766" name="Column12757" queryTableFieldId="3628" dataDxfId="3845"/>
    <tableColumn id="12767" uniqueName="12767" name="Column12758" queryTableFieldId="3627" dataDxfId="3844"/>
    <tableColumn id="12768" uniqueName="12768" name="Column12759" queryTableFieldId="3626" dataDxfId="3843"/>
    <tableColumn id="12769" uniqueName="12769" name="Column12760" queryTableFieldId="3625" dataDxfId="3842"/>
    <tableColumn id="12770" uniqueName="12770" name="Column12761" queryTableFieldId="3624" dataDxfId="3841"/>
    <tableColumn id="12771" uniqueName="12771" name="Column12762" queryTableFieldId="3623" dataDxfId="3840"/>
    <tableColumn id="12772" uniqueName="12772" name="Column12763" queryTableFieldId="3622" dataDxfId="3839"/>
    <tableColumn id="12773" uniqueName="12773" name="Column12764" queryTableFieldId="3621" dataDxfId="3838"/>
    <tableColumn id="12774" uniqueName="12774" name="Column12765" queryTableFieldId="3620" dataDxfId="3837"/>
    <tableColumn id="12775" uniqueName="12775" name="Column12766" queryTableFieldId="3619" dataDxfId="3836"/>
    <tableColumn id="12776" uniqueName="12776" name="Column12767" queryTableFieldId="3618" dataDxfId="3835"/>
    <tableColumn id="12777" uniqueName="12777" name="Column12768" queryTableFieldId="3617" dataDxfId="3834"/>
    <tableColumn id="12778" uniqueName="12778" name="Column12769" queryTableFieldId="3616" dataDxfId="3833"/>
    <tableColumn id="12779" uniqueName="12779" name="Column12770" queryTableFieldId="3615" dataDxfId="3832"/>
    <tableColumn id="12780" uniqueName="12780" name="Column12771" queryTableFieldId="3614" dataDxfId="3831"/>
    <tableColumn id="12781" uniqueName="12781" name="Column12772" queryTableFieldId="3613" dataDxfId="3830"/>
    <tableColumn id="12782" uniqueName="12782" name="Column12773" queryTableFieldId="3612" dataDxfId="3829"/>
    <tableColumn id="12783" uniqueName="12783" name="Column12774" queryTableFieldId="3611" dataDxfId="3828"/>
    <tableColumn id="12784" uniqueName="12784" name="Column12775" queryTableFieldId="3610" dataDxfId="3827"/>
    <tableColumn id="12785" uniqueName="12785" name="Column12776" queryTableFieldId="3609" dataDxfId="3826"/>
    <tableColumn id="12786" uniqueName="12786" name="Column12777" queryTableFieldId="3608" dataDxfId="3825"/>
    <tableColumn id="12787" uniqueName="12787" name="Column12778" queryTableFieldId="3607" dataDxfId="3824"/>
    <tableColumn id="12788" uniqueName="12788" name="Column12779" queryTableFieldId="3606" dataDxfId="3823"/>
    <tableColumn id="12789" uniqueName="12789" name="Column12780" queryTableFieldId="3605" dataDxfId="3822"/>
    <tableColumn id="12790" uniqueName="12790" name="Column12781" queryTableFieldId="3604" dataDxfId="3821"/>
    <tableColumn id="12791" uniqueName="12791" name="Column12782" queryTableFieldId="3603" dataDxfId="3820"/>
    <tableColumn id="12792" uniqueName="12792" name="Column12783" queryTableFieldId="3602" dataDxfId="3819"/>
    <tableColumn id="12793" uniqueName="12793" name="Column12784" queryTableFieldId="3601" dataDxfId="3818"/>
    <tableColumn id="12794" uniqueName="12794" name="Column12785" queryTableFieldId="3600" dataDxfId="3817"/>
    <tableColumn id="12795" uniqueName="12795" name="Column12786" queryTableFieldId="3599" dataDxfId="3816"/>
    <tableColumn id="12796" uniqueName="12796" name="Column12787" queryTableFieldId="3598" dataDxfId="3815"/>
    <tableColumn id="12797" uniqueName="12797" name="Column12788" queryTableFieldId="3597" dataDxfId="3814"/>
    <tableColumn id="12798" uniqueName="12798" name="Column12789" queryTableFieldId="3596" dataDxfId="3813"/>
    <tableColumn id="12799" uniqueName="12799" name="Column12790" queryTableFieldId="3595" dataDxfId="3812"/>
    <tableColumn id="12800" uniqueName="12800" name="Column12791" queryTableFieldId="3594" dataDxfId="3811"/>
    <tableColumn id="12801" uniqueName="12801" name="Column12792" queryTableFieldId="3593" dataDxfId="3810"/>
    <tableColumn id="12802" uniqueName="12802" name="Column12793" queryTableFieldId="3592" dataDxfId="3809"/>
    <tableColumn id="12803" uniqueName="12803" name="Column12794" queryTableFieldId="3591" dataDxfId="3808"/>
    <tableColumn id="12804" uniqueName="12804" name="Column12795" queryTableFieldId="3590" dataDxfId="3807"/>
    <tableColumn id="12805" uniqueName="12805" name="Column12796" queryTableFieldId="3589" dataDxfId="3806"/>
    <tableColumn id="12806" uniqueName="12806" name="Column12797" queryTableFieldId="3588" dataDxfId="3805"/>
    <tableColumn id="12807" uniqueName="12807" name="Column12798" queryTableFieldId="3587" dataDxfId="3804"/>
    <tableColumn id="12808" uniqueName="12808" name="Column12799" queryTableFieldId="3586" dataDxfId="3803"/>
    <tableColumn id="12809" uniqueName="12809" name="Column12800" queryTableFieldId="3585" dataDxfId="3802"/>
    <tableColumn id="12810" uniqueName="12810" name="Column12801" queryTableFieldId="3584" dataDxfId="3801"/>
    <tableColumn id="12811" uniqueName="12811" name="Column12802" queryTableFieldId="3583" dataDxfId="3800"/>
    <tableColumn id="12812" uniqueName="12812" name="Column12803" queryTableFieldId="3582" dataDxfId="3799"/>
    <tableColumn id="12813" uniqueName="12813" name="Column12804" queryTableFieldId="3581" dataDxfId="3798"/>
    <tableColumn id="12814" uniqueName="12814" name="Column12805" queryTableFieldId="3580" dataDxfId="3797"/>
    <tableColumn id="12815" uniqueName="12815" name="Column12806" queryTableFieldId="3579" dataDxfId="3796"/>
    <tableColumn id="12816" uniqueName="12816" name="Column12807" queryTableFieldId="3578" dataDxfId="3795"/>
    <tableColumn id="12817" uniqueName="12817" name="Column12808" queryTableFieldId="3577" dataDxfId="3794"/>
    <tableColumn id="12818" uniqueName="12818" name="Column12809" queryTableFieldId="3576" dataDxfId="3793"/>
    <tableColumn id="12819" uniqueName="12819" name="Column12810" queryTableFieldId="3575" dataDxfId="3792"/>
    <tableColumn id="12820" uniqueName="12820" name="Column12811" queryTableFieldId="3574" dataDxfId="3791"/>
    <tableColumn id="12821" uniqueName="12821" name="Column12812" queryTableFieldId="3573" dataDxfId="3790"/>
    <tableColumn id="12822" uniqueName="12822" name="Column12813" queryTableFieldId="3572" dataDxfId="3789"/>
    <tableColumn id="12823" uniqueName="12823" name="Column12814" queryTableFieldId="3571" dataDxfId="3788"/>
    <tableColumn id="12824" uniqueName="12824" name="Column12815" queryTableFieldId="3570" dataDxfId="3787"/>
    <tableColumn id="12825" uniqueName="12825" name="Column12816" queryTableFieldId="3569" dataDxfId="3786"/>
    <tableColumn id="12826" uniqueName="12826" name="Column12817" queryTableFieldId="3568" dataDxfId="3785"/>
    <tableColumn id="12827" uniqueName="12827" name="Column12818" queryTableFieldId="3567" dataDxfId="3784"/>
    <tableColumn id="12828" uniqueName="12828" name="Column12819" queryTableFieldId="3566" dataDxfId="3783"/>
    <tableColumn id="12829" uniqueName="12829" name="Column12820" queryTableFieldId="3565" dataDxfId="3782"/>
    <tableColumn id="12830" uniqueName="12830" name="Column12821" queryTableFieldId="3564" dataDxfId="3781"/>
    <tableColumn id="12831" uniqueName="12831" name="Column12822" queryTableFieldId="3563" dataDxfId="3780"/>
    <tableColumn id="12832" uniqueName="12832" name="Column12823" queryTableFieldId="3562" dataDxfId="3779"/>
    <tableColumn id="12833" uniqueName="12833" name="Column12824" queryTableFieldId="3561" dataDxfId="3778"/>
    <tableColumn id="12834" uniqueName="12834" name="Column12825" queryTableFieldId="3560" dataDxfId="3777"/>
    <tableColumn id="12835" uniqueName="12835" name="Column12826" queryTableFieldId="3559" dataDxfId="3776"/>
    <tableColumn id="12836" uniqueName="12836" name="Column12827" queryTableFieldId="3558" dataDxfId="3775"/>
    <tableColumn id="12837" uniqueName="12837" name="Column12828" queryTableFieldId="3557" dataDxfId="3774"/>
    <tableColumn id="12838" uniqueName="12838" name="Column12829" queryTableFieldId="3556" dataDxfId="3773"/>
    <tableColumn id="12839" uniqueName="12839" name="Column12830" queryTableFieldId="3555" dataDxfId="3772"/>
    <tableColumn id="12840" uniqueName="12840" name="Column12831" queryTableFieldId="3554" dataDxfId="3771"/>
    <tableColumn id="12841" uniqueName="12841" name="Column12832" queryTableFieldId="3553" dataDxfId="3770"/>
    <tableColumn id="12842" uniqueName="12842" name="Column12833" queryTableFieldId="3552" dataDxfId="3769"/>
    <tableColumn id="12843" uniqueName="12843" name="Column12834" queryTableFieldId="3551" dataDxfId="3768"/>
    <tableColumn id="12844" uniqueName="12844" name="Column12835" queryTableFieldId="3550" dataDxfId="3767"/>
    <tableColumn id="12845" uniqueName="12845" name="Column12836" queryTableFieldId="3549" dataDxfId="3766"/>
    <tableColumn id="12846" uniqueName="12846" name="Column12837" queryTableFieldId="3548" dataDxfId="3765"/>
    <tableColumn id="12847" uniqueName="12847" name="Column12838" queryTableFieldId="3547" dataDxfId="3764"/>
    <tableColumn id="12848" uniqueName="12848" name="Column12839" queryTableFieldId="3546" dataDxfId="3763"/>
    <tableColumn id="12849" uniqueName="12849" name="Column12840" queryTableFieldId="3545" dataDxfId="3762"/>
    <tableColumn id="12850" uniqueName="12850" name="Column12841" queryTableFieldId="3544" dataDxfId="3761"/>
    <tableColumn id="12851" uniqueName="12851" name="Column12842" queryTableFieldId="3543" dataDxfId="3760"/>
    <tableColumn id="12852" uniqueName="12852" name="Column12843" queryTableFieldId="3542" dataDxfId="3759"/>
    <tableColumn id="12853" uniqueName="12853" name="Column12844" queryTableFieldId="3541" dataDxfId="3758"/>
    <tableColumn id="12854" uniqueName="12854" name="Column12845" queryTableFieldId="3540" dataDxfId="3757"/>
    <tableColumn id="12855" uniqueName="12855" name="Column12846" queryTableFieldId="3539" dataDxfId="3756"/>
    <tableColumn id="12856" uniqueName="12856" name="Column12847" queryTableFieldId="3538" dataDxfId="3755"/>
    <tableColumn id="12857" uniqueName="12857" name="Column12848" queryTableFieldId="3537" dataDxfId="3754"/>
    <tableColumn id="12858" uniqueName="12858" name="Column12849" queryTableFieldId="3536" dataDxfId="3753"/>
    <tableColumn id="12859" uniqueName="12859" name="Column12850" queryTableFieldId="3535" dataDxfId="3752"/>
    <tableColumn id="12860" uniqueName="12860" name="Column12851" queryTableFieldId="3534" dataDxfId="3751"/>
    <tableColumn id="12861" uniqueName="12861" name="Column12852" queryTableFieldId="3533" dataDxfId="3750"/>
    <tableColumn id="12862" uniqueName="12862" name="Column12853" queryTableFieldId="3532" dataDxfId="3749"/>
    <tableColumn id="12863" uniqueName="12863" name="Column12854" queryTableFieldId="3531" dataDxfId="3748"/>
    <tableColumn id="12864" uniqueName="12864" name="Column12855" queryTableFieldId="3530" dataDxfId="3747"/>
    <tableColumn id="12865" uniqueName="12865" name="Column12856" queryTableFieldId="3529" dataDxfId="3746"/>
    <tableColumn id="12866" uniqueName="12866" name="Column12857" queryTableFieldId="3528" dataDxfId="3745"/>
    <tableColumn id="12867" uniqueName="12867" name="Column12858" queryTableFieldId="3527" dataDxfId="3744"/>
    <tableColumn id="12868" uniqueName="12868" name="Column12859" queryTableFieldId="3526" dataDxfId="3743"/>
    <tableColumn id="12869" uniqueName="12869" name="Column12860" queryTableFieldId="3525" dataDxfId="3742"/>
    <tableColumn id="12870" uniqueName="12870" name="Column12861" queryTableFieldId="3524" dataDxfId="3741"/>
    <tableColumn id="12871" uniqueName="12871" name="Column12862" queryTableFieldId="3523" dataDxfId="3740"/>
    <tableColumn id="12872" uniqueName="12872" name="Column12863" queryTableFieldId="3522" dataDxfId="3739"/>
    <tableColumn id="12873" uniqueName="12873" name="Column12864" queryTableFieldId="3521" dataDxfId="3738"/>
    <tableColumn id="12874" uniqueName="12874" name="Column12865" queryTableFieldId="3520" dataDxfId="3737"/>
    <tableColumn id="12875" uniqueName="12875" name="Column12866" queryTableFieldId="3519" dataDxfId="3736"/>
    <tableColumn id="12876" uniqueName="12876" name="Column12867" queryTableFieldId="3518" dataDxfId="3735"/>
    <tableColumn id="12877" uniqueName="12877" name="Column12868" queryTableFieldId="3517" dataDxfId="3734"/>
    <tableColumn id="12878" uniqueName="12878" name="Column12869" queryTableFieldId="3516" dataDxfId="3733"/>
    <tableColumn id="12879" uniqueName="12879" name="Column12870" queryTableFieldId="3515" dataDxfId="3732"/>
    <tableColumn id="12880" uniqueName="12880" name="Column12871" queryTableFieldId="3514" dataDxfId="3731"/>
    <tableColumn id="12881" uniqueName="12881" name="Column12872" queryTableFieldId="3513" dataDxfId="3730"/>
    <tableColumn id="12882" uniqueName="12882" name="Column12873" queryTableFieldId="3512" dataDxfId="3729"/>
    <tableColumn id="12883" uniqueName="12883" name="Column12874" queryTableFieldId="3511" dataDxfId="3728"/>
    <tableColumn id="12884" uniqueName="12884" name="Column12875" queryTableFieldId="3510" dataDxfId="3727"/>
    <tableColumn id="12885" uniqueName="12885" name="Column12876" queryTableFieldId="3509" dataDxfId="3726"/>
    <tableColumn id="12886" uniqueName="12886" name="Column12877" queryTableFieldId="3508" dataDxfId="3725"/>
    <tableColumn id="12887" uniqueName="12887" name="Column12878" queryTableFieldId="3507" dataDxfId="3724"/>
    <tableColumn id="12888" uniqueName="12888" name="Column12879" queryTableFieldId="3506" dataDxfId="3723"/>
    <tableColumn id="12889" uniqueName="12889" name="Column12880" queryTableFieldId="3505" dataDxfId="3722"/>
    <tableColumn id="12890" uniqueName="12890" name="Column12881" queryTableFieldId="3504" dataDxfId="3721"/>
    <tableColumn id="12891" uniqueName="12891" name="Column12882" queryTableFieldId="3503" dataDxfId="3720"/>
    <tableColumn id="12892" uniqueName="12892" name="Column12883" queryTableFieldId="3502" dataDxfId="3719"/>
    <tableColumn id="12893" uniqueName="12893" name="Column12884" queryTableFieldId="3501" dataDxfId="3718"/>
    <tableColumn id="12894" uniqueName="12894" name="Column12885" queryTableFieldId="3500" dataDxfId="3717"/>
    <tableColumn id="12895" uniqueName="12895" name="Column12886" queryTableFieldId="3499" dataDxfId="3716"/>
    <tableColumn id="12896" uniqueName="12896" name="Column12887" queryTableFieldId="3498" dataDxfId="3715"/>
    <tableColumn id="12897" uniqueName="12897" name="Column12888" queryTableFieldId="3497" dataDxfId="3714"/>
    <tableColumn id="12898" uniqueName="12898" name="Column12889" queryTableFieldId="3496" dataDxfId="3713"/>
    <tableColumn id="12899" uniqueName="12899" name="Column12890" queryTableFieldId="3495" dataDxfId="3712"/>
    <tableColumn id="12900" uniqueName="12900" name="Column12891" queryTableFieldId="3494" dataDxfId="3711"/>
    <tableColumn id="12901" uniqueName="12901" name="Column12892" queryTableFieldId="3493" dataDxfId="3710"/>
    <tableColumn id="12902" uniqueName="12902" name="Column12893" queryTableFieldId="3492" dataDxfId="3709"/>
    <tableColumn id="12903" uniqueName="12903" name="Column12894" queryTableFieldId="3491" dataDxfId="3708"/>
    <tableColumn id="12904" uniqueName="12904" name="Column12895" queryTableFieldId="3490" dataDxfId="3707"/>
    <tableColumn id="12905" uniqueName="12905" name="Column12896" queryTableFieldId="3489" dataDxfId="3706"/>
    <tableColumn id="12906" uniqueName="12906" name="Column12897" queryTableFieldId="3488" dataDxfId="3705"/>
    <tableColumn id="12907" uniqueName="12907" name="Column12898" queryTableFieldId="3487" dataDxfId="3704"/>
    <tableColumn id="12908" uniqueName="12908" name="Column12899" queryTableFieldId="3486" dataDxfId="3703"/>
    <tableColumn id="12909" uniqueName="12909" name="Column12900" queryTableFieldId="3485" dataDxfId="3702"/>
    <tableColumn id="12910" uniqueName="12910" name="Column12901" queryTableFieldId="3484" dataDxfId="3701"/>
    <tableColumn id="12911" uniqueName="12911" name="Column12902" queryTableFieldId="3483" dataDxfId="3700"/>
    <tableColumn id="12912" uniqueName="12912" name="Column12903" queryTableFieldId="3482" dataDxfId="3699"/>
    <tableColumn id="12913" uniqueName="12913" name="Column12904" queryTableFieldId="3481" dataDxfId="3698"/>
    <tableColumn id="12914" uniqueName="12914" name="Column12905" queryTableFieldId="3480" dataDxfId="3697"/>
    <tableColumn id="12915" uniqueName="12915" name="Column12906" queryTableFieldId="3479" dataDxfId="3696"/>
    <tableColumn id="12916" uniqueName="12916" name="Column12907" queryTableFieldId="3478" dataDxfId="3695"/>
    <tableColumn id="12917" uniqueName="12917" name="Column12908" queryTableFieldId="3477" dataDxfId="3694"/>
    <tableColumn id="12918" uniqueName="12918" name="Column12909" queryTableFieldId="3476" dataDxfId="3693"/>
    <tableColumn id="12919" uniqueName="12919" name="Column12910" queryTableFieldId="3475" dataDxfId="3692"/>
    <tableColumn id="12920" uniqueName="12920" name="Column12911" queryTableFieldId="3474" dataDxfId="3691"/>
    <tableColumn id="12921" uniqueName="12921" name="Column12912" queryTableFieldId="3473" dataDxfId="3690"/>
    <tableColumn id="12922" uniqueName="12922" name="Column12913" queryTableFieldId="3472" dataDxfId="3689"/>
    <tableColumn id="12923" uniqueName="12923" name="Column12914" queryTableFieldId="3471" dataDxfId="3688"/>
    <tableColumn id="12924" uniqueName="12924" name="Column12915" queryTableFieldId="3470" dataDxfId="3687"/>
    <tableColumn id="12925" uniqueName="12925" name="Column12916" queryTableFieldId="3469" dataDxfId="3686"/>
    <tableColumn id="12926" uniqueName="12926" name="Column12917" queryTableFieldId="3468" dataDxfId="3685"/>
    <tableColumn id="12927" uniqueName="12927" name="Column12918" queryTableFieldId="3467" dataDxfId="3684"/>
    <tableColumn id="12928" uniqueName="12928" name="Column12919" queryTableFieldId="3466" dataDxfId="3683"/>
    <tableColumn id="12929" uniqueName="12929" name="Column12920" queryTableFieldId="3465" dataDxfId="3682"/>
    <tableColumn id="12930" uniqueName="12930" name="Column12921" queryTableFieldId="3464" dataDxfId="3681"/>
    <tableColumn id="12931" uniqueName="12931" name="Column12922" queryTableFieldId="3463" dataDxfId="3680"/>
    <tableColumn id="12932" uniqueName="12932" name="Column12923" queryTableFieldId="3462" dataDxfId="3679"/>
    <tableColumn id="12933" uniqueName="12933" name="Column12924" queryTableFieldId="3461" dataDxfId="3678"/>
    <tableColumn id="12934" uniqueName="12934" name="Column12925" queryTableFieldId="3460" dataDxfId="3677"/>
    <tableColumn id="12935" uniqueName="12935" name="Column12926" queryTableFieldId="3459" dataDxfId="3676"/>
    <tableColumn id="12936" uniqueName="12936" name="Column12927" queryTableFieldId="3458" dataDxfId="3675"/>
    <tableColumn id="12937" uniqueName="12937" name="Column12928" queryTableFieldId="3457" dataDxfId="3674"/>
    <tableColumn id="12938" uniqueName="12938" name="Column12929" queryTableFieldId="3456" dataDxfId="3673"/>
    <tableColumn id="12939" uniqueName="12939" name="Column12930" queryTableFieldId="3455" dataDxfId="3672"/>
    <tableColumn id="12940" uniqueName="12940" name="Column12931" queryTableFieldId="3454" dataDxfId="3671"/>
    <tableColumn id="12941" uniqueName="12941" name="Column12932" queryTableFieldId="3453" dataDxfId="3670"/>
    <tableColumn id="12942" uniqueName="12942" name="Column12933" queryTableFieldId="3452" dataDxfId="3669"/>
    <tableColumn id="12943" uniqueName="12943" name="Column12934" queryTableFieldId="3451" dataDxfId="3668"/>
    <tableColumn id="12944" uniqueName="12944" name="Column12935" queryTableFieldId="3450" dataDxfId="3667"/>
    <tableColumn id="12945" uniqueName="12945" name="Column12936" queryTableFieldId="3449" dataDxfId="3666"/>
    <tableColumn id="12946" uniqueName="12946" name="Column12937" queryTableFieldId="3448" dataDxfId="3665"/>
    <tableColumn id="12947" uniqueName="12947" name="Column12938" queryTableFieldId="3447" dataDxfId="3664"/>
    <tableColumn id="12948" uniqueName="12948" name="Column12939" queryTableFieldId="3446" dataDxfId="3663"/>
    <tableColumn id="12949" uniqueName="12949" name="Column12940" queryTableFieldId="3445" dataDxfId="3662"/>
    <tableColumn id="12950" uniqueName="12950" name="Column12941" queryTableFieldId="3444" dataDxfId="3661"/>
    <tableColumn id="12951" uniqueName="12951" name="Column12942" queryTableFieldId="3443" dataDxfId="3660"/>
    <tableColumn id="12952" uniqueName="12952" name="Column12943" queryTableFieldId="3442" dataDxfId="3659"/>
    <tableColumn id="12953" uniqueName="12953" name="Column12944" queryTableFieldId="3441" dataDxfId="3658"/>
    <tableColumn id="12954" uniqueName="12954" name="Column12945" queryTableFieldId="3440" dataDxfId="3657"/>
    <tableColumn id="12955" uniqueName="12955" name="Column12946" queryTableFieldId="3439" dataDxfId="3656"/>
    <tableColumn id="12956" uniqueName="12956" name="Column12947" queryTableFieldId="3438" dataDxfId="3655"/>
    <tableColumn id="12957" uniqueName="12957" name="Column12948" queryTableFieldId="3437" dataDxfId="3654"/>
    <tableColumn id="12958" uniqueName="12958" name="Column12949" queryTableFieldId="3436" dataDxfId="3653"/>
    <tableColumn id="12959" uniqueName="12959" name="Column12950" queryTableFieldId="3435" dataDxfId="3652"/>
    <tableColumn id="12960" uniqueName="12960" name="Column12951" queryTableFieldId="3434" dataDxfId="3651"/>
    <tableColumn id="12961" uniqueName="12961" name="Column12952" queryTableFieldId="3433" dataDxfId="3650"/>
    <tableColumn id="12962" uniqueName="12962" name="Column12953" queryTableFieldId="3432" dataDxfId="3649"/>
    <tableColumn id="12963" uniqueName="12963" name="Column12954" queryTableFieldId="3431" dataDxfId="3648"/>
    <tableColumn id="12964" uniqueName="12964" name="Column12955" queryTableFieldId="3430" dataDxfId="3647"/>
    <tableColumn id="12965" uniqueName="12965" name="Column12956" queryTableFieldId="3429" dataDxfId="3646"/>
    <tableColumn id="12966" uniqueName="12966" name="Column12957" queryTableFieldId="3428" dataDxfId="3645"/>
    <tableColumn id="12967" uniqueName="12967" name="Column12958" queryTableFieldId="3427" dataDxfId="3644"/>
    <tableColumn id="12968" uniqueName="12968" name="Column12959" queryTableFieldId="3426" dataDxfId="3643"/>
    <tableColumn id="12969" uniqueName="12969" name="Column12960" queryTableFieldId="3425" dataDxfId="3642"/>
    <tableColumn id="12970" uniqueName="12970" name="Column12961" queryTableFieldId="3424" dataDxfId="3641"/>
    <tableColumn id="12971" uniqueName="12971" name="Column12962" queryTableFieldId="3423" dataDxfId="3640"/>
    <tableColumn id="12972" uniqueName="12972" name="Column12963" queryTableFieldId="3422" dataDxfId="3639"/>
    <tableColumn id="12973" uniqueName="12973" name="Column12964" queryTableFieldId="3421" dataDxfId="3638"/>
    <tableColumn id="12974" uniqueName="12974" name="Column12965" queryTableFieldId="3420" dataDxfId="3637"/>
    <tableColumn id="12975" uniqueName="12975" name="Column12966" queryTableFieldId="3419" dataDxfId="3636"/>
    <tableColumn id="12976" uniqueName="12976" name="Column12967" queryTableFieldId="3418" dataDxfId="3635"/>
    <tableColumn id="12977" uniqueName="12977" name="Column12968" queryTableFieldId="3417" dataDxfId="3634"/>
    <tableColumn id="12978" uniqueName="12978" name="Column12969" queryTableFieldId="3416" dataDxfId="3633"/>
    <tableColumn id="12979" uniqueName="12979" name="Column12970" queryTableFieldId="3415" dataDxfId="3632"/>
    <tableColumn id="12980" uniqueName="12980" name="Column12971" queryTableFieldId="3414" dataDxfId="3631"/>
    <tableColumn id="12981" uniqueName="12981" name="Column12972" queryTableFieldId="3413" dataDxfId="3630"/>
    <tableColumn id="12982" uniqueName="12982" name="Column12973" queryTableFieldId="3412" dataDxfId="3629"/>
    <tableColumn id="12983" uniqueName="12983" name="Column12974" queryTableFieldId="3411" dataDxfId="3628"/>
    <tableColumn id="12984" uniqueName="12984" name="Column12975" queryTableFieldId="3410" dataDxfId="3627"/>
    <tableColumn id="12985" uniqueName="12985" name="Column12976" queryTableFieldId="3409" dataDxfId="3626"/>
    <tableColumn id="12986" uniqueName="12986" name="Column12977" queryTableFieldId="3408" dataDxfId="3625"/>
    <tableColumn id="12987" uniqueName="12987" name="Column12978" queryTableFieldId="3407" dataDxfId="3624"/>
    <tableColumn id="12988" uniqueName="12988" name="Column12979" queryTableFieldId="3406" dataDxfId="3623"/>
    <tableColumn id="12989" uniqueName="12989" name="Column12980" queryTableFieldId="3405" dataDxfId="3622"/>
    <tableColumn id="12990" uniqueName="12990" name="Column12981" queryTableFieldId="3404" dataDxfId="3621"/>
    <tableColumn id="12991" uniqueName="12991" name="Column12982" queryTableFieldId="3403" dataDxfId="3620"/>
    <tableColumn id="12992" uniqueName="12992" name="Column12983" queryTableFieldId="3402" dataDxfId="3619"/>
    <tableColumn id="12993" uniqueName="12993" name="Column12984" queryTableFieldId="3401" dataDxfId="3618"/>
    <tableColumn id="12994" uniqueName="12994" name="Column12985" queryTableFieldId="3400" dataDxfId="3617"/>
    <tableColumn id="12995" uniqueName="12995" name="Column12986" queryTableFieldId="3399" dataDxfId="3616"/>
    <tableColumn id="12996" uniqueName="12996" name="Column12987" queryTableFieldId="3398" dataDxfId="3615"/>
    <tableColumn id="12997" uniqueName="12997" name="Column12988" queryTableFieldId="3397" dataDxfId="3614"/>
    <tableColumn id="12998" uniqueName="12998" name="Column12989" queryTableFieldId="3396" dataDxfId="3613"/>
    <tableColumn id="12999" uniqueName="12999" name="Column12990" queryTableFieldId="3395" dataDxfId="3612"/>
    <tableColumn id="13000" uniqueName="13000" name="Column12991" queryTableFieldId="3394" dataDxfId="3611"/>
    <tableColumn id="13001" uniqueName="13001" name="Column12992" queryTableFieldId="3393" dataDxfId="3610"/>
    <tableColumn id="13002" uniqueName="13002" name="Column12993" queryTableFieldId="3392" dataDxfId="3609"/>
    <tableColumn id="13003" uniqueName="13003" name="Column12994" queryTableFieldId="3391" dataDxfId="3608"/>
    <tableColumn id="13004" uniqueName="13004" name="Column12995" queryTableFieldId="3390" dataDxfId="3607"/>
    <tableColumn id="13005" uniqueName="13005" name="Column12996" queryTableFieldId="3389" dataDxfId="3606"/>
    <tableColumn id="13006" uniqueName="13006" name="Column12997" queryTableFieldId="3388" dataDxfId="3605"/>
    <tableColumn id="13007" uniqueName="13007" name="Column12998" queryTableFieldId="3387" dataDxfId="3604"/>
    <tableColumn id="13008" uniqueName="13008" name="Column12999" queryTableFieldId="3386" dataDxfId="3603"/>
    <tableColumn id="13009" uniqueName="13009" name="Column13000" queryTableFieldId="3385" dataDxfId="3602"/>
    <tableColumn id="13010" uniqueName="13010" name="Column13001" queryTableFieldId="3384" dataDxfId="3601"/>
    <tableColumn id="13011" uniqueName="13011" name="Column13002" queryTableFieldId="3383" dataDxfId="3600"/>
    <tableColumn id="13012" uniqueName="13012" name="Column13003" queryTableFieldId="3382" dataDxfId="3599"/>
    <tableColumn id="13013" uniqueName="13013" name="Column13004" queryTableFieldId="3381" dataDxfId="3598"/>
    <tableColumn id="13014" uniqueName="13014" name="Column13005" queryTableFieldId="3380" dataDxfId="3597"/>
    <tableColumn id="13015" uniqueName="13015" name="Column13006" queryTableFieldId="3379" dataDxfId="3596"/>
    <tableColumn id="13016" uniqueName="13016" name="Column13007" queryTableFieldId="3378" dataDxfId="3595"/>
    <tableColumn id="13017" uniqueName="13017" name="Column13008" queryTableFieldId="3377" dataDxfId="3594"/>
    <tableColumn id="13018" uniqueName="13018" name="Column13009" queryTableFieldId="3376" dataDxfId="3593"/>
    <tableColumn id="13019" uniqueName="13019" name="Column13010" queryTableFieldId="3375" dataDxfId="3592"/>
    <tableColumn id="13020" uniqueName="13020" name="Column13011" queryTableFieldId="3374" dataDxfId="3591"/>
    <tableColumn id="13021" uniqueName="13021" name="Column13012" queryTableFieldId="3373" dataDxfId="3590"/>
    <tableColumn id="13022" uniqueName="13022" name="Column13013" queryTableFieldId="3372" dataDxfId="3589"/>
    <tableColumn id="13023" uniqueName="13023" name="Column13014" queryTableFieldId="3371" dataDxfId="3588"/>
    <tableColumn id="13024" uniqueName="13024" name="Column13015" queryTableFieldId="3370" dataDxfId="3587"/>
    <tableColumn id="13025" uniqueName="13025" name="Column13016" queryTableFieldId="3369" dataDxfId="3586"/>
    <tableColumn id="13026" uniqueName="13026" name="Column13017" queryTableFieldId="3368" dataDxfId="3585"/>
    <tableColumn id="13027" uniqueName="13027" name="Column13018" queryTableFieldId="3367" dataDxfId="3584"/>
    <tableColumn id="13028" uniqueName="13028" name="Column13019" queryTableFieldId="3366" dataDxfId="3583"/>
    <tableColumn id="13029" uniqueName="13029" name="Column13020" queryTableFieldId="3365" dataDxfId="3582"/>
    <tableColumn id="13030" uniqueName="13030" name="Column13021" queryTableFieldId="3364" dataDxfId="3581"/>
    <tableColumn id="13031" uniqueName="13031" name="Column13022" queryTableFieldId="3363" dataDxfId="3580"/>
    <tableColumn id="13032" uniqueName="13032" name="Column13023" queryTableFieldId="3362" dataDxfId="3579"/>
    <tableColumn id="13033" uniqueName="13033" name="Column13024" queryTableFieldId="3361" dataDxfId="3578"/>
    <tableColumn id="13034" uniqueName="13034" name="Column13025" queryTableFieldId="3360" dataDxfId="3577"/>
    <tableColumn id="13035" uniqueName="13035" name="Column13026" queryTableFieldId="3359" dataDxfId="3576"/>
    <tableColumn id="13036" uniqueName="13036" name="Column13027" queryTableFieldId="3358" dataDxfId="3575"/>
    <tableColumn id="13037" uniqueName="13037" name="Column13028" queryTableFieldId="3357" dataDxfId="3574"/>
    <tableColumn id="13038" uniqueName="13038" name="Column13029" queryTableFieldId="3356" dataDxfId="3573"/>
    <tableColumn id="13039" uniqueName="13039" name="Column13030" queryTableFieldId="3355" dataDxfId="3572"/>
    <tableColumn id="13040" uniqueName="13040" name="Column13031" queryTableFieldId="3354" dataDxfId="3571"/>
    <tableColumn id="13041" uniqueName="13041" name="Column13032" queryTableFieldId="3353" dataDxfId="3570"/>
    <tableColumn id="13042" uniqueName="13042" name="Column13033" queryTableFieldId="3352" dataDxfId="3569"/>
    <tableColumn id="13043" uniqueName="13043" name="Column13034" queryTableFieldId="3351" dataDxfId="3568"/>
    <tableColumn id="13044" uniqueName="13044" name="Column13035" queryTableFieldId="3350" dataDxfId="3567"/>
    <tableColumn id="13045" uniqueName="13045" name="Column13036" queryTableFieldId="3349" dataDxfId="3566"/>
    <tableColumn id="13046" uniqueName="13046" name="Column13037" queryTableFieldId="3348" dataDxfId="3565"/>
    <tableColumn id="13047" uniqueName="13047" name="Column13038" queryTableFieldId="3347" dataDxfId="3564"/>
    <tableColumn id="13048" uniqueName="13048" name="Column13039" queryTableFieldId="3346" dataDxfId="3563"/>
    <tableColumn id="13049" uniqueName="13049" name="Column13040" queryTableFieldId="3345" dataDxfId="3562"/>
    <tableColumn id="13050" uniqueName="13050" name="Column13041" queryTableFieldId="3344" dataDxfId="3561"/>
    <tableColumn id="13051" uniqueName="13051" name="Column13042" queryTableFieldId="3343" dataDxfId="3560"/>
    <tableColumn id="13052" uniqueName="13052" name="Column13043" queryTableFieldId="3342" dataDxfId="3559"/>
    <tableColumn id="13053" uniqueName="13053" name="Column13044" queryTableFieldId="3341" dataDxfId="3558"/>
    <tableColumn id="13054" uniqueName="13054" name="Column13045" queryTableFieldId="3340" dataDxfId="3557"/>
    <tableColumn id="13055" uniqueName="13055" name="Column13046" queryTableFieldId="3339" dataDxfId="3556"/>
    <tableColumn id="13056" uniqueName="13056" name="Column13047" queryTableFieldId="3338" dataDxfId="3555"/>
    <tableColumn id="13057" uniqueName="13057" name="Column13048" queryTableFieldId="3337" dataDxfId="3554"/>
    <tableColumn id="13058" uniqueName="13058" name="Column13049" queryTableFieldId="3336" dataDxfId="3553"/>
    <tableColumn id="13059" uniqueName="13059" name="Column13050" queryTableFieldId="3335" dataDxfId="3552"/>
    <tableColumn id="13060" uniqueName="13060" name="Column13051" queryTableFieldId="3334" dataDxfId="3551"/>
    <tableColumn id="13061" uniqueName="13061" name="Column13052" queryTableFieldId="3333" dataDxfId="3550"/>
    <tableColumn id="13062" uniqueName="13062" name="Column13053" queryTableFieldId="3332" dataDxfId="3549"/>
    <tableColumn id="13063" uniqueName="13063" name="Column13054" queryTableFieldId="3331" dataDxfId="3548"/>
    <tableColumn id="13064" uniqueName="13064" name="Column13055" queryTableFieldId="3330" dataDxfId="3547"/>
    <tableColumn id="13065" uniqueName="13065" name="Column13056" queryTableFieldId="3329" dataDxfId="3546"/>
    <tableColumn id="13066" uniqueName="13066" name="Column13057" queryTableFieldId="3328" dataDxfId="3545"/>
    <tableColumn id="13067" uniqueName="13067" name="Column13058" queryTableFieldId="3327" dataDxfId="3544"/>
    <tableColumn id="13068" uniqueName="13068" name="Column13059" queryTableFieldId="3326" dataDxfId="3543"/>
    <tableColumn id="13069" uniqueName="13069" name="Column13060" queryTableFieldId="3325" dataDxfId="3542"/>
    <tableColumn id="13070" uniqueName="13070" name="Column13061" queryTableFieldId="3324" dataDxfId="3541"/>
    <tableColumn id="13071" uniqueName="13071" name="Column13062" queryTableFieldId="3323" dataDxfId="3540"/>
    <tableColumn id="13072" uniqueName="13072" name="Column13063" queryTableFieldId="3322" dataDxfId="3539"/>
    <tableColumn id="13073" uniqueName="13073" name="Column13064" queryTableFieldId="3321" dataDxfId="3538"/>
    <tableColumn id="13074" uniqueName="13074" name="Column13065" queryTableFieldId="3320" dataDxfId="3537"/>
    <tableColumn id="13075" uniqueName="13075" name="Column13066" queryTableFieldId="3319" dataDxfId="3536"/>
    <tableColumn id="13076" uniqueName="13076" name="Column13067" queryTableFieldId="3318" dataDxfId="3535"/>
    <tableColumn id="13077" uniqueName="13077" name="Column13068" queryTableFieldId="3317" dataDxfId="3534"/>
    <tableColumn id="13078" uniqueName="13078" name="Column13069" queryTableFieldId="3316" dataDxfId="3533"/>
    <tableColumn id="13079" uniqueName="13079" name="Column13070" queryTableFieldId="3315" dataDxfId="3532"/>
    <tableColumn id="13080" uniqueName="13080" name="Column13071" queryTableFieldId="3314" dataDxfId="3531"/>
    <tableColumn id="13081" uniqueName="13081" name="Column13072" queryTableFieldId="3313" dataDxfId="3530"/>
    <tableColumn id="13082" uniqueName="13082" name="Column13073" queryTableFieldId="3312" dataDxfId="3529"/>
    <tableColumn id="13083" uniqueName="13083" name="Column13074" queryTableFieldId="3311" dataDxfId="3528"/>
    <tableColumn id="13084" uniqueName="13084" name="Column13075" queryTableFieldId="3310" dataDxfId="3527"/>
    <tableColumn id="13085" uniqueName="13085" name="Column13076" queryTableFieldId="3309" dataDxfId="3526"/>
    <tableColumn id="13086" uniqueName="13086" name="Column13077" queryTableFieldId="3308" dataDxfId="3525"/>
    <tableColumn id="13087" uniqueName="13087" name="Column13078" queryTableFieldId="3307" dataDxfId="3524"/>
    <tableColumn id="13088" uniqueName="13088" name="Column13079" queryTableFieldId="3306" dataDxfId="3523"/>
    <tableColumn id="13089" uniqueName="13089" name="Column13080" queryTableFieldId="3305" dataDxfId="3522"/>
    <tableColumn id="13090" uniqueName="13090" name="Column13081" queryTableFieldId="3304" dataDxfId="3521"/>
    <tableColumn id="13091" uniqueName="13091" name="Column13082" queryTableFieldId="3303" dataDxfId="3520"/>
    <tableColumn id="13092" uniqueName="13092" name="Column13083" queryTableFieldId="3302" dataDxfId="3519"/>
    <tableColumn id="13093" uniqueName="13093" name="Column13084" queryTableFieldId="3301" dataDxfId="3518"/>
    <tableColumn id="13094" uniqueName="13094" name="Column13085" queryTableFieldId="3300" dataDxfId="3517"/>
    <tableColumn id="13095" uniqueName="13095" name="Column13086" queryTableFieldId="3299" dataDxfId="3516"/>
    <tableColumn id="13096" uniqueName="13096" name="Column13087" queryTableFieldId="3298" dataDxfId="3515"/>
    <tableColumn id="13097" uniqueName="13097" name="Column13088" queryTableFieldId="3297" dataDxfId="3514"/>
    <tableColumn id="13098" uniqueName="13098" name="Column13089" queryTableFieldId="3296" dataDxfId="3513"/>
    <tableColumn id="13099" uniqueName="13099" name="Column13090" queryTableFieldId="3295" dataDxfId="3512"/>
    <tableColumn id="13100" uniqueName="13100" name="Column13091" queryTableFieldId="3294" dataDxfId="3511"/>
    <tableColumn id="13101" uniqueName="13101" name="Column13092" queryTableFieldId="3293" dataDxfId="3510"/>
    <tableColumn id="13102" uniqueName="13102" name="Column13093" queryTableFieldId="3292" dataDxfId="3509"/>
    <tableColumn id="13103" uniqueName="13103" name="Column13094" queryTableFieldId="3291" dataDxfId="3508"/>
    <tableColumn id="13104" uniqueName="13104" name="Column13095" queryTableFieldId="3290" dataDxfId="3507"/>
    <tableColumn id="13105" uniqueName="13105" name="Column13096" queryTableFieldId="3289" dataDxfId="3506"/>
    <tableColumn id="13106" uniqueName="13106" name="Column13097" queryTableFieldId="3288" dataDxfId="3505"/>
    <tableColumn id="13107" uniqueName="13107" name="Column13098" queryTableFieldId="3287" dataDxfId="3504"/>
    <tableColumn id="13108" uniqueName="13108" name="Column13099" queryTableFieldId="3286" dataDxfId="3503"/>
    <tableColumn id="13109" uniqueName="13109" name="Column13100" queryTableFieldId="3285" dataDxfId="3502"/>
    <tableColumn id="13110" uniqueName="13110" name="Column13101" queryTableFieldId="3284" dataDxfId="3501"/>
    <tableColumn id="13111" uniqueName="13111" name="Column13102" queryTableFieldId="3283" dataDxfId="3500"/>
    <tableColumn id="13112" uniqueName="13112" name="Column13103" queryTableFieldId="3282" dataDxfId="3499"/>
    <tableColumn id="13113" uniqueName="13113" name="Column13104" queryTableFieldId="3281" dataDxfId="3498"/>
    <tableColumn id="13114" uniqueName="13114" name="Column13105" queryTableFieldId="3280" dataDxfId="3497"/>
    <tableColumn id="13115" uniqueName="13115" name="Column13106" queryTableFieldId="3279" dataDxfId="3496"/>
    <tableColumn id="13116" uniqueName="13116" name="Column13107" queryTableFieldId="3278" dataDxfId="3495"/>
    <tableColumn id="13117" uniqueName="13117" name="Column13108" queryTableFieldId="3277" dataDxfId="3494"/>
    <tableColumn id="13118" uniqueName="13118" name="Column13109" queryTableFieldId="3276" dataDxfId="3493"/>
    <tableColumn id="13119" uniqueName="13119" name="Column13110" queryTableFieldId="3275" dataDxfId="3492"/>
    <tableColumn id="13120" uniqueName="13120" name="Column13111" queryTableFieldId="3274" dataDxfId="3491"/>
    <tableColumn id="13121" uniqueName="13121" name="Column13112" queryTableFieldId="3273" dataDxfId="3490"/>
    <tableColumn id="13122" uniqueName="13122" name="Column13113" queryTableFieldId="3272" dataDxfId="3489"/>
    <tableColumn id="13123" uniqueName="13123" name="Column13114" queryTableFieldId="3271" dataDxfId="3488"/>
    <tableColumn id="13124" uniqueName="13124" name="Column13115" queryTableFieldId="3270" dataDxfId="3487"/>
    <tableColumn id="13125" uniqueName="13125" name="Column13116" queryTableFieldId="3269" dataDxfId="3486"/>
    <tableColumn id="13126" uniqueName="13126" name="Column13117" queryTableFieldId="3268" dataDxfId="3485"/>
    <tableColumn id="13127" uniqueName="13127" name="Column13118" queryTableFieldId="3267" dataDxfId="3484"/>
    <tableColumn id="13128" uniqueName="13128" name="Column13119" queryTableFieldId="3266" dataDxfId="3483"/>
    <tableColumn id="13129" uniqueName="13129" name="Column13120" queryTableFieldId="3265" dataDxfId="3482"/>
    <tableColumn id="13130" uniqueName="13130" name="Column13121" queryTableFieldId="3264" dataDxfId="3481"/>
    <tableColumn id="13131" uniqueName="13131" name="Column13122" queryTableFieldId="3263" dataDxfId="3480"/>
    <tableColumn id="13132" uniqueName="13132" name="Column13123" queryTableFieldId="3262" dataDxfId="3479"/>
    <tableColumn id="13133" uniqueName="13133" name="Column13124" queryTableFieldId="3261" dataDxfId="3478"/>
    <tableColumn id="13134" uniqueName="13134" name="Column13125" queryTableFieldId="3260" dataDxfId="3477"/>
    <tableColumn id="13135" uniqueName="13135" name="Column13126" queryTableFieldId="3259" dataDxfId="3476"/>
    <tableColumn id="13136" uniqueName="13136" name="Column13127" queryTableFieldId="3258" dataDxfId="3475"/>
    <tableColumn id="13137" uniqueName="13137" name="Column13128" queryTableFieldId="3257" dataDxfId="3474"/>
    <tableColumn id="13138" uniqueName="13138" name="Column13129" queryTableFieldId="3256" dataDxfId="3473"/>
    <tableColumn id="13139" uniqueName="13139" name="Column13130" queryTableFieldId="3255" dataDxfId="3472"/>
    <tableColumn id="13140" uniqueName="13140" name="Column13131" queryTableFieldId="3254" dataDxfId="3471"/>
    <tableColumn id="13141" uniqueName="13141" name="Column13132" queryTableFieldId="3253" dataDxfId="3470"/>
    <tableColumn id="13142" uniqueName="13142" name="Column13133" queryTableFieldId="3252" dataDxfId="3469"/>
    <tableColumn id="13143" uniqueName="13143" name="Column13134" queryTableFieldId="3251" dataDxfId="3468"/>
    <tableColumn id="13144" uniqueName="13144" name="Column13135" queryTableFieldId="3250" dataDxfId="3467"/>
    <tableColumn id="13145" uniqueName="13145" name="Column13136" queryTableFieldId="3249" dataDxfId="3466"/>
    <tableColumn id="13146" uniqueName="13146" name="Column13137" queryTableFieldId="3248" dataDxfId="3465"/>
    <tableColumn id="13147" uniqueName="13147" name="Column13138" queryTableFieldId="3247" dataDxfId="3464"/>
    <tableColumn id="13148" uniqueName="13148" name="Column13139" queryTableFieldId="3246" dataDxfId="3463"/>
    <tableColumn id="13149" uniqueName="13149" name="Column13140" queryTableFieldId="3245" dataDxfId="3462"/>
    <tableColumn id="13150" uniqueName="13150" name="Column13141" queryTableFieldId="3244" dataDxfId="3461"/>
    <tableColumn id="13151" uniqueName="13151" name="Column13142" queryTableFieldId="3243" dataDxfId="3460"/>
    <tableColumn id="13152" uniqueName="13152" name="Column13143" queryTableFieldId="3242" dataDxfId="3459"/>
    <tableColumn id="13153" uniqueName="13153" name="Column13144" queryTableFieldId="3241" dataDxfId="3458"/>
    <tableColumn id="13154" uniqueName="13154" name="Column13145" queryTableFieldId="3240" dataDxfId="3457"/>
    <tableColumn id="13155" uniqueName="13155" name="Column13146" queryTableFieldId="3239" dataDxfId="3456"/>
    <tableColumn id="13156" uniqueName="13156" name="Column13147" queryTableFieldId="3238" dataDxfId="3455"/>
    <tableColumn id="13157" uniqueName="13157" name="Column13148" queryTableFieldId="3237" dataDxfId="3454"/>
    <tableColumn id="13158" uniqueName="13158" name="Column13149" queryTableFieldId="3236" dataDxfId="3453"/>
    <tableColumn id="13159" uniqueName="13159" name="Column13150" queryTableFieldId="3235" dataDxfId="3452"/>
    <tableColumn id="13160" uniqueName="13160" name="Column13151" queryTableFieldId="3234" dataDxfId="3451"/>
    <tableColumn id="13161" uniqueName="13161" name="Column13152" queryTableFieldId="3233" dataDxfId="3450"/>
    <tableColumn id="13162" uniqueName="13162" name="Column13153" queryTableFieldId="3232" dataDxfId="3449"/>
    <tableColumn id="13163" uniqueName="13163" name="Column13154" queryTableFieldId="3231" dataDxfId="3448"/>
    <tableColumn id="13164" uniqueName="13164" name="Column13155" queryTableFieldId="3230" dataDxfId="3447"/>
    <tableColumn id="13165" uniqueName="13165" name="Column13156" queryTableFieldId="3229" dataDxfId="3446"/>
    <tableColumn id="13166" uniqueName="13166" name="Column13157" queryTableFieldId="3228" dataDxfId="3445"/>
    <tableColumn id="13167" uniqueName="13167" name="Column13158" queryTableFieldId="3227" dataDxfId="3444"/>
    <tableColumn id="13168" uniqueName="13168" name="Column13159" queryTableFieldId="3226" dataDxfId="3443"/>
    <tableColumn id="13169" uniqueName="13169" name="Column13160" queryTableFieldId="3225" dataDxfId="3442"/>
    <tableColumn id="13170" uniqueName="13170" name="Column13161" queryTableFieldId="3224" dataDxfId="3441"/>
    <tableColumn id="13171" uniqueName="13171" name="Column13162" queryTableFieldId="3223" dataDxfId="3440"/>
    <tableColumn id="13172" uniqueName="13172" name="Column13163" queryTableFieldId="3222" dataDxfId="3439"/>
    <tableColumn id="13173" uniqueName="13173" name="Column13164" queryTableFieldId="3221" dataDxfId="3438"/>
    <tableColumn id="13174" uniqueName="13174" name="Column13165" queryTableFieldId="3220" dataDxfId="3437"/>
    <tableColumn id="13175" uniqueName="13175" name="Column13166" queryTableFieldId="3219" dataDxfId="3436"/>
    <tableColumn id="13176" uniqueName="13176" name="Column13167" queryTableFieldId="3218" dataDxfId="3435"/>
    <tableColumn id="13177" uniqueName="13177" name="Column13168" queryTableFieldId="3217" dataDxfId="3434"/>
    <tableColumn id="13178" uniqueName="13178" name="Column13169" queryTableFieldId="3216" dataDxfId="3433"/>
    <tableColumn id="13179" uniqueName="13179" name="Column13170" queryTableFieldId="3215" dataDxfId="3432"/>
    <tableColumn id="13180" uniqueName="13180" name="Column13171" queryTableFieldId="3214" dataDxfId="3431"/>
    <tableColumn id="13181" uniqueName="13181" name="Column13172" queryTableFieldId="3213" dataDxfId="3430"/>
    <tableColumn id="13182" uniqueName="13182" name="Column13173" queryTableFieldId="3212" dataDxfId="3429"/>
    <tableColumn id="13183" uniqueName="13183" name="Column13174" queryTableFieldId="3211" dataDxfId="3428"/>
    <tableColumn id="13184" uniqueName="13184" name="Column13175" queryTableFieldId="3210" dataDxfId="3427"/>
    <tableColumn id="13185" uniqueName="13185" name="Column13176" queryTableFieldId="3209" dataDxfId="3426"/>
    <tableColumn id="13186" uniqueName="13186" name="Column13177" queryTableFieldId="3208" dataDxfId="3425"/>
    <tableColumn id="13187" uniqueName="13187" name="Column13178" queryTableFieldId="3207" dataDxfId="3424"/>
    <tableColumn id="13188" uniqueName="13188" name="Column13179" queryTableFieldId="3206" dataDxfId="3423"/>
    <tableColumn id="13189" uniqueName="13189" name="Column13180" queryTableFieldId="3205" dataDxfId="3422"/>
    <tableColumn id="13190" uniqueName="13190" name="Column13181" queryTableFieldId="3204" dataDxfId="3421"/>
    <tableColumn id="13191" uniqueName="13191" name="Column13182" queryTableFieldId="3203" dataDxfId="3420"/>
    <tableColumn id="13192" uniqueName="13192" name="Column13183" queryTableFieldId="3202" dataDxfId="3419"/>
    <tableColumn id="13193" uniqueName="13193" name="Column13184" queryTableFieldId="3201" dataDxfId="3418"/>
    <tableColumn id="13194" uniqueName="13194" name="Column13185" queryTableFieldId="3200" dataDxfId="3417"/>
    <tableColumn id="13195" uniqueName="13195" name="Column13186" queryTableFieldId="3199" dataDxfId="3416"/>
    <tableColumn id="13196" uniqueName="13196" name="Column13187" queryTableFieldId="3198" dataDxfId="3415"/>
    <tableColumn id="13197" uniqueName="13197" name="Column13188" queryTableFieldId="3197" dataDxfId="3414"/>
    <tableColumn id="13198" uniqueName="13198" name="Column13189" queryTableFieldId="3196" dataDxfId="3413"/>
    <tableColumn id="13199" uniqueName="13199" name="Column13190" queryTableFieldId="3195" dataDxfId="3412"/>
    <tableColumn id="13200" uniqueName="13200" name="Column13191" queryTableFieldId="3194" dataDxfId="3411"/>
    <tableColumn id="13201" uniqueName="13201" name="Column13192" queryTableFieldId="3193" dataDxfId="3410"/>
    <tableColumn id="13202" uniqueName="13202" name="Column13193" queryTableFieldId="3192" dataDxfId="3409"/>
    <tableColumn id="13203" uniqueName="13203" name="Column13194" queryTableFieldId="3191" dataDxfId="3408"/>
    <tableColumn id="13204" uniqueName="13204" name="Column13195" queryTableFieldId="3190" dataDxfId="3407"/>
    <tableColumn id="13205" uniqueName="13205" name="Column13196" queryTableFieldId="3189" dataDxfId="3406"/>
    <tableColumn id="13206" uniqueName="13206" name="Column13197" queryTableFieldId="3188" dataDxfId="3405"/>
    <tableColumn id="13207" uniqueName="13207" name="Column13198" queryTableFieldId="3187" dataDxfId="3404"/>
    <tableColumn id="13208" uniqueName="13208" name="Column13199" queryTableFieldId="3186" dataDxfId="3403"/>
    <tableColumn id="13209" uniqueName="13209" name="Column13200" queryTableFieldId="3185" dataDxfId="3402"/>
    <tableColumn id="13210" uniqueName="13210" name="Column13201" queryTableFieldId="3184" dataDxfId="3401"/>
    <tableColumn id="13211" uniqueName="13211" name="Column13202" queryTableFieldId="3183" dataDxfId="3400"/>
    <tableColumn id="13212" uniqueName="13212" name="Column13203" queryTableFieldId="3182" dataDxfId="3399"/>
    <tableColumn id="13213" uniqueName="13213" name="Column13204" queryTableFieldId="3181" dataDxfId="3398"/>
    <tableColumn id="13214" uniqueName="13214" name="Column13205" queryTableFieldId="3180" dataDxfId="3397"/>
    <tableColumn id="13215" uniqueName="13215" name="Column13206" queryTableFieldId="3179" dataDxfId="3396"/>
    <tableColumn id="13216" uniqueName="13216" name="Column13207" queryTableFieldId="3178" dataDxfId="3395"/>
    <tableColumn id="13217" uniqueName="13217" name="Column13208" queryTableFieldId="3177" dataDxfId="3394"/>
    <tableColumn id="13218" uniqueName="13218" name="Column13209" queryTableFieldId="3176" dataDxfId="3393"/>
    <tableColumn id="13219" uniqueName="13219" name="Column13210" queryTableFieldId="3175" dataDxfId="3392"/>
    <tableColumn id="13220" uniqueName="13220" name="Column13211" queryTableFieldId="3174" dataDxfId="3391"/>
    <tableColumn id="13221" uniqueName="13221" name="Column13212" queryTableFieldId="3173" dataDxfId="3390"/>
    <tableColumn id="13222" uniqueName="13222" name="Column13213" queryTableFieldId="3172" dataDxfId="3389"/>
    <tableColumn id="13223" uniqueName="13223" name="Column13214" queryTableFieldId="3171" dataDxfId="3388"/>
    <tableColumn id="13224" uniqueName="13224" name="Column13215" queryTableFieldId="3170" dataDxfId="3387"/>
    <tableColumn id="13225" uniqueName="13225" name="Column13216" queryTableFieldId="3169" dataDxfId="3386"/>
    <tableColumn id="13226" uniqueName="13226" name="Column13217" queryTableFieldId="3168" dataDxfId="3385"/>
    <tableColumn id="13227" uniqueName="13227" name="Column13218" queryTableFieldId="3167" dataDxfId="3384"/>
    <tableColumn id="13228" uniqueName="13228" name="Column13219" queryTableFieldId="3166" dataDxfId="3383"/>
    <tableColumn id="13229" uniqueName="13229" name="Column13220" queryTableFieldId="3165" dataDxfId="3382"/>
    <tableColumn id="13230" uniqueName="13230" name="Column13221" queryTableFieldId="3164" dataDxfId="3381"/>
    <tableColumn id="13231" uniqueName="13231" name="Column13222" queryTableFieldId="3163" dataDxfId="3380"/>
    <tableColumn id="13232" uniqueName="13232" name="Column13223" queryTableFieldId="3162" dataDxfId="3379"/>
    <tableColumn id="13233" uniqueName="13233" name="Column13224" queryTableFieldId="3161" dataDxfId="3378"/>
    <tableColumn id="13234" uniqueName="13234" name="Column13225" queryTableFieldId="3160" dataDxfId="3377"/>
    <tableColumn id="13235" uniqueName="13235" name="Column13226" queryTableFieldId="3159" dataDxfId="3376"/>
    <tableColumn id="13236" uniqueName="13236" name="Column13227" queryTableFieldId="3158" dataDxfId="3375"/>
    <tableColumn id="13237" uniqueName="13237" name="Column13228" queryTableFieldId="3157" dataDxfId="3374"/>
    <tableColumn id="13238" uniqueName="13238" name="Column13229" queryTableFieldId="3156" dataDxfId="3373"/>
    <tableColumn id="13239" uniqueName="13239" name="Column13230" queryTableFieldId="3155" dataDxfId="3372"/>
    <tableColumn id="13240" uniqueName="13240" name="Column13231" queryTableFieldId="3154" dataDxfId="3371"/>
    <tableColumn id="13241" uniqueName="13241" name="Column13232" queryTableFieldId="3153" dataDxfId="3370"/>
    <tableColumn id="13242" uniqueName="13242" name="Column13233" queryTableFieldId="3152" dataDxfId="3369"/>
    <tableColumn id="13243" uniqueName="13243" name="Column13234" queryTableFieldId="3151" dataDxfId="3368"/>
    <tableColumn id="13244" uniqueName="13244" name="Column13235" queryTableFieldId="3150" dataDxfId="3367"/>
    <tableColumn id="13245" uniqueName="13245" name="Column13236" queryTableFieldId="3149" dataDxfId="3366"/>
    <tableColumn id="13246" uniqueName="13246" name="Column13237" queryTableFieldId="3148" dataDxfId="3365"/>
    <tableColumn id="13247" uniqueName="13247" name="Column13238" queryTableFieldId="3147" dataDxfId="3364"/>
    <tableColumn id="13248" uniqueName="13248" name="Column13239" queryTableFieldId="3146" dataDxfId="3363"/>
    <tableColumn id="13249" uniqueName="13249" name="Column13240" queryTableFieldId="3145" dataDxfId="3362"/>
    <tableColumn id="13250" uniqueName="13250" name="Column13241" queryTableFieldId="3144" dataDxfId="3361"/>
    <tableColumn id="13251" uniqueName="13251" name="Column13242" queryTableFieldId="3143" dataDxfId="3360"/>
    <tableColumn id="13252" uniqueName="13252" name="Column13243" queryTableFieldId="3142" dataDxfId="3359"/>
    <tableColumn id="13253" uniqueName="13253" name="Column13244" queryTableFieldId="3141" dataDxfId="3358"/>
    <tableColumn id="13254" uniqueName="13254" name="Column13245" queryTableFieldId="3140" dataDxfId="3357"/>
    <tableColumn id="13255" uniqueName="13255" name="Column13246" queryTableFieldId="3139" dataDxfId="3356"/>
    <tableColumn id="13256" uniqueName="13256" name="Column13247" queryTableFieldId="3138" dataDxfId="3355"/>
    <tableColumn id="13257" uniqueName="13257" name="Column13248" queryTableFieldId="3137" dataDxfId="3354"/>
    <tableColumn id="13258" uniqueName="13258" name="Column13249" queryTableFieldId="3136" dataDxfId="3353"/>
    <tableColumn id="13259" uniqueName="13259" name="Column13250" queryTableFieldId="3135" dataDxfId="3352"/>
    <tableColumn id="13260" uniqueName="13260" name="Column13251" queryTableFieldId="3134" dataDxfId="3351"/>
    <tableColumn id="13261" uniqueName="13261" name="Column13252" queryTableFieldId="3133" dataDxfId="3350"/>
    <tableColumn id="13262" uniqueName="13262" name="Column13253" queryTableFieldId="3132" dataDxfId="3349"/>
    <tableColumn id="13263" uniqueName="13263" name="Column13254" queryTableFieldId="3131" dataDxfId="3348"/>
    <tableColumn id="13264" uniqueName="13264" name="Column13255" queryTableFieldId="3130" dataDxfId="3347"/>
    <tableColumn id="13265" uniqueName="13265" name="Column13256" queryTableFieldId="3129" dataDxfId="3346"/>
    <tableColumn id="13266" uniqueName="13266" name="Column13257" queryTableFieldId="3128" dataDxfId="3345"/>
    <tableColumn id="13267" uniqueName="13267" name="Column13258" queryTableFieldId="3127" dataDxfId="3344"/>
    <tableColumn id="13268" uniqueName="13268" name="Column13259" queryTableFieldId="3126" dataDxfId="3343"/>
    <tableColumn id="13269" uniqueName="13269" name="Column13260" queryTableFieldId="3125" dataDxfId="3342"/>
    <tableColumn id="13270" uniqueName="13270" name="Column13261" queryTableFieldId="3124" dataDxfId="3341"/>
    <tableColumn id="13271" uniqueName="13271" name="Column13262" queryTableFieldId="3123" dataDxfId="3340"/>
    <tableColumn id="13272" uniqueName="13272" name="Column13263" queryTableFieldId="3122" dataDxfId="3339"/>
    <tableColumn id="13273" uniqueName="13273" name="Column13264" queryTableFieldId="3121" dataDxfId="3338"/>
    <tableColumn id="13274" uniqueName="13274" name="Column13265" queryTableFieldId="3120" dataDxfId="3337"/>
    <tableColumn id="13275" uniqueName="13275" name="Column13266" queryTableFieldId="3119" dataDxfId="3336"/>
    <tableColumn id="13276" uniqueName="13276" name="Column13267" queryTableFieldId="3118" dataDxfId="3335"/>
    <tableColumn id="13277" uniqueName="13277" name="Column13268" queryTableFieldId="3117" dataDxfId="3334"/>
    <tableColumn id="13278" uniqueName="13278" name="Column13269" queryTableFieldId="3116" dataDxfId="3333"/>
    <tableColumn id="13279" uniqueName="13279" name="Column13270" queryTableFieldId="3115" dataDxfId="3332"/>
    <tableColumn id="13280" uniqueName="13280" name="Column13271" queryTableFieldId="3114" dataDxfId="3331"/>
    <tableColumn id="13281" uniqueName="13281" name="Column13272" queryTableFieldId="3113" dataDxfId="3330"/>
    <tableColumn id="13282" uniqueName="13282" name="Column13273" queryTableFieldId="3112" dataDxfId="3329"/>
    <tableColumn id="13283" uniqueName="13283" name="Column13274" queryTableFieldId="3111" dataDxfId="3328"/>
    <tableColumn id="13284" uniqueName="13284" name="Column13275" queryTableFieldId="3110" dataDxfId="3327"/>
    <tableColumn id="13285" uniqueName="13285" name="Column13276" queryTableFieldId="3109" dataDxfId="3326"/>
    <tableColumn id="13286" uniqueName="13286" name="Column13277" queryTableFieldId="3108" dataDxfId="3325"/>
    <tableColumn id="13287" uniqueName="13287" name="Column13278" queryTableFieldId="3107" dataDxfId="3324"/>
    <tableColumn id="13288" uniqueName="13288" name="Column13279" queryTableFieldId="3106" dataDxfId="3323"/>
    <tableColumn id="13289" uniqueName="13289" name="Column13280" queryTableFieldId="3105" dataDxfId="3322"/>
    <tableColumn id="13290" uniqueName="13290" name="Column13281" queryTableFieldId="3104" dataDxfId="3321"/>
    <tableColumn id="13291" uniqueName="13291" name="Column13282" queryTableFieldId="3103" dataDxfId="3320"/>
    <tableColumn id="13292" uniqueName="13292" name="Column13283" queryTableFieldId="3102" dataDxfId="3319"/>
    <tableColumn id="13293" uniqueName="13293" name="Column13284" queryTableFieldId="3101" dataDxfId="3318"/>
    <tableColumn id="13294" uniqueName="13294" name="Column13285" queryTableFieldId="3100" dataDxfId="3317"/>
    <tableColumn id="13295" uniqueName="13295" name="Column13286" queryTableFieldId="3099" dataDxfId="3316"/>
    <tableColumn id="13296" uniqueName="13296" name="Column13287" queryTableFieldId="3098" dataDxfId="3315"/>
    <tableColumn id="13297" uniqueName="13297" name="Column13288" queryTableFieldId="3097" dataDxfId="3314"/>
    <tableColumn id="13298" uniqueName="13298" name="Column13289" queryTableFieldId="3096" dataDxfId="3313"/>
    <tableColumn id="13299" uniqueName="13299" name="Column13290" queryTableFieldId="3095" dataDxfId="3312"/>
    <tableColumn id="13300" uniqueName="13300" name="Column13291" queryTableFieldId="3094" dataDxfId="3311"/>
    <tableColumn id="13301" uniqueName="13301" name="Column13292" queryTableFieldId="3093" dataDxfId="3310"/>
    <tableColumn id="13302" uniqueName="13302" name="Column13293" queryTableFieldId="3092" dataDxfId="3309"/>
    <tableColumn id="13303" uniqueName="13303" name="Column13294" queryTableFieldId="3091" dataDxfId="3308"/>
    <tableColumn id="13304" uniqueName="13304" name="Column13295" queryTableFieldId="3090" dataDxfId="3307"/>
    <tableColumn id="13305" uniqueName="13305" name="Column13296" queryTableFieldId="3089" dataDxfId="3306"/>
    <tableColumn id="13306" uniqueName="13306" name="Column13297" queryTableFieldId="3088" dataDxfId="3305"/>
    <tableColumn id="13307" uniqueName="13307" name="Column13298" queryTableFieldId="3087" dataDxfId="3304"/>
    <tableColumn id="13308" uniqueName="13308" name="Column13299" queryTableFieldId="3086" dataDxfId="3303"/>
    <tableColumn id="13309" uniqueName="13309" name="Column13300" queryTableFieldId="3085" dataDxfId="3302"/>
    <tableColumn id="13310" uniqueName="13310" name="Column13301" queryTableFieldId="3084" dataDxfId="3301"/>
    <tableColumn id="13311" uniqueName="13311" name="Column13302" queryTableFieldId="3083" dataDxfId="3300"/>
    <tableColumn id="13312" uniqueName="13312" name="Column13303" queryTableFieldId="3082" dataDxfId="3299"/>
    <tableColumn id="13313" uniqueName="13313" name="Column13304" queryTableFieldId="3081" dataDxfId="3298"/>
    <tableColumn id="13314" uniqueName="13314" name="Column13305" queryTableFieldId="3080" dataDxfId="3297"/>
    <tableColumn id="13315" uniqueName="13315" name="Column13306" queryTableFieldId="3079" dataDxfId="3296"/>
    <tableColumn id="13316" uniqueName="13316" name="Column13307" queryTableFieldId="3078" dataDxfId="3295"/>
    <tableColumn id="13317" uniqueName="13317" name="Column13308" queryTableFieldId="3077" dataDxfId="3294"/>
    <tableColumn id="13318" uniqueName="13318" name="Column13309" queryTableFieldId="3076" dataDxfId="3293"/>
    <tableColumn id="13319" uniqueName="13319" name="Column13310" queryTableFieldId="3075" dataDxfId="3292"/>
    <tableColumn id="13320" uniqueName="13320" name="Column13311" queryTableFieldId="3074" dataDxfId="3291"/>
    <tableColumn id="13321" uniqueName="13321" name="Column13312" queryTableFieldId="3073" dataDxfId="3290"/>
    <tableColumn id="13322" uniqueName="13322" name="Column13313" queryTableFieldId="3072" dataDxfId="3289"/>
    <tableColumn id="13323" uniqueName="13323" name="Column13314" queryTableFieldId="3071" dataDxfId="3288"/>
    <tableColumn id="13324" uniqueName="13324" name="Column13315" queryTableFieldId="3070" dataDxfId="3287"/>
    <tableColumn id="13325" uniqueName="13325" name="Column13316" queryTableFieldId="3069" dataDxfId="3286"/>
    <tableColumn id="13326" uniqueName="13326" name="Column13317" queryTableFieldId="3068" dataDxfId="3285"/>
    <tableColumn id="13327" uniqueName="13327" name="Column13318" queryTableFieldId="3067" dataDxfId="3284"/>
    <tableColumn id="13328" uniqueName="13328" name="Column13319" queryTableFieldId="3066" dataDxfId="3283"/>
    <tableColumn id="13329" uniqueName="13329" name="Column13320" queryTableFieldId="3065" dataDxfId="3282"/>
    <tableColumn id="13330" uniqueName="13330" name="Column13321" queryTableFieldId="3064" dataDxfId="3281"/>
    <tableColumn id="13331" uniqueName="13331" name="Column13322" queryTableFieldId="3063" dataDxfId="3280"/>
    <tableColumn id="13332" uniqueName="13332" name="Column13323" queryTableFieldId="3062" dataDxfId="3279"/>
    <tableColumn id="13333" uniqueName="13333" name="Column13324" queryTableFieldId="3061" dataDxfId="3278"/>
    <tableColumn id="13334" uniqueName="13334" name="Column13325" queryTableFieldId="3060" dataDxfId="3277"/>
    <tableColumn id="13335" uniqueName="13335" name="Column13326" queryTableFieldId="3059" dataDxfId="3276"/>
    <tableColumn id="13336" uniqueName="13336" name="Column13327" queryTableFieldId="3058" dataDxfId="3275"/>
    <tableColumn id="13337" uniqueName="13337" name="Column13328" queryTableFieldId="3057" dataDxfId="3274"/>
    <tableColumn id="13338" uniqueName="13338" name="Column13329" queryTableFieldId="3056" dataDxfId="3273"/>
    <tableColumn id="13339" uniqueName="13339" name="Column13330" queryTableFieldId="3055" dataDxfId="3272"/>
    <tableColumn id="13340" uniqueName="13340" name="Column13331" queryTableFieldId="3054" dataDxfId="3271"/>
    <tableColumn id="13341" uniqueName="13341" name="Column13332" queryTableFieldId="3053" dataDxfId="3270"/>
    <tableColumn id="13342" uniqueName="13342" name="Column13333" queryTableFieldId="3052" dataDxfId="3269"/>
    <tableColumn id="13343" uniqueName="13343" name="Column13334" queryTableFieldId="3051" dataDxfId="3268"/>
    <tableColumn id="13344" uniqueName="13344" name="Column13335" queryTableFieldId="3050" dataDxfId="3267"/>
    <tableColumn id="13345" uniqueName="13345" name="Column13336" queryTableFieldId="3049" dataDxfId="3266"/>
    <tableColumn id="13346" uniqueName="13346" name="Column13337" queryTableFieldId="3048" dataDxfId="3265"/>
    <tableColumn id="13347" uniqueName="13347" name="Column13338" queryTableFieldId="3047" dataDxfId="3264"/>
    <tableColumn id="13348" uniqueName="13348" name="Column13339" queryTableFieldId="3046" dataDxfId="3263"/>
    <tableColumn id="13349" uniqueName="13349" name="Column13340" queryTableFieldId="3045" dataDxfId="3262"/>
    <tableColumn id="13350" uniqueName="13350" name="Column13341" queryTableFieldId="3044" dataDxfId="3261"/>
    <tableColumn id="13351" uniqueName="13351" name="Column13342" queryTableFieldId="3043" dataDxfId="3260"/>
    <tableColumn id="13352" uniqueName="13352" name="Column13343" queryTableFieldId="3042" dataDxfId="3259"/>
    <tableColumn id="13353" uniqueName="13353" name="Column13344" queryTableFieldId="3041" dataDxfId="3258"/>
    <tableColumn id="13354" uniqueName="13354" name="Column13345" queryTableFieldId="3040" dataDxfId="3257"/>
    <tableColumn id="13355" uniqueName="13355" name="Column13346" queryTableFieldId="3039" dataDxfId="3256"/>
    <tableColumn id="13356" uniqueName="13356" name="Column13347" queryTableFieldId="3038" dataDxfId="3255"/>
    <tableColumn id="13357" uniqueName="13357" name="Column13348" queryTableFieldId="3037" dataDxfId="3254"/>
    <tableColumn id="13358" uniqueName="13358" name="Column13349" queryTableFieldId="3036" dataDxfId="3253"/>
    <tableColumn id="13359" uniqueName="13359" name="Column13350" queryTableFieldId="3035" dataDxfId="3252"/>
    <tableColumn id="13360" uniqueName="13360" name="Column13351" queryTableFieldId="3034" dataDxfId="3251"/>
    <tableColumn id="13361" uniqueName="13361" name="Column13352" queryTableFieldId="3033" dataDxfId="3250"/>
    <tableColumn id="13362" uniqueName="13362" name="Column13353" queryTableFieldId="3032" dataDxfId="3249"/>
    <tableColumn id="13363" uniqueName="13363" name="Column13354" queryTableFieldId="3031" dataDxfId="3248"/>
    <tableColumn id="13364" uniqueName="13364" name="Column13355" queryTableFieldId="3030" dataDxfId="3247"/>
    <tableColumn id="13365" uniqueName="13365" name="Column13356" queryTableFieldId="3029" dataDxfId="3246"/>
    <tableColumn id="13366" uniqueName="13366" name="Column13357" queryTableFieldId="3028" dataDxfId="3245"/>
    <tableColumn id="13367" uniqueName="13367" name="Column13358" queryTableFieldId="3027" dataDxfId="3244"/>
    <tableColumn id="13368" uniqueName="13368" name="Column13359" queryTableFieldId="3026" dataDxfId="3243"/>
    <tableColumn id="13369" uniqueName="13369" name="Column13360" queryTableFieldId="3025" dataDxfId="3242"/>
    <tableColumn id="13370" uniqueName="13370" name="Column13361" queryTableFieldId="3024" dataDxfId="3241"/>
    <tableColumn id="13371" uniqueName="13371" name="Column13362" queryTableFieldId="3023" dataDxfId="3240"/>
    <tableColumn id="13372" uniqueName="13372" name="Column13363" queryTableFieldId="3022" dataDxfId="3239"/>
    <tableColumn id="13373" uniqueName="13373" name="Column13364" queryTableFieldId="3021" dataDxfId="3238"/>
    <tableColumn id="13374" uniqueName="13374" name="Column13365" queryTableFieldId="3020" dataDxfId="3237"/>
    <tableColumn id="13375" uniqueName="13375" name="Column13366" queryTableFieldId="3019" dataDxfId="3236"/>
    <tableColumn id="13376" uniqueName="13376" name="Column13367" queryTableFieldId="3018" dataDxfId="3235"/>
    <tableColumn id="13377" uniqueName="13377" name="Column13368" queryTableFieldId="3017" dataDxfId="3234"/>
    <tableColumn id="13378" uniqueName="13378" name="Column13369" queryTableFieldId="3016" dataDxfId="3233"/>
    <tableColumn id="13379" uniqueName="13379" name="Column13370" queryTableFieldId="3015" dataDxfId="3232"/>
    <tableColumn id="13380" uniqueName="13380" name="Column13371" queryTableFieldId="3014" dataDxfId="3231"/>
    <tableColumn id="13381" uniqueName="13381" name="Column13372" queryTableFieldId="3013" dataDxfId="3230"/>
    <tableColumn id="13382" uniqueName="13382" name="Column13373" queryTableFieldId="3012" dataDxfId="3229"/>
    <tableColumn id="13383" uniqueName="13383" name="Column13374" queryTableFieldId="3011" dataDxfId="3228"/>
    <tableColumn id="13384" uniqueName="13384" name="Column13375" queryTableFieldId="3010" dataDxfId="3227"/>
    <tableColumn id="13385" uniqueName="13385" name="Column13376" queryTableFieldId="3009" dataDxfId="3226"/>
    <tableColumn id="13386" uniqueName="13386" name="Column13377" queryTableFieldId="3008" dataDxfId="3225"/>
    <tableColumn id="13387" uniqueName="13387" name="Column13378" queryTableFieldId="3007" dataDxfId="3224"/>
    <tableColumn id="13388" uniqueName="13388" name="Column13379" queryTableFieldId="3006" dataDxfId="3223"/>
    <tableColumn id="13389" uniqueName="13389" name="Column13380" queryTableFieldId="3005" dataDxfId="3222"/>
    <tableColumn id="13390" uniqueName="13390" name="Column13381" queryTableFieldId="3004" dataDxfId="3221"/>
    <tableColumn id="13391" uniqueName="13391" name="Column13382" queryTableFieldId="3003" dataDxfId="3220"/>
    <tableColumn id="13392" uniqueName="13392" name="Column13383" queryTableFieldId="3002" dataDxfId="3219"/>
    <tableColumn id="13393" uniqueName="13393" name="Column13384" queryTableFieldId="3001" dataDxfId="3218"/>
    <tableColumn id="13394" uniqueName="13394" name="Column13385" queryTableFieldId="3000" dataDxfId="3217"/>
    <tableColumn id="13395" uniqueName="13395" name="Column13386" queryTableFieldId="2999" dataDxfId="3216"/>
    <tableColumn id="13396" uniqueName="13396" name="Column13387" queryTableFieldId="2998" dataDxfId="3215"/>
    <tableColumn id="13397" uniqueName="13397" name="Column13388" queryTableFieldId="2997" dataDxfId="3214"/>
    <tableColumn id="13398" uniqueName="13398" name="Column13389" queryTableFieldId="2996" dataDxfId="3213"/>
    <tableColumn id="13399" uniqueName="13399" name="Column13390" queryTableFieldId="2995" dataDxfId="3212"/>
    <tableColumn id="13400" uniqueName="13400" name="Column13391" queryTableFieldId="2994" dataDxfId="3211"/>
    <tableColumn id="13401" uniqueName="13401" name="Column13392" queryTableFieldId="2993" dataDxfId="3210"/>
    <tableColumn id="13402" uniqueName="13402" name="Column13393" queryTableFieldId="2992" dataDxfId="3209"/>
    <tableColumn id="13403" uniqueName="13403" name="Column13394" queryTableFieldId="2991" dataDxfId="3208"/>
    <tableColumn id="13404" uniqueName="13404" name="Column13395" queryTableFieldId="2990" dataDxfId="3207"/>
    <tableColumn id="13405" uniqueName="13405" name="Column13396" queryTableFieldId="2989" dataDxfId="3206"/>
    <tableColumn id="13406" uniqueName="13406" name="Column13397" queryTableFieldId="2988" dataDxfId="3205"/>
    <tableColumn id="13407" uniqueName="13407" name="Column13398" queryTableFieldId="2987" dataDxfId="3204"/>
    <tableColumn id="13408" uniqueName="13408" name="Column13399" queryTableFieldId="2986" dataDxfId="3203"/>
    <tableColumn id="13409" uniqueName="13409" name="Column13400" queryTableFieldId="2985" dataDxfId="3202"/>
    <tableColumn id="13410" uniqueName="13410" name="Column13401" queryTableFieldId="2984" dataDxfId="3201"/>
    <tableColumn id="13411" uniqueName="13411" name="Column13402" queryTableFieldId="2983" dataDxfId="3200"/>
    <tableColumn id="13412" uniqueName="13412" name="Column13403" queryTableFieldId="2982" dataDxfId="3199"/>
    <tableColumn id="13413" uniqueName="13413" name="Column13404" queryTableFieldId="2981" dataDxfId="3198"/>
    <tableColumn id="13414" uniqueName="13414" name="Column13405" queryTableFieldId="2980" dataDxfId="3197"/>
    <tableColumn id="13415" uniqueName="13415" name="Column13406" queryTableFieldId="2979" dataDxfId="3196"/>
    <tableColumn id="13416" uniqueName="13416" name="Column13407" queryTableFieldId="2978" dataDxfId="3195"/>
    <tableColumn id="13417" uniqueName="13417" name="Column13408" queryTableFieldId="2977" dataDxfId="3194"/>
    <tableColumn id="13418" uniqueName="13418" name="Column13409" queryTableFieldId="2976" dataDxfId="3193"/>
    <tableColumn id="13419" uniqueName="13419" name="Column13410" queryTableFieldId="2975" dataDxfId="3192"/>
    <tableColumn id="13420" uniqueName="13420" name="Column13411" queryTableFieldId="2974" dataDxfId="3191"/>
    <tableColumn id="13421" uniqueName="13421" name="Column13412" queryTableFieldId="2973" dataDxfId="3190"/>
    <tableColumn id="13422" uniqueName="13422" name="Column13413" queryTableFieldId="2972" dataDxfId="3189"/>
    <tableColumn id="13423" uniqueName="13423" name="Column13414" queryTableFieldId="2971" dataDxfId="3188"/>
    <tableColumn id="13424" uniqueName="13424" name="Column13415" queryTableFieldId="2970" dataDxfId="3187"/>
    <tableColumn id="13425" uniqueName="13425" name="Column13416" queryTableFieldId="2969" dataDxfId="3186"/>
    <tableColumn id="13426" uniqueName="13426" name="Column13417" queryTableFieldId="2968" dataDxfId="3185"/>
    <tableColumn id="13427" uniqueName="13427" name="Column13418" queryTableFieldId="2967" dataDxfId="3184"/>
    <tableColumn id="13428" uniqueName="13428" name="Column13419" queryTableFieldId="2966" dataDxfId="3183"/>
    <tableColumn id="13429" uniqueName="13429" name="Column13420" queryTableFieldId="2965" dataDxfId="3182"/>
    <tableColumn id="13430" uniqueName="13430" name="Column13421" queryTableFieldId="2964" dataDxfId="3181"/>
    <tableColumn id="13431" uniqueName="13431" name="Column13422" queryTableFieldId="2963" dataDxfId="3180"/>
    <tableColumn id="13432" uniqueName="13432" name="Column13423" queryTableFieldId="2962" dataDxfId="3179"/>
    <tableColumn id="13433" uniqueName="13433" name="Column13424" queryTableFieldId="2961" dataDxfId="3178"/>
    <tableColumn id="13434" uniqueName="13434" name="Column13425" queryTableFieldId="2960" dataDxfId="3177"/>
    <tableColumn id="13435" uniqueName="13435" name="Column13426" queryTableFieldId="2959" dataDxfId="3176"/>
    <tableColumn id="13436" uniqueName="13436" name="Column13427" queryTableFieldId="2958" dataDxfId="3175"/>
    <tableColumn id="13437" uniqueName="13437" name="Column13428" queryTableFieldId="2957" dataDxfId="3174"/>
    <tableColumn id="13438" uniqueName="13438" name="Column13429" queryTableFieldId="2956" dataDxfId="3173"/>
    <tableColumn id="13439" uniqueName="13439" name="Column13430" queryTableFieldId="2955" dataDxfId="3172"/>
    <tableColumn id="13440" uniqueName="13440" name="Column13431" queryTableFieldId="2954" dataDxfId="3171"/>
    <tableColumn id="13441" uniqueName="13441" name="Column13432" queryTableFieldId="2953" dataDxfId="3170"/>
    <tableColumn id="13442" uniqueName="13442" name="Column13433" queryTableFieldId="2952" dataDxfId="3169"/>
    <tableColumn id="13443" uniqueName="13443" name="Column13434" queryTableFieldId="2951" dataDxfId="3168"/>
    <tableColumn id="13444" uniqueName="13444" name="Column13435" queryTableFieldId="2950" dataDxfId="3167"/>
    <tableColumn id="13445" uniqueName="13445" name="Column13436" queryTableFieldId="2949" dataDxfId="3166"/>
    <tableColumn id="13446" uniqueName="13446" name="Column13437" queryTableFieldId="2948" dataDxfId="3165"/>
    <tableColumn id="13447" uniqueName="13447" name="Column13438" queryTableFieldId="2947" dataDxfId="3164"/>
    <tableColumn id="13448" uniqueName="13448" name="Column13439" queryTableFieldId="2946" dataDxfId="3163"/>
    <tableColumn id="13449" uniqueName="13449" name="Column13440" queryTableFieldId="2945" dataDxfId="3162"/>
    <tableColumn id="13450" uniqueName="13450" name="Column13441" queryTableFieldId="2944" dataDxfId="3161"/>
    <tableColumn id="13451" uniqueName="13451" name="Column13442" queryTableFieldId="2943" dataDxfId="3160"/>
    <tableColumn id="13452" uniqueName="13452" name="Column13443" queryTableFieldId="2942" dataDxfId="3159"/>
    <tableColumn id="13453" uniqueName="13453" name="Column13444" queryTableFieldId="2941" dataDxfId="3158"/>
    <tableColumn id="13454" uniqueName="13454" name="Column13445" queryTableFieldId="2940" dataDxfId="3157"/>
    <tableColumn id="13455" uniqueName="13455" name="Column13446" queryTableFieldId="2939" dataDxfId="3156"/>
    <tableColumn id="13456" uniqueName="13456" name="Column13447" queryTableFieldId="2938" dataDxfId="3155"/>
    <tableColumn id="13457" uniqueName="13457" name="Column13448" queryTableFieldId="2937" dataDxfId="3154"/>
    <tableColumn id="13458" uniqueName="13458" name="Column13449" queryTableFieldId="2936" dataDxfId="3153"/>
    <tableColumn id="13459" uniqueName="13459" name="Column13450" queryTableFieldId="2935" dataDxfId="3152"/>
    <tableColumn id="13460" uniqueName="13460" name="Column13451" queryTableFieldId="2934" dataDxfId="3151"/>
    <tableColumn id="13461" uniqueName="13461" name="Column13452" queryTableFieldId="2933" dataDxfId="3150"/>
    <tableColumn id="13462" uniqueName="13462" name="Column13453" queryTableFieldId="2932" dataDxfId="3149"/>
    <tableColumn id="13463" uniqueName="13463" name="Column13454" queryTableFieldId="2931" dataDxfId="3148"/>
    <tableColumn id="13464" uniqueName="13464" name="Column13455" queryTableFieldId="2930" dataDxfId="3147"/>
    <tableColumn id="13465" uniqueName="13465" name="Column13456" queryTableFieldId="2929" dataDxfId="3146"/>
    <tableColumn id="13466" uniqueName="13466" name="Column13457" queryTableFieldId="2928" dataDxfId="3145"/>
    <tableColumn id="13467" uniqueName="13467" name="Column13458" queryTableFieldId="2927" dataDxfId="3144"/>
    <tableColumn id="13468" uniqueName="13468" name="Column13459" queryTableFieldId="2926" dataDxfId="3143"/>
    <tableColumn id="13469" uniqueName="13469" name="Column13460" queryTableFieldId="2925" dataDxfId="3142"/>
    <tableColumn id="13470" uniqueName="13470" name="Column13461" queryTableFieldId="2924" dataDxfId="3141"/>
    <tableColumn id="13471" uniqueName="13471" name="Column13462" queryTableFieldId="2923" dataDxfId="3140"/>
    <tableColumn id="13472" uniqueName="13472" name="Column13463" queryTableFieldId="2922" dataDxfId="3139"/>
    <tableColumn id="13473" uniqueName="13473" name="Column13464" queryTableFieldId="2921" dataDxfId="3138"/>
    <tableColumn id="13474" uniqueName="13474" name="Column13465" queryTableFieldId="2920" dataDxfId="3137"/>
    <tableColumn id="13475" uniqueName="13475" name="Column13466" queryTableFieldId="2919" dataDxfId="3136"/>
    <tableColumn id="13476" uniqueName="13476" name="Column13467" queryTableFieldId="2918" dataDxfId="3135"/>
    <tableColumn id="13477" uniqueName="13477" name="Column13468" queryTableFieldId="2917" dataDxfId="3134"/>
    <tableColumn id="13478" uniqueName="13478" name="Column13469" queryTableFieldId="2916" dataDxfId="3133"/>
    <tableColumn id="13479" uniqueName="13479" name="Column13470" queryTableFieldId="2915" dataDxfId="3132"/>
    <tableColumn id="13480" uniqueName="13480" name="Column13471" queryTableFieldId="2914" dataDxfId="3131"/>
    <tableColumn id="13481" uniqueName="13481" name="Column13472" queryTableFieldId="2913" dataDxfId="3130"/>
    <tableColumn id="13482" uniqueName="13482" name="Column13473" queryTableFieldId="2912" dataDxfId="3129"/>
    <tableColumn id="13483" uniqueName="13483" name="Column13474" queryTableFieldId="2911" dataDxfId="3128"/>
    <tableColumn id="13484" uniqueName="13484" name="Column13475" queryTableFieldId="2910" dataDxfId="3127"/>
    <tableColumn id="13485" uniqueName="13485" name="Column13476" queryTableFieldId="2909" dataDxfId="3126"/>
    <tableColumn id="13486" uniqueName="13486" name="Column13477" queryTableFieldId="2908" dataDxfId="3125"/>
    <tableColumn id="13487" uniqueName="13487" name="Column13478" queryTableFieldId="2907" dataDxfId="3124"/>
    <tableColumn id="13488" uniqueName="13488" name="Column13479" queryTableFieldId="2906" dataDxfId="3123"/>
    <tableColumn id="13489" uniqueName="13489" name="Column13480" queryTableFieldId="2905" dataDxfId="3122"/>
    <tableColumn id="13490" uniqueName="13490" name="Column13481" queryTableFieldId="2904" dataDxfId="3121"/>
    <tableColumn id="13491" uniqueName="13491" name="Column13482" queryTableFieldId="2903" dataDxfId="3120"/>
    <tableColumn id="13492" uniqueName="13492" name="Column13483" queryTableFieldId="2902" dataDxfId="3119"/>
    <tableColumn id="13493" uniqueName="13493" name="Column13484" queryTableFieldId="2901" dataDxfId="3118"/>
    <tableColumn id="13494" uniqueName="13494" name="Column13485" queryTableFieldId="2900" dataDxfId="3117"/>
    <tableColumn id="13495" uniqueName="13495" name="Column13486" queryTableFieldId="2899" dataDxfId="3116"/>
    <tableColumn id="13496" uniqueName="13496" name="Column13487" queryTableFieldId="2898" dataDxfId="3115"/>
    <tableColumn id="13497" uniqueName="13497" name="Column13488" queryTableFieldId="2897" dataDxfId="3114"/>
    <tableColumn id="13498" uniqueName="13498" name="Column13489" queryTableFieldId="2896" dataDxfId="3113"/>
    <tableColumn id="13499" uniqueName="13499" name="Column13490" queryTableFieldId="2895" dataDxfId="3112"/>
    <tableColumn id="13500" uniqueName="13500" name="Column13491" queryTableFieldId="2894" dataDxfId="3111"/>
    <tableColumn id="13501" uniqueName="13501" name="Column13492" queryTableFieldId="2893" dataDxfId="3110"/>
    <tableColumn id="13502" uniqueName="13502" name="Column13493" queryTableFieldId="2892" dataDxfId="3109"/>
    <tableColumn id="13503" uniqueName="13503" name="Column13494" queryTableFieldId="2891" dataDxfId="3108"/>
    <tableColumn id="13504" uniqueName="13504" name="Column13495" queryTableFieldId="2890" dataDxfId="3107"/>
    <tableColumn id="13505" uniqueName="13505" name="Column13496" queryTableFieldId="2889" dataDxfId="3106"/>
    <tableColumn id="13506" uniqueName="13506" name="Column13497" queryTableFieldId="2888" dataDxfId="3105"/>
    <tableColumn id="13507" uniqueName="13507" name="Column13498" queryTableFieldId="2887" dataDxfId="3104"/>
    <tableColumn id="13508" uniqueName="13508" name="Column13499" queryTableFieldId="2886" dataDxfId="3103"/>
    <tableColumn id="13509" uniqueName="13509" name="Column13500" queryTableFieldId="2885" dataDxfId="3102"/>
    <tableColumn id="13510" uniqueName="13510" name="Column13501" queryTableFieldId="2884" dataDxfId="3101"/>
    <tableColumn id="13511" uniqueName="13511" name="Column13502" queryTableFieldId="2883" dataDxfId="3100"/>
    <tableColumn id="13512" uniqueName="13512" name="Column13503" queryTableFieldId="2882" dataDxfId="3099"/>
    <tableColumn id="13513" uniqueName="13513" name="Column13504" queryTableFieldId="2881" dataDxfId="3098"/>
    <tableColumn id="13514" uniqueName="13514" name="Column13505" queryTableFieldId="2880" dataDxfId="3097"/>
    <tableColumn id="13515" uniqueName="13515" name="Column13506" queryTableFieldId="2879" dataDxfId="3096"/>
    <tableColumn id="13516" uniqueName="13516" name="Column13507" queryTableFieldId="2878" dataDxfId="3095"/>
    <tableColumn id="13517" uniqueName="13517" name="Column13508" queryTableFieldId="2877" dataDxfId="3094"/>
    <tableColumn id="13518" uniqueName="13518" name="Column13509" queryTableFieldId="2876" dataDxfId="3093"/>
    <tableColumn id="13519" uniqueName="13519" name="Column13510" queryTableFieldId="2875" dataDxfId="3092"/>
    <tableColumn id="13520" uniqueName="13520" name="Column13511" queryTableFieldId="2874" dataDxfId="3091"/>
    <tableColumn id="13521" uniqueName="13521" name="Column13512" queryTableFieldId="2873" dataDxfId="3090"/>
    <tableColumn id="13522" uniqueName="13522" name="Column13513" queryTableFieldId="2872" dataDxfId="3089"/>
    <tableColumn id="13523" uniqueName="13523" name="Column13514" queryTableFieldId="2871" dataDxfId="3088"/>
    <tableColumn id="13524" uniqueName="13524" name="Column13515" queryTableFieldId="2870" dataDxfId="3087"/>
    <tableColumn id="13525" uniqueName="13525" name="Column13516" queryTableFieldId="2869" dataDxfId="3086"/>
    <tableColumn id="13526" uniqueName="13526" name="Column13517" queryTableFieldId="2868" dataDxfId="3085"/>
    <tableColumn id="13527" uniqueName="13527" name="Column13518" queryTableFieldId="2867" dataDxfId="3084"/>
    <tableColumn id="13528" uniqueName="13528" name="Column13519" queryTableFieldId="2866" dataDxfId="3083"/>
    <tableColumn id="13529" uniqueName="13529" name="Column13520" queryTableFieldId="2865" dataDxfId="3082"/>
    <tableColumn id="13530" uniqueName="13530" name="Column13521" queryTableFieldId="2864" dataDxfId="3081"/>
    <tableColumn id="13531" uniqueName="13531" name="Column13522" queryTableFieldId="2863" dataDxfId="3080"/>
    <tableColumn id="13532" uniqueName="13532" name="Column13523" queryTableFieldId="2862" dataDxfId="3079"/>
    <tableColumn id="13533" uniqueName="13533" name="Column13524" queryTableFieldId="2861" dataDxfId="3078"/>
    <tableColumn id="13534" uniqueName="13534" name="Column13525" queryTableFieldId="2860" dataDxfId="3077"/>
    <tableColumn id="13535" uniqueName="13535" name="Column13526" queryTableFieldId="2859" dataDxfId="3076"/>
    <tableColumn id="13536" uniqueName="13536" name="Column13527" queryTableFieldId="2858" dataDxfId="3075"/>
    <tableColumn id="13537" uniqueName="13537" name="Column13528" queryTableFieldId="2857" dataDxfId="3074"/>
    <tableColumn id="13538" uniqueName="13538" name="Column13529" queryTableFieldId="2856" dataDxfId="3073"/>
    <tableColumn id="13539" uniqueName="13539" name="Column13530" queryTableFieldId="2855" dataDxfId="3072"/>
    <tableColumn id="13540" uniqueName="13540" name="Column13531" queryTableFieldId="2854" dataDxfId="3071"/>
    <tableColumn id="13541" uniqueName="13541" name="Column13532" queryTableFieldId="2853" dataDxfId="3070"/>
    <tableColumn id="13542" uniqueName="13542" name="Column13533" queryTableFieldId="2852" dataDxfId="3069"/>
    <tableColumn id="13543" uniqueName="13543" name="Column13534" queryTableFieldId="2851" dataDxfId="3068"/>
    <tableColumn id="13544" uniqueName="13544" name="Column13535" queryTableFieldId="2850" dataDxfId="3067"/>
    <tableColumn id="13545" uniqueName="13545" name="Column13536" queryTableFieldId="2849" dataDxfId="3066"/>
    <tableColumn id="13546" uniqueName="13546" name="Column13537" queryTableFieldId="2848" dataDxfId="3065"/>
    <tableColumn id="13547" uniqueName="13547" name="Column13538" queryTableFieldId="2847" dataDxfId="3064"/>
    <tableColumn id="13548" uniqueName="13548" name="Column13539" queryTableFieldId="2846" dataDxfId="3063"/>
    <tableColumn id="13549" uniqueName="13549" name="Column13540" queryTableFieldId="2845" dataDxfId="3062"/>
    <tableColumn id="13550" uniqueName="13550" name="Column13541" queryTableFieldId="2844" dataDxfId="3061"/>
    <tableColumn id="13551" uniqueName="13551" name="Column13542" queryTableFieldId="2843" dataDxfId="3060"/>
    <tableColumn id="13552" uniqueName="13552" name="Column13543" queryTableFieldId="2842" dataDxfId="3059"/>
    <tableColumn id="13553" uniqueName="13553" name="Column13544" queryTableFieldId="2841" dataDxfId="3058"/>
    <tableColumn id="13554" uniqueName="13554" name="Column13545" queryTableFieldId="2840" dataDxfId="3057"/>
    <tableColumn id="13555" uniqueName="13555" name="Column13546" queryTableFieldId="2839" dataDxfId="3056"/>
    <tableColumn id="13556" uniqueName="13556" name="Column13547" queryTableFieldId="2838" dataDxfId="3055"/>
    <tableColumn id="13557" uniqueName="13557" name="Column13548" queryTableFieldId="2837" dataDxfId="3054"/>
    <tableColumn id="13558" uniqueName="13558" name="Column13549" queryTableFieldId="2836" dataDxfId="3053"/>
    <tableColumn id="13559" uniqueName="13559" name="Column13550" queryTableFieldId="2835" dataDxfId="3052"/>
    <tableColumn id="13560" uniqueName="13560" name="Column13551" queryTableFieldId="2834" dataDxfId="3051"/>
    <tableColumn id="13561" uniqueName="13561" name="Column13552" queryTableFieldId="2833" dataDxfId="3050"/>
    <tableColumn id="13562" uniqueName="13562" name="Column13553" queryTableFieldId="2832" dataDxfId="3049"/>
    <tableColumn id="13563" uniqueName="13563" name="Column13554" queryTableFieldId="2831" dataDxfId="3048"/>
    <tableColumn id="13564" uniqueName="13564" name="Column13555" queryTableFieldId="2830" dataDxfId="3047"/>
    <tableColumn id="13565" uniqueName="13565" name="Column13556" queryTableFieldId="2829" dataDxfId="3046"/>
    <tableColumn id="13566" uniqueName="13566" name="Column13557" queryTableFieldId="2828" dataDxfId="3045"/>
    <tableColumn id="13567" uniqueName="13567" name="Column13558" queryTableFieldId="2827" dataDxfId="3044"/>
    <tableColumn id="13568" uniqueName="13568" name="Column13559" queryTableFieldId="2826" dataDxfId="3043"/>
    <tableColumn id="13569" uniqueName="13569" name="Column13560" queryTableFieldId="2825" dataDxfId="3042"/>
    <tableColumn id="13570" uniqueName="13570" name="Column13561" queryTableFieldId="2824" dataDxfId="3041"/>
    <tableColumn id="13571" uniqueName="13571" name="Column13562" queryTableFieldId="2823" dataDxfId="3040"/>
    <tableColumn id="13572" uniqueName="13572" name="Column13563" queryTableFieldId="2822" dataDxfId="3039"/>
    <tableColumn id="13573" uniqueName="13573" name="Column13564" queryTableFieldId="2821" dataDxfId="3038"/>
    <tableColumn id="13574" uniqueName="13574" name="Column13565" queryTableFieldId="2820" dataDxfId="3037"/>
    <tableColumn id="13575" uniqueName="13575" name="Column13566" queryTableFieldId="2819" dataDxfId="3036"/>
    <tableColumn id="13576" uniqueName="13576" name="Column13567" queryTableFieldId="2818" dataDxfId="3035"/>
    <tableColumn id="13577" uniqueName="13577" name="Column13568" queryTableFieldId="2817" dataDxfId="3034"/>
    <tableColumn id="13578" uniqueName="13578" name="Column13569" queryTableFieldId="2816" dataDxfId="3033"/>
    <tableColumn id="13579" uniqueName="13579" name="Column13570" queryTableFieldId="2815" dataDxfId="3032"/>
    <tableColumn id="13580" uniqueName="13580" name="Column13571" queryTableFieldId="2814" dataDxfId="3031"/>
    <tableColumn id="13581" uniqueName="13581" name="Column13572" queryTableFieldId="2813" dataDxfId="3030"/>
    <tableColumn id="13582" uniqueName="13582" name="Column13573" queryTableFieldId="2812" dataDxfId="3029"/>
    <tableColumn id="13583" uniqueName="13583" name="Column13574" queryTableFieldId="2811" dataDxfId="3028"/>
    <tableColumn id="13584" uniqueName="13584" name="Column13575" queryTableFieldId="2810" dataDxfId="3027"/>
    <tableColumn id="13585" uniqueName="13585" name="Column13576" queryTableFieldId="2809" dataDxfId="3026"/>
    <tableColumn id="13586" uniqueName="13586" name="Column13577" queryTableFieldId="2808" dataDxfId="3025"/>
    <tableColumn id="13587" uniqueName="13587" name="Column13578" queryTableFieldId="2807" dataDxfId="3024"/>
    <tableColumn id="13588" uniqueName="13588" name="Column13579" queryTableFieldId="2806" dataDxfId="3023"/>
    <tableColumn id="13589" uniqueName="13589" name="Column13580" queryTableFieldId="2805" dataDxfId="3022"/>
    <tableColumn id="13590" uniqueName="13590" name="Column13581" queryTableFieldId="2804" dataDxfId="3021"/>
    <tableColumn id="13591" uniqueName="13591" name="Column13582" queryTableFieldId="2803" dataDxfId="3020"/>
    <tableColumn id="13592" uniqueName="13592" name="Column13583" queryTableFieldId="2802" dataDxfId="3019"/>
    <tableColumn id="13593" uniqueName="13593" name="Column13584" queryTableFieldId="2801" dataDxfId="3018"/>
    <tableColumn id="13594" uniqueName="13594" name="Column13585" queryTableFieldId="2800" dataDxfId="3017"/>
    <tableColumn id="13595" uniqueName="13595" name="Column13586" queryTableFieldId="2799" dataDxfId="3016"/>
    <tableColumn id="13596" uniqueName="13596" name="Column13587" queryTableFieldId="2798" dataDxfId="3015"/>
    <tableColumn id="13597" uniqueName="13597" name="Column13588" queryTableFieldId="2797" dataDxfId="3014"/>
    <tableColumn id="13598" uniqueName="13598" name="Column13589" queryTableFieldId="2796" dataDxfId="3013"/>
    <tableColumn id="13599" uniqueName="13599" name="Column13590" queryTableFieldId="2795" dataDxfId="3012"/>
    <tableColumn id="13600" uniqueName="13600" name="Column13591" queryTableFieldId="2794" dataDxfId="3011"/>
    <tableColumn id="13601" uniqueName="13601" name="Column13592" queryTableFieldId="2793" dataDxfId="3010"/>
    <tableColumn id="13602" uniqueName="13602" name="Column13593" queryTableFieldId="2792" dataDxfId="3009"/>
    <tableColumn id="13603" uniqueName="13603" name="Column13594" queryTableFieldId="2791" dataDxfId="3008"/>
    <tableColumn id="13604" uniqueName="13604" name="Column13595" queryTableFieldId="2790" dataDxfId="3007"/>
    <tableColumn id="13605" uniqueName="13605" name="Column13596" queryTableFieldId="2789" dataDxfId="3006"/>
    <tableColumn id="13606" uniqueName="13606" name="Column13597" queryTableFieldId="2788" dataDxfId="3005"/>
    <tableColumn id="13607" uniqueName="13607" name="Column13598" queryTableFieldId="2787" dataDxfId="3004"/>
    <tableColumn id="13608" uniqueName="13608" name="Column13599" queryTableFieldId="2786" dataDxfId="3003"/>
    <tableColumn id="13609" uniqueName="13609" name="Column13600" queryTableFieldId="2785" dataDxfId="3002"/>
    <tableColumn id="13610" uniqueName="13610" name="Column13601" queryTableFieldId="2784" dataDxfId="3001"/>
    <tableColumn id="13611" uniqueName="13611" name="Column13602" queryTableFieldId="2783" dataDxfId="3000"/>
    <tableColumn id="13612" uniqueName="13612" name="Column13603" queryTableFieldId="2782" dataDxfId="2999"/>
    <tableColumn id="13613" uniqueName="13613" name="Column13604" queryTableFieldId="2781" dataDxfId="2998"/>
    <tableColumn id="13614" uniqueName="13614" name="Column13605" queryTableFieldId="2780" dataDxfId="2997"/>
    <tableColumn id="13615" uniqueName="13615" name="Column13606" queryTableFieldId="2779" dataDxfId="2996"/>
    <tableColumn id="13616" uniqueName="13616" name="Column13607" queryTableFieldId="2778" dataDxfId="2995"/>
    <tableColumn id="13617" uniqueName="13617" name="Column13608" queryTableFieldId="2777" dataDxfId="2994"/>
    <tableColumn id="13618" uniqueName="13618" name="Column13609" queryTableFieldId="2776" dataDxfId="2993"/>
    <tableColumn id="13619" uniqueName="13619" name="Column13610" queryTableFieldId="2775" dataDxfId="2992"/>
    <tableColumn id="13620" uniqueName="13620" name="Column13611" queryTableFieldId="2774" dataDxfId="2991"/>
    <tableColumn id="13621" uniqueName="13621" name="Column13612" queryTableFieldId="2773" dataDxfId="2990"/>
    <tableColumn id="13622" uniqueName="13622" name="Column13613" queryTableFieldId="2772" dataDxfId="2989"/>
    <tableColumn id="13623" uniqueName="13623" name="Column13614" queryTableFieldId="2771" dataDxfId="2988"/>
    <tableColumn id="13624" uniqueName="13624" name="Column13615" queryTableFieldId="2770" dataDxfId="2987"/>
    <tableColumn id="13625" uniqueName="13625" name="Column13616" queryTableFieldId="2769" dataDxfId="2986"/>
    <tableColumn id="13626" uniqueName="13626" name="Column13617" queryTableFieldId="2768" dataDxfId="2985"/>
    <tableColumn id="13627" uniqueName="13627" name="Column13618" queryTableFieldId="2767" dataDxfId="2984"/>
    <tableColumn id="13628" uniqueName="13628" name="Column13619" queryTableFieldId="2766" dataDxfId="2983"/>
    <tableColumn id="13629" uniqueName="13629" name="Column13620" queryTableFieldId="2765" dataDxfId="2982"/>
    <tableColumn id="13630" uniqueName="13630" name="Column13621" queryTableFieldId="2764" dataDxfId="2981"/>
    <tableColumn id="13631" uniqueName="13631" name="Column13622" queryTableFieldId="2763" dataDxfId="2980"/>
    <tableColumn id="13632" uniqueName="13632" name="Column13623" queryTableFieldId="2762" dataDxfId="2979"/>
    <tableColumn id="13633" uniqueName="13633" name="Column13624" queryTableFieldId="2761" dataDxfId="2978"/>
    <tableColumn id="13634" uniqueName="13634" name="Column13625" queryTableFieldId="2760" dataDxfId="2977"/>
    <tableColumn id="13635" uniqueName="13635" name="Column13626" queryTableFieldId="2759" dataDxfId="2976"/>
    <tableColumn id="13636" uniqueName="13636" name="Column13627" queryTableFieldId="2758" dataDxfId="2975"/>
    <tableColumn id="13637" uniqueName="13637" name="Column13628" queryTableFieldId="2757" dataDxfId="2974"/>
    <tableColumn id="13638" uniqueName="13638" name="Column13629" queryTableFieldId="2756" dataDxfId="2973"/>
    <tableColumn id="13639" uniqueName="13639" name="Column13630" queryTableFieldId="2755" dataDxfId="2972"/>
    <tableColumn id="13640" uniqueName="13640" name="Column13631" queryTableFieldId="2754" dataDxfId="2971"/>
    <tableColumn id="13641" uniqueName="13641" name="Column13632" queryTableFieldId="2753" dataDxfId="2970"/>
    <tableColumn id="13642" uniqueName="13642" name="Column13633" queryTableFieldId="2752" dataDxfId="2969"/>
    <tableColumn id="13643" uniqueName="13643" name="Column13634" queryTableFieldId="2751" dataDxfId="2968"/>
    <tableColumn id="13644" uniqueName="13644" name="Column13635" queryTableFieldId="2750" dataDxfId="2967"/>
    <tableColumn id="13645" uniqueName="13645" name="Column13636" queryTableFieldId="2749" dataDxfId="2966"/>
    <tableColumn id="13646" uniqueName="13646" name="Column13637" queryTableFieldId="2748" dataDxfId="2965"/>
    <tableColumn id="13647" uniqueName="13647" name="Column13638" queryTableFieldId="2747" dataDxfId="2964"/>
    <tableColumn id="13648" uniqueName="13648" name="Column13639" queryTableFieldId="2746" dataDxfId="2963"/>
    <tableColumn id="13649" uniqueName="13649" name="Column13640" queryTableFieldId="2745" dataDxfId="2962"/>
    <tableColumn id="13650" uniqueName="13650" name="Column13641" queryTableFieldId="2744" dataDxfId="2961"/>
    <tableColumn id="13651" uniqueName="13651" name="Column13642" queryTableFieldId="2743" dataDxfId="2960"/>
    <tableColumn id="13652" uniqueName="13652" name="Column13643" queryTableFieldId="2742" dataDxfId="2959"/>
    <tableColumn id="13653" uniqueName="13653" name="Column13644" queryTableFieldId="2741" dataDxfId="2958"/>
    <tableColumn id="13654" uniqueName="13654" name="Column13645" queryTableFieldId="2740" dataDxfId="2957"/>
    <tableColumn id="13655" uniqueName="13655" name="Column13646" queryTableFieldId="2739" dataDxfId="2956"/>
    <tableColumn id="13656" uniqueName="13656" name="Column13647" queryTableFieldId="2738" dataDxfId="2955"/>
    <tableColumn id="13657" uniqueName="13657" name="Column13648" queryTableFieldId="2737" dataDxfId="2954"/>
    <tableColumn id="13658" uniqueName="13658" name="Column13649" queryTableFieldId="2736" dataDxfId="2953"/>
    <tableColumn id="13659" uniqueName="13659" name="Column13650" queryTableFieldId="2735" dataDxfId="2952"/>
    <tableColumn id="13660" uniqueName="13660" name="Column13651" queryTableFieldId="2734" dataDxfId="2951"/>
    <tableColumn id="13661" uniqueName="13661" name="Column13652" queryTableFieldId="2733" dataDxfId="2950"/>
    <tableColumn id="13662" uniqueName="13662" name="Column13653" queryTableFieldId="2732" dataDxfId="2949"/>
    <tableColumn id="13663" uniqueName="13663" name="Column13654" queryTableFieldId="2731" dataDxfId="2948"/>
    <tableColumn id="13664" uniqueName="13664" name="Column13655" queryTableFieldId="2730" dataDxfId="2947"/>
    <tableColumn id="13665" uniqueName="13665" name="Column13656" queryTableFieldId="2729" dataDxfId="2946"/>
    <tableColumn id="13666" uniqueName="13666" name="Column13657" queryTableFieldId="2728" dataDxfId="2945"/>
    <tableColumn id="13667" uniqueName="13667" name="Column13658" queryTableFieldId="2727" dataDxfId="2944"/>
    <tableColumn id="13668" uniqueName="13668" name="Column13659" queryTableFieldId="2726" dataDxfId="2943"/>
    <tableColumn id="13669" uniqueName="13669" name="Column13660" queryTableFieldId="2725" dataDxfId="2942"/>
    <tableColumn id="13670" uniqueName="13670" name="Column13661" queryTableFieldId="2724" dataDxfId="2941"/>
    <tableColumn id="13671" uniqueName="13671" name="Column13662" queryTableFieldId="2723" dataDxfId="2940"/>
    <tableColumn id="13672" uniqueName="13672" name="Column13663" queryTableFieldId="2722" dataDxfId="2939"/>
    <tableColumn id="13673" uniqueName="13673" name="Column13664" queryTableFieldId="2721" dataDxfId="2938"/>
    <tableColumn id="13674" uniqueName="13674" name="Column13665" queryTableFieldId="2720" dataDxfId="2937"/>
    <tableColumn id="13675" uniqueName="13675" name="Column13666" queryTableFieldId="2719" dataDxfId="2936"/>
    <tableColumn id="13676" uniqueName="13676" name="Column13667" queryTableFieldId="2718" dataDxfId="2935"/>
    <tableColumn id="13677" uniqueName="13677" name="Column13668" queryTableFieldId="2717" dataDxfId="2934"/>
    <tableColumn id="13678" uniqueName="13678" name="Column13669" queryTableFieldId="2716" dataDxfId="2933"/>
    <tableColumn id="13679" uniqueName="13679" name="Column13670" queryTableFieldId="2715" dataDxfId="2932"/>
    <tableColumn id="13680" uniqueName="13680" name="Column13671" queryTableFieldId="2714" dataDxfId="2931"/>
    <tableColumn id="13681" uniqueName="13681" name="Column13672" queryTableFieldId="2713" dataDxfId="2930"/>
    <tableColumn id="13682" uniqueName="13682" name="Column13673" queryTableFieldId="2712" dataDxfId="2929"/>
    <tableColumn id="13683" uniqueName="13683" name="Column13674" queryTableFieldId="2711" dataDxfId="2928"/>
    <tableColumn id="13684" uniqueName="13684" name="Column13675" queryTableFieldId="2710" dataDxfId="2927"/>
    <tableColumn id="13685" uniqueName="13685" name="Column13676" queryTableFieldId="2709" dataDxfId="2926"/>
    <tableColumn id="13686" uniqueName="13686" name="Column13677" queryTableFieldId="2708" dataDxfId="2925"/>
    <tableColumn id="13687" uniqueName="13687" name="Column13678" queryTableFieldId="2707" dataDxfId="2924"/>
    <tableColumn id="13688" uniqueName="13688" name="Column13679" queryTableFieldId="2706" dataDxfId="2923"/>
    <tableColumn id="13689" uniqueName="13689" name="Column13680" queryTableFieldId="2705" dataDxfId="2922"/>
    <tableColumn id="13690" uniqueName="13690" name="Column13681" queryTableFieldId="2704" dataDxfId="2921"/>
    <tableColumn id="13691" uniqueName="13691" name="Column13682" queryTableFieldId="2703" dataDxfId="2920"/>
    <tableColumn id="13692" uniqueName="13692" name="Column13683" queryTableFieldId="2702" dataDxfId="2919"/>
    <tableColumn id="13693" uniqueName="13693" name="Column13684" queryTableFieldId="2701" dataDxfId="2918"/>
    <tableColumn id="13694" uniqueName="13694" name="Column13685" queryTableFieldId="2700" dataDxfId="2917"/>
    <tableColumn id="13695" uniqueName="13695" name="Column13686" queryTableFieldId="2699" dataDxfId="2916"/>
    <tableColumn id="13696" uniqueName="13696" name="Column13687" queryTableFieldId="2698" dataDxfId="2915"/>
    <tableColumn id="13697" uniqueName="13697" name="Column13688" queryTableFieldId="2697" dataDxfId="2914"/>
    <tableColumn id="13698" uniqueName="13698" name="Column13689" queryTableFieldId="2696" dataDxfId="2913"/>
    <tableColumn id="13699" uniqueName="13699" name="Column13690" queryTableFieldId="2695" dataDxfId="2912"/>
    <tableColumn id="13700" uniqueName="13700" name="Column13691" queryTableFieldId="2694" dataDxfId="2911"/>
    <tableColumn id="13701" uniqueName="13701" name="Column13692" queryTableFieldId="2693" dataDxfId="2910"/>
    <tableColumn id="13702" uniqueName="13702" name="Column13693" queryTableFieldId="2692" dataDxfId="2909"/>
    <tableColumn id="13703" uniqueName="13703" name="Column13694" queryTableFieldId="2691" dataDxfId="2908"/>
    <tableColumn id="13704" uniqueName="13704" name="Column13695" queryTableFieldId="2690" dataDxfId="2907"/>
    <tableColumn id="13705" uniqueName="13705" name="Column13696" queryTableFieldId="2689" dataDxfId="2906"/>
    <tableColumn id="13706" uniqueName="13706" name="Column13697" queryTableFieldId="2688" dataDxfId="2905"/>
    <tableColumn id="13707" uniqueName="13707" name="Column13698" queryTableFieldId="2687" dataDxfId="2904"/>
    <tableColumn id="13708" uniqueName="13708" name="Column13699" queryTableFieldId="2686" dataDxfId="2903"/>
    <tableColumn id="13709" uniqueName="13709" name="Column13700" queryTableFieldId="2685" dataDxfId="2902"/>
    <tableColumn id="13710" uniqueName="13710" name="Column13701" queryTableFieldId="2684" dataDxfId="2901"/>
    <tableColumn id="13711" uniqueName="13711" name="Column13702" queryTableFieldId="2683" dataDxfId="2900"/>
    <tableColumn id="13712" uniqueName="13712" name="Column13703" queryTableFieldId="2682" dataDxfId="2899"/>
    <tableColumn id="13713" uniqueName="13713" name="Column13704" queryTableFieldId="2681" dataDxfId="2898"/>
    <tableColumn id="13714" uniqueName="13714" name="Column13705" queryTableFieldId="2680" dataDxfId="2897"/>
    <tableColumn id="13715" uniqueName="13715" name="Column13706" queryTableFieldId="2679" dataDxfId="2896"/>
    <tableColumn id="13716" uniqueName="13716" name="Column13707" queryTableFieldId="2678" dataDxfId="2895"/>
    <tableColumn id="13717" uniqueName="13717" name="Column13708" queryTableFieldId="2677" dataDxfId="2894"/>
    <tableColumn id="13718" uniqueName="13718" name="Column13709" queryTableFieldId="2676" dataDxfId="2893"/>
    <tableColumn id="13719" uniqueName="13719" name="Column13710" queryTableFieldId="2675" dataDxfId="2892"/>
    <tableColumn id="13720" uniqueName="13720" name="Column13711" queryTableFieldId="2674" dataDxfId="2891"/>
    <tableColumn id="13721" uniqueName="13721" name="Column13712" queryTableFieldId="2673" dataDxfId="2890"/>
    <tableColumn id="13722" uniqueName="13722" name="Column13713" queryTableFieldId="2672" dataDxfId="2889"/>
    <tableColumn id="13723" uniqueName="13723" name="Column13714" queryTableFieldId="2671" dataDxfId="2888"/>
    <tableColumn id="13724" uniqueName="13724" name="Column13715" queryTableFieldId="2670" dataDxfId="2887"/>
    <tableColumn id="13725" uniqueName="13725" name="Column13716" queryTableFieldId="2669" dataDxfId="2886"/>
    <tableColumn id="13726" uniqueName="13726" name="Column13717" queryTableFieldId="2668" dataDxfId="2885"/>
    <tableColumn id="13727" uniqueName="13727" name="Column13718" queryTableFieldId="2667" dataDxfId="2884"/>
    <tableColumn id="13728" uniqueName="13728" name="Column13719" queryTableFieldId="2666" dataDxfId="2883"/>
    <tableColumn id="13729" uniqueName="13729" name="Column13720" queryTableFieldId="2665" dataDxfId="2882"/>
    <tableColumn id="13730" uniqueName="13730" name="Column13721" queryTableFieldId="2664" dataDxfId="2881"/>
    <tableColumn id="13731" uniqueName="13731" name="Column13722" queryTableFieldId="2663" dataDxfId="2880"/>
    <tableColumn id="13732" uniqueName="13732" name="Column13723" queryTableFieldId="2662" dataDxfId="2879"/>
    <tableColumn id="13733" uniqueName="13733" name="Column13724" queryTableFieldId="2661" dataDxfId="2878"/>
    <tableColumn id="13734" uniqueName="13734" name="Column13725" queryTableFieldId="2660" dataDxfId="2877"/>
    <tableColumn id="13735" uniqueName="13735" name="Column13726" queryTableFieldId="2659" dataDxfId="2876"/>
    <tableColumn id="13736" uniqueName="13736" name="Column13727" queryTableFieldId="2658" dataDxfId="2875"/>
    <tableColumn id="13737" uniqueName="13737" name="Column13728" queryTableFieldId="2657" dataDxfId="2874"/>
    <tableColumn id="13738" uniqueName="13738" name="Column13729" queryTableFieldId="2656" dataDxfId="2873"/>
    <tableColumn id="13739" uniqueName="13739" name="Column13730" queryTableFieldId="2655" dataDxfId="2872"/>
    <tableColumn id="13740" uniqueName="13740" name="Column13731" queryTableFieldId="2654" dataDxfId="2871"/>
    <tableColumn id="13741" uniqueName="13741" name="Column13732" queryTableFieldId="2653" dataDxfId="2870"/>
    <tableColumn id="13742" uniqueName="13742" name="Column13733" queryTableFieldId="2652" dataDxfId="2869"/>
    <tableColumn id="13743" uniqueName="13743" name="Column13734" queryTableFieldId="2651" dataDxfId="2868"/>
    <tableColumn id="13744" uniqueName="13744" name="Column13735" queryTableFieldId="2650" dataDxfId="2867"/>
    <tableColumn id="13745" uniqueName="13745" name="Column13736" queryTableFieldId="2649" dataDxfId="2866"/>
    <tableColumn id="13746" uniqueName="13746" name="Column13737" queryTableFieldId="2648" dataDxfId="2865"/>
    <tableColumn id="13747" uniqueName="13747" name="Column13738" queryTableFieldId="2647" dataDxfId="2864"/>
    <tableColumn id="13748" uniqueName="13748" name="Column13739" queryTableFieldId="2646" dataDxfId="2863"/>
    <tableColumn id="13749" uniqueName="13749" name="Column13740" queryTableFieldId="2645" dataDxfId="2862"/>
    <tableColumn id="13750" uniqueName="13750" name="Column13741" queryTableFieldId="2644" dataDxfId="2861"/>
    <tableColumn id="13751" uniqueName="13751" name="Column13742" queryTableFieldId="2643" dataDxfId="2860"/>
    <tableColumn id="13752" uniqueName="13752" name="Column13743" queryTableFieldId="2642" dataDxfId="2859"/>
    <tableColumn id="13753" uniqueName="13753" name="Column13744" queryTableFieldId="2641" dataDxfId="2858"/>
    <tableColumn id="13754" uniqueName="13754" name="Column13745" queryTableFieldId="2640" dataDxfId="2857"/>
    <tableColumn id="13755" uniqueName="13755" name="Column13746" queryTableFieldId="2639" dataDxfId="2856"/>
    <tableColumn id="13756" uniqueName="13756" name="Column13747" queryTableFieldId="2638" dataDxfId="2855"/>
    <tableColumn id="13757" uniqueName="13757" name="Column13748" queryTableFieldId="2637" dataDxfId="2854"/>
    <tableColumn id="13758" uniqueName="13758" name="Column13749" queryTableFieldId="2636" dataDxfId="2853"/>
    <tableColumn id="13759" uniqueName="13759" name="Column13750" queryTableFieldId="2635" dataDxfId="2852"/>
    <tableColumn id="13760" uniqueName="13760" name="Column13751" queryTableFieldId="2634" dataDxfId="2851"/>
    <tableColumn id="13761" uniqueName="13761" name="Column13752" queryTableFieldId="2633" dataDxfId="2850"/>
    <tableColumn id="13762" uniqueName="13762" name="Column13753" queryTableFieldId="2632" dataDxfId="2849"/>
    <tableColumn id="13763" uniqueName="13763" name="Column13754" queryTableFieldId="2631" dataDxfId="2848"/>
    <tableColumn id="13764" uniqueName="13764" name="Column13755" queryTableFieldId="2630" dataDxfId="2847"/>
    <tableColumn id="13765" uniqueName="13765" name="Column13756" queryTableFieldId="2629" dataDxfId="2846"/>
    <tableColumn id="13766" uniqueName="13766" name="Column13757" queryTableFieldId="2628" dataDxfId="2845"/>
    <tableColumn id="13767" uniqueName="13767" name="Column13758" queryTableFieldId="2627" dataDxfId="2844"/>
    <tableColumn id="13768" uniqueName="13768" name="Column13759" queryTableFieldId="2626" dataDxfId="2843"/>
    <tableColumn id="13769" uniqueName="13769" name="Column13760" queryTableFieldId="2625" dataDxfId="2842"/>
    <tableColumn id="13770" uniqueName="13770" name="Column13761" queryTableFieldId="2624" dataDxfId="2841"/>
    <tableColumn id="13771" uniqueName="13771" name="Column13762" queryTableFieldId="2623" dataDxfId="2840"/>
    <tableColumn id="13772" uniqueName="13772" name="Column13763" queryTableFieldId="2622" dataDxfId="2839"/>
    <tableColumn id="13773" uniqueName="13773" name="Column13764" queryTableFieldId="2621" dataDxfId="2838"/>
    <tableColumn id="13774" uniqueName="13774" name="Column13765" queryTableFieldId="2620" dataDxfId="2837"/>
    <tableColumn id="13775" uniqueName="13775" name="Column13766" queryTableFieldId="2619" dataDxfId="2836"/>
    <tableColumn id="13776" uniqueName="13776" name="Column13767" queryTableFieldId="2618" dataDxfId="2835"/>
    <tableColumn id="13777" uniqueName="13777" name="Column13768" queryTableFieldId="2617" dataDxfId="2834"/>
    <tableColumn id="13778" uniqueName="13778" name="Column13769" queryTableFieldId="2616" dataDxfId="2833"/>
    <tableColumn id="13779" uniqueName="13779" name="Column13770" queryTableFieldId="2615" dataDxfId="2832"/>
    <tableColumn id="13780" uniqueName="13780" name="Column13771" queryTableFieldId="2614" dataDxfId="2831"/>
    <tableColumn id="13781" uniqueName="13781" name="Column13772" queryTableFieldId="2613" dataDxfId="2830"/>
    <tableColumn id="13782" uniqueName="13782" name="Column13773" queryTableFieldId="2612" dataDxfId="2829"/>
    <tableColumn id="13783" uniqueName="13783" name="Column13774" queryTableFieldId="2611" dataDxfId="2828"/>
    <tableColumn id="13784" uniqueName="13784" name="Column13775" queryTableFieldId="2610" dataDxfId="2827"/>
    <tableColumn id="13785" uniqueName="13785" name="Column13776" queryTableFieldId="2609" dataDxfId="2826"/>
    <tableColumn id="13786" uniqueName="13786" name="Column13777" queryTableFieldId="2608" dataDxfId="2825"/>
    <tableColumn id="13787" uniqueName="13787" name="Column13778" queryTableFieldId="2607" dataDxfId="2824"/>
    <tableColumn id="13788" uniqueName="13788" name="Column13779" queryTableFieldId="2606" dataDxfId="2823"/>
    <tableColumn id="13789" uniqueName="13789" name="Column13780" queryTableFieldId="2605" dataDxfId="2822"/>
    <tableColumn id="13790" uniqueName="13790" name="Column13781" queryTableFieldId="2604" dataDxfId="2821"/>
    <tableColumn id="13791" uniqueName="13791" name="Column13782" queryTableFieldId="2603" dataDxfId="2820"/>
    <tableColumn id="13792" uniqueName="13792" name="Column13783" queryTableFieldId="2602" dataDxfId="2819"/>
    <tableColumn id="13793" uniqueName="13793" name="Column13784" queryTableFieldId="2601" dataDxfId="2818"/>
    <tableColumn id="13794" uniqueName="13794" name="Column13785" queryTableFieldId="2600" dataDxfId="2817"/>
    <tableColumn id="13795" uniqueName="13795" name="Column13786" queryTableFieldId="2599" dataDxfId="2816"/>
    <tableColumn id="13796" uniqueName="13796" name="Column13787" queryTableFieldId="2598" dataDxfId="2815"/>
    <tableColumn id="13797" uniqueName="13797" name="Column13788" queryTableFieldId="2597" dataDxfId="2814"/>
    <tableColumn id="13798" uniqueName="13798" name="Column13789" queryTableFieldId="2596" dataDxfId="2813"/>
    <tableColumn id="13799" uniqueName="13799" name="Column13790" queryTableFieldId="2595" dataDxfId="2812"/>
    <tableColumn id="13800" uniqueName="13800" name="Column13791" queryTableFieldId="2594" dataDxfId="2811"/>
    <tableColumn id="13801" uniqueName="13801" name="Column13792" queryTableFieldId="2593" dataDxfId="2810"/>
    <tableColumn id="13802" uniqueName="13802" name="Column13793" queryTableFieldId="2592" dataDxfId="2809"/>
    <tableColumn id="13803" uniqueName="13803" name="Column13794" queryTableFieldId="2591" dataDxfId="2808"/>
    <tableColumn id="13804" uniqueName="13804" name="Column13795" queryTableFieldId="2590" dataDxfId="2807"/>
    <tableColumn id="13805" uniqueName="13805" name="Column13796" queryTableFieldId="2589" dataDxfId="2806"/>
    <tableColumn id="13806" uniqueName="13806" name="Column13797" queryTableFieldId="2588" dataDxfId="2805"/>
    <tableColumn id="13807" uniqueName="13807" name="Column13798" queryTableFieldId="2587" dataDxfId="2804"/>
    <tableColumn id="13808" uniqueName="13808" name="Column13799" queryTableFieldId="2586" dataDxfId="2803"/>
    <tableColumn id="13809" uniqueName="13809" name="Column13800" queryTableFieldId="2585" dataDxfId="2802"/>
    <tableColumn id="13810" uniqueName="13810" name="Column13801" queryTableFieldId="2584" dataDxfId="2801"/>
    <tableColumn id="13811" uniqueName="13811" name="Column13802" queryTableFieldId="2583" dataDxfId="2800"/>
    <tableColumn id="13812" uniqueName="13812" name="Column13803" queryTableFieldId="2582" dataDxfId="2799"/>
    <tableColumn id="13813" uniqueName="13813" name="Column13804" queryTableFieldId="2581" dataDxfId="2798"/>
    <tableColumn id="13814" uniqueName="13814" name="Column13805" queryTableFieldId="2580" dataDxfId="2797"/>
    <tableColumn id="13815" uniqueName="13815" name="Column13806" queryTableFieldId="2579" dataDxfId="2796"/>
    <tableColumn id="13816" uniqueName="13816" name="Column13807" queryTableFieldId="2578" dataDxfId="2795"/>
    <tableColumn id="13817" uniqueName="13817" name="Column13808" queryTableFieldId="2577" dataDxfId="2794"/>
    <tableColumn id="13818" uniqueName="13818" name="Column13809" queryTableFieldId="2576" dataDxfId="2793"/>
    <tableColumn id="13819" uniqueName="13819" name="Column13810" queryTableFieldId="2575" dataDxfId="2792"/>
    <tableColumn id="13820" uniqueName="13820" name="Column13811" queryTableFieldId="2574" dataDxfId="2791"/>
    <tableColumn id="13821" uniqueName="13821" name="Column13812" queryTableFieldId="2573" dataDxfId="2790"/>
    <tableColumn id="13822" uniqueName="13822" name="Column13813" queryTableFieldId="2572" dataDxfId="2789"/>
    <tableColumn id="13823" uniqueName="13823" name="Column13814" queryTableFieldId="2571" dataDxfId="2788"/>
    <tableColumn id="13824" uniqueName="13824" name="Column13815" queryTableFieldId="2570" dataDxfId="2787"/>
    <tableColumn id="13825" uniqueName="13825" name="Column13816" queryTableFieldId="2569" dataDxfId="2786"/>
    <tableColumn id="13826" uniqueName="13826" name="Column13817" queryTableFieldId="2568" dataDxfId="2785"/>
    <tableColumn id="13827" uniqueName="13827" name="Column13818" queryTableFieldId="2567" dataDxfId="2784"/>
    <tableColumn id="13828" uniqueName="13828" name="Column13819" queryTableFieldId="2566" dataDxfId="2783"/>
    <tableColumn id="13829" uniqueName="13829" name="Column13820" queryTableFieldId="2565" dataDxfId="2782"/>
    <tableColumn id="13830" uniqueName="13830" name="Column13821" queryTableFieldId="2564" dataDxfId="2781"/>
    <tableColumn id="13831" uniqueName="13831" name="Column13822" queryTableFieldId="2563" dataDxfId="2780"/>
    <tableColumn id="13832" uniqueName="13832" name="Column13823" queryTableFieldId="2562" dataDxfId="2779"/>
    <tableColumn id="13833" uniqueName="13833" name="Column13824" queryTableFieldId="2561" dataDxfId="2778"/>
    <tableColumn id="13834" uniqueName="13834" name="Column13825" queryTableFieldId="2560" dataDxfId="2777"/>
    <tableColumn id="13835" uniqueName="13835" name="Column13826" queryTableFieldId="2559" dataDxfId="2776"/>
    <tableColumn id="13836" uniqueName="13836" name="Column13827" queryTableFieldId="2558" dataDxfId="2775"/>
    <tableColumn id="13837" uniqueName="13837" name="Column13828" queryTableFieldId="2557" dataDxfId="2774"/>
    <tableColumn id="13838" uniqueName="13838" name="Column13829" queryTableFieldId="2556" dataDxfId="2773"/>
    <tableColumn id="13839" uniqueName="13839" name="Column13830" queryTableFieldId="2555" dataDxfId="2772"/>
    <tableColumn id="13840" uniqueName="13840" name="Column13831" queryTableFieldId="2554" dataDxfId="2771"/>
    <tableColumn id="13841" uniqueName="13841" name="Column13832" queryTableFieldId="2553" dataDxfId="2770"/>
    <tableColumn id="13842" uniqueName="13842" name="Column13833" queryTableFieldId="2552" dataDxfId="2769"/>
    <tableColumn id="13843" uniqueName="13843" name="Column13834" queryTableFieldId="2551" dataDxfId="2768"/>
    <tableColumn id="13844" uniqueName="13844" name="Column13835" queryTableFieldId="2550" dataDxfId="2767"/>
    <tableColumn id="13845" uniqueName="13845" name="Column13836" queryTableFieldId="2549" dataDxfId="2766"/>
    <tableColumn id="13846" uniqueName="13846" name="Column13837" queryTableFieldId="2548" dataDxfId="2765"/>
    <tableColumn id="13847" uniqueName="13847" name="Column13838" queryTableFieldId="2547" dataDxfId="2764"/>
    <tableColumn id="13848" uniqueName="13848" name="Column13839" queryTableFieldId="2546" dataDxfId="2763"/>
    <tableColumn id="13849" uniqueName="13849" name="Column13840" queryTableFieldId="2545" dataDxfId="2762"/>
    <tableColumn id="13850" uniqueName="13850" name="Column13841" queryTableFieldId="2544" dataDxfId="2761"/>
    <tableColumn id="13851" uniqueName="13851" name="Column13842" queryTableFieldId="2543" dataDxfId="2760"/>
    <tableColumn id="13852" uniqueName="13852" name="Column13843" queryTableFieldId="2542" dataDxfId="2759"/>
    <tableColumn id="13853" uniqueName="13853" name="Column13844" queryTableFieldId="2541" dataDxfId="2758"/>
    <tableColumn id="13854" uniqueName="13854" name="Column13845" queryTableFieldId="2540" dataDxfId="2757"/>
    <tableColumn id="13855" uniqueName="13855" name="Column13846" queryTableFieldId="2539" dataDxfId="2756"/>
    <tableColumn id="13856" uniqueName="13856" name="Column13847" queryTableFieldId="2538" dataDxfId="2755"/>
    <tableColumn id="13857" uniqueName="13857" name="Column13848" queryTableFieldId="2537" dataDxfId="2754"/>
    <tableColumn id="13858" uniqueName="13858" name="Column13849" queryTableFieldId="2536" dataDxfId="2753"/>
    <tableColumn id="13859" uniqueName="13859" name="Column13850" queryTableFieldId="2535" dataDxfId="2752"/>
    <tableColumn id="13860" uniqueName="13860" name="Column13851" queryTableFieldId="2534" dataDxfId="2751"/>
    <tableColumn id="13861" uniqueName="13861" name="Column13852" queryTableFieldId="2533" dataDxfId="2750"/>
    <tableColumn id="13862" uniqueName="13862" name="Column13853" queryTableFieldId="2532" dataDxfId="2749"/>
    <tableColumn id="13863" uniqueName="13863" name="Column13854" queryTableFieldId="2531" dataDxfId="2748"/>
    <tableColumn id="13864" uniqueName="13864" name="Column13855" queryTableFieldId="2530" dataDxfId="2747"/>
    <tableColumn id="13865" uniqueName="13865" name="Column13856" queryTableFieldId="2529" dataDxfId="2746"/>
    <tableColumn id="13866" uniqueName="13866" name="Column13857" queryTableFieldId="2528" dataDxfId="2745"/>
    <tableColumn id="13867" uniqueName="13867" name="Column13858" queryTableFieldId="2527" dataDxfId="2744"/>
    <tableColumn id="13868" uniqueName="13868" name="Column13859" queryTableFieldId="2526" dataDxfId="2743"/>
    <tableColumn id="13869" uniqueName="13869" name="Column13860" queryTableFieldId="2525" dataDxfId="2742"/>
    <tableColumn id="13870" uniqueName="13870" name="Column13861" queryTableFieldId="2524" dataDxfId="2741"/>
    <tableColumn id="13871" uniqueName="13871" name="Column13862" queryTableFieldId="2523" dataDxfId="2740"/>
    <tableColumn id="13872" uniqueName="13872" name="Column13863" queryTableFieldId="2522" dataDxfId="2739"/>
    <tableColumn id="13873" uniqueName="13873" name="Column13864" queryTableFieldId="2521" dataDxfId="2738"/>
    <tableColumn id="13874" uniqueName="13874" name="Column13865" queryTableFieldId="2520" dataDxfId="2737"/>
    <tableColumn id="13875" uniqueName="13875" name="Column13866" queryTableFieldId="2519" dataDxfId="2736"/>
    <tableColumn id="13876" uniqueName="13876" name="Column13867" queryTableFieldId="2518" dataDxfId="2735"/>
    <tableColumn id="13877" uniqueName="13877" name="Column13868" queryTableFieldId="2517" dataDxfId="2734"/>
    <tableColumn id="13878" uniqueName="13878" name="Column13869" queryTableFieldId="2516" dataDxfId="2733"/>
    <tableColumn id="13879" uniqueName="13879" name="Column13870" queryTableFieldId="2515" dataDxfId="2732"/>
    <tableColumn id="13880" uniqueName="13880" name="Column13871" queryTableFieldId="2514" dataDxfId="2731"/>
    <tableColumn id="13881" uniqueName="13881" name="Column13872" queryTableFieldId="2513" dataDxfId="2730"/>
    <tableColumn id="13882" uniqueName="13882" name="Column13873" queryTableFieldId="2512" dataDxfId="2729"/>
    <tableColumn id="13883" uniqueName="13883" name="Column13874" queryTableFieldId="2511" dataDxfId="2728"/>
    <tableColumn id="13884" uniqueName="13884" name="Column13875" queryTableFieldId="2510" dataDxfId="2727"/>
    <tableColumn id="13885" uniqueName="13885" name="Column13876" queryTableFieldId="2509" dataDxfId="2726"/>
    <tableColumn id="13886" uniqueName="13886" name="Column13877" queryTableFieldId="2508" dataDxfId="2725"/>
    <tableColumn id="13887" uniqueName="13887" name="Column13878" queryTableFieldId="2507" dataDxfId="2724"/>
    <tableColumn id="13888" uniqueName="13888" name="Column13879" queryTableFieldId="2506" dataDxfId="2723"/>
    <tableColumn id="13889" uniqueName="13889" name="Column13880" queryTableFieldId="2505" dataDxfId="2722"/>
    <tableColumn id="13890" uniqueName="13890" name="Column13881" queryTableFieldId="2504" dataDxfId="2721"/>
    <tableColumn id="13891" uniqueName="13891" name="Column13882" queryTableFieldId="2503" dataDxfId="2720"/>
    <tableColumn id="13892" uniqueName="13892" name="Column13883" queryTableFieldId="2502" dataDxfId="2719"/>
    <tableColumn id="13893" uniqueName="13893" name="Column13884" queryTableFieldId="2501" dataDxfId="2718"/>
    <tableColumn id="13894" uniqueName="13894" name="Column13885" queryTableFieldId="2500" dataDxfId="2717"/>
    <tableColumn id="13895" uniqueName="13895" name="Column13886" queryTableFieldId="2499" dataDxfId="2716"/>
    <tableColumn id="13896" uniqueName="13896" name="Column13887" queryTableFieldId="2498" dataDxfId="2715"/>
    <tableColumn id="13897" uniqueName="13897" name="Column13888" queryTableFieldId="2497" dataDxfId="2714"/>
    <tableColumn id="13898" uniqueName="13898" name="Column13889" queryTableFieldId="2496" dataDxfId="2713"/>
    <tableColumn id="13899" uniqueName="13899" name="Column13890" queryTableFieldId="2495" dataDxfId="2712"/>
    <tableColumn id="13900" uniqueName="13900" name="Column13891" queryTableFieldId="2494" dataDxfId="2711"/>
    <tableColumn id="13901" uniqueName="13901" name="Column13892" queryTableFieldId="2493" dataDxfId="2710"/>
    <tableColumn id="13902" uniqueName="13902" name="Column13893" queryTableFieldId="2492" dataDxfId="2709"/>
    <tableColumn id="13903" uniqueName="13903" name="Column13894" queryTableFieldId="2491" dataDxfId="2708"/>
    <tableColumn id="13904" uniqueName="13904" name="Column13895" queryTableFieldId="2490" dataDxfId="2707"/>
    <tableColumn id="13905" uniqueName="13905" name="Column13896" queryTableFieldId="2489" dataDxfId="2706"/>
    <tableColumn id="13906" uniqueName="13906" name="Column13897" queryTableFieldId="2488" dataDxfId="2705"/>
    <tableColumn id="13907" uniqueName="13907" name="Column13898" queryTableFieldId="2487" dataDxfId="2704"/>
    <tableColumn id="13908" uniqueName="13908" name="Column13899" queryTableFieldId="2486" dataDxfId="2703"/>
    <tableColumn id="13909" uniqueName="13909" name="Column13900" queryTableFieldId="2485" dataDxfId="2702"/>
    <tableColumn id="13910" uniqueName="13910" name="Column13901" queryTableFieldId="2484" dataDxfId="2701"/>
    <tableColumn id="13911" uniqueName="13911" name="Column13902" queryTableFieldId="2483" dataDxfId="2700"/>
    <tableColumn id="13912" uniqueName="13912" name="Column13903" queryTableFieldId="2482" dataDxfId="2699"/>
    <tableColumn id="13913" uniqueName="13913" name="Column13904" queryTableFieldId="2481" dataDxfId="2698"/>
    <tableColumn id="13914" uniqueName="13914" name="Column13905" queryTableFieldId="2480" dataDxfId="2697"/>
    <tableColumn id="13915" uniqueName="13915" name="Column13906" queryTableFieldId="2479" dataDxfId="2696"/>
    <tableColumn id="13916" uniqueName="13916" name="Column13907" queryTableFieldId="2478" dataDxfId="2695"/>
    <tableColumn id="13917" uniqueName="13917" name="Column13908" queryTableFieldId="2477" dataDxfId="2694"/>
    <tableColumn id="13918" uniqueName="13918" name="Column13909" queryTableFieldId="2476" dataDxfId="2693"/>
    <tableColumn id="13919" uniqueName="13919" name="Column13910" queryTableFieldId="2475" dataDxfId="2692"/>
    <tableColumn id="13920" uniqueName="13920" name="Column13911" queryTableFieldId="2474" dataDxfId="2691"/>
    <tableColumn id="13921" uniqueName="13921" name="Column13912" queryTableFieldId="2473" dataDxfId="2690"/>
    <tableColumn id="13922" uniqueName="13922" name="Column13913" queryTableFieldId="2472" dataDxfId="2689"/>
    <tableColumn id="13923" uniqueName="13923" name="Column13914" queryTableFieldId="2471" dataDxfId="2688"/>
    <tableColumn id="13924" uniqueName="13924" name="Column13915" queryTableFieldId="2470" dataDxfId="2687"/>
    <tableColumn id="13925" uniqueName="13925" name="Column13916" queryTableFieldId="2469" dataDxfId="2686"/>
    <tableColumn id="13926" uniqueName="13926" name="Column13917" queryTableFieldId="2468" dataDxfId="2685"/>
    <tableColumn id="13927" uniqueName="13927" name="Column13918" queryTableFieldId="2467" dataDxfId="2684"/>
    <tableColumn id="13928" uniqueName="13928" name="Column13919" queryTableFieldId="2466" dataDxfId="2683"/>
    <tableColumn id="13929" uniqueName="13929" name="Column13920" queryTableFieldId="2465" dataDxfId="2682"/>
    <tableColumn id="13930" uniqueName="13930" name="Column13921" queryTableFieldId="2464" dataDxfId="2681"/>
    <tableColumn id="13931" uniqueName="13931" name="Column13922" queryTableFieldId="2463" dataDxfId="2680"/>
    <tableColumn id="13932" uniqueName="13932" name="Column13923" queryTableFieldId="2462" dataDxfId="2679"/>
    <tableColumn id="13933" uniqueName="13933" name="Column13924" queryTableFieldId="2461" dataDxfId="2678"/>
    <tableColumn id="13934" uniqueName="13934" name="Column13925" queryTableFieldId="2460" dataDxfId="2677"/>
    <tableColumn id="13935" uniqueName="13935" name="Column13926" queryTableFieldId="2459" dataDxfId="2676"/>
    <tableColumn id="13936" uniqueName="13936" name="Column13927" queryTableFieldId="2458" dataDxfId="2675"/>
    <tableColumn id="13937" uniqueName="13937" name="Column13928" queryTableFieldId="2457" dataDxfId="2674"/>
    <tableColumn id="13938" uniqueName="13938" name="Column13929" queryTableFieldId="2456" dataDxfId="2673"/>
    <tableColumn id="13939" uniqueName="13939" name="Column13930" queryTableFieldId="2455" dataDxfId="2672"/>
    <tableColumn id="13940" uniqueName="13940" name="Column13931" queryTableFieldId="2454" dataDxfId="2671"/>
    <tableColumn id="13941" uniqueName="13941" name="Column13932" queryTableFieldId="2453" dataDxfId="2670"/>
    <tableColumn id="13942" uniqueName="13942" name="Column13933" queryTableFieldId="2452" dataDxfId="2669"/>
    <tableColumn id="13943" uniqueName="13943" name="Column13934" queryTableFieldId="2451" dataDxfId="2668"/>
    <tableColumn id="13944" uniqueName="13944" name="Column13935" queryTableFieldId="2450" dataDxfId="2667"/>
    <tableColumn id="13945" uniqueName="13945" name="Column13936" queryTableFieldId="2449" dataDxfId="2666"/>
    <tableColumn id="13946" uniqueName="13946" name="Column13937" queryTableFieldId="2448" dataDxfId="2665"/>
    <tableColumn id="13947" uniqueName="13947" name="Column13938" queryTableFieldId="2447" dataDxfId="2664"/>
    <tableColumn id="13948" uniqueName="13948" name="Column13939" queryTableFieldId="2446" dataDxfId="2663"/>
    <tableColumn id="13949" uniqueName="13949" name="Column13940" queryTableFieldId="2445" dataDxfId="2662"/>
    <tableColumn id="13950" uniqueName="13950" name="Column13941" queryTableFieldId="2444" dataDxfId="2661"/>
    <tableColumn id="13951" uniqueName="13951" name="Column13942" queryTableFieldId="2443" dataDxfId="2660"/>
    <tableColumn id="13952" uniqueName="13952" name="Column13943" queryTableFieldId="2442" dataDxfId="2659"/>
    <tableColumn id="13953" uniqueName="13953" name="Column13944" queryTableFieldId="2441" dataDxfId="2658"/>
    <tableColumn id="13954" uniqueName="13954" name="Column13945" queryTableFieldId="2440" dataDxfId="2657"/>
    <tableColumn id="13955" uniqueName="13955" name="Column13946" queryTableFieldId="2439" dataDxfId="2656"/>
    <tableColumn id="13956" uniqueName="13956" name="Column13947" queryTableFieldId="2438" dataDxfId="2655"/>
    <tableColumn id="13957" uniqueName="13957" name="Column13948" queryTableFieldId="2437" dataDxfId="2654"/>
    <tableColumn id="13958" uniqueName="13958" name="Column13949" queryTableFieldId="2436" dataDxfId="2653"/>
    <tableColumn id="13959" uniqueName="13959" name="Column13950" queryTableFieldId="2435" dataDxfId="2652"/>
    <tableColumn id="13960" uniqueName="13960" name="Column13951" queryTableFieldId="2434" dataDxfId="2651"/>
    <tableColumn id="13961" uniqueName="13961" name="Column13952" queryTableFieldId="2433" dataDxfId="2650"/>
    <tableColumn id="13962" uniqueName="13962" name="Column13953" queryTableFieldId="2432" dataDxfId="2649"/>
    <tableColumn id="13963" uniqueName="13963" name="Column13954" queryTableFieldId="2431" dataDxfId="2648"/>
    <tableColumn id="13964" uniqueName="13964" name="Column13955" queryTableFieldId="2430" dataDxfId="2647"/>
    <tableColumn id="13965" uniqueName="13965" name="Column13956" queryTableFieldId="2429" dataDxfId="2646"/>
    <tableColumn id="13966" uniqueName="13966" name="Column13957" queryTableFieldId="2428" dataDxfId="2645"/>
    <tableColumn id="13967" uniqueName="13967" name="Column13958" queryTableFieldId="2427" dataDxfId="2644"/>
    <tableColumn id="13968" uniqueName="13968" name="Column13959" queryTableFieldId="2426" dataDxfId="2643"/>
    <tableColumn id="13969" uniqueName="13969" name="Column13960" queryTableFieldId="2425" dataDxfId="2642"/>
    <tableColumn id="13970" uniqueName="13970" name="Column13961" queryTableFieldId="2424" dataDxfId="2641"/>
    <tableColumn id="13971" uniqueName="13971" name="Column13962" queryTableFieldId="2423" dataDxfId="2640"/>
    <tableColumn id="13972" uniqueName="13972" name="Column13963" queryTableFieldId="2422" dataDxfId="2639"/>
    <tableColumn id="13973" uniqueName="13973" name="Column13964" queryTableFieldId="2421" dataDxfId="2638"/>
    <tableColumn id="13974" uniqueName="13974" name="Column13965" queryTableFieldId="2420" dataDxfId="2637"/>
    <tableColumn id="13975" uniqueName="13975" name="Column13966" queryTableFieldId="2419" dataDxfId="2636"/>
    <tableColumn id="13976" uniqueName="13976" name="Column13967" queryTableFieldId="2418" dataDxfId="2635"/>
    <tableColumn id="13977" uniqueName="13977" name="Column13968" queryTableFieldId="2417" dataDxfId="2634"/>
    <tableColumn id="13978" uniqueName="13978" name="Column13969" queryTableFieldId="2416" dataDxfId="2633"/>
    <tableColumn id="13979" uniqueName="13979" name="Column13970" queryTableFieldId="2415" dataDxfId="2632"/>
    <tableColumn id="13980" uniqueName="13980" name="Column13971" queryTableFieldId="2414" dataDxfId="2631"/>
    <tableColumn id="13981" uniqueName="13981" name="Column13972" queryTableFieldId="2413" dataDxfId="2630"/>
    <tableColumn id="13982" uniqueName="13982" name="Column13973" queryTableFieldId="2412" dataDxfId="2629"/>
    <tableColumn id="13983" uniqueName="13983" name="Column13974" queryTableFieldId="2411" dataDxfId="2628"/>
    <tableColumn id="13984" uniqueName="13984" name="Column13975" queryTableFieldId="2410" dataDxfId="2627"/>
    <tableColumn id="13985" uniqueName="13985" name="Column13976" queryTableFieldId="2409" dataDxfId="2626"/>
    <tableColumn id="13986" uniqueName="13986" name="Column13977" queryTableFieldId="2408" dataDxfId="2625"/>
    <tableColumn id="13987" uniqueName="13987" name="Column13978" queryTableFieldId="2407" dataDxfId="2624"/>
    <tableColumn id="13988" uniqueName="13988" name="Column13979" queryTableFieldId="2406" dataDxfId="2623"/>
    <tableColumn id="13989" uniqueName="13989" name="Column13980" queryTableFieldId="2405" dataDxfId="2622"/>
    <tableColumn id="13990" uniqueName="13990" name="Column13981" queryTableFieldId="2404" dataDxfId="2621"/>
    <tableColumn id="13991" uniqueName="13991" name="Column13982" queryTableFieldId="2403" dataDxfId="2620"/>
    <tableColumn id="13992" uniqueName="13992" name="Column13983" queryTableFieldId="2402" dataDxfId="2619"/>
    <tableColumn id="13993" uniqueName="13993" name="Column13984" queryTableFieldId="2401" dataDxfId="2618"/>
    <tableColumn id="13994" uniqueName="13994" name="Column13985" queryTableFieldId="2400" dataDxfId="2617"/>
    <tableColumn id="13995" uniqueName="13995" name="Column13986" queryTableFieldId="2399" dataDxfId="2616"/>
    <tableColumn id="13996" uniqueName="13996" name="Column13987" queryTableFieldId="2398" dataDxfId="2615"/>
    <tableColumn id="13997" uniqueName="13997" name="Column13988" queryTableFieldId="2397" dataDxfId="2614"/>
    <tableColumn id="13998" uniqueName="13998" name="Column13989" queryTableFieldId="2396" dataDxfId="2613"/>
    <tableColumn id="13999" uniqueName="13999" name="Column13990" queryTableFieldId="2395" dataDxfId="2612"/>
    <tableColumn id="14000" uniqueName="14000" name="Column13991" queryTableFieldId="2394" dataDxfId="2611"/>
    <tableColumn id="14001" uniqueName="14001" name="Column13992" queryTableFieldId="2393" dataDxfId="2610"/>
    <tableColumn id="14002" uniqueName="14002" name="Column13993" queryTableFieldId="2392" dataDxfId="2609"/>
    <tableColumn id="14003" uniqueName="14003" name="Column13994" queryTableFieldId="2391" dataDxfId="2608"/>
    <tableColumn id="14004" uniqueName="14004" name="Column13995" queryTableFieldId="2390" dataDxfId="2607"/>
    <tableColumn id="14005" uniqueName="14005" name="Column13996" queryTableFieldId="2389" dataDxfId="2606"/>
    <tableColumn id="14006" uniqueName="14006" name="Column13997" queryTableFieldId="2388" dataDxfId="2605"/>
    <tableColumn id="14007" uniqueName="14007" name="Column13998" queryTableFieldId="2387" dataDxfId="2604"/>
    <tableColumn id="14008" uniqueName="14008" name="Column13999" queryTableFieldId="2386" dataDxfId="2603"/>
    <tableColumn id="14009" uniqueName="14009" name="Column14000" queryTableFieldId="2385" dataDxfId="2602"/>
    <tableColumn id="14010" uniqueName="14010" name="Column14001" queryTableFieldId="2384" dataDxfId="2601"/>
    <tableColumn id="14011" uniqueName="14011" name="Column14002" queryTableFieldId="2383" dataDxfId="2600"/>
    <tableColumn id="14012" uniqueName="14012" name="Column14003" queryTableFieldId="2382" dataDxfId="2599"/>
    <tableColumn id="14013" uniqueName="14013" name="Column14004" queryTableFieldId="2381" dataDxfId="2598"/>
    <tableColumn id="14014" uniqueName="14014" name="Column14005" queryTableFieldId="2380" dataDxfId="2597"/>
    <tableColumn id="14015" uniqueName="14015" name="Column14006" queryTableFieldId="2379" dataDxfId="2596"/>
    <tableColumn id="14016" uniqueName="14016" name="Column14007" queryTableFieldId="2378" dataDxfId="2595"/>
    <tableColumn id="14017" uniqueName="14017" name="Column14008" queryTableFieldId="2377" dataDxfId="2594"/>
    <tableColumn id="14018" uniqueName="14018" name="Column14009" queryTableFieldId="2376" dataDxfId="2593"/>
    <tableColumn id="14019" uniqueName="14019" name="Column14010" queryTableFieldId="2375" dataDxfId="2592"/>
    <tableColumn id="14020" uniqueName="14020" name="Column14011" queryTableFieldId="2374" dataDxfId="2591"/>
    <tableColumn id="14021" uniqueName="14021" name="Column14012" queryTableFieldId="2373" dataDxfId="2590"/>
    <tableColumn id="14022" uniqueName="14022" name="Column14013" queryTableFieldId="2372" dataDxfId="2589"/>
    <tableColumn id="14023" uniqueName="14023" name="Column14014" queryTableFieldId="2371" dataDxfId="2588"/>
    <tableColumn id="14024" uniqueName="14024" name="Column14015" queryTableFieldId="2370" dataDxfId="2587"/>
    <tableColumn id="14025" uniqueName="14025" name="Column14016" queryTableFieldId="2369" dataDxfId="2586"/>
    <tableColumn id="14026" uniqueName="14026" name="Column14017" queryTableFieldId="2368" dataDxfId="2585"/>
    <tableColumn id="14027" uniqueName="14027" name="Column14018" queryTableFieldId="2367" dataDxfId="2584"/>
    <tableColumn id="14028" uniqueName="14028" name="Column14019" queryTableFieldId="2366" dataDxfId="2583"/>
    <tableColumn id="14029" uniqueName="14029" name="Column14020" queryTableFieldId="2365" dataDxfId="2582"/>
    <tableColumn id="14030" uniqueName="14030" name="Column14021" queryTableFieldId="2364" dataDxfId="2581"/>
    <tableColumn id="14031" uniqueName="14031" name="Column14022" queryTableFieldId="2363" dataDxfId="2580"/>
    <tableColumn id="14032" uniqueName="14032" name="Column14023" queryTableFieldId="2362" dataDxfId="2579"/>
    <tableColumn id="14033" uniqueName="14033" name="Column14024" queryTableFieldId="2361" dataDxfId="2578"/>
    <tableColumn id="14034" uniqueName="14034" name="Column14025" queryTableFieldId="2360" dataDxfId="2577"/>
    <tableColumn id="14035" uniqueName="14035" name="Column14026" queryTableFieldId="2359" dataDxfId="2576"/>
    <tableColumn id="14036" uniqueName="14036" name="Column14027" queryTableFieldId="2358" dataDxfId="2575"/>
    <tableColumn id="14037" uniqueName="14037" name="Column14028" queryTableFieldId="2357" dataDxfId="2574"/>
    <tableColumn id="14038" uniqueName="14038" name="Column14029" queryTableFieldId="2356" dataDxfId="2573"/>
    <tableColumn id="14039" uniqueName="14039" name="Column14030" queryTableFieldId="2355" dataDxfId="2572"/>
    <tableColumn id="14040" uniqueName="14040" name="Column14031" queryTableFieldId="2354" dataDxfId="2571"/>
    <tableColumn id="14041" uniqueName="14041" name="Column14032" queryTableFieldId="2353" dataDxfId="2570"/>
    <tableColumn id="14042" uniqueName="14042" name="Column14033" queryTableFieldId="2352" dataDxfId="2569"/>
    <tableColumn id="14043" uniqueName="14043" name="Column14034" queryTableFieldId="2351" dataDxfId="2568"/>
    <tableColumn id="14044" uniqueName="14044" name="Column14035" queryTableFieldId="2350" dataDxfId="2567"/>
    <tableColumn id="14045" uniqueName="14045" name="Column14036" queryTableFieldId="2349" dataDxfId="2566"/>
    <tableColumn id="14046" uniqueName="14046" name="Column14037" queryTableFieldId="2348" dataDxfId="2565"/>
    <tableColumn id="14047" uniqueName="14047" name="Column14038" queryTableFieldId="2347" dataDxfId="2564"/>
    <tableColumn id="14048" uniqueName="14048" name="Column14039" queryTableFieldId="2346" dataDxfId="2563"/>
    <tableColumn id="14049" uniqueName="14049" name="Column14040" queryTableFieldId="2345" dataDxfId="2562"/>
    <tableColumn id="14050" uniqueName="14050" name="Column14041" queryTableFieldId="2344" dataDxfId="2561"/>
    <tableColumn id="14051" uniqueName="14051" name="Column14042" queryTableFieldId="2343" dataDxfId="2560"/>
    <tableColumn id="14052" uniqueName="14052" name="Column14043" queryTableFieldId="2342" dataDxfId="2559"/>
    <tableColumn id="14053" uniqueName="14053" name="Column14044" queryTableFieldId="2341" dataDxfId="2558"/>
    <tableColumn id="14054" uniqueName="14054" name="Column14045" queryTableFieldId="2340" dataDxfId="2557"/>
    <tableColumn id="14055" uniqueName="14055" name="Column14046" queryTableFieldId="2339" dataDxfId="2556"/>
    <tableColumn id="14056" uniqueName="14056" name="Column14047" queryTableFieldId="2338" dataDxfId="2555"/>
    <tableColumn id="14057" uniqueName="14057" name="Column14048" queryTableFieldId="2337" dataDxfId="2554"/>
    <tableColumn id="14058" uniqueName="14058" name="Column14049" queryTableFieldId="2336" dataDxfId="2553"/>
    <tableColumn id="14059" uniqueName="14059" name="Column14050" queryTableFieldId="2335" dataDxfId="2552"/>
    <tableColumn id="14060" uniqueName="14060" name="Column14051" queryTableFieldId="2334" dataDxfId="2551"/>
    <tableColumn id="14061" uniqueName="14061" name="Column14052" queryTableFieldId="2333" dataDxfId="2550"/>
    <tableColumn id="14062" uniqueName="14062" name="Column14053" queryTableFieldId="2332" dataDxfId="2549"/>
    <tableColumn id="14063" uniqueName="14063" name="Column14054" queryTableFieldId="2331" dataDxfId="2548"/>
    <tableColumn id="14064" uniqueName="14064" name="Column14055" queryTableFieldId="2330" dataDxfId="2547"/>
    <tableColumn id="14065" uniqueName="14065" name="Column14056" queryTableFieldId="2329" dataDxfId="2546"/>
    <tableColumn id="14066" uniqueName="14066" name="Column14057" queryTableFieldId="2328" dataDxfId="2545"/>
    <tableColumn id="14067" uniqueName="14067" name="Column14058" queryTableFieldId="2327" dataDxfId="2544"/>
    <tableColumn id="14068" uniqueName="14068" name="Column14059" queryTableFieldId="2326" dataDxfId="2543"/>
    <tableColumn id="14069" uniqueName="14069" name="Column14060" queryTableFieldId="2325" dataDxfId="2542"/>
    <tableColumn id="14070" uniqueName="14070" name="Column14061" queryTableFieldId="2324" dataDxfId="2541"/>
    <tableColumn id="14071" uniqueName="14071" name="Column14062" queryTableFieldId="2323" dataDxfId="2540"/>
    <tableColumn id="14072" uniqueName="14072" name="Column14063" queryTableFieldId="2322" dataDxfId="2539"/>
    <tableColumn id="14073" uniqueName="14073" name="Column14064" queryTableFieldId="2321" dataDxfId="2538"/>
    <tableColumn id="14074" uniqueName="14074" name="Column14065" queryTableFieldId="2320" dataDxfId="2537"/>
    <tableColumn id="14075" uniqueName="14075" name="Column14066" queryTableFieldId="2319" dataDxfId="2536"/>
    <tableColumn id="14076" uniqueName="14076" name="Column14067" queryTableFieldId="2318" dataDxfId="2535"/>
    <tableColumn id="14077" uniqueName="14077" name="Column14068" queryTableFieldId="2317" dataDxfId="2534"/>
    <tableColumn id="14078" uniqueName="14078" name="Column14069" queryTableFieldId="2316" dataDxfId="2533"/>
    <tableColumn id="14079" uniqueName="14079" name="Column14070" queryTableFieldId="2315" dataDxfId="2532"/>
    <tableColumn id="14080" uniqueName="14080" name="Column14071" queryTableFieldId="2314" dataDxfId="2531"/>
    <tableColumn id="14081" uniqueName="14081" name="Column14072" queryTableFieldId="2313" dataDxfId="2530"/>
    <tableColumn id="14082" uniqueName="14082" name="Column14073" queryTableFieldId="2312" dataDxfId="2529"/>
    <tableColumn id="14083" uniqueName="14083" name="Column14074" queryTableFieldId="2311" dataDxfId="2528"/>
    <tableColumn id="14084" uniqueName="14084" name="Column14075" queryTableFieldId="2310" dataDxfId="2527"/>
    <tableColumn id="14085" uniqueName="14085" name="Column14076" queryTableFieldId="2309" dataDxfId="2526"/>
    <tableColumn id="14086" uniqueName="14086" name="Column14077" queryTableFieldId="2308" dataDxfId="2525"/>
    <tableColumn id="14087" uniqueName="14087" name="Column14078" queryTableFieldId="2307" dataDxfId="2524"/>
    <tableColumn id="14088" uniqueName="14088" name="Column14079" queryTableFieldId="2306" dataDxfId="2523"/>
    <tableColumn id="14089" uniqueName="14089" name="Column14080" queryTableFieldId="2305" dataDxfId="2522"/>
    <tableColumn id="14090" uniqueName="14090" name="Column14081" queryTableFieldId="2304" dataDxfId="2521"/>
    <tableColumn id="14091" uniqueName="14091" name="Column14082" queryTableFieldId="2303" dataDxfId="2520"/>
    <tableColumn id="14092" uniqueName="14092" name="Column14083" queryTableFieldId="2302" dataDxfId="2519"/>
    <tableColumn id="14093" uniqueName="14093" name="Column14084" queryTableFieldId="2301" dataDxfId="2518"/>
    <tableColumn id="14094" uniqueName="14094" name="Column14085" queryTableFieldId="2300" dataDxfId="2517"/>
    <tableColumn id="14095" uniqueName="14095" name="Column14086" queryTableFieldId="2299" dataDxfId="2516"/>
    <tableColumn id="14096" uniqueName="14096" name="Column14087" queryTableFieldId="2298" dataDxfId="2515"/>
    <tableColumn id="14097" uniqueName="14097" name="Column14088" queryTableFieldId="2297" dataDxfId="2514"/>
    <tableColumn id="14098" uniqueName="14098" name="Column14089" queryTableFieldId="2296" dataDxfId="2513"/>
    <tableColumn id="14099" uniqueName="14099" name="Column14090" queryTableFieldId="2295" dataDxfId="2512"/>
    <tableColumn id="14100" uniqueName="14100" name="Column14091" queryTableFieldId="2294" dataDxfId="2511"/>
    <tableColumn id="14101" uniqueName="14101" name="Column14092" queryTableFieldId="2293" dataDxfId="2510"/>
    <tableColumn id="14102" uniqueName="14102" name="Column14093" queryTableFieldId="2292" dataDxfId="2509"/>
    <tableColumn id="14103" uniqueName="14103" name="Column14094" queryTableFieldId="2291" dataDxfId="2508"/>
    <tableColumn id="14104" uniqueName="14104" name="Column14095" queryTableFieldId="2290" dataDxfId="2507"/>
    <tableColumn id="14105" uniqueName="14105" name="Column14096" queryTableFieldId="2289" dataDxfId="2506"/>
    <tableColumn id="14106" uniqueName="14106" name="Column14097" queryTableFieldId="2288" dataDxfId="2505"/>
    <tableColumn id="14107" uniqueName="14107" name="Column14098" queryTableFieldId="2287" dataDxfId="2504"/>
    <tableColumn id="14108" uniqueName="14108" name="Column14099" queryTableFieldId="2286" dataDxfId="2503"/>
    <tableColumn id="14109" uniqueName="14109" name="Column14100" queryTableFieldId="2285" dataDxfId="2502"/>
    <tableColumn id="14110" uniqueName="14110" name="Column14101" queryTableFieldId="2284" dataDxfId="2501"/>
    <tableColumn id="14111" uniqueName="14111" name="Column14102" queryTableFieldId="2283" dataDxfId="2500"/>
    <tableColumn id="14112" uniqueName="14112" name="Column14103" queryTableFieldId="2282" dataDxfId="2499"/>
    <tableColumn id="14113" uniqueName="14113" name="Column14104" queryTableFieldId="2281" dataDxfId="2498"/>
    <tableColumn id="14114" uniqueName="14114" name="Column14105" queryTableFieldId="2280" dataDxfId="2497"/>
    <tableColumn id="14115" uniqueName="14115" name="Column14106" queryTableFieldId="2279" dataDxfId="2496"/>
    <tableColumn id="14116" uniqueName="14116" name="Column14107" queryTableFieldId="2278" dataDxfId="2495"/>
    <tableColumn id="14117" uniqueName="14117" name="Column14108" queryTableFieldId="2277" dataDxfId="2494"/>
    <tableColumn id="14118" uniqueName="14118" name="Column14109" queryTableFieldId="2276" dataDxfId="2493"/>
    <tableColumn id="14119" uniqueName="14119" name="Column14110" queryTableFieldId="2275" dataDxfId="2492"/>
    <tableColumn id="14120" uniqueName="14120" name="Column14111" queryTableFieldId="2274" dataDxfId="2491"/>
    <tableColumn id="14121" uniqueName="14121" name="Column14112" queryTableFieldId="2273" dataDxfId="2490"/>
    <tableColumn id="14122" uniqueName="14122" name="Column14113" queryTableFieldId="2272" dataDxfId="2489"/>
    <tableColumn id="14123" uniqueName="14123" name="Column14114" queryTableFieldId="2271" dataDxfId="2488"/>
    <tableColumn id="14124" uniqueName="14124" name="Column14115" queryTableFieldId="2270" dataDxfId="2487"/>
    <tableColumn id="14125" uniqueName="14125" name="Column14116" queryTableFieldId="2269" dataDxfId="2486"/>
    <tableColumn id="14126" uniqueName="14126" name="Column14117" queryTableFieldId="2268" dataDxfId="2485"/>
    <tableColumn id="14127" uniqueName="14127" name="Column14118" queryTableFieldId="2267" dataDxfId="2484"/>
    <tableColumn id="14128" uniqueName="14128" name="Column14119" queryTableFieldId="2266" dataDxfId="2483"/>
    <tableColumn id="14129" uniqueName="14129" name="Column14120" queryTableFieldId="2265" dataDxfId="2482"/>
    <tableColumn id="14130" uniqueName="14130" name="Column14121" queryTableFieldId="2264" dataDxfId="2481"/>
    <tableColumn id="14131" uniqueName="14131" name="Column14122" queryTableFieldId="2263" dataDxfId="2480"/>
    <tableColumn id="14132" uniqueName="14132" name="Column14123" queryTableFieldId="2262" dataDxfId="2479"/>
    <tableColumn id="14133" uniqueName="14133" name="Column14124" queryTableFieldId="2261" dataDxfId="2478"/>
    <tableColumn id="14134" uniqueName="14134" name="Column14125" queryTableFieldId="2260" dataDxfId="2477"/>
    <tableColumn id="14135" uniqueName="14135" name="Column14126" queryTableFieldId="2259" dataDxfId="2476"/>
    <tableColumn id="14136" uniqueName="14136" name="Column14127" queryTableFieldId="2258" dataDxfId="2475"/>
    <tableColumn id="14137" uniqueName="14137" name="Column14128" queryTableFieldId="2257" dataDxfId="2474"/>
    <tableColumn id="14138" uniqueName="14138" name="Column14129" queryTableFieldId="2256" dataDxfId="2473"/>
    <tableColumn id="14139" uniqueName="14139" name="Column14130" queryTableFieldId="2255" dataDxfId="2472"/>
    <tableColumn id="14140" uniqueName="14140" name="Column14131" queryTableFieldId="2254" dataDxfId="2471"/>
    <tableColumn id="14141" uniqueName="14141" name="Column14132" queryTableFieldId="2253" dataDxfId="2470"/>
    <tableColumn id="14142" uniqueName="14142" name="Column14133" queryTableFieldId="2252" dataDxfId="2469"/>
    <tableColumn id="14143" uniqueName="14143" name="Column14134" queryTableFieldId="2251" dataDxfId="2468"/>
    <tableColumn id="14144" uniqueName="14144" name="Column14135" queryTableFieldId="2250" dataDxfId="2467"/>
    <tableColumn id="14145" uniqueName="14145" name="Column14136" queryTableFieldId="2249" dataDxfId="2466"/>
    <tableColumn id="14146" uniqueName="14146" name="Column14137" queryTableFieldId="2248" dataDxfId="2465"/>
    <tableColumn id="14147" uniqueName="14147" name="Column14138" queryTableFieldId="2247" dataDxfId="2464"/>
    <tableColumn id="14148" uniqueName="14148" name="Column14139" queryTableFieldId="2246" dataDxfId="2463"/>
    <tableColumn id="14149" uniqueName="14149" name="Column14140" queryTableFieldId="2245" dataDxfId="2462"/>
    <tableColumn id="14150" uniqueName="14150" name="Column14141" queryTableFieldId="2244" dataDxfId="2461"/>
    <tableColumn id="14151" uniqueName="14151" name="Column14142" queryTableFieldId="2243" dataDxfId="2460"/>
    <tableColumn id="14152" uniqueName="14152" name="Column14143" queryTableFieldId="2242" dataDxfId="2459"/>
    <tableColumn id="14153" uniqueName="14153" name="Column14144" queryTableFieldId="2241" dataDxfId="2458"/>
    <tableColumn id="14154" uniqueName="14154" name="Column14145" queryTableFieldId="2240" dataDxfId="2457"/>
    <tableColumn id="14155" uniqueName="14155" name="Column14146" queryTableFieldId="2239" dataDxfId="2456"/>
    <tableColumn id="14156" uniqueName="14156" name="Column14147" queryTableFieldId="2238" dataDxfId="2455"/>
    <tableColumn id="14157" uniqueName="14157" name="Column14148" queryTableFieldId="2237" dataDxfId="2454"/>
    <tableColumn id="14158" uniqueName="14158" name="Column14149" queryTableFieldId="2236" dataDxfId="2453"/>
    <tableColumn id="14159" uniqueName="14159" name="Column14150" queryTableFieldId="2235" dataDxfId="2452"/>
    <tableColumn id="14160" uniqueName="14160" name="Column14151" queryTableFieldId="2234" dataDxfId="2451"/>
    <tableColumn id="14161" uniqueName="14161" name="Column14152" queryTableFieldId="2233" dataDxfId="2450"/>
    <tableColumn id="14162" uniqueName="14162" name="Column14153" queryTableFieldId="2232" dataDxfId="2449"/>
    <tableColumn id="14163" uniqueName="14163" name="Column14154" queryTableFieldId="2231" dataDxfId="2448"/>
    <tableColumn id="14164" uniqueName="14164" name="Column14155" queryTableFieldId="2230" dataDxfId="2447"/>
    <tableColumn id="14165" uniqueName="14165" name="Column14156" queryTableFieldId="2229" dataDxfId="2446"/>
    <tableColumn id="14166" uniqueName="14166" name="Column14157" queryTableFieldId="2228" dataDxfId="2445"/>
    <tableColumn id="14167" uniqueName="14167" name="Column14158" queryTableFieldId="2227" dataDxfId="2444"/>
    <tableColumn id="14168" uniqueName="14168" name="Column14159" queryTableFieldId="2226" dataDxfId="2443"/>
    <tableColumn id="14169" uniqueName="14169" name="Column14160" queryTableFieldId="2225" dataDxfId="2442"/>
    <tableColumn id="14170" uniqueName="14170" name="Column14161" queryTableFieldId="2224" dataDxfId="2441"/>
    <tableColumn id="14171" uniqueName="14171" name="Column14162" queryTableFieldId="2223" dataDxfId="2440"/>
    <tableColumn id="14172" uniqueName="14172" name="Column14163" queryTableFieldId="2222" dataDxfId="2439"/>
    <tableColumn id="14173" uniqueName="14173" name="Column14164" queryTableFieldId="2221" dataDxfId="2438"/>
    <tableColumn id="14174" uniqueName="14174" name="Column14165" queryTableFieldId="2220" dataDxfId="2437"/>
    <tableColumn id="14175" uniqueName="14175" name="Column14166" queryTableFieldId="2219" dataDxfId="2436"/>
    <tableColumn id="14176" uniqueName="14176" name="Column14167" queryTableFieldId="2218" dataDxfId="2435"/>
    <tableColumn id="14177" uniqueName="14177" name="Column14168" queryTableFieldId="2217" dataDxfId="2434"/>
    <tableColumn id="14178" uniqueName="14178" name="Column14169" queryTableFieldId="2216" dataDxfId="2433"/>
    <tableColumn id="14179" uniqueName="14179" name="Column14170" queryTableFieldId="2215" dataDxfId="2432"/>
    <tableColumn id="14180" uniqueName="14180" name="Column14171" queryTableFieldId="2214" dataDxfId="2431"/>
    <tableColumn id="14181" uniqueName="14181" name="Column14172" queryTableFieldId="2213" dataDxfId="2430"/>
    <tableColumn id="14182" uniqueName="14182" name="Column14173" queryTableFieldId="2212" dataDxfId="2429"/>
    <tableColumn id="14183" uniqueName="14183" name="Column14174" queryTableFieldId="2211" dataDxfId="2428"/>
    <tableColumn id="14184" uniqueName="14184" name="Column14175" queryTableFieldId="2210" dataDxfId="2427"/>
    <tableColumn id="14185" uniqueName="14185" name="Column14176" queryTableFieldId="2209" dataDxfId="2426"/>
    <tableColumn id="14186" uniqueName="14186" name="Column14177" queryTableFieldId="2208" dataDxfId="2425"/>
    <tableColumn id="14187" uniqueName="14187" name="Column14178" queryTableFieldId="2207" dataDxfId="2424"/>
    <tableColumn id="14188" uniqueName="14188" name="Column14179" queryTableFieldId="2206" dataDxfId="2423"/>
    <tableColumn id="14189" uniqueName="14189" name="Column14180" queryTableFieldId="2205" dataDxfId="2422"/>
    <tableColumn id="14190" uniqueName="14190" name="Column14181" queryTableFieldId="2204" dataDxfId="2421"/>
    <tableColumn id="14191" uniqueName="14191" name="Column14182" queryTableFieldId="2203" dataDxfId="2420"/>
    <tableColumn id="14192" uniqueName="14192" name="Column14183" queryTableFieldId="2202" dataDxfId="2419"/>
    <tableColumn id="14193" uniqueName="14193" name="Column14184" queryTableFieldId="2201" dataDxfId="2418"/>
    <tableColumn id="14194" uniqueName="14194" name="Column14185" queryTableFieldId="2200" dataDxfId="2417"/>
    <tableColumn id="14195" uniqueName="14195" name="Column14186" queryTableFieldId="2199" dataDxfId="2416"/>
    <tableColumn id="14196" uniqueName="14196" name="Column14187" queryTableFieldId="2198" dataDxfId="2415"/>
    <tableColumn id="14197" uniqueName="14197" name="Column14188" queryTableFieldId="2197" dataDxfId="2414"/>
    <tableColumn id="14198" uniqueName="14198" name="Column14189" queryTableFieldId="2196" dataDxfId="2413"/>
    <tableColumn id="14199" uniqueName="14199" name="Column14190" queryTableFieldId="2195" dataDxfId="2412"/>
    <tableColumn id="14200" uniqueName="14200" name="Column14191" queryTableFieldId="2194" dataDxfId="2411"/>
    <tableColumn id="14201" uniqueName="14201" name="Column14192" queryTableFieldId="2193" dataDxfId="2410"/>
    <tableColumn id="14202" uniqueName="14202" name="Column14193" queryTableFieldId="2192" dataDxfId="2409"/>
    <tableColumn id="14203" uniqueName="14203" name="Column14194" queryTableFieldId="2191" dataDxfId="2408"/>
    <tableColumn id="14204" uniqueName="14204" name="Column14195" queryTableFieldId="2190" dataDxfId="2407"/>
    <tableColumn id="14205" uniqueName="14205" name="Column14196" queryTableFieldId="2189" dataDxfId="2406"/>
    <tableColumn id="14206" uniqueName="14206" name="Column14197" queryTableFieldId="2188" dataDxfId="2405"/>
    <tableColumn id="14207" uniqueName="14207" name="Column14198" queryTableFieldId="2187" dataDxfId="2404"/>
    <tableColumn id="14208" uniqueName="14208" name="Column14199" queryTableFieldId="2186" dataDxfId="2403"/>
    <tableColumn id="14209" uniqueName="14209" name="Column14200" queryTableFieldId="2185" dataDxfId="2402"/>
    <tableColumn id="14210" uniqueName="14210" name="Column14201" queryTableFieldId="2184" dataDxfId="2401"/>
    <tableColumn id="14211" uniqueName="14211" name="Column14202" queryTableFieldId="2183" dataDxfId="2400"/>
    <tableColumn id="14212" uniqueName="14212" name="Column14203" queryTableFieldId="2182" dataDxfId="2399"/>
    <tableColumn id="14213" uniqueName="14213" name="Column14204" queryTableFieldId="2181" dataDxfId="2398"/>
    <tableColumn id="14214" uniqueName="14214" name="Column14205" queryTableFieldId="2180" dataDxfId="2397"/>
    <tableColumn id="14215" uniqueName="14215" name="Column14206" queryTableFieldId="2179" dataDxfId="2396"/>
    <tableColumn id="14216" uniqueName="14216" name="Column14207" queryTableFieldId="2178" dataDxfId="2395"/>
    <tableColumn id="14217" uniqueName="14217" name="Column14208" queryTableFieldId="2177" dataDxfId="2394"/>
    <tableColumn id="14218" uniqueName="14218" name="Column14209" queryTableFieldId="2176" dataDxfId="2393"/>
    <tableColumn id="14219" uniqueName="14219" name="Column14210" queryTableFieldId="2175" dataDxfId="2392"/>
    <tableColumn id="14220" uniqueName="14220" name="Column14211" queryTableFieldId="2174" dataDxfId="2391"/>
    <tableColumn id="14221" uniqueName="14221" name="Column14212" queryTableFieldId="2173" dataDxfId="2390"/>
    <tableColumn id="14222" uniqueName="14222" name="Column14213" queryTableFieldId="2172" dataDxfId="2389"/>
    <tableColumn id="14223" uniqueName="14223" name="Column14214" queryTableFieldId="2171" dataDxfId="2388"/>
    <tableColumn id="14224" uniqueName="14224" name="Column14215" queryTableFieldId="2170" dataDxfId="2387"/>
    <tableColumn id="14225" uniqueName="14225" name="Column14216" queryTableFieldId="2169" dataDxfId="2386"/>
    <tableColumn id="14226" uniqueName="14226" name="Column14217" queryTableFieldId="2168" dataDxfId="2385"/>
    <tableColumn id="14227" uniqueName="14227" name="Column14218" queryTableFieldId="2167" dataDxfId="2384"/>
    <tableColumn id="14228" uniqueName="14228" name="Column14219" queryTableFieldId="2166" dataDxfId="2383"/>
    <tableColumn id="14229" uniqueName="14229" name="Column14220" queryTableFieldId="2165" dataDxfId="2382"/>
    <tableColumn id="14230" uniqueName="14230" name="Column14221" queryTableFieldId="2164" dataDxfId="2381"/>
    <tableColumn id="14231" uniqueName="14231" name="Column14222" queryTableFieldId="2163" dataDxfId="2380"/>
    <tableColumn id="14232" uniqueName="14232" name="Column14223" queryTableFieldId="2162" dataDxfId="2379"/>
    <tableColumn id="14233" uniqueName="14233" name="Column14224" queryTableFieldId="2161" dataDxfId="2378"/>
    <tableColumn id="14234" uniqueName="14234" name="Column14225" queryTableFieldId="2160" dataDxfId="2377"/>
    <tableColumn id="14235" uniqueName="14235" name="Column14226" queryTableFieldId="2159" dataDxfId="2376"/>
    <tableColumn id="14236" uniqueName="14236" name="Column14227" queryTableFieldId="2158" dataDxfId="2375"/>
    <tableColumn id="14237" uniqueName="14237" name="Column14228" queryTableFieldId="2157" dataDxfId="2374"/>
    <tableColumn id="14238" uniqueName="14238" name="Column14229" queryTableFieldId="2156" dataDxfId="2373"/>
    <tableColumn id="14239" uniqueName="14239" name="Column14230" queryTableFieldId="2155" dataDxfId="2372"/>
    <tableColumn id="14240" uniqueName="14240" name="Column14231" queryTableFieldId="2154" dataDxfId="2371"/>
    <tableColumn id="14241" uniqueName="14241" name="Column14232" queryTableFieldId="2153" dataDxfId="2370"/>
    <tableColumn id="14242" uniqueName="14242" name="Column14233" queryTableFieldId="2152" dataDxfId="2369"/>
    <tableColumn id="14243" uniqueName="14243" name="Column14234" queryTableFieldId="2151" dataDxfId="2368"/>
    <tableColumn id="14244" uniqueName="14244" name="Column14235" queryTableFieldId="2150" dataDxfId="2367"/>
    <tableColumn id="14245" uniqueName="14245" name="Column14236" queryTableFieldId="2149" dataDxfId="2366"/>
    <tableColumn id="14246" uniqueName="14246" name="Column14237" queryTableFieldId="2148" dataDxfId="2365"/>
    <tableColumn id="14247" uniqueName="14247" name="Column14238" queryTableFieldId="2147" dataDxfId="2364"/>
    <tableColumn id="14248" uniqueName="14248" name="Column14239" queryTableFieldId="2146" dataDxfId="2363"/>
    <tableColumn id="14249" uniqueName="14249" name="Column14240" queryTableFieldId="2145" dataDxfId="2362"/>
    <tableColumn id="14250" uniqueName="14250" name="Column14241" queryTableFieldId="2144" dataDxfId="2361"/>
    <tableColumn id="14251" uniqueName="14251" name="Column14242" queryTableFieldId="2143" dataDxfId="2360"/>
    <tableColumn id="14252" uniqueName="14252" name="Column14243" queryTableFieldId="2142" dataDxfId="2359"/>
    <tableColumn id="14253" uniqueName="14253" name="Column14244" queryTableFieldId="2141" dataDxfId="2358"/>
    <tableColumn id="14254" uniqueName="14254" name="Column14245" queryTableFieldId="2140" dataDxfId="2357"/>
    <tableColumn id="14255" uniqueName="14255" name="Column14246" queryTableFieldId="2139" dataDxfId="2356"/>
    <tableColumn id="14256" uniqueName="14256" name="Column14247" queryTableFieldId="2138" dataDxfId="2355"/>
    <tableColumn id="14257" uniqueName="14257" name="Column14248" queryTableFieldId="2137" dataDxfId="2354"/>
    <tableColumn id="14258" uniqueName="14258" name="Column14249" queryTableFieldId="2136" dataDxfId="2353"/>
    <tableColumn id="14259" uniqueName="14259" name="Column14250" queryTableFieldId="2135" dataDxfId="2352"/>
    <tableColumn id="14260" uniqueName="14260" name="Column14251" queryTableFieldId="2134" dataDxfId="2351"/>
    <tableColumn id="14261" uniqueName="14261" name="Column14252" queryTableFieldId="2133" dataDxfId="2350"/>
    <tableColumn id="14262" uniqueName="14262" name="Column14253" queryTableFieldId="2132" dataDxfId="2349"/>
    <tableColumn id="14263" uniqueName="14263" name="Column14254" queryTableFieldId="2131" dataDxfId="2348"/>
    <tableColumn id="14264" uniqueName="14264" name="Column14255" queryTableFieldId="2130" dataDxfId="2347"/>
    <tableColumn id="14265" uniqueName="14265" name="Column14256" queryTableFieldId="2129" dataDxfId="2346"/>
    <tableColumn id="14266" uniqueName="14266" name="Column14257" queryTableFieldId="2128" dataDxfId="2345"/>
    <tableColumn id="14267" uniqueName="14267" name="Column14258" queryTableFieldId="2127" dataDxfId="2344"/>
    <tableColumn id="14268" uniqueName="14268" name="Column14259" queryTableFieldId="2126" dataDxfId="2343"/>
    <tableColumn id="14269" uniqueName="14269" name="Column14260" queryTableFieldId="2125" dataDxfId="2342"/>
    <tableColumn id="14270" uniqueName="14270" name="Column14261" queryTableFieldId="2124" dataDxfId="2341"/>
    <tableColumn id="14271" uniqueName="14271" name="Column14262" queryTableFieldId="2123" dataDxfId="2340"/>
    <tableColumn id="14272" uniqueName="14272" name="Column14263" queryTableFieldId="2122" dataDxfId="2339"/>
    <tableColumn id="14273" uniqueName="14273" name="Column14264" queryTableFieldId="2121" dataDxfId="2338"/>
    <tableColumn id="14274" uniqueName="14274" name="Column14265" queryTableFieldId="2120" dataDxfId="2337"/>
    <tableColumn id="14275" uniqueName="14275" name="Column14266" queryTableFieldId="2119" dataDxfId="2336"/>
    <tableColumn id="14276" uniqueName="14276" name="Column14267" queryTableFieldId="2118" dataDxfId="2335"/>
    <tableColumn id="14277" uniqueName="14277" name="Column14268" queryTableFieldId="2117" dataDxfId="2334"/>
    <tableColumn id="14278" uniqueName="14278" name="Column14269" queryTableFieldId="2116" dataDxfId="2333"/>
    <tableColumn id="14279" uniqueName="14279" name="Column14270" queryTableFieldId="2115" dataDxfId="2332"/>
    <tableColumn id="14280" uniqueName="14280" name="Column14271" queryTableFieldId="2114" dataDxfId="2331"/>
    <tableColumn id="14281" uniqueName="14281" name="Column14272" queryTableFieldId="2113" dataDxfId="2330"/>
    <tableColumn id="14282" uniqueName="14282" name="Column14273" queryTableFieldId="2112" dataDxfId="2329"/>
    <tableColumn id="14283" uniqueName="14283" name="Column14274" queryTableFieldId="2111" dataDxfId="2328"/>
    <tableColumn id="14284" uniqueName="14284" name="Column14275" queryTableFieldId="2110" dataDxfId="2327"/>
    <tableColumn id="14285" uniqueName="14285" name="Column14276" queryTableFieldId="2109" dataDxfId="2326"/>
    <tableColumn id="14286" uniqueName="14286" name="Column14277" queryTableFieldId="2108" dataDxfId="2325"/>
    <tableColumn id="14287" uniqueName="14287" name="Column14278" queryTableFieldId="2107" dataDxfId="2324"/>
    <tableColumn id="14288" uniqueName="14288" name="Column14279" queryTableFieldId="2106" dataDxfId="2323"/>
    <tableColumn id="14289" uniqueName="14289" name="Column14280" queryTableFieldId="2105" dataDxfId="2322"/>
    <tableColumn id="14290" uniqueName="14290" name="Column14281" queryTableFieldId="2104" dataDxfId="2321"/>
    <tableColumn id="14291" uniqueName="14291" name="Column14282" queryTableFieldId="2103" dataDxfId="2320"/>
    <tableColumn id="14292" uniqueName="14292" name="Column14283" queryTableFieldId="2102" dataDxfId="2319"/>
    <tableColumn id="14293" uniqueName="14293" name="Column14284" queryTableFieldId="2101" dataDxfId="2318"/>
    <tableColumn id="14294" uniqueName="14294" name="Column14285" queryTableFieldId="2100" dataDxfId="2317"/>
    <tableColumn id="14295" uniqueName="14295" name="Column14286" queryTableFieldId="2099" dataDxfId="2316"/>
    <tableColumn id="14296" uniqueName="14296" name="Column14287" queryTableFieldId="2098" dataDxfId="2315"/>
    <tableColumn id="14297" uniqueName="14297" name="Column14288" queryTableFieldId="2097" dataDxfId="2314"/>
    <tableColumn id="14298" uniqueName="14298" name="Column14289" queryTableFieldId="2096" dataDxfId="2313"/>
    <tableColumn id="14299" uniqueName="14299" name="Column14290" queryTableFieldId="2095" dataDxfId="2312"/>
    <tableColumn id="14300" uniqueName="14300" name="Column14291" queryTableFieldId="2094" dataDxfId="2311"/>
    <tableColumn id="14301" uniqueName="14301" name="Column14292" queryTableFieldId="2093" dataDxfId="2310"/>
    <tableColumn id="14302" uniqueName="14302" name="Column14293" queryTableFieldId="2092" dataDxfId="2309"/>
    <tableColumn id="14303" uniqueName="14303" name="Column14294" queryTableFieldId="2091" dataDxfId="2308"/>
    <tableColumn id="14304" uniqueName="14304" name="Column14295" queryTableFieldId="2090" dataDxfId="2307"/>
    <tableColumn id="14305" uniqueName="14305" name="Column14296" queryTableFieldId="2089" dataDxfId="2306"/>
    <tableColumn id="14306" uniqueName="14306" name="Column14297" queryTableFieldId="2088" dataDxfId="2305"/>
    <tableColumn id="14307" uniqueName="14307" name="Column14298" queryTableFieldId="2087" dataDxfId="2304"/>
    <tableColumn id="14308" uniqueName="14308" name="Column14299" queryTableFieldId="2086" dataDxfId="2303"/>
    <tableColumn id="14309" uniqueName="14309" name="Column14300" queryTableFieldId="2085" dataDxfId="2302"/>
    <tableColumn id="14310" uniqueName="14310" name="Column14301" queryTableFieldId="2084" dataDxfId="2301"/>
    <tableColumn id="14311" uniqueName="14311" name="Column14302" queryTableFieldId="2083" dataDxfId="2300"/>
    <tableColumn id="14312" uniqueName="14312" name="Column14303" queryTableFieldId="2082" dataDxfId="2299"/>
    <tableColumn id="14313" uniqueName="14313" name="Column14304" queryTableFieldId="2081" dataDxfId="2298"/>
    <tableColumn id="14314" uniqueName="14314" name="Column14305" queryTableFieldId="2080" dataDxfId="2297"/>
    <tableColumn id="14315" uniqueName="14315" name="Column14306" queryTableFieldId="2079" dataDxfId="2296"/>
    <tableColumn id="14316" uniqueName="14316" name="Column14307" queryTableFieldId="2078" dataDxfId="2295"/>
    <tableColumn id="14317" uniqueName="14317" name="Column14308" queryTableFieldId="2077" dataDxfId="2294"/>
    <tableColumn id="14318" uniqueName="14318" name="Column14309" queryTableFieldId="2076" dataDxfId="2293"/>
    <tableColumn id="14319" uniqueName="14319" name="Column14310" queryTableFieldId="2075" dataDxfId="2292"/>
    <tableColumn id="14320" uniqueName="14320" name="Column14311" queryTableFieldId="2074" dataDxfId="2291"/>
    <tableColumn id="14321" uniqueName="14321" name="Column14312" queryTableFieldId="2073" dataDxfId="2290"/>
    <tableColumn id="14322" uniqueName="14322" name="Column14313" queryTableFieldId="2072" dataDxfId="2289"/>
    <tableColumn id="14323" uniqueName="14323" name="Column14314" queryTableFieldId="2071" dataDxfId="2288"/>
    <tableColumn id="14324" uniqueName="14324" name="Column14315" queryTableFieldId="2070" dataDxfId="2287"/>
    <tableColumn id="14325" uniqueName="14325" name="Column14316" queryTableFieldId="2069" dataDxfId="2286"/>
    <tableColumn id="14326" uniqueName="14326" name="Column14317" queryTableFieldId="2068" dataDxfId="2285"/>
    <tableColumn id="14327" uniqueName="14327" name="Column14318" queryTableFieldId="2067" dataDxfId="2284"/>
    <tableColumn id="14328" uniqueName="14328" name="Column14319" queryTableFieldId="2066" dataDxfId="2283"/>
    <tableColumn id="14329" uniqueName="14329" name="Column14320" queryTableFieldId="2065" dataDxfId="2282"/>
    <tableColumn id="14330" uniqueName="14330" name="Column14321" queryTableFieldId="2064" dataDxfId="2281"/>
    <tableColumn id="14331" uniqueName="14331" name="Column14322" queryTableFieldId="2063" dataDxfId="2280"/>
    <tableColumn id="14332" uniqueName="14332" name="Column14323" queryTableFieldId="2062" dataDxfId="2279"/>
    <tableColumn id="14333" uniqueName="14333" name="Column14324" queryTableFieldId="2061" dataDxfId="2278"/>
    <tableColumn id="14334" uniqueName="14334" name="Column14325" queryTableFieldId="2060" dataDxfId="2277"/>
    <tableColumn id="14335" uniqueName="14335" name="Column14326" queryTableFieldId="2059" dataDxfId="2276"/>
    <tableColumn id="14336" uniqueName="14336" name="Column14327" queryTableFieldId="2058" dataDxfId="2275"/>
    <tableColumn id="14337" uniqueName="14337" name="Column14328" queryTableFieldId="2057" dataDxfId="2274"/>
    <tableColumn id="14338" uniqueName="14338" name="Column14329" queryTableFieldId="2056" dataDxfId="2273"/>
    <tableColumn id="14339" uniqueName="14339" name="Column14330" queryTableFieldId="2055" dataDxfId="2272"/>
    <tableColumn id="14340" uniqueName="14340" name="Column14331" queryTableFieldId="2054" dataDxfId="2271"/>
    <tableColumn id="14341" uniqueName="14341" name="Column14332" queryTableFieldId="2053" dataDxfId="2270"/>
    <tableColumn id="14342" uniqueName="14342" name="Column14333" queryTableFieldId="2052" dataDxfId="2269"/>
    <tableColumn id="14343" uniqueName="14343" name="Column14334" queryTableFieldId="2051" dataDxfId="2268"/>
    <tableColumn id="14344" uniqueName="14344" name="Column14335" queryTableFieldId="2050" dataDxfId="2267"/>
    <tableColumn id="14345" uniqueName="14345" name="Column14336" queryTableFieldId="2049" dataDxfId="2266"/>
    <tableColumn id="14346" uniqueName="14346" name="Column14337" queryTableFieldId="2048" dataDxfId="2265"/>
    <tableColumn id="14347" uniqueName="14347" name="Column14338" queryTableFieldId="2047" dataDxfId="2264"/>
    <tableColumn id="14348" uniqueName="14348" name="Column14339" queryTableFieldId="2046" dataDxfId="2263"/>
    <tableColumn id="14349" uniqueName="14349" name="Column14340" queryTableFieldId="2045" dataDxfId="2262"/>
    <tableColumn id="14350" uniqueName="14350" name="Column14341" queryTableFieldId="2044" dataDxfId="2261"/>
    <tableColumn id="14351" uniqueName="14351" name="Column14342" queryTableFieldId="2043" dataDxfId="2260"/>
    <tableColumn id="14352" uniqueName="14352" name="Column14343" queryTableFieldId="2042" dataDxfId="2259"/>
    <tableColumn id="14353" uniqueName="14353" name="Column14344" queryTableFieldId="2041" dataDxfId="2258"/>
    <tableColumn id="14354" uniqueName="14354" name="Column14345" queryTableFieldId="2040" dataDxfId="2257"/>
    <tableColumn id="14355" uniqueName="14355" name="Column14346" queryTableFieldId="2039" dataDxfId="2256"/>
    <tableColumn id="14356" uniqueName="14356" name="Column14347" queryTableFieldId="2038" dataDxfId="2255"/>
    <tableColumn id="14357" uniqueName="14357" name="Column14348" queryTableFieldId="2037" dataDxfId="2254"/>
    <tableColumn id="14358" uniqueName="14358" name="Column14349" queryTableFieldId="2036" dataDxfId="2253"/>
    <tableColumn id="14359" uniqueName="14359" name="Column14350" queryTableFieldId="2035" dataDxfId="2252"/>
    <tableColumn id="14360" uniqueName="14360" name="Column14351" queryTableFieldId="2034" dataDxfId="2251"/>
    <tableColumn id="14361" uniqueName="14361" name="Column14352" queryTableFieldId="2033" dataDxfId="2250"/>
    <tableColumn id="14362" uniqueName="14362" name="Column14353" queryTableFieldId="2032" dataDxfId="2249"/>
    <tableColumn id="14363" uniqueName="14363" name="Column14354" queryTableFieldId="2031" dataDxfId="2248"/>
    <tableColumn id="14364" uniqueName="14364" name="Column14355" queryTableFieldId="2030" dataDxfId="2247"/>
    <tableColumn id="14365" uniqueName="14365" name="Column14356" queryTableFieldId="2029" dataDxfId="2246"/>
    <tableColumn id="14366" uniqueName="14366" name="Column14357" queryTableFieldId="2028" dataDxfId="2245"/>
    <tableColumn id="14367" uniqueName="14367" name="Column14358" queryTableFieldId="2027" dataDxfId="2244"/>
    <tableColumn id="14368" uniqueName="14368" name="Column14359" queryTableFieldId="2026" dataDxfId="2243"/>
    <tableColumn id="14369" uniqueName="14369" name="Column14360" queryTableFieldId="2025" dataDxfId="2242"/>
    <tableColumn id="14370" uniqueName="14370" name="Column14361" queryTableFieldId="2024" dataDxfId="2241"/>
    <tableColumn id="14371" uniqueName="14371" name="Column14362" queryTableFieldId="2023" dataDxfId="2240"/>
    <tableColumn id="14372" uniqueName="14372" name="Column14363" queryTableFieldId="2022" dataDxfId="2239"/>
    <tableColumn id="14373" uniqueName="14373" name="Column14364" queryTableFieldId="2021" dataDxfId="2238"/>
    <tableColumn id="14374" uniqueName="14374" name="Column14365" queryTableFieldId="2020" dataDxfId="2237"/>
    <tableColumn id="14375" uniqueName="14375" name="Column14366" queryTableFieldId="2019" dataDxfId="2236"/>
    <tableColumn id="14376" uniqueName="14376" name="Column14367" queryTableFieldId="2018" dataDxfId="2235"/>
    <tableColumn id="14377" uniqueName="14377" name="Column14368" queryTableFieldId="2017" dataDxfId="2234"/>
    <tableColumn id="14378" uniqueName="14378" name="Column14369" queryTableFieldId="2016" dataDxfId="2233"/>
    <tableColumn id="14379" uniqueName="14379" name="Column14370" queryTableFieldId="2015" dataDxfId="2232"/>
    <tableColumn id="14380" uniqueName="14380" name="Column14371" queryTableFieldId="2014" dataDxfId="2231"/>
    <tableColumn id="14381" uniqueName="14381" name="Column14372" queryTableFieldId="2013" dataDxfId="2230"/>
    <tableColumn id="14382" uniqueName="14382" name="Column14373" queryTableFieldId="2012" dataDxfId="2229"/>
    <tableColumn id="14383" uniqueName="14383" name="Column14374" queryTableFieldId="2011" dataDxfId="2228"/>
    <tableColumn id="14384" uniqueName="14384" name="Column14375" queryTableFieldId="2010" dataDxfId="2227"/>
    <tableColumn id="14385" uniqueName="14385" name="Column14376" queryTableFieldId="2009" dataDxfId="2226"/>
    <tableColumn id="14386" uniqueName="14386" name="Column14377" queryTableFieldId="2008" dataDxfId="2225"/>
    <tableColumn id="14387" uniqueName="14387" name="Column14378" queryTableFieldId="2007" dataDxfId="2224"/>
    <tableColumn id="14388" uniqueName="14388" name="Column14379" queryTableFieldId="2006" dataDxfId="2223"/>
    <tableColumn id="14389" uniqueName="14389" name="Column14380" queryTableFieldId="2005" dataDxfId="2222"/>
    <tableColumn id="14390" uniqueName="14390" name="Column14381" queryTableFieldId="2004" dataDxfId="2221"/>
    <tableColumn id="14391" uniqueName="14391" name="Column14382" queryTableFieldId="2003" dataDxfId="2220"/>
    <tableColumn id="14392" uniqueName="14392" name="Column14383" queryTableFieldId="2002" dataDxfId="2219"/>
    <tableColumn id="14393" uniqueName="14393" name="Column14384" queryTableFieldId="2001" dataDxfId="2218"/>
    <tableColumn id="14394" uniqueName="14394" name="Column14385" queryTableFieldId="2000" dataDxfId="2217"/>
    <tableColumn id="14395" uniqueName="14395" name="Column14386" queryTableFieldId="1999" dataDxfId="2216"/>
    <tableColumn id="14396" uniqueName="14396" name="Column14387" queryTableFieldId="1998" dataDxfId="2215"/>
    <tableColumn id="14397" uniqueName="14397" name="Column14388" queryTableFieldId="1997" dataDxfId="2214"/>
    <tableColumn id="14398" uniqueName="14398" name="Column14389" queryTableFieldId="1996" dataDxfId="2213"/>
    <tableColumn id="14399" uniqueName="14399" name="Column14390" queryTableFieldId="1995" dataDxfId="2212"/>
    <tableColumn id="14400" uniqueName="14400" name="Column14391" queryTableFieldId="1994" dataDxfId="2211"/>
    <tableColumn id="14401" uniqueName="14401" name="Column14392" queryTableFieldId="1993" dataDxfId="2210"/>
    <tableColumn id="14402" uniqueName="14402" name="Column14393" queryTableFieldId="1992" dataDxfId="2209"/>
    <tableColumn id="14403" uniqueName="14403" name="Column14394" queryTableFieldId="1991" dataDxfId="2208"/>
    <tableColumn id="14404" uniqueName="14404" name="Column14395" queryTableFieldId="1990" dataDxfId="2207"/>
    <tableColumn id="14405" uniqueName="14405" name="Column14396" queryTableFieldId="1989" dataDxfId="2206"/>
    <tableColumn id="14406" uniqueName="14406" name="Column14397" queryTableFieldId="1988" dataDxfId="2205"/>
    <tableColumn id="14407" uniqueName="14407" name="Column14398" queryTableFieldId="1987" dataDxfId="2204"/>
    <tableColumn id="14408" uniqueName="14408" name="Column14399" queryTableFieldId="1986" dataDxfId="2203"/>
    <tableColumn id="14409" uniqueName="14409" name="Column14400" queryTableFieldId="1985" dataDxfId="2202"/>
    <tableColumn id="14410" uniqueName="14410" name="Column14401" queryTableFieldId="1984" dataDxfId="2201"/>
    <tableColumn id="14411" uniqueName="14411" name="Column14402" queryTableFieldId="1983" dataDxfId="2200"/>
    <tableColumn id="14412" uniqueName="14412" name="Column14403" queryTableFieldId="1982" dataDxfId="2199"/>
    <tableColumn id="14413" uniqueName="14413" name="Column14404" queryTableFieldId="1981" dataDxfId="2198"/>
    <tableColumn id="14414" uniqueName="14414" name="Column14405" queryTableFieldId="1980" dataDxfId="2197"/>
    <tableColumn id="14415" uniqueName="14415" name="Column14406" queryTableFieldId="1979" dataDxfId="2196"/>
    <tableColumn id="14416" uniqueName="14416" name="Column14407" queryTableFieldId="1978" dataDxfId="2195"/>
    <tableColumn id="14417" uniqueName="14417" name="Column14408" queryTableFieldId="1977" dataDxfId="2194"/>
    <tableColumn id="14418" uniqueName="14418" name="Column14409" queryTableFieldId="1976" dataDxfId="2193"/>
    <tableColumn id="14419" uniqueName="14419" name="Column14410" queryTableFieldId="1975" dataDxfId="2192"/>
    <tableColumn id="14420" uniqueName="14420" name="Column14411" queryTableFieldId="1974" dataDxfId="2191"/>
    <tableColumn id="14421" uniqueName="14421" name="Column14412" queryTableFieldId="1973" dataDxfId="2190"/>
    <tableColumn id="14422" uniqueName="14422" name="Column14413" queryTableFieldId="1972" dataDxfId="2189"/>
    <tableColumn id="14423" uniqueName="14423" name="Column14414" queryTableFieldId="1971" dataDxfId="2188"/>
    <tableColumn id="14424" uniqueName="14424" name="Column14415" queryTableFieldId="1970" dataDxfId="2187"/>
    <tableColumn id="14425" uniqueName="14425" name="Column14416" queryTableFieldId="1969" dataDxfId="2186"/>
    <tableColumn id="14426" uniqueName="14426" name="Column14417" queryTableFieldId="1968" dataDxfId="2185"/>
    <tableColumn id="14427" uniqueName="14427" name="Column14418" queryTableFieldId="1967" dataDxfId="2184"/>
    <tableColumn id="14428" uniqueName="14428" name="Column14419" queryTableFieldId="1966" dataDxfId="2183"/>
    <tableColumn id="14429" uniqueName="14429" name="Column14420" queryTableFieldId="1965" dataDxfId="2182"/>
    <tableColumn id="14430" uniqueName="14430" name="Column14421" queryTableFieldId="1964" dataDxfId="2181"/>
    <tableColumn id="14431" uniqueName="14431" name="Column14422" queryTableFieldId="1963" dataDxfId="2180"/>
    <tableColumn id="14432" uniqueName="14432" name="Column14423" queryTableFieldId="1962" dataDxfId="2179"/>
    <tableColumn id="14433" uniqueName="14433" name="Column14424" queryTableFieldId="1961" dataDxfId="2178"/>
    <tableColumn id="14434" uniqueName="14434" name="Column14425" queryTableFieldId="1960" dataDxfId="2177"/>
    <tableColumn id="14435" uniqueName="14435" name="Column14426" queryTableFieldId="1959" dataDxfId="2176"/>
    <tableColumn id="14436" uniqueName="14436" name="Column14427" queryTableFieldId="1958" dataDxfId="2175"/>
    <tableColumn id="14437" uniqueName="14437" name="Column14428" queryTableFieldId="1957" dataDxfId="2174"/>
    <tableColumn id="14438" uniqueName="14438" name="Column14429" queryTableFieldId="1956" dataDxfId="2173"/>
    <tableColumn id="14439" uniqueName="14439" name="Column14430" queryTableFieldId="1955" dataDxfId="2172"/>
    <tableColumn id="14440" uniqueName="14440" name="Column14431" queryTableFieldId="1954" dataDxfId="2171"/>
    <tableColumn id="14441" uniqueName="14441" name="Column14432" queryTableFieldId="1953" dataDxfId="2170"/>
    <tableColumn id="14442" uniqueName="14442" name="Column14433" queryTableFieldId="1952" dataDxfId="2169"/>
    <tableColumn id="14443" uniqueName="14443" name="Column14434" queryTableFieldId="1951" dataDxfId="2168"/>
    <tableColumn id="14444" uniqueName="14444" name="Column14435" queryTableFieldId="1950" dataDxfId="2167"/>
    <tableColumn id="14445" uniqueName="14445" name="Column14436" queryTableFieldId="1949" dataDxfId="2166"/>
    <tableColumn id="14446" uniqueName="14446" name="Column14437" queryTableFieldId="1948" dataDxfId="2165"/>
    <tableColumn id="14447" uniqueName="14447" name="Column14438" queryTableFieldId="1947" dataDxfId="2164"/>
    <tableColumn id="14448" uniqueName="14448" name="Column14439" queryTableFieldId="1946" dataDxfId="2163"/>
    <tableColumn id="14449" uniqueName="14449" name="Column14440" queryTableFieldId="1945" dataDxfId="2162"/>
    <tableColumn id="14450" uniqueName="14450" name="Column14441" queryTableFieldId="1944" dataDxfId="2161"/>
    <tableColumn id="14451" uniqueName="14451" name="Column14442" queryTableFieldId="1943" dataDxfId="2160"/>
    <tableColumn id="14452" uniqueName="14452" name="Column14443" queryTableFieldId="1942" dataDxfId="2159"/>
    <tableColumn id="14453" uniqueName="14453" name="Column14444" queryTableFieldId="1941" dataDxfId="2158"/>
    <tableColumn id="14454" uniqueName="14454" name="Column14445" queryTableFieldId="1940" dataDxfId="2157"/>
    <tableColumn id="14455" uniqueName="14455" name="Column14446" queryTableFieldId="1939" dataDxfId="2156"/>
    <tableColumn id="14456" uniqueName="14456" name="Column14447" queryTableFieldId="1938" dataDxfId="2155"/>
    <tableColumn id="14457" uniqueName="14457" name="Column14448" queryTableFieldId="1937" dataDxfId="2154"/>
    <tableColumn id="14458" uniqueName="14458" name="Column14449" queryTableFieldId="1936" dataDxfId="2153"/>
    <tableColumn id="14459" uniqueName="14459" name="Column14450" queryTableFieldId="1935" dataDxfId="2152"/>
    <tableColumn id="14460" uniqueName="14460" name="Column14451" queryTableFieldId="1934" dataDxfId="2151"/>
    <tableColumn id="14461" uniqueName="14461" name="Column14452" queryTableFieldId="1933" dataDxfId="2150"/>
    <tableColumn id="14462" uniqueName="14462" name="Column14453" queryTableFieldId="1932" dataDxfId="2149"/>
    <tableColumn id="14463" uniqueName="14463" name="Column14454" queryTableFieldId="1931" dataDxfId="2148"/>
    <tableColumn id="14464" uniqueName="14464" name="Column14455" queryTableFieldId="1930" dataDxfId="2147"/>
    <tableColumn id="14465" uniqueName="14465" name="Column14456" queryTableFieldId="1929" dataDxfId="2146"/>
    <tableColumn id="14466" uniqueName="14466" name="Column14457" queryTableFieldId="1928" dataDxfId="2145"/>
    <tableColumn id="14467" uniqueName="14467" name="Column14458" queryTableFieldId="1927" dataDxfId="2144"/>
    <tableColumn id="14468" uniqueName="14468" name="Column14459" queryTableFieldId="1926" dataDxfId="2143"/>
    <tableColumn id="14469" uniqueName="14469" name="Column14460" queryTableFieldId="1925" dataDxfId="2142"/>
    <tableColumn id="14470" uniqueName="14470" name="Column14461" queryTableFieldId="1924" dataDxfId="2141"/>
    <tableColumn id="14471" uniqueName="14471" name="Column14462" queryTableFieldId="1923" dataDxfId="2140"/>
    <tableColumn id="14472" uniqueName="14472" name="Column14463" queryTableFieldId="1922" dataDxfId="2139"/>
    <tableColumn id="14473" uniqueName="14473" name="Column14464" queryTableFieldId="1921" dataDxfId="2138"/>
    <tableColumn id="14474" uniqueName="14474" name="Column14465" queryTableFieldId="1920" dataDxfId="2137"/>
    <tableColumn id="14475" uniqueName="14475" name="Column14466" queryTableFieldId="1919" dataDxfId="2136"/>
    <tableColumn id="14476" uniqueName="14476" name="Column14467" queryTableFieldId="1918" dataDxfId="2135"/>
    <tableColumn id="14477" uniqueName="14477" name="Column14468" queryTableFieldId="1917" dataDxfId="2134"/>
    <tableColumn id="14478" uniqueName="14478" name="Column14469" queryTableFieldId="1916" dataDxfId="2133"/>
    <tableColumn id="14479" uniqueName="14479" name="Column14470" queryTableFieldId="1915" dataDxfId="2132"/>
    <tableColumn id="14480" uniqueName="14480" name="Column14471" queryTableFieldId="1914" dataDxfId="2131"/>
    <tableColumn id="14481" uniqueName="14481" name="Column14472" queryTableFieldId="1913" dataDxfId="2130"/>
    <tableColumn id="14482" uniqueName="14482" name="Column14473" queryTableFieldId="1912" dataDxfId="2129"/>
    <tableColumn id="14483" uniqueName="14483" name="Column14474" queryTableFieldId="1911" dataDxfId="2128"/>
    <tableColumn id="14484" uniqueName="14484" name="Column14475" queryTableFieldId="1910" dataDxfId="2127"/>
    <tableColumn id="14485" uniqueName="14485" name="Column14476" queryTableFieldId="1909" dataDxfId="2126"/>
    <tableColumn id="14486" uniqueName="14486" name="Column14477" queryTableFieldId="1908" dataDxfId="2125"/>
    <tableColumn id="14487" uniqueName="14487" name="Column14478" queryTableFieldId="1907" dataDxfId="2124"/>
    <tableColumn id="14488" uniqueName="14488" name="Column14479" queryTableFieldId="1906" dataDxfId="2123"/>
    <tableColumn id="14489" uniqueName="14489" name="Column14480" queryTableFieldId="1905" dataDxfId="2122"/>
    <tableColumn id="14490" uniqueName="14490" name="Column14481" queryTableFieldId="1904" dataDxfId="2121"/>
    <tableColumn id="14491" uniqueName="14491" name="Column14482" queryTableFieldId="1903" dataDxfId="2120"/>
    <tableColumn id="14492" uniqueName="14492" name="Column14483" queryTableFieldId="1902" dataDxfId="2119"/>
    <tableColumn id="14493" uniqueName="14493" name="Column14484" queryTableFieldId="1901" dataDxfId="2118"/>
    <tableColumn id="14494" uniqueName="14494" name="Column14485" queryTableFieldId="1900" dataDxfId="2117"/>
    <tableColumn id="14495" uniqueName="14495" name="Column14486" queryTableFieldId="1899" dataDxfId="2116"/>
    <tableColumn id="14496" uniqueName="14496" name="Column14487" queryTableFieldId="1898" dataDxfId="2115"/>
    <tableColumn id="14497" uniqueName="14497" name="Column14488" queryTableFieldId="1897" dataDxfId="2114"/>
    <tableColumn id="14498" uniqueName="14498" name="Column14489" queryTableFieldId="1896" dataDxfId="2113"/>
    <tableColumn id="14499" uniqueName="14499" name="Column14490" queryTableFieldId="1895" dataDxfId="2112"/>
    <tableColumn id="14500" uniqueName="14500" name="Column14491" queryTableFieldId="1894" dataDxfId="2111"/>
    <tableColumn id="14501" uniqueName="14501" name="Column14492" queryTableFieldId="1893" dataDxfId="2110"/>
    <tableColumn id="14502" uniqueName="14502" name="Column14493" queryTableFieldId="1892" dataDxfId="2109"/>
    <tableColumn id="14503" uniqueName="14503" name="Column14494" queryTableFieldId="1891" dataDxfId="2108"/>
    <tableColumn id="14504" uniqueName="14504" name="Column14495" queryTableFieldId="1890" dataDxfId="2107"/>
    <tableColumn id="14505" uniqueName="14505" name="Column14496" queryTableFieldId="1889" dataDxfId="2106"/>
    <tableColumn id="14506" uniqueName="14506" name="Column14497" queryTableFieldId="1888" dataDxfId="2105"/>
    <tableColumn id="14507" uniqueName="14507" name="Column14498" queryTableFieldId="1887" dataDxfId="2104"/>
    <tableColumn id="14508" uniqueName="14508" name="Column14499" queryTableFieldId="1886" dataDxfId="2103"/>
    <tableColumn id="14509" uniqueName="14509" name="Column14500" queryTableFieldId="1885" dataDxfId="2102"/>
    <tableColumn id="14510" uniqueName="14510" name="Column14501" queryTableFieldId="1884" dataDxfId="2101"/>
    <tableColumn id="14511" uniqueName="14511" name="Column14502" queryTableFieldId="1883" dataDxfId="2100"/>
    <tableColumn id="14512" uniqueName="14512" name="Column14503" queryTableFieldId="1882" dataDxfId="2099"/>
    <tableColumn id="14513" uniqueName="14513" name="Column14504" queryTableFieldId="1881" dataDxfId="2098"/>
    <tableColumn id="14514" uniqueName="14514" name="Column14505" queryTableFieldId="1880" dataDxfId="2097"/>
    <tableColumn id="14515" uniqueName="14515" name="Column14506" queryTableFieldId="1879" dataDxfId="2096"/>
    <tableColumn id="14516" uniqueName="14516" name="Column14507" queryTableFieldId="1878" dataDxfId="2095"/>
    <tableColumn id="14517" uniqueName="14517" name="Column14508" queryTableFieldId="1877" dataDxfId="2094"/>
    <tableColumn id="14518" uniqueName="14518" name="Column14509" queryTableFieldId="1876" dataDxfId="2093"/>
    <tableColumn id="14519" uniqueName="14519" name="Column14510" queryTableFieldId="1875" dataDxfId="2092"/>
    <tableColumn id="14520" uniqueName="14520" name="Column14511" queryTableFieldId="1874" dataDxfId="2091"/>
    <tableColumn id="14521" uniqueName="14521" name="Column14512" queryTableFieldId="1873" dataDxfId="2090"/>
    <tableColumn id="14522" uniqueName="14522" name="Column14513" queryTableFieldId="1872" dataDxfId="2089"/>
    <tableColumn id="14523" uniqueName="14523" name="Column14514" queryTableFieldId="1871" dataDxfId="2088"/>
    <tableColumn id="14524" uniqueName="14524" name="Column14515" queryTableFieldId="1870" dataDxfId="2087"/>
    <tableColumn id="14525" uniqueName="14525" name="Column14516" queryTableFieldId="1869" dataDxfId="2086"/>
    <tableColumn id="14526" uniqueName="14526" name="Column14517" queryTableFieldId="1868" dataDxfId="2085"/>
    <tableColumn id="14527" uniqueName="14527" name="Column14518" queryTableFieldId="1867" dataDxfId="2084"/>
    <tableColumn id="14528" uniqueName="14528" name="Column14519" queryTableFieldId="1866" dataDxfId="2083"/>
    <tableColumn id="14529" uniqueName="14529" name="Column14520" queryTableFieldId="1865" dataDxfId="2082"/>
    <tableColumn id="14530" uniqueName="14530" name="Column14521" queryTableFieldId="1864" dataDxfId="2081"/>
    <tableColumn id="14531" uniqueName="14531" name="Column14522" queryTableFieldId="1863" dataDxfId="2080"/>
    <tableColumn id="14532" uniqueName="14532" name="Column14523" queryTableFieldId="1862" dataDxfId="2079"/>
    <tableColumn id="14533" uniqueName="14533" name="Column14524" queryTableFieldId="1861" dataDxfId="2078"/>
    <tableColumn id="14534" uniqueName="14534" name="Column14525" queryTableFieldId="1860" dataDxfId="2077"/>
    <tableColumn id="14535" uniqueName="14535" name="Column14526" queryTableFieldId="1859" dataDxfId="2076"/>
    <tableColumn id="14536" uniqueName="14536" name="Column14527" queryTableFieldId="1858" dataDxfId="2075"/>
    <tableColumn id="14537" uniqueName="14537" name="Column14528" queryTableFieldId="1857" dataDxfId="2074"/>
    <tableColumn id="14538" uniqueName="14538" name="Column14529" queryTableFieldId="1856" dataDxfId="2073"/>
    <tableColumn id="14539" uniqueName="14539" name="Column14530" queryTableFieldId="1855" dataDxfId="2072"/>
    <tableColumn id="14540" uniqueName="14540" name="Column14531" queryTableFieldId="1854" dataDxfId="2071"/>
    <tableColumn id="14541" uniqueName="14541" name="Column14532" queryTableFieldId="1853" dataDxfId="2070"/>
    <tableColumn id="14542" uniqueName="14542" name="Column14533" queryTableFieldId="1852" dataDxfId="2069"/>
    <tableColumn id="14543" uniqueName="14543" name="Column14534" queryTableFieldId="1851" dataDxfId="2068"/>
    <tableColumn id="14544" uniqueName="14544" name="Column14535" queryTableFieldId="1850" dataDxfId="2067"/>
    <tableColumn id="14545" uniqueName="14545" name="Column14536" queryTableFieldId="1849" dataDxfId="2066"/>
    <tableColumn id="14546" uniqueName="14546" name="Column14537" queryTableFieldId="1848" dataDxfId="2065"/>
    <tableColumn id="14547" uniqueName="14547" name="Column14538" queryTableFieldId="1847" dataDxfId="2064"/>
    <tableColumn id="14548" uniqueName="14548" name="Column14539" queryTableFieldId="1846" dataDxfId="2063"/>
    <tableColumn id="14549" uniqueName="14549" name="Column14540" queryTableFieldId="1845" dataDxfId="2062"/>
    <tableColumn id="14550" uniqueName="14550" name="Column14541" queryTableFieldId="1844" dataDxfId="2061"/>
    <tableColumn id="14551" uniqueName="14551" name="Column14542" queryTableFieldId="1843" dataDxfId="2060"/>
    <tableColumn id="14552" uniqueName="14552" name="Column14543" queryTableFieldId="1842" dataDxfId="2059"/>
    <tableColumn id="14553" uniqueName="14553" name="Column14544" queryTableFieldId="1841" dataDxfId="2058"/>
    <tableColumn id="14554" uniqueName="14554" name="Column14545" queryTableFieldId="1840" dataDxfId="2057"/>
    <tableColumn id="14555" uniqueName="14555" name="Column14546" queryTableFieldId="1839" dataDxfId="2056"/>
    <tableColumn id="14556" uniqueName="14556" name="Column14547" queryTableFieldId="1838" dataDxfId="2055"/>
    <tableColumn id="14557" uniqueName="14557" name="Column14548" queryTableFieldId="1837" dataDxfId="2054"/>
    <tableColumn id="14558" uniqueName="14558" name="Column14549" queryTableFieldId="1836" dataDxfId="2053"/>
    <tableColumn id="14559" uniqueName="14559" name="Column14550" queryTableFieldId="1835" dataDxfId="2052"/>
    <tableColumn id="14560" uniqueName="14560" name="Column14551" queryTableFieldId="1834" dataDxfId="2051"/>
    <tableColumn id="14561" uniqueName="14561" name="Column14552" queryTableFieldId="1833" dataDxfId="2050"/>
    <tableColumn id="14562" uniqueName="14562" name="Column14553" queryTableFieldId="1832" dataDxfId="2049"/>
    <tableColumn id="14563" uniqueName="14563" name="Column14554" queryTableFieldId="1831" dataDxfId="2048"/>
    <tableColumn id="14564" uniqueName="14564" name="Column14555" queryTableFieldId="1830" dataDxfId="2047"/>
    <tableColumn id="14565" uniqueName="14565" name="Column14556" queryTableFieldId="1829" dataDxfId="2046"/>
    <tableColumn id="14566" uniqueName="14566" name="Column14557" queryTableFieldId="1828" dataDxfId="2045"/>
    <tableColumn id="14567" uniqueName="14567" name="Column14558" queryTableFieldId="1827" dataDxfId="2044"/>
    <tableColumn id="14568" uniqueName="14568" name="Column14559" queryTableFieldId="1826" dataDxfId="2043"/>
    <tableColumn id="14569" uniqueName="14569" name="Column14560" queryTableFieldId="1825" dataDxfId="2042"/>
    <tableColumn id="14570" uniqueName="14570" name="Column14561" queryTableFieldId="1824" dataDxfId="2041"/>
    <tableColumn id="14571" uniqueName="14571" name="Column14562" queryTableFieldId="1823" dataDxfId="2040"/>
    <tableColumn id="14572" uniqueName="14572" name="Column14563" queryTableFieldId="1822" dataDxfId="2039"/>
    <tableColumn id="14573" uniqueName="14573" name="Column14564" queryTableFieldId="1821" dataDxfId="2038"/>
    <tableColumn id="14574" uniqueName="14574" name="Column14565" queryTableFieldId="1820" dataDxfId="2037"/>
    <tableColumn id="14575" uniqueName="14575" name="Column14566" queryTableFieldId="1819" dataDxfId="2036"/>
    <tableColumn id="14576" uniqueName="14576" name="Column14567" queryTableFieldId="1818" dataDxfId="2035"/>
    <tableColumn id="14577" uniqueName="14577" name="Column14568" queryTableFieldId="1817" dataDxfId="2034"/>
    <tableColumn id="14578" uniqueName="14578" name="Column14569" queryTableFieldId="1816" dataDxfId="2033"/>
    <tableColumn id="14579" uniqueName="14579" name="Column14570" queryTableFieldId="1815" dataDxfId="2032"/>
    <tableColumn id="14580" uniqueName="14580" name="Column14571" queryTableFieldId="1814" dataDxfId="2031"/>
    <tableColumn id="14581" uniqueName="14581" name="Column14572" queryTableFieldId="1813" dataDxfId="2030"/>
    <tableColumn id="14582" uniqueName="14582" name="Column14573" queryTableFieldId="1812" dataDxfId="2029"/>
    <tableColumn id="14583" uniqueName="14583" name="Column14574" queryTableFieldId="1811" dataDxfId="2028"/>
    <tableColumn id="14584" uniqueName="14584" name="Column14575" queryTableFieldId="1810" dataDxfId="2027"/>
    <tableColumn id="14585" uniqueName="14585" name="Column14576" queryTableFieldId="1809" dataDxfId="2026"/>
    <tableColumn id="14586" uniqueName="14586" name="Column14577" queryTableFieldId="1808" dataDxfId="2025"/>
    <tableColumn id="14587" uniqueName="14587" name="Column14578" queryTableFieldId="1807" dataDxfId="2024"/>
    <tableColumn id="14588" uniqueName="14588" name="Column14579" queryTableFieldId="1806" dataDxfId="2023"/>
    <tableColumn id="14589" uniqueName="14589" name="Column14580" queryTableFieldId="1805" dataDxfId="2022"/>
    <tableColumn id="14590" uniqueName="14590" name="Column14581" queryTableFieldId="1804" dataDxfId="2021"/>
    <tableColumn id="14591" uniqueName="14591" name="Column14582" queryTableFieldId="1803" dataDxfId="2020"/>
    <tableColumn id="14592" uniqueName="14592" name="Column14583" queryTableFieldId="1802" dataDxfId="2019"/>
    <tableColumn id="14593" uniqueName="14593" name="Column14584" queryTableFieldId="1801" dataDxfId="2018"/>
    <tableColumn id="14594" uniqueName="14594" name="Column14585" queryTableFieldId="1800" dataDxfId="2017"/>
    <tableColumn id="14595" uniqueName="14595" name="Column14586" queryTableFieldId="1799" dataDxfId="2016"/>
    <tableColumn id="14596" uniqueName="14596" name="Column14587" queryTableFieldId="1798" dataDxfId="2015"/>
    <tableColumn id="14597" uniqueName="14597" name="Column14588" queryTableFieldId="1797" dataDxfId="2014"/>
    <tableColumn id="14598" uniqueName="14598" name="Column14589" queryTableFieldId="1796" dataDxfId="2013"/>
    <tableColumn id="14599" uniqueName="14599" name="Column14590" queryTableFieldId="1795" dataDxfId="2012"/>
    <tableColumn id="14600" uniqueName="14600" name="Column14591" queryTableFieldId="1794" dataDxfId="2011"/>
    <tableColumn id="14601" uniqueName="14601" name="Column14592" queryTableFieldId="1793" dataDxfId="2010"/>
    <tableColumn id="14602" uniqueName="14602" name="Column14593" queryTableFieldId="1792" dataDxfId="2009"/>
    <tableColumn id="14603" uniqueName="14603" name="Column14594" queryTableFieldId="1791" dataDxfId="2008"/>
    <tableColumn id="14604" uniqueName="14604" name="Column14595" queryTableFieldId="1790" dataDxfId="2007"/>
    <tableColumn id="14605" uniqueName="14605" name="Column14596" queryTableFieldId="1789" dataDxfId="2006"/>
    <tableColumn id="14606" uniqueName="14606" name="Column14597" queryTableFieldId="1788" dataDxfId="2005"/>
    <tableColumn id="14607" uniqueName="14607" name="Column14598" queryTableFieldId="1787" dataDxfId="2004"/>
    <tableColumn id="14608" uniqueName="14608" name="Column14599" queryTableFieldId="1786" dataDxfId="2003"/>
    <tableColumn id="14609" uniqueName="14609" name="Column14600" queryTableFieldId="1785" dataDxfId="2002"/>
    <tableColumn id="14610" uniqueName="14610" name="Column14601" queryTableFieldId="1784" dataDxfId="2001"/>
    <tableColumn id="14611" uniqueName="14611" name="Column14602" queryTableFieldId="1783" dataDxfId="2000"/>
    <tableColumn id="14612" uniqueName="14612" name="Column14603" queryTableFieldId="1782" dataDxfId="1999"/>
    <tableColumn id="14613" uniqueName="14613" name="Column14604" queryTableFieldId="1781" dataDxfId="1998"/>
    <tableColumn id="14614" uniqueName="14614" name="Column14605" queryTableFieldId="1780" dataDxfId="1997"/>
    <tableColumn id="14615" uniqueName="14615" name="Column14606" queryTableFieldId="1779" dataDxfId="1996"/>
    <tableColumn id="14616" uniqueName="14616" name="Column14607" queryTableFieldId="1778" dataDxfId="1995"/>
    <tableColumn id="14617" uniqueName="14617" name="Column14608" queryTableFieldId="1777" dataDxfId="1994"/>
    <tableColumn id="14618" uniqueName="14618" name="Column14609" queryTableFieldId="1776" dataDxfId="1993"/>
    <tableColumn id="14619" uniqueName="14619" name="Column14610" queryTableFieldId="1775" dataDxfId="1992"/>
    <tableColumn id="14620" uniqueName="14620" name="Column14611" queryTableFieldId="1774" dataDxfId="1991"/>
    <tableColumn id="14621" uniqueName="14621" name="Column14612" queryTableFieldId="1773" dataDxfId="1990"/>
    <tableColumn id="14622" uniqueName="14622" name="Column14613" queryTableFieldId="1772" dataDxfId="1989"/>
    <tableColumn id="14623" uniqueName="14623" name="Column14614" queryTableFieldId="1771" dataDxfId="1988"/>
    <tableColumn id="14624" uniqueName="14624" name="Column14615" queryTableFieldId="1770" dataDxfId="1987"/>
    <tableColumn id="14625" uniqueName="14625" name="Column14616" queryTableFieldId="1769" dataDxfId="1986"/>
    <tableColumn id="14626" uniqueName="14626" name="Column14617" queryTableFieldId="1768" dataDxfId="1985"/>
    <tableColumn id="14627" uniqueName="14627" name="Column14618" queryTableFieldId="1767" dataDxfId="1984"/>
    <tableColumn id="14628" uniqueName="14628" name="Column14619" queryTableFieldId="1766" dataDxfId="1983"/>
    <tableColumn id="14629" uniqueName="14629" name="Column14620" queryTableFieldId="1765" dataDxfId="1982"/>
    <tableColumn id="14630" uniqueName="14630" name="Column14621" queryTableFieldId="1764" dataDxfId="1981"/>
    <tableColumn id="14631" uniqueName="14631" name="Column14622" queryTableFieldId="1763" dataDxfId="1980"/>
    <tableColumn id="14632" uniqueName="14632" name="Column14623" queryTableFieldId="1762" dataDxfId="1979"/>
    <tableColumn id="14633" uniqueName="14633" name="Column14624" queryTableFieldId="1761" dataDxfId="1978"/>
    <tableColumn id="14634" uniqueName="14634" name="Column14625" queryTableFieldId="1760" dataDxfId="1977"/>
    <tableColumn id="14635" uniqueName="14635" name="Column14626" queryTableFieldId="1759" dataDxfId="1976"/>
    <tableColumn id="14636" uniqueName="14636" name="Column14627" queryTableFieldId="1758" dataDxfId="1975"/>
    <tableColumn id="14637" uniqueName="14637" name="Column14628" queryTableFieldId="1757" dataDxfId="1974"/>
    <tableColumn id="14638" uniqueName="14638" name="Column14629" queryTableFieldId="1756" dataDxfId="1973"/>
    <tableColumn id="14639" uniqueName="14639" name="Column14630" queryTableFieldId="1755" dataDxfId="1972"/>
    <tableColumn id="14640" uniqueName="14640" name="Column14631" queryTableFieldId="1754" dataDxfId="1971"/>
    <tableColumn id="14641" uniqueName="14641" name="Column14632" queryTableFieldId="1753" dataDxfId="1970"/>
    <tableColumn id="14642" uniqueName="14642" name="Column14633" queryTableFieldId="1752" dataDxfId="1969"/>
    <tableColumn id="14643" uniqueName="14643" name="Column14634" queryTableFieldId="1751" dataDxfId="1968"/>
    <tableColumn id="14644" uniqueName="14644" name="Column14635" queryTableFieldId="1750" dataDxfId="1967"/>
    <tableColumn id="14645" uniqueName="14645" name="Column14636" queryTableFieldId="1749" dataDxfId="1966"/>
    <tableColumn id="14646" uniqueName="14646" name="Column14637" queryTableFieldId="1748" dataDxfId="1965"/>
    <tableColumn id="14647" uniqueName="14647" name="Column14638" queryTableFieldId="1747" dataDxfId="1964"/>
    <tableColumn id="14648" uniqueName="14648" name="Column14639" queryTableFieldId="1746" dataDxfId="1963"/>
    <tableColumn id="14649" uniqueName="14649" name="Column14640" queryTableFieldId="1745" dataDxfId="1962"/>
    <tableColumn id="14650" uniqueName="14650" name="Column14641" queryTableFieldId="1744" dataDxfId="1961"/>
    <tableColumn id="14651" uniqueName="14651" name="Column14642" queryTableFieldId="1743" dataDxfId="1960"/>
    <tableColumn id="14652" uniqueName="14652" name="Column14643" queryTableFieldId="1742" dataDxfId="1959"/>
    <tableColumn id="14653" uniqueName="14653" name="Column14644" queryTableFieldId="1741" dataDxfId="1958"/>
    <tableColumn id="14654" uniqueName="14654" name="Column14645" queryTableFieldId="1740" dataDxfId="1957"/>
    <tableColumn id="14655" uniqueName="14655" name="Column14646" queryTableFieldId="1739" dataDxfId="1956"/>
    <tableColumn id="14656" uniqueName="14656" name="Column14647" queryTableFieldId="1738" dataDxfId="1955"/>
    <tableColumn id="14657" uniqueName="14657" name="Column14648" queryTableFieldId="1737" dataDxfId="1954"/>
    <tableColumn id="14658" uniqueName="14658" name="Column14649" queryTableFieldId="1736" dataDxfId="1953"/>
    <tableColumn id="14659" uniqueName="14659" name="Column14650" queryTableFieldId="1735" dataDxfId="1952"/>
    <tableColumn id="14660" uniqueName="14660" name="Column14651" queryTableFieldId="1734" dataDxfId="1951"/>
    <tableColumn id="14661" uniqueName="14661" name="Column14652" queryTableFieldId="1733" dataDxfId="1950"/>
    <tableColumn id="14662" uniqueName="14662" name="Column14653" queryTableFieldId="1732" dataDxfId="1949"/>
    <tableColumn id="14663" uniqueName="14663" name="Column14654" queryTableFieldId="1731" dataDxfId="1948"/>
    <tableColumn id="14664" uniqueName="14664" name="Column14655" queryTableFieldId="1730" dataDxfId="1947"/>
    <tableColumn id="14665" uniqueName="14665" name="Column14656" queryTableFieldId="1729" dataDxfId="1946"/>
    <tableColumn id="14666" uniqueName="14666" name="Column14657" queryTableFieldId="1728" dataDxfId="1945"/>
    <tableColumn id="14667" uniqueName="14667" name="Column14658" queryTableFieldId="1727" dataDxfId="1944"/>
    <tableColumn id="14668" uniqueName="14668" name="Column14659" queryTableFieldId="1726" dataDxfId="1943"/>
    <tableColumn id="14669" uniqueName="14669" name="Column14660" queryTableFieldId="1725" dataDxfId="1942"/>
    <tableColumn id="14670" uniqueName="14670" name="Column14661" queryTableFieldId="1724" dataDxfId="1941"/>
    <tableColumn id="14671" uniqueName="14671" name="Column14662" queryTableFieldId="1723" dataDxfId="1940"/>
    <tableColumn id="14672" uniqueName="14672" name="Column14663" queryTableFieldId="1722" dataDxfId="1939"/>
    <tableColumn id="14673" uniqueName="14673" name="Column14664" queryTableFieldId="1721" dataDxfId="1938"/>
    <tableColumn id="14674" uniqueName="14674" name="Column14665" queryTableFieldId="1720" dataDxfId="1937"/>
    <tableColumn id="14675" uniqueName="14675" name="Column14666" queryTableFieldId="1719" dataDxfId="1936"/>
    <tableColumn id="14676" uniqueName="14676" name="Column14667" queryTableFieldId="1718" dataDxfId="1935"/>
    <tableColumn id="14677" uniqueName="14677" name="Column14668" queryTableFieldId="1717" dataDxfId="1934"/>
    <tableColumn id="14678" uniqueName="14678" name="Column14669" queryTableFieldId="1716" dataDxfId="1933"/>
    <tableColumn id="14679" uniqueName="14679" name="Column14670" queryTableFieldId="1715" dataDxfId="1932"/>
    <tableColumn id="14680" uniqueName="14680" name="Column14671" queryTableFieldId="1714" dataDxfId="1931"/>
    <tableColumn id="14681" uniqueName="14681" name="Column14672" queryTableFieldId="1713" dataDxfId="1930"/>
    <tableColumn id="14682" uniqueName="14682" name="Column14673" queryTableFieldId="1712" dataDxfId="1929"/>
    <tableColumn id="14683" uniqueName="14683" name="Column14674" queryTableFieldId="1711" dataDxfId="1928"/>
    <tableColumn id="14684" uniqueName="14684" name="Column14675" queryTableFieldId="1710" dataDxfId="1927"/>
    <tableColumn id="14685" uniqueName="14685" name="Column14676" queryTableFieldId="1709" dataDxfId="1926"/>
    <tableColumn id="14686" uniqueName="14686" name="Column14677" queryTableFieldId="1708" dataDxfId="1925"/>
    <tableColumn id="14687" uniqueName="14687" name="Column14678" queryTableFieldId="1707" dataDxfId="1924"/>
    <tableColumn id="14688" uniqueName="14688" name="Column14679" queryTableFieldId="1706" dataDxfId="1923"/>
    <tableColumn id="14689" uniqueName="14689" name="Column14680" queryTableFieldId="1705" dataDxfId="1922"/>
    <tableColumn id="14690" uniqueName="14690" name="Column14681" queryTableFieldId="1704" dataDxfId="1921"/>
    <tableColumn id="14691" uniqueName="14691" name="Column14682" queryTableFieldId="1703" dataDxfId="1920"/>
    <tableColumn id="14692" uniqueName="14692" name="Column14683" queryTableFieldId="1702" dataDxfId="1919"/>
    <tableColumn id="14693" uniqueName="14693" name="Column14684" queryTableFieldId="1701" dataDxfId="1918"/>
    <tableColumn id="14694" uniqueName="14694" name="Column14685" queryTableFieldId="1700" dataDxfId="1917"/>
    <tableColumn id="14695" uniqueName="14695" name="Column14686" queryTableFieldId="1699" dataDxfId="1916"/>
    <tableColumn id="14696" uniqueName="14696" name="Column14687" queryTableFieldId="1698" dataDxfId="1915"/>
    <tableColumn id="14697" uniqueName="14697" name="Column14688" queryTableFieldId="1697" dataDxfId="1914"/>
    <tableColumn id="14698" uniqueName="14698" name="Column14689" queryTableFieldId="1696" dataDxfId="1913"/>
    <tableColumn id="14699" uniqueName="14699" name="Column14690" queryTableFieldId="1695" dataDxfId="1912"/>
    <tableColumn id="14700" uniqueName="14700" name="Column14691" queryTableFieldId="1694" dataDxfId="1911"/>
    <tableColumn id="14701" uniqueName="14701" name="Column14692" queryTableFieldId="1693" dataDxfId="1910"/>
    <tableColumn id="14702" uniqueName="14702" name="Column14693" queryTableFieldId="1692" dataDxfId="1909"/>
    <tableColumn id="14703" uniqueName="14703" name="Column14694" queryTableFieldId="1691" dataDxfId="1908"/>
    <tableColumn id="14704" uniqueName="14704" name="Column14695" queryTableFieldId="1690" dataDxfId="1907"/>
    <tableColumn id="14705" uniqueName="14705" name="Column14696" queryTableFieldId="1689" dataDxfId="1906"/>
    <tableColumn id="14706" uniqueName="14706" name="Column14697" queryTableFieldId="1688" dataDxfId="1905"/>
    <tableColumn id="14707" uniqueName="14707" name="Column14698" queryTableFieldId="1687" dataDxfId="1904"/>
    <tableColumn id="14708" uniqueName="14708" name="Column14699" queryTableFieldId="1686" dataDxfId="1903"/>
    <tableColumn id="14709" uniqueName="14709" name="Column14700" queryTableFieldId="1685" dataDxfId="1902"/>
    <tableColumn id="14710" uniqueName="14710" name="Column14701" queryTableFieldId="1684" dataDxfId="1901"/>
    <tableColumn id="14711" uniqueName="14711" name="Column14702" queryTableFieldId="1683" dataDxfId="1900"/>
    <tableColumn id="14712" uniqueName="14712" name="Column14703" queryTableFieldId="1682" dataDxfId="1899"/>
    <tableColumn id="14713" uniqueName="14713" name="Column14704" queryTableFieldId="1681" dataDxfId="1898"/>
    <tableColumn id="14714" uniqueName="14714" name="Column14705" queryTableFieldId="1680" dataDxfId="1897"/>
    <tableColumn id="14715" uniqueName="14715" name="Column14706" queryTableFieldId="1679" dataDxfId="1896"/>
    <tableColumn id="14716" uniqueName="14716" name="Column14707" queryTableFieldId="1678" dataDxfId="1895"/>
    <tableColumn id="14717" uniqueName="14717" name="Column14708" queryTableFieldId="1677" dataDxfId="1894"/>
    <tableColumn id="14718" uniqueName="14718" name="Column14709" queryTableFieldId="1676" dataDxfId="1893"/>
    <tableColumn id="14719" uniqueName="14719" name="Column14710" queryTableFieldId="1675" dataDxfId="1892"/>
    <tableColumn id="14720" uniqueName="14720" name="Column14711" queryTableFieldId="1674" dataDxfId="1891"/>
    <tableColumn id="14721" uniqueName="14721" name="Column14712" queryTableFieldId="1673" dataDxfId="1890"/>
    <tableColumn id="14722" uniqueName="14722" name="Column14713" queryTableFieldId="1672" dataDxfId="1889"/>
    <tableColumn id="14723" uniqueName="14723" name="Column14714" queryTableFieldId="1671" dataDxfId="1888"/>
    <tableColumn id="14724" uniqueName="14724" name="Column14715" queryTableFieldId="1670" dataDxfId="1887"/>
    <tableColumn id="14725" uniqueName="14725" name="Column14716" queryTableFieldId="1669" dataDxfId="1886"/>
    <tableColumn id="14726" uniqueName="14726" name="Column14717" queryTableFieldId="1668" dataDxfId="1885"/>
    <tableColumn id="14727" uniqueName="14727" name="Column14718" queryTableFieldId="1667" dataDxfId="1884"/>
    <tableColumn id="14728" uniqueName="14728" name="Column14719" queryTableFieldId="1666" dataDxfId="1883"/>
    <tableColumn id="14729" uniqueName="14729" name="Column14720" queryTableFieldId="1665" dataDxfId="1882"/>
    <tableColumn id="14730" uniqueName="14730" name="Column14721" queryTableFieldId="1664" dataDxfId="1881"/>
    <tableColumn id="14731" uniqueName="14731" name="Column14722" queryTableFieldId="1663" dataDxfId="1880"/>
    <tableColumn id="14732" uniqueName="14732" name="Column14723" queryTableFieldId="1662" dataDxfId="1879"/>
    <tableColumn id="14733" uniqueName="14733" name="Column14724" queryTableFieldId="1661" dataDxfId="1878"/>
    <tableColumn id="14734" uniqueName="14734" name="Column14725" queryTableFieldId="1660" dataDxfId="1877"/>
    <tableColumn id="14735" uniqueName="14735" name="Column14726" queryTableFieldId="1659" dataDxfId="1876"/>
    <tableColumn id="14736" uniqueName="14736" name="Column14727" queryTableFieldId="1658" dataDxfId="1875"/>
    <tableColumn id="14737" uniqueName="14737" name="Column14728" queryTableFieldId="1657" dataDxfId="1874"/>
    <tableColumn id="14738" uniqueName="14738" name="Column14729" queryTableFieldId="1656" dataDxfId="1873"/>
    <tableColumn id="14739" uniqueName="14739" name="Column14730" queryTableFieldId="1655" dataDxfId="1872"/>
    <tableColumn id="14740" uniqueName="14740" name="Column14731" queryTableFieldId="1654" dataDxfId="1871"/>
    <tableColumn id="14741" uniqueName="14741" name="Column14732" queryTableFieldId="1653" dataDxfId="1870"/>
    <tableColumn id="14742" uniqueName="14742" name="Column14733" queryTableFieldId="1652" dataDxfId="1869"/>
    <tableColumn id="14743" uniqueName="14743" name="Column14734" queryTableFieldId="1651" dataDxfId="1868"/>
    <tableColumn id="14744" uniqueName="14744" name="Column14735" queryTableFieldId="1650" dataDxfId="1867"/>
    <tableColumn id="14745" uniqueName="14745" name="Column14736" queryTableFieldId="1649" dataDxfId="1866"/>
    <tableColumn id="14746" uniqueName="14746" name="Column14737" queryTableFieldId="1648" dataDxfId="1865"/>
    <tableColumn id="14747" uniqueName="14747" name="Column14738" queryTableFieldId="1647" dataDxfId="1864"/>
    <tableColumn id="14748" uniqueName="14748" name="Column14739" queryTableFieldId="1646" dataDxfId="1863"/>
    <tableColumn id="14749" uniqueName="14749" name="Column14740" queryTableFieldId="1645" dataDxfId="1862"/>
    <tableColumn id="14750" uniqueName="14750" name="Column14741" queryTableFieldId="1644" dataDxfId="1861"/>
    <tableColumn id="14751" uniqueName="14751" name="Column14742" queryTableFieldId="1643" dataDxfId="1860"/>
    <tableColumn id="14752" uniqueName="14752" name="Column14743" queryTableFieldId="1642" dataDxfId="1859"/>
    <tableColumn id="14753" uniqueName="14753" name="Column14744" queryTableFieldId="1641" dataDxfId="1858"/>
    <tableColumn id="14754" uniqueName="14754" name="Column14745" queryTableFieldId="1640" dataDxfId="1857"/>
    <tableColumn id="14755" uniqueName="14755" name="Column14746" queryTableFieldId="1639" dataDxfId="1856"/>
    <tableColumn id="14756" uniqueName="14756" name="Column14747" queryTableFieldId="1638" dataDxfId="1855"/>
    <tableColumn id="14757" uniqueName="14757" name="Column14748" queryTableFieldId="1637" dataDxfId="1854"/>
    <tableColumn id="14758" uniqueName="14758" name="Column14749" queryTableFieldId="1636" dataDxfId="1853"/>
    <tableColumn id="14759" uniqueName="14759" name="Column14750" queryTableFieldId="1635" dataDxfId="1852"/>
    <tableColumn id="14760" uniqueName="14760" name="Column14751" queryTableFieldId="1634" dataDxfId="1851"/>
    <tableColumn id="14761" uniqueName="14761" name="Column14752" queryTableFieldId="1633" dataDxfId="1850"/>
    <tableColumn id="14762" uniqueName="14762" name="Column14753" queryTableFieldId="1632" dataDxfId="1849"/>
    <tableColumn id="14763" uniqueName="14763" name="Column14754" queryTableFieldId="1631" dataDxfId="1848"/>
    <tableColumn id="14764" uniqueName="14764" name="Column14755" queryTableFieldId="1630" dataDxfId="1847"/>
    <tableColumn id="14765" uniqueName="14765" name="Column14756" queryTableFieldId="1629" dataDxfId="1846"/>
    <tableColumn id="14766" uniqueName="14766" name="Column14757" queryTableFieldId="1628" dataDxfId="1845"/>
    <tableColumn id="14767" uniqueName="14767" name="Column14758" queryTableFieldId="1627" dataDxfId="1844"/>
    <tableColumn id="14768" uniqueName="14768" name="Column14759" queryTableFieldId="1626" dataDxfId="1843"/>
    <tableColumn id="14769" uniqueName="14769" name="Column14760" queryTableFieldId="1625" dataDxfId="1842"/>
    <tableColumn id="14770" uniqueName="14770" name="Column14761" queryTableFieldId="1624" dataDxfId="1841"/>
    <tableColumn id="14771" uniqueName="14771" name="Column14762" queryTableFieldId="1623" dataDxfId="1840"/>
    <tableColumn id="14772" uniqueName="14772" name="Column14763" queryTableFieldId="1622" dataDxfId="1839"/>
    <tableColumn id="14773" uniqueName="14773" name="Column14764" queryTableFieldId="1621" dataDxfId="1838"/>
    <tableColumn id="14774" uniqueName="14774" name="Column14765" queryTableFieldId="1620" dataDxfId="1837"/>
    <tableColumn id="14775" uniqueName="14775" name="Column14766" queryTableFieldId="1619" dataDxfId="1836"/>
    <tableColumn id="14776" uniqueName="14776" name="Column14767" queryTableFieldId="1618" dataDxfId="1835"/>
    <tableColumn id="14777" uniqueName="14777" name="Column14768" queryTableFieldId="1617" dataDxfId="1834"/>
    <tableColumn id="14778" uniqueName="14778" name="Column14769" queryTableFieldId="1616" dataDxfId="1833"/>
    <tableColumn id="14779" uniqueName="14779" name="Column14770" queryTableFieldId="1615" dataDxfId="1832"/>
    <tableColumn id="14780" uniqueName="14780" name="Column14771" queryTableFieldId="1614" dataDxfId="1831"/>
    <tableColumn id="14781" uniqueName="14781" name="Column14772" queryTableFieldId="1613" dataDxfId="1830"/>
    <tableColumn id="14782" uniqueName="14782" name="Column14773" queryTableFieldId="1612" dataDxfId="1829"/>
    <tableColumn id="14783" uniqueName="14783" name="Column14774" queryTableFieldId="1611" dataDxfId="1828"/>
    <tableColumn id="14784" uniqueName="14784" name="Column14775" queryTableFieldId="1610" dataDxfId="1827"/>
    <tableColumn id="14785" uniqueName="14785" name="Column14776" queryTableFieldId="1609" dataDxfId="1826"/>
    <tableColumn id="14786" uniqueName="14786" name="Column14777" queryTableFieldId="1608" dataDxfId="1825"/>
    <tableColumn id="14787" uniqueName="14787" name="Column14778" queryTableFieldId="1607" dataDxfId="1824"/>
    <tableColumn id="14788" uniqueName="14788" name="Column14779" queryTableFieldId="1606" dataDxfId="1823"/>
    <tableColumn id="14789" uniqueName="14789" name="Column14780" queryTableFieldId="1605" dataDxfId="1822"/>
    <tableColumn id="14790" uniqueName="14790" name="Column14781" queryTableFieldId="1604" dataDxfId="1821"/>
    <tableColumn id="14791" uniqueName="14791" name="Column14782" queryTableFieldId="1603" dataDxfId="1820"/>
    <tableColumn id="14792" uniqueName="14792" name="Column14783" queryTableFieldId="1602" dataDxfId="1819"/>
    <tableColumn id="14793" uniqueName="14793" name="Column14784" queryTableFieldId="1601" dataDxfId="1818"/>
    <tableColumn id="14794" uniqueName="14794" name="Column14785" queryTableFieldId="1600" dataDxfId="1817"/>
    <tableColumn id="14795" uniqueName="14795" name="Column14786" queryTableFieldId="1599" dataDxfId="1816"/>
    <tableColumn id="14796" uniqueName="14796" name="Column14787" queryTableFieldId="1598" dataDxfId="1815"/>
    <tableColumn id="14797" uniqueName="14797" name="Column14788" queryTableFieldId="1597" dataDxfId="1814"/>
    <tableColumn id="14798" uniqueName="14798" name="Column14789" queryTableFieldId="1596" dataDxfId="1813"/>
    <tableColumn id="14799" uniqueName="14799" name="Column14790" queryTableFieldId="1595" dataDxfId="1812"/>
    <tableColumn id="14800" uniqueName="14800" name="Column14791" queryTableFieldId="1594" dataDxfId="1811"/>
    <tableColumn id="14801" uniqueName="14801" name="Column14792" queryTableFieldId="1593" dataDxfId="1810"/>
    <tableColumn id="14802" uniqueName="14802" name="Column14793" queryTableFieldId="1592" dataDxfId="1809"/>
    <tableColumn id="14803" uniqueName="14803" name="Column14794" queryTableFieldId="1591" dataDxfId="1808"/>
    <tableColumn id="14804" uniqueName="14804" name="Column14795" queryTableFieldId="1590" dataDxfId="1807"/>
    <tableColumn id="14805" uniqueName="14805" name="Column14796" queryTableFieldId="1589" dataDxfId="1806"/>
    <tableColumn id="14806" uniqueName="14806" name="Column14797" queryTableFieldId="1588" dataDxfId="1805"/>
    <tableColumn id="14807" uniqueName="14807" name="Column14798" queryTableFieldId="1587" dataDxfId="1804"/>
    <tableColumn id="14808" uniqueName="14808" name="Column14799" queryTableFieldId="1586" dataDxfId="1803"/>
    <tableColumn id="14809" uniqueName="14809" name="Column14800" queryTableFieldId="1585" dataDxfId="1802"/>
    <tableColumn id="14810" uniqueName="14810" name="Column14801" queryTableFieldId="1584" dataDxfId="1801"/>
    <tableColumn id="14811" uniqueName="14811" name="Column14802" queryTableFieldId="1583" dataDxfId="1800"/>
    <tableColumn id="14812" uniqueName="14812" name="Column14803" queryTableFieldId="1582" dataDxfId="1799"/>
    <tableColumn id="14813" uniqueName="14813" name="Column14804" queryTableFieldId="1581" dataDxfId="1798"/>
    <tableColumn id="14814" uniqueName="14814" name="Column14805" queryTableFieldId="1580" dataDxfId="1797"/>
    <tableColumn id="14815" uniqueName="14815" name="Column14806" queryTableFieldId="1579" dataDxfId="1796"/>
    <tableColumn id="14816" uniqueName="14816" name="Column14807" queryTableFieldId="1578" dataDxfId="1795"/>
    <tableColumn id="14817" uniqueName="14817" name="Column14808" queryTableFieldId="1577" dataDxfId="1794"/>
    <tableColumn id="14818" uniqueName="14818" name="Column14809" queryTableFieldId="1576" dataDxfId="1793"/>
    <tableColumn id="14819" uniqueName="14819" name="Column14810" queryTableFieldId="1575" dataDxfId="1792"/>
    <tableColumn id="14820" uniqueName="14820" name="Column14811" queryTableFieldId="1574" dataDxfId="1791"/>
    <tableColumn id="14821" uniqueName="14821" name="Column14812" queryTableFieldId="1573" dataDxfId="1790"/>
    <tableColumn id="14822" uniqueName="14822" name="Column14813" queryTableFieldId="1572" dataDxfId="1789"/>
    <tableColumn id="14823" uniqueName="14823" name="Column14814" queryTableFieldId="1571" dataDxfId="1788"/>
    <tableColumn id="14824" uniqueName="14824" name="Column14815" queryTableFieldId="1570" dataDxfId="1787"/>
    <tableColumn id="14825" uniqueName="14825" name="Column14816" queryTableFieldId="1569" dataDxfId="1786"/>
    <tableColumn id="14826" uniqueName="14826" name="Column14817" queryTableFieldId="1568" dataDxfId="1785"/>
    <tableColumn id="14827" uniqueName="14827" name="Column14818" queryTableFieldId="1567" dataDxfId="1784"/>
    <tableColumn id="14828" uniqueName="14828" name="Column14819" queryTableFieldId="1566" dataDxfId="1783"/>
    <tableColumn id="14829" uniqueName="14829" name="Column14820" queryTableFieldId="1565" dataDxfId="1782"/>
    <tableColumn id="14830" uniqueName="14830" name="Column14821" queryTableFieldId="1564" dataDxfId="1781"/>
    <tableColumn id="14831" uniqueName="14831" name="Column14822" queryTableFieldId="1563" dataDxfId="1780"/>
    <tableColumn id="14832" uniqueName="14832" name="Column14823" queryTableFieldId="1562" dataDxfId="1779"/>
    <tableColumn id="14833" uniqueName="14833" name="Column14824" queryTableFieldId="1561" dataDxfId="1778"/>
    <tableColumn id="14834" uniqueName="14834" name="Column14825" queryTableFieldId="1560" dataDxfId="1777"/>
    <tableColumn id="14835" uniqueName="14835" name="Column14826" queryTableFieldId="1559" dataDxfId="1776"/>
    <tableColumn id="14836" uniqueName="14836" name="Column14827" queryTableFieldId="1558" dataDxfId="1775"/>
    <tableColumn id="14837" uniqueName="14837" name="Column14828" queryTableFieldId="1557" dataDxfId="1774"/>
    <tableColumn id="14838" uniqueName="14838" name="Column14829" queryTableFieldId="1556" dataDxfId="1773"/>
    <tableColumn id="14839" uniqueName="14839" name="Column14830" queryTableFieldId="1555" dataDxfId="1772"/>
    <tableColumn id="14840" uniqueName="14840" name="Column14831" queryTableFieldId="1554" dataDxfId="1771"/>
    <tableColumn id="14841" uniqueName="14841" name="Column14832" queryTableFieldId="1553" dataDxfId="1770"/>
    <tableColumn id="14842" uniqueName="14842" name="Column14833" queryTableFieldId="1552" dataDxfId="1769"/>
    <tableColumn id="14843" uniqueName="14843" name="Column14834" queryTableFieldId="1551" dataDxfId="1768"/>
    <tableColumn id="14844" uniqueName="14844" name="Column14835" queryTableFieldId="1550" dataDxfId="1767"/>
    <tableColumn id="14845" uniqueName="14845" name="Column14836" queryTableFieldId="1549" dataDxfId="1766"/>
    <tableColumn id="14846" uniqueName="14846" name="Column14837" queryTableFieldId="1548" dataDxfId="1765"/>
    <tableColumn id="14847" uniqueName="14847" name="Column14838" queryTableFieldId="1547" dataDxfId="1764"/>
    <tableColumn id="14848" uniqueName="14848" name="Column14839" queryTableFieldId="1546" dataDxfId="1763"/>
    <tableColumn id="14849" uniqueName="14849" name="Column14840" queryTableFieldId="1545" dataDxfId="1762"/>
    <tableColumn id="14850" uniqueName="14850" name="Column14841" queryTableFieldId="1544" dataDxfId="1761"/>
    <tableColumn id="14851" uniqueName="14851" name="Column14842" queryTableFieldId="1543" dataDxfId="1760"/>
    <tableColumn id="14852" uniqueName="14852" name="Column14843" queryTableFieldId="1542" dataDxfId="1759"/>
    <tableColumn id="14853" uniqueName="14853" name="Column14844" queryTableFieldId="1541" dataDxfId="1758"/>
    <tableColumn id="14854" uniqueName="14854" name="Column14845" queryTableFieldId="1540" dataDxfId="1757"/>
    <tableColumn id="14855" uniqueName="14855" name="Column14846" queryTableFieldId="1539" dataDxfId="1756"/>
    <tableColumn id="14856" uniqueName="14856" name="Column14847" queryTableFieldId="1538" dataDxfId="1755"/>
    <tableColumn id="14857" uniqueName="14857" name="Column14848" queryTableFieldId="1537" dataDxfId="1754"/>
    <tableColumn id="14858" uniqueName="14858" name="Column14849" queryTableFieldId="1536" dataDxfId="1753"/>
    <tableColumn id="14859" uniqueName="14859" name="Column14850" queryTableFieldId="1535" dataDxfId="1752"/>
    <tableColumn id="14860" uniqueName="14860" name="Column14851" queryTableFieldId="1534" dataDxfId="1751"/>
    <tableColumn id="14861" uniqueName="14861" name="Column14852" queryTableFieldId="1533" dataDxfId="1750"/>
    <tableColumn id="14862" uniqueName="14862" name="Column14853" queryTableFieldId="1532" dataDxfId="1749"/>
    <tableColumn id="14863" uniqueName="14863" name="Column14854" queryTableFieldId="1531" dataDxfId="1748"/>
    <tableColumn id="14864" uniqueName="14864" name="Column14855" queryTableFieldId="1530" dataDxfId="1747"/>
    <tableColumn id="14865" uniqueName="14865" name="Column14856" queryTableFieldId="1529" dataDxfId="1746"/>
    <tableColumn id="14866" uniqueName="14866" name="Column14857" queryTableFieldId="1528" dataDxfId="1745"/>
    <tableColumn id="14867" uniqueName="14867" name="Column14858" queryTableFieldId="1527" dataDxfId="1744"/>
    <tableColumn id="14868" uniqueName="14868" name="Column14859" queryTableFieldId="1526" dataDxfId="1743"/>
    <tableColumn id="14869" uniqueName="14869" name="Column14860" queryTableFieldId="1525" dataDxfId="1742"/>
    <tableColumn id="14870" uniqueName="14870" name="Column14861" queryTableFieldId="1524" dataDxfId="1741"/>
    <tableColumn id="14871" uniqueName="14871" name="Column14862" queryTableFieldId="1523" dataDxfId="1740"/>
    <tableColumn id="14872" uniqueName="14872" name="Column14863" queryTableFieldId="1522" dataDxfId="1739"/>
    <tableColumn id="14873" uniqueName="14873" name="Column14864" queryTableFieldId="1521" dataDxfId="1738"/>
    <tableColumn id="14874" uniqueName="14874" name="Column14865" queryTableFieldId="1520" dataDxfId="1737"/>
    <tableColumn id="14875" uniqueName="14875" name="Column14866" queryTableFieldId="1519" dataDxfId="1736"/>
    <tableColumn id="14876" uniqueName="14876" name="Column14867" queryTableFieldId="1518" dataDxfId="1735"/>
    <tableColumn id="14877" uniqueName="14877" name="Column14868" queryTableFieldId="1517" dataDxfId="1734"/>
    <tableColumn id="14878" uniqueName="14878" name="Column14869" queryTableFieldId="1516" dataDxfId="1733"/>
    <tableColumn id="14879" uniqueName="14879" name="Column14870" queryTableFieldId="1515" dataDxfId="1732"/>
    <tableColumn id="14880" uniqueName="14880" name="Column14871" queryTableFieldId="1514" dataDxfId="1731"/>
    <tableColumn id="14881" uniqueName="14881" name="Column14872" queryTableFieldId="1513" dataDxfId="1730"/>
    <tableColumn id="14882" uniqueName="14882" name="Column14873" queryTableFieldId="1512" dataDxfId="1729"/>
    <tableColumn id="14883" uniqueName="14883" name="Column14874" queryTableFieldId="1511" dataDxfId="1728"/>
    <tableColumn id="14884" uniqueName="14884" name="Column14875" queryTableFieldId="1510" dataDxfId="1727"/>
    <tableColumn id="14885" uniqueName="14885" name="Column14876" queryTableFieldId="1509" dataDxfId="1726"/>
    <tableColumn id="14886" uniqueName="14886" name="Column14877" queryTableFieldId="1508" dataDxfId="1725"/>
    <tableColumn id="14887" uniqueName="14887" name="Column14878" queryTableFieldId="1507" dataDxfId="1724"/>
    <tableColumn id="14888" uniqueName="14888" name="Column14879" queryTableFieldId="1506" dataDxfId="1723"/>
    <tableColumn id="14889" uniqueName="14889" name="Column14880" queryTableFieldId="1505" dataDxfId="1722"/>
    <tableColumn id="14890" uniqueName="14890" name="Column14881" queryTableFieldId="1504" dataDxfId="1721"/>
    <tableColumn id="14891" uniqueName="14891" name="Column14882" queryTableFieldId="1503" dataDxfId="1720"/>
    <tableColumn id="14892" uniqueName="14892" name="Column14883" queryTableFieldId="1502" dataDxfId="1719"/>
    <tableColumn id="14893" uniqueName="14893" name="Column14884" queryTableFieldId="1501" dataDxfId="1718"/>
    <tableColumn id="14894" uniqueName="14894" name="Column14885" queryTableFieldId="1500" dataDxfId="1717"/>
    <tableColumn id="14895" uniqueName="14895" name="Column14886" queryTableFieldId="1499" dataDxfId="1716"/>
    <tableColumn id="14896" uniqueName="14896" name="Column14887" queryTableFieldId="1498" dataDxfId="1715"/>
    <tableColumn id="14897" uniqueName="14897" name="Column14888" queryTableFieldId="1497" dataDxfId="1714"/>
    <tableColumn id="14898" uniqueName="14898" name="Column14889" queryTableFieldId="1496" dataDxfId="1713"/>
    <tableColumn id="14899" uniqueName="14899" name="Column14890" queryTableFieldId="1495" dataDxfId="1712"/>
    <tableColumn id="14900" uniqueName="14900" name="Column14891" queryTableFieldId="1494" dataDxfId="1711"/>
    <tableColumn id="14901" uniqueName="14901" name="Column14892" queryTableFieldId="1493" dataDxfId="1710"/>
    <tableColumn id="14902" uniqueName="14902" name="Column14893" queryTableFieldId="1492" dataDxfId="1709"/>
    <tableColumn id="14903" uniqueName="14903" name="Column14894" queryTableFieldId="1491" dataDxfId="1708"/>
    <tableColumn id="14904" uniqueName="14904" name="Column14895" queryTableFieldId="1490" dataDxfId="1707"/>
    <tableColumn id="14905" uniqueName="14905" name="Column14896" queryTableFieldId="1489" dataDxfId="1706"/>
    <tableColumn id="14906" uniqueName="14906" name="Column14897" queryTableFieldId="1488" dataDxfId="1705"/>
    <tableColumn id="14907" uniqueName="14907" name="Column14898" queryTableFieldId="1487" dataDxfId="1704"/>
    <tableColumn id="14908" uniqueName="14908" name="Column14899" queryTableFieldId="1486" dataDxfId="1703"/>
    <tableColumn id="14909" uniqueName="14909" name="Column14900" queryTableFieldId="1485" dataDxfId="1702"/>
    <tableColumn id="14910" uniqueName="14910" name="Column14901" queryTableFieldId="1484" dataDxfId="1701"/>
    <tableColumn id="14911" uniqueName="14911" name="Column14902" queryTableFieldId="1483" dataDxfId="1700"/>
    <tableColumn id="14912" uniqueName="14912" name="Column14903" queryTableFieldId="1482" dataDxfId="1699"/>
    <tableColumn id="14913" uniqueName="14913" name="Column14904" queryTableFieldId="1481" dataDxfId="1698"/>
    <tableColumn id="14914" uniqueName="14914" name="Column14905" queryTableFieldId="1480" dataDxfId="1697"/>
    <tableColumn id="14915" uniqueName="14915" name="Column14906" queryTableFieldId="1479" dataDxfId="1696"/>
    <tableColumn id="14916" uniqueName="14916" name="Column14907" queryTableFieldId="1478" dataDxfId="1695"/>
    <tableColumn id="14917" uniqueName="14917" name="Column14908" queryTableFieldId="1477" dataDxfId="1694"/>
    <tableColumn id="14918" uniqueName="14918" name="Column14909" queryTableFieldId="1476" dataDxfId="1693"/>
    <tableColumn id="14919" uniqueName="14919" name="Column14910" queryTableFieldId="1475" dataDxfId="1692"/>
    <tableColumn id="14920" uniqueName="14920" name="Column14911" queryTableFieldId="1474" dataDxfId="1691"/>
    <tableColumn id="14921" uniqueName="14921" name="Column14912" queryTableFieldId="1473" dataDxfId="1690"/>
    <tableColumn id="14922" uniqueName="14922" name="Column14913" queryTableFieldId="1472" dataDxfId="1689"/>
    <tableColumn id="14923" uniqueName="14923" name="Column14914" queryTableFieldId="1471" dataDxfId="1688"/>
    <tableColumn id="14924" uniqueName="14924" name="Column14915" queryTableFieldId="1470" dataDxfId="1687"/>
    <tableColumn id="14925" uniqueName="14925" name="Column14916" queryTableFieldId="1469" dataDxfId="1686"/>
    <tableColumn id="14926" uniqueName="14926" name="Column14917" queryTableFieldId="1468" dataDxfId="1685"/>
    <tableColumn id="14927" uniqueName="14927" name="Column14918" queryTableFieldId="1467" dataDxfId="1684"/>
    <tableColumn id="14928" uniqueName="14928" name="Column14919" queryTableFieldId="1466" dataDxfId="1683"/>
    <tableColumn id="14929" uniqueName="14929" name="Column14920" queryTableFieldId="1465" dataDxfId="1682"/>
    <tableColumn id="14930" uniqueName="14930" name="Column14921" queryTableFieldId="1464" dataDxfId="1681"/>
    <tableColumn id="14931" uniqueName="14931" name="Column14922" queryTableFieldId="1463" dataDxfId="1680"/>
    <tableColumn id="14932" uniqueName="14932" name="Column14923" queryTableFieldId="1462" dataDxfId="1679"/>
    <tableColumn id="14933" uniqueName="14933" name="Column14924" queryTableFieldId="1461" dataDxfId="1678"/>
    <tableColumn id="14934" uniqueName="14934" name="Column14925" queryTableFieldId="1460" dataDxfId="1677"/>
    <tableColumn id="14935" uniqueName="14935" name="Column14926" queryTableFieldId="1459" dataDxfId="1676"/>
    <tableColumn id="14936" uniqueName="14936" name="Column14927" queryTableFieldId="1458" dataDxfId="1675"/>
    <tableColumn id="14937" uniqueName="14937" name="Column14928" queryTableFieldId="1457" dataDxfId="1674"/>
    <tableColumn id="14938" uniqueName="14938" name="Column14929" queryTableFieldId="1456" dataDxfId="1673"/>
    <tableColumn id="14939" uniqueName="14939" name="Column14930" queryTableFieldId="1455" dataDxfId="1672"/>
    <tableColumn id="14940" uniqueName="14940" name="Column14931" queryTableFieldId="1454" dataDxfId="1671"/>
    <tableColumn id="14941" uniqueName="14941" name="Column14932" queryTableFieldId="1453" dataDxfId="1670"/>
    <tableColumn id="14942" uniqueName="14942" name="Column14933" queryTableFieldId="1452" dataDxfId="1669"/>
    <tableColumn id="14943" uniqueName="14943" name="Column14934" queryTableFieldId="1451" dataDxfId="1668"/>
    <tableColumn id="14944" uniqueName="14944" name="Column14935" queryTableFieldId="1450" dataDxfId="1667"/>
    <tableColumn id="14945" uniqueName="14945" name="Column14936" queryTableFieldId="1449" dataDxfId="1666"/>
    <tableColumn id="14946" uniqueName="14946" name="Column14937" queryTableFieldId="1448" dataDxfId="1665"/>
    <tableColumn id="14947" uniqueName="14947" name="Column14938" queryTableFieldId="1447" dataDxfId="1664"/>
    <tableColumn id="14948" uniqueName="14948" name="Column14939" queryTableFieldId="1446" dataDxfId="1663"/>
    <tableColumn id="14949" uniqueName="14949" name="Column14940" queryTableFieldId="1445" dataDxfId="1662"/>
    <tableColumn id="14950" uniqueName="14950" name="Column14941" queryTableFieldId="1444" dataDxfId="1661"/>
    <tableColumn id="14951" uniqueName="14951" name="Column14942" queryTableFieldId="1443" dataDxfId="1660"/>
    <tableColumn id="14952" uniqueName="14952" name="Column14943" queryTableFieldId="1442" dataDxfId="1659"/>
    <tableColumn id="14953" uniqueName="14953" name="Column14944" queryTableFieldId="1441" dataDxfId="1658"/>
    <tableColumn id="14954" uniqueName="14954" name="Column14945" queryTableFieldId="1440" dataDxfId="1657"/>
    <tableColumn id="14955" uniqueName="14955" name="Column14946" queryTableFieldId="1439" dataDxfId="1656"/>
    <tableColumn id="14956" uniqueName="14956" name="Column14947" queryTableFieldId="1438" dataDxfId="1655"/>
    <tableColumn id="14957" uniqueName="14957" name="Column14948" queryTableFieldId="1437" dataDxfId="1654"/>
    <tableColumn id="14958" uniqueName="14958" name="Column14949" queryTableFieldId="1436" dataDxfId="1653"/>
    <tableColumn id="14959" uniqueName="14959" name="Column14950" queryTableFieldId="1435" dataDxfId="1652"/>
    <tableColumn id="14960" uniqueName="14960" name="Column14951" queryTableFieldId="1434" dataDxfId="1651"/>
    <tableColumn id="14961" uniqueName="14961" name="Column14952" queryTableFieldId="1433" dataDxfId="1650"/>
    <tableColumn id="14962" uniqueName="14962" name="Column14953" queryTableFieldId="1432" dataDxfId="1649"/>
    <tableColumn id="14963" uniqueName="14963" name="Column14954" queryTableFieldId="1431" dataDxfId="1648"/>
    <tableColumn id="14964" uniqueName="14964" name="Column14955" queryTableFieldId="1430" dataDxfId="1647"/>
    <tableColumn id="14965" uniqueName="14965" name="Column14956" queryTableFieldId="1429" dataDxfId="1646"/>
    <tableColumn id="14966" uniqueName="14966" name="Column14957" queryTableFieldId="1428" dataDxfId="1645"/>
    <tableColumn id="14967" uniqueName="14967" name="Column14958" queryTableFieldId="1427" dataDxfId="1644"/>
    <tableColumn id="14968" uniqueName="14968" name="Column14959" queryTableFieldId="1426" dataDxfId="1643"/>
    <tableColumn id="14969" uniqueName="14969" name="Column14960" queryTableFieldId="1425" dataDxfId="1642"/>
    <tableColumn id="14970" uniqueName="14970" name="Column14961" queryTableFieldId="1424" dataDxfId="1641"/>
    <tableColumn id="14971" uniqueName="14971" name="Column14962" queryTableFieldId="1423" dataDxfId="1640"/>
    <tableColumn id="14972" uniqueName="14972" name="Column14963" queryTableFieldId="1422" dataDxfId="1639"/>
    <tableColumn id="14973" uniqueName="14973" name="Column14964" queryTableFieldId="1421" dataDxfId="1638"/>
    <tableColumn id="14974" uniqueName="14974" name="Column14965" queryTableFieldId="1420" dataDxfId="1637"/>
    <tableColumn id="14975" uniqueName="14975" name="Column14966" queryTableFieldId="1419" dataDxfId="1636"/>
    <tableColumn id="14976" uniqueName="14976" name="Column14967" queryTableFieldId="1418" dataDxfId="1635"/>
    <tableColumn id="14977" uniqueName="14977" name="Column14968" queryTableFieldId="1417" dataDxfId="1634"/>
    <tableColumn id="14978" uniqueName="14978" name="Column14969" queryTableFieldId="1416" dataDxfId="1633"/>
    <tableColumn id="14979" uniqueName="14979" name="Column14970" queryTableFieldId="1415" dataDxfId="1632"/>
    <tableColumn id="14980" uniqueName="14980" name="Column14971" queryTableFieldId="1414" dataDxfId="1631"/>
    <tableColumn id="14981" uniqueName="14981" name="Column14972" queryTableFieldId="1413" dataDxfId="1630"/>
    <tableColumn id="14982" uniqueName="14982" name="Column14973" queryTableFieldId="1412" dataDxfId="1629"/>
    <tableColumn id="14983" uniqueName="14983" name="Column14974" queryTableFieldId="1411" dataDxfId="1628"/>
    <tableColumn id="14984" uniqueName="14984" name="Column14975" queryTableFieldId="1410" dataDxfId="1627"/>
    <tableColumn id="14985" uniqueName="14985" name="Column14976" queryTableFieldId="1409" dataDxfId="1626"/>
    <tableColumn id="14986" uniqueName="14986" name="Column14977" queryTableFieldId="1408" dataDxfId="1625"/>
    <tableColumn id="14987" uniqueName="14987" name="Column14978" queryTableFieldId="1407" dataDxfId="1624"/>
    <tableColumn id="14988" uniqueName="14988" name="Column14979" queryTableFieldId="1406" dataDxfId="1623"/>
    <tableColumn id="14989" uniqueName="14989" name="Column14980" queryTableFieldId="1405" dataDxfId="1622"/>
    <tableColumn id="14990" uniqueName="14990" name="Column14981" queryTableFieldId="1404" dataDxfId="1621"/>
    <tableColumn id="14991" uniqueName="14991" name="Column14982" queryTableFieldId="1403" dataDxfId="1620"/>
    <tableColumn id="14992" uniqueName="14992" name="Column14983" queryTableFieldId="1402" dataDxfId="1619"/>
    <tableColumn id="14993" uniqueName="14993" name="Column14984" queryTableFieldId="1401" dataDxfId="1618"/>
    <tableColumn id="14994" uniqueName="14994" name="Column14985" queryTableFieldId="1400" dataDxfId="1617"/>
    <tableColumn id="14995" uniqueName="14995" name="Column14986" queryTableFieldId="1399" dataDxfId="1616"/>
    <tableColumn id="14996" uniqueName="14996" name="Column14987" queryTableFieldId="1398" dataDxfId="1615"/>
    <tableColumn id="14997" uniqueName="14997" name="Column14988" queryTableFieldId="1397" dataDxfId="1614"/>
    <tableColumn id="14998" uniqueName="14998" name="Column14989" queryTableFieldId="1396" dataDxfId="1613"/>
    <tableColumn id="14999" uniqueName="14999" name="Column14990" queryTableFieldId="1395" dataDxfId="1612"/>
    <tableColumn id="15000" uniqueName="15000" name="Column14991" queryTableFieldId="1394" dataDxfId="1611"/>
    <tableColumn id="15001" uniqueName="15001" name="Column14992" queryTableFieldId="1393" dataDxfId="1610"/>
    <tableColumn id="15002" uniqueName="15002" name="Column14993" queryTableFieldId="1392" dataDxfId="1609"/>
    <tableColumn id="15003" uniqueName="15003" name="Column14994" queryTableFieldId="1391" dataDxfId="1608"/>
    <tableColumn id="15004" uniqueName="15004" name="Column14995" queryTableFieldId="1390" dataDxfId="1607"/>
    <tableColumn id="15005" uniqueName="15005" name="Column14996" queryTableFieldId="1389" dataDxfId="1606"/>
    <tableColumn id="15006" uniqueName="15006" name="Column14997" queryTableFieldId="1388" dataDxfId="1605"/>
    <tableColumn id="15007" uniqueName="15007" name="Column14998" queryTableFieldId="1387" dataDxfId="1604"/>
    <tableColumn id="15008" uniqueName="15008" name="Column14999" queryTableFieldId="1386" dataDxfId="1603"/>
    <tableColumn id="15009" uniqueName="15009" name="Column15000" queryTableFieldId="1385" dataDxfId="1602"/>
    <tableColumn id="15010" uniqueName="15010" name="Column15001" queryTableFieldId="1384" dataDxfId="1601"/>
    <tableColumn id="15011" uniqueName="15011" name="Column15002" queryTableFieldId="1383" dataDxfId="1600"/>
    <tableColumn id="15012" uniqueName="15012" name="Column15003" queryTableFieldId="1382" dataDxfId="1599"/>
    <tableColumn id="15013" uniqueName="15013" name="Column15004" queryTableFieldId="1381" dataDxfId="1598"/>
    <tableColumn id="15014" uniqueName="15014" name="Column15005" queryTableFieldId="1380" dataDxfId="1597"/>
    <tableColumn id="15015" uniqueName="15015" name="Column15006" queryTableFieldId="1379" dataDxfId="1596"/>
    <tableColumn id="15016" uniqueName="15016" name="Column15007" queryTableFieldId="1378" dataDxfId="1595"/>
    <tableColumn id="15017" uniqueName="15017" name="Column15008" queryTableFieldId="1377" dataDxfId="1594"/>
    <tableColumn id="15018" uniqueName="15018" name="Column15009" queryTableFieldId="1376" dataDxfId="1593"/>
    <tableColumn id="15019" uniqueName="15019" name="Column15010" queryTableFieldId="1375" dataDxfId="1592"/>
    <tableColumn id="15020" uniqueName="15020" name="Column15011" queryTableFieldId="1374" dataDxfId="1591"/>
    <tableColumn id="15021" uniqueName="15021" name="Column15012" queryTableFieldId="1373" dataDxfId="1590"/>
    <tableColumn id="15022" uniqueName="15022" name="Column15013" queryTableFieldId="1372" dataDxfId="1589"/>
    <tableColumn id="15023" uniqueName="15023" name="Column15014" queryTableFieldId="1371" dataDxfId="1588"/>
    <tableColumn id="15024" uniqueName="15024" name="Column15015" queryTableFieldId="1370" dataDxfId="1587"/>
    <tableColumn id="15025" uniqueName="15025" name="Column15016" queryTableFieldId="1369" dataDxfId="1586"/>
    <tableColumn id="15026" uniqueName="15026" name="Column15017" queryTableFieldId="1368" dataDxfId="1585"/>
    <tableColumn id="15027" uniqueName="15027" name="Column15018" queryTableFieldId="1367" dataDxfId="1584"/>
    <tableColumn id="15028" uniqueName="15028" name="Column15019" queryTableFieldId="1366" dataDxfId="1583"/>
    <tableColumn id="15029" uniqueName="15029" name="Column15020" queryTableFieldId="1365" dataDxfId="1582"/>
    <tableColumn id="15030" uniqueName="15030" name="Column15021" queryTableFieldId="1364" dataDxfId="1581"/>
    <tableColumn id="15031" uniqueName="15031" name="Column15022" queryTableFieldId="1363" dataDxfId="1580"/>
    <tableColumn id="15032" uniqueName="15032" name="Column15023" queryTableFieldId="1362" dataDxfId="1579"/>
    <tableColumn id="15033" uniqueName="15033" name="Column15024" queryTableFieldId="1361" dataDxfId="1578"/>
    <tableColumn id="15034" uniqueName="15034" name="Column15025" queryTableFieldId="1360" dataDxfId="1577"/>
    <tableColumn id="15035" uniqueName="15035" name="Column15026" queryTableFieldId="1359" dataDxfId="1576"/>
    <tableColumn id="15036" uniqueName="15036" name="Column15027" queryTableFieldId="1358" dataDxfId="1575"/>
    <tableColumn id="15037" uniqueName="15037" name="Column15028" queryTableFieldId="1357" dataDxfId="1574"/>
    <tableColumn id="15038" uniqueName="15038" name="Column15029" queryTableFieldId="1356" dataDxfId="1573"/>
    <tableColumn id="15039" uniqueName="15039" name="Column15030" queryTableFieldId="1355" dataDxfId="1572"/>
    <tableColumn id="15040" uniqueName="15040" name="Column15031" queryTableFieldId="1354" dataDxfId="1571"/>
    <tableColumn id="15041" uniqueName="15041" name="Column15032" queryTableFieldId="1353" dataDxfId="1570"/>
    <tableColumn id="15042" uniqueName="15042" name="Column15033" queryTableFieldId="1352" dataDxfId="1569"/>
    <tableColumn id="15043" uniqueName="15043" name="Column15034" queryTableFieldId="1351" dataDxfId="1568"/>
    <tableColumn id="15044" uniqueName="15044" name="Column15035" queryTableFieldId="1350" dataDxfId="1567"/>
    <tableColumn id="15045" uniqueName="15045" name="Column15036" queryTableFieldId="1349" dataDxfId="1566"/>
    <tableColumn id="15046" uniqueName="15046" name="Column15037" queryTableFieldId="1348" dataDxfId="1565"/>
    <tableColumn id="15047" uniqueName="15047" name="Column15038" queryTableFieldId="1347" dataDxfId="1564"/>
    <tableColumn id="15048" uniqueName="15048" name="Column15039" queryTableFieldId="1346" dataDxfId="1563"/>
    <tableColumn id="15049" uniqueName="15049" name="Column15040" queryTableFieldId="1345" dataDxfId="1562"/>
    <tableColumn id="15050" uniqueName="15050" name="Column15041" queryTableFieldId="1344" dataDxfId="1561"/>
    <tableColumn id="15051" uniqueName="15051" name="Column15042" queryTableFieldId="1343" dataDxfId="1560"/>
    <tableColumn id="15052" uniqueName="15052" name="Column15043" queryTableFieldId="1342" dataDxfId="1559"/>
    <tableColumn id="15053" uniqueName="15053" name="Column15044" queryTableFieldId="1341" dataDxfId="1558"/>
    <tableColumn id="15054" uniqueName="15054" name="Column15045" queryTableFieldId="1340" dataDxfId="1557"/>
    <tableColumn id="15055" uniqueName="15055" name="Column15046" queryTableFieldId="1339" dataDxfId="1556"/>
    <tableColumn id="15056" uniqueName="15056" name="Column15047" queryTableFieldId="1338" dataDxfId="1555"/>
    <tableColumn id="15057" uniqueName="15057" name="Column15048" queryTableFieldId="1337" dataDxfId="1554"/>
    <tableColumn id="15058" uniqueName="15058" name="Column15049" queryTableFieldId="1336" dataDxfId="1553"/>
    <tableColumn id="15059" uniqueName="15059" name="Column15050" queryTableFieldId="1335" dataDxfId="1552"/>
    <tableColumn id="15060" uniqueName="15060" name="Column15051" queryTableFieldId="1334" dataDxfId="1551"/>
    <tableColumn id="15061" uniqueName="15061" name="Column15052" queryTableFieldId="1333" dataDxfId="1550"/>
    <tableColumn id="15062" uniqueName="15062" name="Column15053" queryTableFieldId="1332" dataDxfId="1549"/>
    <tableColumn id="15063" uniqueName="15063" name="Column15054" queryTableFieldId="1331" dataDxfId="1548"/>
    <tableColumn id="15064" uniqueName="15064" name="Column15055" queryTableFieldId="1330" dataDxfId="1547"/>
    <tableColumn id="15065" uniqueName="15065" name="Column15056" queryTableFieldId="1329" dataDxfId="1546"/>
    <tableColumn id="15066" uniqueName="15066" name="Column15057" queryTableFieldId="1328" dataDxfId="1545"/>
    <tableColumn id="15067" uniqueName="15067" name="Column15058" queryTableFieldId="1327" dataDxfId="1544"/>
    <tableColumn id="15068" uniqueName="15068" name="Column15059" queryTableFieldId="1326" dataDxfId="1543"/>
    <tableColumn id="15069" uniqueName="15069" name="Column15060" queryTableFieldId="1325" dataDxfId="1542"/>
    <tableColumn id="15070" uniqueName="15070" name="Column15061" queryTableFieldId="1324" dataDxfId="1541"/>
    <tableColumn id="15071" uniqueName="15071" name="Column15062" queryTableFieldId="1323" dataDxfId="1540"/>
    <tableColumn id="15072" uniqueName="15072" name="Column15063" queryTableFieldId="1322" dataDxfId="1539"/>
    <tableColumn id="15073" uniqueName="15073" name="Column15064" queryTableFieldId="1321" dataDxfId="1538"/>
    <tableColumn id="15074" uniqueName="15074" name="Column15065" queryTableFieldId="1320" dataDxfId="1537"/>
    <tableColumn id="15075" uniqueName="15075" name="Column15066" queryTableFieldId="1319" dataDxfId="1536"/>
    <tableColumn id="15076" uniqueName="15076" name="Column15067" queryTableFieldId="1318" dataDxfId="1535"/>
    <tableColumn id="15077" uniqueName="15077" name="Column15068" queryTableFieldId="1317" dataDxfId="1534"/>
    <tableColumn id="15078" uniqueName="15078" name="Column15069" queryTableFieldId="1316" dataDxfId="1533"/>
    <tableColumn id="15079" uniqueName="15079" name="Column15070" queryTableFieldId="1315" dataDxfId="1532"/>
    <tableColumn id="15080" uniqueName="15080" name="Column15071" queryTableFieldId="1314" dataDxfId="1531"/>
    <tableColumn id="15081" uniqueName="15081" name="Column15072" queryTableFieldId="1313" dataDxfId="1530"/>
    <tableColumn id="15082" uniqueName="15082" name="Column15073" queryTableFieldId="1312" dataDxfId="1529"/>
    <tableColumn id="15083" uniqueName="15083" name="Column15074" queryTableFieldId="1311" dataDxfId="1528"/>
    <tableColumn id="15084" uniqueName="15084" name="Column15075" queryTableFieldId="1310" dataDxfId="1527"/>
    <tableColumn id="15085" uniqueName="15085" name="Column15076" queryTableFieldId="1309" dataDxfId="1526"/>
    <tableColumn id="15086" uniqueName="15086" name="Column15077" queryTableFieldId="1308" dataDxfId="1525"/>
    <tableColumn id="15087" uniqueName="15087" name="Column15078" queryTableFieldId="1307" dataDxfId="1524"/>
    <tableColumn id="15088" uniqueName="15088" name="Column15079" queryTableFieldId="1306" dataDxfId="1523"/>
    <tableColumn id="15089" uniqueName="15089" name="Column15080" queryTableFieldId="1305" dataDxfId="1522"/>
    <tableColumn id="15090" uniqueName="15090" name="Column15081" queryTableFieldId="1304" dataDxfId="1521"/>
    <tableColumn id="15091" uniqueName="15091" name="Column15082" queryTableFieldId="1303" dataDxfId="1520"/>
    <tableColumn id="15092" uniqueName="15092" name="Column15083" queryTableFieldId="1302" dataDxfId="1519"/>
    <tableColumn id="15093" uniqueName="15093" name="Column15084" queryTableFieldId="1301" dataDxfId="1518"/>
    <tableColumn id="15094" uniqueName="15094" name="Column15085" queryTableFieldId="1300" dataDxfId="1517"/>
    <tableColumn id="15095" uniqueName="15095" name="Column15086" queryTableFieldId="1299" dataDxfId="1516"/>
    <tableColumn id="15096" uniqueName="15096" name="Column15087" queryTableFieldId="1298" dataDxfId="1515"/>
    <tableColumn id="15097" uniqueName="15097" name="Column15088" queryTableFieldId="1297" dataDxfId="1514"/>
    <tableColumn id="15098" uniqueName="15098" name="Column15089" queryTableFieldId="1296" dataDxfId="1513"/>
    <tableColumn id="15099" uniqueName="15099" name="Column15090" queryTableFieldId="1295" dataDxfId="1512"/>
    <tableColumn id="15100" uniqueName="15100" name="Column15091" queryTableFieldId="1294" dataDxfId="1511"/>
    <tableColumn id="15101" uniqueName="15101" name="Column15092" queryTableFieldId="1293" dataDxfId="1510"/>
    <tableColumn id="15102" uniqueName="15102" name="Column15093" queryTableFieldId="1292" dataDxfId="1509"/>
    <tableColumn id="15103" uniqueName="15103" name="Column15094" queryTableFieldId="1291" dataDxfId="1508"/>
    <tableColumn id="15104" uniqueName="15104" name="Column15095" queryTableFieldId="1290" dataDxfId="1507"/>
    <tableColumn id="15105" uniqueName="15105" name="Column15096" queryTableFieldId="1289" dataDxfId="1506"/>
    <tableColumn id="15106" uniqueName="15106" name="Column15097" queryTableFieldId="1288" dataDxfId="1505"/>
    <tableColumn id="15107" uniqueName="15107" name="Column15098" queryTableFieldId="1287" dataDxfId="1504"/>
    <tableColumn id="15108" uniqueName="15108" name="Column15099" queryTableFieldId="1286" dataDxfId="1503"/>
    <tableColumn id="15109" uniqueName="15109" name="Column15100" queryTableFieldId="1285" dataDxfId="1502"/>
    <tableColumn id="15110" uniqueName="15110" name="Column15101" queryTableFieldId="1284" dataDxfId="1501"/>
    <tableColumn id="15111" uniqueName="15111" name="Column15102" queryTableFieldId="1283" dataDxfId="1500"/>
    <tableColumn id="15112" uniqueName="15112" name="Column15103" queryTableFieldId="1282" dataDxfId="1499"/>
    <tableColumn id="15113" uniqueName="15113" name="Column15104" queryTableFieldId="1281" dataDxfId="1498"/>
    <tableColumn id="15114" uniqueName="15114" name="Column15105" queryTableFieldId="1280" dataDxfId="1497"/>
    <tableColumn id="15115" uniqueName="15115" name="Column15106" queryTableFieldId="1279" dataDxfId="1496"/>
    <tableColumn id="15116" uniqueName="15116" name="Column15107" queryTableFieldId="1278" dataDxfId="1495"/>
    <tableColumn id="15117" uniqueName="15117" name="Column15108" queryTableFieldId="1277" dataDxfId="1494"/>
    <tableColumn id="15118" uniqueName="15118" name="Column15109" queryTableFieldId="1276" dataDxfId="1493"/>
    <tableColumn id="15119" uniqueName="15119" name="Column15110" queryTableFieldId="1275" dataDxfId="1492"/>
    <tableColumn id="15120" uniqueName="15120" name="Column15111" queryTableFieldId="1274" dataDxfId="1491"/>
    <tableColumn id="15121" uniqueName="15121" name="Column15112" queryTableFieldId="1273" dataDxfId="1490"/>
    <tableColumn id="15122" uniqueName="15122" name="Column15113" queryTableFieldId="1272" dataDxfId="1489"/>
    <tableColumn id="15123" uniqueName="15123" name="Column15114" queryTableFieldId="1271" dataDxfId="1488"/>
    <tableColumn id="15124" uniqueName="15124" name="Column15115" queryTableFieldId="1270" dataDxfId="1487"/>
    <tableColumn id="15125" uniqueName="15125" name="Column15116" queryTableFieldId="1269" dataDxfId="1486"/>
    <tableColumn id="15126" uniqueName="15126" name="Column15117" queryTableFieldId="1268" dataDxfId="1485"/>
    <tableColumn id="15127" uniqueName="15127" name="Column15118" queryTableFieldId="1267" dataDxfId="1484"/>
    <tableColumn id="15128" uniqueName="15128" name="Column15119" queryTableFieldId="1266" dataDxfId="1483"/>
    <tableColumn id="15129" uniqueName="15129" name="Column15120" queryTableFieldId="1265" dataDxfId="1482"/>
    <tableColumn id="15130" uniqueName="15130" name="Column15121" queryTableFieldId="1264" dataDxfId="1481"/>
    <tableColumn id="15131" uniqueName="15131" name="Column15122" queryTableFieldId="1263" dataDxfId="1480"/>
    <tableColumn id="15132" uniqueName="15132" name="Column15123" queryTableFieldId="1262" dataDxfId="1479"/>
    <tableColumn id="15133" uniqueName="15133" name="Column15124" queryTableFieldId="1261" dataDxfId="1478"/>
    <tableColumn id="15134" uniqueName="15134" name="Column15125" queryTableFieldId="1260" dataDxfId="1477"/>
    <tableColumn id="15135" uniqueName="15135" name="Column15126" queryTableFieldId="1259" dataDxfId="1476"/>
    <tableColumn id="15136" uniqueName="15136" name="Column15127" queryTableFieldId="1258" dataDxfId="1475"/>
    <tableColumn id="15137" uniqueName="15137" name="Column15128" queryTableFieldId="1257" dataDxfId="1474"/>
    <tableColumn id="15138" uniqueName="15138" name="Column15129" queryTableFieldId="1256" dataDxfId="1473"/>
    <tableColumn id="15139" uniqueName="15139" name="Column15130" queryTableFieldId="1255" dataDxfId="1472"/>
    <tableColumn id="15140" uniqueName="15140" name="Column15131" queryTableFieldId="1254" dataDxfId="1471"/>
    <tableColumn id="15141" uniqueName="15141" name="Column15132" queryTableFieldId="1253" dataDxfId="1470"/>
    <tableColumn id="15142" uniqueName="15142" name="Column15133" queryTableFieldId="1252" dataDxfId="1469"/>
    <tableColumn id="15143" uniqueName="15143" name="Column15134" queryTableFieldId="1251" dataDxfId="1468"/>
    <tableColumn id="15144" uniqueName="15144" name="Column15135" queryTableFieldId="1250" dataDxfId="1467"/>
    <tableColumn id="15145" uniqueName="15145" name="Column15136" queryTableFieldId="1249" dataDxfId="1466"/>
    <tableColumn id="15146" uniqueName="15146" name="Column15137" queryTableFieldId="1248" dataDxfId="1465"/>
    <tableColumn id="15147" uniqueName="15147" name="Column15138" queryTableFieldId="1247" dataDxfId="1464"/>
    <tableColumn id="15148" uniqueName="15148" name="Column15139" queryTableFieldId="1246" dataDxfId="1463"/>
    <tableColumn id="15149" uniqueName="15149" name="Column15140" queryTableFieldId="1245" dataDxfId="1462"/>
    <tableColumn id="15150" uniqueName="15150" name="Column15141" queryTableFieldId="1244" dataDxfId="1461"/>
    <tableColumn id="15151" uniqueName="15151" name="Column15142" queryTableFieldId="1243" dataDxfId="1460"/>
    <tableColumn id="15152" uniqueName="15152" name="Column15143" queryTableFieldId="1242" dataDxfId="1459"/>
    <tableColumn id="15153" uniqueName="15153" name="Column15144" queryTableFieldId="1241" dataDxfId="1458"/>
    <tableColumn id="15154" uniqueName="15154" name="Column15145" queryTableFieldId="1240" dataDxfId="1457"/>
    <tableColumn id="15155" uniqueName="15155" name="Column15146" queryTableFieldId="1239" dataDxfId="1456"/>
    <tableColumn id="15156" uniqueName="15156" name="Column15147" queryTableFieldId="1238" dataDxfId="1455"/>
    <tableColumn id="15157" uniqueName="15157" name="Column15148" queryTableFieldId="1237" dataDxfId="1454"/>
    <tableColumn id="15158" uniqueName="15158" name="Column15149" queryTableFieldId="1236" dataDxfId="1453"/>
    <tableColumn id="15159" uniqueName="15159" name="Column15150" queryTableFieldId="1235" dataDxfId="1452"/>
    <tableColumn id="15160" uniqueName="15160" name="Column15151" queryTableFieldId="1234" dataDxfId="1451"/>
    <tableColumn id="15161" uniqueName="15161" name="Column15152" queryTableFieldId="1233" dataDxfId="1450"/>
    <tableColumn id="15162" uniqueName="15162" name="Column15153" queryTableFieldId="1232" dataDxfId="1449"/>
    <tableColumn id="15163" uniqueName="15163" name="Column15154" queryTableFieldId="1231" dataDxfId="1448"/>
    <tableColumn id="15164" uniqueName="15164" name="Column15155" queryTableFieldId="1230" dataDxfId="1447"/>
    <tableColumn id="15165" uniqueName="15165" name="Column15156" queryTableFieldId="1229" dataDxfId="1446"/>
    <tableColumn id="15166" uniqueName="15166" name="Column15157" queryTableFieldId="1228" dataDxfId="1445"/>
    <tableColumn id="15167" uniqueName="15167" name="Column15158" queryTableFieldId="1227" dataDxfId="1444"/>
    <tableColumn id="15168" uniqueName="15168" name="Column15159" queryTableFieldId="1226" dataDxfId="1443"/>
    <tableColumn id="15169" uniqueName="15169" name="Column15160" queryTableFieldId="1225" dataDxfId="1442"/>
    <tableColumn id="15170" uniqueName="15170" name="Column15161" queryTableFieldId="1224" dataDxfId="1441"/>
    <tableColumn id="15171" uniqueName="15171" name="Column15162" queryTableFieldId="1223" dataDxfId="1440"/>
    <tableColumn id="15172" uniqueName="15172" name="Column15163" queryTableFieldId="1222" dataDxfId="1439"/>
    <tableColumn id="15173" uniqueName="15173" name="Column15164" queryTableFieldId="1221" dataDxfId="1438"/>
    <tableColumn id="15174" uniqueName="15174" name="Column15165" queryTableFieldId="1220" dataDxfId="1437"/>
    <tableColumn id="15175" uniqueName="15175" name="Column15166" queryTableFieldId="1219" dataDxfId="1436"/>
    <tableColumn id="15176" uniqueName="15176" name="Column15167" queryTableFieldId="1218" dataDxfId="1435"/>
    <tableColumn id="15177" uniqueName="15177" name="Column15168" queryTableFieldId="1217" dataDxfId="1434"/>
    <tableColumn id="15178" uniqueName="15178" name="Column15169" queryTableFieldId="1216" dataDxfId="1433"/>
    <tableColumn id="15179" uniqueName="15179" name="Column15170" queryTableFieldId="1215" dataDxfId="1432"/>
    <tableColumn id="15180" uniqueName="15180" name="Column15171" queryTableFieldId="1214" dataDxfId="1431"/>
    <tableColumn id="15181" uniqueName="15181" name="Column15172" queryTableFieldId="1213" dataDxfId="1430"/>
    <tableColumn id="15182" uniqueName="15182" name="Column15173" queryTableFieldId="1212" dataDxfId="1429"/>
    <tableColumn id="15183" uniqueName="15183" name="Column15174" queryTableFieldId="1211" dataDxfId="1428"/>
    <tableColumn id="15184" uniqueName="15184" name="Column15175" queryTableFieldId="1210" dataDxfId="1427"/>
    <tableColumn id="15185" uniqueName="15185" name="Column15176" queryTableFieldId="1209" dataDxfId="1426"/>
    <tableColumn id="15186" uniqueName="15186" name="Column15177" queryTableFieldId="1208" dataDxfId="1425"/>
    <tableColumn id="15187" uniqueName="15187" name="Column15178" queryTableFieldId="1207" dataDxfId="1424"/>
    <tableColumn id="15188" uniqueName="15188" name="Column15179" queryTableFieldId="1206" dataDxfId="1423"/>
    <tableColumn id="15189" uniqueName="15189" name="Column15180" queryTableFieldId="1205" dataDxfId="1422"/>
    <tableColumn id="15190" uniqueName="15190" name="Column15181" queryTableFieldId="1204" dataDxfId="1421"/>
    <tableColumn id="15191" uniqueName="15191" name="Column15182" queryTableFieldId="1203" dataDxfId="1420"/>
    <tableColumn id="15192" uniqueName="15192" name="Column15183" queryTableFieldId="1202" dataDxfId="1419"/>
    <tableColumn id="15193" uniqueName="15193" name="Column15184" queryTableFieldId="1201" dataDxfId="1418"/>
    <tableColumn id="15194" uniqueName="15194" name="Column15185" queryTableFieldId="1200" dataDxfId="1417"/>
    <tableColumn id="15195" uniqueName="15195" name="Column15186" queryTableFieldId="1199" dataDxfId="1416"/>
    <tableColumn id="15196" uniqueName="15196" name="Column15187" queryTableFieldId="1198" dataDxfId="1415"/>
    <tableColumn id="15197" uniqueName="15197" name="Column15188" queryTableFieldId="1197" dataDxfId="1414"/>
    <tableColumn id="15198" uniqueName="15198" name="Column15189" queryTableFieldId="1196" dataDxfId="1413"/>
    <tableColumn id="15199" uniqueName="15199" name="Column15190" queryTableFieldId="1195" dataDxfId="1412"/>
    <tableColumn id="15200" uniqueName="15200" name="Column15191" queryTableFieldId="1194" dataDxfId="1411"/>
    <tableColumn id="15201" uniqueName="15201" name="Column15192" queryTableFieldId="1193" dataDxfId="1410"/>
    <tableColumn id="15202" uniqueName="15202" name="Column15193" queryTableFieldId="1192" dataDxfId="1409"/>
    <tableColumn id="15203" uniqueName="15203" name="Column15194" queryTableFieldId="1191" dataDxfId="1408"/>
    <tableColumn id="15204" uniqueName="15204" name="Column15195" queryTableFieldId="1190" dataDxfId="1407"/>
    <tableColumn id="15205" uniqueName="15205" name="Column15196" queryTableFieldId="1189" dataDxfId="1406"/>
    <tableColumn id="15206" uniqueName="15206" name="Column15197" queryTableFieldId="1188" dataDxfId="1405"/>
    <tableColumn id="15207" uniqueName="15207" name="Column15198" queryTableFieldId="1187" dataDxfId="1404"/>
    <tableColumn id="15208" uniqueName="15208" name="Column15199" queryTableFieldId="1186" dataDxfId="1403"/>
    <tableColumn id="15209" uniqueName="15209" name="Column15200" queryTableFieldId="1185" dataDxfId="1402"/>
    <tableColumn id="15210" uniqueName="15210" name="Column15201" queryTableFieldId="1184" dataDxfId="1401"/>
    <tableColumn id="15211" uniqueName="15211" name="Column15202" queryTableFieldId="1183" dataDxfId="1400"/>
    <tableColumn id="15212" uniqueName="15212" name="Column15203" queryTableFieldId="1182" dataDxfId="1399"/>
    <tableColumn id="15213" uniqueName="15213" name="Column15204" queryTableFieldId="1181" dataDxfId="1398"/>
    <tableColumn id="15214" uniqueName="15214" name="Column15205" queryTableFieldId="1180" dataDxfId="1397"/>
    <tableColumn id="15215" uniqueName="15215" name="Column15206" queryTableFieldId="1179" dataDxfId="1396"/>
    <tableColumn id="15216" uniqueName="15216" name="Column15207" queryTableFieldId="1178" dataDxfId="1395"/>
    <tableColumn id="15217" uniqueName="15217" name="Column15208" queryTableFieldId="1177" dataDxfId="1394"/>
    <tableColumn id="15218" uniqueName="15218" name="Column15209" queryTableFieldId="1176" dataDxfId="1393"/>
    <tableColumn id="15219" uniqueName="15219" name="Column15210" queryTableFieldId="1175" dataDxfId="1392"/>
    <tableColumn id="15220" uniqueName="15220" name="Column15211" queryTableFieldId="1174" dataDxfId="1391"/>
    <tableColumn id="15221" uniqueName="15221" name="Column15212" queryTableFieldId="1173" dataDxfId="1390"/>
    <tableColumn id="15222" uniqueName="15222" name="Column15213" queryTableFieldId="1172" dataDxfId="1389"/>
    <tableColumn id="15223" uniqueName="15223" name="Column15214" queryTableFieldId="1171" dataDxfId="1388"/>
    <tableColumn id="15224" uniqueName="15224" name="Column15215" queryTableFieldId="1170" dataDxfId="1387"/>
    <tableColumn id="15225" uniqueName="15225" name="Column15216" queryTableFieldId="1169" dataDxfId="1386"/>
    <tableColumn id="15226" uniqueName="15226" name="Column15217" queryTableFieldId="1168" dataDxfId="1385"/>
    <tableColumn id="15227" uniqueName="15227" name="Column15218" queryTableFieldId="1167" dataDxfId="1384"/>
    <tableColumn id="15228" uniqueName="15228" name="Column15219" queryTableFieldId="1166" dataDxfId="1383"/>
    <tableColumn id="15229" uniqueName="15229" name="Column15220" queryTableFieldId="1165" dataDxfId="1382"/>
    <tableColumn id="15230" uniqueName="15230" name="Column15221" queryTableFieldId="1164" dataDxfId="1381"/>
    <tableColumn id="15231" uniqueName="15231" name="Column15222" queryTableFieldId="1163" dataDxfId="1380"/>
    <tableColumn id="15232" uniqueName="15232" name="Column15223" queryTableFieldId="1162" dataDxfId="1379"/>
    <tableColumn id="15233" uniqueName="15233" name="Column15224" queryTableFieldId="1161" dataDxfId="1378"/>
    <tableColumn id="15234" uniqueName="15234" name="Column15225" queryTableFieldId="1160" dataDxfId="1377"/>
    <tableColumn id="15235" uniqueName="15235" name="Column15226" queryTableFieldId="1159" dataDxfId="1376"/>
    <tableColumn id="15236" uniqueName="15236" name="Column15227" queryTableFieldId="1158" dataDxfId="1375"/>
    <tableColumn id="15237" uniqueName="15237" name="Column15228" queryTableFieldId="1157" dataDxfId="1374"/>
    <tableColumn id="15238" uniqueName="15238" name="Column15229" queryTableFieldId="1156" dataDxfId="1373"/>
    <tableColumn id="15239" uniqueName="15239" name="Column15230" queryTableFieldId="1155" dataDxfId="1372"/>
    <tableColumn id="15240" uniqueName="15240" name="Column15231" queryTableFieldId="1154" dataDxfId="1371"/>
    <tableColumn id="15241" uniqueName="15241" name="Column15232" queryTableFieldId="1153" dataDxfId="1370"/>
    <tableColumn id="15242" uniqueName="15242" name="Column15233" queryTableFieldId="1152" dataDxfId="1369"/>
    <tableColumn id="15243" uniqueName="15243" name="Column15234" queryTableFieldId="1151" dataDxfId="1368"/>
    <tableColumn id="15244" uniqueName="15244" name="Column15235" queryTableFieldId="1150" dataDxfId="1367"/>
    <tableColumn id="15245" uniqueName="15245" name="Column15236" queryTableFieldId="1149" dataDxfId="1366"/>
    <tableColumn id="15246" uniqueName="15246" name="Column15237" queryTableFieldId="1148" dataDxfId="1365"/>
    <tableColumn id="15247" uniqueName="15247" name="Column15238" queryTableFieldId="1147" dataDxfId="1364"/>
    <tableColumn id="15248" uniqueName="15248" name="Column15239" queryTableFieldId="1146" dataDxfId="1363"/>
    <tableColumn id="15249" uniqueName="15249" name="Column15240" queryTableFieldId="1145" dataDxfId="1362"/>
    <tableColumn id="15250" uniqueName="15250" name="Column15241" queryTableFieldId="1144" dataDxfId="1361"/>
    <tableColumn id="15251" uniqueName="15251" name="Column15242" queryTableFieldId="1143" dataDxfId="1360"/>
    <tableColumn id="15252" uniqueName="15252" name="Column15243" queryTableFieldId="1142" dataDxfId="1359"/>
    <tableColumn id="15253" uniqueName="15253" name="Column15244" queryTableFieldId="1141" dataDxfId="1358"/>
    <tableColumn id="15254" uniqueName="15254" name="Column15245" queryTableFieldId="1140" dataDxfId="1357"/>
    <tableColumn id="15255" uniqueName="15255" name="Column15246" queryTableFieldId="1139" dataDxfId="1356"/>
    <tableColumn id="15256" uniqueName="15256" name="Column15247" queryTableFieldId="1138" dataDxfId="1355"/>
    <tableColumn id="15257" uniqueName="15257" name="Column15248" queryTableFieldId="1137" dataDxfId="1354"/>
    <tableColumn id="15258" uniqueName="15258" name="Column15249" queryTableFieldId="1136" dataDxfId="1353"/>
    <tableColumn id="15259" uniqueName="15259" name="Column15250" queryTableFieldId="1135" dataDxfId="1352"/>
    <tableColumn id="15260" uniqueName="15260" name="Column15251" queryTableFieldId="1134" dataDxfId="1351"/>
    <tableColumn id="15261" uniqueName="15261" name="Column15252" queryTableFieldId="1133" dataDxfId="1350"/>
    <tableColumn id="15262" uniqueName="15262" name="Column15253" queryTableFieldId="1132" dataDxfId="1349"/>
    <tableColumn id="15263" uniqueName="15263" name="Column15254" queryTableFieldId="1131" dataDxfId="1348"/>
    <tableColumn id="15264" uniqueName="15264" name="Column15255" queryTableFieldId="1130" dataDxfId="1347"/>
    <tableColumn id="15265" uniqueName="15265" name="Column15256" queryTableFieldId="1129" dataDxfId="1346"/>
    <tableColumn id="15266" uniqueName="15266" name="Column15257" queryTableFieldId="1128" dataDxfId="1345"/>
    <tableColumn id="15267" uniqueName="15267" name="Column15258" queryTableFieldId="1127" dataDxfId="1344"/>
    <tableColumn id="15268" uniqueName="15268" name="Column15259" queryTableFieldId="1126" dataDxfId="1343"/>
    <tableColumn id="15269" uniqueName="15269" name="Column15260" queryTableFieldId="1125" dataDxfId="1342"/>
    <tableColumn id="15270" uniqueName="15270" name="Column15261" queryTableFieldId="1124" dataDxfId="1341"/>
    <tableColumn id="15271" uniqueName="15271" name="Column15262" queryTableFieldId="1123" dataDxfId="1340"/>
    <tableColumn id="15272" uniqueName="15272" name="Column15263" queryTableFieldId="1122" dataDxfId="1339"/>
    <tableColumn id="15273" uniqueName="15273" name="Column15264" queryTableFieldId="1121" dataDxfId="1338"/>
    <tableColumn id="15274" uniqueName="15274" name="Column15265" queryTableFieldId="1120" dataDxfId="1337"/>
    <tableColumn id="15275" uniqueName="15275" name="Column15266" queryTableFieldId="1119" dataDxfId="1336"/>
    <tableColumn id="15276" uniqueName="15276" name="Column15267" queryTableFieldId="1118" dataDxfId="1335"/>
    <tableColumn id="15277" uniqueName="15277" name="Column15268" queryTableFieldId="1117" dataDxfId="1334"/>
    <tableColumn id="15278" uniqueName="15278" name="Column15269" queryTableFieldId="1116" dataDxfId="1333"/>
    <tableColumn id="15279" uniqueName="15279" name="Column15270" queryTableFieldId="1115" dataDxfId="1332"/>
    <tableColumn id="15280" uniqueName="15280" name="Column15271" queryTableFieldId="1114" dataDxfId="1331"/>
    <tableColumn id="15281" uniqueName="15281" name="Column15272" queryTableFieldId="1113" dataDxfId="1330"/>
    <tableColumn id="15282" uniqueName="15282" name="Column15273" queryTableFieldId="1112" dataDxfId="1329"/>
    <tableColumn id="15283" uniqueName="15283" name="Column15274" queryTableFieldId="1111" dataDxfId="1328"/>
    <tableColumn id="15284" uniqueName="15284" name="Column15275" queryTableFieldId="1110" dataDxfId="1327"/>
    <tableColumn id="15285" uniqueName="15285" name="Column15276" queryTableFieldId="1109" dataDxfId="1326"/>
    <tableColumn id="15286" uniqueName="15286" name="Column15277" queryTableFieldId="1108" dataDxfId="1325"/>
    <tableColumn id="15287" uniqueName="15287" name="Column15278" queryTableFieldId="1107" dataDxfId="1324"/>
    <tableColumn id="15288" uniqueName="15288" name="Column15279" queryTableFieldId="1106" dataDxfId="1323"/>
    <tableColumn id="15289" uniqueName="15289" name="Column15280" queryTableFieldId="1105" dataDxfId="1322"/>
    <tableColumn id="15290" uniqueName="15290" name="Column15281" queryTableFieldId="1104" dataDxfId="1321"/>
    <tableColumn id="15291" uniqueName="15291" name="Column15282" queryTableFieldId="1103" dataDxfId="1320"/>
    <tableColumn id="15292" uniqueName="15292" name="Column15283" queryTableFieldId="1102" dataDxfId="1319"/>
    <tableColumn id="15293" uniqueName="15293" name="Column15284" queryTableFieldId="1101" dataDxfId="1318"/>
    <tableColumn id="15294" uniqueName="15294" name="Column15285" queryTableFieldId="1100" dataDxfId="1317"/>
    <tableColumn id="15295" uniqueName="15295" name="Column15286" queryTableFieldId="1099" dataDxfId="1316"/>
    <tableColumn id="15296" uniqueName="15296" name="Column15287" queryTableFieldId="1098" dataDxfId="1315"/>
    <tableColumn id="15297" uniqueName="15297" name="Column15288" queryTableFieldId="1097" dataDxfId="1314"/>
    <tableColumn id="15298" uniqueName="15298" name="Column15289" queryTableFieldId="1096" dataDxfId="1313"/>
    <tableColumn id="15299" uniqueName="15299" name="Column15290" queryTableFieldId="1095" dataDxfId="1312"/>
    <tableColumn id="15300" uniqueName="15300" name="Column15291" queryTableFieldId="1094" dataDxfId="1311"/>
    <tableColumn id="15301" uniqueName="15301" name="Column15292" queryTableFieldId="1093" dataDxfId="1310"/>
    <tableColumn id="15302" uniqueName="15302" name="Column15293" queryTableFieldId="1092" dataDxfId="1309"/>
    <tableColumn id="15303" uniqueName="15303" name="Column15294" queryTableFieldId="1091" dataDxfId="1308"/>
    <tableColumn id="15304" uniqueName="15304" name="Column15295" queryTableFieldId="1090" dataDxfId="1307"/>
    <tableColumn id="15305" uniqueName="15305" name="Column15296" queryTableFieldId="1089" dataDxfId="1306"/>
    <tableColumn id="15306" uniqueName="15306" name="Column15297" queryTableFieldId="1088" dataDxfId="1305"/>
    <tableColumn id="15307" uniqueName="15307" name="Column15298" queryTableFieldId="1087" dataDxfId="1304"/>
    <tableColumn id="15308" uniqueName="15308" name="Column15299" queryTableFieldId="1086" dataDxfId="1303"/>
    <tableColumn id="15309" uniqueName="15309" name="Column15300" queryTableFieldId="1085" dataDxfId="1302"/>
    <tableColumn id="15310" uniqueName="15310" name="Column15301" queryTableFieldId="1084" dataDxfId="1301"/>
    <tableColumn id="15311" uniqueName="15311" name="Column15302" queryTableFieldId="1083" dataDxfId="1300"/>
    <tableColumn id="15312" uniqueName="15312" name="Column15303" queryTableFieldId="1082" dataDxfId="1299"/>
    <tableColumn id="15313" uniqueName="15313" name="Column15304" queryTableFieldId="1081" dataDxfId="1298"/>
    <tableColumn id="15314" uniqueName="15314" name="Column15305" queryTableFieldId="1080" dataDxfId="1297"/>
    <tableColumn id="15315" uniqueName="15315" name="Column15306" queryTableFieldId="1079" dataDxfId="1296"/>
    <tableColumn id="15316" uniqueName="15316" name="Column15307" queryTableFieldId="1078" dataDxfId="1295"/>
    <tableColumn id="15317" uniqueName="15317" name="Column15308" queryTableFieldId="1077" dataDxfId="1294"/>
    <tableColumn id="15318" uniqueName="15318" name="Column15309" queryTableFieldId="1076" dataDxfId="1293"/>
    <tableColumn id="15319" uniqueName="15319" name="Column15310" queryTableFieldId="1075" dataDxfId="1292"/>
    <tableColumn id="15320" uniqueName="15320" name="Column15311" queryTableFieldId="1074" dataDxfId="1291"/>
    <tableColumn id="15321" uniqueName="15321" name="Column15312" queryTableFieldId="1073" dataDxfId="1290"/>
    <tableColumn id="15322" uniqueName="15322" name="Column15313" queryTableFieldId="1072" dataDxfId="1289"/>
    <tableColumn id="15323" uniqueName="15323" name="Column15314" queryTableFieldId="1071" dataDxfId="1288"/>
    <tableColumn id="15324" uniqueName="15324" name="Column15315" queryTableFieldId="1070" dataDxfId="1287"/>
    <tableColumn id="15325" uniqueName="15325" name="Column15316" queryTableFieldId="1069" dataDxfId="1286"/>
    <tableColumn id="15326" uniqueName="15326" name="Column15317" queryTableFieldId="1068" dataDxfId="1285"/>
    <tableColumn id="15327" uniqueName="15327" name="Column15318" queryTableFieldId="1067" dataDxfId="1284"/>
    <tableColumn id="15328" uniqueName="15328" name="Column15319" queryTableFieldId="1066" dataDxfId="1283"/>
    <tableColumn id="15329" uniqueName="15329" name="Column15320" queryTableFieldId="1065" dataDxfId="1282"/>
    <tableColumn id="15330" uniqueName="15330" name="Column15321" queryTableFieldId="1064" dataDxfId="1281"/>
    <tableColumn id="15331" uniqueName="15331" name="Column15322" queryTableFieldId="1063" dataDxfId="1280"/>
    <tableColumn id="15332" uniqueName="15332" name="Column15323" queryTableFieldId="1062" dataDxfId="1279"/>
    <tableColumn id="15333" uniqueName="15333" name="Column15324" queryTableFieldId="1061" dataDxfId="1278"/>
    <tableColumn id="15334" uniqueName="15334" name="Column15325" queryTableFieldId="1060" dataDxfId="1277"/>
    <tableColumn id="15335" uniqueName="15335" name="Column15326" queryTableFieldId="1059" dataDxfId="1276"/>
    <tableColumn id="15336" uniqueName="15336" name="Column15327" queryTableFieldId="1058" dataDxfId="1275"/>
    <tableColumn id="15337" uniqueName="15337" name="Column15328" queryTableFieldId="1057" dataDxfId="1274"/>
    <tableColumn id="15338" uniqueName="15338" name="Column15329" queryTableFieldId="1056" dataDxfId="1273"/>
    <tableColumn id="15339" uniqueName="15339" name="Column15330" queryTableFieldId="1055" dataDxfId="1272"/>
    <tableColumn id="15340" uniqueName="15340" name="Column15331" queryTableFieldId="1054" dataDxfId="1271"/>
    <tableColumn id="15341" uniqueName="15341" name="Column15332" queryTableFieldId="1053" dataDxfId="1270"/>
    <tableColumn id="15342" uniqueName="15342" name="Column15333" queryTableFieldId="1052" dataDxfId="1269"/>
    <tableColumn id="15343" uniqueName="15343" name="Column15334" queryTableFieldId="1051" dataDxfId="1268"/>
    <tableColumn id="15344" uniqueName="15344" name="Column15335" queryTableFieldId="1050" dataDxfId="1267"/>
    <tableColumn id="15345" uniqueName="15345" name="Column15336" queryTableFieldId="1049" dataDxfId="1266"/>
    <tableColumn id="15346" uniqueName="15346" name="Column15337" queryTableFieldId="1048" dataDxfId="1265"/>
    <tableColumn id="15347" uniqueName="15347" name="Column15338" queryTableFieldId="1047" dataDxfId="1264"/>
    <tableColumn id="15348" uniqueName="15348" name="Column15339" queryTableFieldId="1046" dataDxfId="1263"/>
    <tableColumn id="15349" uniqueName="15349" name="Column15340" queryTableFieldId="1045" dataDxfId="1262"/>
    <tableColumn id="15350" uniqueName="15350" name="Column15341" queryTableFieldId="1044" dataDxfId="1261"/>
    <tableColumn id="15351" uniqueName="15351" name="Column15342" queryTableFieldId="1043" dataDxfId="1260"/>
    <tableColumn id="15352" uniqueName="15352" name="Column15343" queryTableFieldId="1042" dataDxfId="1259"/>
    <tableColumn id="15353" uniqueName="15353" name="Column15344" queryTableFieldId="1041" dataDxfId="1258"/>
    <tableColumn id="15354" uniqueName="15354" name="Column15345" queryTableFieldId="1040" dataDxfId="1257"/>
    <tableColumn id="15355" uniqueName="15355" name="Column15346" queryTableFieldId="1039" dataDxfId="1256"/>
    <tableColumn id="15356" uniqueName="15356" name="Column15347" queryTableFieldId="1038" dataDxfId="1255"/>
    <tableColumn id="15357" uniqueName="15357" name="Column15348" queryTableFieldId="1037" dataDxfId="1254"/>
    <tableColumn id="15358" uniqueName="15358" name="Column15349" queryTableFieldId="1036" dataDxfId="1253"/>
    <tableColumn id="15359" uniqueName="15359" name="Column15350" queryTableFieldId="1035" dataDxfId="1252"/>
    <tableColumn id="15360" uniqueName="15360" name="Column15351" queryTableFieldId="1034" dataDxfId="1251"/>
    <tableColumn id="15361" uniqueName="15361" name="Column15352" queryTableFieldId="1033" dataDxfId="1250"/>
    <tableColumn id="15362" uniqueName="15362" name="Column15353" queryTableFieldId="1032" dataDxfId="1249"/>
    <tableColumn id="15363" uniqueName="15363" name="Column15354" queryTableFieldId="1031" dataDxfId="1248"/>
    <tableColumn id="15364" uniqueName="15364" name="Column15355" queryTableFieldId="1030" dataDxfId="1247"/>
    <tableColumn id="15365" uniqueName="15365" name="Column15356" queryTableFieldId="1029" dataDxfId="1246"/>
    <tableColumn id="15366" uniqueName="15366" name="Column15357" queryTableFieldId="1028" dataDxfId="1245"/>
    <tableColumn id="15367" uniqueName="15367" name="Column15358" queryTableFieldId="1027" dataDxfId="1244"/>
    <tableColumn id="15368" uniqueName="15368" name="Column15359" queryTableFieldId="1026" dataDxfId="1243"/>
    <tableColumn id="15369" uniqueName="15369" name="Column15360" queryTableFieldId="1025" dataDxfId="1242"/>
    <tableColumn id="15370" uniqueName="15370" name="Column15361" queryTableFieldId="1024" dataDxfId="1241"/>
    <tableColumn id="15371" uniqueName="15371" name="Column15362" queryTableFieldId="1023" dataDxfId="1240"/>
    <tableColumn id="15372" uniqueName="15372" name="Column15363" queryTableFieldId="1022" dataDxfId="1239"/>
    <tableColumn id="15373" uniqueName="15373" name="Column15364" queryTableFieldId="1021" dataDxfId="1238"/>
    <tableColumn id="15374" uniqueName="15374" name="Column15365" queryTableFieldId="1020" dataDxfId="1237"/>
    <tableColumn id="15375" uniqueName="15375" name="Column15366" queryTableFieldId="1019" dataDxfId="1236"/>
    <tableColumn id="15376" uniqueName="15376" name="Column15367" queryTableFieldId="1018" dataDxfId="1235"/>
    <tableColumn id="15377" uniqueName="15377" name="Column15368" queryTableFieldId="1017" dataDxfId="1234"/>
    <tableColumn id="15378" uniqueName="15378" name="Column15369" queryTableFieldId="1016" dataDxfId="1233"/>
    <tableColumn id="15379" uniqueName="15379" name="Column15370" queryTableFieldId="1015" dataDxfId="1232"/>
    <tableColumn id="15380" uniqueName="15380" name="Column15371" queryTableFieldId="1014" dataDxfId="1231"/>
    <tableColumn id="15381" uniqueName="15381" name="Column15372" queryTableFieldId="1013" dataDxfId="1230"/>
    <tableColumn id="15382" uniqueName="15382" name="Column15373" queryTableFieldId="1012" dataDxfId="1229"/>
    <tableColumn id="15383" uniqueName="15383" name="Column15374" queryTableFieldId="1011" dataDxfId="1228"/>
    <tableColumn id="15384" uniqueName="15384" name="Column15375" queryTableFieldId="1010" dataDxfId="1227"/>
    <tableColumn id="15385" uniqueName="15385" name="Column15376" queryTableFieldId="1009" dataDxfId="1226"/>
    <tableColumn id="15386" uniqueName="15386" name="Column15377" queryTableFieldId="1008" dataDxfId="1225"/>
    <tableColumn id="15387" uniqueName="15387" name="Column15378" queryTableFieldId="1007" dataDxfId="1224"/>
    <tableColumn id="15388" uniqueName="15388" name="Column15379" queryTableFieldId="1006" dataDxfId="1223"/>
    <tableColumn id="15389" uniqueName="15389" name="Column15380" queryTableFieldId="1005" dataDxfId="1222"/>
    <tableColumn id="15390" uniqueName="15390" name="Column15381" queryTableFieldId="1004" dataDxfId="1221"/>
    <tableColumn id="15391" uniqueName="15391" name="Column15382" queryTableFieldId="1003" dataDxfId="1220"/>
    <tableColumn id="15392" uniqueName="15392" name="Column15383" queryTableFieldId="1002" dataDxfId="1219"/>
    <tableColumn id="15393" uniqueName="15393" name="Column15384" queryTableFieldId="1001" dataDxfId="1218"/>
    <tableColumn id="15394" uniqueName="15394" name="Column15385" queryTableFieldId="1000" dataDxfId="1217"/>
    <tableColumn id="15395" uniqueName="15395" name="Column15386" queryTableFieldId="999" dataDxfId="1216"/>
    <tableColumn id="15396" uniqueName="15396" name="Column15387" queryTableFieldId="998" dataDxfId="1215"/>
    <tableColumn id="15397" uniqueName="15397" name="Column15388" queryTableFieldId="997" dataDxfId="1214"/>
    <tableColumn id="15398" uniqueName="15398" name="Column15389" queryTableFieldId="996" dataDxfId="1213"/>
    <tableColumn id="15399" uniqueName="15399" name="Column15390" queryTableFieldId="995" dataDxfId="1212"/>
    <tableColumn id="15400" uniqueName="15400" name="Column15391" queryTableFieldId="994" dataDxfId="1211"/>
    <tableColumn id="15401" uniqueName="15401" name="Column15392" queryTableFieldId="993" dataDxfId="1210"/>
    <tableColumn id="15402" uniqueName="15402" name="Column15393" queryTableFieldId="992" dataDxfId="1209"/>
    <tableColumn id="15403" uniqueName="15403" name="Column15394" queryTableFieldId="991" dataDxfId="1208"/>
    <tableColumn id="15404" uniqueName="15404" name="Column15395" queryTableFieldId="990" dataDxfId="1207"/>
    <tableColumn id="15405" uniqueName="15405" name="Column15396" queryTableFieldId="989" dataDxfId="1206"/>
    <tableColumn id="15406" uniqueName="15406" name="Column15397" queryTableFieldId="988" dataDxfId="1205"/>
    <tableColumn id="15407" uniqueName="15407" name="Column15398" queryTableFieldId="987" dataDxfId="1204"/>
    <tableColumn id="15408" uniqueName="15408" name="Column15399" queryTableFieldId="986" dataDxfId="1203"/>
    <tableColumn id="15409" uniqueName="15409" name="Column15400" queryTableFieldId="985" dataDxfId="1202"/>
    <tableColumn id="15410" uniqueName="15410" name="Column15401" queryTableFieldId="984" dataDxfId="1201"/>
    <tableColumn id="15411" uniqueName="15411" name="Column15402" queryTableFieldId="983" dataDxfId="1200"/>
    <tableColumn id="15412" uniqueName="15412" name="Column15403" queryTableFieldId="982" dataDxfId="1199"/>
    <tableColumn id="15413" uniqueName="15413" name="Column15404" queryTableFieldId="981" dataDxfId="1198"/>
    <tableColumn id="15414" uniqueName="15414" name="Column15405" queryTableFieldId="980" dataDxfId="1197"/>
    <tableColumn id="15415" uniqueName="15415" name="Column15406" queryTableFieldId="979" dataDxfId="1196"/>
    <tableColumn id="15416" uniqueName="15416" name="Column15407" queryTableFieldId="978" dataDxfId="1195"/>
    <tableColumn id="15417" uniqueName="15417" name="Column15408" queryTableFieldId="977" dataDxfId="1194"/>
    <tableColumn id="15418" uniqueName="15418" name="Column15409" queryTableFieldId="976" dataDxfId="1193"/>
    <tableColumn id="15419" uniqueName="15419" name="Column15410" queryTableFieldId="975" dataDxfId="1192"/>
    <tableColumn id="15420" uniqueName="15420" name="Column15411" queryTableFieldId="974" dataDxfId="1191"/>
    <tableColumn id="15421" uniqueName="15421" name="Column15412" queryTableFieldId="973" dataDxfId="1190"/>
    <tableColumn id="15422" uniqueName="15422" name="Column15413" queryTableFieldId="972" dataDxfId="1189"/>
    <tableColumn id="15423" uniqueName="15423" name="Column15414" queryTableFieldId="971" dataDxfId="1188"/>
    <tableColumn id="15424" uniqueName="15424" name="Column15415" queryTableFieldId="970" dataDxfId="1187"/>
    <tableColumn id="15425" uniqueName="15425" name="Column15416" queryTableFieldId="969" dataDxfId="1186"/>
    <tableColumn id="15426" uniqueName="15426" name="Column15417" queryTableFieldId="968" dataDxfId="1185"/>
    <tableColumn id="15427" uniqueName="15427" name="Column15418" queryTableFieldId="967" dataDxfId="1184"/>
    <tableColumn id="15428" uniqueName="15428" name="Column15419" queryTableFieldId="966" dataDxfId="1183"/>
    <tableColumn id="15429" uniqueName="15429" name="Column15420" queryTableFieldId="965" dataDxfId="1182"/>
    <tableColumn id="15430" uniqueName="15430" name="Column15421" queryTableFieldId="964" dataDxfId="1181"/>
    <tableColumn id="15431" uniqueName="15431" name="Column15422" queryTableFieldId="963" dataDxfId="1180"/>
    <tableColumn id="15432" uniqueName="15432" name="Column15423" queryTableFieldId="962" dataDxfId="1179"/>
    <tableColumn id="15433" uniqueName="15433" name="Column15424" queryTableFieldId="961" dataDxfId="1178"/>
    <tableColumn id="15434" uniqueName="15434" name="Column15425" queryTableFieldId="960" dataDxfId="1177"/>
    <tableColumn id="15435" uniqueName="15435" name="Column15426" queryTableFieldId="959" dataDxfId="1176"/>
    <tableColumn id="15436" uniqueName="15436" name="Column15427" queryTableFieldId="958" dataDxfId="1175"/>
    <tableColumn id="15437" uniqueName="15437" name="Column15428" queryTableFieldId="957" dataDxfId="1174"/>
    <tableColumn id="15438" uniqueName="15438" name="Column15429" queryTableFieldId="956" dataDxfId="1173"/>
    <tableColumn id="15439" uniqueName="15439" name="Column15430" queryTableFieldId="955" dataDxfId="1172"/>
    <tableColumn id="15440" uniqueName="15440" name="Column15431" queryTableFieldId="954" dataDxfId="1171"/>
    <tableColumn id="15441" uniqueName="15441" name="Column15432" queryTableFieldId="953" dataDxfId="1170"/>
    <tableColumn id="15442" uniqueName="15442" name="Column15433" queryTableFieldId="952" dataDxfId="1169"/>
    <tableColumn id="15443" uniqueName="15443" name="Column15434" queryTableFieldId="951" dataDxfId="1168"/>
    <tableColumn id="15444" uniqueName="15444" name="Column15435" queryTableFieldId="950" dataDxfId="1167"/>
    <tableColumn id="15445" uniqueName="15445" name="Column15436" queryTableFieldId="949" dataDxfId="1166"/>
    <tableColumn id="15446" uniqueName="15446" name="Column15437" queryTableFieldId="948" dataDxfId="1165"/>
    <tableColumn id="15447" uniqueName="15447" name="Column15438" queryTableFieldId="947" dataDxfId="1164"/>
    <tableColumn id="15448" uniqueName="15448" name="Column15439" queryTableFieldId="946" dataDxfId="1163"/>
    <tableColumn id="15449" uniqueName="15449" name="Column15440" queryTableFieldId="945" dataDxfId="1162"/>
    <tableColumn id="15450" uniqueName="15450" name="Column15441" queryTableFieldId="944" dataDxfId="1161"/>
    <tableColumn id="15451" uniqueName="15451" name="Column15442" queryTableFieldId="943" dataDxfId="1160"/>
    <tableColumn id="15452" uniqueName="15452" name="Column15443" queryTableFieldId="942" dataDxfId="1159"/>
    <tableColumn id="15453" uniqueName="15453" name="Column15444" queryTableFieldId="941" dataDxfId="1158"/>
    <tableColumn id="15454" uniqueName="15454" name="Column15445" queryTableFieldId="940" dataDxfId="1157"/>
    <tableColumn id="15455" uniqueName="15455" name="Column15446" queryTableFieldId="939" dataDxfId="1156"/>
    <tableColumn id="15456" uniqueName="15456" name="Column15447" queryTableFieldId="938" dataDxfId="1155"/>
    <tableColumn id="15457" uniqueName="15457" name="Column15448" queryTableFieldId="937" dataDxfId="1154"/>
    <tableColumn id="15458" uniqueName="15458" name="Column15449" queryTableFieldId="936" dataDxfId="1153"/>
    <tableColumn id="15459" uniqueName="15459" name="Column15450" queryTableFieldId="935" dataDxfId="1152"/>
    <tableColumn id="15460" uniqueName="15460" name="Column15451" queryTableFieldId="934" dataDxfId="1151"/>
    <tableColumn id="15461" uniqueName="15461" name="Column15452" queryTableFieldId="933" dataDxfId="1150"/>
    <tableColumn id="15462" uniqueName="15462" name="Column15453" queryTableFieldId="932" dataDxfId="1149"/>
    <tableColumn id="15463" uniqueName="15463" name="Column15454" queryTableFieldId="931" dataDxfId="1148"/>
    <tableColumn id="15464" uniqueName="15464" name="Column15455" queryTableFieldId="930" dataDxfId="1147"/>
    <tableColumn id="15465" uniqueName="15465" name="Column15456" queryTableFieldId="929" dataDxfId="1146"/>
    <tableColumn id="15466" uniqueName="15466" name="Column15457" queryTableFieldId="928" dataDxfId="1145"/>
    <tableColumn id="15467" uniqueName="15467" name="Column15458" queryTableFieldId="927" dataDxfId="1144"/>
    <tableColumn id="15468" uniqueName="15468" name="Column15459" queryTableFieldId="926" dataDxfId="1143"/>
    <tableColumn id="15469" uniqueName="15469" name="Column15460" queryTableFieldId="925" dataDxfId="1142"/>
    <tableColumn id="15470" uniqueName="15470" name="Column15461" queryTableFieldId="924" dataDxfId="1141"/>
    <tableColumn id="15471" uniqueName="15471" name="Column15462" queryTableFieldId="923" dataDxfId="1140"/>
    <tableColumn id="15472" uniqueName="15472" name="Column15463" queryTableFieldId="922" dataDxfId="1139"/>
    <tableColumn id="15473" uniqueName="15473" name="Column15464" queryTableFieldId="921" dataDxfId="1138"/>
    <tableColumn id="15474" uniqueName="15474" name="Column15465" queryTableFieldId="920" dataDxfId="1137"/>
    <tableColumn id="15475" uniqueName="15475" name="Column15466" queryTableFieldId="919" dataDxfId="1136"/>
    <tableColumn id="15476" uniqueName="15476" name="Column15467" queryTableFieldId="918" dataDxfId="1135"/>
    <tableColumn id="15477" uniqueName="15477" name="Column15468" queryTableFieldId="917" dataDxfId="1134"/>
    <tableColumn id="15478" uniqueName="15478" name="Column15469" queryTableFieldId="916" dataDxfId="1133"/>
    <tableColumn id="15479" uniqueName="15479" name="Column15470" queryTableFieldId="915" dataDxfId="1132"/>
    <tableColumn id="15480" uniqueName="15480" name="Column15471" queryTableFieldId="914" dataDxfId="1131"/>
    <tableColumn id="15481" uniqueName="15481" name="Column15472" queryTableFieldId="913" dataDxfId="1130"/>
    <tableColumn id="15482" uniqueName="15482" name="Column15473" queryTableFieldId="912" dataDxfId="1129"/>
    <tableColumn id="15483" uniqueName="15483" name="Column15474" queryTableFieldId="911" dataDxfId="1128"/>
    <tableColumn id="15484" uniqueName="15484" name="Column15475" queryTableFieldId="910" dataDxfId="1127"/>
    <tableColumn id="15485" uniqueName="15485" name="Column15476" queryTableFieldId="909" dataDxfId="1126"/>
    <tableColumn id="15486" uniqueName="15486" name="Column15477" queryTableFieldId="908" dataDxfId="1125"/>
    <tableColumn id="15487" uniqueName="15487" name="Column15478" queryTableFieldId="907" dataDxfId="1124"/>
    <tableColumn id="15488" uniqueName="15488" name="Column15479" queryTableFieldId="906" dataDxfId="1123"/>
    <tableColumn id="15489" uniqueName="15489" name="Column15480" queryTableFieldId="905" dataDxfId="1122"/>
    <tableColumn id="15490" uniqueName="15490" name="Column15481" queryTableFieldId="904" dataDxfId="1121"/>
    <tableColumn id="15491" uniqueName="15491" name="Column15482" queryTableFieldId="903" dataDxfId="1120"/>
    <tableColumn id="15492" uniqueName="15492" name="Column15483" queryTableFieldId="902" dataDxfId="1119"/>
    <tableColumn id="15493" uniqueName="15493" name="Column15484" queryTableFieldId="901" dataDxfId="1118"/>
    <tableColumn id="15494" uniqueName="15494" name="Column15485" queryTableFieldId="900" dataDxfId="1117"/>
    <tableColumn id="15495" uniqueName="15495" name="Column15486" queryTableFieldId="899" dataDxfId="1116"/>
    <tableColumn id="15496" uniqueName="15496" name="Column15487" queryTableFieldId="898" dataDxfId="1115"/>
    <tableColumn id="15497" uniqueName="15497" name="Column15488" queryTableFieldId="897" dataDxfId="1114"/>
    <tableColumn id="15498" uniqueName="15498" name="Column15489" queryTableFieldId="896" dataDxfId="1113"/>
    <tableColumn id="15499" uniqueName="15499" name="Column15490" queryTableFieldId="895" dataDxfId="1112"/>
    <tableColumn id="15500" uniqueName="15500" name="Column15491" queryTableFieldId="894" dataDxfId="1111"/>
    <tableColumn id="15501" uniqueName="15501" name="Column15492" queryTableFieldId="893" dataDxfId="1110"/>
    <tableColumn id="15502" uniqueName="15502" name="Column15493" queryTableFieldId="892" dataDxfId="1109"/>
    <tableColumn id="15503" uniqueName="15503" name="Column15494" queryTableFieldId="891" dataDxfId="1108"/>
    <tableColumn id="15504" uniqueName="15504" name="Column15495" queryTableFieldId="890" dataDxfId="1107"/>
    <tableColumn id="15505" uniqueName="15505" name="Column15496" queryTableFieldId="889" dataDxfId="1106"/>
    <tableColumn id="15506" uniqueName="15506" name="Column15497" queryTableFieldId="888" dataDxfId="1105"/>
    <tableColumn id="15507" uniqueName="15507" name="Column15498" queryTableFieldId="887" dataDxfId="1104"/>
    <tableColumn id="15508" uniqueName="15508" name="Column15499" queryTableFieldId="886" dataDxfId="1103"/>
    <tableColumn id="15509" uniqueName="15509" name="Column15500" queryTableFieldId="885" dataDxfId="1102"/>
    <tableColumn id="15510" uniqueName="15510" name="Column15501" queryTableFieldId="884" dataDxfId="1101"/>
    <tableColumn id="15511" uniqueName="15511" name="Column15502" queryTableFieldId="883" dataDxfId="1100"/>
    <tableColumn id="15512" uniqueName="15512" name="Column15503" queryTableFieldId="882" dataDxfId="1099"/>
    <tableColumn id="15513" uniqueName="15513" name="Column15504" queryTableFieldId="881" dataDxfId="1098"/>
    <tableColumn id="15514" uniqueName="15514" name="Column15505" queryTableFieldId="880" dataDxfId="1097"/>
    <tableColumn id="15515" uniqueName="15515" name="Column15506" queryTableFieldId="879" dataDxfId="1096"/>
    <tableColumn id="15516" uniqueName="15516" name="Column15507" queryTableFieldId="878" dataDxfId="1095"/>
    <tableColumn id="15517" uniqueName="15517" name="Column15508" queryTableFieldId="877" dataDxfId="1094"/>
    <tableColumn id="15518" uniqueName="15518" name="Column15509" queryTableFieldId="876" dataDxfId="1093"/>
    <tableColumn id="15519" uniqueName="15519" name="Column15510" queryTableFieldId="875" dataDxfId="1092"/>
    <tableColumn id="15520" uniqueName="15520" name="Column15511" queryTableFieldId="874" dataDxfId="1091"/>
    <tableColumn id="15521" uniqueName="15521" name="Column15512" queryTableFieldId="873" dataDxfId="1090"/>
    <tableColumn id="15522" uniqueName="15522" name="Column15513" queryTableFieldId="872" dataDxfId="1089"/>
    <tableColumn id="15523" uniqueName="15523" name="Column15514" queryTableFieldId="871" dataDxfId="1088"/>
    <tableColumn id="15524" uniqueName="15524" name="Column15515" queryTableFieldId="870" dataDxfId="1087"/>
    <tableColumn id="15525" uniqueName="15525" name="Column15516" queryTableFieldId="869" dataDxfId="1086"/>
    <tableColumn id="15526" uniqueName="15526" name="Column15517" queryTableFieldId="868" dataDxfId="1085"/>
    <tableColumn id="15527" uniqueName="15527" name="Column15518" queryTableFieldId="867" dataDxfId="1084"/>
    <tableColumn id="15528" uniqueName="15528" name="Column15519" queryTableFieldId="866" dataDxfId="1083"/>
    <tableColumn id="15529" uniqueName="15529" name="Column15520" queryTableFieldId="865" dataDxfId="1082"/>
    <tableColumn id="15530" uniqueName="15530" name="Column15521" queryTableFieldId="864" dataDxfId="1081"/>
    <tableColumn id="15531" uniqueName="15531" name="Column15522" queryTableFieldId="863" dataDxfId="1080"/>
    <tableColumn id="15532" uniqueName="15532" name="Column15523" queryTableFieldId="862" dataDxfId="1079"/>
    <tableColumn id="15533" uniqueName="15533" name="Column15524" queryTableFieldId="861" dataDxfId="1078"/>
    <tableColumn id="15534" uniqueName="15534" name="Column15525" queryTableFieldId="860" dataDxfId="1077"/>
    <tableColumn id="15535" uniqueName="15535" name="Column15526" queryTableFieldId="859" dataDxfId="1076"/>
    <tableColumn id="15536" uniqueName="15536" name="Column15527" queryTableFieldId="858" dataDxfId="1075"/>
    <tableColumn id="15537" uniqueName="15537" name="Column15528" queryTableFieldId="857" dataDxfId="1074"/>
    <tableColumn id="15538" uniqueName="15538" name="Column15529" queryTableFieldId="856" dataDxfId="1073"/>
    <tableColumn id="15539" uniqueName="15539" name="Column15530" queryTableFieldId="855" dataDxfId="1072"/>
    <tableColumn id="15540" uniqueName="15540" name="Column15531" queryTableFieldId="854" dataDxfId="1071"/>
    <tableColumn id="15541" uniqueName="15541" name="Column15532" queryTableFieldId="853" dataDxfId="1070"/>
    <tableColumn id="15542" uniqueName="15542" name="Column15533" queryTableFieldId="852" dataDxfId="1069"/>
    <tableColumn id="15543" uniqueName="15543" name="Column15534" queryTableFieldId="851" dataDxfId="1068"/>
    <tableColumn id="15544" uniqueName="15544" name="Column15535" queryTableFieldId="850" dataDxfId="1067"/>
    <tableColumn id="15545" uniqueName="15545" name="Column15536" queryTableFieldId="849" dataDxfId="1066"/>
    <tableColumn id="15546" uniqueName="15546" name="Column15537" queryTableFieldId="848" dataDxfId="1065"/>
    <tableColumn id="15547" uniqueName="15547" name="Column15538" queryTableFieldId="847" dataDxfId="1064"/>
    <tableColumn id="15548" uniqueName="15548" name="Column15539" queryTableFieldId="846" dataDxfId="1063"/>
    <tableColumn id="15549" uniqueName="15549" name="Column15540" queryTableFieldId="845" dataDxfId="1062"/>
    <tableColumn id="15550" uniqueName="15550" name="Column15541" queryTableFieldId="844" dataDxfId="1061"/>
    <tableColumn id="15551" uniqueName="15551" name="Column15542" queryTableFieldId="843" dataDxfId="1060"/>
    <tableColumn id="15552" uniqueName="15552" name="Column15543" queryTableFieldId="842" dataDxfId="1059"/>
    <tableColumn id="15553" uniqueName="15553" name="Column15544" queryTableFieldId="841" dataDxfId="1058"/>
    <tableColumn id="15554" uniqueName="15554" name="Column15545" queryTableFieldId="840" dataDxfId="1057"/>
    <tableColumn id="15555" uniqueName="15555" name="Column15546" queryTableFieldId="839" dataDxfId="1056"/>
    <tableColumn id="15556" uniqueName="15556" name="Column15547" queryTableFieldId="838" dataDxfId="1055"/>
    <tableColumn id="15557" uniqueName="15557" name="Column15548" queryTableFieldId="837" dataDxfId="1054"/>
    <tableColumn id="15558" uniqueName="15558" name="Column15549" queryTableFieldId="836" dataDxfId="1053"/>
    <tableColumn id="15559" uniqueName="15559" name="Column15550" queryTableFieldId="835" dataDxfId="1052"/>
    <tableColumn id="15560" uniqueName="15560" name="Column15551" queryTableFieldId="834" dataDxfId="1051"/>
    <tableColumn id="15561" uniqueName="15561" name="Column15552" queryTableFieldId="833" dataDxfId="1050"/>
    <tableColumn id="15562" uniqueName="15562" name="Column15553" queryTableFieldId="832" dataDxfId="1049"/>
    <tableColumn id="15563" uniqueName="15563" name="Column15554" queryTableFieldId="831" dataDxfId="1048"/>
    <tableColumn id="15564" uniqueName="15564" name="Column15555" queryTableFieldId="830" dataDxfId="1047"/>
    <tableColumn id="15565" uniqueName="15565" name="Column15556" queryTableFieldId="829" dataDxfId="1046"/>
    <tableColumn id="15566" uniqueName="15566" name="Column15557" queryTableFieldId="828" dataDxfId="1045"/>
    <tableColumn id="15567" uniqueName="15567" name="Column15558" queryTableFieldId="827" dataDxfId="1044"/>
    <tableColumn id="15568" uniqueName="15568" name="Column15559" queryTableFieldId="826" dataDxfId="1043"/>
    <tableColumn id="15569" uniqueName="15569" name="Column15560" queryTableFieldId="825" dataDxfId="1042"/>
    <tableColumn id="15570" uniqueName="15570" name="Column15561" queryTableFieldId="824" dataDxfId="1041"/>
    <tableColumn id="15571" uniqueName="15571" name="Column15562" queryTableFieldId="823" dataDxfId="1040"/>
    <tableColumn id="15572" uniqueName="15572" name="Column15563" queryTableFieldId="822" dataDxfId="1039"/>
    <tableColumn id="15573" uniqueName="15573" name="Column15564" queryTableFieldId="821" dataDxfId="1038"/>
    <tableColumn id="15574" uniqueName="15574" name="Column15565" queryTableFieldId="820" dataDxfId="1037"/>
    <tableColumn id="15575" uniqueName="15575" name="Column15566" queryTableFieldId="819" dataDxfId="1036"/>
    <tableColumn id="15576" uniqueName="15576" name="Column15567" queryTableFieldId="818" dataDxfId="1035"/>
    <tableColumn id="15577" uniqueName="15577" name="Column15568" queryTableFieldId="817" dataDxfId="1034"/>
    <tableColumn id="15578" uniqueName="15578" name="Column15569" queryTableFieldId="816" dataDxfId="1033"/>
    <tableColumn id="15579" uniqueName="15579" name="Column15570" queryTableFieldId="815" dataDxfId="1032"/>
    <tableColumn id="15580" uniqueName="15580" name="Column15571" queryTableFieldId="814" dataDxfId="1031"/>
    <tableColumn id="15581" uniqueName="15581" name="Column15572" queryTableFieldId="813" dataDxfId="1030"/>
    <tableColumn id="15582" uniqueName="15582" name="Column15573" queryTableFieldId="812" dataDxfId="1029"/>
    <tableColumn id="15583" uniqueName="15583" name="Column15574" queryTableFieldId="811" dataDxfId="1028"/>
    <tableColumn id="15584" uniqueName="15584" name="Column15575" queryTableFieldId="810" dataDxfId="1027"/>
    <tableColumn id="15585" uniqueName="15585" name="Column15576" queryTableFieldId="809" dataDxfId="1026"/>
    <tableColumn id="15586" uniqueName="15586" name="Column15577" queryTableFieldId="808" dataDxfId="1025"/>
    <tableColumn id="15587" uniqueName="15587" name="Column15578" queryTableFieldId="807" dataDxfId="1024"/>
    <tableColumn id="15588" uniqueName="15588" name="Column15579" queryTableFieldId="806" dataDxfId="1023"/>
    <tableColumn id="15589" uniqueName="15589" name="Column15580" queryTableFieldId="805" dataDxfId="1022"/>
    <tableColumn id="15590" uniqueName="15590" name="Column15581" queryTableFieldId="804" dataDxfId="1021"/>
    <tableColumn id="15591" uniqueName="15591" name="Column15582" queryTableFieldId="803" dataDxfId="1020"/>
    <tableColumn id="15592" uniqueName="15592" name="Column15583" queryTableFieldId="802" dataDxfId="1019"/>
    <tableColumn id="15593" uniqueName="15593" name="Column15584" queryTableFieldId="801" dataDxfId="1018"/>
    <tableColumn id="15594" uniqueName="15594" name="Column15585" queryTableFieldId="800" dataDxfId="1017"/>
    <tableColumn id="15595" uniqueName="15595" name="Column15586" queryTableFieldId="799" dataDxfId="1016"/>
    <tableColumn id="15596" uniqueName="15596" name="Column15587" queryTableFieldId="798" dataDxfId="1015"/>
    <tableColumn id="15597" uniqueName="15597" name="Column15588" queryTableFieldId="797" dataDxfId="1014"/>
    <tableColumn id="15598" uniqueName="15598" name="Column15589" queryTableFieldId="796" dataDxfId="1013"/>
    <tableColumn id="15599" uniqueName="15599" name="Column15590" queryTableFieldId="795" dataDxfId="1012"/>
    <tableColumn id="15600" uniqueName="15600" name="Column15591" queryTableFieldId="794" dataDxfId="1011"/>
    <tableColumn id="15601" uniqueName="15601" name="Column15592" queryTableFieldId="793" dataDxfId="1010"/>
    <tableColumn id="15602" uniqueName="15602" name="Column15593" queryTableFieldId="792" dataDxfId="1009"/>
    <tableColumn id="15603" uniqueName="15603" name="Column15594" queryTableFieldId="791" dataDxfId="1008"/>
    <tableColumn id="15604" uniqueName="15604" name="Column15595" queryTableFieldId="790" dataDxfId="1007"/>
    <tableColumn id="15605" uniqueName="15605" name="Column15596" queryTableFieldId="789" dataDxfId="1006"/>
    <tableColumn id="15606" uniqueName="15606" name="Column15597" queryTableFieldId="788" dataDxfId="1005"/>
    <tableColumn id="15607" uniqueName="15607" name="Column15598" queryTableFieldId="787" dataDxfId="1004"/>
    <tableColumn id="15608" uniqueName="15608" name="Column15599" queryTableFieldId="786" dataDxfId="1003"/>
    <tableColumn id="15609" uniqueName="15609" name="Column15600" queryTableFieldId="785" dataDxfId="1002"/>
    <tableColumn id="15610" uniqueName="15610" name="Column15601" queryTableFieldId="784" dataDxfId="1001"/>
    <tableColumn id="15611" uniqueName="15611" name="Column15602" queryTableFieldId="783" dataDxfId="1000"/>
    <tableColumn id="15612" uniqueName="15612" name="Column15603" queryTableFieldId="782" dataDxfId="999"/>
    <tableColumn id="15613" uniqueName="15613" name="Column15604" queryTableFieldId="781" dataDxfId="998"/>
    <tableColumn id="15614" uniqueName="15614" name="Column15605" queryTableFieldId="780" dataDxfId="997"/>
    <tableColumn id="15615" uniqueName="15615" name="Column15606" queryTableFieldId="779" dataDxfId="996"/>
    <tableColumn id="15616" uniqueName="15616" name="Column15607" queryTableFieldId="778" dataDxfId="995"/>
    <tableColumn id="15617" uniqueName="15617" name="Column15608" queryTableFieldId="777" dataDxfId="994"/>
    <tableColumn id="15618" uniqueName="15618" name="Column15609" queryTableFieldId="776" dataDxfId="993"/>
    <tableColumn id="15619" uniqueName="15619" name="Column15610" queryTableFieldId="775" dataDxfId="992"/>
    <tableColumn id="15620" uniqueName="15620" name="Column15611" queryTableFieldId="774" dataDxfId="991"/>
    <tableColumn id="15621" uniqueName="15621" name="Column15612" queryTableFieldId="773" dataDxfId="990"/>
    <tableColumn id="15622" uniqueName="15622" name="Column15613" queryTableFieldId="772" dataDxfId="989"/>
    <tableColumn id="15623" uniqueName="15623" name="Column15614" queryTableFieldId="771" dataDxfId="988"/>
    <tableColumn id="15624" uniqueName="15624" name="Column15615" queryTableFieldId="770" dataDxfId="987"/>
    <tableColumn id="15625" uniqueName="15625" name="Column15616" queryTableFieldId="769" dataDxfId="986"/>
    <tableColumn id="15626" uniqueName="15626" name="Column15617" queryTableFieldId="768" dataDxfId="985"/>
    <tableColumn id="15627" uniqueName="15627" name="Column15618" queryTableFieldId="767" dataDxfId="984"/>
    <tableColumn id="15628" uniqueName="15628" name="Column15619" queryTableFieldId="766" dataDxfId="983"/>
    <tableColumn id="15629" uniqueName="15629" name="Column15620" queryTableFieldId="765" dataDxfId="982"/>
    <tableColumn id="15630" uniqueName="15630" name="Column15621" queryTableFieldId="764" dataDxfId="981"/>
    <tableColumn id="15631" uniqueName="15631" name="Column15622" queryTableFieldId="763" dataDxfId="980"/>
    <tableColumn id="15632" uniqueName="15632" name="Column15623" queryTableFieldId="762" dataDxfId="979"/>
    <tableColumn id="15633" uniqueName="15633" name="Column15624" queryTableFieldId="761" dataDxfId="978"/>
    <tableColumn id="15634" uniqueName="15634" name="Column15625" queryTableFieldId="760" dataDxfId="977"/>
    <tableColumn id="15635" uniqueName="15635" name="Column15626" queryTableFieldId="759" dataDxfId="976"/>
    <tableColumn id="15636" uniqueName="15636" name="Column15627" queryTableFieldId="758" dataDxfId="975"/>
    <tableColumn id="15637" uniqueName="15637" name="Column15628" queryTableFieldId="757" dataDxfId="974"/>
    <tableColumn id="15638" uniqueName="15638" name="Column15629" queryTableFieldId="756" dataDxfId="973"/>
    <tableColumn id="15639" uniqueName="15639" name="Column15630" queryTableFieldId="755" dataDxfId="972"/>
    <tableColumn id="15640" uniqueName="15640" name="Column15631" queryTableFieldId="754" dataDxfId="971"/>
    <tableColumn id="15641" uniqueName="15641" name="Column15632" queryTableFieldId="753" dataDxfId="970"/>
    <tableColumn id="15642" uniqueName="15642" name="Column15633" queryTableFieldId="752" dataDxfId="969"/>
    <tableColumn id="15643" uniqueName="15643" name="Column15634" queryTableFieldId="751" dataDxfId="968"/>
    <tableColumn id="15644" uniqueName="15644" name="Column15635" queryTableFieldId="750" dataDxfId="967"/>
    <tableColumn id="15645" uniqueName="15645" name="Column15636" queryTableFieldId="749" dataDxfId="966"/>
    <tableColumn id="15646" uniqueName="15646" name="Column15637" queryTableFieldId="748" dataDxfId="965"/>
    <tableColumn id="15647" uniqueName="15647" name="Column15638" queryTableFieldId="747" dataDxfId="964"/>
    <tableColumn id="15648" uniqueName="15648" name="Column15639" queryTableFieldId="746" dataDxfId="963"/>
    <tableColumn id="15649" uniqueName="15649" name="Column15640" queryTableFieldId="745" dataDxfId="962"/>
    <tableColumn id="15650" uniqueName="15650" name="Column15641" queryTableFieldId="744" dataDxfId="961"/>
    <tableColumn id="15651" uniqueName="15651" name="Column15642" queryTableFieldId="743" dataDxfId="960"/>
    <tableColumn id="15652" uniqueName="15652" name="Column15643" queryTableFieldId="742" dataDxfId="959"/>
    <tableColumn id="15653" uniqueName="15653" name="Column15644" queryTableFieldId="741" dataDxfId="958"/>
    <tableColumn id="15654" uniqueName="15654" name="Column15645" queryTableFieldId="740" dataDxfId="957"/>
    <tableColumn id="15655" uniqueName="15655" name="Column15646" queryTableFieldId="739" dataDxfId="956"/>
    <tableColumn id="15656" uniqueName="15656" name="Column15647" queryTableFieldId="738" dataDxfId="955"/>
    <tableColumn id="15657" uniqueName="15657" name="Column15648" queryTableFieldId="737" dataDxfId="954"/>
    <tableColumn id="15658" uniqueName="15658" name="Column15649" queryTableFieldId="736" dataDxfId="953"/>
    <tableColumn id="15659" uniqueName="15659" name="Column15650" queryTableFieldId="735" dataDxfId="952"/>
    <tableColumn id="15660" uniqueName="15660" name="Column15651" queryTableFieldId="734" dataDxfId="951"/>
    <tableColumn id="15661" uniqueName="15661" name="Column15652" queryTableFieldId="733" dataDxfId="950"/>
    <tableColumn id="15662" uniqueName="15662" name="Column15653" queryTableFieldId="732" dataDxfId="949"/>
    <tableColumn id="15663" uniqueName="15663" name="Column15654" queryTableFieldId="731" dataDxfId="948"/>
    <tableColumn id="15664" uniqueName="15664" name="Column15655" queryTableFieldId="730" dataDxfId="947"/>
    <tableColumn id="15665" uniqueName="15665" name="Column15656" queryTableFieldId="729" dataDxfId="946"/>
    <tableColumn id="15666" uniqueName="15666" name="Column15657" queryTableFieldId="728" dataDxfId="945"/>
    <tableColumn id="15667" uniqueName="15667" name="Column15658" queryTableFieldId="727" dataDxfId="944"/>
    <tableColumn id="15668" uniqueName="15668" name="Column15659" queryTableFieldId="726" dataDxfId="943"/>
    <tableColumn id="15669" uniqueName="15669" name="Column15660" queryTableFieldId="725" dataDxfId="942"/>
    <tableColumn id="15670" uniqueName="15670" name="Column15661" queryTableFieldId="724" dataDxfId="941"/>
    <tableColumn id="15671" uniqueName="15671" name="Column15662" queryTableFieldId="723" dataDxfId="940"/>
    <tableColumn id="15672" uniqueName="15672" name="Column15663" queryTableFieldId="722" dataDxfId="939"/>
    <tableColumn id="15673" uniqueName="15673" name="Column15664" queryTableFieldId="721" dataDxfId="938"/>
    <tableColumn id="15674" uniqueName="15674" name="Column15665" queryTableFieldId="720" dataDxfId="937"/>
    <tableColumn id="15675" uniqueName="15675" name="Column15666" queryTableFieldId="719" dataDxfId="936"/>
    <tableColumn id="15676" uniqueName="15676" name="Column15667" queryTableFieldId="718" dataDxfId="935"/>
    <tableColumn id="15677" uniqueName="15677" name="Column15668" queryTableFieldId="717" dataDxfId="934"/>
    <tableColumn id="15678" uniqueName="15678" name="Column15669" queryTableFieldId="716" dataDxfId="933"/>
    <tableColumn id="15679" uniqueName="15679" name="Column15670" queryTableFieldId="715" dataDxfId="932"/>
    <tableColumn id="15680" uniqueName="15680" name="Column15671" queryTableFieldId="714" dataDxfId="931"/>
    <tableColumn id="15681" uniqueName="15681" name="Column15672" queryTableFieldId="713" dataDxfId="930"/>
    <tableColumn id="15682" uniqueName="15682" name="Column15673" queryTableFieldId="712" dataDxfId="929"/>
    <tableColumn id="15683" uniqueName="15683" name="Column15674" queryTableFieldId="711" dataDxfId="928"/>
    <tableColumn id="15684" uniqueName="15684" name="Column15675" queryTableFieldId="710" dataDxfId="927"/>
    <tableColumn id="15685" uniqueName="15685" name="Column15676" queryTableFieldId="709" dataDxfId="926"/>
    <tableColumn id="15686" uniqueName="15686" name="Column15677" queryTableFieldId="708" dataDxfId="925"/>
    <tableColumn id="15687" uniqueName="15687" name="Column15678" queryTableFieldId="707" dataDxfId="924"/>
    <tableColumn id="15688" uniqueName="15688" name="Column15679" queryTableFieldId="706" dataDxfId="923"/>
    <tableColumn id="15689" uniqueName="15689" name="Column15680" queryTableFieldId="705" dataDxfId="922"/>
    <tableColumn id="15690" uniqueName="15690" name="Column15681" queryTableFieldId="704" dataDxfId="921"/>
    <tableColumn id="15691" uniqueName="15691" name="Column15682" queryTableFieldId="703" dataDxfId="920"/>
    <tableColumn id="15692" uniqueName="15692" name="Column15683" queryTableFieldId="702" dataDxfId="919"/>
    <tableColumn id="15693" uniqueName="15693" name="Column15684" queryTableFieldId="701" dataDxfId="918"/>
    <tableColumn id="15694" uniqueName="15694" name="Column15685" queryTableFieldId="700" dataDxfId="917"/>
    <tableColumn id="15695" uniqueName="15695" name="Column15686" queryTableFieldId="699" dataDxfId="916"/>
    <tableColumn id="15696" uniqueName="15696" name="Column15687" queryTableFieldId="698" dataDxfId="915"/>
    <tableColumn id="15697" uniqueName="15697" name="Column15688" queryTableFieldId="697" dataDxfId="914"/>
    <tableColumn id="15698" uniqueName="15698" name="Column15689" queryTableFieldId="696" dataDxfId="913"/>
    <tableColumn id="15699" uniqueName="15699" name="Column15690" queryTableFieldId="695" dataDxfId="912"/>
    <tableColumn id="15700" uniqueName="15700" name="Column15691" queryTableFieldId="694" dataDxfId="911"/>
    <tableColumn id="15701" uniqueName="15701" name="Column15692" queryTableFieldId="693" dataDxfId="910"/>
    <tableColumn id="15702" uniqueName="15702" name="Column15693" queryTableFieldId="692" dataDxfId="909"/>
    <tableColumn id="15703" uniqueName="15703" name="Column15694" queryTableFieldId="691" dataDxfId="908"/>
    <tableColumn id="15704" uniqueName="15704" name="Column15695" queryTableFieldId="690" dataDxfId="907"/>
    <tableColumn id="15705" uniqueName="15705" name="Column15696" queryTableFieldId="689" dataDxfId="906"/>
    <tableColumn id="15706" uniqueName="15706" name="Column15697" queryTableFieldId="688" dataDxfId="905"/>
    <tableColumn id="15707" uniqueName="15707" name="Column15698" queryTableFieldId="687" dataDxfId="904"/>
    <tableColumn id="15708" uniqueName="15708" name="Column15699" queryTableFieldId="686" dataDxfId="903"/>
    <tableColumn id="15709" uniqueName="15709" name="Column15700" queryTableFieldId="685" dataDxfId="902"/>
    <tableColumn id="15710" uniqueName="15710" name="Column15701" queryTableFieldId="684" dataDxfId="901"/>
    <tableColumn id="15711" uniqueName="15711" name="Column15702" queryTableFieldId="683" dataDxfId="900"/>
    <tableColumn id="15712" uniqueName="15712" name="Column15703" queryTableFieldId="682" dataDxfId="899"/>
    <tableColumn id="15713" uniqueName="15713" name="Column15704" queryTableFieldId="681" dataDxfId="898"/>
    <tableColumn id="15714" uniqueName="15714" name="Column15705" queryTableFieldId="680" dataDxfId="897"/>
    <tableColumn id="15715" uniqueName="15715" name="Column15706" queryTableFieldId="679" dataDxfId="896"/>
    <tableColumn id="15716" uniqueName="15716" name="Column15707" queryTableFieldId="678" dataDxfId="895"/>
    <tableColumn id="15717" uniqueName="15717" name="Column15708" queryTableFieldId="677" dataDxfId="894"/>
    <tableColumn id="15718" uniqueName="15718" name="Column15709" queryTableFieldId="676" dataDxfId="893"/>
    <tableColumn id="15719" uniqueName="15719" name="Column15710" queryTableFieldId="675" dataDxfId="892"/>
    <tableColumn id="15720" uniqueName="15720" name="Column15711" queryTableFieldId="674" dataDxfId="891"/>
    <tableColumn id="15721" uniqueName="15721" name="Column15712" queryTableFieldId="673" dataDxfId="890"/>
    <tableColumn id="15722" uniqueName="15722" name="Column15713" queryTableFieldId="672" dataDxfId="889"/>
    <tableColumn id="15723" uniqueName="15723" name="Column15714" queryTableFieldId="671" dataDxfId="888"/>
    <tableColumn id="15724" uniqueName="15724" name="Column15715" queryTableFieldId="670" dataDxfId="887"/>
    <tableColumn id="15725" uniqueName="15725" name="Column15716" queryTableFieldId="669" dataDxfId="886"/>
    <tableColumn id="15726" uniqueName="15726" name="Column15717" queryTableFieldId="668" dataDxfId="885"/>
    <tableColumn id="15727" uniqueName="15727" name="Column15718" queryTableFieldId="667" dataDxfId="884"/>
    <tableColumn id="15728" uniqueName="15728" name="Column15719" queryTableFieldId="666" dataDxfId="883"/>
    <tableColumn id="15729" uniqueName="15729" name="Column15720" queryTableFieldId="665" dataDxfId="882"/>
    <tableColumn id="15730" uniqueName="15730" name="Column15721" queryTableFieldId="664" dataDxfId="881"/>
    <tableColumn id="15731" uniqueName="15731" name="Column15722" queryTableFieldId="663" dataDxfId="880"/>
    <tableColumn id="15732" uniqueName="15732" name="Column15723" queryTableFieldId="662" dataDxfId="879"/>
    <tableColumn id="15733" uniqueName="15733" name="Column15724" queryTableFieldId="661" dataDxfId="878"/>
    <tableColumn id="15734" uniqueName="15734" name="Column15725" queryTableFieldId="660" dataDxfId="877"/>
    <tableColumn id="15735" uniqueName="15735" name="Column15726" queryTableFieldId="659" dataDxfId="876"/>
    <tableColumn id="15736" uniqueName="15736" name="Column15727" queryTableFieldId="658" dataDxfId="875"/>
    <tableColumn id="15737" uniqueName="15737" name="Column15728" queryTableFieldId="657" dataDxfId="874"/>
    <tableColumn id="15738" uniqueName="15738" name="Column15729" queryTableFieldId="656" dataDxfId="873"/>
    <tableColumn id="15739" uniqueName="15739" name="Column15730" queryTableFieldId="655" dataDxfId="872"/>
    <tableColumn id="15740" uniqueName="15740" name="Column15731" queryTableFieldId="654" dataDxfId="871"/>
    <tableColumn id="15741" uniqueName="15741" name="Column15732" queryTableFieldId="653" dataDxfId="870"/>
    <tableColumn id="15742" uniqueName="15742" name="Column15733" queryTableFieldId="652" dataDxfId="869"/>
    <tableColumn id="15743" uniqueName="15743" name="Column15734" queryTableFieldId="651" dataDxfId="868"/>
    <tableColumn id="15744" uniqueName="15744" name="Column15735" queryTableFieldId="650" dataDxfId="867"/>
    <tableColumn id="15745" uniqueName="15745" name="Column15736" queryTableFieldId="649" dataDxfId="866"/>
    <tableColumn id="15746" uniqueName="15746" name="Column15737" queryTableFieldId="648" dataDxfId="865"/>
    <tableColumn id="15747" uniqueName="15747" name="Column15738" queryTableFieldId="647" dataDxfId="864"/>
    <tableColumn id="15748" uniqueName="15748" name="Column15739" queryTableFieldId="646" dataDxfId="863"/>
    <tableColumn id="15749" uniqueName="15749" name="Column15740" queryTableFieldId="645" dataDxfId="862"/>
    <tableColumn id="15750" uniqueName="15750" name="Column15741" queryTableFieldId="644" dataDxfId="861"/>
    <tableColumn id="15751" uniqueName="15751" name="Column15742" queryTableFieldId="643" dataDxfId="860"/>
    <tableColumn id="15752" uniqueName="15752" name="Column15743" queryTableFieldId="642" dataDxfId="859"/>
    <tableColumn id="15753" uniqueName="15753" name="Column15744" queryTableFieldId="641" dataDxfId="858"/>
    <tableColumn id="15754" uniqueName="15754" name="Column15745" queryTableFieldId="640" dataDxfId="857"/>
    <tableColumn id="15755" uniqueName="15755" name="Column15746" queryTableFieldId="639" dataDxfId="856"/>
    <tableColumn id="15756" uniqueName="15756" name="Column15747" queryTableFieldId="638" dataDxfId="855"/>
    <tableColumn id="15757" uniqueName="15757" name="Column15748" queryTableFieldId="637" dataDxfId="854"/>
    <tableColumn id="15758" uniqueName="15758" name="Column15749" queryTableFieldId="636" dataDxfId="853"/>
    <tableColumn id="15759" uniqueName="15759" name="Column15750" queryTableFieldId="635" dataDxfId="852"/>
    <tableColumn id="15760" uniqueName="15760" name="Column15751" queryTableFieldId="634" dataDxfId="851"/>
    <tableColumn id="15761" uniqueName="15761" name="Column15752" queryTableFieldId="633" dataDxfId="850"/>
    <tableColumn id="15762" uniqueName="15762" name="Column15753" queryTableFieldId="632" dataDxfId="849"/>
    <tableColumn id="15763" uniqueName="15763" name="Column15754" queryTableFieldId="631" dataDxfId="848"/>
    <tableColumn id="15764" uniqueName="15764" name="Column15755" queryTableFieldId="630" dataDxfId="847"/>
    <tableColumn id="15765" uniqueName="15765" name="Column15756" queryTableFieldId="629" dataDxfId="846"/>
    <tableColumn id="15766" uniqueName="15766" name="Column15757" queryTableFieldId="628" dataDxfId="845"/>
    <tableColumn id="15767" uniqueName="15767" name="Column15758" queryTableFieldId="627" dataDxfId="844"/>
    <tableColumn id="15768" uniqueName="15768" name="Column15759" queryTableFieldId="626" dataDxfId="843"/>
    <tableColumn id="15769" uniqueName="15769" name="Column15760" queryTableFieldId="625" dataDxfId="842"/>
    <tableColumn id="15770" uniqueName="15770" name="Column15761" queryTableFieldId="624" dataDxfId="841"/>
    <tableColumn id="15771" uniqueName="15771" name="Column15762" queryTableFieldId="623" dataDxfId="840"/>
    <tableColumn id="15772" uniqueName="15772" name="Column15763" queryTableFieldId="622" dataDxfId="839"/>
    <tableColumn id="15773" uniqueName="15773" name="Column15764" queryTableFieldId="621" dataDxfId="838"/>
    <tableColumn id="15774" uniqueName="15774" name="Column15765" queryTableFieldId="620" dataDxfId="837"/>
    <tableColumn id="15775" uniqueName="15775" name="Column15766" queryTableFieldId="619" dataDxfId="836"/>
    <tableColumn id="15776" uniqueName="15776" name="Column15767" queryTableFieldId="618" dataDxfId="835"/>
    <tableColumn id="15777" uniqueName="15777" name="Column15768" queryTableFieldId="617" dataDxfId="834"/>
    <tableColumn id="15778" uniqueName="15778" name="Column15769" queryTableFieldId="616" dataDxfId="833"/>
    <tableColumn id="15779" uniqueName="15779" name="Column15770" queryTableFieldId="615" dataDxfId="832"/>
    <tableColumn id="15780" uniqueName="15780" name="Column15771" queryTableFieldId="614" dataDxfId="831"/>
    <tableColumn id="15781" uniqueName="15781" name="Column15772" queryTableFieldId="613" dataDxfId="830"/>
    <tableColumn id="15782" uniqueName="15782" name="Column15773" queryTableFieldId="612" dataDxfId="829"/>
    <tableColumn id="15783" uniqueName="15783" name="Column15774" queryTableFieldId="611" dataDxfId="828"/>
    <tableColumn id="15784" uniqueName="15784" name="Column15775" queryTableFieldId="610" dataDxfId="827"/>
    <tableColumn id="15785" uniqueName="15785" name="Column15776" queryTableFieldId="609" dataDxfId="826"/>
    <tableColumn id="15786" uniqueName="15786" name="Column15777" queryTableFieldId="608" dataDxfId="825"/>
    <tableColumn id="15787" uniqueName="15787" name="Column15778" queryTableFieldId="607" dataDxfId="824"/>
    <tableColumn id="15788" uniqueName="15788" name="Column15779" queryTableFieldId="606" dataDxfId="823"/>
    <tableColumn id="15789" uniqueName="15789" name="Column15780" queryTableFieldId="605" dataDxfId="822"/>
    <tableColumn id="15790" uniqueName="15790" name="Column15781" queryTableFieldId="604" dataDxfId="821"/>
    <tableColumn id="15791" uniqueName="15791" name="Column15782" queryTableFieldId="603" dataDxfId="820"/>
    <tableColumn id="15792" uniqueName="15792" name="Column15783" queryTableFieldId="602" dataDxfId="819"/>
    <tableColumn id="15793" uniqueName="15793" name="Column15784" queryTableFieldId="601" dataDxfId="818"/>
    <tableColumn id="15794" uniqueName="15794" name="Column15785" queryTableFieldId="600" dataDxfId="817"/>
    <tableColumn id="15795" uniqueName="15795" name="Column15786" queryTableFieldId="599" dataDxfId="816"/>
    <tableColumn id="15796" uniqueName="15796" name="Column15787" queryTableFieldId="598" dataDxfId="815"/>
    <tableColumn id="15797" uniqueName="15797" name="Column15788" queryTableFieldId="597" dataDxfId="814"/>
    <tableColumn id="15798" uniqueName="15798" name="Column15789" queryTableFieldId="596" dataDxfId="813"/>
    <tableColumn id="15799" uniqueName="15799" name="Column15790" queryTableFieldId="595" dataDxfId="812"/>
    <tableColumn id="15800" uniqueName="15800" name="Column15791" queryTableFieldId="594" dataDxfId="811"/>
    <tableColumn id="15801" uniqueName="15801" name="Column15792" queryTableFieldId="593" dataDxfId="810"/>
    <tableColumn id="15802" uniqueName="15802" name="Column15793" queryTableFieldId="592" dataDxfId="809"/>
    <tableColumn id="15803" uniqueName="15803" name="Column15794" queryTableFieldId="591" dataDxfId="808"/>
    <tableColumn id="15804" uniqueName="15804" name="Column15795" queryTableFieldId="590" dataDxfId="807"/>
    <tableColumn id="15805" uniqueName="15805" name="Column15796" queryTableFieldId="589" dataDxfId="806"/>
    <tableColumn id="15806" uniqueName="15806" name="Column15797" queryTableFieldId="588" dataDxfId="805"/>
    <tableColumn id="15807" uniqueName="15807" name="Column15798" queryTableFieldId="587" dataDxfId="804"/>
    <tableColumn id="15808" uniqueName="15808" name="Column15799" queryTableFieldId="586" dataDxfId="803"/>
    <tableColumn id="15809" uniqueName="15809" name="Column15800" queryTableFieldId="585" dataDxfId="802"/>
    <tableColumn id="15810" uniqueName="15810" name="Column15801" queryTableFieldId="584" dataDxfId="801"/>
    <tableColumn id="15811" uniqueName="15811" name="Column15802" queryTableFieldId="583" dataDxfId="800"/>
    <tableColumn id="15812" uniqueName="15812" name="Column15803" queryTableFieldId="582" dataDxfId="799"/>
    <tableColumn id="15813" uniqueName="15813" name="Column15804" queryTableFieldId="581" dataDxfId="798"/>
    <tableColumn id="15814" uniqueName="15814" name="Column15805" queryTableFieldId="580" dataDxfId="797"/>
    <tableColumn id="15815" uniqueName="15815" name="Column15806" queryTableFieldId="579" dataDxfId="796"/>
    <tableColumn id="15816" uniqueName="15816" name="Column15807" queryTableFieldId="578" dataDxfId="795"/>
    <tableColumn id="15817" uniqueName="15817" name="Column15808" queryTableFieldId="577" dataDxfId="794"/>
    <tableColumn id="15818" uniqueName="15818" name="Column15809" queryTableFieldId="576" dataDxfId="793"/>
    <tableColumn id="15819" uniqueName="15819" name="Column15810" queryTableFieldId="575" dataDxfId="792"/>
    <tableColumn id="15820" uniqueName="15820" name="Column15811" queryTableFieldId="574" dataDxfId="791"/>
    <tableColumn id="15821" uniqueName="15821" name="Column15812" queryTableFieldId="573" dataDxfId="790"/>
    <tableColumn id="15822" uniqueName="15822" name="Column15813" queryTableFieldId="572" dataDxfId="789"/>
    <tableColumn id="15823" uniqueName="15823" name="Column15814" queryTableFieldId="571" dataDxfId="788"/>
    <tableColumn id="15824" uniqueName="15824" name="Column15815" queryTableFieldId="570" dataDxfId="787"/>
    <tableColumn id="15825" uniqueName="15825" name="Column15816" queryTableFieldId="569" dataDxfId="786"/>
    <tableColumn id="15826" uniqueName="15826" name="Column15817" queryTableFieldId="568" dataDxfId="785"/>
    <tableColumn id="15827" uniqueName="15827" name="Column15818" queryTableFieldId="567" dataDxfId="784"/>
    <tableColumn id="15828" uniqueName="15828" name="Column15819" queryTableFieldId="566" dataDxfId="783"/>
    <tableColumn id="15829" uniqueName="15829" name="Column15820" queryTableFieldId="565" dataDxfId="782"/>
    <tableColumn id="15830" uniqueName="15830" name="Column15821" queryTableFieldId="564" dataDxfId="781"/>
    <tableColumn id="15831" uniqueName="15831" name="Column15822" queryTableFieldId="563" dataDxfId="780"/>
    <tableColumn id="15832" uniqueName="15832" name="Column15823" queryTableFieldId="562" dataDxfId="779"/>
    <tableColumn id="15833" uniqueName="15833" name="Column15824" queryTableFieldId="561" dataDxfId="778"/>
    <tableColumn id="15834" uniqueName="15834" name="Column15825" queryTableFieldId="560" dataDxfId="777"/>
    <tableColumn id="15835" uniqueName="15835" name="Column15826" queryTableFieldId="559" dataDxfId="776"/>
    <tableColumn id="15836" uniqueName="15836" name="Column15827" queryTableFieldId="558" dataDxfId="775"/>
    <tableColumn id="15837" uniqueName="15837" name="Column15828" queryTableFieldId="557" dataDxfId="774"/>
    <tableColumn id="15838" uniqueName="15838" name="Column15829" queryTableFieldId="556" dataDxfId="773"/>
    <tableColumn id="15839" uniqueName="15839" name="Column15830" queryTableFieldId="555" dataDxfId="772"/>
    <tableColumn id="15840" uniqueName="15840" name="Column15831" queryTableFieldId="554" dataDxfId="771"/>
    <tableColumn id="15841" uniqueName="15841" name="Column15832" queryTableFieldId="553" dataDxfId="770"/>
    <tableColumn id="15842" uniqueName="15842" name="Column15833" queryTableFieldId="552" dataDxfId="769"/>
    <tableColumn id="15843" uniqueName="15843" name="Column15834" queryTableFieldId="551" dataDxfId="768"/>
    <tableColumn id="15844" uniqueName="15844" name="Column15835" queryTableFieldId="550" dataDxfId="767"/>
    <tableColumn id="15845" uniqueName="15845" name="Column15836" queryTableFieldId="549" dataDxfId="766"/>
    <tableColumn id="15846" uniqueName="15846" name="Column15837" queryTableFieldId="548" dataDxfId="765"/>
    <tableColumn id="15847" uniqueName="15847" name="Column15838" queryTableFieldId="547" dataDxfId="764"/>
    <tableColumn id="15848" uniqueName="15848" name="Column15839" queryTableFieldId="546" dataDxfId="763"/>
    <tableColumn id="15849" uniqueName="15849" name="Column15840" queryTableFieldId="545" dataDxfId="762"/>
    <tableColumn id="15850" uniqueName="15850" name="Column15841" queryTableFieldId="544" dataDxfId="761"/>
    <tableColumn id="15851" uniqueName="15851" name="Column15842" queryTableFieldId="543" dataDxfId="760"/>
    <tableColumn id="15852" uniqueName="15852" name="Column15843" queryTableFieldId="542" dataDxfId="759"/>
    <tableColumn id="15853" uniqueName="15853" name="Column15844" queryTableFieldId="541" dataDxfId="758"/>
    <tableColumn id="15854" uniqueName="15854" name="Column15845" queryTableFieldId="540" dataDxfId="757"/>
    <tableColumn id="15855" uniqueName="15855" name="Column15846" queryTableFieldId="539" dataDxfId="756"/>
    <tableColumn id="15856" uniqueName="15856" name="Column15847" queryTableFieldId="538" dataDxfId="755"/>
    <tableColumn id="15857" uniqueName="15857" name="Column15848" queryTableFieldId="537" dataDxfId="754"/>
    <tableColumn id="15858" uniqueName="15858" name="Column15849" queryTableFieldId="536" dataDxfId="753"/>
    <tableColumn id="15859" uniqueName="15859" name="Column15850" queryTableFieldId="535" dataDxfId="752"/>
    <tableColumn id="15860" uniqueName="15860" name="Column15851" queryTableFieldId="534" dataDxfId="751"/>
    <tableColumn id="15861" uniqueName="15861" name="Column15852" queryTableFieldId="533" dataDxfId="750"/>
    <tableColumn id="15862" uniqueName="15862" name="Column15853" queryTableFieldId="532" dataDxfId="749"/>
    <tableColumn id="15863" uniqueName="15863" name="Column15854" queryTableFieldId="531" dataDxfId="748"/>
    <tableColumn id="15864" uniqueName="15864" name="Column15855" queryTableFieldId="530" dataDxfId="747"/>
    <tableColumn id="15865" uniqueName="15865" name="Column15856" queryTableFieldId="529" dataDxfId="746"/>
    <tableColumn id="15866" uniqueName="15866" name="Column15857" queryTableFieldId="528" dataDxfId="745"/>
    <tableColumn id="15867" uniqueName="15867" name="Column15858" queryTableFieldId="527" dataDxfId="744"/>
    <tableColumn id="15868" uniqueName="15868" name="Column15859" queryTableFieldId="526" dataDxfId="743"/>
    <tableColumn id="15869" uniqueName="15869" name="Column15860" queryTableFieldId="525" dataDxfId="742"/>
    <tableColumn id="15870" uniqueName="15870" name="Column15861" queryTableFieldId="524" dataDxfId="741"/>
    <tableColumn id="15871" uniqueName="15871" name="Column15862" queryTableFieldId="523" dataDxfId="740"/>
    <tableColumn id="15872" uniqueName="15872" name="Column15863" queryTableFieldId="522" dataDxfId="739"/>
    <tableColumn id="15873" uniqueName="15873" name="Column15864" queryTableFieldId="521" dataDxfId="738"/>
    <tableColumn id="15874" uniqueName="15874" name="Column15865" queryTableFieldId="520" dataDxfId="737"/>
    <tableColumn id="15875" uniqueName="15875" name="Column15866" queryTableFieldId="519" dataDxfId="736"/>
    <tableColumn id="15876" uniqueName="15876" name="Column15867" queryTableFieldId="518" dataDxfId="735"/>
    <tableColumn id="15877" uniqueName="15877" name="Column15868" queryTableFieldId="517" dataDxfId="734"/>
    <tableColumn id="15878" uniqueName="15878" name="Column15869" queryTableFieldId="516" dataDxfId="733"/>
    <tableColumn id="15879" uniqueName="15879" name="Column15870" queryTableFieldId="515" dataDxfId="732"/>
    <tableColumn id="15880" uniqueName="15880" name="Column15871" queryTableFieldId="514" dataDxfId="731"/>
    <tableColumn id="15881" uniqueName="15881" name="Column15872" queryTableFieldId="513" dataDxfId="730"/>
    <tableColumn id="15882" uniqueName="15882" name="Column15873" queryTableFieldId="512" dataDxfId="729"/>
    <tableColumn id="15883" uniqueName="15883" name="Column15874" queryTableFieldId="511" dataDxfId="728"/>
    <tableColumn id="15884" uniqueName="15884" name="Column15875" queryTableFieldId="510" dataDxfId="727"/>
    <tableColumn id="15885" uniqueName="15885" name="Column15876" queryTableFieldId="509" dataDxfId="726"/>
    <tableColumn id="15886" uniqueName="15886" name="Column15877" queryTableFieldId="508" dataDxfId="725"/>
    <tableColumn id="15887" uniqueName="15887" name="Column15878" queryTableFieldId="507" dataDxfId="724"/>
    <tableColumn id="15888" uniqueName="15888" name="Column15879" queryTableFieldId="506" dataDxfId="723"/>
    <tableColumn id="15889" uniqueName="15889" name="Column15880" queryTableFieldId="505" dataDxfId="722"/>
    <tableColumn id="15890" uniqueName="15890" name="Column15881" queryTableFieldId="504" dataDxfId="721"/>
    <tableColumn id="15891" uniqueName="15891" name="Column15882" queryTableFieldId="503" dataDxfId="720"/>
    <tableColumn id="15892" uniqueName="15892" name="Column15883" queryTableFieldId="502" dataDxfId="719"/>
    <tableColumn id="15893" uniqueName="15893" name="Column15884" queryTableFieldId="501" dataDxfId="718"/>
    <tableColumn id="15894" uniqueName="15894" name="Column15885" queryTableFieldId="500" dataDxfId="717"/>
    <tableColumn id="15895" uniqueName="15895" name="Column15886" queryTableFieldId="499" dataDxfId="716"/>
    <tableColumn id="15896" uniqueName="15896" name="Column15887" queryTableFieldId="498" dataDxfId="715"/>
    <tableColumn id="15897" uniqueName="15897" name="Column15888" queryTableFieldId="497" dataDxfId="714"/>
    <tableColumn id="15898" uniqueName="15898" name="Column15889" queryTableFieldId="496" dataDxfId="713"/>
    <tableColumn id="15899" uniqueName="15899" name="Column15890" queryTableFieldId="495" dataDxfId="712"/>
    <tableColumn id="15900" uniqueName="15900" name="Column15891" queryTableFieldId="494" dataDxfId="711"/>
    <tableColumn id="15901" uniqueName="15901" name="Column15892" queryTableFieldId="493" dataDxfId="710"/>
    <tableColumn id="15902" uniqueName="15902" name="Column15893" queryTableFieldId="492" dataDxfId="709"/>
    <tableColumn id="15903" uniqueName="15903" name="Column15894" queryTableFieldId="491" dataDxfId="708"/>
    <tableColumn id="15904" uniqueName="15904" name="Column15895" queryTableFieldId="490" dataDxfId="707"/>
    <tableColumn id="15905" uniqueName="15905" name="Column15896" queryTableFieldId="489" dataDxfId="706"/>
    <tableColumn id="15906" uniqueName="15906" name="Column15897" queryTableFieldId="488" dataDxfId="705"/>
    <tableColumn id="15907" uniqueName="15907" name="Column15898" queryTableFieldId="487" dataDxfId="704"/>
    <tableColumn id="15908" uniqueName="15908" name="Column15899" queryTableFieldId="486" dataDxfId="703"/>
    <tableColumn id="15909" uniqueName="15909" name="Column15900" queryTableFieldId="485" dataDxfId="702"/>
    <tableColumn id="15910" uniqueName="15910" name="Column15901" queryTableFieldId="484" dataDxfId="701"/>
    <tableColumn id="15911" uniqueName="15911" name="Column15902" queryTableFieldId="483" dataDxfId="700"/>
    <tableColumn id="15912" uniqueName="15912" name="Column15903" queryTableFieldId="482" dataDxfId="699"/>
    <tableColumn id="15913" uniqueName="15913" name="Column15904" queryTableFieldId="481" dataDxfId="698"/>
    <tableColumn id="15914" uniqueName="15914" name="Column15905" queryTableFieldId="480" dataDxfId="697"/>
    <tableColumn id="15915" uniqueName="15915" name="Column15906" queryTableFieldId="479" dataDxfId="696"/>
    <tableColumn id="15916" uniqueName="15916" name="Column15907" queryTableFieldId="478" dataDxfId="695"/>
    <tableColumn id="15917" uniqueName="15917" name="Column15908" queryTableFieldId="477" dataDxfId="694"/>
    <tableColumn id="15918" uniqueName="15918" name="Column15909" queryTableFieldId="476" dataDxfId="693"/>
    <tableColumn id="15919" uniqueName="15919" name="Column15910" queryTableFieldId="475" dataDxfId="692"/>
    <tableColumn id="15920" uniqueName="15920" name="Column15911" queryTableFieldId="474" dataDxfId="691"/>
    <tableColumn id="15921" uniqueName="15921" name="Column15912" queryTableFieldId="473" dataDxfId="690"/>
    <tableColumn id="15922" uniqueName="15922" name="Column15913" queryTableFieldId="472" dataDxfId="689"/>
    <tableColumn id="15923" uniqueName="15923" name="Column15914" queryTableFieldId="471" dataDxfId="688"/>
    <tableColumn id="15924" uniqueName="15924" name="Column15915" queryTableFieldId="470" dataDxfId="687"/>
    <tableColumn id="15925" uniqueName="15925" name="Column15916" queryTableFieldId="469" dataDxfId="686"/>
    <tableColumn id="15926" uniqueName="15926" name="Column15917" queryTableFieldId="468" dataDxfId="685"/>
    <tableColumn id="15927" uniqueName="15927" name="Column15918" queryTableFieldId="467" dataDxfId="684"/>
    <tableColumn id="15928" uniqueName="15928" name="Column15919" queryTableFieldId="466" dataDxfId="683"/>
    <tableColumn id="15929" uniqueName="15929" name="Column15920" queryTableFieldId="465" dataDxfId="682"/>
    <tableColumn id="15930" uniqueName="15930" name="Column15921" queryTableFieldId="464" dataDxfId="681"/>
    <tableColumn id="15931" uniqueName="15931" name="Column15922" queryTableFieldId="463" dataDxfId="680"/>
    <tableColumn id="15932" uniqueName="15932" name="Column15923" queryTableFieldId="462" dataDxfId="679"/>
    <tableColumn id="15933" uniqueName="15933" name="Column15924" queryTableFieldId="461" dataDxfId="678"/>
    <tableColumn id="15934" uniqueName="15934" name="Column15925" queryTableFieldId="460" dataDxfId="677"/>
    <tableColumn id="15935" uniqueName="15935" name="Column15926" queryTableFieldId="459" dataDxfId="676"/>
    <tableColumn id="15936" uniqueName="15936" name="Column15927" queryTableFieldId="458" dataDxfId="675"/>
    <tableColumn id="15937" uniqueName="15937" name="Column15928" queryTableFieldId="457" dataDxfId="674"/>
    <tableColumn id="15938" uniqueName="15938" name="Column15929" queryTableFieldId="456" dataDxfId="673"/>
    <tableColumn id="15939" uniqueName="15939" name="Column15930" queryTableFieldId="455" dataDxfId="672"/>
    <tableColumn id="15940" uniqueName="15940" name="Column15931" queryTableFieldId="454" dataDxfId="671"/>
    <tableColumn id="15941" uniqueName="15941" name="Column15932" queryTableFieldId="453" dataDxfId="670"/>
    <tableColumn id="15942" uniqueName="15942" name="Column15933" queryTableFieldId="452" dataDxfId="669"/>
    <tableColumn id="15943" uniqueName="15943" name="Column15934" queryTableFieldId="451" dataDxfId="668"/>
    <tableColumn id="15944" uniqueName="15944" name="Column15935" queryTableFieldId="450" dataDxfId="667"/>
    <tableColumn id="15945" uniqueName="15945" name="Column15936" queryTableFieldId="449" dataDxfId="666"/>
    <tableColumn id="15946" uniqueName="15946" name="Column15937" queryTableFieldId="448" dataDxfId="665"/>
    <tableColumn id="15947" uniqueName="15947" name="Column15938" queryTableFieldId="447" dataDxfId="664"/>
    <tableColumn id="15948" uniqueName="15948" name="Column15939" queryTableFieldId="446" dataDxfId="663"/>
    <tableColumn id="15949" uniqueName="15949" name="Column15940" queryTableFieldId="445" dataDxfId="662"/>
    <tableColumn id="15950" uniqueName="15950" name="Column15941" queryTableFieldId="444" dataDxfId="661"/>
    <tableColumn id="15951" uniqueName="15951" name="Column15942" queryTableFieldId="443" dataDxfId="660"/>
    <tableColumn id="15952" uniqueName="15952" name="Column15943" queryTableFieldId="442" dataDxfId="659"/>
    <tableColumn id="15953" uniqueName="15953" name="Column15944" queryTableFieldId="441" dataDxfId="658"/>
    <tableColumn id="15954" uniqueName="15954" name="Column15945" queryTableFieldId="440" dataDxfId="657"/>
    <tableColumn id="15955" uniqueName="15955" name="Column15946" queryTableFieldId="439" dataDxfId="656"/>
    <tableColumn id="15956" uniqueName="15956" name="Column15947" queryTableFieldId="438" dataDxfId="655"/>
    <tableColumn id="15957" uniqueName="15957" name="Column15948" queryTableFieldId="437" dataDxfId="654"/>
    <tableColumn id="15958" uniqueName="15958" name="Column15949" queryTableFieldId="436" dataDxfId="653"/>
    <tableColumn id="15959" uniqueName="15959" name="Column15950" queryTableFieldId="435" dataDxfId="652"/>
    <tableColumn id="15960" uniqueName="15960" name="Column15951" queryTableFieldId="434" dataDxfId="651"/>
    <tableColumn id="15961" uniqueName="15961" name="Column15952" queryTableFieldId="433" dataDxfId="650"/>
    <tableColumn id="15962" uniqueName="15962" name="Column15953" queryTableFieldId="432" dataDxfId="649"/>
    <tableColumn id="15963" uniqueName="15963" name="Column15954" queryTableFieldId="431" dataDxfId="648"/>
    <tableColumn id="15964" uniqueName="15964" name="Column15955" queryTableFieldId="430" dataDxfId="647"/>
    <tableColumn id="15965" uniqueName="15965" name="Column15956" queryTableFieldId="429" dataDxfId="646"/>
    <tableColumn id="15966" uniqueName="15966" name="Column15957" queryTableFieldId="428" dataDxfId="645"/>
    <tableColumn id="15967" uniqueName="15967" name="Column15958" queryTableFieldId="427" dataDxfId="644"/>
    <tableColumn id="15968" uniqueName="15968" name="Column15959" queryTableFieldId="426" dataDxfId="643"/>
    <tableColumn id="15969" uniqueName="15969" name="Column15960" queryTableFieldId="425" dataDxfId="642"/>
    <tableColumn id="15970" uniqueName="15970" name="Column15961" queryTableFieldId="424" dataDxfId="641"/>
    <tableColumn id="15971" uniqueName="15971" name="Column15962" queryTableFieldId="423" dataDxfId="640"/>
    <tableColumn id="15972" uniqueName="15972" name="Column15963" queryTableFieldId="422" dataDxfId="639"/>
    <tableColumn id="15973" uniqueName="15973" name="Column15964" queryTableFieldId="421" dataDxfId="638"/>
    <tableColumn id="15974" uniqueName="15974" name="Column15965" queryTableFieldId="420" dataDxfId="637"/>
    <tableColumn id="15975" uniqueName="15975" name="Column15966" queryTableFieldId="419" dataDxfId="636"/>
    <tableColumn id="15976" uniqueName="15976" name="Column15967" queryTableFieldId="418" dataDxfId="635"/>
    <tableColumn id="15977" uniqueName="15977" name="Column15968" queryTableFieldId="417" dataDxfId="634"/>
    <tableColumn id="15978" uniqueName="15978" name="Column15969" queryTableFieldId="416" dataDxfId="633"/>
    <tableColumn id="15979" uniqueName="15979" name="Column15970" queryTableFieldId="415" dataDxfId="632"/>
    <tableColumn id="15980" uniqueName="15980" name="Column15971" queryTableFieldId="414" dataDxfId="631"/>
    <tableColumn id="15981" uniqueName="15981" name="Column15972" queryTableFieldId="413" dataDxfId="630"/>
    <tableColumn id="15982" uniqueName="15982" name="Column15973" queryTableFieldId="412" dataDxfId="629"/>
    <tableColumn id="15983" uniqueName="15983" name="Column15974" queryTableFieldId="411" dataDxfId="628"/>
    <tableColumn id="15984" uniqueName="15984" name="Column15975" queryTableFieldId="410" dataDxfId="627"/>
    <tableColumn id="15985" uniqueName="15985" name="Column15976" queryTableFieldId="409" dataDxfId="626"/>
    <tableColumn id="15986" uniqueName="15986" name="Column15977" queryTableFieldId="408" dataDxfId="625"/>
    <tableColumn id="15987" uniqueName="15987" name="Column15978" queryTableFieldId="407" dataDxfId="624"/>
    <tableColumn id="15988" uniqueName="15988" name="Column15979" queryTableFieldId="406" dataDxfId="623"/>
    <tableColumn id="15989" uniqueName="15989" name="Column15980" queryTableFieldId="405" dataDxfId="622"/>
    <tableColumn id="15990" uniqueName="15990" name="Column15981" queryTableFieldId="404" dataDxfId="621"/>
    <tableColumn id="15991" uniqueName="15991" name="Column15982" queryTableFieldId="403" dataDxfId="620"/>
    <tableColumn id="15992" uniqueName="15992" name="Column15983" queryTableFieldId="402" dataDxfId="619"/>
    <tableColumn id="15993" uniqueName="15993" name="Column15984" queryTableFieldId="401" dataDxfId="618"/>
    <tableColumn id="15994" uniqueName="15994" name="Column15985" queryTableFieldId="400" dataDxfId="617"/>
    <tableColumn id="15995" uniqueName="15995" name="Column15986" queryTableFieldId="399" dataDxfId="616"/>
    <tableColumn id="15996" uniqueName="15996" name="Column15987" queryTableFieldId="398" dataDxfId="615"/>
    <tableColumn id="15997" uniqueName="15997" name="Column15988" queryTableFieldId="397" dataDxfId="614"/>
    <tableColumn id="15998" uniqueName="15998" name="Column15989" queryTableFieldId="396" dataDxfId="613"/>
    <tableColumn id="15999" uniqueName="15999" name="Column15990" queryTableFieldId="395" dataDxfId="612"/>
    <tableColumn id="16000" uniqueName="16000" name="Column15991" queryTableFieldId="394" dataDxfId="611"/>
    <tableColumn id="16001" uniqueName="16001" name="Column15992" queryTableFieldId="393" dataDxfId="610"/>
    <tableColumn id="16002" uniqueName="16002" name="Column15993" queryTableFieldId="392" dataDxfId="609"/>
    <tableColumn id="16003" uniqueName="16003" name="Column15994" queryTableFieldId="391" dataDxfId="608"/>
    <tableColumn id="16004" uniqueName="16004" name="Column15995" queryTableFieldId="390" dataDxfId="607"/>
    <tableColumn id="16005" uniqueName="16005" name="Column15996" queryTableFieldId="389" dataDxfId="606"/>
    <tableColumn id="16006" uniqueName="16006" name="Column15997" queryTableFieldId="388" dataDxfId="605"/>
    <tableColumn id="16007" uniqueName="16007" name="Column15998" queryTableFieldId="387" dataDxfId="604"/>
    <tableColumn id="16008" uniqueName="16008" name="Column15999" queryTableFieldId="386" dataDxfId="603"/>
    <tableColumn id="16009" uniqueName="16009" name="Column16000" queryTableFieldId="385" dataDxfId="602"/>
    <tableColumn id="16010" uniqueName="16010" name="Column16001" queryTableFieldId="384" dataDxfId="601"/>
    <tableColumn id="16011" uniqueName="16011" name="Column16002" queryTableFieldId="383" dataDxfId="600"/>
    <tableColumn id="16012" uniqueName="16012" name="Column16003" queryTableFieldId="382" dataDxfId="599"/>
    <tableColumn id="16013" uniqueName="16013" name="Column16004" queryTableFieldId="381" dataDxfId="598"/>
    <tableColumn id="16014" uniqueName="16014" name="Column16005" queryTableFieldId="380" dataDxfId="597"/>
    <tableColumn id="16015" uniqueName="16015" name="Column16006" queryTableFieldId="379" dataDxfId="596"/>
    <tableColumn id="16016" uniqueName="16016" name="Column16007" queryTableFieldId="378" dataDxfId="595"/>
    <tableColumn id="16017" uniqueName="16017" name="Column16008" queryTableFieldId="377" dataDxfId="594"/>
    <tableColumn id="16018" uniqueName="16018" name="Column16009" queryTableFieldId="376" dataDxfId="593"/>
    <tableColumn id="16019" uniqueName="16019" name="Column16010" queryTableFieldId="375" dataDxfId="592"/>
    <tableColumn id="16020" uniqueName="16020" name="Column16011" queryTableFieldId="374" dataDxfId="591"/>
    <tableColumn id="16021" uniqueName="16021" name="Column16012" queryTableFieldId="373" dataDxfId="590"/>
    <tableColumn id="16022" uniqueName="16022" name="Column16013" queryTableFieldId="372" dataDxfId="589"/>
    <tableColumn id="16023" uniqueName="16023" name="Column16014" queryTableFieldId="371" dataDxfId="588"/>
    <tableColumn id="16024" uniqueName="16024" name="Column16015" queryTableFieldId="370" dataDxfId="587"/>
    <tableColumn id="16025" uniqueName="16025" name="Column16016" queryTableFieldId="369" dataDxfId="586"/>
    <tableColumn id="16026" uniqueName="16026" name="Column16017" queryTableFieldId="368" dataDxfId="585"/>
    <tableColumn id="16027" uniqueName="16027" name="Column16018" queryTableFieldId="367" dataDxfId="584"/>
    <tableColumn id="16028" uniqueName="16028" name="Column16019" queryTableFieldId="366" dataDxfId="583"/>
    <tableColumn id="16029" uniqueName="16029" name="Column16020" queryTableFieldId="365" dataDxfId="582"/>
    <tableColumn id="16030" uniqueName="16030" name="Column16021" queryTableFieldId="364" dataDxfId="581"/>
    <tableColumn id="16031" uniqueName="16031" name="Column16022" queryTableFieldId="363" dataDxfId="580"/>
    <tableColumn id="16032" uniqueName="16032" name="Column16023" queryTableFieldId="362" dataDxfId="579"/>
    <tableColumn id="16033" uniqueName="16033" name="Column16024" queryTableFieldId="361" dataDxfId="578"/>
    <tableColumn id="16034" uniqueName="16034" name="Column16025" queryTableFieldId="360" dataDxfId="577"/>
    <tableColumn id="16035" uniqueName="16035" name="Column16026" queryTableFieldId="359" dataDxfId="576"/>
    <tableColumn id="16036" uniqueName="16036" name="Column16027" queryTableFieldId="358" dataDxfId="575"/>
    <tableColumn id="16037" uniqueName="16037" name="Column16028" queryTableFieldId="357" dataDxfId="574"/>
    <tableColumn id="16038" uniqueName="16038" name="Column16029" queryTableFieldId="356" dataDxfId="573"/>
    <tableColumn id="16039" uniqueName="16039" name="Column16030" queryTableFieldId="355" dataDxfId="572"/>
    <tableColumn id="16040" uniqueName="16040" name="Column16031" queryTableFieldId="354" dataDxfId="571"/>
    <tableColumn id="16041" uniqueName="16041" name="Column16032" queryTableFieldId="353" dataDxfId="570"/>
    <tableColumn id="16042" uniqueName="16042" name="Column16033" queryTableFieldId="352" dataDxfId="569"/>
    <tableColumn id="16043" uniqueName="16043" name="Column16034" queryTableFieldId="351" dataDxfId="568"/>
    <tableColumn id="16044" uniqueName="16044" name="Column16035" queryTableFieldId="350" dataDxfId="567"/>
    <tableColumn id="16045" uniqueName="16045" name="Column16036" queryTableFieldId="349" dataDxfId="566"/>
    <tableColumn id="16046" uniqueName="16046" name="Column16037" queryTableFieldId="348" dataDxfId="565"/>
    <tableColumn id="16047" uniqueName="16047" name="Column16038" queryTableFieldId="347" dataDxfId="564"/>
    <tableColumn id="16048" uniqueName="16048" name="Column16039" queryTableFieldId="346" dataDxfId="563"/>
    <tableColumn id="16049" uniqueName="16049" name="Column16040" queryTableFieldId="345" dataDxfId="562"/>
    <tableColumn id="16050" uniqueName="16050" name="Column16041" queryTableFieldId="344" dataDxfId="561"/>
    <tableColumn id="16051" uniqueName="16051" name="Column16042" queryTableFieldId="343" dataDxfId="560"/>
    <tableColumn id="16052" uniqueName="16052" name="Column16043" queryTableFieldId="342" dataDxfId="559"/>
    <tableColumn id="16053" uniqueName="16053" name="Column16044" queryTableFieldId="341" dataDxfId="558"/>
    <tableColumn id="16054" uniqueName="16054" name="Column16045" queryTableFieldId="340" dataDxfId="557"/>
    <tableColumn id="16055" uniqueName="16055" name="Column16046" queryTableFieldId="339" dataDxfId="556"/>
    <tableColumn id="16056" uniqueName="16056" name="Column16047" queryTableFieldId="338" dataDxfId="555"/>
    <tableColumn id="16057" uniqueName="16057" name="Column16048" queryTableFieldId="337" dataDxfId="554"/>
    <tableColumn id="16058" uniqueName="16058" name="Column16049" queryTableFieldId="336" dataDxfId="553"/>
    <tableColumn id="16059" uniqueName="16059" name="Column16050" queryTableFieldId="335" dataDxfId="552"/>
    <tableColumn id="16060" uniqueName="16060" name="Column16051" queryTableFieldId="334" dataDxfId="551"/>
    <tableColumn id="16061" uniqueName="16061" name="Column16052" queryTableFieldId="333" dataDxfId="550"/>
    <tableColumn id="16062" uniqueName="16062" name="Column16053" queryTableFieldId="332" dataDxfId="549"/>
    <tableColumn id="16063" uniqueName="16063" name="Column16054" queryTableFieldId="331" dataDxfId="548"/>
    <tableColumn id="16064" uniqueName="16064" name="Column16055" queryTableFieldId="330" dataDxfId="547"/>
    <tableColumn id="16065" uniqueName="16065" name="Column16056" queryTableFieldId="329" dataDxfId="546"/>
    <tableColumn id="16066" uniqueName="16066" name="Column16057" queryTableFieldId="328" dataDxfId="545"/>
    <tableColumn id="16067" uniqueName="16067" name="Column16058" queryTableFieldId="327" dataDxfId="544"/>
    <tableColumn id="16068" uniqueName="16068" name="Column16059" queryTableFieldId="326" dataDxfId="543"/>
    <tableColumn id="16069" uniqueName="16069" name="Column16060" queryTableFieldId="325" dataDxfId="542"/>
    <tableColumn id="16070" uniqueName="16070" name="Column16061" queryTableFieldId="324" dataDxfId="541"/>
    <tableColumn id="16071" uniqueName="16071" name="Column16062" queryTableFieldId="323" dataDxfId="540"/>
    <tableColumn id="16072" uniqueName="16072" name="Column16063" queryTableFieldId="322" dataDxfId="539"/>
    <tableColumn id="16073" uniqueName="16073" name="Column16064" queryTableFieldId="321" dataDxfId="538"/>
    <tableColumn id="16074" uniqueName="16074" name="Column16065" queryTableFieldId="320" dataDxfId="537"/>
    <tableColumn id="16075" uniqueName="16075" name="Column16066" queryTableFieldId="319" dataDxfId="536"/>
    <tableColumn id="16076" uniqueName="16076" name="Column16067" queryTableFieldId="318" dataDxfId="535"/>
    <tableColumn id="16077" uniqueName="16077" name="Column16068" queryTableFieldId="317" dataDxfId="534"/>
    <tableColumn id="16078" uniqueName="16078" name="Column16069" queryTableFieldId="316" dataDxfId="533"/>
    <tableColumn id="16079" uniqueName="16079" name="Column16070" queryTableFieldId="315" dataDxfId="532"/>
    <tableColumn id="16080" uniqueName="16080" name="Column16071" queryTableFieldId="314" dataDxfId="531"/>
    <tableColumn id="16081" uniqueName="16081" name="Column16072" queryTableFieldId="313" dataDxfId="530"/>
    <tableColumn id="16082" uniqueName="16082" name="Column16073" queryTableFieldId="312" dataDxfId="529"/>
    <tableColumn id="16083" uniqueName="16083" name="Column16074" queryTableFieldId="311" dataDxfId="528"/>
    <tableColumn id="16084" uniqueName="16084" name="Column16075" queryTableFieldId="310" dataDxfId="527"/>
    <tableColumn id="16085" uniqueName="16085" name="Column16076" queryTableFieldId="309" dataDxfId="526"/>
    <tableColumn id="16086" uniqueName="16086" name="Column16077" queryTableFieldId="308" dataDxfId="525"/>
    <tableColumn id="16087" uniqueName="16087" name="Column16078" queryTableFieldId="307" dataDxfId="524"/>
    <tableColumn id="16088" uniqueName="16088" name="Column16079" queryTableFieldId="306" dataDxfId="523"/>
    <tableColumn id="16089" uniqueName="16089" name="Column16080" queryTableFieldId="305" dataDxfId="522"/>
    <tableColumn id="16090" uniqueName="16090" name="Column16081" queryTableFieldId="304" dataDxfId="521"/>
    <tableColumn id="16091" uniqueName="16091" name="Column16082" queryTableFieldId="303" dataDxfId="520"/>
    <tableColumn id="16092" uniqueName="16092" name="Column16083" queryTableFieldId="302" dataDxfId="519"/>
    <tableColumn id="16093" uniqueName="16093" name="Column16084" queryTableFieldId="301" dataDxfId="518"/>
    <tableColumn id="16094" uniqueName="16094" name="Column16085" queryTableFieldId="300" dataDxfId="517"/>
    <tableColumn id="16095" uniqueName="16095" name="Column16086" queryTableFieldId="299" dataDxfId="516"/>
    <tableColumn id="16096" uniqueName="16096" name="Column16087" queryTableFieldId="298" dataDxfId="515"/>
    <tableColumn id="16097" uniqueName="16097" name="Column16088" queryTableFieldId="297" dataDxfId="514"/>
    <tableColumn id="16098" uniqueName="16098" name="Column16089" queryTableFieldId="296" dataDxfId="513"/>
    <tableColumn id="16099" uniqueName="16099" name="Column16090" queryTableFieldId="295" dataDxfId="512"/>
    <tableColumn id="16100" uniqueName="16100" name="Column16091" queryTableFieldId="294" dataDxfId="511"/>
    <tableColumn id="16101" uniqueName="16101" name="Column16092" queryTableFieldId="293" dataDxfId="510"/>
    <tableColumn id="16102" uniqueName="16102" name="Column16093" queryTableFieldId="292" dataDxfId="509"/>
    <tableColumn id="16103" uniqueName="16103" name="Column16094" queryTableFieldId="291" dataDxfId="508"/>
    <tableColumn id="16104" uniqueName="16104" name="Column16095" queryTableFieldId="290" dataDxfId="507"/>
    <tableColumn id="16105" uniqueName="16105" name="Column16096" queryTableFieldId="289" dataDxfId="506"/>
    <tableColumn id="16106" uniqueName="16106" name="Column16097" queryTableFieldId="288" dataDxfId="505"/>
    <tableColumn id="16107" uniqueName="16107" name="Column16098" queryTableFieldId="287" dataDxfId="504"/>
    <tableColumn id="16108" uniqueName="16108" name="Column16099" queryTableFieldId="286" dataDxfId="503"/>
    <tableColumn id="16109" uniqueName="16109" name="Column16100" queryTableFieldId="285" dataDxfId="502"/>
    <tableColumn id="16110" uniqueName="16110" name="Column16101" queryTableFieldId="284" dataDxfId="501"/>
    <tableColumn id="16111" uniqueName="16111" name="Column16102" queryTableFieldId="283" dataDxfId="500"/>
    <tableColumn id="16112" uniqueName="16112" name="Column16103" queryTableFieldId="282" dataDxfId="499"/>
    <tableColumn id="16113" uniqueName="16113" name="Column16104" queryTableFieldId="281" dataDxfId="498"/>
    <tableColumn id="16114" uniqueName="16114" name="Column16105" queryTableFieldId="280" dataDxfId="497"/>
    <tableColumn id="16115" uniqueName="16115" name="Column16106" queryTableFieldId="279" dataDxfId="496"/>
    <tableColumn id="16116" uniqueName="16116" name="Column16107" queryTableFieldId="278" dataDxfId="495"/>
    <tableColumn id="16117" uniqueName="16117" name="Column16108" queryTableFieldId="277" dataDxfId="494"/>
    <tableColumn id="16118" uniqueName="16118" name="Column16109" queryTableFieldId="276" dataDxfId="493"/>
    <tableColumn id="16119" uniqueName="16119" name="Column16110" queryTableFieldId="275" dataDxfId="492"/>
    <tableColumn id="16120" uniqueName="16120" name="Column16111" queryTableFieldId="274" dataDxfId="491"/>
    <tableColumn id="16121" uniqueName="16121" name="Column16112" queryTableFieldId="273" dataDxfId="490"/>
    <tableColumn id="16122" uniqueName="16122" name="Column16113" queryTableFieldId="272" dataDxfId="489"/>
    <tableColumn id="16123" uniqueName="16123" name="Column16114" queryTableFieldId="271" dataDxfId="488"/>
    <tableColumn id="16124" uniqueName="16124" name="Column16115" queryTableFieldId="270" dataDxfId="487"/>
    <tableColumn id="16125" uniqueName="16125" name="Column16116" queryTableFieldId="269" dataDxfId="486"/>
    <tableColumn id="16126" uniqueName="16126" name="Column16117" queryTableFieldId="268" dataDxfId="485"/>
    <tableColumn id="16127" uniqueName="16127" name="Column16118" queryTableFieldId="267" dataDxfId="484"/>
    <tableColumn id="16128" uniqueName="16128" name="Column16119" queryTableFieldId="266" dataDxfId="483"/>
    <tableColumn id="16129" uniqueName="16129" name="Column16120" queryTableFieldId="265" dataDxfId="482"/>
    <tableColumn id="16130" uniqueName="16130" name="Column16121" queryTableFieldId="264" dataDxfId="481"/>
    <tableColumn id="16131" uniqueName="16131" name="Column16122" queryTableFieldId="263" dataDxfId="480"/>
    <tableColumn id="16132" uniqueName="16132" name="Column16123" queryTableFieldId="262" dataDxfId="479"/>
    <tableColumn id="16133" uniqueName="16133" name="Column16124" queryTableFieldId="261" dataDxfId="478"/>
    <tableColumn id="16134" uniqueName="16134" name="Column16125" queryTableFieldId="260" dataDxfId="477"/>
    <tableColumn id="16135" uniqueName="16135" name="Column16126" queryTableFieldId="259" dataDxfId="476"/>
    <tableColumn id="16136" uniqueName="16136" name="Column16127" queryTableFieldId="258" dataDxfId="475"/>
    <tableColumn id="16137" uniqueName="16137" name="Column16128" queryTableFieldId="257" dataDxfId="474"/>
    <tableColumn id="16138" uniqueName="16138" name="Column16129" queryTableFieldId="256" dataDxfId="473"/>
    <tableColumn id="16139" uniqueName="16139" name="Column16130" queryTableFieldId="255" dataDxfId="472"/>
    <tableColumn id="16140" uniqueName="16140" name="Column16131" queryTableFieldId="254" dataDxfId="471"/>
    <tableColumn id="16141" uniqueName="16141" name="Column16132" queryTableFieldId="253" dataDxfId="470"/>
    <tableColumn id="16142" uniqueName="16142" name="Column16133" queryTableFieldId="252" dataDxfId="469"/>
    <tableColumn id="16143" uniqueName="16143" name="Column16134" queryTableFieldId="251" dataDxfId="468"/>
    <tableColumn id="16144" uniqueName="16144" name="Column16135" queryTableFieldId="250" dataDxfId="467"/>
    <tableColumn id="16145" uniqueName="16145" name="Column16136" queryTableFieldId="249" dataDxfId="466"/>
    <tableColumn id="16146" uniqueName="16146" name="Column16137" queryTableFieldId="248" dataDxfId="465"/>
    <tableColumn id="16147" uniqueName="16147" name="Column16138" queryTableFieldId="247" dataDxfId="464"/>
    <tableColumn id="16148" uniqueName="16148" name="Column16139" queryTableFieldId="246" dataDxfId="463"/>
    <tableColumn id="16149" uniqueName="16149" name="Column16140" queryTableFieldId="245" dataDxfId="462"/>
    <tableColumn id="16150" uniqueName="16150" name="Column16141" queryTableFieldId="244" dataDxfId="461"/>
    <tableColumn id="16151" uniqueName="16151" name="Column16142" queryTableFieldId="243" dataDxfId="460"/>
    <tableColumn id="16152" uniqueName="16152" name="Column16143" queryTableFieldId="242" dataDxfId="459"/>
    <tableColumn id="16153" uniqueName="16153" name="Column16144" queryTableFieldId="241" dataDxfId="458"/>
    <tableColumn id="16154" uniqueName="16154" name="Column16145" queryTableFieldId="240" dataDxfId="457"/>
    <tableColumn id="16155" uniqueName="16155" name="Column16146" queryTableFieldId="239" dataDxfId="456"/>
    <tableColumn id="16156" uniqueName="16156" name="Column16147" queryTableFieldId="238" dataDxfId="455"/>
    <tableColumn id="16157" uniqueName="16157" name="Column16148" queryTableFieldId="237" dataDxfId="454"/>
    <tableColumn id="16158" uniqueName="16158" name="Column16149" queryTableFieldId="236" dataDxfId="453"/>
    <tableColumn id="16159" uniqueName="16159" name="Column16150" queryTableFieldId="235" dataDxfId="452"/>
    <tableColumn id="16160" uniqueName="16160" name="Column16151" queryTableFieldId="234" dataDxfId="451"/>
    <tableColumn id="16161" uniqueName="16161" name="Column16152" queryTableFieldId="233" dataDxfId="450"/>
    <tableColumn id="16162" uniqueName="16162" name="Column16153" queryTableFieldId="232" dataDxfId="449"/>
    <tableColumn id="16163" uniqueName="16163" name="Column16154" queryTableFieldId="231" dataDxfId="448"/>
    <tableColumn id="16164" uniqueName="16164" name="Column16155" queryTableFieldId="230" dataDxfId="447"/>
    <tableColumn id="16165" uniqueName="16165" name="Column16156" queryTableFieldId="229" dataDxfId="446"/>
    <tableColumn id="16166" uniqueName="16166" name="Column16157" queryTableFieldId="228" dataDxfId="445"/>
    <tableColumn id="16167" uniqueName="16167" name="Column16158" queryTableFieldId="227" dataDxfId="444"/>
    <tableColumn id="16168" uniqueName="16168" name="Column16159" queryTableFieldId="226" dataDxfId="443"/>
    <tableColumn id="16169" uniqueName="16169" name="Column16160" queryTableFieldId="225" dataDxfId="442"/>
    <tableColumn id="16170" uniqueName="16170" name="Column16161" queryTableFieldId="224" dataDxfId="441"/>
    <tableColumn id="16171" uniqueName="16171" name="Column16162" queryTableFieldId="223" dataDxfId="440"/>
    <tableColumn id="16172" uniqueName="16172" name="Column16163" queryTableFieldId="222" dataDxfId="439"/>
    <tableColumn id="16173" uniqueName="16173" name="Column16164" queryTableFieldId="221" dataDxfId="438"/>
    <tableColumn id="16174" uniqueName="16174" name="Column16165" queryTableFieldId="220" dataDxfId="437"/>
    <tableColumn id="16175" uniqueName="16175" name="Column16166" queryTableFieldId="219" dataDxfId="436"/>
    <tableColumn id="16176" uniqueName="16176" name="Column16167" queryTableFieldId="218" dataDxfId="435"/>
    <tableColumn id="16177" uniqueName="16177" name="Column16168" queryTableFieldId="217" dataDxfId="434"/>
    <tableColumn id="16178" uniqueName="16178" name="Column16169" queryTableFieldId="216" dataDxfId="433"/>
    <tableColumn id="16179" uniqueName="16179" name="Column16170" queryTableFieldId="215" dataDxfId="432"/>
    <tableColumn id="16180" uniqueName="16180" name="Column16171" queryTableFieldId="214" dataDxfId="431"/>
    <tableColumn id="16181" uniqueName="16181" name="Column16172" queryTableFieldId="213" dataDxfId="430"/>
    <tableColumn id="16182" uniqueName="16182" name="Column16173" queryTableFieldId="212" dataDxfId="429"/>
    <tableColumn id="16183" uniqueName="16183" name="Column16174" queryTableFieldId="211" dataDxfId="428"/>
    <tableColumn id="16184" uniqueName="16184" name="Column16175" queryTableFieldId="210" dataDxfId="427"/>
    <tableColumn id="16185" uniqueName="16185" name="Column16176" queryTableFieldId="209" dataDxfId="426"/>
    <tableColumn id="16186" uniqueName="16186" name="Column16177" queryTableFieldId="208" dataDxfId="425"/>
    <tableColumn id="16187" uniqueName="16187" name="Column16178" queryTableFieldId="207" dataDxfId="424"/>
    <tableColumn id="16188" uniqueName="16188" name="Column16179" queryTableFieldId="206" dataDxfId="423"/>
    <tableColumn id="16189" uniqueName="16189" name="Column16180" queryTableFieldId="205" dataDxfId="422"/>
    <tableColumn id="16190" uniqueName="16190" name="Column16181" queryTableFieldId="204" dataDxfId="421"/>
    <tableColumn id="16191" uniqueName="16191" name="Column16182" queryTableFieldId="203" dataDxfId="420"/>
    <tableColumn id="16192" uniqueName="16192" name="Column16183" queryTableFieldId="202" dataDxfId="419"/>
    <tableColumn id="16193" uniqueName="16193" name="Column16184" queryTableFieldId="201" dataDxfId="418"/>
    <tableColumn id="16194" uniqueName="16194" name="Column16185" queryTableFieldId="200" dataDxfId="417"/>
    <tableColumn id="16195" uniqueName="16195" name="Column16186" queryTableFieldId="199" dataDxfId="416"/>
    <tableColumn id="16196" uniqueName="16196" name="Column16187" queryTableFieldId="198" dataDxfId="415"/>
    <tableColumn id="16197" uniqueName="16197" name="Column16188" queryTableFieldId="197" dataDxfId="414"/>
    <tableColumn id="16198" uniqueName="16198" name="Column16189" queryTableFieldId="196" dataDxfId="413"/>
    <tableColumn id="16199" uniqueName="16199" name="Column16190" queryTableFieldId="195" dataDxfId="412"/>
    <tableColumn id="16200" uniqueName="16200" name="Column16191" queryTableFieldId="194" dataDxfId="411"/>
    <tableColumn id="16201" uniqueName="16201" name="Column16192" queryTableFieldId="193" dataDxfId="410"/>
    <tableColumn id="16202" uniqueName="16202" name="Column16193" queryTableFieldId="192" dataDxfId="409"/>
    <tableColumn id="16203" uniqueName="16203" name="Column16194" queryTableFieldId="191" dataDxfId="408"/>
    <tableColumn id="16204" uniqueName="16204" name="Column16195" queryTableFieldId="190" dataDxfId="407"/>
    <tableColumn id="16205" uniqueName="16205" name="Column16196" queryTableFieldId="189" dataDxfId="406"/>
    <tableColumn id="16206" uniqueName="16206" name="Column16197" queryTableFieldId="188" dataDxfId="405"/>
    <tableColumn id="16207" uniqueName="16207" name="Column16198" queryTableFieldId="187" dataDxfId="404"/>
    <tableColumn id="16208" uniqueName="16208" name="Column16199" queryTableFieldId="186" dataDxfId="403"/>
    <tableColumn id="16209" uniqueName="16209" name="Column16200" queryTableFieldId="185" dataDxfId="402"/>
    <tableColumn id="16210" uniqueName="16210" name="Column16201" queryTableFieldId="184" dataDxfId="401"/>
    <tableColumn id="16211" uniqueName="16211" name="Column16202" queryTableFieldId="183" dataDxfId="400"/>
    <tableColumn id="16212" uniqueName="16212" name="Column16203" queryTableFieldId="182" dataDxfId="399"/>
    <tableColumn id="16213" uniqueName="16213" name="Column16204" queryTableFieldId="181" dataDxfId="398"/>
    <tableColumn id="16214" uniqueName="16214" name="Column16205" queryTableFieldId="180" dataDxfId="397"/>
    <tableColumn id="16215" uniqueName="16215" name="Column16206" queryTableFieldId="179" dataDxfId="396"/>
    <tableColumn id="16216" uniqueName="16216" name="Column16207" queryTableFieldId="178" dataDxfId="395"/>
    <tableColumn id="16217" uniqueName="16217" name="Column16208" queryTableFieldId="177" dataDxfId="394"/>
    <tableColumn id="16218" uniqueName="16218" name="Column16209" queryTableFieldId="176" dataDxfId="393"/>
    <tableColumn id="16219" uniqueName="16219" name="Column16210" queryTableFieldId="175" dataDxfId="392"/>
    <tableColumn id="16220" uniqueName="16220" name="Column16211" queryTableFieldId="174" dataDxfId="391"/>
    <tableColumn id="16221" uniqueName="16221" name="Column16212" queryTableFieldId="173" dataDxfId="390"/>
    <tableColumn id="16222" uniqueName="16222" name="Column16213" queryTableFieldId="172" dataDxfId="389"/>
    <tableColumn id="16223" uniqueName="16223" name="Column16214" queryTableFieldId="171" dataDxfId="388"/>
    <tableColumn id="16224" uniqueName="16224" name="Column16215" queryTableFieldId="170" dataDxfId="387"/>
    <tableColumn id="16225" uniqueName="16225" name="Column16216" queryTableFieldId="169" dataDxfId="386"/>
    <tableColumn id="16226" uniqueName="16226" name="Column16217" queryTableFieldId="168" dataDxfId="385"/>
    <tableColumn id="16227" uniqueName="16227" name="Column16218" queryTableFieldId="167" dataDxfId="384"/>
    <tableColumn id="16228" uniqueName="16228" name="Column16219" queryTableFieldId="166" dataDxfId="383"/>
    <tableColumn id="16229" uniqueName="16229" name="Column16220" queryTableFieldId="165" dataDxfId="382"/>
    <tableColumn id="16230" uniqueName="16230" name="Column16221" queryTableFieldId="164" dataDxfId="381"/>
    <tableColumn id="16231" uniqueName="16231" name="Column16222" queryTableFieldId="163" dataDxfId="380"/>
    <tableColumn id="16232" uniqueName="16232" name="Column16223" queryTableFieldId="162" dataDxfId="379"/>
    <tableColumn id="16233" uniqueName="16233" name="Column16224" queryTableFieldId="161" dataDxfId="378"/>
    <tableColumn id="16234" uniqueName="16234" name="Column16225" queryTableFieldId="160" dataDxfId="377"/>
    <tableColumn id="16235" uniqueName="16235" name="Column16226" queryTableFieldId="159" dataDxfId="376"/>
    <tableColumn id="16236" uniqueName="16236" name="Column16227" queryTableFieldId="158" dataDxfId="375"/>
    <tableColumn id="16237" uniqueName="16237" name="Column16228" queryTableFieldId="157" dataDxfId="374"/>
    <tableColumn id="16238" uniqueName="16238" name="Column16229" queryTableFieldId="156" dataDxfId="373"/>
    <tableColumn id="16239" uniqueName="16239" name="Column16230" queryTableFieldId="155" dataDxfId="372"/>
    <tableColumn id="16240" uniqueName="16240" name="Column16231" queryTableFieldId="154" dataDxfId="371"/>
    <tableColumn id="16241" uniqueName="16241" name="Column16232" queryTableFieldId="153" dataDxfId="370"/>
    <tableColumn id="16242" uniqueName="16242" name="Column16233" queryTableFieldId="152" dataDxfId="369"/>
    <tableColumn id="16243" uniqueName="16243" name="Column16234" queryTableFieldId="151" dataDxfId="368"/>
    <tableColumn id="16244" uniqueName="16244" name="Column16235" queryTableFieldId="150" dataDxfId="367"/>
    <tableColumn id="16245" uniqueName="16245" name="Column16236" queryTableFieldId="149" dataDxfId="366"/>
    <tableColumn id="16246" uniqueName="16246" name="Column16237" queryTableFieldId="148" dataDxfId="365"/>
    <tableColumn id="16247" uniqueName="16247" name="Column16238" queryTableFieldId="147" dataDxfId="364"/>
    <tableColumn id="16248" uniqueName="16248" name="Column16239" queryTableFieldId="146" dataDxfId="363"/>
    <tableColumn id="16249" uniqueName="16249" name="Column16240" queryTableFieldId="145" dataDxfId="362"/>
    <tableColumn id="16250" uniqueName="16250" name="Column16241" queryTableFieldId="144" dataDxfId="361"/>
    <tableColumn id="16251" uniqueName="16251" name="Column16242" queryTableFieldId="143" dataDxfId="360"/>
    <tableColumn id="16252" uniqueName="16252" name="Column16243" queryTableFieldId="142" dataDxfId="359"/>
    <tableColumn id="16253" uniqueName="16253" name="Column16244" queryTableFieldId="141" dataDxfId="358"/>
    <tableColumn id="16254" uniqueName="16254" name="Column16245" queryTableFieldId="140" dataDxfId="357"/>
    <tableColumn id="16255" uniqueName="16255" name="Column16246" queryTableFieldId="139" dataDxfId="356"/>
    <tableColumn id="16256" uniqueName="16256" name="Column16247" queryTableFieldId="138" dataDxfId="355"/>
    <tableColumn id="16257" uniqueName="16257" name="Column16248" queryTableFieldId="137" dataDxfId="354"/>
    <tableColumn id="16258" uniqueName="16258" name="Column16249" queryTableFieldId="136" dataDxfId="353"/>
    <tableColumn id="16259" uniqueName="16259" name="Column16250" queryTableFieldId="135" dataDxfId="352"/>
    <tableColumn id="16260" uniqueName="16260" name="Column16251" queryTableFieldId="134" dataDxfId="351"/>
    <tableColumn id="16261" uniqueName="16261" name="Column16252" queryTableFieldId="133" dataDxfId="350"/>
    <tableColumn id="16262" uniqueName="16262" name="Column16253" queryTableFieldId="132" dataDxfId="349"/>
    <tableColumn id="16263" uniqueName="16263" name="Column16254" queryTableFieldId="131" dataDxfId="348"/>
    <tableColumn id="16264" uniqueName="16264" name="Column16255" queryTableFieldId="130" dataDxfId="347"/>
    <tableColumn id="16265" uniqueName="16265" name="Column16256" queryTableFieldId="129" dataDxfId="346"/>
    <tableColumn id="16266" uniqueName="16266" name="Column16257" queryTableFieldId="128" dataDxfId="345"/>
    <tableColumn id="16267" uniqueName="16267" name="Column16258" queryTableFieldId="127" dataDxfId="344"/>
    <tableColumn id="16268" uniqueName="16268" name="Column16259" queryTableFieldId="126" dataDxfId="343"/>
    <tableColumn id="16269" uniqueName="16269" name="Column16260" queryTableFieldId="125" dataDxfId="342"/>
    <tableColumn id="16270" uniqueName="16270" name="Column16261" queryTableFieldId="124" dataDxfId="341"/>
    <tableColumn id="16271" uniqueName="16271" name="Column16262" queryTableFieldId="123" dataDxfId="340"/>
    <tableColumn id="16272" uniqueName="16272" name="Column16263" queryTableFieldId="122" dataDxfId="339"/>
    <tableColumn id="16273" uniqueName="16273" name="Column16264" queryTableFieldId="121" dataDxfId="338"/>
    <tableColumn id="16274" uniqueName="16274" name="Column16265" queryTableFieldId="120" dataDxfId="337"/>
    <tableColumn id="16275" uniqueName="16275" name="Column16266" queryTableFieldId="119" dataDxfId="336"/>
    <tableColumn id="16276" uniqueName="16276" name="Column16267" queryTableFieldId="118" dataDxfId="335"/>
    <tableColumn id="16277" uniqueName="16277" name="Column16268" queryTableFieldId="117" dataDxfId="334"/>
    <tableColumn id="16278" uniqueName="16278" name="Column16269" queryTableFieldId="116" dataDxfId="333"/>
    <tableColumn id="16279" uniqueName="16279" name="Column16270" queryTableFieldId="115" dataDxfId="332"/>
    <tableColumn id="16280" uniqueName="16280" name="Column16271" queryTableFieldId="114" dataDxfId="331"/>
    <tableColumn id="16281" uniqueName="16281" name="Column16272" queryTableFieldId="113" dataDxfId="330"/>
    <tableColumn id="16282" uniqueName="16282" name="Column16273" queryTableFieldId="112" dataDxfId="329"/>
    <tableColumn id="16283" uniqueName="16283" name="Column16274" queryTableFieldId="111" dataDxfId="328"/>
    <tableColumn id="16284" uniqueName="16284" name="Column16275" queryTableFieldId="110" dataDxfId="327"/>
    <tableColumn id="16285" uniqueName="16285" name="Column16276" queryTableFieldId="109" dataDxfId="326"/>
    <tableColumn id="16286" uniqueName="16286" name="Column16277" queryTableFieldId="108" dataDxfId="325"/>
    <tableColumn id="16287" uniqueName="16287" name="Column16278" queryTableFieldId="107" dataDxfId="324"/>
    <tableColumn id="16288" uniqueName="16288" name="Column16279" queryTableFieldId="106" dataDxfId="323"/>
    <tableColumn id="16289" uniqueName="16289" name="Column16280" queryTableFieldId="105" dataDxfId="322"/>
    <tableColumn id="16290" uniqueName="16290" name="Column16281" queryTableFieldId="104" dataDxfId="321"/>
    <tableColumn id="16291" uniqueName="16291" name="Column16282" queryTableFieldId="103" dataDxfId="320"/>
    <tableColumn id="16292" uniqueName="16292" name="Column16283" queryTableFieldId="102" dataDxfId="319"/>
    <tableColumn id="16293" uniqueName="16293" name="Column16284" queryTableFieldId="101" dataDxfId="318"/>
    <tableColumn id="16294" uniqueName="16294" name="Column16285" queryTableFieldId="100" dataDxfId="317"/>
    <tableColumn id="16295" uniqueName="16295" name="Column16286" queryTableFieldId="99" dataDxfId="316"/>
    <tableColumn id="16296" uniqueName="16296" name="Column16287" queryTableFieldId="98" dataDxfId="315"/>
    <tableColumn id="16297" uniqueName="16297" name="Column16288" queryTableFieldId="97" dataDxfId="314"/>
    <tableColumn id="16298" uniqueName="16298" name="Column16289" queryTableFieldId="96" dataDxfId="313"/>
    <tableColumn id="16299" uniqueName="16299" name="Column16290" queryTableFieldId="95" dataDxfId="312"/>
    <tableColumn id="16300" uniqueName="16300" name="Column16291" queryTableFieldId="94" dataDxfId="311"/>
    <tableColumn id="16301" uniqueName="16301" name="Column16292" queryTableFieldId="93" dataDxfId="310"/>
    <tableColumn id="16302" uniqueName="16302" name="Column16293" queryTableFieldId="92" dataDxfId="309"/>
    <tableColumn id="16303" uniqueName="16303" name="Column16294" queryTableFieldId="91" dataDxfId="308"/>
    <tableColumn id="16304" uniqueName="16304" name="Column16295" queryTableFieldId="90" dataDxfId="307"/>
    <tableColumn id="16305" uniqueName="16305" name="Column16296" queryTableFieldId="89" dataDxfId="306"/>
    <tableColumn id="16306" uniqueName="16306" name="Column16297" queryTableFieldId="88" dataDxfId="305"/>
    <tableColumn id="16307" uniqueName="16307" name="Column16298" queryTableFieldId="87" dataDxfId="304"/>
    <tableColumn id="16308" uniqueName="16308" name="Column16299" queryTableFieldId="86" dataDxfId="303"/>
    <tableColumn id="16309" uniqueName="16309" name="Column16300" queryTableFieldId="85" dataDxfId="302"/>
    <tableColumn id="16310" uniqueName="16310" name="Column16301" queryTableFieldId="84" dataDxfId="301"/>
    <tableColumn id="16311" uniqueName="16311" name="Column16302" queryTableFieldId="83" dataDxfId="300"/>
    <tableColumn id="16312" uniqueName="16312" name="Column16303" queryTableFieldId="82" dataDxfId="299"/>
    <tableColumn id="16313" uniqueName="16313" name="Column16304" queryTableFieldId="81" dataDxfId="298"/>
    <tableColumn id="16314" uniqueName="16314" name="Column16305" queryTableFieldId="80" dataDxfId="297"/>
    <tableColumn id="16315" uniqueName="16315" name="Column16306" queryTableFieldId="79" dataDxfId="296"/>
    <tableColumn id="16316" uniqueName="16316" name="Column16307" queryTableFieldId="78" dataDxfId="295"/>
    <tableColumn id="16317" uniqueName="16317" name="Column16308" queryTableFieldId="77" dataDxfId="294"/>
    <tableColumn id="16318" uniqueName="16318" name="Column16309" queryTableFieldId="76" dataDxfId="293"/>
    <tableColumn id="16319" uniqueName="16319" name="Column16310" queryTableFieldId="75" dataDxfId="292"/>
    <tableColumn id="16320" uniqueName="16320" name="Column16311" queryTableFieldId="74" dataDxfId="291"/>
    <tableColumn id="16321" uniqueName="16321" name="Column16312" queryTableFieldId="73" dataDxfId="290"/>
    <tableColumn id="16322" uniqueName="16322" name="Column16313" queryTableFieldId="72" dataDxfId="289"/>
    <tableColumn id="16323" uniqueName="16323" name="Column16314" queryTableFieldId="71" dataDxfId="288"/>
    <tableColumn id="16324" uniqueName="16324" name="Column16315" queryTableFieldId="70" dataDxfId="287"/>
    <tableColumn id="16325" uniqueName="16325" name="Column16316" queryTableFieldId="69" dataDxfId="286"/>
    <tableColumn id="16326" uniqueName="16326" name="Column16317" queryTableFieldId="68" dataDxfId="285"/>
    <tableColumn id="16327" uniqueName="16327" name="Column16318" queryTableFieldId="67" dataDxfId="284"/>
    <tableColumn id="16328" uniqueName="16328" name="Column16319" queryTableFieldId="66" dataDxfId="283"/>
    <tableColumn id="16329" uniqueName="16329" name="Column16320" queryTableFieldId="65" dataDxfId="282"/>
    <tableColumn id="16330" uniqueName="16330" name="Column16321" queryTableFieldId="64" dataDxfId="281"/>
    <tableColumn id="16331" uniqueName="16331" name="Column16322" queryTableFieldId="63" dataDxfId="280"/>
    <tableColumn id="16332" uniqueName="16332" name="Column16323" queryTableFieldId="62" dataDxfId="279"/>
    <tableColumn id="16333" uniqueName="16333" name="Column16324" queryTableFieldId="61" dataDxfId="278"/>
    <tableColumn id="16334" uniqueName="16334" name="Column16325" queryTableFieldId="60" dataDxfId="277"/>
    <tableColumn id="16335" uniqueName="16335" name="Column16326" queryTableFieldId="59" dataDxfId="276"/>
    <tableColumn id="16336" uniqueName="16336" name="Column16327" queryTableFieldId="58" dataDxfId="275"/>
    <tableColumn id="16337" uniqueName="16337" name="Column16328" queryTableFieldId="57" dataDxfId="274"/>
    <tableColumn id="16338" uniqueName="16338" name="Column16329" queryTableFieldId="56" dataDxfId="273"/>
    <tableColumn id="16339" uniqueName="16339" name="Column16330" queryTableFieldId="55" dataDxfId="272"/>
    <tableColumn id="16340" uniqueName="16340" name="Column16331" queryTableFieldId="54" dataDxfId="271"/>
    <tableColumn id="16341" uniqueName="16341" name="Column16332" queryTableFieldId="53" dataDxfId="270"/>
    <tableColumn id="16342" uniqueName="16342" name="Column16333" queryTableFieldId="52" dataDxfId="269"/>
    <tableColumn id="16343" uniqueName="16343" name="Column16334" queryTableFieldId="51" dataDxfId="268"/>
    <tableColumn id="16344" uniqueName="16344" name="Column16335" queryTableFieldId="50" dataDxfId="267"/>
    <tableColumn id="16345" uniqueName="16345" name="Column16336" queryTableFieldId="49" dataDxfId="266"/>
    <tableColumn id="16346" uniqueName="16346" name="Column16337" queryTableFieldId="48" dataDxfId="265"/>
    <tableColumn id="16347" uniqueName="16347" name="Column16338" queryTableFieldId="47" dataDxfId="264"/>
    <tableColumn id="16348" uniqueName="16348" name="Column16339" queryTableFieldId="46" dataDxfId="263"/>
    <tableColumn id="16349" uniqueName="16349" name="Column16340" queryTableFieldId="45" dataDxfId="262"/>
    <tableColumn id="16350" uniqueName="16350" name="Column16341" queryTableFieldId="44" dataDxfId="261"/>
    <tableColumn id="16351" uniqueName="16351" name="Column16342" queryTableFieldId="43" dataDxfId="260"/>
    <tableColumn id="16352" uniqueName="16352" name="Column16343" queryTableFieldId="42" dataDxfId="259"/>
    <tableColumn id="16353" uniqueName="16353" name="Column16344" queryTableFieldId="41" dataDxfId="258"/>
    <tableColumn id="16354" uniqueName="16354" name="Column16345" queryTableFieldId="40" dataDxfId="257"/>
    <tableColumn id="16355" uniqueName="16355" name="Column16346" queryTableFieldId="39" dataDxfId="256"/>
    <tableColumn id="16356" uniqueName="16356" name="Column16347" queryTableFieldId="38" dataDxfId="255"/>
    <tableColumn id="16357" uniqueName="16357" name="Column16348" queryTableFieldId="37" dataDxfId="254"/>
    <tableColumn id="16358" uniqueName="16358" name="Column16349" queryTableFieldId="36" dataDxfId="253"/>
    <tableColumn id="16359" uniqueName="16359" name="Column16350" queryTableFieldId="35" dataDxfId="252"/>
    <tableColumn id="16360" uniqueName="16360" name="Column16351" queryTableFieldId="34" dataDxfId="251"/>
    <tableColumn id="16361" uniqueName="16361" name="Column16352" queryTableFieldId="33" dataDxfId="250"/>
    <tableColumn id="16362" uniqueName="16362" name="Column16353" queryTableFieldId="32" dataDxfId="249"/>
    <tableColumn id="16363" uniqueName="16363" name="Column16354" queryTableFieldId="31" dataDxfId="248"/>
    <tableColumn id="16364" uniqueName="16364" name="Column16355" queryTableFieldId="30" dataDxfId="247"/>
    <tableColumn id="16365" uniqueName="16365" name="Column16356" queryTableFieldId="29" dataDxfId="246"/>
    <tableColumn id="16366" uniqueName="16366" name="Column16357" queryTableFieldId="28" dataDxfId="245"/>
    <tableColumn id="16367" uniqueName="16367" name="Column16358" queryTableFieldId="27" dataDxfId="244"/>
    <tableColumn id="16368" uniqueName="16368" name="Column16359" queryTableFieldId="26" dataDxfId="243"/>
    <tableColumn id="16369" uniqueName="16369" name="Column16360" queryTableFieldId="25" dataDxfId="242"/>
    <tableColumn id="16370" uniqueName="16370" name="Column16361" queryTableFieldId="24" dataDxfId="241"/>
    <tableColumn id="16371" uniqueName="16371" name="Column16362" queryTableFieldId="23" dataDxfId="240"/>
    <tableColumn id="16372" uniqueName="16372" name="Column16363" queryTableFieldId="22" dataDxfId="239"/>
    <tableColumn id="16373" uniqueName="16373" name="Column16364" queryTableFieldId="21" dataDxfId="238"/>
    <tableColumn id="16374" uniqueName="16374" name="Column16365" queryTableFieldId="20" dataDxfId="237"/>
    <tableColumn id="16375" uniqueName="16375" name="Column16366" queryTableFieldId="19" dataDxfId="236"/>
    <tableColumn id="16376" uniqueName="16376" name="Column16367" queryTableFieldId="18" dataDxfId="235"/>
    <tableColumn id="16377" uniqueName="16377" name="Column16368" queryTableFieldId="17" dataDxfId="234"/>
    <tableColumn id="16378" uniqueName="16378" name="Column16369" queryTableFieldId="16" dataDxfId="233"/>
    <tableColumn id="16379" uniqueName="16379" name="Column16370" queryTableFieldId="15" dataDxfId="232"/>
    <tableColumn id="16380" uniqueName="16380" name="Column16371" queryTableFieldId="14" dataDxfId="231"/>
    <tableColumn id="16381" uniqueName="16381" name="Column16372" queryTableFieldId="13" dataDxfId="230"/>
    <tableColumn id="16382" uniqueName="16382" name="Column16373" queryTableFieldId="12" dataDxfId="229"/>
    <tableColumn id="16383" uniqueName="16383" name="Column16374" queryTableFieldId="11" dataDxfId="228"/>
    <tableColumn id="16384" uniqueName="16384" name="Column16375" queryTableFieldId="10" dataDxfId="227"/>
    <tableColumn id="16385" uniqueName="16385" name="Column16376" queryTableFieldId="9" dataDxfId="226"/>
  </tableColumns>
  <tableStyleInfo name="TableStyleMedium7" showFirstColumn="0" showLastColumn="0" showRowStripes="1" showColumnStripes="0"/>
</table>
</file>

<file path=xl/tables/table38.xml><?xml version="1.0" encoding="utf-8"?>
<table xmlns="http://schemas.openxmlformats.org/spreadsheetml/2006/main" id="7" name="Table_s_srs_v01_pds_RAP_Attacks_Operational" displayName="Table_s_srs_v01_pds_RAP_Attacks_Operational" ref="A10:F16" tableType="queryTable" totalsRowShown="0" headerRowDxfId="225" dataDxfId="223" headerRowBorderDxfId="224">
  <tableColumns count="6">
    <tableColumn id="2" uniqueName="2" name="Year" queryTableFieldId="2" dataDxfId="222"/>
    <tableColumn id="3" uniqueName="3" name="Objects thrown" queryTableFieldId="3" dataDxfId="221"/>
    <tableColumn id="4" uniqueName="4" name="Other acts of aggression" queryTableFieldId="4" dataDxfId="220"/>
    <tableColumn id="5" uniqueName="5" name="Verbal abuse" queryTableFieldId="5" dataDxfId="219"/>
    <tableColumn id="6" uniqueName="6" name="Physical abuse" queryTableFieldId="6" dataDxfId="218"/>
    <tableColumn id="7" uniqueName="7" name="Total" queryTableFieldId="7" dataDxfId="217"/>
  </tableColumns>
  <tableStyleInfo showFirstColumn="0" showLastColumn="0" showRowStripes="1" showColumnStripes="0"/>
</table>
</file>

<file path=xl/tables/table39.xml><?xml version="1.0" encoding="utf-8"?>
<table xmlns="http://schemas.openxmlformats.org/spreadsheetml/2006/main" id="10" name="Table_s_srs_v01_pds_RAP_Injuries_Operational" displayName="Table_s_srs_v01_pds_RAP_Injuries_Operational" ref="H10:M16" tableType="queryTable" totalsRowShown="0" headerRowDxfId="216" dataDxfId="214" headerRowBorderDxfId="215">
  <tableColumns count="6">
    <tableColumn id="2" uniqueName="2" name="Year" queryTableFieldId="2" dataDxfId="213"/>
    <tableColumn id="3" uniqueName="3" name="Objects thrown" queryTableFieldId="3" dataDxfId="212"/>
    <tableColumn id="4" uniqueName="4" name="Other acts of aggression" queryTableFieldId="4" dataDxfId="211"/>
    <tableColumn id="5" uniqueName="5" name="Verbal abuse" queryTableFieldId="5" dataDxfId="210"/>
    <tableColumn id="6" uniqueName="6" name="Physical abuse" queryTableFieldId="6" dataDxfId="209"/>
    <tableColumn id="7" uniqueName="7" name="Total" queryTableFieldId="7" dataDxfId="208"/>
  </tableColumns>
  <tableStyleInfo showFirstColumn="0" showLastColumn="0" showRowStripes="1" showColumnStripes="0"/>
</table>
</file>

<file path=xl/tables/table4.xml><?xml version="1.0" encoding="utf-8"?>
<table xmlns="http://schemas.openxmlformats.org/spreadsheetml/2006/main" id="46" name="hrod_HR_StaffingFTE__2" displayName="hrod_HR_StaffingFTE__2" ref="A37:G47" tableType="queryTable" totalsRowShown="0" headerRowDxfId="16820" headerRowBorderDxfId="16819">
  <tableColumns count="7">
    <tableColumn id="7" uniqueName="7" name="Year" queryTableFieldId="1" dataDxfId="16818"/>
    <tableColumn id="2" uniqueName="2" name="Wholetime Operational" queryTableFieldId="2" dataDxfId="16817"/>
    <tableColumn id="3" uniqueName="3" name="Retained Duty System" queryTableFieldId="3" dataDxfId="16816"/>
    <tableColumn id="4" uniqueName="4" name="Retained Full-time" queryTableFieldId="4" dataDxfId="16815"/>
    <tableColumn id="5" uniqueName="5" name="Control" queryTableFieldId="5" dataDxfId="16814"/>
    <tableColumn id="6" uniqueName="6" name="Support" queryTableFieldId="6" dataDxfId="16813"/>
    <tableColumn id="8" uniqueName="8" name="All staff (excluding volunteers)" queryTableFieldId="7" dataDxfId="16812">
      <calculatedColumnFormula>SUM(B38:F38)</calculatedColumnFormula>
    </tableColumn>
  </tableColumns>
  <tableStyleInfo showFirstColumn="0" showLastColumn="0" showRowStripes="1" showColumnStripes="0"/>
</table>
</file>

<file path=xl/tables/table40.xml><?xml version="1.0" encoding="utf-8"?>
<table xmlns="http://schemas.openxmlformats.org/spreadsheetml/2006/main" id="11" name="Table_s_srs_v01_pds_RAP_Attacks_Non_Operational" displayName="Table_s_srs_v01_pds_RAP_Attacks_Non_Operational" ref="A28:F34" tableType="queryTable" totalsRowShown="0" headerRowDxfId="207" dataDxfId="205" headerRowBorderDxfId="206" headerRowCellStyle="Normal_Attacks Scotland">
  <tableColumns count="6">
    <tableColumn id="2" uniqueName="2" name="Year" queryTableFieldId="2" dataDxfId="204"/>
    <tableColumn id="3" uniqueName="3" name="Objects thrown" queryTableFieldId="3" dataDxfId="203"/>
    <tableColumn id="4" uniqueName="4" name="Other acts of aggression" queryTableFieldId="4" dataDxfId="202"/>
    <tableColumn id="5" uniqueName="5" name="Verbal abuse" queryTableFieldId="5" dataDxfId="201"/>
    <tableColumn id="6" uniqueName="6" name="Physical abuse" queryTableFieldId="6" dataDxfId="200"/>
    <tableColumn id="7" uniqueName="7" name="Total" queryTableFieldId="7" dataDxfId="199"/>
  </tableColumns>
  <tableStyleInfo showFirstColumn="0" showLastColumn="0" showRowStripes="1" showColumnStripes="0"/>
</table>
</file>

<file path=xl/tables/table41.xml><?xml version="1.0" encoding="utf-8"?>
<table xmlns="http://schemas.openxmlformats.org/spreadsheetml/2006/main" id="13" name="Table_s_srs_v01_pds_RAP_Injuries_Non_Operational" displayName="Table_s_srs_v01_pds_RAP_Injuries_Non_Operational" ref="H28:M34" tableType="queryTable" totalsRowShown="0" headerRowDxfId="198" dataDxfId="196" headerRowBorderDxfId="197">
  <tableColumns count="6">
    <tableColumn id="2" uniqueName="2" name="Year" queryTableFieldId="2" dataDxfId="195"/>
    <tableColumn id="3" uniqueName="3" name="Objects thrown" queryTableFieldId="3" dataDxfId="194"/>
    <tableColumn id="4" uniqueName="4" name="Other acts of aggression" queryTableFieldId="4" dataDxfId="193"/>
    <tableColumn id="5" uniqueName="5" name="Verbal abuse" queryTableFieldId="5" dataDxfId="192"/>
    <tableColumn id="6" uniqueName="6" name="Physical abuse" queryTableFieldId="6" dataDxfId="191"/>
    <tableColumn id="7" uniqueName="7" name="Total" queryTableFieldId="7" dataDxfId="190"/>
  </tableColumns>
  <tableStyleInfo showFirstColumn="0" showLastColumn="0" showRowStripes="1" showColumnStripes="0"/>
</table>
</file>

<file path=xl/tables/table42.xml><?xml version="1.0" encoding="utf-8"?>
<table xmlns="http://schemas.openxmlformats.org/spreadsheetml/2006/main" id="12" name="hsw_vlatable" displayName="hsw_vlatable" ref="A9:H41" tableType="queryTable" totalsRowShown="0" headerRowDxfId="189" headerRowBorderDxfId="188">
  <tableColumns count="8">
    <tableColumn id="8" uniqueName="8" name="LA Code" queryTableFieldId="1" dataDxfId="187"/>
    <tableColumn id="2" uniqueName="2" name="Local Authority" queryTableFieldId="2" dataDxfId="186"/>
    <tableColumn id="1" uniqueName="1" name="2015-16" queryTableFieldId="8" dataDxfId="185"/>
    <tableColumn id="3" uniqueName="3" name="2016-17" queryTableFieldId="3" dataDxfId="184"/>
    <tableColumn id="4" uniqueName="4" name="2017-18" queryTableFieldId="4" dataDxfId="183"/>
    <tableColumn id="5" uniqueName="5" name="2018-19" queryTableFieldId="5" dataDxfId="182"/>
    <tableColumn id="6" uniqueName="6" name="2019-20" queryTableFieldId="6" dataDxfId="181"/>
    <tableColumn id="7" uniqueName="7" name="2020-21" queryTableFieldId="7" dataDxfId="180"/>
  </tableColumns>
  <tableStyleInfo showFirstColumn="0" showLastColumn="0" showRowStripes="1" showColumnStripes="0"/>
</table>
</file>

<file path=xl/tables/table43.xml><?xml version="1.0" encoding="utf-8"?>
<table xmlns="http://schemas.openxmlformats.org/spreadsheetml/2006/main" id="14" name="Table_s_srs_v01_pds_RAP_HFSV_Outcome" displayName="Table_s_srs_v01_pds_RAP_HFSV_Outcome" ref="A9:G20" tableType="queryTable" totalsRowShown="0" headerRowDxfId="179" headerRowBorderDxfId="178" tableBorderDxfId="177">
  <tableColumns count="7">
    <tableColumn id="1" uniqueName="1" name="Year" queryTableFieldId="1" dataDxfId="176"/>
    <tableColumn id="2" uniqueName="2" name="HFSV - alarms installed" queryTableFieldId="2" dataDxfId="175"/>
    <tableColumn id="3" uniqueName="3" name="HFSV - advice only" queryTableFieldId="3" dataDxfId="174"/>
    <tableColumn id="4" uniqueName="4" name="Total HFSV" queryTableFieldId="4" dataDxfId="173"/>
    <tableColumn id="5" uniqueName="5" name="Smoke alarms installed during HFSV" queryTableFieldId="5" dataDxfId="172"/>
    <tableColumn id="6" uniqueName="6" name="New" queryTableFieldId="6" dataDxfId="171"/>
    <tableColumn id="7" uniqueName="7" name="Replacement" queryTableFieldId="7" dataDxfId="170"/>
  </tableColumns>
  <tableStyleInfo showFirstColumn="0" showLastColumn="0" showRowStripes="1" showColumnStripes="0"/>
</table>
</file>

<file path=xl/tables/table44.xml><?xml version="1.0" encoding="utf-8"?>
<table xmlns="http://schemas.openxmlformats.org/spreadsheetml/2006/main" id="23" name="cset_DistinctProperties" displayName="cset_DistinctProperties" ref="A10:F18" tableType="queryTable" totalsRowShown="0" headerRowDxfId="169" headerRowBorderDxfId="168">
  <tableColumns count="6">
    <tableColumn id="6" uniqueName="6" name="Year" queryTableFieldId="1" dataDxfId="167"/>
    <tableColumn id="2" uniqueName="2" name="In One Year" queryTableFieldId="2" dataDxfId="166"/>
    <tableColumn id="3" uniqueName="3" name="Over Three Years" queryTableFieldId="3" dataDxfId="165"/>
    <tableColumn id="4" uniqueName="4" name="Over Five Years" queryTableFieldId="4" dataDxfId="164"/>
    <tableColumn id="5" uniqueName="5" name="Non-repeat Visits" queryTableFieldId="5" dataDxfId="163"/>
    <tableColumn id="7" uniqueName="7" name="Percentage of Non-repeat Visits" queryTableFieldId="6" dataDxfId="162">
      <calculatedColumnFormula>E11/HFSVs!D13</calculatedColumnFormula>
    </tableColumn>
  </tableColumns>
  <tableStyleInfo showFirstColumn="0" showLastColumn="0" showRowStripes="1" showColumnStripes="0"/>
</table>
</file>

<file path=xl/tables/table45.xml><?xml version="1.0" encoding="utf-8"?>
<table xmlns="http://schemas.openxmlformats.org/spreadsheetml/2006/main" id="26" name="cset_DistinctAlarms" displayName="cset_DistinctAlarms" ref="A31:D39" tableType="queryTable" totalsRowShown="0" headerRowBorderDxfId="161">
  <sortState ref="A32:D39">
    <sortCondition ref="A31"/>
  </sortState>
  <tableColumns count="4">
    <tableColumn id="5" uniqueName="5" name="Year" queryTableFieldId="1" dataDxfId="160"/>
    <tableColumn id="2" uniqueName="2" name="In One Year" queryTableFieldId="2" dataDxfId="159"/>
    <tableColumn id="3" uniqueName="3" name="Over Three Years" queryTableFieldId="3" dataDxfId="158"/>
    <tableColumn id="4" uniqueName="4" name="Over Five Years" queryTableFieldId="4" dataDxfId="157"/>
  </tableColumns>
  <tableStyleInfo showFirstColumn="0" showLastColumn="0" showRowStripes="1" showColumnStripes="0"/>
</table>
</file>

<file path=xl/tables/table46.xml><?xml version="1.0" encoding="utf-8"?>
<table xmlns="http://schemas.openxmlformats.org/spreadsheetml/2006/main" id="27" name="cset_DistinctVisits_percent" displayName="cset_DistinctVisits_percent" ref="A10:D18" tableType="queryTable" totalsRowShown="0" headerRowDxfId="156" dataDxfId="154" headerRowBorderDxfId="155">
  <sortState ref="A11:D18">
    <sortCondition ref="A11"/>
  </sortState>
  <tableColumns count="4">
    <tableColumn id="5" uniqueName="5" name="Year" queryTableFieldId="1" dataDxfId="153"/>
    <tableColumn id="2" uniqueName="2" name="In One Year" queryTableFieldId="2" dataDxfId="152"/>
    <tableColumn id="3" uniqueName="3" name="Over Three Years" queryTableFieldId="3" dataDxfId="151"/>
    <tableColumn id="4" uniqueName="4" name="Over Five Years" queryTableFieldId="4" dataDxfId="150"/>
  </tableColumns>
  <tableStyleInfo showFirstColumn="0" showLastColumn="0" showRowStripes="1" showColumnStripes="0"/>
</table>
</file>

<file path=xl/tables/table47.xml><?xml version="1.0" encoding="utf-8"?>
<table xmlns="http://schemas.openxmlformats.org/spreadsheetml/2006/main" id="28" name="cset_DistinctAlarms_percent" displayName="cset_DistinctAlarms_percent" ref="A30:D38" tableType="queryTable" totalsRowShown="0" headerRowDxfId="149" headerRowBorderDxfId="148">
  <sortState ref="A31:D38">
    <sortCondition ref="A30"/>
  </sortState>
  <tableColumns count="4">
    <tableColumn id="5" uniqueName="5" name="Year" queryTableFieldId="1" dataDxfId="147"/>
    <tableColumn id="2" uniqueName="2" name="In One Year" queryTableFieldId="2" dataDxfId="146"/>
    <tableColumn id="3" uniqueName="3" name="Over Three Years" queryTableFieldId="3" dataDxfId="145"/>
    <tableColumn id="4" uniqueName="4" name="Over Five Years" queryTableFieldId="4" dataDxfId="144"/>
  </tableColumns>
  <tableStyleInfo showFirstColumn="0" showLastColumn="0" showRowStripes="1" showColumnStripes="0"/>
</table>
</file>

<file path=xl/tables/table48.xml><?xml version="1.0" encoding="utf-8"?>
<table xmlns="http://schemas.openxmlformats.org/spreadsheetml/2006/main" id="17" name="Table_s_srs_v01_pds_RAP_Residents_Age_Profile" displayName="Table_s_srs_v01_pds_RAP_Residents_Age_Profile" ref="A10:H18" tableType="queryTable" totalsRowShown="0" headerRowDxfId="143" headerRowBorderDxfId="142">
  <tableColumns count="8">
    <tableColumn id="1" uniqueName="1" name="Year" queryTableFieldId="1" dataDxfId="141"/>
    <tableColumn id="2" uniqueName="2" name="Under 5s" queryTableFieldId="2" dataDxfId="140"/>
    <tableColumn id="3" uniqueName="3" name="5 to 10" queryTableFieldId="3" dataDxfId="139"/>
    <tableColumn id="4" uniqueName="4" name="11 to 16" queryTableFieldId="4" dataDxfId="138"/>
    <tableColumn id="5" uniqueName="5" name="17 to 30" queryTableFieldId="5" dataDxfId="137"/>
    <tableColumn id="6" uniqueName="6" name="31 to 60" queryTableFieldId="6" dataDxfId="136"/>
    <tableColumn id="7" uniqueName="7" name="Over 60" queryTableFieldId="7" dataDxfId="135"/>
    <tableColumn id="8" uniqueName="8" name="All Residents" queryTableFieldId="8" dataDxfId="134"/>
  </tableColumns>
  <tableStyleInfo showFirstColumn="0" showLastColumn="0" showRowStripes="1" showColumnStripes="0"/>
</table>
</file>

<file path=xl/tables/table49.xml><?xml version="1.0" encoding="utf-8"?>
<table xmlns="http://schemas.openxmlformats.org/spreadsheetml/2006/main" id="5" name="cset_Percent_Age_Profile" displayName="cset_Percent_Age_Profile" ref="A30:H38" tableType="queryTable" totalsRowShown="0" headerRowDxfId="133" headerRowBorderDxfId="132">
  <tableColumns count="8">
    <tableColumn id="9" uniqueName="9" name="Year" queryTableFieldId="1" dataDxfId="131"/>
    <tableColumn id="2" uniqueName="2" name="Under 5s" queryTableFieldId="2" dataDxfId="130"/>
    <tableColumn id="3" uniqueName="3" name="5 to 10" queryTableFieldId="3" dataDxfId="129"/>
    <tableColumn id="4" uniqueName="4" name="11 to 16" queryTableFieldId="4" dataDxfId="128"/>
    <tableColumn id="5" uniqueName="5" name="17 to 30" queryTableFieldId="5" dataDxfId="127"/>
    <tableColumn id="6" uniqueName="6" name="31 to 60" queryTableFieldId="6" dataDxfId="126"/>
    <tableColumn id="7" uniqueName="7" name="Over 60" queryTableFieldId="7" dataDxfId="125"/>
    <tableColumn id="8" uniqueName="8" name="All Residents" queryTableFieldId="8" dataDxfId="124"/>
  </tableColumns>
  <tableStyleInfo showFirstColumn="0" showLastColumn="0" showRowStripes="1" showColumnStripes="0"/>
</table>
</file>

<file path=xl/tables/table5.xml><?xml version="1.0" encoding="utf-8"?>
<table xmlns="http://schemas.openxmlformats.org/spreadsheetml/2006/main" id="42" name="hrod_HR_StaffingHeadcount__3" displayName="hrod_HR_StaffingHeadcount__3" ref="A9:G19" tableType="queryTable" totalsRowShown="0" headerRowDxfId="16811" headerRowBorderDxfId="16810">
  <tableColumns count="7">
    <tableColumn id="8" uniqueName="8" name="Year" queryTableFieldId="1" dataDxfId="16809"/>
    <tableColumn id="2" uniqueName="2" name="Wholetime Operational" queryTableFieldId="2" dataDxfId="16808"/>
    <tableColumn id="3" uniqueName="3" name="Retained Duty System" queryTableFieldId="3" dataDxfId="16807"/>
    <tableColumn id="4" uniqueName="4" name="Retained Full-time" queryTableFieldId="4" dataDxfId="16806"/>
    <tableColumn id="5" uniqueName="5" name="Control" queryTableFieldId="5" dataDxfId="16805"/>
    <tableColumn id="6" uniqueName="6" name="Support" queryTableFieldId="6" dataDxfId="16804"/>
    <tableColumn id="7" uniqueName="7" name="Volunteer" queryTableFieldId="7" dataDxfId="16803"/>
  </tableColumns>
  <tableStyleInfo showFirstColumn="0" showLastColumn="0" showRowStripes="1" showColumnStripes="0"/>
</table>
</file>

<file path=xl/tables/table50.xml><?xml version="1.0" encoding="utf-8"?>
<table xmlns="http://schemas.openxmlformats.org/spreadsheetml/2006/main" id="70" name="cset_HFSV_Tenure_Outcome" displayName="cset_HFSV_Tenure_Outcome" ref="A10:G17" tableType="queryTable" totalsRowShown="0" headerRowDxfId="123" headerRowBorderDxfId="122">
  <tableColumns count="7">
    <tableColumn id="8" uniqueName="8" name="Tenure" queryTableFieldId="1" dataDxfId="121"/>
    <tableColumn id="2" uniqueName="2" name="2015-16" queryTableFieldId="2" dataDxfId="120"/>
    <tableColumn id="3" uniqueName="3" name="2016-17" queryTableFieldId="3" dataDxfId="119"/>
    <tableColumn id="4" uniqueName="4" name="2017-18" queryTableFieldId="4" dataDxfId="118"/>
    <tableColumn id="5" uniqueName="5" name="2018-19" queryTableFieldId="5" dataDxfId="117"/>
    <tableColumn id="6" uniqueName="6" name="2019-20" queryTableFieldId="6" dataDxfId="116"/>
    <tableColumn id="7" uniqueName="7" name="2020-21" queryTableFieldId="7" dataDxfId="115"/>
  </tableColumns>
  <tableStyleInfo showFirstColumn="0" showLastColumn="0" showRowStripes="1" showColumnStripes="0"/>
</table>
</file>

<file path=xl/tables/table51.xml><?xml version="1.0" encoding="utf-8"?>
<table xmlns="http://schemas.openxmlformats.org/spreadsheetml/2006/main" id="16" name="Table_s_srs_v01_pds_RAP_SIMD_Visits" displayName="Table_s_srs_v01_pds_RAP_SIMD_Visits" ref="A10:G17" tableType="queryTable" totalsRowShown="0" headerRowDxfId="114" headerRowBorderDxfId="113">
  <tableColumns count="7">
    <tableColumn id="1" uniqueName="1" name="Year" queryTableFieldId="1" dataDxfId="112"/>
    <tableColumn id="2" uniqueName="2" name="1 - Most Deprived 20%" queryTableFieldId="2" dataDxfId="111"/>
    <tableColumn id="3" uniqueName="3" name="2" queryTableFieldId="3" dataDxfId="110"/>
    <tableColumn id="4" uniqueName="4" name="3" queryTableFieldId="4" dataDxfId="109"/>
    <tableColumn id="5" uniqueName="5" name="4" queryTableFieldId="5" dataDxfId="108"/>
    <tableColumn id="6" uniqueName="6" name="5 - Least Deprived 20%" queryTableFieldId="6" dataDxfId="107"/>
    <tableColumn id="7" uniqueName="7" name="All Scotland" queryTableFieldId="7" dataDxfId="106"/>
  </tableColumns>
  <tableStyleInfo showFirstColumn="0" showLastColumn="0" showRowStripes="1" showColumnStripes="0"/>
</table>
</file>

<file path=xl/tables/table52.xml><?xml version="1.0" encoding="utf-8"?>
<table xmlns="http://schemas.openxmlformats.org/spreadsheetml/2006/main" id="9" name="cset_SIMD_Visits_OccupiedDwellings10" displayName="cset_SIMD_Visits_OccupiedDwellings10" ref="A30:G37" tableType="queryTable" totalsRowShown="0" headerRowDxfId="105" headerRowBorderDxfId="104">
  <tableColumns count="7">
    <tableColumn id="8" uniqueName="8" name="Year" queryTableFieldId="1" dataDxfId="103"/>
    <tableColumn id="2" uniqueName="2" name="1 - Most Deprived 20%" queryTableFieldId="2" dataDxfId="102"/>
    <tableColumn id="3" uniqueName="3" name="2" queryTableFieldId="3" dataDxfId="101"/>
    <tableColumn id="4" uniqueName="4" name="3" queryTableFieldId="4" dataDxfId="100"/>
    <tableColumn id="5" uniqueName="5" name="4" queryTableFieldId="5" dataDxfId="99"/>
    <tableColumn id="6" uniqueName="6" name="5 - Least Deprived 20%" queryTableFieldId="6" dataDxfId="98"/>
    <tableColumn id="7" uniqueName="7" name="All Scotland" queryTableFieldId="7" dataDxfId="97"/>
  </tableColumns>
  <tableStyleInfo showFirstColumn="0" showLastColumn="0" showRowStripes="1" showColumnStripes="0"/>
</table>
</file>

<file path=xl/tables/table53.xml><?xml version="1.0" encoding="utf-8"?>
<table xmlns="http://schemas.openxmlformats.org/spreadsheetml/2006/main" id="19" name="Table_s_srs_v01_pds_RAP_SIMD_Alarms" displayName="Table_s_srs_v01_pds_RAP_SIMD_Alarms" ref="A11:G18" tableType="queryTable" totalsRowShown="0" headerRowDxfId="96" headerRowBorderDxfId="95">
  <tableColumns count="7">
    <tableColumn id="1" uniqueName="1" name="Year" queryTableFieldId="1" dataDxfId="94"/>
    <tableColumn id="2" uniqueName="2" name="1 - Most Deprived 20%" queryTableFieldId="2" dataDxfId="93"/>
    <tableColumn id="3" uniqueName="3" name="2" queryTableFieldId="3" dataDxfId="92"/>
    <tableColumn id="4" uniqueName="4" name="3" queryTableFieldId="4" dataDxfId="91"/>
    <tableColumn id="5" uniqueName="5" name="4" queryTableFieldId="5" dataDxfId="90"/>
    <tableColumn id="6" uniqueName="6" name="5 - Least Deprived 20%" queryTableFieldId="6" dataDxfId="89"/>
    <tableColumn id="7" uniqueName="7" name="All Scotland" queryTableFieldId="7" dataDxfId="88"/>
  </tableColumns>
  <tableStyleInfo showFirstColumn="0" showLastColumn="0" showRowStripes="1" showColumnStripes="0"/>
</table>
</file>

<file path=xl/tables/table54.xml><?xml version="1.0" encoding="utf-8"?>
<table xmlns="http://schemas.openxmlformats.org/spreadsheetml/2006/main" id="15" name="cset_SIMD_Alarms_OccupiedDwellings" displayName="cset_SIMD_Alarms_OccupiedDwellings" ref="A31:G38" tableType="queryTable" totalsRowShown="0" headerRowDxfId="87" headerRowBorderDxfId="86">
  <tableColumns count="7">
    <tableColumn id="8" uniqueName="8" name="Year" queryTableFieldId="1" dataDxfId="85"/>
    <tableColumn id="2" uniqueName="2" name="1 - Most Deprived 20%" queryTableFieldId="2" dataDxfId="84"/>
    <tableColumn id="3" uniqueName="3" name="2" queryTableFieldId="3" dataDxfId="83"/>
    <tableColumn id="4" uniqueName="4" name="3" queryTableFieldId="4" dataDxfId="82"/>
    <tableColumn id="5" uniqueName="5" name="4" queryTableFieldId="5" dataDxfId="81"/>
    <tableColumn id="6" uniqueName="6" name="5 - Least Deprived 20%" queryTableFieldId="6" dataDxfId="80"/>
    <tableColumn id="7" uniqueName="7" name="All Scotland" queryTableFieldId="7" dataDxfId="79"/>
  </tableColumns>
  <tableStyleInfo showFirstColumn="0" showLastColumn="0" showRowStripes="1" showColumnStripes="0"/>
</table>
</file>

<file path=xl/tables/table55.xml><?xml version="1.0" encoding="utf-8"?>
<table xmlns="http://schemas.openxmlformats.org/spreadsheetml/2006/main" id="24" name="cset_UrbanRural__2" displayName="cset_UrbanRural__2" ref="A10:H17" tableType="queryTable" totalsRowShown="0" headerRowDxfId="78" headerRowBorderDxfId="77">
  <tableColumns count="8">
    <tableColumn id="9" uniqueName="9" name="Year" queryTableFieldId="1" dataDxfId="76"/>
    <tableColumn id="2" uniqueName="2" name="1 - Large Urban Areas" queryTableFieldId="2" dataDxfId="75"/>
    <tableColumn id="3" uniqueName="3" name="2 - Other Urban Areas" queryTableFieldId="3" dataDxfId="74"/>
    <tableColumn id="4" uniqueName="4" name="3 - Accessible Small Towns" queryTableFieldId="4" dataDxfId="73"/>
    <tableColumn id="5" uniqueName="5" name="4 - Remote Small Towns" queryTableFieldId="5" dataDxfId="72"/>
    <tableColumn id="6" uniqueName="6" name="5 - Accessible Rural" queryTableFieldId="6" dataDxfId="71"/>
    <tableColumn id="7" uniqueName="7" name="6 - Remote Rural" queryTableFieldId="7" dataDxfId="70"/>
    <tableColumn id="8" uniqueName="8" name="All Scotland" queryTableFieldId="8" dataDxfId="69"/>
  </tableColumns>
  <tableStyleInfo showFirstColumn="0" showLastColumn="0" showRowStripes="1" showColumnStripes="0"/>
</table>
</file>

<file path=xl/tables/table56.xml><?xml version="1.0" encoding="utf-8"?>
<table xmlns="http://schemas.openxmlformats.org/spreadsheetml/2006/main" id="18" name="cset_UrbanRural_OccupiedDwellings__2" displayName="cset_UrbanRural_OccupiedDwellings__2" ref="A30:H37" tableType="queryTable" totalsRowShown="0" headerRowDxfId="68" headerRowBorderDxfId="67">
  <tableColumns count="8">
    <tableColumn id="9" uniqueName="9" name="Year" queryTableFieldId="1" dataDxfId="66"/>
    <tableColumn id="2" uniqueName="2" name="1 - Large Urban Areas" queryTableFieldId="2" dataDxfId="65"/>
    <tableColumn id="3" uniqueName="3" name="2 - Other Urban Areas" queryTableFieldId="3" dataDxfId="64"/>
    <tableColumn id="4" uniqueName="4" name="3 - Accessible Small Towns" queryTableFieldId="4" dataDxfId="63"/>
    <tableColumn id="5" uniqueName="5" name="4 - Remote Small Towns" queryTableFieldId="5" dataDxfId="62"/>
    <tableColumn id="6" uniqueName="6" name="5 - Accessible Rural" queryTableFieldId="6" dataDxfId="61"/>
    <tableColumn id="7" uniqueName="7" name="6 - Remote Rural" queryTableFieldId="7" dataDxfId="60"/>
    <tableColumn id="8" uniqueName="8" name="All Scotland" queryTableFieldId="8" dataDxfId="59"/>
  </tableColumns>
  <tableStyleInfo showFirstColumn="0" showLastColumn="0" showRowStripes="1" showColumnStripes="0"/>
</table>
</file>

<file path=xl/tables/table57.xml><?xml version="1.0" encoding="utf-8"?>
<table xmlns="http://schemas.openxmlformats.org/spreadsheetml/2006/main" id="21" name="Table_s_srs_v01_pds_RAP_HFSV_Rate_LA_All" displayName="Table_s_srs_v01_pds_RAP_HFSV_Rate_LA_All" ref="A1:O257" tableType="queryTable" totalsRowShown="0">
  <autoFilter ref="A1:O257"/>
  <tableColumns count="15">
    <tableColumn id="2" uniqueName="2" name="Council" queryTableFieldId="2"/>
    <tableColumn id="3" uniqueName="3" name="GSSCode" queryTableFieldId="3"/>
    <tableColumn id="4" uniqueName="4" name="HFSV - alarms installed" queryTableFieldId="4"/>
    <tableColumn id="5" uniqueName="5" name="HFSV - advice only" queryTableFieldId="5"/>
    <tableColumn id="6" uniqueName="6" name="Total HFSV" queryTableFieldId="6"/>
    <tableColumn id="7" uniqueName="7" name="TotalNewAlarms" queryTableFieldId="7"/>
    <tableColumn id="8" uniqueName="8" name="TotalReplacedAlarms" queryTableFieldId="8"/>
    <tableColumn id="9" uniqueName="9" name="TotalAlarms" queryTableFieldId="9"/>
    <tableColumn id="10" uniqueName="10" name="Dwellings" queryTableFieldId="10"/>
    <tableColumn id="11" uniqueName="11" name="VisitsPer100Dwelling" queryTableFieldId="11"/>
    <tableColumn id="12" uniqueName="12" name="AlarmsPer100Dwelling" queryTableFieldId="12"/>
    <tableColumn id="13" uniqueName="13" name="Households" queryTableFieldId="13"/>
    <tableColumn id="14" uniqueName="14" name="VisitsPer100Household" queryTableFieldId="14"/>
    <tableColumn id="15" uniqueName="15" name="AlarmsPer100Household" queryTableFieldId="15"/>
    <tableColumn id="1" uniqueName="1" name="Year" queryTableFieldId="16"/>
  </tableColumns>
  <tableStyleInfo name="TableStyleMedium2" showFirstColumn="0" showLastColumn="0" showRowStripes="1" showColumnStripes="0"/>
</table>
</file>

<file path=xl/tables/table58.xml><?xml version="1.0" encoding="utf-8"?>
<table xmlns="http://schemas.openxmlformats.org/spreadsheetml/2006/main" id="8" name="cset_HFSV_Rate_LA" displayName="cset_HFSV_Rate_LA" ref="E41:S297" tableType="queryTable" totalsRowShown="0">
  <autoFilter ref="E41:S297"/>
  <tableColumns count="15">
    <tableColumn id="16" uniqueName="16" name="FisYr" queryTableFieldId="1" dataDxfId="58"/>
    <tableColumn id="2" uniqueName="2" name="Council" queryTableFieldId="2" dataDxfId="57"/>
    <tableColumn id="3" uniqueName="3" name="GSSCode" queryTableFieldId="3" dataDxfId="56"/>
    <tableColumn id="4" uniqueName="4" name="HFSV - alarms installed" queryTableFieldId="4"/>
    <tableColumn id="5" uniqueName="5" name="HFSV - advice only" queryTableFieldId="5"/>
    <tableColumn id="6" uniqueName="6" name="Total HFSV" queryTableFieldId="6"/>
    <tableColumn id="7" uniqueName="7" name="TotalNewAlarms" queryTableFieldId="7"/>
    <tableColumn id="8" uniqueName="8" name="TotalReplacedAlarms" queryTableFieldId="8"/>
    <tableColumn id="9" uniqueName="9" name="TotalAlarms" queryTableFieldId="9"/>
    <tableColumn id="10" uniqueName="10" name="Dwellings" queryTableFieldId="10"/>
    <tableColumn id="11" uniqueName="11" name="VisitsPer100Dwelling" queryTableFieldId="11"/>
    <tableColumn id="12" uniqueName="12" name="AlarmsPer100Dwelling" queryTableFieldId="12"/>
    <tableColumn id="13" uniqueName="13" name="Households" queryTableFieldId="13"/>
    <tableColumn id="14" uniqueName="14" name="VisitsPer100Household" queryTableFieldId="14"/>
    <tableColumn id="15" uniqueName="15" name="AlarmsPer100Household" queryTableFieldId="15"/>
  </tableColumns>
  <tableStyleInfo name="TableStyleMedium7" showFirstColumn="0" showLastColumn="0" showRowStripes="1" showColumnStripes="0"/>
</table>
</file>

<file path=xl/tables/table59.xml><?xml version="1.0" encoding="utf-8"?>
<table xmlns="http://schemas.openxmlformats.org/spreadsheetml/2006/main" id="29" name="pp_PPED_Workflows" displayName="pp_PPED_Workflows" ref="A9:F16" tableType="queryTable" totalsRowShown="0" headerRowDxfId="55" headerRowBorderDxfId="54">
  <sortState ref="A10:F16">
    <sortCondition ref="A9"/>
  </sortState>
  <tableColumns count="6">
    <tableColumn id="7" uniqueName="7" name="Year" queryTableFieldId="1" dataDxfId="53"/>
    <tableColumn id="2" uniqueName="2" name="Audits" queryTableFieldId="2" dataDxfId="52"/>
    <tableColumn id="3" uniqueName="3" name="Post Fire Short Audits" queryTableFieldId="3" dataDxfId="51"/>
    <tableColumn id="4" uniqueName="4" name="Site Visits" queryTableFieldId="4" dataDxfId="50"/>
    <tableColumn id="5" uniqueName="5" name="Consultations" queryTableFieldId="5" dataDxfId="49"/>
    <tableColumn id="6" uniqueName="6" name="Fire Engineering Consultation" queryTableFieldId="6" dataDxfId="48"/>
  </tableColumns>
  <tableStyleInfo showFirstColumn="0" showLastColumn="0" showRowStripes="1" showColumnStripes="0"/>
</table>
</file>

<file path=xl/tables/table6.xml><?xml version="1.0" encoding="utf-8"?>
<table xmlns="http://schemas.openxmlformats.org/spreadsheetml/2006/main" id="43" name="hrod_HR_DutySystem" displayName="hrod_HR_DutySystem" ref="A10:E13" tableType="queryTable" totalsRowShown="0" headerRowDxfId="16802" headerRowBorderDxfId="16801">
  <tableColumns count="5">
    <tableColumn id="6" uniqueName="6" name="Year" queryTableFieldId="1" dataDxfId="16800"/>
    <tableColumn id="2" uniqueName="2" name="Operational Crewing" queryTableFieldId="2" dataDxfId="16799"/>
    <tableColumn id="3" uniqueName="3" name="Incident Command Officers" queryTableFieldId="3" dataDxfId="16798"/>
    <tableColumn id="4" uniqueName="4" name="Office Duties" queryTableFieldId="4" dataDxfId="16797"/>
    <tableColumn id="5" uniqueName="5" name="Trainees" queryTableFieldId="5" dataDxfId="16796"/>
  </tableColumns>
  <tableStyleInfo showFirstColumn="0" showLastColumn="0" showRowStripes="1" showColumnStripes="0"/>
</table>
</file>

<file path=xl/tables/table60.xml><?xml version="1.0" encoding="utf-8"?>
<table xmlns="http://schemas.openxmlformats.org/spreadsheetml/2006/main" id="30" name="pp_PPED_Audits" displayName="pp_PPED_Audits" ref="A9:M24" tableType="queryTable" totalsRowShown="0" headerRowDxfId="47" headerRowBorderDxfId="46">
  <tableColumns count="13">
    <tableColumn id="14" uniqueName="14" name="Premises type" queryTableFieldId="1" dataDxfId="45"/>
    <tableColumn id="2" uniqueName="2" name="2009-10" queryTableFieldId="2" dataDxfId="44"/>
    <tableColumn id="3" uniqueName="3" name="2010-11" queryTableFieldId="3" dataDxfId="43"/>
    <tableColumn id="4" uniqueName="4" name="2011-12" queryTableFieldId="4" dataDxfId="42"/>
    <tableColumn id="5" uniqueName="5" name="2012-13" queryTableFieldId="5" dataDxfId="41"/>
    <tableColumn id="6" uniqueName="6" name="2013-14" queryTableFieldId="6" dataDxfId="40"/>
    <tableColumn id="7" uniqueName="7" name="2014-15" queryTableFieldId="7" dataDxfId="39"/>
    <tableColumn id="8" uniqueName="8" name="2015-16" queryTableFieldId="8" dataDxfId="38"/>
    <tableColumn id="9" uniqueName="9" name="2016-17" queryTableFieldId="9" dataDxfId="37"/>
    <tableColumn id="10" uniqueName="10" name="2017-18" queryTableFieldId="10" dataDxfId="36"/>
    <tableColumn id="11" uniqueName="11" name="2018-19" queryTableFieldId="11" dataDxfId="35"/>
    <tableColumn id="12" uniqueName="12" name="2019-20" queryTableFieldId="12" dataDxfId="34"/>
    <tableColumn id="13" uniqueName="13" name="2020-21" queryTableFieldId="13" dataDxfId="33"/>
  </tableColumns>
  <tableStyleInfo showFirstColumn="0" showLastColumn="0" showRowStripes="1" showColumnStripes="0"/>
</table>
</file>

<file path=xl/tables/table61.xml><?xml version="1.0" encoding="utf-8"?>
<table xmlns="http://schemas.openxmlformats.org/spreadsheetml/2006/main" id="31" name="pp_PPED_Audits_LA" displayName="pp_PPED_Audits_LA" ref="A1:R229" tableType="queryTable" totalsRowShown="0">
  <autoFilter ref="A1:R229">
    <filterColumn colId="0">
      <filters>
        <filter val="2020-21"/>
      </filters>
    </filterColumn>
  </autoFilter>
  <tableColumns count="18">
    <tableColumn id="19" uniqueName="19" name="Year" queryTableFieldId="1" dataDxfId="32"/>
    <tableColumn id="2" uniqueName="2" name="Local Authority" queryTableFieldId="2" dataDxfId="31"/>
    <tableColumn id="3" uniqueName="3" name="LA Code" queryTableFieldId="3" dataDxfId="30"/>
    <tableColumn id="4" uniqueName="4" name="Hospital / Prison" queryTableFieldId="4"/>
    <tableColumn id="5" uniqueName="5" name="Care Home" queryTableFieldId="5"/>
    <tableColumn id="6" uniqueName="6" name="HMO" queryTableFieldId="6"/>
    <tableColumn id="7" uniqueName="7" name="Hostel" queryTableFieldId="7"/>
    <tableColumn id="8" uniqueName="8" name="Hotel" queryTableFieldId="8"/>
    <tableColumn id="9" uniqueName="9" name="Other Sleeping Accommodation" queryTableFieldId="9"/>
    <tableColumn id="10" uniqueName="10" name="Further Education" queryTableFieldId="10"/>
    <tableColumn id="11" uniqueName="11" name="Public Building" queryTableFieldId="11"/>
    <tableColumn id="12" uniqueName="12" name="Licensed Premises" queryTableFieldId="12"/>
    <tableColumn id="13" uniqueName="13" name="School" queryTableFieldId="13"/>
    <tableColumn id="14" uniqueName="14" name="Shop" queryTableFieldId="14"/>
    <tableColumn id="15" uniqueName="15" name="Other Sleeping Accomm" queryTableFieldId="15"/>
    <tableColumn id="16" uniqueName="16" name="Factory or Warehouse" queryTableFieldId="16"/>
    <tableColumn id="17" uniqueName="17" name="Office" queryTableFieldId="17"/>
    <tableColumn id="18" uniqueName="18" name="Other Workplace" queryTableFieldId="18"/>
  </tableColumns>
  <tableStyleInfo name="TableStyleMedium7" showFirstColumn="0" showLastColumn="0" showRowStripes="1" showColumnStripes="0"/>
</table>
</file>

<file path=xl/tables/table62.xml><?xml version="1.0" encoding="utf-8"?>
<table xmlns="http://schemas.openxmlformats.org/spreadsheetml/2006/main" id="32" name="pp_PPED_Audits_Outcome_Premises" displayName="pp_PPED_Audits_Outcome_Premises" ref="A1:K106" tableType="queryTable" totalsRowShown="0">
  <autoFilter ref="A1:K106"/>
  <tableColumns count="11">
    <tableColumn id="12" uniqueName="12" name="FisYr" queryTableFieldId="1" dataDxfId="29"/>
    <tableColumn id="2" uniqueName="2" name="FSEC" queryTableFieldId="2" dataDxfId="28"/>
    <tableColumn id="3" uniqueName="3" name="Type of Premises" queryTableFieldId="3" dataDxfId="27"/>
    <tableColumn id="4" uniqueName="4" name="A_Tally" queryTableFieldId="4"/>
    <tableColumn id="5" uniqueName="5" name="A_Hours" queryTableFieldId="5"/>
    <tableColumn id="6" uniqueName="6" name="B_Tally" queryTableFieldId="6"/>
    <tableColumn id="7" uniqueName="7" name="B_Hours" queryTableFieldId="7"/>
    <tableColumn id="8" uniqueName="8" name="Enforcement_Tally" queryTableFieldId="8"/>
    <tableColumn id="9" uniqueName="9" name="Enforcement_Hours" queryTableFieldId="9"/>
    <tableColumn id="10" uniqueName="10" name="Prohibition_Tally" queryTableFieldId="10"/>
    <tableColumn id="11" uniqueName="11" name="Prohibition_Hours" queryTableFieldId="11"/>
  </tableColumns>
  <tableStyleInfo name="TableStyleMedium7" showFirstColumn="0" showLastColumn="0" showRowStripes="1" showColumnStripes="0"/>
</table>
</file>

<file path=xl/tables/table63.xml><?xml version="1.0" encoding="utf-8"?>
<table xmlns="http://schemas.openxmlformats.org/spreadsheetml/2006/main" id="34" name="pp_PPED_Audits_Outcome" displayName="pp_PPED_Audits_Outcome" ref="A10:K23" tableType="queryTable" totalsRowShown="0" headerRowDxfId="26" headerRowBorderDxfId="25">
  <autoFilter ref="A10:K23"/>
  <tableColumns count="11">
    <tableColumn id="10" uniqueName="10" name="FisYr" queryTableFieldId="1" dataDxfId="24"/>
    <tableColumn id="2" uniqueName="2" name="A_Tally" queryTableFieldId="2" dataDxfId="23"/>
    <tableColumn id="3" uniqueName="3" name="A_Hours" queryTableFieldId="3" dataDxfId="22"/>
    <tableColumn id="4" uniqueName="4" name="B_Tally" queryTableFieldId="4" dataDxfId="21"/>
    <tableColumn id="5" uniqueName="5" name="B_Hours" queryTableFieldId="5" dataDxfId="20"/>
    <tableColumn id="11" uniqueName="11" name="Audits" queryTableFieldId="11" dataDxfId="19">
      <calculatedColumnFormula>pp_PPED_Audits_Outcome[[#This Row],[A_Tally]]+pp_PPED_Audits_Outcome[[#This Row],[B_Tally]]</calculatedColumnFormula>
    </tableColumn>
    <tableColumn id="12" uniqueName="12" name="Hours5" queryTableFieldId="10" dataDxfId="18">
      <calculatedColumnFormula>pp_PPED_Audits_Outcome[[#This Row],[A_Hours]]+pp_PPED_Audits_Outcome[[#This Row],[B_Hours]]</calculatedColumnFormula>
    </tableColumn>
    <tableColumn id="6" uniqueName="6" name="Enforcement_Tally" queryTableFieldId="6" dataDxfId="17"/>
    <tableColumn id="7" uniqueName="7" name="Enforcement_Hours" queryTableFieldId="7" dataDxfId="16"/>
    <tableColumn id="8" uniqueName="8" name="Prohibition_Tally" queryTableFieldId="8" dataDxfId="15"/>
    <tableColumn id="9" uniqueName="9" name="Prohibition_Hours" queryTableFieldId="9" dataDxfId="14"/>
  </tableColumns>
  <tableStyleInfo showFirstColumn="0" showLastColumn="0" showRowStripes="1" showColumnStripes="0"/>
</table>
</file>

<file path=xl/tables/table64.xml><?xml version="1.0" encoding="utf-8"?>
<table xmlns="http://schemas.openxmlformats.org/spreadsheetml/2006/main" id="36" name="pp_PPED_Audits_Outcome_LA" displayName="pp_PPED_Audits_Outcome_LA" ref="A1:K225" tableType="queryTable" totalsRowShown="0">
  <autoFilter ref="A1:K225">
    <filterColumn colId="0">
      <filters>
        <filter val="2019-20"/>
      </filters>
    </filterColumn>
  </autoFilter>
  <sortState ref="A2:K225">
    <sortCondition ref="A1"/>
  </sortState>
  <tableColumns count="11">
    <tableColumn id="12" uniqueName="12" name="FisYr" queryTableFieldId="1" dataDxfId="13"/>
    <tableColumn id="2" uniqueName="2" name="Council" queryTableFieldId="2" dataDxfId="12"/>
    <tableColumn id="3" uniqueName="3" name="GSSCode" queryTableFieldId="3" dataDxfId="11"/>
    <tableColumn id="4" uniqueName="4" name="A_Tally" queryTableFieldId="4"/>
    <tableColumn id="5" uniqueName="5" name="A_Hours" queryTableFieldId="5"/>
    <tableColumn id="6" uniqueName="6" name="B_Tally" queryTableFieldId="6"/>
    <tableColumn id="7" uniqueName="7" name="B_Hours" queryTableFieldId="7"/>
    <tableColumn id="8" uniqueName="8" name="Enforcement_Tally" queryTableFieldId="8"/>
    <tableColumn id="9" uniqueName="9" name="Enforcement_Hours" queryTableFieldId="9"/>
    <tableColumn id="10" uniqueName="10" name="Prohibition_Tally" queryTableFieldId="10"/>
    <tableColumn id="11" uniqueName="11" name="Prohibition_Hours" queryTableFieldId="11"/>
  </tableColumns>
  <tableStyleInfo name="TableStyleMedium7" showFirstColumn="0" showLastColumn="0" showRowStripes="1" showColumnStripes="0"/>
</table>
</file>

<file path=xl/tables/table65.xml><?xml version="1.0" encoding="utf-8"?>
<table xmlns="http://schemas.openxmlformats.org/spreadsheetml/2006/main" id="35" name="pp_PPED_Notices" displayName="pp_PPED_Notices" ref="A9:E16" tableType="queryTable" totalsRowShown="0" headerRowDxfId="10" dataDxfId="8" headerRowBorderDxfId="9">
  <tableColumns count="5">
    <tableColumn id="5" uniqueName="5" name="Year" queryTableFieldId="1" dataDxfId="7"/>
    <tableColumn id="2" uniqueName="2" name="Enforcement Notice" queryTableFieldId="2" dataDxfId="6"/>
    <tableColumn id="3" uniqueName="3" name="Prohibition Notice" queryTableFieldId="3" dataDxfId="5"/>
    <tableColumn id="4" uniqueName="4" name="Alterations Notice" queryTableFieldId="4" dataDxfId="4"/>
    <tableColumn id="6" uniqueName="6" name="Total" queryTableFieldId="5" dataDxfId="3">
      <calculatedColumnFormula>SUM(pp_PPED_Notices[[#This Row],[Enforcement Notice]:[Alterations Notice]])</calculatedColumnFormula>
    </tableColumn>
  </tableColumns>
  <tableStyleInfo showFirstColumn="0" showLastColumn="0" showRowStripes="1" showColumnStripes="0"/>
</table>
</file>

<file path=xl/tables/table66.xml><?xml version="1.0" encoding="utf-8"?>
<table xmlns="http://schemas.openxmlformats.org/spreadsheetml/2006/main" id="33" name="pp_PPED_Risk" displayName="pp_PPED_Risk" ref="A1:J106" tableType="queryTable" totalsRowShown="0">
  <autoFilter ref="A1:J106"/>
  <tableColumns count="10">
    <tableColumn id="10" uniqueName="10" name="Year" queryTableFieldId="1" dataDxfId="2"/>
    <tableColumn id="2" uniqueName="2" name="FSEC" queryTableFieldId="2" dataDxfId="1"/>
    <tableColumn id="3" uniqueName="3" name="PremisesType" queryTableFieldId="3" dataDxfId="0"/>
    <tableColumn id="4" uniqueName="4" name="VL" queryTableFieldId="4"/>
    <tableColumn id="5" uniqueName="5" name="L" queryTableFieldId="5"/>
    <tableColumn id="6" uniqueName="6" name="M" queryTableFieldId="6"/>
    <tableColumn id="7" uniqueName="7" name="H" queryTableFieldId="7"/>
    <tableColumn id="8" uniqueName="8" name="VH" queryTableFieldId="8"/>
    <tableColumn id="1" uniqueName="1" name="Not Known" queryTableFieldId="10"/>
    <tableColumn id="9" uniqueName="9" name="Total" queryTableFieldId="9"/>
  </tableColumns>
  <tableStyleInfo name="TableStyleMedium7" showFirstColumn="0" showLastColumn="0" showRowStripes="1" showColumnStripes="0"/>
</table>
</file>

<file path=xl/tables/table7.xml><?xml version="1.0" encoding="utf-8"?>
<table xmlns="http://schemas.openxmlformats.org/spreadsheetml/2006/main" id="44" name="hrod_HR_DutySystem_LA" displayName="hrod_HR_DutySystem_LA" ref="A1:G160" tableType="queryTable" totalsRowShown="0">
  <autoFilter ref="A1:G160">
    <filterColumn colId="0">
      <filters>
        <filter val="2020-21"/>
      </filters>
    </filterColumn>
    <filterColumn colId="1">
      <filters>
        <filter val="2:LSO"/>
      </filters>
    </filterColumn>
  </autoFilter>
  <tableColumns count="7">
    <tableColumn id="8" uniqueName="8" name="Year" queryTableFieldId="1" dataDxfId="16795"/>
    <tableColumn id="2" uniqueName="2" name="ReportingLevel" queryTableFieldId="2" dataDxfId="16794"/>
    <tableColumn id="3" uniqueName="3" name="lvl" queryTableFieldId="3" dataDxfId="16793"/>
    <tableColumn id="4" uniqueName="4" name="Operational Crewing" queryTableFieldId="4"/>
    <tableColumn id="5" uniqueName="5" name="Incident Command Officers" queryTableFieldId="5"/>
    <tableColumn id="6" uniqueName="6" name="Office Duties" queryTableFieldId="6"/>
    <tableColumn id="7" uniqueName="7" name="Trainees" queryTableFieldId="7"/>
  </tableColumns>
  <tableStyleInfo name="TableStyleMedium7" showFirstColumn="0" showLastColumn="0" showRowStripes="1" showColumnStripes="0"/>
</table>
</file>

<file path=xl/tables/table8.xml><?xml version="1.0" encoding="utf-8"?>
<table xmlns="http://schemas.openxmlformats.org/spreadsheetml/2006/main" id="68" name="hrod_HR_Department_Headcount__2" displayName="hrod_HR_Department_Headcount__2" ref="A10:J53" tableType="queryTable" totalsRowShown="0" headerRowDxfId="16792" headerRowBorderDxfId="16791">
  <autoFilter ref="A10:J53">
    <filterColumn colId="0">
      <filters>
        <filter val="2020-21"/>
      </filters>
    </filterColumn>
  </autoFilter>
  <tableColumns count="10">
    <tableColumn id="10" uniqueName="10" name="Year" queryTableFieldId="1" dataDxfId="16790"/>
    <tableColumn id="2" uniqueName="2" name="Directorate" queryTableFieldId="2" dataDxfId="16789"/>
    <tableColumn id="3" uniqueName="3" name="Unit" queryTableFieldId="3" dataDxfId="16788"/>
    <tableColumn id="4" uniqueName="4" name="Wholetime Operational" queryTableFieldId="4" dataDxfId="16787"/>
    <tableColumn id="5" uniqueName="5" name="Retained Duty System" queryTableFieldId="5" dataDxfId="16786"/>
    <tableColumn id="6" uniqueName="6" name="Retained Full-time" queryTableFieldId="6" dataDxfId="16785"/>
    <tableColumn id="7" uniqueName="7" name="Control" queryTableFieldId="7" dataDxfId="16784"/>
    <tableColumn id="8" uniqueName="8" name="Support" queryTableFieldId="8" dataDxfId="16783"/>
    <tableColumn id="9" uniqueName="9" name="Volunteer" queryTableFieldId="9" dataDxfId="16782"/>
    <tableColumn id="1" uniqueName="1" name="Total" queryTableFieldId="10" dataDxfId="16781"/>
  </tableColumns>
  <tableStyleInfo showFirstColumn="0" showLastColumn="0" showRowStripes="1" showColumnStripes="0"/>
</table>
</file>

<file path=xl/tables/table9.xml><?xml version="1.0" encoding="utf-8"?>
<table xmlns="http://schemas.openxmlformats.org/spreadsheetml/2006/main" id="69" name="hrod_HR_Department_FTE" displayName="hrod_HR_Department_FTE" ref="A65:I108" tableType="queryTable" totalsRowShown="0" headerRowDxfId="16780" headerRowBorderDxfId="16779">
  <autoFilter ref="A65:I108">
    <filterColumn colId="0">
      <filters>
        <filter val="2020-21"/>
      </filters>
    </filterColumn>
  </autoFilter>
  <tableColumns count="9">
    <tableColumn id="9" uniqueName="9" name="Year" queryTableFieldId="12" dataDxfId="16778"/>
    <tableColumn id="2" uniqueName="2" name="Directorate" queryTableFieldId="2" dataDxfId="16777"/>
    <tableColumn id="3" uniqueName="3" name="Unit" queryTableFieldId="3" dataDxfId="16776"/>
    <tableColumn id="4" uniqueName="4" name="Wholetime Operational" queryTableFieldId="4" dataDxfId="16775"/>
    <tableColumn id="5" uniqueName="5" name="Retained Duty System" queryTableFieldId="5" dataDxfId="16774"/>
    <tableColumn id="6" uniqueName="6" name="Retained Full-time" queryTableFieldId="6" dataDxfId="16773"/>
    <tableColumn id="7" uniqueName="7" name="Control" queryTableFieldId="7" dataDxfId="16772"/>
    <tableColumn id="8" uniqueName="8" name="Support" queryTableFieldId="8" dataDxfId="16771"/>
    <tableColumn id="10" uniqueName="10" name="Total (excluding volunteers)" queryTableFieldId="14" dataDxfId="1677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National.Statistics@firescotland.gov.uk" TargetMode="External"/><Relationship Id="rId2" Type="http://schemas.openxmlformats.org/officeDocument/2006/relationships/hyperlink" Target="http://www.firescotland.gov.uk/about-us/fire-and-rescue-statistics.aspx" TargetMode="External"/><Relationship Id="rId1" Type="http://schemas.openxmlformats.org/officeDocument/2006/relationships/hyperlink" Target="http://www.firescotland.gov.uk/about-us/fire-and-rescue-statistics.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7.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103.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table" Target="../tables/table38.xml"/><Relationship Id="rId1" Type="http://schemas.openxmlformats.org/officeDocument/2006/relationships/printerSettings" Target="../printerSettings/printerSettings38.bin"/><Relationship Id="rId5" Type="http://schemas.openxmlformats.org/officeDocument/2006/relationships/table" Target="../tables/table41.xml"/><Relationship Id="rId4" Type="http://schemas.openxmlformats.org/officeDocument/2006/relationships/table" Target="../tables/table40.xml"/></Relationships>
</file>

<file path=xl/worksheets/_rels/sheet10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39.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4" Type="http://schemas.openxmlformats.org/officeDocument/2006/relationships/table" Target="../tables/table43.xml"/></Relationships>
</file>

<file path=xl/worksheets/_rels/sheet109.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11.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3.xml"/></Relationships>
</file>

<file path=xl/worksheets/_rels/sheet110.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 TargetMode="External"/><Relationship Id="rId4" Type="http://schemas.openxmlformats.org/officeDocument/2006/relationships/table" Target="../tables/table47.xml"/></Relationships>
</file>

<file path=xl/worksheets/_rels/sheet11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printerSettings" Target="../printerSettings/printerSettings44.bin"/><Relationship Id="rId1" Type="http://schemas.openxmlformats.org/officeDocument/2006/relationships/hyperlink" Target="https://www.nrscotland.gov.uk/statistics-and-data/statistics/statistics-by-theme/population/population-estimates/mid-year-population-estimates" TargetMode="External"/><Relationship Id="rId4" Type="http://schemas.openxmlformats.org/officeDocument/2006/relationships/table" Target="../tables/table49.xml"/></Relationships>
</file>

<file path=xl/worksheets/_rels/sheet11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5.bin"/></Relationships>
</file>

<file path=xl/worksheets/_rels/sheet113.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 Id="rId6" Type="http://schemas.openxmlformats.org/officeDocument/2006/relationships/table" Target="../tables/table52.xml"/><Relationship Id="rId5" Type="http://schemas.openxmlformats.org/officeDocument/2006/relationships/table" Target="../tables/table51.xml"/><Relationship Id="rId4" Type="http://schemas.openxmlformats.org/officeDocument/2006/relationships/printerSettings" Target="../printerSettings/printerSettings46.bin"/></Relationships>
</file>

<file path=xl/worksheets/_rels/sheet11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 Id="rId5" Type="http://schemas.openxmlformats.org/officeDocument/2006/relationships/table" Target="../tables/table54.xml"/><Relationship Id="rId4" Type="http://schemas.openxmlformats.org/officeDocument/2006/relationships/table" Target="../tables/table53.xml"/></Relationships>
</file>

<file path=xl/worksheets/_rels/sheet115.xml.rels><?xml version="1.0" encoding="UTF-8" standalone="yes"?>
<Relationships xmlns="http://schemas.openxmlformats.org/package/2006/relationships"><Relationship Id="rId2" Type="http://schemas.openxmlformats.org/officeDocument/2006/relationships/hyperlink" Target="https://www2.gov.scot/Topics/Statistics/SIMD" TargetMode="External"/><Relationship Id="rId1" Type="http://schemas.openxmlformats.org/officeDocument/2006/relationships/hyperlink" Target="https://www2.gov.scot/Topics/Statistics/SIMD" TargetMode="External"/></Relationships>
</file>

<file path=xl/worksheets/_rels/sheet116.xml.rels><?xml version="1.0" encoding="UTF-8" standalone="yes"?>
<Relationships xmlns="http://schemas.openxmlformats.org/package/2006/relationships"><Relationship Id="rId1" Type="http://schemas.openxmlformats.org/officeDocument/2006/relationships/pivotTable" Target="../pivotTables/pivotTable34.xml"/></Relationships>
</file>

<file path=xl/worksheets/_rels/sheet11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small-area-statistics-on-households-and-dwellings" TargetMode="External"/><Relationship Id="rId2" Type="http://schemas.openxmlformats.org/officeDocument/2006/relationships/hyperlink" Target="https://www2.gov.scot/Topics/Statistics/About/Methodology/UrbanRuralClassification" TargetMode="External"/><Relationship Id="rId1" Type="http://schemas.openxmlformats.org/officeDocument/2006/relationships/hyperlink" Target="https://www2.gov.scot/Topics/Statistics/About/Methodology/UrbanRuralClassification" TargetMode="External"/><Relationship Id="rId6" Type="http://schemas.openxmlformats.org/officeDocument/2006/relationships/table" Target="../tables/table56.xml"/><Relationship Id="rId5" Type="http://schemas.openxmlformats.org/officeDocument/2006/relationships/table" Target="../tables/table55.xml"/><Relationship Id="rId4" Type="http://schemas.openxmlformats.org/officeDocument/2006/relationships/printerSettings" Target="../printerSettings/printerSettings47.bin"/></Relationships>
</file>

<file path=xl/worksheets/_rels/sheet118.xml.rels><?xml version="1.0" encoding="UTF-8" standalone="yes"?>
<Relationships xmlns="http://schemas.openxmlformats.org/package/2006/relationships"><Relationship Id="rId3" Type="http://schemas.microsoft.com/office/2007/relationships/slicer" Target="../slicers/slicer54.xml"/><Relationship Id="rId2" Type="http://schemas.openxmlformats.org/officeDocument/2006/relationships/drawing" Target="../drawings/drawing65.xml"/><Relationship Id="rId1" Type="http://schemas.openxmlformats.org/officeDocument/2006/relationships/pivotTable" Target="../pivotTables/pivotTable35.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20.xml.rels><?xml version="1.0" encoding="UTF-8" standalone="yes"?>
<Relationships xmlns="http://schemas.openxmlformats.org/package/2006/relationships"><Relationship Id="rId3" Type="http://schemas.microsoft.com/office/2007/relationships/slicer" Target="../slicers/slicer55.xml"/><Relationship Id="rId2" Type="http://schemas.openxmlformats.org/officeDocument/2006/relationships/drawing" Target="../drawings/drawing66.xml"/><Relationship Id="rId1" Type="http://schemas.openxmlformats.org/officeDocument/2006/relationships/pivotTable" Target="../pivotTables/pivotTable36.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22.xml.rels><?xml version="1.0" encoding="UTF-8" standalone="yes"?>
<Relationships xmlns="http://schemas.openxmlformats.org/package/2006/relationships"><Relationship Id="rId3" Type="http://schemas.microsoft.com/office/2007/relationships/slicer" Target="../slicers/slicer56.xml"/><Relationship Id="rId2" Type="http://schemas.openxmlformats.org/officeDocument/2006/relationships/drawing" Target="../drawings/drawing67.xml"/><Relationship Id="rId1" Type="http://schemas.openxmlformats.org/officeDocument/2006/relationships/printerSettings" Target="../printerSettings/printerSettings48.bin"/></Relationships>
</file>

<file path=xl/worksheets/_rels/sheet123.xml.rels><?xml version="1.0" encoding="UTF-8" standalone="yes"?>
<Relationships xmlns="http://schemas.openxmlformats.org/package/2006/relationships"><Relationship Id="rId3" Type="http://schemas.microsoft.com/office/2007/relationships/slicer" Target="../slicers/slicer57.xml"/><Relationship Id="rId2" Type="http://schemas.openxmlformats.org/officeDocument/2006/relationships/drawing" Target="../drawings/drawing68.xml"/><Relationship Id="rId1" Type="http://schemas.openxmlformats.org/officeDocument/2006/relationships/printerSettings" Target="../printerSettings/printerSettings49.bin"/></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nrscotland.gov.uk/statistics-and-data/statistics/statistics-by-theme/households/household-estimates" TargetMode="External"/><Relationship Id="rId1" Type="http://schemas.openxmlformats.org/officeDocument/2006/relationships/hyperlink" Target="https://www.nrscotland.gov.uk/statistics-and-data/statistics/statistics-by-theme/households/household-estimates/2016/list-of-tables" TargetMode="External"/><Relationship Id="rId5" Type="http://schemas.microsoft.com/office/2007/relationships/slicer" Target="../slicers/slicer58.xml"/><Relationship Id="rId4" Type="http://schemas.openxmlformats.org/officeDocument/2006/relationships/drawing" Target="../drawings/drawing69.xml"/></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1.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3.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6.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2.bin"/></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38.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3.bin"/></Relationships>
</file>

<file path=xl/worksheets/_rels/sheet139.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3" Type="http://schemas.microsoft.com/office/2007/relationships/slicer" Target="../slicers/slicer59.xml"/><Relationship Id="rId2" Type="http://schemas.openxmlformats.org/officeDocument/2006/relationships/drawing" Target="../drawings/drawing83.xml"/><Relationship Id="rId1" Type="http://schemas.openxmlformats.org/officeDocument/2006/relationships/pivotTable" Target="../pivotTables/pivotTable37.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42.xml.rels><?xml version="1.0" encoding="UTF-8" standalone="yes"?>
<Relationships xmlns="http://schemas.openxmlformats.org/package/2006/relationships"><Relationship Id="rId3" Type="http://schemas.microsoft.com/office/2007/relationships/slicer" Target="../slicers/slicer60.xml"/><Relationship Id="rId2" Type="http://schemas.openxmlformats.org/officeDocument/2006/relationships/drawing" Target="../drawings/drawing84.xml"/><Relationship Id="rId1" Type="http://schemas.openxmlformats.org/officeDocument/2006/relationships/printerSettings" Target="../printerSettings/printerSettings54.bin"/></Relationships>
</file>

<file path=xl/worksheets/_rels/sheet143.xml.rels><?xml version="1.0" encoding="UTF-8" standalone="yes"?>
<Relationships xmlns="http://schemas.openxmlformats.org/package/2006/relationships"><Relationship Id="rId3" Type="http://schemas.microsoft.com/office/2007/relationships/slicer" Target="../slicers/slicer61.xml"/><Relationship Id="rId2" Type="http://schemas.openxmlformats.org/officeDocument/2006/relationships/drawing" Target="../drawings/drawing85.xml"/><Relationship Id="rId1" Type="http://schemas.openxmlformats.org/officeDocument/2006/relationships/pivotTable" Target="../pivotTables/pivotTable38.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5.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86.xml"/><Relationship Id="rId1" Type="http://schemas.openxmlformats.org/officeDocument/2006/relationships/printerSettings" Target="../printerSettings/printerSettings55.bin"/><Relationship Id="rId4" Type="http://schemas.microsoft.com/office/2007/relationships/slicer" Target="../slicers/slicer62.xml"/></Relationships>
</file>

<file path=xl/worksheets/_rels/sheet146.xml.rels><?xml version="1.0" encoding="UTF-8" standalone="yes"?>
<Relationships xmlns="http://schemas.openxmlformats.org/package/2006/relationships"><Relationship Id="rId3" Type="http://schemas.microsoft.com/office/2007/relationships/slicer" Target="../slicers/slicer63.xml"/><Relationship Id="rId2" Type="http://schemas.openxmlformats.org/officeDocument/2006/relationships/drawing" Target="../drawings/drawing87.xml"/><Relationship Id="rId1" Type="http://schemas.openxmlformats.org/officeDocument/2006/relationships/pivotTable" Target="../pivotTables/pivotTable39.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148.xml.rels><?xml version="1.0" encoding="UTF-8" standalone="yes"?>
<Relationships xmlns="http://schemas.openxmlformats.org/package/2006/relationships"><Relationship Id="rId3" Type="http://schemas.microsoft.com/office/2007/relationships/slicer" Target="../slicers/slicer64.xml"/><Relationship Id="rId2" Type="http://schemas.openxmlformats.org/officeDocument/2006/relationships/drawing" Target="../drawings/drawing88.xml"/><Relationship Id="rId1" Type="http://schemas.openxmlformats.org/officeDocument/2006/relationships/printerSettings" Target="../printerSettings/printerSettings56.bin"/></Relationships>
</file>

<file path=xl/worksheets/_rels/sheet149.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printerSettings" Target="../printerSettings/printerSettings57.bin"/></Relationships>
</file>

<file path=xl/worksheets/_rels/sheet150.xml.rels><?xml version="1.0" encoding="UTF-8" standalone="yes"?>
<Relationships xmlns="http://schemas.openxmlformats.org/package/2006/relationships"><Relationship Id="rId3" Type="http://schemas.microsoft.com/office/2007/relationships/slicer" Target="../slicers/slicer65.xml"/><Relationship Id="rId2" Type="http://schemas.openxmlformats.org/officeDocument/2006/relationships/drawing" Target="../drawings/drawing89.xml"/><Relationship Id="rId1" Type="http://schemas.openxmlformats.org/officeDocument/2006/relationships/pivotTable" Target="../pivotTables/pivotTable40.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52.xml.rels><?xml version="1.0" encoding="UTF-8" standalone="yes"?>
<Relationships xmlns="http://schemas.openxmlformats.org/package/2006/relationships"><Relationship Id="rId2" Type="http://schemas.microsoft.com/office/2007/relationships/slicer" Target="../slicers/slicer66.xml"/><Relationship Id="rId1" Type="http://schemas.openxmlformats.org/officeDocument/2006/relationships/drawing" Target="../drawings/drawing90.xml"/></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8.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9.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0.xml"/><Relationship Id="rId1" Type="http://schemas.openxmlformats.org/officeDocument/2006/relationships/pivotTable" Target="../pivotTables/pivotTable4.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microsoft.com/office/2007/relationships/slicer" Target="../slicers/slicer9.xml"/><Relationship Id="rId2" Type="http://schemas.openxmlformats.org/officeDocument/2006/relationships/drawing" Target="../drawings/drawing12.xml"/><Relationship Id="rId1" Type="http://schemas.openxmlformats.org/officeDocument/2006/relationships/pivotTable" Target="../pivotTables/pivotTable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8.xml.rels><?xml version="1.0" encoding="UTF-8" standalone="yes"?>
<Relationships xmlns="http://schemas.openxmlformats.org/package/2006/relationships"><Relationship Id="rId3" Type="http://schemas.microsoft.com/office/2007/relationships/slicer" Target="../slicers/slicer10.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microsoft.com/office/2007/relationships/slicer" Target="../slicers/slicer11.xml"/><Relationship Id="rId4" Type="http://schemas.openxmlformats.org/officeDocument/2006/relationships/table" Target="../tables/table9.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microsoft.com/office/2007/relationships/slicer" Target="../slicers/slicer12.xml"/></Relationships>
</file>

<file path=xl/worksheets/_rels/sheet31.xml.rels><?xml version="1.0" encoding="UTF-8" standalone="yes"?>
<Relationships xmlns="http://schemas.openxmlformats.org/package/2006/relationships"><Relationship Id="rId3" Type="http://schemas.microsoft.com/office/2007/relationships/slicer" Target="../slicers/slicer13.xml"/><Relationship Id="rId2" Type="http://schemas.openxmlformats.org/officeDocument/2006/relationships/drawing" Target="../drawings/drawing16.xml"/><Relationship Id="rId1" Type="http://schemas.openxmlformats.org/officeDocument/2006/relationships/pivotTable" Target="../pivotTables/pivotTable8.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3.xml.rels><?xml version="1.0" encoding="UTF-8" standalone="yes"?>
<Relationships xmlns="http://schemas.openxmlformats.org/package/2006/relationships"><Relationship Id="rId3" Type="http://schemas.microsoft.com/office/2007/relationships/slicer" Target="../slicers/slicer14.xml"/><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6.xml.rels><?xml version="1.0" encoding="UTF-8" standalone="yes"?>
<Relationships xmlns="http://schemas.openxmlformats.org/package/2006/relationships"><Relationship Id="rId3" Type="http://schemas.microsoft.com/office/2007/relationships/slicer" Target="../slicers/slicer15.xml"/><Relationship Id="rId2" Type="http://schemas.openxmlformats.org/officeDocument/2006/relationships/drawing" Target="../drawings/drawing18.xml"/><Relationship Id="rId1" Type="http://schemas.openxmlformats.org/officeDocument/2006/relationships/pivotTable" Target="../pivotTables/pivotTable10.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9.xml"/><Relationship Id="rId1" Type="http://schemas.openxmlformats.org/officeDocument/2006/relationships/printerSettings" Target="../printerSettings/printerSettings17.bin"/><Relationship Id="rId6" Type="http://schemas.microsoft.com/office/2007/relationships/slicer" Target="../slicers/slicer16.xml"/><Relationship Id="rId5" Type="http://schemas.openxmlformats.org/officeDocument/2006/relationships/table" Target="../tables/table15.xml"/><Relationship Id="rId4" Type="http://schemas.openxmlformats.org/officeDocument/2006/relationships/table" Target="../tables/table14.xml"/></Relationships>
</file>

<file path=xl/worksheets/_rels/sheet39.xml.rels><?xml version="1.0" encoding="UTF-8" standalone="yes"?>
<Relationships xmlns="http://schemas.openxmlformats.org/package/2006/relationships"><Relationship Id="rId3" Type="http://schemas.microsoft.com/office/2007/relationships/slicer" Target="../slicers/slicer17.xml"/><Relationship Id="rId2" Type="http://schemas.openxmlformats.org/officeDocument/2006/relationships/drawing" Target="../drawings/drawing20.xml"/><Relationship Id="rId1" Type="http://schemas.openxmlformats.org/officeDocument/2006/relationships/pivotTable" Target="../pivotTables/pivotTable1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41.xml.rels><?xml version="1.0" encoding="UTF-8" standalone="yes"?>
<Relationships xmlns="http://schemas.openxmlformats.org/package/2006/relationships"><Relationship Id="rId2" Type="http://schemas.microsoft.com/office/2007/relationships/slicer" Target="../slicers/slicer18.xml"/><Relationship Id="rId1" Type="http://schemas.openxmlformats.org/officeDocument/2006/relationships/drawing" Target="../drawings/drawing21.xml"/></Relationships>
</file>

<file path=xl/worksheets/_rels/sheet42.xml.rels><?xml version="1.0" encoding="UTF-8" standalone="yes"?>
<Relationships xmlns="http://schemas.openxmlformats.org/package/2006/relationships"><Relationship Id="rId3" Type="http://schemas.microsoft.com/office/2007/relationships/slicer" Target="../slicers/slicer19.xml"/><Relationship Id="rId2" Type="http://schemas.openxmlformats.org/officeDocument/2006/relationships/drawing" Target="../drawings/drawing22.xml"/><Relationship Id="rId1" Type="http://schemas.openxmlformats.org/officeDocument/2006/relationships/pivotTable" Target="../pivotTables/pivotTable12.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44.xml.rels><?xml version="1.0" encoding="UTF-8" standalone="yes"?>
<Relationships xmlns="http://schemas.openxmlformats.org/package/2006/relationships"><Relationship Id="rId3" Type="http://schemas.microsoft.com/office/2007/relationships/slicer" Target="../slicers/slicer20.x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3" Type="http://schemas.microsoft.com/office/2007/relationships/slicer" Target="../slicers/slicer21.xml"/><Relationship Id="rId2" Type="http://schemas.openxmlformats.org/officeDocument/2006/relationships/drawing" Target="../drawings/drawing24.xml"/><Relationship Id="rId1" Type="http://schemas.openxmlformats.org/officeDocument/2006/relationships/pivotTable" Target="../pivotTables/pivotTable1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47.xml.rels><?xml version="1.0" encoding="UTF-8" standalone="yes"?>
<Relationships xmlns="http://schemas.openxmlformats.org/package/2006/relationships"><Relationship Id="rId2" Type="http://schemas.microsoft.com/office/2007/relationships/slicer" Target="../slicers/slicer22.xml"/><Relationship Id="rId1" Type="http://schemas.openxmlformats.org/officeDocument/2006/relationships/drawing" Target="../drawings/drawing25.xml"/></Relationships>
</file>

<file path=xl/worksheets/_rels/sheet48.xml.rels><?xml version="1.0" encoding="UTF-8" standalone="yes"?>
<Relationships xmlns="http://schemas.openxmlformats.org/package/2006/relationships"><Relationship Id="rId3" Type="http://schemas.microsoft.com/office/2007/relationships/slicer" Target="../slicers/slicer23.xml"/><Relationship Id="rId2" Type="http://schemas.openxmlformats.org/officeDocument/2006/relationships/drawing" Target="../drawings/drawing26.xml"/><Relationship Id="rId1" Type="http://schemas.openxmlformats.org/officeDocument/2006/relationships/pivotTable" Target="../pivotTables/pivotTable14.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ivotTable" Target="../pivotTables/pivotTable1.xml"/><Relationship Id="rId4" Type="http://schemas.microsoft.com/office/2007/relationships/slicer" Target="../slicers/slicer2.xml"/></Relationships>
</file>

<file path=xl/worksheets/_rels/sheet50.xml.rels><?xml version="1.0" encoding="UTF-8" standalone="yes"?>
<Relationships xmlns="http://schemas.openxmlformats.org/package/2006/relationships"><Relationship Id="rId3" Type="http://schemas.microsoft.com/office/2007/relationships/slicer" Target="../slicers/slicer24.xml"/><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51.xml.rels><?xml version="1.0" encoding="UTF-8" standalone="yes"?>
<Relationships xmlns="http://schemas.openxmlformats.org/package/2006/relationships"><Relationship Id="rId3" Type="http://schemas.microsoft.com/office/2007/relationships/slicer" Target="../slicers/slicer25.xml"/><Relationship Id="rId2" Type="http://schemas.openxmlformats.org/officeDocument/2006/relationships/drawing" Target="../drawings/drawing28.xml"/><Relationship Id="rId1" Type="http://schemas.openxmlformats.org/officeDocument/2006/relationships/pivotTable" Target="../pivotTables/pivotTable15.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53.xml.rels><?xml version="1.0" encoding="UTF-8" standalone="yes"?>
<Relationships xmlns="http://schemas.openxmlformats.org/package/2006/relationships"><Relationship Id="rId3" Type="http://schemas.microsoft.com/office/2007/relationships/slicer" Target="../slicers/slicer26.xml"/><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3" Type="http://schemas.microsoft.com/office/2007/relationships/slicer" Target="../slicers/slicer27.xml"/><Relationship Id="rId2" Type="http://schemas.openxmlformats.org/officeDocument/2006/relationships/drawing" Target="../drawings/drawing30.xml"/><Relationship Id="rId1" Type="http://schemas.openxmlformats.org/officeDocument/2006/relationships/pivotTable" Target="../pivotTables/pivotTable16.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56.xml.rels><?xml version="1.0" encoding="UTF-8" standalone="yes"?>
<Relationships xmlns="http://schemas.openxmlformats.org/package/2006/relationships"><Relationship Id="rId3" Type="http://schemas.microsoft.com/office/2007/relationships/slicer" Target="../slicers/slicer28.xml"/><Relationship Id="rId2" Type="http://schemas.openxmlformats.org/officeDocument/2006/relationships/drawing" Target="../drawings/drawing31.xml"/><Relationship Id="rId1" Type="http://schemas.openxmlformats.org/officeDocument/2006/relationships/pivotTable" Target="../pivotTables/pivotTable17.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58.xml.rels><?xml version="1.0" encoding="UTF-8" standalone="yes"?>
<Relationships xmlns="http://schemas.openxmlformats.org/package/2006/relationships"><Relationship Id="rId3" Type="http://schemas.microsoft.com/office/2007/relationships/slicer" Target="../slicers/slicer29.xml"/><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3" Type="http://schemas.microsoft.com/office/2007/relationships/slicer" Target="../slicers/slicer30.xml"/><Relationship Id="rId2" Type="http://schemas.openxmlformats.org/officeDocument/2006/relationships/drawing" Target="../drawings/drawing33.xml"/><Relationship Id="rId1" Type="http://schemas.openxmlformats.org/officeDocument/2006/relationships/pivotTable" Target="../pivotTables/pivotTable1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61.xml.rels><?xml version="1.0" encoding="UTF-8" standalone="yes"?>
<Relationships xmlns="http://schemas.openxmlformats.org/package/2006/relationships"><Relationship Id="rId3" Type="http://schemas.microsoft.com/office/2007/relationships/slicer" Target="../slicers/slicer31.xml"/><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3" Type="http://schemas.microsoft.com/office/2007/relationships/slicer" Target="../slicers/slicer32.xml"/><Relationship Id="rId2" Type="http://schemas.openxmlformats.org/officeDocument/2006/relationships/drawing" Target="../drawings/drawing35.xml"/><Relationship Id="rId1" Type="http://schemas.openxmlformats.org/officeDocument/2006/relationships/pivotTable" Target="../pivotTables/pivotTable19.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64.xml.rels><?xml version="1.0" encoding="UTF-8" standalone="yes"?>
<Relationships xmlns="http://schemas.openxmlformats.org/package/2006/relationships"><Relationship Id="rId3" Type="http://schemas.microsoft.com/office/2007/relationships/slicer" Target="../slicers/slicer33.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65.xml.rels><?xml version="1.0" encoding="UTF-8" standalone="yes"?>
<Relationships xmlns="http://schemas.openxmlformats.org/package/2006/relationships"><Relationship Id="rId3" Type="http://schemas.microsoft.com/office/2007/relationships/slicer" Target="../slicers/slicer34.xml"/><Relationship Id="rId2" Type="http://schemas.openxmlformats.org/officeDocument/2006/relationships/drawing" Target="../drawings/drawing37.xml"/><Relationship Id="rId1" Type="http://schemas.openxmlformats.org/officeDocument/2006/relationships/pivotTable" Target="../pivotTables/pivotTable20.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67.xml.rels><?xml version="1.0" encoding="UTF-8" standalone="yes"?>
<Relationships xmlns="http://schemas.openxmlformats.org/package/2006/relationships"><Relationship Id="rId3" Type="http://schemas.microsoft.com/office/2007/relationships/slicer" Target="../slicers/slicer35.xml"/><Relationship Id="rId2" Type="http://schemas.openxmlformats.org/officeDocument/2006/relationships/drawing" Target="../drawings/drawing38.xml"/><Relationship Id="rId1" Type="http://schemas.openxmlformats.org/officeDocument/2006/relationships/printerSettings" Target="../printerSettings/printerSettings24.bin"/></Relationships>
</file>

<file path=xl/worksheets/_rels/sheet68.xml.rels><?xml version="1.0" encoding="UTF-8" standalone="yes"?>
<Relationships xmlns="http://schemas.openxmlformats.org/package/2006/relationships"><Relationship Id="rId3" Type="http://schemas.microsoft.com/office/2007/relationships/slicer" Target="../slicers/slicer36.xml"/><Relationship Id="rId2" Type="http://schemas.openxmlformats.org/officeDocument/2006/relationships/drawing" Target="../drawings/drawing39.xml"/><Relationship Id="rId1" Type="http://schemas.openxmlformats.org/officeDocument/2006/relationships/pivotTable" Target="../pivotTables/pivotTable21.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3" Type="http://schemas.microsoft.com/office/2007/relationships/slicer" Target="../slicers/slicer37.xml"/><Relationship Id="rId2" Type="http://schemas.openxmlformats.org/officeDocument/2006/relationships/drawing" Target="../drawings/drawing40.xml"/><Relationship Id="rId1" Type="http://schemas.openxmlformats.org/officeDocument/2006/relationships/pivotTable" Target="../pivotTables/pivotTable22.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72.xml.rels><?xml version="1.0" encoding="UTF-8" standalone="yes"?>
<Relationships xmlns="http://schemas.openxmlformats.org/package/2006/relationships"><Relationship Id="rId3" Type="http://schemas.microsoft.com/office/2007/relationships/slicer" Target="../slicers/slicer38.xml"/><Relationship Id="rId2" Type="http://schemas.openxmlformats.org/officeDocument/2006/relationships/drawing" Target="../drawings/drawing41.xml"/><Relationship Id="rId1" Type="http://schemas.openxmlformats.org/officeDocument/2006/relationships/printerSettings" Target="../printerSettings/printerSettings25.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6.bin"/></Relationships>
</file>

<file path=xl/worksheets/_rels/sheet74.xml.rels><?xml version="1.0" encoding="UTF-8" standalone="yes"?>
<Relationships xmlns="http://schemas.openxmlformats.org/package/2006/relationships"><Relationship Id="rId3" Type="http://schemas.microsoft.com/office/2007/relationships/slicer" Target="../slicers/slicer39.xml"/><Relationship Id="rId2" Type="http://schemas.openxmlformats.org/officeDocument/2006/relationships/drawing" Target="../drawings/drawing42.xml"/><Relationship Id="rId1" Type="http://schemas.openxmlformats.org/officeDocument/2006/relationships/pivotTable" Target="../pivotTables/pivotTable23.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76.xml.rels><?xml version="1.0" encoding="UTF-8" standalone="yes"?>
<Relationships xmlns="http://schemas.openxmlformats.org/package/2006/relationships"><Relationship Id="rId3" Type="http://schemas.microsoft.com/office/2007/relationships/slicer" Target="../slicers/slicer40.xml"/><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77.xml.rels><?xml version="1.0" encoding="UTF-8" standalone="yes"?>
<Relationships xmlns="http://schemas.openxmlformats.org/package/2006/relationships"><Relationship Id="rId3" Type="http://schemas.microsoft.com/office/2007/relationships/slicer" Target="../slicers/slicer41.xml"/><Relationship Id="rId2" Type="http://schemas.openxmlformats.org/officeDocument/2006/relationships/drawing" Target="../drawings/drawing44.xml"/><Relationship Id="rId1" Type="http://schemas.openxmlformats.org/officeDocument/2006/relationships/pivotTable" Target="../pivotTables/pivotTable24.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9.xml.rels><?xml version="1.0" encoding="UTF-8" standalone="yes"?>
<Relationships xmlns="http://schemas.openxmlformats.org/package/2006/relationships"><Relationship Id="rId3" Type="http://schemas.microsoft.com/office/2007/relationships/slicer" Target="../slicers/slicer42.xml"/><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2.xml"/></Relationships>
</file>

<file path=xl/worksheets/_rels/sheet80.xml.rels><?xml version="1.0" encoding="UTF-8" standalone="yes"?>
<Relationships xmlns="http://schemas.openxmlformats.org/package/2006/relationships"><Relationship Id="rId3" Type="http://schemas.microsoft.com/office/2007/relationships/slicer" Target="../slicers/slicer43.xml"/><Relationship Id="rId2" Type="http://schemas.openxmlformats.org/officeDocument/2006/relationships/drawing" Target="../drawings/drawing46.xml"/><Relationship Id="rId1" Type="http://schemas.openxmlformats.org/officeDocument/2006/relationships/pivotTable" Target="../pivotTables/pivotTable25.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2.xml.rels><?xml version="1.0" encoding="UTF-8" standalone="yes"?>
<Relationships xmlns="http://schemas.openxmlformats.org/package/2006/relationships"><Relationship Id="rId3" Type="http://schemas.microsoft.com/office/2007/relationships/slicer" Target="../slicers/slicer44.xml"/><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83.xml.rels><?xml version="1.0" encoding="UTF-8" standalone="yes"?>
<Relationships xmlns="http://schemas.openxmlformats.org/package/2006/relationships"><Relationship Id="rId3" Type="http://schemas.microsoft.com/office/2007/relationships/slicer" Target="../slicers/slicer45.xml"/><Relationship Id="rId2" Type="http://schemas.openxmlformats.org/officeDocument/2006/relationships/drawing" Target="../drawings/drawing48.xml"/><Relationship Id="rId1" Type="http://schemas.openxmlformats.org/officeDocument/2006/relationships/pivotTable" Target="../pivotTables/pivotTable26.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85.xml.rels><?xml version="1.0" encoding="UTF-8" standalone="yes"?>
<Relationships xmlns="http://schemas.openxmlformats.org/package/2006/relationships"><Relationship Id="rId3" Type="http://schemas.microsoft.com/office/2007/relationships/slicer" Target="../slicers/slicer46.xml"/><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86.xml.rels><?xml version="1.0" encoding="UTF-8" standalone="yes"?>
<Relationships xmlns="http://schemas.openxmlformats.org/package/2006/relationships"><Relationship Id="rId3" Type="http://schemas.microsoft.com/office/2007/relationships/slicer" Target="../slicers/slicer47.xml"/><Relationship Id="rId2" Type="http://schemas.openxmlformats.org/officeDocument/2006/relationships/drawing" Target="../drawings/drawing50.xml"/><Relationship Id="rId1" Type="http://schemas.openxmlformats.org/officeDocument/2006/relationships/pivotTable" Target="../pivotTables/pivotTable27.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8.xml.rels><?xml version="1.0" encoding="UTF-8" standalone="yes"?>
<Relationships xmlns="http://schemas.openxmlformats.org/package/2006/relationships"><Relationship Id="rId3" Type="http://schemas.microsoft.com/office/2007/relationships/slicer" Target="../slicers/slicer48.xml"/><Relationship Id="rId2" Type="http://schemas.openxmlformats.org/officeDocument/2006/relationships/drawing" Target="../drawings/drawing51.xml"/><Relationship Id="rId1" Type="http://schemas.openxmlformats.org/officeDocument/2006/relationships/printerSettings" Target="../printerSettings/printerSettings31.bin"/></Relationships>
</file>

<file path=xl/worksheets/_rels/sheet89.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ivotTable" Target="../pivotTables/pivotTable28.xm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table" Target="../tables/table35.xml"/><Relationship Id="rId1" Type="http://schemas.openxmlformats.org/officeDocument/2006/relationships/printerSettings" Target="../printerSettings/printerSettings33.bin"/></Relationships>
</file>

<file path=xl/worksheets/_rels/sheet93.xml.rels><?xml version="1.0" encoding="UTF-8" standalone="yes"?>
<Relationships xmlns="http://schemas.openxmlformats.org/package/2006/relationships"><Relationship Id="rId3" Type="http://schemas.microsoft.com/office/2007/relationships/slicer" Target="../slicers/slicer49.xml"/><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94.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microsoft.com/office/2007/relationships/slicer" Target="../slicers/slicer50.xml"/><Relationship Id="rId5" Type="http://schemas.openxmlformats.org/officeDocument/2006/relationships/drawing" Target="../drawings/drawing53.xml"/><Relationship Id="rId4" Type="http://schemas.openxmlformats.org/officeDocument/2006/relationships/pivotTable" Target="../pivotTables/pivotTable32.xml"/></Relationships>
</file>

<file path=xl/worksheets/_rels/sheet95.xml.rels><?xml version="1.0" encoding="UTF-8" standalone="yes"?>
<Relationships xmlns="http://schemas.openxmlformats.org/package/2006/relationships"><Relationship Id="rId3" Type="http://schemas.microsoft.com/office/2007/relationships/slicer" Target="../slicers/slicer51.xml"/><Relationship Id="rId2" Type="http://schemas.openxmlformats.org/officeDocument/2006/relationships/drawing" Target="../drawings/drawing54.xml"/><Relationship Id="rId1" Type="http://schemas.openxmlformats.org/officeDocument/2006/relationships/pivotTable" Target="../pivotTables/pivotTable33.xml"/></Relationships>
</file>

<file path=xl/worksheets/_rels/sheet96.xml.rels><?xml version="1.0" encoding="UTF-8" standalone="yes"?>
<Relationships xmlns="http://schemas.openxmlformats.org/package/2006/relationships"><Relationship Id="rId3" Type="http://schemas.microsoft.com/office/2007/relationships/slicer" Target="../slicers/slicer52.xml"/><Relationship Id="rId2" Type="http://schemas.openxmlformats.org/officeDocument/2006/relationships/table" Target="../tables/table37.xml"/><Relationship Id="rId1" Type="http://schemas.openxmlformats.org/officeDocument/2006/relationships/drawing" Target="../drawings/drawing55.xml"/></Relationships>
</file>

<file path=xl/worksheets/_rels/sheet97.xml.rels><?xml version="1.0" encoding="UTF-8" standalone="yes"?>
<Relationships xmlns="http://schemas.openxmlformats.org/package/2006/relationships"><Relationship Id="rId2" Type="http://schemas.microsoft.com/office/2007/relationships/slicer" Target="../slicers/slicer53.xml"/><Relationship Id="rId1" Type="http://schemas.openxmlformats.org/officeDocument/2006/relationships/drawing" Target="../drawings/drawing56.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5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388"/>
  <sheetViews>
    <sheetView showGridLines="0" tabSelected="1" zoomScaleNormal="100" workbookViewId="0"/>
  </sheetViews>
  <sheetFormatPr defaultColWidth="9.1796875" defaultRowHeight="14.5" x14ac:dyDescent="0.35"/>
  <cols>
    <col min="1" max="1" width="15" style="382" customWidth="1"/>
    <col min="2" max="2" width="7.7265625" style="382" customWidth="1"/>
    <col min="3" max="3" width="15" style="382" customWidth="1"/>
    <col min="4" max="16384" width="9.1796875" style="382"/>
  </cols>
  <sheetData>
    <row r="1" spans="1:13" ht="23.5" x14ac:dyDescent="0.35">
      <c r="A1" s="457"/>
      <c r="B1" s="457"/>
      <c r="C1" s="457"/>
      <c r="D1" s="457"/>
      <c r="E1" s="457"/>
      <c r="F1" s="458" t="s">
        <v>432</v>
      </c>
      <c r="G1" s="457"/>
      <c r="H1" s="457"/>
      <c r="I1" s="457"/>
      <c r="J1" s="457"/>
      <c r="K1" s="457"/>
      <c r="L1" s="381"/>
      <c r="M1" s="381"/>
    </row>
    <row r="2" spans="1:13" ht="23.5" x14ac:dyDescent="0.35">
      <c r="A2" s="457"/>
      <c r="B2" s="457"/>
      <c r="C2" s="457"/>
      <c r="D2" s="457"/>
      <c r="E2" s="457"/>
      <c r="F2" s="458" t="s">
        <v>431</v>
      </c>
      <c r="G2" s="457"/>
      <c r="H2" s="457"/>
      <c r="I2" s="457"/>
      <c r="J2" s="457"/>
      <c r="K2" s="457"/>
      <c r="L2" s="381"/>
      <c r="M2" s="381"/>
    </row>
    <row r="3" spans="1:13" ht="15.75" customHeight="1" x14ac:dyDescent="0.35">
      <c r="A3" s="383"/>
      <c r="B3" s="383"/>
      <c r="C3" s="383"/>
      <c r="D3" s="453"/>
      <c r="E3" s="383"/>
      <c r="F3" s="384" t="s">
        <v>0</v>
      </c>
      <c r="G3" s="383"/>
      <c r="H3" s="453"/>
      <c r="I3" s="453"/>
      <c r="J3" s="453"/>
      <c r="K3" s="453"/>
      <c r="L3" s="453"/>
    </row>
    <row r="4" spans="1:13" ht="15.75" customHeight="1" x14ac:dyDescent="0.35">
      <c r="A4" s="385"/>
      <c r="B4" s="385"/>
      <c r="C4" s="385"/>
      <c r="D4" s="453"/>
      <c r="E4" s="385"/>
      <c r="F4" s="691" t="s">
        <v>17444</v>
      </c>
      <c r="G4" s="385"/>
      <c r="H4" s="453"/>
      <c r="I4" s="453"/>
      <c r="J4" s="453"/>
      <c r="K4" s="453"/>
      <c r="L4"/>
    </row>
    <row r="5" spans="1:13" ht="15.5" x14ac:dyDescent="0.35">
      <c r="A5" s="454"/>
      <c r="B5" s="454"/>
      <c r="C5" s="454"/>
      <c r="D5" s="453"/>
      <c r="E5" s="454"/>
      <c r="F5" s="455" t="s">
        <v>430</v>
      </c>
      <c r="G5" s="454"/>
      <c r="H5" s="453"/>
      <c r="I5" s="453"/>
      <c r="J5" s="453"/>
      <c r="K5" s="453"/>
      <c r="L5" s="453"/>
    </row>
    <row r="6" spans="1:13" ht="15.5" x14ac:dyDescent="0.35">
      <c r="A6" s="454"/>
      <c r="B6" s="454"/>
      <c r="C6" s="454"/>
      <c r="D6" s="453"/>
      <c r="E6" s="454"/>
      <c r="F6" s="455"/>
      <c r="G6" s="454"/>
      <c r="H6" s="453"/>
      <c r="I6" s="453"/>
      <c r="J6" s="453"/>
      <c r="K6" s="453"/>
      <c r="L6" s="453"/>
    </row>
    <row r="7" spans="1:13" ht="30.75" customHeight="1" x14ac:dyDescent="0.35">
      <c r="A7" s="454"/>
      <c r="B7" s="1157" t="s">
        <v>823</v>
      </c>
      <c r="C7" s="1157"/>
      <c r="D7" s="1157"/>
      <c r="E7" s="1157"/>
      <c r="F7" s="1157"/>
      <c r="G7" s="1157"/>
      <c r="H7" s="1157"/>
      <c r="I7" s="1157"/>
      <c r="J7" s="1157"/>
      <c r="K7" s="1157"/>
      <c r="L7" s="453"/>
    </row>
    <row r="8" spans="1:13" ht="15.5" x14ac:dyDescent="0.35">
      <c r="A8" s="454"/>
      <c r="B8" s="454"/>
      <c r="C8" s="454"/>
      <c r="D8" s="453"/>
      <c r="E8" s="454"/>
      <c r="F8" s="455"/>
      <c r="G8" s="454"/>
      <c r="H8" s="453"/>
      <c r="I8" s="453"/>
      <c r="J8" s="453"/>
      <c r="K8" s="453"/>
      <c r="L8" s="453"/>
    </row>
    <row r="9" spans="1:13" ht="15.5" x14ac:dyDescent="0.35">
      <c r="A9" s="386"/>
      <c r="B9" s="387" t="s">
        <v>438</v>
      </c>
      <c r="D9" s="453"/>
      <c r="E9" s="386"/>
      <c r="F9" s="453"/>
      <c r="G9" s="386"/>
      <c r="H9" s="453"/>
      <c r="I9" s="453"/>
      <c r="J9" s="453"/>
      <c r="K9" s="453"/>
      <c r="L9" s="453"/>
    </row>
    <row r="10" spans="1:13" ht="15.5" x14ac:dyDescent="0.35">
      <c r="A10" s="386"/>
      <c r="B10" s="387"/>
      <c r="C10" s="387" t="s">
        <v>771</v>
      </c>
      <c r="D10" s="453"/>
      <c r="E10" s="386"/>
      <c r="F10" s="453"/>
      <c r="G10" s="386"/>
      <c r="H10" s="453"/>
      <c r="I10" s="453"/>
      <c r="J10" s="453"/>
      <c r="K10" s="453"/>
      <c r="L10" s="453"/>
    </row>
    <row r="11" spans="1:13" ht="15.75" customHeight="1" x14ac:dyDescent="0.35">
      <c r="A11" s="383"/>
      <c r="B11" s="383"/>
      <c r="C11" s="387" t="s">
        <v>845</v>
      </c>
      <c r="D11" s="453"/>
      <c r="F11" s="383"/>
      <c r="G11" s="383"/>
      <c r="H11" s="453"/>
      <c r="I11" s="453"/>
      <c r="J11" s="453"/>
      <c r="K11" s="453"/>
      <c r="L11" s="453"/>
    </row>
    <row r="12" spans="1:13" ht="15.75" customHeight="1" x14ac:dyDescent="0.35">
      <c r="A12" s="383"/>
      <c r="B12" s="383"/>
      <c r="C12" s="387" t="s">
        <v>433</v>
      </c>
      <c r="D12" s="453"/>
      <c r="F12" s="383"/>
      <c r="G12" s="383"/>
      <c r="H12" s="453"/>
      <c r="I12" s="453"/>
      <c r="J12" s="453"/>
      <c r="K12" s="453"/>
      <c r="L12" s="453"/>
    </row>
    <row r="13" spans="1:13" ht="15.75" customHeight="1" x14ac:dyDescent="0.35">
      <c r="A13" s="383"/>
      <c r="B13" s="383"/>
      <c r="C13" s="387" t="s">
        <v>205</v>
      </c>
      <c r="D13" s="453"/>
      <c r="F13" s="383"/>
      <c r="G13" s="383"/>
      <c r="H13" s="453"/>
      <c r="I13" s="453"/>
      <c r="J13" s="453"/>
      <c r="K13" s="453"/>
      <c r="L13" s="453"/>
    </row>
    <row r="14" spans="1:13" ht="15.75" customHeight="1" x14ac:dyDescent="0.35">
      <c r="A14" s="383"/>
      <c r="B14" s="383"/>
      <c r="C14" s="387" t="s">
        <v>434</v>
      </c>
      <c r="D14" s="453"/>
      <c r="F14" s="383"/>
      <c r="G14" s="383"/>
      <c r="H14" s="453"/>
      <c r="I14" s="453"/>
      <c r="J14" s="453"/>
      <c r="K14" s="453"/>
      <c r="L14" s="453"/>
    </row>
    <row r="15" spans="1:13" ht="15.75" customHeight="1" x14ac:dyDescent="0.35">
      <c r="A15" s="383"/>
      <c r="B15" s="383"/>
      <c r="C15" s="387" t="s">
        <v>209</v>
      </c>
      <c r="D15" s="453"/>
      <c r="F15" s="383"/>
      <c r="G15" s="383"/>
      <c r="H15" s="453"/>
      <c r="I15" s="453"/>
      <c r="J15" s="453"/>
      <c r="K15" s="453"/>
      <c r="L15" s="453"/>
    </row>
    <row r="16" spans="1:13" ht="15.75" customHeight="1" x14ac:dyDescent="0.35">
      <c r="A16" s="383"/>
      <c r="B16" s="383"/>
      <c r="C16" s="387" t="s">
        <v>435</v>
      </c>
      <c r="D16" s="453"/>
      <c r="F16" s="383"/>
      <c r="G16" s="383"/>
      <c r="H16" s="453"/>
      <c r="I16" s="453"/>
      <c r="J16" s="453"/>
      <c r="K16" s="453"/>
      <c r="L16" s="453"/>
    </row>
    <row r="17" spans="1:12" ht="15.75" customHeight="1" x14ac:dyDescent="0.35">
      <c r="A17" s="383"/>
      <c r="B17" s="383"/>
      <c r="C17" s="387"/>
      <c r="D17" s="453"/>
      <c r="F17" s="383"/>
      <c r="G17" s="383"/>
      <c r="H17" s="453"/>
      <c r="I17" s="453"/>
      <c r="J17" s="453"/>
      <c r="K17" s="453"/>
      <c r="L17" s="453"/>
    </row>
    <row r="18" spans="1:12" ht="15" customHeight="1" x14ac:dyDescent="0.35">
      <c r="A18" s="383"/>
      <c r="B18" s="1155" t="s">
        <v>824</v>
      </c>
      <c r="C18" s="1155"/>
      <c r="D18" s="1155"/>
      <c r="E18" s="1155"/>
      <c r="F18" s="1155"/>
      <c r="G18" s="1155"/>
      <c r="H18" s="1155"/>
      <c r="I18" s="1155"/>
      <c r="J18" s="1155"/>
      <c r="K18" s="1155"/>
      <c r="L18" s="453"/>
    </row>
    <row r="19" spans="1:12" ht="15" customHeight="1" x14ac:dyDescent="0.35">
      <c r="A19" s="383"/>
      <c r="B19" s="685"/>
      <c r="C19" s="679"/>
      <c r="D19" s="679"/>
      <c r="E19" s="679"/>
      <c r="F19" s="679"/>
      <c r="G19" s="679"/>
      <c r="H19" s="679"/>
      <c r="I19" s="679"/>
      <c r="J19" s="679"/>
      <c r="K19" s="679"/>
      <c r="L19" s="453"/>
    </row>
    <row r="20" spans="1:12" ht="30" customHeight="1" x14ac:dyDescent="0.35">
      <c r="A20" s="383"/>
      <c r="B20" s="1155" t="s">
        <v>436</v>
      </c>
      <c r="C20" s="1155"/>
      <c r="D20" s="1155"/>
      <c r="E20" s="1155"/>
      <c r="F20" s="1155"/>
      <c r="G20" s="1155"/>
      <c r="H20" s="1155"/>
      <c r="I20" s="1155"/>
      <c r="J20" s="1155"/>
      <c r="K20" s="1155"/>
      <c r="L20" s="453"/>
    </row>
    <row r="21" spans="1:12" ht="30" customHeight="1" x14ac:dyDescent="0.35">
      <c r="A21" s="383"/>
      <c r="B21" s="1155" t="s">
        <v>437</v>
      </c>
      <c r="C21" s="1155"/>
      <c r="D21" s="1155"/>
      <c r="E21" s="1155"/>
      <c r="F21" s="1155"/>
      <c r="G21" s="1155"/>
      <c r="H21" s="1155"/>
      <c r="I21" s="1155"/>
      <c r="J21" s="1155"/>
      <c r="K21" s="1155"/>
      <c r="L21" s="453"/>
    </row>
    <row r="22" spans="1:12" ht="15.5" x14ac:dyDescent="0.35">
      <c r="A22" s="383"/>
      <c r="B22" s="301"/>
      <c r="C22" s="301"/>
      <c r="D22" s="301"/>
      <c r="E22" s="301"/>
      <c r="F22" s="301"/>
      <c r="G22" s="301"/>
      <c r="H22" s="453"/>
      <c r="I22" s="453"/>
      <c r="J22" s="453"/>
      <c r="K22" s="453"/>
      <c r="L22" s="453"/>
    </row>
    <row r="23" spans="1:12" ht="15.5" x14ac:dyDescent="0.35">
      <c r="A23" s="386"/>
      <c r="B23" s="1156" t="s">
        <v>230</v>
      </c>
      <c r="C23" s="1156"/>
      <c r="D23" s="1156"/>
      <c r="E23" s="1156"/>
      <c r="F23" s="456" t="s">
        <v>210</v>
      </c>
      <c r="G23" s="386"/>
      <c r="H23" s="453"/>
      <c r="I23" s="453"/>
      <c r="J23" s="453"/>
      <c r="K23" s="453"/>
      <c r="L23" s="453"/>
    </row>
    <row r="24" spans="1:12" ht="18" customHeight="1" x14ac:dyDescent="0.35">
      <c r="A24"/>
      <c r="B24"/>
      <c r="C24"/>
      <c r="D24"/>
      <c r="E24"/>
      <c r="F24"/>
      <c r="G24" s="388"/>
      <c r="H24" s="453"/>
      <c r="I24" s="453"/>
      <c r="J24" s="453"/>
      <c r="K24" s="453"/>
      <c r="L24" s="453"/>
    </row>
    <row r="25" spans="1:12" ht="15.5" x14ac:dyDescent="0.35">
      <c r="A25"/>
      <c r="B25"/>
      <c r="C25"/>
      <c r="D25"/>
      <c r="E25"/>
      <c r="F25"/>
      <c r="G25" s="301"/>
      <c r="H25" s="453"/>
      <c r="I25" s="453"/>
      <c r="J25" s="453"/>
      <c r="K25" s="453"/>
      <c r="L25" s="453"/>
    </row>
    <row r="26" spans="1:12" ht="15.5" x14ac:dyDescent="0.35">
      <c r="A26"/>
      <c r="B26"/>
      <c r="C26"/>
      <c r="D26"/>
      <c r="E26"/>
      <c r="F26"/>
      <c r="G26" s="301"/>
      <c r="H26" s="453"/>
      <c r="I26" s="453"/>
      <c r="J26" s="453"/>
      <c r="K26" s="453"/>
      <c r="L26" s="453"/>
    </row>
    <row r="27" spans="1:12" ht="15.5" x14ac:dyDescent="0.35">
      <c r="A27"/>
      <c r="B27"/>
      <c r="C27"/>
      <c r="D27"/>
      <c r="E27"/>
      <c r="F27"/>
      <c r="G27" s="301"/>
      <c r="H27" s="453"/>
      <c r="I27" s="453"/>
      <c r="J27" s="453"/>
      <c r="K27" s="453"/>
      <c r="L27" s="453"/>
    </row>
    <row r="28" spans="1:12" ht="15.5" x14ac:dyDescent="0.35">
      <c r="A28"/>
      <c r="B28"/>
      <c r="C28"/>
      <c r="D28"/>
      <c r="E28"/>
      <c r="F28"/>
      <c r="G28" s="453"/>
      <c r="H28" s="453"/>
      <c r="I28" s="453"/>
      <c r="J28" s="453"/>
      <c r="K28" s="453"/>
      <c r="L28" s="453"/>
    </row>
    <row r="29" spans="1:12" ht="15.5" x14ac:dyDescent="0.35">
      <c r="A29"/>
      <c r="B29"/>
      <c r="C29"/>
      <c r="D29"/>
      <c r="E29"/>
      <c r="F29"/>
      <c r="G29" s="453"/>
      <c r="H29" s="453"/>
      <c r="I29" s="453"/>
      <c r="J29" s="453"/>
      <c r="K29" s="453"/>
      <c r="L29" s="453"/>
    </row>
    <row r="30" spans="1:12" x14ac:dyDescent="0.35">
      <c r="A30"/>
      <c r="B30"/>
      <c r="C30"/>
      <c r="D30"/>
      <c r="E30"/>
      <c r="F30"/>
    </row>
    <row r="31" spans="1:12" x14ac:dyDescent="0.35">
      <c r="A31"/>
      <c r="B31"/>
      <c r="C31"/>
      <c r="D31"/>
      <c r="E31"/>
      <c r="F31"/>
    </row>
    <row r="32" spans="1:12" x14ac:dyDescent="0.35">
      <c r="B32"/>
      <c r="C32"/>
      <c r="D32"/>
      <c r="E32"/>
      <c r="F32"/>
    </row>
    <row r="33" spans="2:6" x14ac:dyDescent="0.35">
      <c r="B33"/>
      <c r="C33"/>
      <c r="D33"/>
      <c r="E33"/>
      <c r="F33"/>
    </row>
    <row r="34" spans="2:6" x14ac:dyDescent="0.35">
      <c r="B34"/>
      <c r="C34"/>
      <c r="D34"/>
      <c r="E34"/>
      <c r="F34"/>
    </row>
    <row r="35" spans="2:6" x14ac:dyDescent="0.35">
      <c r="B35"/>
      <c r="C35"/>
      <c r="D35"/>
      <c r="E35"/>
      <c r="F35"/>
    </row>
    <row r="36" spans="2:6" x14ac:dyDescent="0.35">
      <c r="B36"/>
      <c r="C36"/>
      <c r="D36"/>
      <c r="E36"/>
      <c r="F36"/>
    </row>
    <row r="37" spans="2:6" x14ac:dyDescent="0.35">
      <c r="B37"/>
      <c r="C37"/>
      <c r="D37"/>
      <c r="E37"/>
      <c r="F37"/>
    </row>
    <row r="38" spans="2:6" x14ac:dyDescent="0.35">
      <c r="B38"/>
      <c r="C38"/>
      <c r="D38"/>
      <c r="E38"/>
      <c r="F38"/>
    </row>
    <row r="39" spans="2:6" x14ac:dyDescent="0.35">
      <c r="B39"/>
      <c r="C39"/>
      <c r="D39"/>
      <c r="E39"/>
      <c r="F39"/>
    </row>
    <row r="40" spans="2:6" x14ac:dyDescent="0.35">
      <c r="B40"/>
      <c r="C40"/>
      <c r="D40"/>
      <c r="E40"/>
      <c r="F40"/>
    </row>
    <row r="41" spans="2:6" x14ac:dyDescent="0.35">
      <c r="B41"/>
      <c r="C41"/>
      <c r="D41"/>
      <c r="E41"/>
      <c r="F41"/>
    </row>
    <row r="42" spans="2:6" x14ac:dyDescent="0.35">
      <c r="B42"/>
      <c r="C42"/>
      <c r="D42"/>
      <c r="E42"/>
      <c r="F42"/>
    </row>
    <row r="43" spans="2:6" x14ac:dyDescent="0.35">
      <c r="B43"/>
      <c r="C43"/>
      <c r="D43"/>
      <c r="E43"/>
      <c r="F43"/>
    </row>
    <row r="44" spans="2:6" x14ac:dyDescent="0.35">
      <c r="B44"/>
      <c r="C44"/>
      <c r="D44"/>
      <c r="E44"/>
      <c r="F44"/>
    </row>
    <row r="45" spans="2:6" x14ac:dyDescent="0.35">
      <c r="B45"/>
      <c r="C45"/>
      <c r="D45"/>
      <c r="E45"/>
      <c r="F45"/>
    </row>
    <row r="46" spans="2:6" x14ac:dyDescent="0.35">
      <c r="B46"/>
      <c r="C46"/>
      <c r="D46"/>
      <c r="E46"/>
      <c r="F46"/>
    </row>
    <row r="47" spans="2:6" x14ac:dyDescent="0.35">
      <c r="B47"/>
      <c r="C47"/>
      <c r="D47"/>
      <c r="E47"/>
      <c r="F47"/>
    </row>
    <row r="48" spans="2:6" x14ac:dyDescent="0.35">
      <c r="B48"/>
      <c r="C48"/>
      <c r="D48"/>
      <c r="E48"/>
      <c r="F48"/>
    </row>
    <row r="49" spans="2:6" x14ac:dyDescent="0.35">
      <c r="B49"/>
      <c r="C49"/>
      <c r="D49"/>
      <c r="E49"/>
      <c r="F49"/>
    </row>
    <row r="50" spans="2:6" x14ac:dyDescent="0.35">
      <c r="B50"/>
      <c r="C50"/>
      <c r="D50"/>
      <c r="E50"/>
      <c r="F50"/>
    </row>
    <row r="51" spans="2:6" x14ac:dyDescent="0.35">
      <c r="B51"/>
      <c r="C51"/>
      <c r="D51"/>
      <c r="E51"/>
      <c r="F51"/>
    </row>
    <row r="52" spans="2:6" x14ac:dyDescent="0.35">
      <c r="B52"/>
      <c r="C52"/>
      <c r="D52"/>
      <c r="E52"/>
      <c r="F52"/>
    </row>
    <row r="53" spans="2:6" x14ac:dyDescent="0.35">
      <c r="B53"/>
      <c r="C53"/>
      <c r="D53"/>
      <c r="E53"/>
      <c r="F53"/>
    </row>
    <row r="54" spans="2:6" x14ac:dyDescent="0.35">
      <c r="B54"/>
      <c r="C54"/>
      <c r="D54"/>
      <c r="E54"/>
      <c r="F54"/>
    </row>
    <row r="55" spans="2:6" x14ac:dyDescent="0.35">
      <c r="B55"/>
      <c r="C55"/>
      <c r="D55"/>
      <c r="E55"/>
      <c r="F55"/>
    </row>
    <row r="56" spans="2:6" x14ac:dyDescent="0.35">
      <c r="B56"/>
      <c r="C56"/>
      <c r="D56"/>
      <c r="E56"/>
      <c r="F56"/>
    </row>
    <row r="57" spans="2:6" x14ac:dyDescent="0.35">
      <c r="B57"/>
      <c r="C57"/>
      <c r="D57"/>
      <c r="E57"/>
      <c r="F57"/>
    </row>
    <row r="58" spans="2:6" x14ac:dyDescent="0.35">
      <c r="B58"/>
      <c r="C58"/>
      <c r="D58"/>
      <c r="E58"/>
      <c r="F58"/>
    </row>
    <row r="59" spans="2:6" x14ac:dyDescent="0.35">
      <c r="B59"/>
      <c r="C59"/>
      <c r="D59"/>
      <c r="E59"/>
      <c r="F59"/>
    </row>
    <row r="60" spans="2:6" x14ac:dyDescent="0.35">
      <c r="B60"/>
      <c r="C60"/>
      <c r="D60"/>
      <c r="E60"/>
      <c r="F60"/>
    </row>
    <row r="61" spans="2:6" x14ac:dyDescent="0.35">
      <c r="B61"/>
      <c r="C61"/>
      <c r="D61"/>
      <c r="E61"/>
      <c r="F61"/>
    </row>
    <row r="62" spans="2:6" x14ac:dyDescent="0.35">
      <c r="B62"/>
      <c r="C62"/>
      <c r="D62"/>
      <c r="E62"/>
      <c r="F62"/>
    </row>
    <row r="63" spans="2:6" x14ac:dyDescent="0.35">
      <c r="B63"/>
      <c r="C63"/>
      <c r="D63"/>
      <c r="E63"/>
      <c r="F63"/>
    </row>
    <row r="64" spans="2:6" x14ac:dyDescent="0.35">
      <c r="B64"/>
      <c r="C64"/>
      <c r="D64"/>
      <c r="E64"/>
      <c r="F64"/>
    </row>
    <row r="65" spans="2:6" x14ac:dyDescent="0.35">
      <c r="B65"/>
      <c r="C65"/>
      <c r="D65"/>
      <c r="E65"/>
      <c r="F65"/>
    </row>
    <row r="66" spans="2:6" x14ac:dyDescent="0.35">
      <c r="B66"/>
      <c r="C66"/>
      <c r="D66"/>
      <c r="E66"/>
      <c r="F66"/>
    </row>
    <row r="67" spans="2:6" x14ac:dyDescent="0.35">
      <c r="B67"/>
      <c r="C67"/>
      <c r="D67"/>
      <c r="E67"/>
      <c r="F67"/>
    </row>
    <row r="68" spans="2:6" x14ac:dyDescent="0.35">
      <c r="B68"/>
      <c r="C68"/>
      <c r="D68"/>
      <c r="E68"/>
      <c r="F68"/>
    </row>
    <row r="69" spans="2:6" x14ac:dyDescent="0.35">
      <c r="B69"/>
      <c r="C69"/>
      <c r="D69"/>
      <c r="E69"/>
      <c r="F69"/>
    </row>
    <row r="70" spans="2:6" x14ac:dyDescent="0.35">
      <c r="B70"/>
      <c r="C70"/>
      <c r="D70"/>
      <c r="E70"/>
      <c r="F70"/>
    </row>
    <row r="71" spans="2:6" x14ac:dyDescent="0.35">
      <c r="B71"/>
      <c r="C71"/>
      <c r="D71"/>
      <c r="E71"/>
      <c r="F71"/>
    </row>
    <row r="72" spans="2:6" x14ac:dyDescent="0.35">
      <c r="B72"/>
      <c r="C72"/>
      <c r="D72"/>
      <c r="E72"/>
      <c r="F72"/>
    </row>
    <row r="73" spans="2:6" x14ac:dyDescent="0.35">
      <c r="B73"/>
      <c r="C73"/>
      <c r="D73"/>
      <c r="E73"/>
      <c r="F73"/>
    </row>
    <row r="74" spans="2:6" x14ac:dyDescent="0.35">
      <c r="B74"/>
      <c r="C74"/>
      <c r="D74"/>
      <c r="E74"/>
      <c r="F74"/>
    </row>
    <row r="75" spans="2:6" x14ac:dyDescent="0.35">
      <c r="B75"/>
      <c r="C75"/>
      <c r="D75"/>
      <c r="E75"/>
      <c r="F75"/>
    </row>
    <row r="76" spans="2:6" x14ac:dyDescent="0.35">
      <c r="B76"/>
      <c r="C76"/>
      <c r="D76"/>
      <c r="E76"/>
      <c r="F76"/>
    </row>
    <row r="77" spans="2:6" x14ac:dyDescent="0.35">
      <c r="B77"/>
      <c r="C77"/>
      <c r="D77"/>
      <c r="E77"/>
      <c r="F77"/>
    </row>
    <row r="78" spans="2:6" x14ac:dyDescent="0.35">
      <c r="B78"/>
      <c r="C78"/>
      <c r="D78"/>
      <c r="E78"/>
      <c r="F78"/>
    </row>
    <row r="79" spans="2:6" x14ac:dyDescent="0.35">
      <c r="B79"/>
      <c r="C79"/>
      <c r="D79"/>
      <c r="E79"/>
      <c r="F79"/>
    </row>
    <row r="80" spans="2:6" x14ac:dyDescent="0.35">
      <c r="B80"/>
      <c r="C80"/>
      <c r="D80"/>
      <c r="E80"/>
      <c r="F80"/>
    </row>
    <row r="81" spans="2:6" x14ac:dyDescent="0.35">
      <c r="B81"/>
      <c r="C81"/>
      <c r="D81"/>
      <c r="E81"/>
      <c r="F81"/>
    </row>
    <row r="82" spans="2:6" x14ac:dyDescent="0.35">
      <c r="B82"/>
      <c r="C82"/>
      <c r="D82"/>
      <c r="E82"/>
      <c r="F82"/>
    </row>
    <row r="83" spans="2:6" x14ac:dyDescent="0.35">
      <c r="B83"/>
      <c r="C83"/>
      <c r="D83"/>
      <c r="E83"/>
      <c r="F83"/>
    </row>
    <row r="84" spans="2:6" x14ac:dyDescent="0.35">
      <c r="B84"/>
      <c r="C84"/>
      <c r="D84"/>
      <c r="E84"/>
      <c r="F84"/>
    </row>
    <row r="85" spans="2:6" x14ac:dyDescent="0.35">
      <c r="B85"/>
      <c r="C85"/>
      <c r="D85"/>
      <c r="E85"/>
      <c r="F85"/>
    </row>
    <row r="86" spans="2:6" x14ac:dyDescent="0.35">
      <c r="B86"/>
      <c r="C86"/>
      <c r="D86"/>
      <c r="E86"/>
      <c r="F86"/>
    </row>
    <row r="87" spans="2:6" x14ac:dyDescent="0.35">
      <c r="B87"/>
      <c r="C87"/>
      <c r="D87"/>
      <c r="E87"/>
      <c r="F87"/>
    </row>
    <row r="88" spans="2:6" x14ac:dyDescent="0.35">
      <c r="B88"/>
      <c r="C88"/>
      <c r="D88"/>
      <c r="E88"/>
      <c r="F88"/>
    </row>
    <row r="89" spans="2:6" x14ac:dyDescent="0.35">
      <c r="B89"/>
      <c r="C89"/>
      <c r="D89"/>
      <c r="E89"/>
      <c r="F89"/>
    </row>
    <row r="90" spans="2:6" x14ac:dyDescent="0.35">
      <c r="B90"/>
      <c r="C90"/>
      <c r="D90"/>
      <c r="E90"/>
      <c r="F90"/>
    </row>
    <row r="91" spans="2:6" x14ac:dyDescent="0.35">
      <c r="B91"/>
      <c r="C91"/>
      <c r="D91"/>
      <c r="E91"/>
      <c r="F91"/>
    </row>
    <row r="92" spans="2:6" x14ac:dyDescent="0.35">
      <c r="B92"/>
      <c r="C92"/>
      <c r="D92"/>
      <c r="E92"/>
      <c r="F92"/>
    </row>
    <row r="93" spans="2:6" x14ac:dyDescent="0.35">
      <c r="B93"/>
      <c r="C93"/>
      <c r="D93"/>
      <c r="E93"/>
      <c r="F93"/>
    </row>
    <row r="94" spans="2:6" x14ac:dyDescent="0.35">
      <c r="B94"/>
      <c r="C94"/>
      <c r="D94"/>
      <c r="E94"/>
      <c r="F94"/>
    </row>
    <row r="95" spans="2:6" x14ac:dyDescent="0.35">
      <c r="B95"/>
      <c r="C95"/>
      <c r="D95"/>
      <c r="E95"/>
      <c r="F95"/>
    </row>
    <row r="96" spans="2:6" x14ac:dyDescent="0.35">
      <c r="B96"/>
      <c r="C96"/>
      <c r="D96"/>
      <c r="E96"/>
      <c r="F96"/>
    </row>
    <row r="97" spans="2:6" x14ac:dyDescent="0.35">
      <c r="B97"/>
      <c r="C97"/>
      <c r="D97"/>
      <c r="E97"/>
      <c r="F97"/>
    </row>
    <row r="98" spans="2:6" x14ac:dyDescent="0.35">
      <c r="B98"/>
      <c r="C98"/>
      <c r="D98"/>
      <c r="E98"/>
      <c r="F98"/>
    </row>
    <row r="99" spans="2:6" x14ac:dyDescent="0.35">
      <c r="B99"/>
      <c r="C99"/>
      <c r="D99"/>
      <c r="E99"/>
      <c r="F99"/>
    </row>
    <row r="100" spans="2:6" x14ac:dyDescent="0.35">
      <c r="B100"/>
      <c r="C100"/>
      <c r="D100"/>
      <c r="E100"/>
      <c r="F100"/>
    </row>
    <row r="101" spans="2:6" x14ac:dyDescent="0.35">
      <c r="B101"/>
      <c r="C101"/>
      <c r="D101"/>
      <c r="E101"/>
      <c r="F101"/>
    </row>
    <row r="102" spans="2:6" x14ac:dyDescent="0.35">
      <c r="B102"/>
      <c r="C102"/>
      <c r="D102"/>
      <c r="E102"/>
      <c r="F102"/>
    </row>
    <row r="103" spans="2:6" x14ac:dyDescent="0.35">
      <c r="B103"/>
      <c r="C103"/>
      <c r="D103"/>
      <c r="E103"/>
      <c r="F103"/>
    </row>
    <row r="104" spans="2:6" x14ac:dyDescent="0.35">
      <c r="B104"/>
      <c r="C104"/>
      <c r="D104"/>
      <c r="E104"/>
      <c r="F104"/>
    </row>
    <row r="105" spans="2:6" x14ac:dyDescent="0.35">
      <c r="B105"/>
      <c r="C105"/>
      <c r="D105"/>
      <c r="E105"/>
      <c r="F105"/>
    </row>
    <row r="106" spans="2:6" x14ac:dyDescent="0.35">
      <c r="B106"/>
      <c r="C106"/>
      <c r="D106"/>
      <c r="E106"/>
      <c r="F106"/>
    </row>
    <row r="107" spans="2:6" x14ac:dyDescent="0.35">
      <c r="B107"/>
      <c r="C107"/>
      <c r="D107"/>
      <c r="E107"/>
      <c r="F107"/>
    </row>
    <row r="108" spans="2:6" x14ac:dyDescent="0.35">
      <c r="B108"/>
      <c r="C108"/>
      <c r="D108"/>
      <c r="E108"/>
      <c r="F108"/>
    </row>
    <row r="109" spans="2:6" x14ac:dyDescent="0.35">
      <c r="B109"/>
      <c r="C109"/>
      <c r="D109"/>
      <c r="E109"/>
      <c r="F109"/>
    </row>
    <row r="110" spans="2:6" x14ac:dyDescent="0.35">
      <c r="B110"/>
      <c r="C110"/>
      <c r="D110"/>
      <c r="E110"/>
      <c r="F110"/>
    </row>
    <row r="111" spans="2:6" x14ac:dyDescent="0.35">
      <c r="B111"/>
      <c r="C111"/>
      <c r="D111"/>
      <c r="E111"/>
      <c r="F111"/>
    </row>
    <row r="112" spans="2:6" x14ac:dyDescent="0.35">
      <c r="B112"/>
      <c r="C112"/>
      <c r="D112"/>
      <c r="E112"/>
      <c r="F112"/>
    </row>
    <row r="113" spans="2:6" x14ac:dyDescent="0.35">
      <c r="B113"/>
      <c r="C113"/>
      <c r="D113"/>
      <c r="E113"/>
      <c r="F113"/>
    </row>
    <row r="114" spans="2:6" x14ac:dyDescent="0.35">
      <c r="B114"/>
      <c r="C114"/>
      <c r="D114"/>
      <c r="E114"/>
      <c r="F114"/>
    </row>
    <row r="115" spans="2:6" x14ac:dyDescent="0.35">
      <c r="B115"/>
      <c r="C115"/>
      <c r="D115"/>
      <c r="E115"/>
      <c r="F115"/>
    </row>
    <row r="116" spans="2:6" x14ac:dyDescent="0.35">
      <c r="B116"/>
      <c r="C116"/>
      <c r="D116"/>
      <c r="E116"/>
      <c r="F116"/>
    </row>
    <row r="117" spans="2:6" x14ac:dyDescent="0.35">
      <c r="B117"/>
      <c r="C117"/>
      <c r="D117"/>
      <c r="E117"/>
      <c r="F117"/>
    </row>
    <row r="118" spans="2:6" x14ac:dyDescent="0.35">
      <c r="B118"/>
      <c r="C118"/>
      <c r="D118"/>
      <c r="E118"/>
      <c r="F118"/>
    </row>
    <row r="119" spans="2:6" x14ac:dyDescent="0.35">
      <c r="B119"/>
      <c r="C119"/>
      <c r="D119"/>
      <c r="E119"/>
      <c r="F119"/>
    </row>
    <row r="120" spans="2:6" x14ac:dyDescent="0.35">
      <c r="B120"/>
      <c r="C120"/>
      <c r="D120"/>
      <c r="E120"/>
      <c r="F120"/>
    </row>
    <row r="121" spans="2:6" x14ac:dyDescent="0.35">
      <c r="B121"/>
      <c r="C121"/>
      <c r="D121"/>
      <c r="E121"/>
      <c r="F121"/>
    </row>
    <row r="122" spans="2:6" x14ac:dyDescent="0.35">
      <c r="B122"/>
      <c r="C122"/>
      <c r="D122"/>
      <c r="E122"/>
      <c r="F122"/>
    </row>
    <row r="123" spans="2:6" x14ac:dyDescent="0.35">
      <c r="B123"/>
      <c r="C123"/>
      <c r="D123"/>
      <c r="E123"/>
      <c r="F123"/>
    </row>
    <row r="124" spans="2:6" x14ac:dyDescent="0.35">
      <c r="B124"/>
      <c r="C124"/>
      <c r="D124"/>
      <c r="E124"/>
      <c r="F124"/>
    </row>
    <row r="125" spans="2:6" x14ac:dyDescent="0.35">
      <c r="B125"/>
      <c r="C125"/>
      <c r="D125"/>
      <c r="E125"/>
      <c r="F125"/>
    </row>
    <row r="126" spans="2:6" x14ac:dyDescent="0.35">
      <c r="B126"/>
      <c r="C126"/>
      <c r="D126"/>
      <c r="E126"/>
      <c r="F126"/>
    </row>
    <row r="127" spans="2:6" x14ac:dyDescent="0.35">
      <c r="B127"/>
      <c r="C127"/>
      <c r="D127"/>
      <c r="E127"/>
      <c r="F127"/>
    </row>
    <row r="128" spans="2:6" x14ac:dyDescent="0.35">
      <c r="B128"/>
      <c r="C128"/>
      <c r="D128"/>
      <c r="E128"/>
      <c r="F128"/>
    </row>
    <row r="129" spans="2:6" x14ac:dyDescent="0.35">
      <c r="B129"/>
      <c r="C129"/>
      <c r="D129"/>
      <c r="E129"/>
      <c r="F129"/>
    </row>
    <row r="130" spans="2:6" x14ac:dyDescent="0.35">
      <c r="B130"/>
      <c r="C130"/>
      <c r="D130"/>
      <c r="E130"/>
      <c r="F130"/>
    </row>
    <row r="131" spans="2:6" x14ac:dyDescent="0.35">
      <c r="B131"/>
      <c r="C131"/>
      <c r="D131"/>
      <c r="E131"/>
      <c r="F131"/>
    </row>
    <row r="132" spans="2:6" x14ac:dyDescent="0.35">
      <c r="B132"/>
      <c r="C132"/>
      <c r="D132"/>
      <c r="E132"/>
      <c r="F132"/>
    </row>
    <row r="133" spans="2:6" x14ac:dyDescent="0.35">
      <c r="B133"/>
      <c r="C133"/>
      <c r="D133"/>
      <c r="E133"/>
      <c r="F133"/>
    </row>
    <row r="134" spans="2:6" x14ac:dyDescent="0.35">
      <c r="B134"/>
      <c r="C134"/>
      <c r="D134"/>
      <c r="E134"/>
      <c r="F134"/>
    </row>
    <row r="135" spans="2:6" x14ac:dyDescent="0.35">
      <c r="B135"/>
      <c r="C135"/>
      <c r="D135"/>
      <c r="E135"/>
      <c r="F135"/>
    </row>
    <row r="136" spans="2:6" x14ac:dyDescent="0.35">
      <c r="B136"/>
      <c r="C136"/>
      <c r="D136"/>
      <c r="E136"/>
      <c r="F136"/>
    </row>
    <row r="137" spans="2:6" x14ac:dyDescent="0.35">
      <c r="B137"/>
      <c r="C137"/>
      <c r="D137"/>
      <c r="E137"/>
      <c r="F137"/>
    </row>
    <row r="138" spans="2:6" x14ac:dyDescent="0.35">
      <c r="B138"/>
      <c r="C138"/>
      <c r="D138"/>
      <c r="E138"/>
      <c r="F138"/>
    </row>
    <row r="139" spans="2:6" x14ac:dyDescent="0.35">
      <c r="B139"/>
      <c r="C139"/>
      <c r="D139"/>
      <c r="E139"/>
      <c r="F139"/>
    </row>
    <row r="140" spans="2:6" x14ac:dyDescent="0.35">
      <c r="B140"/>
      <c r="C140"/>
      <c r="D140"/>
      <c r="E140"/>
      <c r="F140"/>
    </row>
    <row r="141" spans="2:6" x14ac:dyDescent="0.35">
      <c r="B141"/>
      <c r="C141"/>
      <c r="D141"/>
      <c r="E141"/>
      <c r="F141"/>
    </row>
    <row r="142" spans="2:6" x14ac:dyDescent="0.35">
      <c r="B142"/>
      <c r="C142"/>
      <c r="D142"/>
      <c r="E142"/>
      <c r="F142"/>
    </row>
    <row r="143" spans="2:6" x14ac:dyDescent="0.35">
      <c r="B143"/>
      <c r="C143"/>
      <c r="D143"/>
      <c r="E143"/>
      <c r="F143"/>
    </row>
    <row r="144" spans="2:6" x14ac:dyDescent="0.35">
      <c r="B144"/>
      <c r="C144"/>
      <c r="D144"/>
      <c r="E144"/>
      <c r="F144"/>
    </row>
    <row r="145" spans="2:6" x14ac:dyDescent="0.35">
      <c r="B145"/>
      <c r="C145"/>
      <c r="D145"/>
      <c r="E145"/>
      <c r="F145"/>
    </row>
    <row r="146" spans="2:6" x14ac:dyDescent="0.35">
      <c r="B146"/>
      <c r="C146"/>
      <c r="D146"/>
      <c r="E146"/>
      <c r="F146"/>
    </row>
    <row r="147" spans="2:6" x14ac:dyDescent="0.35">
      <c r="B147"/>
      <c r="C147"/>
      <c r="D147"/>
      <c r="E147"/>
      <c r="F147"/>
    </row>
    <row r="148" spans="2:6" x14ac:dyDescent="0.35">
      <c r="B148"/>
      <c r="C148"/>
      <c r="D148"/>
      <c r="E148"/>
      <c r="F148"/>
    </row>
    <row r="149" spans="2:6" x14ac:dyDescent="0.35">
      <c r="B149"/>
      <c r="C149"/>
      <c r="D149"/>
      <c r="E149"/>
      <c r="F149"/>
    </row>
    <row r="150" spans="2:6" x14ac:dyDescent="0.35">
      <c r="B150"/>
      <c r="C150"/>
      <c r="D150"/>
      <c r="E150"/>
      <c r="F150"/>
    </row>
    <row r="151" spans="2:6" x14ac:dyDescent="0.35">
      <c r="B151"/>
      <c r="C151"/>
      <c r="D151"/>
      <c r="E151"/>
      <c r="F151"/>
    </row>
    <row r="152" spans="2:6" x14ac:dyDescent="0.35">
      <c r="B152"/>
      <c r="C152"/>
      <c r="D152"/>
      <c r="E152"/>
      <c r="F152"/>
    </row>
    <row r="153" spans="2:6" x14ac:dyDescent="0.35">
      <c r="B153"/>
      <c r="C153"/>
      <c r="D153"/>
      <c r="E153"/>
      <c r="F153"/>
    </row>
    <row r="154" spans="2:6" x14ac:dyDescent="0.35">
      <c r="B154"/>
      <c r="C154"/>
      <c r="D154"/>
      <c r="E154"/>
      <c r="F154"/>
    </row>
    <row r="155" spans="2:6" x14ac:dyDescent="0.35">
      <c r="B155"/>
      <c r="C155"/>
      <c r="D155"/>
      <c r="E155"/>
      <c r="F155"/>
    </row>
    <row r="156" spans="2:6" x14ac:dyDescent="0.35">
      <c r="B156"/>
      <c r="C156"/>
      <c r="D156"/>
      <c r="E156"/>
      <c r="F156"/>
    </row>
    <row r="157" spans="2:6" x14ac:dyDescent="0.35">
      <c r="B157"/>
      <c r="C157"/>
      <c r="D157"/>
      <c r="E157"/>
      <c r="F157"/>
    </row>
    <row r="158" spans="2:6" x14ac:dyDescent="0.35">
      <c r="B158"/>
      <c r="C158"/>
      <c r="D158"/>
      <c r="E158"/>
      <c r="F158"/>
    </row>
    <row r="159" spans="2:6" x14ac:dyDescent="0.35">
      <c r="B159"/>
      <c r="C159"/>
      <c r="D159"/>
      <c r="E159"/>
      <c r="F159"/>
    </row>
    <row r="160" spans="2:6" x14ac:dyDescent="0.35">
      <c r="B160"/>
      <c r="C160"/>
      <c r="D160"/>
      <c r="E160"/>
      <c r="F160"/>
    </row>
    <row r="161" spans="2:6" x14ac:dyDescent="0.35">
      <c r="B161"/>
      <c r="C161"/>
      <c r="D161"/>
      <c r="E161"/>
      <c r="F161"/>
    </row>
    <row r="162" spans="2:6" x14ac:dyDescent="0.35">
      <c r="B162"/>
      <c r="C162"/>
      <c r="D162"/>
      <c r="E162"/>
      <c r="F162"/>
    </row>
    <row r="163" spans="2:6" x14ac:dyDescent="0.35">
      <c r="B163"/>
      <c r="C163"/>
      <c r="D163"/>
      <c r="E163"/>
      <c r="F163"/>
    </row>
    <row r="164" spans="2:6" x14ac:dyDescent="0.35">
      <c r="B164"/>
      <c r="C164"/>
      <c r="D164"/>
      <c r="E164"/>
      <c r="F164"/>
    </row>
    <row r="165" spans="2:6" x14ac:dyDescent="0.35">
      <c r="B165"/>
      <c r="C165"/>
      <c r="D165"/>
      <c r="E165"/>
      <c r="F165"/>
    </row>
    <row r="166" spans="2:6" x14ac:dyDescent="0.35">
      <c r="B166"/>
      <c r="C166"/>
      <c r="D166"/>
      <c r="E166"/>
      <c r="F166"/>
    </row>
    <row r="167" spans="2:6" x14ac:dyDescent="0.35">
      <c r="B167"/>
      <c r="C167"/>
      <c r="D167"/>
      <c r="E167"/>
      <c r="F167"/>
    </row>
    <row r="168" spans="2:6" x14ac:dyDescent="0.35">
      <c r="B168"/>
      <c r="C168"/>
      <c r="D168"/>
      <c r="E168"/>
      <c r="F168"/>
    </row>
    <row r="169" spans="2:6" x14ac:dyDescent="0.35">
      <c r="B169"/>
      <c r="C169"/>
      <c r="D169"/>
      <c r="E169"/>
      <c r="F169"/>
    </row>
    <row r="170" spans="2:6" x14ac:dyDescent="0.35">
      <c r="B170"/>
      <c r="C170"/>
      <c r="D170"/>
      <c r="E170"/>
      <c r="F170"/>
    </row>
    <row r="171" spans="2:6" x14ac:dyDescent="0.35">
      <c r="B171"/>
      <c r="C171"/>
      <c r="D171"/>
      <c r="E171"/>
      <c r="F171"/>
    </row>
    <row r="172" spans="2:6" x14ac:dyDescent="0.35">
      <c r="B172"/>
      <c r="C172"/>
      <c r="D172"/>
      <c r="E172"/>
      <c r="F172"/>
    </row>
    <row r="173" spans="2:6" x14ac:dyDescent="0.35">
      <c r="B173"/>
      <c r="C173"/>
      <c r="D173"/>
      <c r="E173"/>
      <c r="F173"/>
    </row>
    <row r="174" spans="2:6" x14ac:dyDescent="0.35">
      <c r="B174"/>
      <c r="C174"/>
      <c r="D174"/>
      <c r="E174"/>
      <c r="F174"/>
    </row>
    <row r="175" spans="2:6" x14ac:dyDescent="0.35">
      <c r="B175"/>
      <c r="C175"/>
      <c r="D175"/>
      <c r="E175"/>
      <c r="F175"/>
    </row>
    <row r="176" spans="2:6" x14ac:dyDescent="0.35">
      <c r="B176"/>
      <c r="C176"/>
      <c r="D176"/>
      <c r="E176"/>
      <c r="F176"/>
    </row>
    <row r="177" spans="2:6" x14ac:dyDescent="0.35">
      <c r="B177"/>
      <c r="C177"/>
      <c r="D177"/>
      <c r="E177"/>
      <c r="F177"/>
    </row>
    <row r="178" spans="2:6" x14ac:dyDescent="0.35">
      <c r="B178"/>
      <c r="C178"/>
      <c r="D178"/>
      <c r="E178"/>
      <c r="F178"/>
    </row>
    <row r="179" spans="2:6" x14ac:dyDescent="0.35">
      <c r="B179"/>
      <c r="C179"/>
      <c r="D179"/>
      <c r="E179"/>
      <c r="F179"/>
    </row>
    <row r="180" spans="2:6" x14ac:dyDescent="0.35">
      <c r="B180"/>
      <c r="C180"/>
      <c r="D180"/>
      <c r="E180"/>
      <c r="F180"/>
    </row>
    <row r="181" spans="2:6" x14ac:dyDescent="0.35">
      <c r="B181"/>
      <c r="C181"/>
      <c r="D181"/>
      <c r="E181"/>
      <c r="F181"/>
    </row>
    <row r="182" spans="2:6" x14ac:dyDescent="0.35">
      <c r="B182"/>
      <c r="C182"/>
      <c r="D182"/>
      <c r="E182"/>
      <c r="F182"/>
    </row>
    <row r="183" spans="2:6" x14ac:dyDescent="0.35">
      <c r="B183"/>
      <c r="C183"/>
      <c r="D183"/>
      <c r="E183"/>
      <c r="F183"/>
    </row>
    <row r="184" spans="2:6" x14ac:dyDescent="0.35">
      <c r="B184"/>
      <c r="C184"/>
      <c r="D184"/>
      <c r="E184"/>
      <c r="F184"/>
    </row>
    <row r="185" spans="2:6" x14ac:dyDescent="0.35">
      <c r="B185"/>
      <c r="C185"/>
      <c r="D185"/>
      <c r="E185"/>
      <c r="F185"/>
    </row>
    <row r="186" spans="2:6" x14ac:dyDescent="0.35">
      <c r="B186"/>
      <c r="C186"/>
      <c r="D186"/>
      <c r="E186"/>
      <c r="F186"/>
    </row>
    <row r="187" spans="2:6" x14ac:dyDescent="0.35">
      <c r="B187"/>
      <c r="C187"/>
      <c r="D187"/>
      <c r="E187"/>
      <c r="F187"/>
    </row>
    <row r="188" spans="2:6" x14ac:dyDescent="0.35">
      <c r="B188"/>
      <c r="C188"/>
      <c r="D188"/>
      <c r="E188"/>
      <c r="F188"/>
    </row>
    <row r="189" spans="2:6" x14ac:dyDescent="0.35">
      <c r="B189"/>
      <c r="C189"/>
      <c r="D189"/>
      <c r="E189"/>
      <c r="F189"/>
    </row>
    <row r="190" spans="2:6" x14ac:dyDescent="0.35">
      <c r="B190"/>
      <c r="C190"/>
      <c r="D190"/>
      <c r="E190"/>
      <c r="F190"/>
    </row>
    <row r="191" spans="2:6" x14ac:dyDescent="0.35">
      <c r="B191"/>
      <c r="C191"/>
      <c r="D191"/>
      <c r="E191"/>
      <c r="F191"/>
    </row>
    <row r="192" spans="2:6" x14ac:dyDescent="0.35">
      <c r="B192"/>
      <c r="C192"/>
      <c r="D192"/>
      <c r="E192"/>
      <c r="F192"/>
    </row>
    <row r="193" spans="2:6" x14ac:dyDescent="0.35">
      <c r="B193"/>
      <c r="C193"/>
      <c r="D193"/>
      <c r="E193"/>
      <c r="F193"/>
    </row>
    <row r="194" spans="2:6" x14ac:dyDescent="0.35">
      <c r="B194"/>
      <c r="C194"/>
      <c r="D194"/>
      <c r="E194"/>
      <c r="F194"/>
    </row>
    <row r="195" spans="2:6" x14ac:dyDescent="0.35">
      <c r="B195"/>
      <c r="C195"/>
      <c r="D195"/>
      <c r="E195"/>
      <c r="F195"/>
    </row>
    <row r="196" spans="2:6" x14ac:dyDescent="0.35">
      <c r="B196"/>
      <c r="C196"/>
      <c r="D196"/>
      <c r="E196"/>
      <c r="F196"/>
    </row>
    <row r="197" spans="2:6" x14ac:dyDescent="0.35">
      <c r="B197"/>
      <c r="C197"/>
      <c r="D197"/>
      <c r="E197"/>
      <c r="F197"/>
    </row>
    <row r="198" spans="2:6" x14ac:dyDescent="0.35">
      <c r="B198"/>
      <c r="C198"/>
      <c r="D198"/>
      <c r="E198"/>
      <c r="F198"/>
    </row>
    <row r="199" spans="2:6" x14ac:dyDescent="0.35">
      <c r="B199"/>
      <c r="C199"/>
      <c r="D199"/>
      <c r="E199"/>
      <c r="F199"/>
    </row>
    <row r="200" spans="2:6" x14ac:dyDescent="0.35">
      <c r="B200"/>
      <c r="C200"/>
      <c r="D200"/>
      <c r="E200"/>
      <c r="F200"/>
    </row>
    <row r="201" spans="2:6" x14ac:dyDescent="0.35">
      <c r="B201"/>
      <c r="C201"/>
      <c r="D201"/>
      <c r="E201"/>
      <c r="F201"/>
    </row>
    <row r="202" spans="2:6" x14ac:dyDescent="0.35">
      <c r="B202"/>
      <c r="C202"/>
      <c r="D202"/>
      <c r="E202"/>
      <c r="F202"/>
    </row>
    <row r="203" spans="2:6" x14ac:dyDescent="0.35">
      <c r="B203"/>
      <c r="C203"/>
      <c r="D203"/>
      <c r="E203"/>
      <c r="F203"/>
    </row>
    <row r="204" spans="2:6" x14ac:dyDescent="0.35">
      <c r="B204"/>
      <c r="C204"/>
      <c r="D204"/>
      <c r="E204"/>
      <c r="F204"/>
    </row>
    <row r="205" spans="2:6" x14ac:dyDescent="0.35">
      <c r="B205"/>
      <c r="C205"/>
      <c r="D205"/>
      <c r="E205"/>
      <c r="F205"/>
    </row>
    <row r="206" spans="2:6" x14ac:dyDescent="0.35">
      <c r="B206"/>
      <c r="C206"/>
      <c r="D206"/>
      <c r="E206"/>
      <c r="F206"/>
    </row>
    <row r="207" spans="2:6" x14ac:dyDescent="0.35">
      <c r="B207"/>
      <c r="C207"/>
      <c r="D207"/>
      <c r="E207"/>
      <c r="F207"/>
    </row>
    <row r="208" spans="2:6" x14ac:dyDescent="0.35">
      <c r="B208"/>
      <c r="C208"/>
      <c r="D208"/>
      <c r="E208"/>
      <c r="F208"/>
    </row>
    <row r="209" spans="2:6" x14ac:dyDescent="0.35">
      <c r="B209"/>
      <c r="C209"/>
      <c r="D209"/>
      <c r="E209"/>
      <c r="F209"/>
    </row>
    <row r="210" spans="2:6" x14ac:dyDescent="0.35">
      <c r="B210"/>
      <c r="C210"/>
      <c r="D210"/>
      <c r="E210"/>
      <c r="F210"/>
    </row>
    <row r="211" spans="2:6" x14ac:dyDescent="0.35">
      <c r="B211"/>
      <c r="C211"/>
      <c r="D211"/>
      <c r="E211"/>
      <c r="F211"/>
    </row>
    <row r="212" spans="2:6" x14ac:dyDescent="0.35">
      <c r="B212"/>
      <c r="C212"/>
      <c r="D212"/>
      <c r="E212"/>
      <c r="F212"/>
    </row>
    <row r="213" spans="2:6" x14ac:dyDescent="0.35">
      <c r="B213"/>
      <c r="C213"/>
      <c r="D213"/>
      <c r="E213"/>
      <c r="F213"/>
    </row>
    <row r="214" spans="2:6" x14ac:dyDescent="0.35">
      <c r="B214"/>
      <c r="C214"/>
      <c r="D214"/>
      <c r="E214"/>
      <c r="F214"/>
    </row>
    <row r="215" spans="2:6" x14ac:dyDescent="0.35">
      <c r="B215"/>
      <c r="C215"/>
      <c r="D215"/>
      <c r="E215"/>
      <c r="F215"/>
    </row>
    <row r="216" spans="2:6" x14ac:dyDescent="0.35">
      <c r="B216"/>
      <c r="C216"/>
      <c r="D216"/>
      <c r="E216"/>
      <c r="F216"/>
    </row>
    <row r="217" spans="2:6" x14ac:dyDescent="0.35">
      <c r="B217"/>
      <c r="C217"/>
      <c r="D217"/>
      <c r="E217"/>
      <c r="F217"/>
    </row>
    <row r="218" spans="2:6" x14ac:dyDescent="0.35">
      <c r="B218"/>
      <c r="C218"/>
      <c r="D218"/>
      <c r="E218"/>
      <c r="F218"/>
    </row>
    <row r="219" spans="2:6" x14ac:dyDescent="0.35">
      <c r="B219"/>
      <c r="C219"/>
      <c r="D219"/>
      <c r="E219"/>
      <c r="F219"/>
    </row>
    <row r="220" spans="2:6" x14ac:dyDescent="0.35">
      <c r="B220"/>
      <c r="C220"/>
      <c r="D220"/>
      <c r="E220"/>
      <c r="F220"/>
    </row>
    <row r="221" spans="2:6" x14ac:dyDescent="0.35">
      <c r="B221"/>
      <c r="C221"/>
      <c r="D221"/>
      <c r="E221"/>
      <c r="F221"/>
    </row>
    <row r="222" spans="2:6" x14ac:dyDescent="0.35">
      <c r="B222"/>
      <c r="C222"/>
      <c r="D222"/>
      <c r="E222"/>
      <c r="F222"/>
    </row>
    <row r="223" spans="2:6" x14ac:dyDescent="0.35">
      <c r="B223"/>
      <c r="C223"/>
      <c r="D223"/>
      <c r="E223"/>
      <c r="F223"/>
    </row>
    <row r="224" spans="2:6" x14ac:dyDescent="0.35">
      <c r="B224"/>
      <c r="C224"/>
      <c r="D224"/>
      <c r="E224"/>
      <c r="F224"/>
    </row>
    <row r="225" spans="2:6" x14ac:dyDescent="0.35">
      <c r="B225"/>
      <c r="C225"/>
      <c r="D225"/>
      <c r="E225"/>
      <c r="F225"/>
    </row>
    <row r="226" spans="2:6" x14ac:dyDescent="0.35">
      <c r="B226"/>
      <c r="C226"/>
      <c r="D226"/>
      <c r="E226"/>
      <c r="F226"/>
    </row>
    <row r="227" spans="2:6" x14ac:dyDescent="0.35">
      <c r="B227"/>
      <c r="C227"/>
      <c r="D227"/>
      <c r="E227"/>
      <c r="F227"/>
    </row>
    <row r="228" spans="2:6" x14ac:dyDescent="0.35">
      <c r="B228"/>
      <c r="C228"/>
      <c r="D228"/>
      <c r="E228"/>
      <c r="F228"/>
    </row>
    <row r="229" spans="2:6" x14ac:dyDescent="0.35">
      <c r="B229"/>
      <c r="C229"/>
      <c r="D229"/>
      <c r="E229"/>
      <c r="F229"/>
    </row>
    <row r="230" spans="2:6" x14ac:dyDescent="0.35">
      <c r="B230"/>
      <c r="C230"/>
      <c r="D230"/>
      <c r="E230"/>
      <c r="F230"/>
    </row>
    <row r="231" spans="2:6" x14ac:dyDescent="0.35">
      <c r="B231"/>
      <c r="C231"/>
      <c r="D231"/>
      <c r="E231"/>
      <c r="F231"/>
    </row>
    <row r="232" spans="2:6" x14ac:dyDescent="0.35">
      <c r="B232"/>
      <c r="C232"/>
      <c r="D232"/>
      <c r="E232"/>
      <c r="F232"/>
    </row>
    <row r="233" spans="2:6" x14ac:dyDescent="0.35">
      <c r="B233"/>
      <c r="C233"/>
      <c r="D233"/>
      <c r="E233"/>
      <c r="F233"/>
    </row>
    <row r="234" spans="2:6" x14ac:dyDescent="0.35">
      <c r="B234"/>
      <c r="C234"/>
      <c r="D234"/>
      <c r="E234"/>
      <c r="F234"/>
    </row>
    <row r="235" spans="2:6" x14ac:dyDescent="0.35">
      <c r="B235"/>
      <c r="C235"/>
      <c r="D235"/>
      <c r="E235"/>
      <c r="F235"/>
    </row>
    <row r="236" spans="2:6" x14ac:dyDescent="0.35">
      <c r="B236"/>
      <c r="C236"/>
      <c r="D236"/>
      <c r="E236"/>
      <c r="F236"/>
    </row>
    <row r="237" spans="2:6" x14ac:dyDescent="0.35">
      <c r="B237"/>
      <c r="C237"/>
      <c r="D237"/>
      <c r="E237"/>
      <c r="F237"/>
    </row>
    <row r="238" spans="2:6" x14ac:dyDescent="0.35">
      <c r="B238"/>
      <c r="C238"/>
      <c r="D238"/>
      <c r="E238"/>
      <c r="F238"/>
    </row>
    <row r="239" spans="2:6" x14ac:dyDescent="0.35">
      <c r="B239"/>
      <c r="C239"/>
      <c r="D239"/>
      <c r="E239"/>
      <c r="F239"/>
    </row>
    <row r="240" spans="2:6" x14ac:dyDescent="0.35">
      <c r="B240"/>
      <c r="C240"/>
      <c r="D240"/>
      <c r="E240"/>
      <c r="F240"/>
    </row>
    <row r="241" spans="2:6" x14ac:dyDescent="0.35">
      <c r="B241"/>
      <c r="C241"/>
      <c r="D241"/>
      <c r="E241"/>
      <c r="F241"/>
    </row>
    <row r="242" spans="2:6" x14ac:dyDescent="0.35">
      <c r="B242"/>
      <c r="C242"/>
      <c r="D242"/>
      <c r="E242"/>
      <c r="F242"/>
    </row>
    <row r="243" spans="2:6" x14ac:dyDescent="0.35">
      <c r="B243"/>
      <c r="C243"/>
      <c r="D243"/>
      <c r="E243"/>
      <c r="F243"/>
    </row>
    <row r="244" spans="2:6" x14ac:dyDescent="0.35">
      <c r="B244"/>
      <c r="C244"/>
      <c r="D244"/>
      <c r="E244"/>
      <c r="F244"/>
    </row>
    <row r="245" spans="2:6" x14ac:dyDescent="0.35">
      <c r="B245"/>
      <c r="C245"/>
      <c r="D245"/>
      <c r="E245"/>
      <c r="F245"/>
    </row>
    <row r="246" spans="2:6" x14ac:dyDescent="0.35">
      <c r="B246"/>
      <c r="C246"/>
      <c r="D246"/>
      <c r="E246"/>
      <c r="F246"/>
    </row>
    <row r="247" spans="2:6" x14ac:dyDescent="0.35">
      <c r="B247"/>
      <c r="C247"/>
      <c r="D247"/>
      <c r="E247"/>
      <c r="F247"/>
    </row>
    <row r="248" spans="2:6" x14ac:dyDescent="0.35">
      <c r="B248"/>
      <c r="C248"/>
      <c r="D248"/>
      <c r="E248"/>
      <c r="F248"/>
    </row>
    <row r="249" spans="2:6" x14ac:dyDescent="0.35">
      <c r="B249"/>
      <c r="C249"/>
      <c r="D249"/>
      <c r="E249"/>
      <c r="F249"/>
    </row>
    <row r="250" spans="2:6" x14ac:dyDescent="0.35">
      <c r="B250"/>
      <c r="C250"/>
      <c r="D250"/>
      <c r="E250"/>
      <c r="F250"/>
    </row>
    <row r="251" spans="2:6" x14ac:dyDescent="0.35">
      <c r="B251"/>
      <c r="C251"/>
      <c r="D251"/>
      <c r="E251"/>
      <c r="F251"/>
    </row>
    <row r="252" spans="2:6" x14ac:dyDescent="0.35">
      <c r="B252"/>
      <c r="C252"/>
      <c r="D252"/>
      <c r="E252"/>
      <c r="F252"/>
    </row>
    <row r="253" spans="2:6" x14ac:dyDescent="0.35">
      <c r="B253"/>
      <c r="C253"/>
      <c r="D253"/>
      <c r="E253"/>
      <c r="F253"/>
    </row>
    <row r="254" spans="2:6" x14ac:dyDescent="0.35">
      <c r="B254"/>
      <c r="C254"/>
      <c r="D254"/>
      <c r="E254"/>
      <c r="F254"/>
    </row>
    <row r="255" spans="2:6" x14ac:dyDescent="0.35">
      <c r="B255"/>
      <c r="C255"/>
      <c r="D255"/>
      <c r="E255"/>
      <c r="F255"/>
    </row>
    <row r="256" spans="2:6" x14ac:dyDescent="0.35">
      <c r="B256"/>
      <c r="C256"/>
      <c r="D256"/>
      <c r="E256"/>
      <c r="F256"/>
    </row>
    <row r="257" spans="2:6" x14ac:dyDescent="0.35">
      <c r="B257"/>
      <c r="C257"/>
      <c r="D257"/>
      <c r="E257"/>
      <c r="F257"/>
    </row>
    <row r="258" spans="2:6" x14ac:dyDescent="0.35">
      <c r="B258"/>
      <c r="C258"/>
      <c r="D258"/>
      <c r="E258"/>
      <c r="F258"/>
    </row>
    <row r="259" spans="2:6" x14ac:dyDescent="0.35">
      <c r="B259"/>
      <c r="C259"/>
      <c r="D259"/>
      <c r="E259"/>
      <c r="F259"/>
    </row>
    <row r="260" spans="2:6" x14ac:dyDescent="0.35">
      <c r="B260"/>
      <c r="C260"/>
      <c r="D260"/>
      <c r="E260"/>
      <c r="F260"/>
    </row>
    <row r="261" spans="2:6" x14ac:dyDescent="0.35">
      <c r="B261"/>
      <c r="C261"/>
      <c r="D261"/>
      <c r="E261"/>
      <c r="F261"/>
    </row>
    <row r="262" spans="2:6" x14ac:dyDescent="0.35">
      <c r="B262"/>
      <c r="C262"/>
      <c r="D262"/>
      <c r="E262"/>
      <c r="F262"/>
    </row>
    <row r="263" spans="2:6" x14ac:dyDescent="0.35">
      <c r="B263"/>
      <c r="C263"/>
      <c r="D263"/>
      <c r="E263"/>
      <c r="F263"/>
    </row>
    <row r="264" spans="2:6" x14ac:dyDescent="0.35">
      <c r="B264"/>
      <c r="C264"/>
      <c r="D264"/>
      <c r="E264"/>
      <c r="F264"/>
    </row>
    <row r="265" spans="2:6" x14ac:dyDescent="0.35">
      <c r="B265"/>
      <c r="C265"/>
      <c r="D265"/>
      <c r="E265"/>
      <c r="F265"/>
    </row>
    <row r="266" spans="2:6" x14ac:dyDescent="0.35">
      <c r="B266"/>
      <c r="C266"/>
      <c r="D266"/>
      <c r="E266"/>
      <c r="F266"/>
    </row>
    <row r="267" spans="2:6" x14ac:dyDescent="0.35">
      <c r="B267"/>
      <c r="C267"/>
      <c r="D267"/>
      <c r="E267"/>
      <c r="F267"/>
    </row>
    <row r="268" spans="2:6" x14ac:dyDescent="0.35">
      <c r="B268"/>
      <c r="C268"/>
      <c r="D268"/>
      <c r="E268"/>
      <c r="F268"/>
    </row>
    <row r="269" spans="2:6" x14ac:dyDescent="0.35">
      <c r="B269"/>
      <c r="C269"/>
      <c r="D269"/>
      <c r="E269"/>
      <c r="F269"/>
    </row>
    <row r="270" spans="2:6" x14ac:dyDescent="0.35">
      <c r="B270"/>
      <c r="C270"/>
      <c r="D270"/>
      <c r="E270"/>
      <c r="F270"/>
    </row>
    <row r="271" spans="2:6" x14ac:dyDescent="0.35">
      <c r="B271"/>
      <c r="C271"/>
      <c r="D271"/>
      <c r="E271"/>
      <c r="F271"/>
    </row>
    <row r="272" spans="2:6" x14ac:dyDescent="0.35">
      <c r="B272"/>
      <c r="C272"/>
      <c r="D272"/>
      <c r="E272"/>
      <c r="F272"/>
    </row>
    <row r="273" spans="2:6" x14ac:dyDescent="0.35">
      <c r="B273"/>
      <c r="C273"/>
      <c r="D273"/>
      <c r="E273"/>
      <c r="F273"/>
    </row>
    <row r="274" spans="2:6" x14ac:dyDescent="0.35">
      <c r="B274"/>
      <c r="C274"/>
      <c r="D274"/>
      <c r="E274"/>
      <c r="F274"/>
    </row>
    <row r="275" spans="2:6" x14ac:dyDescent="0.35">
      <c r="B275"/>
      <c r="C275"/>
      <c r="D275"/>
      <c r="E275"/>
      <c r="F275"/>
    </row>
    <row r="276" spans="2:6" x14ac:dyDescent="0.35">
      <c r="B276"/>
      <c r="C276"/>
      <c r="D276"/>
      <c r="E276"/>
      <c r="F276"/>
    </row>
    <row r="277" spans="2:6" x14ac:dyDescent="0.35">
      <c r="B277"/>
      <c r="C277"/>
      <c r="D277"/>
      <c r="E277"/>
      <c r="F277"/>
    </row>
    <row r="278" spans="2:6" x14ac:dyDescent="0.35">
      <c r="B278"/>
      <c r="C278"/>
      <c r="D278"/>
      <c r="E278"/>
      <c r="F278"/>
    </row>
    <row r="279" spans="2:6" x14ac:dyDescent="0.35">
      <c r="B279"/>
      <c r="C279"/>
      <c r="D279"/>
      <c r="E279"/>
      <c r="F279"/>
    </row>
    <row r="280" spans="2:6" x14ac:dyDescent="0.35">
      <c r="B280"/>
      <c r="C280"/>
      <c r="D280"/>
      <c r="E280"/>
      <c r="F280"/>
    </row>
    <row r="281" spans="2:6" x14ac:dyDescent="0.35">
      <c r="B281"/>
      <c r="C281"/>
      <c r="D281"/>
      <c r="E281"/>
      <c r="F281"/>
    </row>
    <row r="282" spans="2:6" x14ac:dyDescent="0.35">
      <c r="B282"/>
      <c r="C282"/>
      <c r="D282"/>
      <c r="E282"/>
      <c r="F282"/>
    </row>
    <row r="283" spans="2:6" x14ac:dyDescent="0.35">
      <c r="B283"/>
      <c r="C283"/>
      <c r="D283"/>
      <c r="E283"/>
      <c r="F283"/>
    </row>
    <row r="284" spans="2:6" x14ac:dyDescent="0.35">
      <c r="B284"/>
      <c r="C284"/>
      <c r="D284"/>
      <c r="E284"/>
      <c r="F284"/>
    </row>
    <row r="285" spans="2:6" x14ac:dyDescent="0.35">
      <c r="B285"/>
      <c r="C285"/>
      <c r="D285"/>
      <c r="E285"/>
      <c r="F285"/>
    </row>
    <row r="286" spans="2:6" x14ac:dyDescent="0.35">
      <c r="B286"/>
      <c r="C286"/>
      <c r="D286"/>
      <c r="E286"/>
      <c r="F286"/>
    </row>
    <row r="287" spans="2:6" x14ac:dyDescent="0.35">
      <c r="B287"/>
      <c r="C287"/>
      <c r="D287"/>
      <c r="E287"/>
      <c r="F287"/>
    </row>
    <row r="288" spans="2:6" x14ac:dyDescent="0.35">
      <c r="B288"/>
      <c r="C288"/>
      <c r="D288"/>
      <c r="E288"/>
      <c r="F288"/>
    </row>
    <row r="289" spans="2:6" x14ac:dyDescent="0.35">
      <c r="B289"/>
      <c r="C289"/>
      <c r="D289"/>
      <c r="E289"/>
      <c r="F289"/>
    </row>
    <row r="290" spans="2:6" x14ac:dyDescent="0.35">
      <c r="B290"/>
      <c r="C290"/>
      <c r="D290"/>
      <c r="E290"/>
      <c r="F290"/>
    </row>
    <row r="291" spans="2:6" x14ac:dyDescent="0.35">
      <c r="B291"/>
      <c r="C291"/>
      <c r="D291"/>
      <c r="E291"/>
      <c r="F291"/>
    </row>
    <row r="292" spans="2:6" x14ac:dyDescent="0.35">
      <c r="B292"/>
      <c r="C292"/>
      <c r="D292"/>
      <c r="E292"/>
      <c r="F292"/>
    </row>
    <row r="293" spans="2:6" x14ac:dyDescent="0.35">
      <c r="B293"/>
      <c r="C293"/>
      <c r="D293"/>
      <c r="E293"/>
      <c r="F293"/>
    </row>
    <row r="294" spans="2:6" x14ac:dyDescent="0.35">
      <c r="B294"/>
      <c r="C294"/>
      <c r="D294"/>
      <c r="E294"/>
      <c r="F294"/>
    </row>
    <row r="295" spans="2:6" x14ac:dyDescent="0.35">
      <c r="B295"/>
      <c r="C295"/>
      <c r="D295"/>
      <c r="E295"/>
      <c r="F295"/>
    </row>
    <row r="296" spans="2:6" x14ac:dyDescent="0.35">
      <c r="B296"/>
      <c r="C296"/>
      <c r="D296"/>
      <c r="E296"/>
      <c r="F296"/>
    </row>
    <row r="297" spans="2:6" x14ac:dyDescent="0.35">
      <c r="B297"/>
      <c r="C297"/>
      <c r="D297"/>
      <c r="E297"/>
      <c r="F297"/>
    </row>
    <row r="298" spans="2:6" x14ac:dyDescent="0.35">
      <c r="B298"/>
      <c r="C298"/>
      <c r="D298"/>
      <c r="E298"/>
      <c r="F298"/>
    </row>
    <row r="299" spans="2:6" x14ac:dyDescent="0.35">
      <c r="B299"/>
      <c r="C299"/>
      <c r="D299"/>
      <c r="E299"/>
      <c r="F299"/>
    </row>
    <row r="300" spans="2:6" x14ac:dyDescent="0.35">
      <c r="B300"/>
      <c r="C300"/>
      <c r="D300"/>
      <c r="E300"/>
      <c r="F300"/>
    </row>
    <row r="301" spans="2:6" x14ac:dyDescent="0.35">
      <c r="B301"/>
      <c r="C301"/>
      <c r="D301"/>
      <c r="E301"/>
      <c r="F301"/>
    </row>
    <row r="302" spans="2:6" x14ac:dyDescent="0.35">
      <c r="B302"/>
      <c r="C302"/>
      <c r="D302"/>
      <c r="E302"/>
      <c r="F302"/>
    </row>
    <row r="303" spans="2:6" x14ac:dyDescent="0.35">
      <c r="B303"/>
      <c r="C303"/>
      <c r="D303"/>
      <c r="E303"/>
      <c r="F303"/>
    </row>
    <row r="304" spans="2:6" x14ac:dyDescent="0.35">
      <c r="B304"/>
      <c r="C304"/>
      <c r="D304"/>
      <c r="E304"/>
      <c r="F304"/>
    </row>
    <row r="305" spans="2:6" x14ac:dyDescent="0.35">
      <c r="B305"/>
      <c r="C305"/>
      <c r="D305"/>
      <c r="E305"/>
      <c r="F305"/>
    </row>
    <row r="306" spans="2:6" x14ac:dyDescent="0.35">
      <c r="B306"/>
      <c r="C306"/>
      <c r="D306"/>
      <c r="E306"/>
      <c r="F306"/>
    </row>
    <row r="307" spans="2:6" x14ac:dyDescent="0.35">
      <c r="B307"/>
      <c r="C307"/>
      <c r="D307"/>
      <c r="E307"/>
      <c r="F307"/>
    </row>
    <row r="308" spans="2:6" x14ac:dyDescent="0.35">
      <c r="B308"/>
      <c r="C308"/>
      <c r="D308"/>
      <c r="E308"/>
      <c r="F308"/>
    </row>
    <row r="309" spans="2:6" x14ac:dyDescent="0.35">
      <c r="B309"/>
      <c r="C309"/>
      <c r="D309"/>
      <c r="E309"/>
      <c r="F309"/>
    </row>
    <row r="310" spans="2:6" x14ac:dyDescent="0.35">
      <c r="B310"/>
      <c r="C310"/>
      <c r="D310"/>
      <c r="E310"/>
      <c r="F310"/>
    </row>
    <row r="311" spans="2:6" x14ac:dyDescent="0.35">
      <c r="B311"/>
      <c r="C311"/>
      <c r="D311"/>
      <c r="E311"/>
      <c r="F311"/>
    </row>
    <row r="312" spans="2:6" x14ac:dyDescent="0.35">
      <c r="B312"/>
      <c r="C312"/>
      <c r="D312"/>
      <c r="E312"/>
      <c r="F312"/>
    </row>
    <row r="313" spans="2:6" x14ac:dyDescent="0.35">
      <c r="B313"/>
      <c r="C313"/>
      <c r="D313"/>
      <c r="E313"/>
      <c r="F313"/>
    </row>
    <row r="314" spans="2:6" x14ac:dyDescent="0.35">
      <c r="B314"/>
      <c r="C314"/>
      <c r="D314"/>
      <c r="E314"/>
      <c r="F314"/>
    </row>
    <row r="315" spans="2:6" x14ac:dyDescent="0.35">
      <c r="B315"/>
      <c r="C315"/>
      <c r="D315"/>
      <c r="E315"/>
      <c r="F315"/>
    </row>
    <row r="316" spans="2:6" x14ac:dyDescent="0.35">
      <c r="B316"/>
      <c r="C316"/>
      <c r="D316"/>
      <c r="E316"/>
      <c r="F316"/>
    </row>
    <row r="317" spans="2:6" x14ac:dyDescent="0.35">
      <c r="B317"/>
      <c r="C317"/>
      <c r="D317"/>
      <c r="E317"/>
      <c r="F317"/>
    </row>
    <row r="318" spans="2:6" x14ac:dyDescent="0.35">
      <c r="B318"/>
      <c r="C318"/>
      <c r="D318"/>
      <c r="E318"/>
      <c r="F318"/>
    </row>
    <row r="319" spans="2:6" x14ac:dyDescent="0.35">
      <c r="B319"/>
      <c r="C319"/>
      <c r="D319"/>
      <c r="E319"/>
      <c r="F319"/>
    </row>
    <row r="320" spans="2:6" x14ac:dyDescent="0.35">
      <c r="B320"/>
      <c r="C320"/>
      <c r="D320"/>
      <c r="E320"/>
      <c r="F320"/>
    </row>
    <row r="321" spans="2:6" x14ac:dyDescent="0.35">
      <c r="B321"/>
      <c r="C321"/>
      <c r="D321"/>
      <c r="E321"/>
      <c r="F321"/>
    </row>
    <row r="322" spans="2:6" x14ac:dyDescent="0.35">
      <c r="B322"/>
      <c r="C322"/>
      <c r="D322"/>
      <c r="E322"/>
      <c r="F322"/>
    </row>
    <row r="323" spans="2:6" x14ac:dyDescent="0.35">
      <c r="B323"/>
      <c r="C323"/>
      <c r="D323"/>
      <c r="E323"/>
      <c r="F323"/>
    </row>
    <row r="324" spans="2:6" x14ac:dyDescent="0.35">
      <c r="B324"/>
      <c r="C324"/>
      <c r="D324"/>
      <c r="E324"/>
      <c r="F324"/>
    </row>
    <row r="325" spans="2:6" x14ac:dyDescent="0.35">
      <c r="B325"/>
      <c r="C325"/>
      <c r="D325"/>
      <c r="E325"/>
      <c r="F325"/>
    </row>
    <row r="326" spans="2:6" x14ac:dyDescent="0.35">
      <c r="B326"/>
      <c r="C326"/>
      <c r="D326"/>
      <c r="E326"/>
      <c r="F326"/>
    </row>
    <row r="327" spans="2:6" x14ac:dyDescent="0.35">
      <c r="B327"/>
      <c r="C327"/>
      <c r="D327"/>
      <c r="E327"/>
      <c r="F327"/>
    </row>
    <row r="328" spans="2:6" x14ac:dyDescent="0.35">
      <c r="B328"/>
      <c r="C328"/>
      <c r="D328"/>
      <c r="E328"/>
      <c r="F328"/>
    </row>
    <row r="329" spans="2:6" x14ac:dyDescent="0.35">
      <c r="B329"/>
      <c r="C329"/>
      <c r="D329"/>
      <c r="E329"/>
      <c r="F329"/>
    </row>
    <row r="330" spans="2:6" x14ac:dyDescent="0.35">
      <c r="B330"/>
      <c r="C330"/>
      <c r="D330"/>
      <c r="E330"/>
      <c r="F330"/>
    </row>
    <row r="331" spans="2:6" x14ac:dyDescent="0.35">
      <c r="B331"/>
      <c r="C331"/>
      <c r="D331"/>
      <c r="E331"/>
      <c r="F331"/>
    </row>
    <row r="332" spans="2:6" x14ac:dyDescent="0.35">
      <c r="B332"/>
      <c r="C332"/>
      <c r="D332"/>
      <c r="E332"/>
      <c r="F332"/>
    </row>
    <row r="333" spans="2:6" x14ac:dyDescent="0.35">
      <c r="B333"/>
      <c r="C333"/>
      <c r="D333"/>
      <c r="E333"/>
      <c r="F333"/>
    </row>
    <row r="334" spans="2:6" x14ac:dyDescent="0.35">
      <c r="B334"/>
      <c r="C334"/>
      <c r="D334"/>
      <c r="E334"/>
      <c r="F334"/>
    </row>
    <row r="335" spans="2:6" x14ac:dyDescent="0.35">
      <c r="B335"/>
      <c r="C335"/>
      <c r="D335"/>
      <c r="E335"/>
      <c r="F335"/>
    </row>
    <row r="336" spans="2:6" x14ac:dyDescent="0.35">
      <c r="B336"/>
      <c r="C336"/>
      <c r="D336"/>
      <c r="E336"/>
      <c r="F336"/>
    </row>
    <row r="337" spans="2:6" x14ac:dyDescent="0.35">
      <c r="B337"/>
      <c r="C337"/>
      <c r="D337"/>
      <c r="E337"/>
      <c r="F337"/>
    </row>
    <row r="338" spans="2:6" x14ac:dyDescent="0.35">
      <c r="B338"/>
      <c r="C338"/>
      <c r="D338"/>
      <c r="E338"/>
      <c r="F338"/>
    </row>
    <row r="339" spans="2:6" x14ac:dyDescent="0.35">
      <c r="B339"/>
      <c r="C339"/>
      <c r="D339"/>
      <c r="E339"/>
      <c r="F339"/>
    </row>
    <row r="340" spans="2:6" x14ac:dyDescent="0.35">
      <c r="B340"/>
      <c r="C340"/>
      <c r="D340"/>
      <c r="E340"/>
      <c r="F340"/>
    </row>
    <row r="341" spans="2:6" x14ac:dyDescent="0.35">
      <c r="B341"/>
      <c r="C341"/>
      <c r="D341"/>
      <c r="E341"/>
      <c r="F341"/>
    </row>
    <row r="342" spans="2:6" x14ac:dyDescent="0.35">
      <c r="B342"/>
      <c r="C342"/>
      <c r="D342"/>
      <c r="E342"/>
      <c r="F342"/>
    </row>
    <row r="343" spans="2:6" x14ac:dyDescent="0.35">
      <c r="B343"/>
      <c r="C343"/>
      <c r="D343"/>
      <c r="E343"/>
      <c r="F343"/>
    </row>
    <row r="344" spans="2:6" x14ac:dyDescent="0.35">
      <c r="B344"/>
      <c r="C344"/>
      <c r="D344"/>
      <c r="E344"/>
      <c r="F344"/>
    </row>
    <row r="345" spans="2:6" x14ac:dyDescent="0.35">
      <c r="B345"/>
      <c r="C345"/>
      <c r="D345"/>
      <c r="E345"/>
      <c r="F345"/>
    </row>
    <row r="346" spans="2:6" x14ac:dyDescent="0.35">
      <c r="B346"/>
      <c r="C346"/>
      <c r="D346"/>
      <c r="E346"/>
      <c r="F346"/>
    </row>
    <row r="347" spans="2:6" x14ac:dyDescent="0.35">
      <c r="B347"/>
      <c r="C347"/>
      <c r="D347"/>
      <c r="E347"/>
      <c r="F347"/>
    </row>
    <row r="348" spans="2:6" x14ac:dyDescent="0.35">
      <c r="B348"/>
      <c r="C348"/>
      <c r="D348"/>
      <c r="E348"/>
      <c r="F348"/>
    </row>
    <row r="349" spans="2:6" x14ac:dyDescent="0.35">
      <c r="B349"/>
      <c r="C349"/>
      <c r="D349"/>
      <c r="E349"/>
      <c r="F349"/>
    </row>
    <row r="350" spans="2:6" x14ac:dyDescent="0.35">
      <c r="B350"/>
      <c r="C350"/>
      <c r="D350"/>
      <c r="E350"/>
      <c r="F350"/>
    </row>
    <row r="351" spans="2:6" x14ac:dyDescent="0.35">
      <c r="B351"/>
      <c r="C351"/>
      <c r="D351"/>
      <c r="E351"/>
      <c r="F351"/>
    </row>
    <row r="352" spans="2:6" x14ac:dyDescent="0.35">
      <c r="B352"/>
      <c r="C352"/>
      <c r="D352"/>
      <c r="E352"/>
      <c r="F352"/>
    </row>
    <row r="353" spans="2:6" x14ac:dyDescent="0.35">
      <c r="B353"/>
      <c r="C353"/>
      <c r="D353"/>
      <c r="E353"/>
      <c r="F353"/>
    </row>
    <row r="354" spans="2:6" x14ac:dyDescent="0.35">
      <c r="B354"/>
      <c r="C354"/>
      <c r="D354"/>
      <c r="E354"/>
      <c r="F354"/>
    </row>
    <row r="355" spans="2:6" x14ac:dyDescent="0.35">
      <c r="B355"/>
      <c r="C355"/>
      <c r="D355"/>
      <c r="E355"/>
      <c r="F355"/>
    </row>
    <row r="356" spans="2:6" x14ac:dyDescent="0.35">
      <c r="B356"/>
      <c r="C356"/>
      <c r="D356"/>
      <c r="E356"/>
      <c r="F356"/>
    </row>
    <row r="357" spans="2:6" x14ac:dyDescent="0.35">
      <c r="B357"/>
      <c r="C357"/>
      <c r="D357"/>
      <c r="E357"/>
      <c r="F357"/>
    </row>
    <row r="358" spans="2:6" x14ac:dyDescent="0.35">
      <c r="B358"/>
      <c r="C358"/>
      <c r="D358"/>
      <c r="E358"/>
      <c r="F358"/>
    </row>
    <row r="359" spans="2:6" x14ac:dyDescent="0.35">
      <c r="B359"/>
      <c r="C359"/>
      <c r="D359"/>
      <c r="E359"/>
      <c r="F359"/>
    </row>
    <row r="360" spans="2:6" x14ac:dyDescent="0.35">
      <c r="B360"/>
      <c r="C360"/>
      <c r="D360"/>
      <c r="E360"/>
      <c r="F360"/>
    </row>
    <row r="361" spans="2:6" x14ac:dyDescent="0.35">
      <c r="B361"/>
      <c r="C361"/>
      <c r="D361"/>
      <c r="E361"/>
      <c r="F361"/>
    </row>
    <row r="362" spans="2:6" x14ac:dyDescent="0.35">
      <c r="B362"/>
      <c r="C362"/>
      <c r="D362"/>
      <c r="E362"/>
      <c r="F362"/>
    </row>
    <row r="363" spans="2:6" x14ac:dyDescent="0.35">
      <c r="B363"/>
      <c r="C363"/>
      <c r="D363"/>
      <c r="E363"/>
      <c r="F363"/>
    </row>
    <row r="364" spans="2:6" x14ac:dyDescent="0.35">
      <c r="B364"/>
      <c r="C364"/>
      <c r="D364"/>
      <c r="E364"/>
      <c r="F364"/>
    </row>
    <row r="365" spans="2:6" x14ac:dyDescent="0.35">
      <c r="B365"/>
      <c r="C365"/>
      <c r="D365"/>
      <c r="E365"/>
      <c r="F365"/>
    </row>
    <row r="366" spans="2:6" x14ac:dyDescent="0.35">
      <c r="B366"/>
      <c r="C366"/>
      <c r="D366"/>
      <c r="E366"/>
      <c r="F366"/>
    </row>
    <row r="367" spans="2:6" x14ac:dyDescent="0.35">
      <c r="B367"/>
      <c r="C367"/>
      <c r="D367"/>
      <c r="E367"/>
      <c r="F367"/>
    </row>
    <row r="368" spans="2:6" x14ac:dyDescent="0.35">
      <c r="B368"/>
      <c r="C368"/>
      <c r="D368"/>
      <c r="E368"/>
      <c r="F368"/>
    </row>
    <row r="369" spans="2:6" x14ac:dyDescent="0.35">
      <c r="B369"/>
      <c r="C369"/>
      <c r="D369"/>
      <c r="E369"/>
      <c r="F369"/>
    </row>
    <row r="370" spans="2:6" x14ac:dyDescent="0.35">
      <c r="B370"/>
      <c r="C370"/>
      <c r="D370"/>
      <c r="E370"/>
      <c r="F370"/>
    </row>
    <row r="371" spans="2:6" x14ac:dyDescent="0.35">
      <c r="B371"/>
      <c r="C371"/>
      <c r="D371"/>
      <c r="E371"/>
      <c r="F371"/>
    </row>
    <row r="372" spans="2:6" x14ac:dyDescent="0.35">
      <c r="B372"/>
      <c r="C372"/>
      <c r="D372"/>
      <c r="E372"/>
      <c r="F372"/>
    </row>
    <row r="373" spans="2:6" x14ac:dyDescent="0.35">
      <c r="B373"/>
      <c r="C373"/>
      <c r="D373"/>
      <c r="E373"/>
      <c r="F373"/>
    </row>
    <row r="374" spans="2:6" x14ac:dyDescent="0.35">
      <c r="B374"/>
      <c r="C374"/>
      <c r="D374"/>
      <c r="E374"/>
      <c r="F374"/>
    </row>
    <row r="375" spans="2:6" x14ac:dyDescent="0.35">
      <c r="B375"/>
      <c r="C375"/>
      <c r="D375"/>
      <c r="E375"/>
      <c r="F375"/>
    </row>
    <row r="376" spans="2:6" x14ac:dyDescent="0.35">
      <c r="B376"/>
      <c r="C376"/>
      <c r="D376"/>
      <c r="E376"/>
      <c r="F376"/>
    </row>
    <row r="377" spans="2:6" x14ac:dyDescent="0.35">
      <c r="B377"/>
      <c r="C377"/>
      <c r="D377"/>
      <c r="E377"/>
      <c r="F377"/>
    </row>
    <row r="378" spans="2:6" x14ac:dyDescent="0.35">
      <c r="B378"/>
      <c r="C378"/>
      <c r="D378"/>
      <c r="E378"/>
      <c r="F378"/>
    </row>
    <row r="379" spans="2:6" x14ac:dyDescent="0.35">
      <c r="B379"/>
      <c r="C379"/>
      <c r="D379"/>
      <c r="E379"/>
      <c r="F379"/>
    </row>
    <row r="380" spans="2:6" x14ac:dyDescent="0.35">
      <c r="B380"/>
      <c r="C380"/>
      <c r="D380"/>
      <c r="E380"/>
      <c r="F380"/>
    </row>
    <row r="381" spans="2:6" x14ac:dyDescent="0.35">
      <c r="B381"/>
      <c r="C381"/>
      <c r="D381"/>
      <c r="E381"/>
      <c r="F381"/>
    </row>
    <row r="382" spans="2:6" x14ac:dyDescent="0.35">
      <c r="B382"/>
      <c r="C382"/>
      <c r="D382"/>
      <c r="E382"/>
      <c r="F382"/>
    </row>
    <row r="383" spans="2:6" x14ac:dyDescent="0.35">
      <c r="B383"/>
      <c r="C383"/>
      <c r="D383"/>
      <c r="E383"/>
      <c r="F383"/>
    </row>
    <row r="384" spans="2:6" x14ac:dyDescent="0.35">
      <c r="B384"/>
      <c r="C384"/>
      <c r="D384"/>
      <c r="E384"/>
      <c r="F384"/>
    </row>
    <row r="385" spans="2:6" x14ac:dyDescent="0.35">
      <c r="B385"/>
      <c r="C385"/>
      <c r="D385"/>
      <c r="E385"/>
      <c r="F385"/>
    </row>
    <row r="386" spans="2:6" x14ac:dyDescent="0.35">
      <c r="B386"/>
      <c r="C386"/>
      <c r="D386"/>
      <c r="E386"/>
      <c r="F386"/>
    </row>
    <row r="387" spans="2:6" x14ac:dyDescent="0.35">
      <c r="B387"/>
      <c r="C387"/>
      <c r="D387"/>
      <c r="E387"/>
      <c r="F387"/>
    </row>
    <row r="388" spans="2:6" x14ac:dyDescent="0.35">
      <c r="B388"/>
      <c r="C388"/>
      <c r="D388"/>
      <c r="E388"/>
      <c r="F388"/>
    </row>
  </sheetData>
  <sheetProtection algorithmName="SHA-512" hashValue="2bSdZZ+Hl0YzNDoivYzOnkV8SaFLVy6VQavtiakcjncmGWMRxuKFtc5TmzNZDP2kKLcbFKCGAT+CiAS4bu/tgw==" saltValue="OiXcHY3wX3Wv+JIgFwGa9A==" spinCount="100000" sheet="1" scenarios="1" formatCells="0" formatColumns="0" formatRows="0" sort="0" autoFilter="0" pivotTables="0"/>
  <mergeCells count="5">
    <mergeCell ref="B20:K20"/>
    <mergeCell ref="B23:E23"/>
    <mergeCell ref="B21:K21"/>
    <mergeCell ref="B18:K18"/>
    <mergeCell ref="B7:K7"/>
  </mergeCells>
  <hyperlinks>
    <hyperlink ref="F5" r:id="rId1" display="Scottish Fire and Rescue Service Fire Safety and Organisational Statistics, Scotland, 2015-16"/>
    <hyperlink ref="A5:G5" r:id="rId2" display="Scottish Fire and Rescue Service Fire Safety and Organisational Statistics, Scotland"/>
    <hyperlink ref="F23" r:id="rId3"/>
  </hyperlinks>
  <pageMargins left="0.7" right="0.7" top="0.75" bottom="0.75" header="0.3" footer="0.3"/>
  <pageSetup paperSize="9" scale="72"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59999389629810485"/>
    <pageSetUpPr fitToPage="1"/>
  </sheetPr>
  <dimension ref="A1:H37"/>
  <sheetViews>
    <sheetView showGridLines="0" zoomScaleNormal="100" zoomScaleSheetLayoutView="100" workbookViewId="0">
      <pane ySplit="2" topLeftCell="A3" activePane="bottomLeft" state="frozen"/>
      <selection pane="bottomLeft" sqref="A1:C1"/>
    </sheetView>
  </sheetViews>
  <sheetFormatPr defaultRowHeight="14.5" x14ac:dyDescent="0.35"/>
  <cols>
    <col min="1" max="1" width="17.7265625" customWidth="1"/>
    <col min="2" max="2" width="21.54296875" bestFit="1" customWidth="1"/>
    <col min="3" max="3" width="19.1796875" bestFit="1" customWidth="1"/>
    <col min="4" max="4" width="24" bestFit="1" customWidth="1"/>
    <col min="5" max="5" width="17.81640625" customWidth="1"/>
    <col min="6" max="6" width="15.7265625" customWidth="1"/>
    <col min="7" max="7" width="11.7265625" customWidth="1"/>
    <col min="8" max="8" width="7.54296875" bestFit="1" customWidth="1"/>
    <col min="9" max="9" width="21.54296875" bestFit="1" customWidth="1"/>
    <col min="10" max="10" width="19.1796875" bestFit="1" customWidth="1"/>
    <col min="11" max="11" width="24" bestFit="1" customWidth="1"/>
    <col min="12" max="12" width="9.54296875" bestFit="1" customWidth="1"/>
    <col min="13" max="13" width="9.81640625" bestFit="1" customWidth="1"/>
    <col min="14" max="14" width="5.54296875" bestFit="1" customWidth="1"/>
  </cols>
  <sheetData>
    <row r="1" spans="1:6" ht="15.5" x14ac:dyDescent="0.35">
      <c r="A1" s="1160" t="s">
        <v>521</v>
      </c>
      <c r="B1" s="1160"/>
      <c r="C1" s="1160"/>
    </row>
    <row r="2" spans="1:6" ht="15.5" x14ac:dyDescent="0.35">
      <c r="A2" s="601" t="s">
        <v>509</v>
      </c>
      <c r="B2" s="603"/>
      <c r="C2" s="603"/>
    </row>
    <row r="3" spans="1:6" ht="15.5" x14ac:dyDescent="0.35">
      <c r="D3" s="209"/>
      <c r="E3" s="209"/>
      <c r="F3" s="209"/>
    </row>
    <row r="4" spans="1:6" ht="15.75" customHeight="1" x14ac:dyDescent="0.35">
      <c r="A4" s="1161" t="s">
        <v>518</v>
      </c>
      <c r="B4" s="1161"/>
      <c r="C4" s="1161"/>
      <c r="D4" s="1161"/>
      <c r="E4" s="1161"/>
      <c r="F4" s="1161"/>
    </row>
    <row r="5" spans="1:6" ht="15.75" customHeight="1" x14ac:dyDescent="0.35">
      <c r="A5" t="s">
        <v>320</v>
      </c>
      <c r="B5" t="s">
        <v>638</v>
      </c>
      <c r="C5" s="606"/>
      <c r="D5" s="606"/>
      <c r="E5" s="606"/>
      <c r="F5" s="606"/>
    </row>
    <row r="6" spans="1:6" ht="15.75" customHeight="1" x14ac:dyDescent="0.35">
      <c r="A6" t="s">
        <v>321</v>
      </c>
      <c r="B6" t="s">
        <v>323</v>
      </c>
      <c r="C6" s="606"/>
      <c r="D6" s="606"/>
      <c r="E6" s="606"/>
      <c r="F6" s="606"/>
    </row>
    <row r="7" spans="1:6" ht="15.75" customHeight="1" x14ac:dyDescent="0.35">
      <c r="A7" t="s">
        <v>322</v>
      </c>
      <c r="B7" t="s">
        <v>324</v>
      </c>
      <c r="C7" s="606"/>
      <c r="D7" s="606"/>
      <c r="E7" s="606"/>
      <c r="F7" s="606"/>
    </row>
    <row r="8" spans="1:6" ht="15.75" customHeight="1" x14ac:dyDescent="0.35">
      <c r="A8" s="606"/>
      <c r="B8" s="606"/>
      <c r="C8" s="606"/>
      <c r="D8" s="606"/>
      <c r="E8" s="606"/>
      <c r="F8" s="606"/>
    </row>
    <row r="9" spans="1:6" x14ac:dyDescent="0.35">
      <c r="A9" s="75"/>
      <c r="B9" s="130"/>
      <c r="C9" s="251"/>
      <c r="D9" s="346"/>
      <c r="E9" s="147" t="s">
        <v>6</v>
      </c>
      <c r="F9" s="129"/>
    </row>
    <row r="10" spans="1:6" x14ac:dyDescent="0.35">
      <c r="A10" s="205" t="s">
        <v>1</v>
      </c>
      <c r="B10" s="129" t="s">
        <v>112</v>
      </c>
      <c r="C10" s="129" t="s">
        <v>519</v>
      </c>
      <c r="D10" s="129" t="s">
        <v>28</v>
      </c>
      <c r="E10" s="210" t="s">
        <v>29</v>
      </c>
      <c r="F10" s="463" t="s">
        <v>26</v>
      </c>
    </row>
    <row r="11" spans="1:6" x14ac:dyDescent="0.35">
      <c r="A11" s="914" t="s">
        <v>308</v>
      </c>
      <c r="B11" s="949">
        <v>74</v>
      </c>
      <c r="C11" s="949">
        <v>4</v>
      </c>
      <c r="D11" s="949">
        <v>241</v>
      </c>
      <c r="E11" s="949">
        <v>53</v>
      </c>
      <c r="F11" s="1094">
        <v>372</v>
      </c>
    </row>
    <row r="12" spans="1:6" x14ac:dyDescent="0.35">
      <c r="A12" s="914" t="s">
        <v>195</v>
      </c>
      <c r="B12" s="949">
        <v>74</v>
      </c>
      <c r="C12" s="949">
        <v>4</v>
      </c>
      <c r="D12" s="949">
        <v>236</v>
      </c>
      <c r="E12" s="949">
        <v>43</v>
      </c>
      <c r="F12" s="1094">
        <v>357</v>
      </c>
    </row>
    <row r="13" spans="1:6" x14ac:dyDescent="0.35">
      <c r="A13" s="914" t="s">
        <v>194</v>
      </c>
      <c r="B13" s="949">
        <v>74</v>
      </c>
      <c r="C13" s="949">
        <v>3</v>
      </c>
      <c r="D13" s="949">
        <v>237</v>
      </c>
      <c r="E13" s="949">
        <v>43</v>
      </c>
      <c r="F13" s="1094">
        <v>357</v>
      </c>
    </row>
    <row r="14" spans="1:6" x14ac:dyDescent="0.35">
      <c r="A14" s="914" t="s">
        <v>193</v>
      </c>
      <c r="B14" s="949">
        <v>74</v>
      </c>
      <c r="C14" s="949">
        <v>0</v>
      </c>
      <c r="D14" s="949">
        <v>240</v>
      </c>
      <c r="E14" s="949">
        <v>43</v>
      </c>
      <c r="F14" s="1095">
        <v>357</v>
      </c>
    </row>
    <row r="15" spans="1:6" x14ac:dyDescent="0.35">
      <c r="A15" s="914" t="s">
        <v>192</v>
      </c>
      <c r="B15" s="949">
        <v>74</v>
      </c>
      <c r="C15" s="949">
        <v>0</v>
      </c>
      <c r="D15" s="949">
        <v>240</v>
      </c>
      <c r="E15" s="949">
        <v>43</v>
      </c>
      <c r="F15" s="1095">
        <v>357</v>
      </c>
    </row>
    <row r="16" spans="1:6" x14ac:dyDescent="0.35">
      <c r="A16" s="914" t="s">
        <v>258</v>
      </c>
      <c r="B16" s="949">
        <v>74</v>
      </c>
      <c r="C16" s="949">
        <v>0</v>
      </c>
      <c r="D16" s="949">
        <v>240</v>
      </c>
      <c r="E16" s="949">
        <v>43</v>
      </c>
      <c r="F16" s="1095">
        <v>357</v>
      </c>
    </row>
    <row r="17" spans="1:6" x14ac:dyDescent="0.35">
      <c r="A17" s="914" t="s">
        <v>242</v>
      </c>
      <c r="B17" s="949">
        <v>74</v>
      </c>
      <c r="C17" s="949">
        <v>0</v>
      </c>
      <c r="D17" s="949">
        <v>240</v>
      </c>
      <c r="E17" s="949">
        <v>43</v>
      </c>
      <c r="F17" s="1095">
        <v>357</v>
      </c>
    </row>
    <row r="18" spans="1:6" x14ac:dyDescent="0.35">
      <c r="A18" s="914" t="s">
        <v>241</v>
      </c>
      <c r="B18" s="949">
        <v>74</v>
      </c>
      <c r="C18" s="949">
        <v>0</v>
      </c>
      <c r="D18" s="949">
        <v>240</v>
      </c>
      <c r="E18" s="949">
        <v>43</v>
      </c>
      <c r="F18" s="1095">
        <v>357</v>
      </c>
    </row>
    <row r="19" spans="1:6" x14ac:dyDescent="0.35">
      <c r="A19" s="914" t="s">
        <v>773</v>
      </c>
      <c r="B19" s="949">
        <v>74</v>
      </c>
      <c r="C19" s="949">
        <v>0</v>
      </c>
      <c r="D19" s="949">
        <v>240</v>
      </c>
      <c r="E19" s="949">
        <v>43</v>
      </c>
      <c r="F19" s="1095">
        <v>357</v>
      </c>
    </row>
    <row r="20" spans="1:6" ht="15" thickBot="1" x14ac:dyDescent="0.4">
      <c r="A20" s="206" t="s">
        <v>951</v>
      </c>
      <c r="B20" s="1096">
        <v>74</v>
      </c>
      <c r="C20" s="1097">
        <v>0</v>
      </c>
      <c r="D20" s="1097">
        <v>240</v>
      </c>
      <c r="E20" s="1097">
        <v>43</v>
      </c>
      <c r="F20" s="1098">
        <v>357</v>
      </c>
    </row>
    <row r="21" spans="1:6" x14ac:dyDescent="0.35">
      <c r="A21" s="75"/>
      <c r="B21" s="75"/>
      <c r="C21" s="75"/>
      <c r="D21" s="75"/>
      <c r="E21" s="75"/>
      <c r="F21" s="25"/>
    </row>
    <row r="22" spans="1:6" x14ac:dyDescent="0.35">
      <c r="A22" s="75"/>
      <c r="B22" s="130"/>
      <c r="C22" s="130"/>
      <c r="D22" s="346"/>
      <c r="E22" s="147" t="s">
        <v>7</v>
      </c>
      <c r="F22" s="719"/>
    </row>
    <row r="23" spans="1:6" x14ac:dyDescent="0.35">
      <c r="A23" s="205" t="s">
        <v>1</v>
      </c>
      <c r="B23" s="129" t="s">
        <v>112</v>
      </c>
      <c r="C23" s="129" t="s">
        <v>519</v>
      </c>
      <c r="D23" s="129" t="s">
        <v>28</v>
      </c>
      <c r="E23" s="210" t="s">
        <v>29</v>
      </c>
      <c r="F23" s="463" t="s">
        <v>26</v>
      </c>
    </row>
    <row r="24" spans="1:6" x14ac:dyDescent="0.35">
      <c r="A24" s="199" t="str">
        <f t="shared" ref="A24:A33" si="0">A11</f>
        <v>2011-12</v>
      </c>
      <c r="B24" s="1099">
        <f t="shared" ref="B24:E32" si="1">B11/$F11%</f>
        <v>19.892473118279568</v>
      </c>
      <c r="C24" s="1099">
        <f t="shared" si="1"/>
        <v>1.075268817204301</v>
      </c>
      <c r="D24" s="1099">
        <f t="shared" si="1"/>
        <v>64.784946236559136</v>
      </c>
      <c r="E24" s="1099">
        <f t="shared" si="1"/>
        <v>14.247311827956988</v>
      </c>
      <c r="F24" s="1100">
        <f t="shared" ref="F24:F30" si="2">SUM(B24:E24)</f>
        <v>100</v>
      </c>
    </row>
    <row r="25" spans="1:6" x14ac:dyDescent="0.35">
      <c r="A25" s="199" t="str">
        <f t="shared" si="0"/>
        <v>2012-13</v>
      </c>
      <c r="B25" s="1099">
        <f t="shared" si="1"/>
        <v>20.728291316526612</v>
      </c>
      <c r="C25" s="1099">
        <f t="shared" si="1"/>
        <v>1.1204481792717087</v>
      </c>
      <c r="D25" s="1099">
        <f t="shared" si="1"/>
        <v>66.106442577030819</v>
      </c>
      <c r="E25" s="1099">
        <f t="shared" si="1"/>
        <v>12.044817927170868</v>
      </c>
      <c r="F25" s="1100">
        <f t="shared" si="2"/>
        <v>100</v>
      </c>
    </row>
    <row r="26" spans="1:6" x14ac:dyDescent="0.35">
      <c r="A26" s="199" t="str">
        <f t="shared" si="0"/>
        <v>2013-14</v>
      </c>
      <c r="B26" s="1099">
        <f t="shared" si="1"/>
        <v>20.728291316526612</v>
      </c>
      <c r="C26" s="1099">
        <f t="shared" si="1"/>
        <v>0.84033613445378152</v>
      </c>
      <c r="D26" s="1099">
        <f t="shared" si="1"/>
        <v>66.386554621848745</v>
      </c>
      <c r="E26" s="1099">
        <f t="shared" si="1"/>
        <v>12.044817927170868</v>
      </c>
      <c r="F26" s="1100">
        <f t="shared" si="2"/>
        <v>100</v>
      </c>
    </row>
    <row r="27" spans="1:6" x14ac:dyDescent="0.35">
      <c r="A27" s="199" t="str">
        <f t="shared" si="0"/>
        <v>2014-15</v>
      </c>
      <c r="B27" s="1099">
        <f t="shared" si="1"/>
        <v>20.728291316526612</v>
      </c>
      <c r="C27" s="1099">
        <f t="shared" si="1"/>
        <v>0</v>
      </c>
      <c r="D27" s="1099">
        <f t="shared" si="1"/>
        <v>67.226890756302524</v>
      </c>
      <c r="E27" s="1099">
        <f t="shared" si="1"/>
        <v>12.044817927170868</v>
      </c>
      <c r="F27" s="1100">
        <f t="shared" si="2"/>
        <v>100</v>
      </c>
    </row>
    <row r="28" spans="1:6" x14ac:dyDescent="0.35">
      <c r="A28" s="199" t="str">
        <f t="shared" si="0"/>
        <v>2015-16</v>
      </c>
      <c r="B28" s="1099">
        <f t="shared" si="1"/>
        <v>20.728291316526612</v>
      </c>
      <c r="C28" s="1099">
        <f t="shared" si="1"/>
        <v>0</v>
      </c>
      <c r="D28" s="1099">
        <f t="shared" si="1"/>
        <v>67.226890756302524</v>
      </c>
      <c r="E28" s="1099">
        <f t="shared" si="1"/>
        <v>12.044817927170868</v>
      </c>
      <c r="F28" s="1100">
        <f t="shared" si="2"/>
        <v>100</v>
      </c>
    </row>
    <row r="29" spans="1:6" x14ac:dyDescent="0.35">
      <c r="A29" s="199" t="str">
        <f t="shared" si="0"/>
        <v>2016-17</v>
      </c>
      <c r="B29" s="1099">
        <f t="shared" si="1"/>
        <v>20.728291316526612</v>
      </c>
      <c r="C29" s="1099">
        <f t="shared" si="1"/>
        <v>0</v>
      </c>
      <c r="D29" s="1099">
        <f t="shared" si="1"/>
        <v>67.226890756302524</v>
      </c>
      <c r="E29" s="1099">
        <f t="shared" si="1"/>
        <v>12.044817927170868</v>
      </c>
      <c r="F29" s="1100">
        <f t="shared" si="2"/>
        <v>100</v>
      </c>
    </row>
    <row r="30" spans="1:6" x14ac:dyDescent="0.35">
      <c r="A30" s="199" t="str">
        <f t="shared" si="0"/>
        <v>2017-18</v>
      </c>
      <c r="B30" s="1099">
        <f t="shared" si="1"/>
        <v>20.728291316526612</v>
      </c>
      <c r="C30" s="1099">
        <f t="shared" si="1"/>
        <v>0</v>
      </c>
      <c r="D30" s="1099">
        <f t="shared" si="1"/>
        <v>67.226890756302524</v>
      </c>
      <c r="E30" s="1099">
        <f t="shared" si="1"/>
        <v>12.044817927170868</v>
      </c>
      <c r="F30" s="1100">
        <f t="shared" si="2"/>
        <v>100</v>
      </c>
    </row>
    <row r="31" spans="1:6" x14ac:dyDescent="0.35">
      <c r="A31" s="199" t="str">
        <f t="shared" si="0"/>
        <v>2018-19</v>
      </c>
      <c r="B31" s="1099">
        <f t="shared" si="1"/>
        <v>20.728291316526612</v>
      </c>
      <c r="C31" s="1099">
        <f t="shared" si="1"/>
        <v>0</v>
      </c>
      <c r="D31" s="1099">
        <f t="shared" si="1"/>
        <v>67.226890756302524</v>
      </c>
      <c r="E31" s="1099">
        <f t="shared" si="1"/>
        <v>12.044817927170868</v>
      </c>
      <c r="F31" s="1100">
        <f t="shared" ref="F31:F33" si="3">SUM(B31:E31)</f>
        <v>100</v>
      </c>
    </row>
    <row r="32" spans="1:6" x14ac:dyDescent="0.35">
      <c r="A32" s="199" t="str">
        <f t="shared" si="0"/>
        <v>2019-20</v>
      </c>
      <c r="B32" s="1099">
        <f t="shared" si="1"/>
        <v>20.728291316526612</v>
      </c>
      <c r="C32" s="1099">
        <f t="shared" si="1"/>
        <v>0</v>
      </c>
      <c r="D32" s="1099">
        <f t="shared" si="1"/>
        <v>67.226890756302524</v>
      </c>
      <c r="E32" s="1099">
        <f t="shared" si="1"/>
        <v>12.044817927170868</v>
      </c>
      <c r="F32" s="1100">
        <f t="shared" ref="F32" si="4">SUM(B32:E32)</f>
        <v>100</v>
      </c>
    </row>
    <row r="33" spans="1:8" ht="15" thickBot="1" x14ac:dyDescent="0.4">
      <c r="A33" s="206" t="str">
        <f t="shared" si="0"/>
        <v>2020-21</v>
      </c>
      <c r="B33" s="1101">
        <f t="shared" ref="B33:E33" si="5">B20/$F20%</f>
        <v>20.728291316526612</v>
      </c>
      <c r="C33" s="1101">
        <f>C20/$F20%</f>
        <v>0</v>
      </c>
      <c r="D33" s="1101">
        <f t="shared" si="5"/>
        <v>67.226890756302524</v>
      </c>
      <c r="E33" s="1101">
        <f t="shared" si="5"/>
        <v>12.044817927170868</v>
      </c>
      <c r="F33" s="1102">
        <f t="shared" si="3"/>
        <v>100</v>
      </c>
    </row>
    <row r="34" spans="1:8" x14ac:dyDescent="0.35">
      <c r="A34" s="199"/>
      <c r="B34" s="312"/>
      <c r="C34" s="312"/>
      <c r="D34" s="312"/>
      <c r="E34" s="312"/>
      <c r="F34" s="313"/>
    </row>
    <row r="35" spans="1:8" x14ac:dyDescent="0.35">
      <c r="A35" s="398" t="s">
        <v>8</v>
      </c>
      <c r="B35" s="397"/>
      <c r="C35" s="397"/>
      <c r="D35" s="397"/>
      <c r="E35" s="397"/>
      <c r="F35" s="397"/>
    </row>
    <row r="36" spans="1:8" ht="30" customHeight="1" x14ac:dyDescent="0.35">
      <c r="A36" s="1162" t="s">
        <v>722</v>
      </c>
      <c r="B36" s="1162"/>
      <c r="C36" s="1162"/>
      <c r="D36" s="1162"/>
      <c r="E36" s="1162"/>
      <c r="F36" s="1162"/>
    </row>
    <row r="37" spans="1:8" ht="30" customHeight="1" x14ac:dyDescent="0.35">
      <c r="A37" s="1163" t="s">
        <v>829</v>
      </c>
      <c r="B37" s="1163"/>
      <c r="C37" s="1163"/>
      <c r="D37" s="1163"/>
      <c r="E37" s="1163"/>
      <c r="F37" s="1163"/>
      <c r="G37" s="1163"/>
      <c r="H37" s="1163"/>
    </row>
  </sheetData>
  <sheetProtection algorithmName="SHA-512" hashValue="Yhvc8IFTM8F8YC8LUHoXx4nc4shV3a6QSxWRiPvdl9nuJgW1DZbVW9J5SM4acyfZHEb49Khyw0FhRc2y1KFg2g==" saltValue="GQr4W8dtUEyakd0MDgPFQw==" spinCount="100000" sheet="1" scenarios="1" formatCells="0" formatColumns="0" formatRows="0" sort="0" autoFilter="0" pivotTables="0"/>
  <mergeCells count="4">
    <mergeCell ref="A37:H37"/>
    <mergeCell ref="A4:F4"/>
    <mergeCell ref="A36:F36"/>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76"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160" t="s">
        <v>439</v>
      </c>
      <c r="B1" s="1160"/>
      <c r="C1" s="1160"/>
    </row>
    <row r="2" spans="1:8" ht="15.5" x14ac:dyDescent="0.35">
      <c r="A2" s="601" t="s">
        <v>509</v>
      </c>
      <c r="B2" s="538"/>
      <c r="C2" s="538"/>
    </row>
    <row r="4" spans="1:8" ht="15.5" x14ac:dyDescent="0.35">
      <c r="A4" s="1170" t="s">
        <v>493</v>
      </c>
      <c r="B4" s="1170"/>
      <c r="C4" s="1170"/>
      <c r="D4" s="1170"/>
      <c r="E4" s="1170"/>
      <c r="F4" s="1170"/>
      <c r="G4" s="1170"/>
      <c r="H4" s="1170"/>
    </row>
    <row r="5" spans="1:8" x14ac:dyDescent="0.35">
      <c r="A5" s="686" t="s">
        <v>723</v>
      </c>
    </row>
    <row r="6" spans="1:8" x14ac:dyDescent="0.35">
      <c r="A6" s="686" t="s">
        <v>658</v>
      </c>
    </row>
  </sheetData>
  <sheetProtection algorithmName="SHA-512" hashValue="hHBI376UfV/MIzKHbt0iI4J/crw7JZcmqo+FZGhZ6tWJHs6Xm8sEjyE+cFNKulcgcQQBBD4/bICiaPywsBRpOg==" saltValue="pL+vJOaA52Lg+ypDZZoiLg=="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160" t="s">
        <v>439</v>
      </c>
      <c r="B1" s="1160"/>
      <c r="C1" s="1160"/>
    </row>
    <row r="2" spans="1:8" ht="15.5" x14ac:dyDescent="0.35">
      <c r="A2" s="601" t="s">
        <v>509</v>
      </c>
      <c r="B2" s="538"/>
      <c r="C2" s="538"/>
    </row>
    <row r="4" spans="1:8" ht="15.5" x14ac:dyDescent="0.35">
      <c r="A4" s="1170" t="s">
        <v>459</v>
      </c>
      <c r="B4" s="1170"/>
      <c r="C4" s="1170"/>
      <c r="D4" s="1170"/>
      <c r="E4" s="1170"/>
      <c r="F4" s="1170"/>
      <c r="G4" s="1170"/>
      <c r="H4" s="1170"/>
    </row>
    <row r="5" spans="1:8" x14ac:dyDescent="0.35">
      <c r="A5" s="686" t="s">
        <v>723</v>
      </c>
    </row>
    <row r="6" spans="1:8" x14ac:dyDescent="0.35">
      <c r="A6" s="686" t="s">
        <v>659</v>
      </c>
    </row>
  </sheetData>
  <sheetProtection algorithmName="SHA-512" hashValue="Uxs4+ita1uu0btni/9qEMowcKyw11XKKSCViHlQGOSwU2PpE3/YOU5/srLXZs1L7jv8izU3Ra6KOZQPYn3NiOQ==" saltValue="T3ONPbeFG3f7LRROpmzy6g=="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
  <sheetViews>
    <sheetView showGridLines="0" workbookViewId="0">
      <selection sqref="A1:C1"/>
    </sheetView>
  </sheetViews>
  <sheetFormatPr defaultRowHeight="14.5" x14ac:dyDescent="0.35"/>
  <sheetData>
    <row r="1" spans="1:8" ht="15.5" x14ac:dyDescent="0.35">
      <c r="A1" s="1160" t="s">
        <v>439</v>
      </c>
      <c r="B1" s="1160"/>
      <c r="C1" s="1160"/>
    </row>
    <row r="2" spans="1:8" ht="15.5" x14ac:dyDescent="0.35">
      <c r="A2" s="601" t="s">
        <v>509</v>
      </c>
      <c r="B2" s="709"/>
      <c r="C2" s="709"/>
    </row>
    <row r="4" spans="1:8" ht="15.5" x14ac:dyDescent="0.35">
      <c r="A4" s="1170" t="s">
        <v>459</v>
      </c>
      <c r="B4" s="1170"/>
      <c r="C4" s="1170"/>
      <c r="D4" s="1170"/>
      <c r="E4" s="1170"/>
      <c r="F4" s="1170"/>
      <c r="G4" s="1170"/>
      <c r="H4" s="1170"/>
    </row>
    <row r="5" spans="1:8" x14ac:dyDescent="0.35">
      <c r="A5" s="686" t="s">
        <v>723</v>
      </c>
    </row>
    <row r="6" spans="1:8" x14ac:dyDescent="0.35">
      <c r="A6" s="746" t="s">
        <v>885</v>
      </c>
    </row>
  </sheetData>
  <sheetProtection algorithmName="SHA-512" hashValue="/DEWmj0wz5YbY8yfAc0dZOd71zHtdiWlCNb3UTPWO+ndBzfJ3VrWrqHVswvta3nWbY/W/LaubEju1YWeN8F+tw==" saltValue="L4k6/8A4V5ZpBs4h39RcNg=="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tint="0.39997558519241921"/>
    <pageSetUpPr fitToPage="1"/>
  </sheetPr>
  <dimension ref="A1:AE79"/>
  <sheetViews>
    <sheetView showGridLines="0" zoomScaleNormal="100" workbookViewId="0">
      <pane ySplit="2" topLeftCell="A3" activePane="bottomLeft" state="frozen"/>
      <selection pane="bottomLeft"/>
    </sheetView>
  </sheetViews>
  <sheetFormatPr defaultRowHeight="14.5" x14ac:dyDescent="0.35"/>
  <cols>
    <col min="1" max="1" width="18.1796875" customWidth="1"/>
    <col min="2" max="2" width="13.36328125" customWidth="1"/>
    <col min="3" max="3" width="18.7265625" customWidth="1"/>
    <col min="4" max="4" width="10.7265625" customWidth="1"/>
    <col min="5" max="5" width="12.7265625" customWidth="1"/>
    <col min="6" max="6" width="10.6328125" customWidth="1"/>
    <col min="7" max="7" width="10.90625" customWidth="1"/>
    <col min="8" max="8" width="16.453125" customWidth="1"/>
    <col min="9" max="9" width="11.90625" customWidth="1"/>
    <col min="10" max="10" width="15" customWidth="1"/>
    <col min="11" max="11" width="11.1796875" customWidth="1"/>
    <col min="12" max="12" width="12.26953125" customWidth="1"/>
    <col min="13" max="13" width="8.90625" customWidth="1"/>
    <col min="14" max="15" width="7.36328125" bestFit="1" customWidth="1"/>
  </cols>
  <sheetData>
    <row r="1" spans="1:14" ht="15.75" customHeight="1" x14ac:dyDescent="0.35">
      <c r="A1" s="629" t="s">
        <v>526</v>
      </c>
      <c r="B1" s="629"/>
      <c r="C1" s="629"/>
    </row>
    <row r="2" spans="1:14" ht="15.5" x14ac:dyDescent="0.35">
      <c r="A2" s="601" t="s">
        <v>509</v>
      </c>
      <c r="B2" s="603"/>
      <c r="C2" s="603"/>
    </row>
    <row r="4" spans="1:14" ht="15.75" customHeight="1" x14ac:dyDescent="0.35">
      <c r="A4" s="1200" t="s">
        <v>588</v>
      </c>
      <c r="B4" s="1200"/>
      <c r="C4" s="1200"/>
      <c r="D4" s="1200"/>
      <c r="E4" s="1200"/>
      <c r="F4" s="1200"/>
      <c r="G4" s="1200"/>
      <c r="H4" s="1200"/>
      <c r="I4" s="1200"/>
      <c r="J4" s="1200"/>
      <c r="K4" s="1200"/>
    </row>
    <row r="5" spans="1:14" ht="15.75" customHeight="1" x14ac:dyDescent="0.35">
      <c r="A5" t="s">
        <v>320</v>
      </c>
      <c r="B5" t="s">
        <v>660</v>
      </c>
      <c r="C5" s="607"/>
      <c r="D5" s="607"/>
      <c r="E5" s="607"/>
      <c r="F5" s="607"/>
      <c r="G5" s="607"/>
      <c r="H5" s="607"/>
      <c r="I5" s="607"/>
      <c r="J5" s="607"/>
      <c r="K5" s="607"/>
    </row>
    <row r="6" spans="1:14" ht="15.75" customHeight="1" x14ac:dyDescent="0.35">
      <c r="A6" t="s">
        <v>321</v>
      </c>
      <c r="B6" t="s">
        <v>323</v>
      </c>
      <c r="C6" s="607"/>
      <c r="D6" s="607"/>
      <c r="E6" s="607"/>
      <c r="F6" s="607"/>
      <c r="G6" s="607"/>
      <c r="H6" s="607"/>
      <c r="I6" s="607"/>
      <c r="J6" s="607"/>
      <c r="K6" s="607"/>
    </row>
    <row r="7" spans="1:14" ht="15.75" customHeight="1" x14ac:dyDescent="0.35">
      <c r="A7" t="s">
        <v>322</v>
      </c>
      <c r="B7" t="s">
        <v>528</v>
      </c>
      <c r="C7" s="607"/>
      <c r="D7" s="607"/>
      <c r="E7" s="607"/>
      <c r="F7" s="607"/>
      <c r="G7" s="607"/>
      <c r="H7" s="607"/>
      <c r="I7" s="607"/>
      <c r="J7" s="607"/>
      <c r="K7" s="607"/>
    </row>
    <row r="8" spans="1:14" x14ac:dyDescent="0.35">
      <c r="A8" s="420"/>
      <c r="B8" s="25"/>
      <c r="C8" s="25"/>
      <c r="D8" s="25"/>
      <c r="E8" s="25"/>
      <c r="F8" s="25"/>
      <c r="G8" s="25"/>
      <c r="H8" s="25"/>
      <c r="I8" s="25"/>
      <c r="J8" s="25"/>
      <c r="K8" s="25"/>
    </row>
    <row r="9" spans="1:14" ht="27.75" customHeight="1" x14ac:dyDescent="0.35">
      <c r="A9" s="411" t="s">
        <v>527</v>
      </c>
      <c r="B9" s="25"/>
      <c r="C9" s="25"/>
      <c r="D9" s="25"/>
      <c r="E9" s="25"/>
      <c r="F9" s="25"/>
      <c r="G9" s="25"/>
      <c r="H9" s="1203" t="s">
        <v>955</v>
      </c>
      <c r="I9" s="1203"/>
      <c r="J9" s="25"/>
      <c r="K9" s="25"/>
    </row>
    <row r="10" spans="1:14" ht="31.5" customHeight="1" x14ac:dyDescent="0.35">
      <c r="A10" s="1011" t="s">
        <v>1</v>
      </c>
      <c r="B10" s="1012" t="s">
        <v>17473</v>
      </c>
      <c r="C10" s="1012" t="s">
        <v>956</v>
      </c>
      <c r="D10" s="1012" t="s">
        <v>957</v>
      </c>
      <c r="E10" s="1012" t="s">
        <v>958</v>
      </c>
      <c r="F10" s="1104" t="s">
        <v>26</v>
      </c>
      <c r="G10" s="25"/>
      <c r="H10" s="1001" t="s">
        <v>1</v>
      </c>
      <c r="I10" s="1012" t="s">
        <v>17473</v>
      </c>
      <c r="J10" s="1013" t="s">
        <v>956</v>
      </c>
      <c r="K10" s="1013" t="s">
        <v>957</v>
      </c>
      <c r="L10" s="1013" t="s">
        <v>958</v>
      </c>
      <c r="M10" s="1007" t="s">
        <v>26</v>
      </c>
      <c r="N10" s="542"/>
    </row>
    <row r="11" spans="1:14" x14ac:dyDescent="0.35">
      <c r="A11" s="1002" t="s">
        <v>192</v>
      </c>
      <c r="B11" s="1005">
        <v>39</v>
      </c>
      <c r="C11" s="1005">
        <v>1</v>
      </c>
      <c r="D11" s="1005">
        <v>37</v>
      </c>
      <c r="E11" s="1005">
        <v>13</v>
      </c>
      <c r="F11" s="1008">
        <v>90</v>
      </c>
      <c r="H11" s="1019" t="s">
        <v>192</v>
      </c>
      <c r="I11" s="1005">
        <v>0</v>
      </c>
      <c r="J11" s="1005">
        <v>0</v>
      </c>
      <c r="K11" s="1005">
        <v>0</v>
      </c>
      <c r="L11" s="1005">
        <v>2</v>
      </c>
      <c r="M11" s="1009">
        <v>2</v>
      </c>
    </row>
    <row r="12" spans="1:14" x14ac:dyDescent="0.35">
      <c r="A12" s="1002" t="s">
        <v>258</v>
      </c>
      <c r="B12" s="1005">
        <v>44</v>
      </c>
      <c r="C12" s="1005">
        <v>2</v>
      </c>
      <c r="D12" s="1005">
        <v>22</v>
      </c>
      <c r="E12" s="1005">
        <v>10</v>
      </c>
      <c r="F12" s="1009">
        <v>78</v>
      </c>
      <c r="H12" s="1020" t="s">
        <v>258</v>
      </c>
      <c r="I12" s="1005">
        <v>2</v>
      </c>
      <c r="J12" s="1005">
        <v>0</v>
      </c>
      <c r="K12" s="1005">
        <v>0</v>
      </c>
      <c r="L12" s="1005">
        <v>3</v>
      </c>
      <c r="M12" s="1009">
        <v>5</v>
      </c>
    </row>
    <row r="13" spans="1:14" x14ac:dyDescent="0.35">
      <c r="A13" s="1002" t="s">
        <v>242</v>
      </c>
      <c r="B13" s="1005">
        <v>32</v>
      </c>
      <c r="C13" s="1005">
        <v>0</v>
      </c>
      <c r="D13" s="1005">
        <v>12</v>
      </c>
      <c r="E13" s="1005">
        <v>9</v>
      </c>
      <c r="F13" s="1009">
        <v>53</v>
      </c>
      <c r="H13" s="1020" t="s">
        <v>242</v>
      </c>
      <c r="I13" s="1005">
        <v>3</v>
      </c>
      <c r="J13" s="1005">
        <v>0</v>
      </c>
      <c r="K13" s="1005">
        <v>0</v>
      </c>
      <c r="L13" s="1005">
        <v>4</v>
      </c>
      <c r="M13" s="1009">
        <v>7</v>
      </c>
    </row>
    <row r="14" spans="1:14" x14ac:dyDescent="0.35">
      <c r="A14" s="1002" t="s">
        <v>241</v>
      </c>
      <c r="B14" s="1005">
        <v>48</v>
      </c>
      <c r="C14" s="1005">
        <v>1</v>
      </c>
      <c r="D14" s="1005">
        <v>15</v>
      </c>
      <c r="E14" s="1005">
        <v>8</v>
      </c>
      <c r="F14" s="1009">
        <v>72</v>
      </c>
      <c r="H14" s="1020" t="s">
        <v>241</v>
      </c>
      <c r="I14" s="1005">
        <v>1</v>
      </c>
      <c r="J14" s="1005">
        <v>0</v>
      </c>
      <c r="K14" s="1005">
        <v>0</v>
      </c>
      <c r="L14" s="1005">
        <v>0</v>
      </c>
      <c r="M14" s="1009">
        <v>1</v>
      </c>
    </row>
    <row r="15" spans="1:14" x14ac:dyDescent="0.35">
      <c r="A15" s="1002" t="s">
        <v>773</v>
      </c>
      <c r="B15" s="1005">
        <v>33</v>
      </c>
      <c r="C15" s="1005">
        <v>1</v>
      </c>
      <c r="D15" s="1005">
        <v>9</v>
      </c>
      <c r="E15" s="1005">
        <v>10</v>
      </c>
      <c r="F15" s="1009">
        <v>53</v>
      </c>
      <c r="H15" s="1020" t="s">
        <v>773</v>
      </c>
      <c r="I15" s="1005">
        <v>0</v>
      </c>
      <c r="J15" s="1005">
        <v>0</v>
      </c>
      <c r="K15" s="1005">
        <v>0</v>
      </c>
      <c r="L15" s="1005">
        <v>2</v>
      </c>
      <c r="M15" s="1009">
        <v>2</v>
      </c>
    </row>
    <row r="16" spans="1:14" ht="15" thickBot="1" x14ac:dyDescent="0.4">
      <c r="A16" s="1004" t="s">
        <v>951</v>
      </c>
      <c r="B16" s="1006">
        <v>10</v>
      </c>
      <c r="C16" s="1006">
        <v>10</v>
      </c>
      <c r="D16" s="1006">
        <v>25</v>
      </c>
      <c r="E16" s="1006">
        <v>18</v>
      </c>
      <c r="F16" s="1010">
        <v>63</v>
      </c>
      <c r="H16" s="1021" t="s">
        <v>951</v>
      </c>
      <c r="I16" s="1006">
        <v>0</v>
      </c>
      <c r="J16" s="1006">
        <v>0</v>
      </c>
      <c r="K16" s="1006">
        <v>0</v>
      </c>
      <c r="L16" s="1006">
        <v>1</v>
      </c>
      <c r="M16" s="1010">
        <v>1</v>
      </c>
    </row>
    <row r="17" spans="1:31" x14ac:dyDescent="0.35">
      <c r="A17" s="25"/>
      <c r="H17" s="597"/>
      <c r="I17" s="542"/>
      <c r="J17" s="542"/>
      <c r="K17" s="542"/>
      <c r="L17" s="542"/>
      <c r="M17" s="542"/>
    </row>
    <row r="18" spans="1:31" x14ac:dyDescent="0.35">
      <c r="A18" s="420"/>
    </row>
    <row r="19" spans="1:31" x14ac:dyDescent="0.35">
      <c r="A19" s="421" t="s">
        <v>8</v>
      </c>
      <c r="B19" s="422"/>
      <c r="C19" s="422"/>
      <c r="D19" s="422"/>
      <c r="E19" s="422"/>
      <c r="F19" s="422"/>
      <c r="G19" s="422"/>
      <c r="H19" s="422"/>
      <c r="I19" s="422"/>
    </row>
    <row r="20" spans="1:31" ht="27.5" customHeight="1" x14ac:dyDescent="0.35">
      <c r="A20" s="1202" t="s">
        <v>741</v>
      </c>
      <c r="B20" s="1202"/>
      <c r="C20" s="1202"/>
      <c r="D20" s="1202"/>
      <c r="E20" s="1202"/>
      <c r="F20" s="1202"/>
      <c r="G20" s="1202"/>
      <c r="H20" s="1202"/>
      <c r="I20" s="1202"/>
      <c r="J20" s="1202"/>
      <c r="K20" s="1202"/>
      <c r="T20" s="437"/>
      <c r="X20" s="437"/>
      <c r="AA20" s="437"/>
      <c r="AB20" s="437"/>
      <c r="AC20" s="437"/>
      <c r="AD20" s="437"/>
      <c r="AE20" s="437"/>
    </row>
    <row r="21" spans="1:31" x14ac:dyDescent="0.35">
      <c r="A21" s="25"/>
      <c r="B21" s="25"/>
      <c r="C21" s="25"/>
      <c r="D21" s="25"/>
      <c r="E21" s="25"/>
      <c r="F21" s="25"/>
      <c r="G21" s="25"/>
      <c r="H21" s="25"/>
      <c r="I21" s="25"/>
      <c r="J21" s="25"/>
      <c r="K21" s="25"/>
      <c r="T21" s="437"/>
      <c r="X21" s="437"/>
      <c r="AA21" s="437"/>
      <c r="AB21" s="437"/>
      <c r="AC21" s="437"/>
      <c r="AD21" s="437"/>
      <c r="AE21" s="437"/>
    </row>
    <row r="22" spans="1:31" ht="34" customHeight="1" x14ac:dyDescent="0.35">
      <c r="A22" s="1200" t="s">
        <v>589</v>
      </c>
      <c r="B22" s="1200"/>
      <c r="C22" s="1200"/>
      <c r="D22" s="1200"/>
      <c r="E22" s="1200"/>
      <c r="F22" s="1200"/>
      <c r="G22" s="1200"/>
      <c r="H22" s="1200"/>
      <c r="I22" s="1200"/>
      <c r="J22" s="1200"/>
      <c r="K22" s="1200"/>
      <c r="T22" s="437"/>
      <c r="X22" s="437"/>
      <c r="AA22" s="437"/>
      <c r="AB22" s="437"/>
      <c r="AC22" s="437"/>
      <c r="AD22" s="437"/>
      <c r="AE22" s="437"/>
    </row>
    <row r="23" spans="1:31" ht="15.5" x14ac:dyDescent="0.35">
      <c r="A23" t="s">
        <v>320</v>
      </c>
      <c r="B23" s="700"/>
      <c r="C23" s="700"/>
      <c r="D23" s="700"/>
      <c r="E23" s="700"/>
      <c r="F23" s="700"/>
      <c r="G23" s="700"/>
      <c r="H23" s="700"/>
      <c r="I23" s="700"/>
      <c r="J23" s="700"/>
      <c r="K23" s="700"/>
      <c r="L23" s="701"/>
      <c r="T23" s="437"/>
      <c r="X23" s="437"/>
      <c r="AA23" s="437"/>
      <c r="AB23" s="437"/>
      <c r="AC23" s="437"/>
      <c r="AD23" s="437"/>
      <c r="AE23" s="437"/>
    </row>
    <row r="24" spans="1:31" ht="15.5" x14ac:dyDescent="0.35">
      <c r="A24" t="s">
        <v>321</v>
      </c>
      <c r="B24" t="s">
        <v>323</v>
      </c>
      <c r="C24" s="699"/>
      <c r="D24" s="607"/>
      <c r="E24" s="607"/>
      <c r="F24" s="607"/>
      <c r="G24" s="607"/>
      <c r="H24" s="607"/>
      <c r="I24" s="607"/>
      <c r="J24" s="607"/>
      <c r="K24" s="699"/>
      <c r="T24" s="437"/>
      <c r="X24" s="437"/>
      <c r="AA24" s="437"/>
      <c r="AB24" s="437"/>
      <c r="AC24" s="437"/>
      <c r="AD24" s="437"/>
      <c r="AE24" s="437"/>
    </row>
    <row r="25" spans="1:31" ht="15.5" x14ac:dyDescent="0.35">
      <c r="A25" t="s">
        <v>322</v>
      </c>
      <c r="B25" t="s">
        <v>528</v>
      </c>
      <c r="C25" s="607"/>
      <c r="D25" s="607"/>
      <c r="E25" s="607"/>
      <c r="F25" s="607"/>
      <c r="G25" s="607"/>
      <c r="H25" s="607"/>
      <c r="I25" s="607"/>
      <c r="J25" s="607"/>
      <c r="K25" s="607"/>
      <c r="T25" s="437"/>
      <c r="X25" s="437"/>
      <c r="AA25" s="437"/>
      <c r="AB25" s="437"/>
      <c r="AC25" s="437"/>
      <c r="AD25" s="437"/>
      <c r="AE25" s="437"/>
    </row>
    <row r="26" spans="1:31" x14ac:dyDescent="0.35">
      <c r="A26" s="6"/>
      <c r="B26" s="234"/>
      <c r="C26" s="234"/>
      <c r="D26" s="234"/>
      <c r="E26" s="234"/>
      <c r="F26" s="234"/>
      <c r="G26" s="234"/>
      <c r="H26" s="234"/>
      <c r="I26" s="234"/>
      <c r="J26" s="233"/>
      <c r="K26" s="233"/>
      <c r="T26" s="437"/>
      <c r="X26" s="437"/>
      <c r="AA26" s="437"/>
      <c r="AB26" s="437"/>
      <c r="AC26" s="437"/>
      <c r="AD26" s="437"/>
      <c r="AE26" s="437"/>
    </row>
    <row r="27" spans="1:31" ht="14.5" customHeight="1" x14ac:dyDescent="0.35">
      <c r="A27" s="6" t="s">
        <v>527</v>
      </c>
      <c r="B27" s="234"/>
      <c r="C27" s="234"/>
      <c r="D27" s="234"/>
      <c r="E27" s="234"/>
      <c r="F27" s="234"/>
      <c r="G27" s="234"/>
      <c r="H27" s="1201" t="s">
        <v>955</v>
      </c>
      <c r="I27" s="1201"/>
      <c r="J27" s="233"/>
      <c r="K27" s="233"/>
      <c r="T27" s="437"/>
      <c r="X27" s="437"/>
      <c r="AA27" s="437"/>
      <c r="AB27" s="437"/>
      <c r="AC27" s="437"/>
      <c r="AD27" s="437"/>
      <c r="AE27" s="437"/>
    </row>
    <row r="28" spans="1:31" ht="32.5" customHeight="1" x14ac:dyDescent="0.35">
      <c r="A28" s="1022" t="s">
        <v>1</v>
      </c>
      <c r="B28" s="1105" t="s">
        <v>17473</v>
      </c>
      <c r="C28" s="1105" t="s">
        <v>956</v>
      </c>
      <c r="D28" s="1105" t="s">
        <v>957</v>
      </c>
      <c r="E28" s="1105" t="s">
        <v>958</v>
      </c>
      <c r="F28" s="1106" t="s">
        <v>26</v>
      </c>
      <c r="G28" s="234"/>
      <c r="H28" s="1018" t="s">
        <v>1</v>
      </c>
      <c r="I28" s="1016" t="s">
        <v>17473</v>
      </c>
      <c r="J28" s="1016" t="s">
        <v>956</v>
      </c>
      <c r="K28" s="1016" t="s">
        <v>957</v>
      </c>
      <c r="L28" s="1016" t="s">
        <v>958</v>
      </c>
      <c r="M28" s="1017" t="s">
        <v>26</v>
      </c>
      <c r="N28" s="542"/>
      <c r="O28" s="437"/>
      <c r="R28" s="437"/>
      <c r="S28" s="437"/>
      <c r="T28" s="437"/>
      <c r="U28" s="437"/>
      <c r="V28" s="437"/>
    </row>
    <row r="29" spans="1:31" x14ac:dyDescent="0.35">
      <c r="A29" s="1002" t="s">
        <v>192</v>
      </c>
      <c r="B29" s="1005">
        <v>3</v>
      </c>
      <c r="C29" s="1005">
        <v>0</v>
      </c>
      <c r="D29" s="1005">
        <v>6</v>
      </c>
      <c r="E29" s="1005">
        <v>0</v>
      </c>
      <c r="F29" s="1009">
        <v>9</v>
      </c>
      <c r="G29" s="542"/>
      <c r="H29" s="1003" t="s">
        <v>192</v>
      </c>
      <c r="I29" s="1005">
        <v>0</v>
      </c>
      <c r="J29" s="1005">
        <v>0</v>
      </c>
      <c r="K29" s="1005">
        <v>0</v>
      </c>
      <c r="L29" s="1005">
        <v>0</v>
      </c>
      <c r="M29" s="1009">
        <v>0</v>
      </c>
      <c r="N29" s="542"/>
    </row>
    <row r="30" spans="1:31" x14ac:dyDescent="0.35">
      <c r="A30" s="1002" t="s">
        <v>258</v>
      </c>
      <c r="B30" s="1005">
        <v>2</v>
      </c>
      <c r="C30" s="1005">
        <v>0</v>
      </c>
      <c r="D30" s="1005">
        <v>3</v>
      </c>
      <c r="E30" s="1005">
        <v>0</v>
      </c>
      <c r="F30" s="1009">
        <v>5</v>
      </c>
      <c r="G30" s="542"/>
      <c r="H30" s="1003" t="s">
        <v>258</v>
      </c>
      <c r="I30" s="1005">
        <v>0</v>
      </c>
      <c r="J30" s="1005">
        <v>0</v>
      </c>
      <c r="K30" s="1005">
        <v>0</v>
      </c>
      <c r="L30" s="1005">
        <v>0</v>
      </c>
      <c r="M30" s="1009">
        <v>0</v>
      </c>
      <c r="N30" s="542"/>
    </row>
    <row r="31" spans="1:31" x14ac:dyDescent="0.35">
      <c r="A31" s="1002" t="s">
        <v>242</v>
      </c>
      <c r="B31" s="1005">
        <v>3</v>
      </c>
      <c r="C31" s="1005">
        <v>0</v>
      </c>
      <c r="D31" s="1005">
        <v>3</v>
      </c>
      <c r="E31" s="1005">
        <v>2</v>
      </c>
      <c r="F31" s="1009">
        <v>8</v>
      </c>
      <c r="G31" s="542"/>
      <c r="H31" s="1003" t="s">
        <v>242</v>
      </c>
      <c r="I31" s="1005">
        <v>0</v>
      </c>
      <c r="J31" s="1005">
        <v>0</v>
      </c>
      <c r="K31" s="1005">
        <v>0</v>
      </c>
      <c r="L31" s="1005">
        <v>0</v>
      </c>
      <c r="M31" s="1009">
        <v>0</v>
      </c>
      <c r="N31" s="542"/>
    </row>
    <row r="32" spans="1:31" x14ac:dyDescent="0.35">
      <c r="A32" s="1002" t="s">
        <v>241</v>
      </c>
      <c r="B32" s="1005">
        <v>2</v>
      </c>
      <c r="C32" s="1005">
        <v>1</v>
      </c>
      <c r="D32" s="1005">
        <v>6</v>
      </c>
      <c r="E32" s="1005">
        <v>2</v>
      </c>
      <c r="F32" s="1009">
        <v>11</v>
      </c>
      <c r="G32" s="542"/>
      <c r="H32" s="1003" t="s">
        <v>241</v>
      </c>
      <c r="I32" s="1005">
        <v>0</v>
      </c>
      <c r="J32" s="1005">
        <v>0</v>
      </c>
      <c r="K32" s="1005">
        <v>0</v>
      </c>
      <c r="L32" s="1005">
        <v>2</v>
      </c>
      <c r="M32" s="1009">
        <v>2</v>
      </c>
    </row>
    <row r="33" spans="1:31" x14ac:dyDescent="0.35">
      <c r="A33" s="1002" t="s">
        <v>773</v>
      </c>
      <c r="B33" s="1005">
        <v>1</v>
      </c>
      <c r="C33" s="1005">
        <v>1</v>
      </c>
      <c r="D33" s="1005">
        <v>1</v>
      </c>
      <c r="E33" s="1005">
        <v>0</v>
      </c>
      <c r="F33" s="1009">
        <v>3</v>
      </c>
      <c r="G33" s="542"/>
      <c r="H33" s="1003" t="s">
        <v>773</v>
      </c>
      <c r="I33" s="1005">
        <v>0</v>
      </c>
      <c r="J33" s="1005">
        <v>0</v>
      </c>
      <c r="K33" s="1005">
        <v>0</v>
      </c>
      <c r="L33" s="1005">
        <v>0</v>
      </c>
      <c r="M33" s="1009">
        <v>0</v>
      </c>
    </row>
    <row r="34" spans="1:31" ht="15" thickBot="1" x14ac:dyDescent="0.4">
      <c r="A34" s="1004" t="s">
        <v>951</v>
      </c>
      <c r="B34" s="1006">
        <v>0</v>
      </c>
      <c r="C34" s="1006">
        <v>0</v>
      </c>
      <c r="D34" s="1006">
        <v>5</v>
      </c>
      <c r="E34" s="1006">
        <v>1</v>
      </c>
      <c r="F34" s="1010">
        <v>6</v>
      </c>
      <c r="G34" s="542"/>
      <c r="H34" s="1015" t="s">
        <v>951</v>
      </c>
      <c r="I34" s="1006">
        <v>0</v>
      </c>
      <c r="J34" s="1006">
        <v>0</v>
      </c>
      <c r="K34" s="1006">
        <v>0</v>
      </c>
      <c r="L34" s="1006">
        <v>0</v>
      </c>
      <c r="M34" s="1010">
        <v>0</v>
      </c>
    </row>
    <row r="35" spans="1:31" ht="15.75" customHeight="1" x14ac:dyDescent="0.35">
      <c r="A35" s="234"/>
      <c r="G35" s="437"/>
      <c r="H35" s="542"/>
      <c r="I35" s="542"/>
      <c r="J35" s="542"/>
      <c r="K35" s="1014"/>
      <c r="L35" s="542"/>
      <c r="M35" s="542"/>
      <c r="N35" s="437"/>
      <c r="O35" s="437"/>
      <c r="P35" s="437"/>
      <c r="Q35" s="437"/>
      <c r="R35" s="437"/>
    </row>
    <row r="36" spans="1:31" ht="15.75" customHeight="1" x14ac:dyDescent="0.35">
      <c r="A36" s="6"/>
      <c r="T36" s="437"/>
      <c r="X36" s="437"/>
      <c r="AA36" s="437"/>
      <c r="AB36" s="437"/>
      <c r="AC36" s="437"/>
      <c r="AD36" s="437"/>
      <c r="AE36" s="437"/>
    </row>
    <row r="37" spans="1:31" ht="15.75" customHeight="1" x14ac:dyDescent="0.35">
      <c r="A37" s="421" t="s">
        <v>8</v>
      </c>
      <c r="B37" s="424"/>
      <c r="C37" s="424"/>
      <c r="D37" s="758"/>
      <c r="E37" s="424"/>
      <c r="F37" s="424"/>
      <c r="G37" s="424"/>
      <c r="H37" s="424"/>
      <c r="I37" s="424"/>
      <c r="J37" s="425"/>
      <c r="K37" s="424"/>
      <c r="T37" s="437"/>
      <c r="X37" s="437"/>
      <c r="AA37" s="437"/>
      <c r="AB37" s="437"/>
      <c r="AC37" s="437"/>
      <c r="AD37" s="437"/>
      <c r="AE37" s="437"/>
    </row>
    <row r="38" spans="1:31" ht="32" customHeight="1" x14ac:dyDescent="0.35">
      <c r="A38" s="1202" t="s">
        <v>742</v>
      </c>
      <c r="B38" s="1202"/>
      <c r="C38" s="1202"/>
      <c r="D38" s="1202"/>
      <c r="E38" s="1202"/>
      <c r="F38" s="1202"/>
      <c r="G38" s="1202"/>
      <c r="H38" s="1202"/>
      <c r="I38" s="1202"/>
      <c r="J38" s="1202"/>
      <c r="K38" s="1202"/>
      <c r="T38" s="437"/>
      <c r="X38" s="437"/>
      <c r="AA38" s="437"/>
      <c r="AB38" s="437"/>
      <c r="AC38" s="437"/>
      <c r="AD38" s="437"/>
      <c r="AE38" s="437"/>
    </row>
    <row r="39" spans="1:31" ht="15.75" customHeight="1" x14ac:dyDescent="0.35">
      <c r="A39" s="1199"/>
      <c r="B39" s="1199"/>
      <c r="C39" s="1199"/>
      <c r="D39" s="1199"/>
      <c r="E39" s="1199"/>
      <c r="F39" s="1199"/>
      <c r="G39" s="1199"/>
      <c r="H39" s="1199"/>
      <c r="I39" s="1199"/>
      <c r="J39" s="1199"/>
      <c r="K39" s="1199"/>
      <c r="T39" s="437"/>
      <c r="X39" s="437"/>
      <c r="AA39" s="437"/>
      <c r="AB39" s="437"/>
      <c r="AC39" s="437"/>
      <c r="AD39" s="437"/>
      <c r="AE39" s="437"/>
    </row>
    <row r="40" spans="1:31" ht="15.75" customHeight="1" x14ac:dyDescent="0.35">
      <c r="A40" s="420"/>
      <c r="B40" s="236"/>
      <c r="C40" s="236"/>
      <c r="D40" s="236"/>
      <c r="E40" s="236"/>
      <c r="F40" s="236"/>
      <c r="G40" s="15"/>
      <c r="H40" s="15"/>
      <c r="I40" s="15"/>
      <c r="J40" s="15"/>
      <c r="K40" s="15"/>
      <c r="T40" s="437"/>
      <c r="X40" s="437"/>
      <c r="AA40" s="437"/>
      <c r="AB40" s="437"/>
      <c r="AC40" s="437"/>
      <c r="AD40" s="437"/>
      <c r="AE40" s="437"/>
    </row>
    <row r="41" spans="1:31" ht="15.75" customHeight="1" x14ac:dyDescent="0.35">
      <c r="T41" s="437"/>
      <c r="X41" s="437"/>
      <c r="AA41" s="437"/>
      <c r="AB41" s="437"/>
      <c r="AC41" s="437"/>
      <c r="AD41" s="437"/>
      <c r="AE41" s="437"/>
    </row>
    <row r="42" spans="1:31" ht="15.75" customHeight="1" x14ac:dyDescent="0.35">
      <c r="T42" s="437"/>
      <c r="X42" s="437"/>
      <c r="AA42" s="437"/>
      <c r="AB42" s="437"/>
      <c r="AC42" s="437"/>
      <c r="AD42" s="437"/>
      <c r="AE42" s="437"/>
    </row>
    <row r="43" spans="1:31" ht="15.75" customHeight="1" x14ac:dyDescent="0.35">
      <c r="T43" s="437"/>
      <c r="X43" s="437"/>
      <c r="AA43" s="437"/>
      <c r="AB43" s="437"/>
      <c r="AC43" s="437"/>
      <c r="AD43" s="437"/>
      <c r="AE43" s="437"/>
    </row>
    <row r="44" spans="1:31" ht="15.75" customHeight="1" x14ac:dyDescent="0.35">
      <c r="T44" s="437"/>
      <c r="X44" s="437"/>
      <c r="AA44" s="437"/>
      <c r="AB44" s="437"/>
      <c r="AC44" s="437"/>
      <c r="AD44" s="437"/>
      <c r="AE44" s="437"/>
    </row>
    <row r="45" spans="1:31" ht="15.75" customHeight="1" x14ac:dyDescent="0.35">
      <c r="T45" s="437"/>
      <c r="X45" s="437"/>
      <c r="AA45" s="437"/>
      <c r="AB45" s="437"/>
      <c r="AC45" s="437"/>
      <c r="AD45" s="437"/>
      <c r="AE45" s="437"/>
    </row>
    <row r="46" spans="1:31" ht="15.75" customHeight="1" x14ac:dyDescent="0.35">
      <c r="T46" s="437"/>
      <c r="X46" s="437"/>
      <c r="AA46" s="437"/>
      <c r="AB46" s="437"/>
      <c r="AC46" s="437"/>
      <c r="AD46" s="437"/>
      <c r="AE46" s="437"/>
    </row>
    <row r="47" spans="1:31" ht="49.5" customHeight="1" x14ac:dyDescent="0.35">
      <c r="T47" s="437"/>
      <c r="X47" s="437"/>
      <c r="AA47" s="437"/>
      <c r="AB47" s="437"/>
      <c r="AC47" s="437"/>
      <c r="AD47" s="437"/>
      <c r="AE47" s="437"/>
    </row>
    <row r="48" spans="1:31" x14ac:dyDescent="0.35">
      <c r="T48" s="22"/>
      <c r="X48" s="437"/>
      <c r="AA48" s="437"/>
      <c r="AB48" s="437"/>
      <c r="AC48" s="437"/>
      <c r="AD48" s="437"/>
      <c r="AE48" s="437"/>
    </row>
    <row r="49" spans="20:20" ht="30" customHeight="1" x14ac:dyDescent="0.35">
      <c r="T49" s="437"/>
    </row>
    <row r="50" spans="20:20" x14ac:dyDescent="0.35">
      <c r="T50" s="437"/>
    </row>
    <row r="51" spans="20:20" x14ac:dyDescent="0.35">
      <c r="T51" s="437"/>
    </row>
    <row r="52" spans="20:20" x14ac:dyDescent="0.35">
      <c r="T52" s="437"/>
    </row>
    <row r="53" spans="20:20" x14ac:dyDescent="0.35">
      <c r="T53" s="437"/>
    </row>
    <row r="54" spans="20:20" x14ac:dyDescent="0.35">
      <c r="T54" s="437"/>
    </row>
    <row r="55" spans="20:20" x14ac:dyDescent="0.35">
      <c r="T55" s="437"/>
    </row>
    <row r="56" spans="20:20" x14ac:dyDescent="0.35">
      <c r="T56" s="437"/>
    </row>
    <row r="57" spans="20:20" x14ac:dyDescent="0.35">
      <c r="T57" s="437"/>
    </row>
    <row r="58" spans="20:20" x14ac:dyDescent="0.35">
      <c r="T58" s="437"/>
    </row>
    <row r="59" spans="20:20" ht="30" customHeight="1" x14ac:dyDescent="0.35">
      <c r="T59" s="437"/>
    </row>
    <row r="60" spans="20:20" ht="30" customHeight="1" x14ac:dyDescent="0.35"/>
    <row r="76" ht="15" customHeight="1" x14ac:dyDescent="0.35"/>
    <row r="77" ht="15" customHeight="1" x14ac:dyDescent="0.35"/>
    <row r="78" ht="30" customHeight="1" x14ac:dyDescent="0.35"/>
    <row r="79" ht="45" customHeight="1" x14ac:dyDescent="0.35"/>
  </sheetData>
  <sheetProtection algorithmName="SHA-512" hashValue="jiXhEGbEJToYBXxzjFM3hR3W39C6SiZkK2h2KSJjrLMmBzDGH4X/XCRaTrPkAqz2OBmlLfTtl0cE365RHO3jZA==" saltValue="3xDkFHab01+m0DUEkh2XxQ==" spinCount="100000" sheet="1" scenarios="1" formatCells="0" formatColumns="0" formatRows="0" sort="0" autoFilter="0" pivotTables="0"/>
  <mergeCells count="7">
    <mergeCell ref="A39:K39"/>
    <mergeCell ref="A22:K22"/>
    <mergeCell ref="H27:I27"/>
    <mergeCell ref="A38:K38"/>
    <mergeCell ref="A4:K4"/>
    <mergeCell ref="H9:I9"/>
    <mergeCell ref="A20:K20"/>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4" orientation="portrait" r:id="rId1"/>
  <tableParts count="4">
    <tablePart r:id="rId2"/>
    <tablePart r:id="rId3"/>
    <tablePart r:id="rId4"/>
    <tablePart r:id="rId5"/>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tint="0.39997558519241921"/>
    <pageSetUpPr fitToPage="1"/>
  </sheetPr>
  <dimension ref="A1:L45"/>
  <sheetViews>
    <sheetView showGridLines="0" zoomScaleNormal="100" workbookViewId="0">
      <pane ySplit="2" topLeftCell="A3" activePane="bottomLeft" state="frozen"/>
      <selection pane="bottomLeft" sqref="A1:C1"/>
    </sheetView>
  </sheetViews>
  <sheetFormatPr defaultRowHeight="14.5" x14ac:dyDescent="0.35"/>
  <cols>
    <col min="1" max="1" width="17.54296875" customWidth="1"/>
    <col min="2" max="2" width="25.7265625" customWidth="1"/>
    <col min="3" max="5" width="10.7265625" customWidth="1"/>
    <col min="6" max="6" width="10.90625" customWidth="1"/>
    <col min="7" max="7" width="11" customWidth="1"/>
    <col min="8" max="8" width="9.453125" customWidth="1"/>
  </cols>
  <sheetData>
    <row r="1" spans="1:12" ht="15.5" x14ac:dyDescent="0.35">
      <c r="A1" s="1160" t="s">
        <v>526</v>
      </c>
      <c r="B1" s="1160"/>
      <c r="C1" s="1160"/>
    </row>
    <row r="2" spans="1:12" ht="15.5" x14ac:dyDescent="0.35">
      <c r="A2" s="601" t="s">
        <v>509</v>
      </c>
      <c r="B2" s="603"/>
      <c r="C2" s="603"/>
    </row>
    <row r="3" spans="1:12" x14ac:dyDescent="0.35">
      <c r="D3" s="238"/>
      <c r="E3" s="238"/>
      <c r="F3" s="238"/>
    </row>
    <row r="4" spans="1:12" ht="15.75" customHeight="1" x14ac:dyDescent="0.35">
      <c r="A4" s="1200" t="s">
        <v>590</v>
      </c>
      <c r="B4" s="1200"/>
      <c r="C4" s="1200"/>
      <c r="D4" s="1200"/>
      <c r="E4" s="1200"/>
      <c r="F4" s="1200"/>
      <c r="G4" s="1200"/>
      <c r="H4" s="1200"/>
      <c r="I4" s="1200"/>
      <c r="J4" s="1200"/>
      <c r="K4" s="1200"/>
      <c r="L4" s="1200"/>
    </row>
    <row r="5" spans="1:12" ht="15.75" customHeight="1" x14ac:dyDescent="0.35">
      <c r="A5" t="s">
        <v>320</v>
      </c>
      <c r="B5" t="s">
        <v>662</v>
      </c>
      <c r="C5" s="602"/>
      <c r="D5" s="602"/>
      <c r="E5" s="602"/>
      <c r="F5" s="602"/>
    </row>
    <row r="6" spans="1:12" ht="15.75" customHeight="1" x14ac:dyDescent="0.35">
      <c r="A6" t="s">
        <v>321</v>
      </c>
      <c r="B6" t="s">
        <v>323</v>
      </c>
      <c r="C6" s="602"/>
      <c r="D6" s="602"/>
      <c r="E6" s="602"/>
      <c r="F6" s="602"/>
    </row>
    <row r="7" spans="1:12" ht="15.75" customHeight="1" x14ac:dyDescent="0.35">
      <c r="A7" t="s">
        <v>322</v>
      </c>
      <c r="B7" t="s">
        <v>528</v>
      </c>
      <c r="C7" s="602"/>
      <c r="D7" s="602"/>
      <c r="E7" s="602"/>
      <c r="F7" s="602"/>
    </row>
    <row r="8" spans="1:12" x14ac:dyDescent="0.35">
      <c r="B8" s="25"/>
      <c r="C8" s="25"/>
      <c r="D8" s="25"/>
      <c r="E8" s="15"/>
      <c r="F8" s="237"/>
      <c r="G8" s="237"/>
      <c r="H8" s="237"/>
    </row>
    <row r="9" spans="1:12" x14ac:dyDescent="0.35">
      <c r="A9" s="854" t="s">
        <v>449</v>
      </c>
      <c r="B9" s="854" t="s">
        <v>113</v>
      </c>
      <c r="C9" s="528" t="s">
        <v>192</v>
      </c>
      <c r="D9" s="853" t="s">
        <v>258</v>
      </c>
      <c r="E9" s="853" t="s">
        <v>242</v>
      </c>
      <c r="F9" s="853" t="s">
        <v>241</v>
      </c>
      <c r="G9" s="853" t="s">
        <v>773</v>
      </c>
      <c r="H9" s="853" t="s">
        <v>951</v>
      </c>
    </row>
    <row r="10" spans="1:12" x14ac:dyDescent="0.35">
      <c r="A10" s="852" t="s">
        <v>286</v>
      </c>
      <c r="B10" s="783" t="s">
        <v>31</v>
      </c>
      <c r="C10" s="789">
        <v>8</v>
      </c>
      <c r="D10" s="789">
        <v>1</v>
      </c>
      <c r="E10" s="789">
        <v>1</v>
      </c>
      <c r="F10" s="789">
        <v>1</v>
      </c>
      <c r="G10" s="789">
        <v>0</v>
      </c>
      <c r="H10" s="789">
        <v>2</v>
      </c>
    </row>
    <row r="11" spans="1:12" x14ac:dyDescent="0.35">
      <c r="A11" s="852" t="s">
        <v>287</v>
      </c>
      <c r="B11" s="783" t="s">
        <v>32</v>
      </c>
      <c r="C11" s="789">
        <v>1</v>
      </c>
      <c r="D11" s="789">
        <v>3</v>
      </c>
      <c r="E11" s="789">
        <v>1</v>
      </c>
      <c r="F11" s="789">
        <v>1</v>
      </c>
      <c r="G11" s="789">
        <v>3</v>
      </c>
      <c r="H11" s="789">
        <v>1</v>
      </c>
    </row>
    <row r="12" spans="1:12" x14ac:dyDescent="0.35">
      <c r="A12" s="852" t="s">
        <v>293</v>
      </c>
      <c r="B12" s="783" t="s">
        <v>33</v>
      </c>
      <c r="C12" s="789">
        <v>0</v>
      </c>
      <c r="D12" s="789">
        <v>0</v>
      </c>
      <c r="E12" s="789">
        <v>0</v>
      </c>
      <c r="F12" s="789">
        <v>0</v>
      </c>
      <c r="G12" s="789">
        <v>0</v>
      </c>
      <c r="H12" s="789">
        <v>0</v>
      </c>
    </row>
    <row r="13" spans="1:12" x14ac:dyDescent="0.35">
      <c r="A13" s="852" t="s">
        <v>288</v>
      </c>
      <c r="B13" s="783" t="s">
        <v>34</v>
      </c>
      <c r="C13" s="789">
        <v>1</v>
      </c>
      <c r="D13" s="789">
        <v>3</v>
      </c>
      <c r="E13" s="789">
        <v>0</v>
      </c>
      <c r="F13" s="789">
        <v>1</v>
      </c>
      <c r="G13" s="789">
        <v>0</v>
      </c>
      <c r="H13" s="789">
        <v>0</v>
      </c>
    </row>
    <row r="14" spans="1:12" x14ac:dyDescent="0.35">
      <c r="A14" s="852" t="s">
        <v>289</v>
      </c>
      <c r="B14" s="783" t="s">
        <v>245</v>
      </c>
      <c r="C14" s="789">
        <v>6</v>
      </c>
      <c r="D14" s="789">
        <v>5</v>
      </c>
      <c r="E14" s="789">
        <v>2</v>
      </c>
      <c r="F14" s="789">
        <v>8</v>
      </c>
      <c r="G14" s="789">
        <v>6</v>
      </c>
      <c r="H14" s="789">
        <v>3</v>
      </c>
    </row>
    <row r="15" spans="1:12" x14ac:dyDescent="0.35">
      <c r="A15" s="852" t="s">
        <v>267</v>
      </c>
      <c r="B15" s="783" t="s">
        <v>35</v>
      </c>
      <c r="C15" s="789">
        <v>1</v>
      </c>
      <c r="D15" s="789">
        <v>0</v>
      </c>
      <c r="E15" s="789">
        <v>0</v>
      </c>
      <c r="F15" s="789">
        <v>0</v>
      </c>
      <c r="G15" s="789">
        <v>0</v>
      </c>
      <c r="H15" s="789">
        <v>0</v>
      </c>
    </row>
    <row r="16" spans="1:12" x14ac:dyDescent="0.35">
      <c r="A16" s="852" t="s">
        <v>268</v>
      </c>
      <c r="B16" s="783" t="s">
        <v>36</v>
      </c>
      <c r="C16" s="789">
        <v>2</v>
      </c>
      <c r="D16" s="789">
        <v>1</v>
      </c>
      <c r="E16" s="789">
        <v>0</v>
      </c>
      <c r="F16" s="789">
        <v>0</v>
      </c>
      <c r="G16" s="789">
        <v>3</v>
      </c>
      <c r="H16" s="789">
        <v>2</v>
      </c>
    </row>
    <row r="17" spans="1:8" x14ac:dyDescent="0.35">
      <c r="A17" s="852" t="s">
        <v>294</v>
      </c>
      <c r="B17" s="783" t="s">
        <v>37</v>
      </c>
      <c r="C17" s="789">
        <v>2</v>
      </c>
      <c r="D17" s="789">
        <v>9</v>
      </c>
      <c r="E17" s="789">
        <v>3</v>
      </c>
      <c r="F17" s="789">
        <v>3</v>
      </c>
      <c r="G17" s="789">
        <v>3</v>
      </c>
      <c r="H17" s="789">
        <v>5</v>
      </c>
    </row>
    <row r="18" spans="1:8" x14ac:dyDescent="0.35">
      <c r="A18" s="852" t="s">
        <v>269</v>
      </c>
      <c r="B18" s="783" t="s">
        <v>38</v>
      </c>
      <c r="C18" s="789">
        <v>3</v>
      </c>
      <c r="D18" s="789">
        <v>1</v>
      </c>
      <c r="E18" s="789">
        <v>1</v>
      </c>
      <c r="F18" s="789">
        <v>3</v>
      </c>
      <c r="G18" s="789">
        <v>0</v>
      </c>
      <c r="H18" s="789">
        <v>1</v>
      </c>
    </row>
    <row r="19" spans="1:8" x14ac:dyDescent="0.35">
      <c r="A19" s="852" t="s">
        <v>296</v>
      </c>
      <c r="B19" s="783" t="s">
        <v>39</v>
      </c>
      <c r="C19" s="789">
        <v>1</v>
      </c>
      <c r="D19" s="789">
        <v>3</v>
      </c>
      <c r="E19" s="789">
        <v>0</v>
      </c>
      <c r="F19" s="789">
        <v>4</v>
      </c>
      <c r="G19" s="789">
        <v>0</v>
      </c>
      <c r="H19" s="789">
        <v>1</v>
      </c>
    </row>
    <row r="20" spans="1:8" x14ac:dyDescent="0.35">
      <c r="A20" s="852" t="s">
        <v>270</v>
      </c>
      <c r="B20" s="783" t="s">
        <v>40</v>
      </c>
      <c r="C20" s="789">
        <v>2</v>
      </c>
      <c r="D20" s="789">
        <v>2</v>
      </c>
      <c r="E20" s="789">
        <v>0</v>
      </c>
      <c r="F20" s="789">
        <v>0</v>
      </c>
      <c r="G20" s="789">
        <v>0</v>
      </c>
      <c r="H20" s="789">
        <v>2</v>
      </c>
    </row>
    <row r="21" spans="1:8" x14ac:dyDescent="0.35">
      <c r="A21" s="852" t="s">
        <v>271</v>
      </c>
      <c r="B21" s="783" t="s">
        <v>41</v>
      </c>
      <c r="C21" s="789">
        <v>0</v>
      </c>
      <c r="D21" s="789">
        <v>0</v>
      </c>
      <c r="E21" s="789">
        <v>0</v>
      </c>
      <c r="F21" s="789">
        <v>0</v>
      </c>
      <c r="G21" s="789">
        <v>0</v>
      </c>
      <c r="H21" s="789">
        <v>0</v>
      </c>
    </row>
    <row r="22" spans="1:8" x14ac:dyDescent="0.35">
      <c r="A22" s="852" t="s">
        <v>273</v>
      </c>
      <c r="B22" s="783" t="s">
        <v>42</v>
      </c>
      <c r="C22" s="789">
        <v>5</v>
      </c>
      <c r="D22" s="789">
        <v>2</v>
      </c>
      <c r="E22" s="789">
        <v>0</v>
      </c>
      <c r="F22" s="789">
        <v>0</v>
      </c>
      <c r="G22" s="789">
        <v>0</v>
      </c>
      <c r="H22" s="789">
        <v>2</v>
      </c>
    </row>
    <row r="23" spans="1:8" x14ac:dyDescent="0.35">
      <c r="A23" s="852" t="s">
        <v>298</v>
      </c>
      <c r="B23" s="783" t="s">
        <v>43</v>
      </c>
      <c r="C23" s="789">
        <v>6</v>
      </c>
      <c r="D23" s="789">
        <v>0</v>
      </c>
      <c r="E23" s="789">
        <v>3</v>
      </c>
      <c r="F23" s="789">
        <v>6</v>
      </c>
      <c r="G23" s="789">
        <v>2</v>
      </c>
      <c r="H23" s="789">
        <v>7</v>
      </c>
    </row>
    <row r="24" spans="1:8" x14ac:dyDescent="0.35">
      <c r="A24" s="852" t="s">
        <v>959</v>
      </c>
      <c r="B24" s="783" t="s">
        <v>114</v>
      </c>
      <c r="C24" s="789">
        <v>16</v>
      </c>
      <c r="D24" s="789">
        <v>19</v>
      </c>
      <c r="E24" s="789">
        <v>20</v>
      </c>
      <c r="F24" s="789">
        <v>23</v>
      </c>
      <c r="G24" s="789">
        <v>12</v>
      </c>
      <c r="H24" s="789">
        <v>14</v>
      </c>
    </row>
    <row r="25" spans="1:8" x14ac:dyDescent="0.35">
      <c r="A25" s="852" t="s">
        <v>274</v>
      </c>
      <c r="B25" s="783" t="s">
        <v>44</v>
      </c>
      <c r="C25" s="789">
        <v>2</v>
      </c>
      <c r="D25" s="789">
        <v>1</v>
      </c>
      <c r="E25" s="789">
        <v>0</v>
      </c>
      <c r="F25" s="789">
        <v>0</v>
      </c>
      <c r="G25" s="789">
        <v>0</v>
      </c>
      <c r="H25" s="789">
        <v>0</v>
      </c>
    </row>
    <row r="26" spans="1:8" x14ac:dyDescent="0.35">
      <c r="A26" s="852" t="s">
        <v>275</v>
      </c>
      <c r="B26" s="783" t="s">
        <v>45</v>
      </c>
      <c r="C26" s="789">
        <v>4</v>
      </c>
      <c r="D26" s="789">
        <v>4</v>
      </c>
      <c r="E26" s="789">
        <v>3</v>
      </c>
      <c r="F26" s="789">
        <v>2</v>
      </c>
      <c r="G26" s="789">
        <v>1</v>
      </c>
      <c r="H26" s="789">
        <v>2</v>
      </c>
    </row>
    <row r="27" spans="1:8" x14ac:dyDescent="0.35">
      <c r="A27" s="852" t="s">
        <v>276</v>
      </c>
      <c r="B27" s="783" t="s">
        <v>46</v>
      </c>
      <c r="C27" s="789">
        <v>0</v>
      </c>
      <c r="D27" s="789">
        <v>3</v>
      </c>
      <c r="E27" s="789">
        <v>2</v>
      </c>
      <c r="F27" s="789">
        <v>1</v>
      </c>
      <c r="G27" s="789">
        <v>3</v>
      </c>
      <c r="H27" s="789">
        <v>1</v>
      </c>
    </row>
    <row r="28" spans="1:8" x14ac:dyDescent="0.35">
      <c r="A28" s="852" t="s">
        <v>277</v>
      </c>
      <c r="B28" s="783" t="s">
        <v>47</v>
      </c>
      <c r="C28" s="789">
        <v>0</v>
      </c>
      <c r="D28" s="789">
        <v>0</v>
      </c>
      <c r="E28" s="789">
        <v>0</v>
      </c>
      <c r="F28" s="789">
        <v>1</v>
      </c>
      <c r="G28" s="789">
        <v>3</v>
      </c>
      <c r="H28" s="789">
        <v>0</v>
      </c>
    </row>
    <row r="29" spans="1:8" x14ac:dyDescent="0.35">
      <c r="A29" s="852" t="s">
        <v>272</v>
      </c>
      <c r="B29" s="783" t="s">
        <v>48</v>
      </c>
      <c r="C29" s="789">
        <v>0</v>
      </c>
      <c r="D29" s="789">
        <v>0</v>
      </c>
      <c r="E29" s="789">
        <v>0</v>
      </c>
      <c r="F29" s="789">
        <v>0</v>
      </c>
      <c r="G29" s="789">
        <v>0</v>
      </c>
      <c r="H29" s="789">
        <v>0</v>
      </c>
    </row>
    <row r="30" spans="1:8" x14ac:dyDescent="0.35">
      <c r="A30" s="852" t="s">
        <v>278</v>
      </c>
      <c r="B30" s="783" t="s">
        <v>49</v>
      </c>
      <c r="C30" s="789">
        <v>4</v>
      </c>
      <c r="D30" s="789">
        <v>5</v>
      </c>
      <c r="E30" s="789">
        <v>2</v>
      </c>
      <c r="F30" s="789">
        <v>2</v>
      </c>
      <c r="G30" s="789">
        <v>3</v>
      </c>
      <c r="H30" s="789">
        <v>1</v>
      </c>
    </row>
    <row r="31" spans="1:8" x14ac:dyDescent="0.35">
      <c r="A31" s="852" t="s">
        <v>960</v>
      </c>
      <c r="B31" s="783" t="s">
        <v>50</v>
      </c>
      <c r="C31" s="789">
        <v>7</v>
      </c>
      <c r="D31" s="789">
        <v>3</v>
      </c>
      <c r="E31" s="789">
        <v>6</v>
      </c>
      <c r="F31" s="789">
        <v>3</v>
      </c>
      <c r="G31" s="789">
        <v>8</v>
      </c>
      <c r="H31" s="789">
        <v>4</v>
      </c>
    </row>
    <row r="32" spans="1:8" x14ac:dyDescent="0.35">
      <c r="A32" s="852" t="s">
        <v>279</v>
      </c>
      <c r="B32" s="783" t="s">
        <v>51</v>
      </c>
      <c r="C32" s="789">
        <v>0</v>
      </c>
      <c r="D32" s="789">
        <v>0</v>
      </c>
      <c r="E32" s="789">
        <v>0</v>
      </c>
      <c r="F32" s="789">
        <v>0</v>
      </c>
      <c r="G32" s="789">
        <v>0</v>
      </c>
      <c r="H32" s="789">
        <v>0</v>
      </c>
    </row>
    <row r="33" spans="1:8" x14ac:dyDescent="0.35">
      <c r="A33" s="852" t="s">
        <v>280</v>
      </c>
      <c r="B33" s="783" t="s">
        <v>52</v>
      </c>
      <c r="C33" s="789">
        <v>0</v>
      </c>
      <c r="D33" s="789">
        <v>0</v>
      </c>
      <c r="E33" s="789">
        <v>0</v>
      </c>
      <c r="F33" s="789">
        <v>0</v>
      </c>
      <c r="G33" s="789">
        <v>0</v>
      </c>
      <c r="H33" s="789">
        <v>0</v>
      </c>
    </row>
    <row r="34" spans="1:8" x14ac:dyDescent="0.35">
      <c r="A34" s="852" t="s">
        <v>290</v>
      </c>
      <c r="B34" s="783" t="s">
        <v>53</v>
      </c>
      <c r="C34" s="789">
        <v>3</v>
      </c>
      <c r="D34" s="789">
        <v>2</v>
      </c>
      <c r="E34" s="789">
        <v>1</v>
      </c>
      <c r="F34" s="789">
        <v>1</v>
      </c>
      <c r="G34" s="789">
        <v>2</v>
      </c>
      <c r="H34" s="789">
        <v>3</v>
      </c>
    </row>
    <row r="35" spans="1:8" x14ac:dyDescent="0.35">
      <c r="A35" s="852" t="s">
        <v>281</v>
      </c>
      <c r="B35" s="783" t="s">
        <v>54</v>
      </c>
      <c r="C35" s="789">
        <v>0</v>
      </c>
      <c r="D35" s="789">
        <v>2</v>
      </c>
      <c r="E35" s="789">
        <v>3</v>
      </c>
      <c r="F35" s="789">
        <v>3</v>
      </c>
      <c r="G35" s="789">
        <v>1</v>
      </c>
      <c r="H35" s="789">
        <v>2</v>
      </c>
    </row>
    <row r="36" spans="1:8" x14ac:dyDescent="0.35">
      <c r="A36" s="852" t="s">
        <v>282</v>
      </c>
      <c r="B36" s="783" t="s">
        <v>55</v>
      </c>
      <c r="C36" s="789">
        <v>0</v>
      </c>
      <c r="D36" s="789">
        <v>0</v>
      </c>
      <c r="E36" s="789">
        <v>0</v>
      </c>
      <c r="F36" s="789">
        <v>0</v>
      </c>
      <c r="G36" s="789">
        <v>0</v>
      </c>
      <c r="H36" s="789">
        <v>0</v>
      </c>
    </row>
    <row r="37" spans="1:8" x14ac:dyDescent="0.35">
      <c r="A37" s="852" t="s">
        <v>283</v>
      </c>
      <c r="B37" s="783" t="s">
        <v>56</v>
      </c>
      <c r="C37" s="789">
        <v>3</v>
      </c>
      <c r="D37" s="789">
        <v>0</v>
      </c>
      <c r="E37" s="789">
        <v>1</v>
      </c>
      <c r="F37" s="789">
        <v>0</v>
      </c>
      <c r="G37" s="789">
        <v>0</v>
      </c>
      <c r="H37" s="789">
        <v>2</v>
      </c>
    </row>
    <row r="38" spans="1:8" x14ac:dyDescent="0.35">
      <c r="A38" s="852" t="s">
        <v>284</v>
      </c>
      <c r="B38" s="783" t="s">
        <v>57</v>
      </c>
      <c r="C38" s="789">
        <v>5</v>
      </c>
      <c r="D38" s="789">
        <v>2</v>
      </c>
      <c r="E38" s="789">
        <v>0</v>
      </c>
      <c r="F38" s="789">
        <v>1</v>
      </c>
      <c r="G38" s="789">
        <v>1</v>
      </c>
      <c r="H38" s="789">
        <v>5</v>
      </c>
    </row>
    <row r="39" spans="1:8" x14ac:dyDescent="0.35">
      <c r="A39" s="852" t="s">
        <v>285</v>
      </c>
      <c r="B39" s="783" t="s">
        <v>58</v>
      </c>
      <c r="C39" s="789">
        <v>2</v>
      </c>
      <c r="D39" s="789">
        <v>3</v>
      </c>
      <c r="E39" s="789">
        <v>0</v>
      </c>
      <c r="F39" s="789">
        <v>1</v>
      </c>
      <c r="G39" s="789">
        <v>0</v>
      </c>
      <c r="H39" s="789">
        <v>1</v>
      </c>
    </row>
    <row r="40" spans="1:8" x14ac:dyDescent="0.35">
      <c r="A40" s="852" t="s">
        <v>291</v>
      </c>
      <c r="B40" s="783" t="s">
        <v>59</v>
      </c>
      <c r="C40" s="789">
        <v>2</v>
      </c>
      <c r="D40" s="789">
        <v>1</v>
      </c>
      <c r="E40" s="789">
        <v>0</v>
      </c>
      <c r="F40" s="789">
        <v>2</v>
      </c>
      <c r="G40" s="789">
        <v>0</v>
      </c>
      <c r="H40" s="789">
        <v>0</v>
      </c>
    </row>
    <row r="41" spans="1:8" x14ac:dyDescent="0.35">
      <c r="A41" s="855" t="s">
        <v>292</v>
      </c>
      <c r="B41" s="784" t="s">
        <v>60</v>
      </c>
      <c r="C41" s="831">
        <v>4</v>
      </c>
      <c r="D41" s="831">
        <v>3</v>
      </c>
      <c r="E41" s="831">
        <v>4</v>
      </c>
      <c r="F41" s="831">
        <v>5</v>
      </c>
      <c r="G41" s="831">
        <v>2</v>
      </c>
      <c r="H41" s="831">
        <v>2</v>
      </c>
    </row>
    <row r="42" spans="1:8" ht="15" thickBot="1" x14ac:dyDescent="0.4">
      <c r="A42" s="659"/>
      <c r="B42" s="659" t="s">
        <v>734</v>
      </c>
      <c r="C42" s="1023">
        <f>SUM(hsw_vlatable[2015-16])</f>
        <v>90</v>
      </c>
      <c r="D42" s="1023">
        <f>SUM(hsw_vlatable[2016-17])</f>
        <v>78</v>
      </c>
      <c r="E42" s="1023">
        <f>SUM(hsw_vlatable[2017-18])</f>
        <v>53</v>
      </c>
      <c r="F42" s="1023">
        <f>SUM(hsw_vlatable[2018-19])</f>
        <v>72</v>
      </c>
      <c r="G42" s="1023">
        <f>SUM(hsw_vlatable[2019-20])</f>
        <v>53</v>
      </c>
      <c r="H42" s="1023">
        <f>SUM(hsw_vlatable[2020-21])</f>
        <v>63</v>
      </c>
    </row>
    <row r="43" spans="1:8" x14ac:dyDescent="0.35">
      <c r="B43" s="240"/>
      <c r="C43" s="86"/>
      <c r="D43" s="317"/>
      <c r="E43" s="33"/>
      <c r="F43" s="318"/>
    </row>
    <row r="44" spans="1:8" x14ac:dyDescent="0.35">
      <c r="A44" s="421" t="s">
        <v>8</v>
      </c>
      <c r="C44" s="425"/>
      <c r="D44" s="426"/>
      <c r="E44" s="298"/>
      <c r="F44" s="427"/>
    </row>
    <row r="45" spans="1:8" x14ac:dyDescent="0.35">
      <c r="A45" s="1202" t="s">
        <v>741</v>
      </c>
      <c r="B45" s="1202"/>
      <c r="C45" s="1202"/>
      <c r="D45" s="1202"/>
      <c r="E45" s="1202"/>
      <c r="F45" s="1202"/>
      <c r="G45" s="1202"/>
      <c r="H45" s="856"/>
    </row>
  </sheetData>
  <sheetProtection algorithmName="SHA-512" hashValue="R/sR24l+QEkcTUvcRfS+1GXs7iNyeIA/6yLIt0ybmm2Mse3F0a17u41rleZH9Rs9urQd72QK5tY6fFNwRCckMw==" saltValue="xjI++xf+1JdXJeG1lghtSQ==" spinCount="100000" sheet="1" scenarios="1" formatCells="0" formatColumns="0" formatRows="0" sort="0" autoFilter="0" pivotTables="0"/>
  <mergeCells count="3">
    <mergeCell ref="A1:C1"/>
    <mergeCell ref="A4:L4"/>
    <mergeCell ref="A45:G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8" orientation="portrait" r:id="rId1"/>
  <tableParts count="1">
    <tablePart r:id="rId2"/>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75" customHeight="1" x14ac:dyDescent="0.35">
      <c r="A1" s="629" t="s">
        <v>526</v>
      </c>
      <c r="B1" s="629"/>
      <c r="C1" s="629"/>
    </row>
    <row r="2" spans="1:8" ht="15.5" x14ac:dyDescent="0.35">
      <c r="A2" s="601" t="s">
        <v>509</v>
      </c>
      <c r="B2" s="603"/>
      <c r="C2" s="603"/>
    </row>
    <row r="4" spans="1:8" ht="15.5" x14ac:dyDescent="0.35">
      <c r="A4" s="1170" t="s">
        <v>529</v>
      </c>
      <c r="B4" s="1170"/>
      <c r="C4" s="1170"/>
      <c r="D4" s="1170"/>
      <c r="E4" s="1170"/>
      <c r="F4" s="1170"/>
      <c r="G4" s="1170"/>
      <c r="H4" s="1170"/>
    </row>
    <row r="5" spans="1:8" x14ac:dyDescent="0.35">
      <c r="A5" s="686" t="s">
        <v>723</v>
      </c>
    </row>
    <row r="6" spans="1:8" x14ac:dyDescent="0.35">
      <c r="A6" s="686" t="s">
        <v>663</v>
      </c>
    </row>
  </sheetData>
  <sheetProtection algorithmName="SHA-512" hashValue="rHKrx9kLBf0nKNZAQZ1iMp3i1fjdhufGijevvn85wcTLLfZqU5DohzoFKxqGe95aN8I+lU+HLFBF9nitqQ/8KA==" saltValue="nETQy4Y7tT4oncRWN32nPg=="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75" customHeight="1" x14ac:dyDescent="0.35">
      <c r="A1" s="629" t="s">
        <v>526</v>
      </c>
      <c r="B1" s="629"/>
      <c r="C1" s="629"/>
    </row>
    <row r="2" spans="1:8" ht="15.5" x14ac:dyDescent="0.35">
      <c r="A2" s="601" t="s">
        <v>509</v>
      </c>
      <c r="B2" s="603"/>
      <c r="C2" s="603"/>
    </row>
    <row r="4" spans="1:8" ht="15.5" x14ac:dyDescent="0.35">
      <c r="A4" s="630" t="s">
        <v>530</v>
      </c>
      <c r="B4" s="630"/>
      <c r="C4" s="630"/>
      <c r="D4" s="630"/>
      <c r="E4" s="630"/>
      <c r="F4" s="630"/>
      <c r="G4" s="630"/>
      <c r="H4" s="630"/>
    </row>
    <row r="5" spans="1:8" x14ac:dyDescent="0.35">
      <c r="A5" s="686" t="s">
        <v>723</v>
      </c>
    </row>
    <row r="6" spans="1:8" x14ac:dyDescent="0.35">
      <c r="A6" s="686" t="s">
        <v>664</v>
      </c>
    </row>
  </sheetData>
  <sheetProtection algorithmName="SHA-512" hashValue="FyCge18+a3VS31+d8/sDJYGRxrxraHuDiywxJKishY/vOoRX8FuVYuEFY7B8M/x40UfXCacduSZP3TOa7v93Dw==" saltValue="OFRK0eW2g1MoQLa3x70gLQ==" spinCount="100000" sheet="1" scenarios="1" formatCells="0" formatColumns="0" formatRows="0" sort="0" autoFilter="0" pivotTables="0"/>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6"/>
  <sheetViews>
    <sheetView showGridLines="0" workbookViewId="0">
      <pane ySplit="2" topLeftCell="A3" activePane="bottomLeft" state="frozen"/>
      <selection pane="bottomLeft"/>
    </sheetView>
  </sheetViews>
  <sheetFormatPr defaultRowHeight="14.5" x14ac:dyDescent="0.35"/>
  <sheetData>
    <row r="1" spans="1:5" ht="15.5" x14ac:dyDescent="0.35">
      <c r="A1" s="629" t="s">
        <v>526</v>
      </c>
      <c r="B1" s="629"/>
      <c r="C1" s="629"/>
    </row>
    <row r="2" spans="1:5" ht="15.5" x14ac:dyDescent="0.35">
      <c r="A2" s="601" t="s">
        <v>509</v>
      </c>
      <c r="B2" s="709"/>
      <c r="C2" s="709"/>
    </row>
    <row r="4" spans="1:5" ht="15.5" x14ac:dyDescent="0.35">
      <c r="A4" s="630" t="s">
        <v>530</v>
      </c>
      <c r="B4" s="630"/>
      <c r="C4" s="630"/>
      <c r="D4" s="630"/>
      <c r="E4" s="630"/>
    </row>
    <row r="5" spans="1:5" x14ac:dyDescent="0.35">
      <c r="A5" s="686" t="s">
        <v>723</v>
      </c>
    </row>
    <row r="6" spans="1:5" x14ac:dyDescent="0.35">
      <c r="A6" s="686" t="s">
        <v>890</v>
      </c>
    </row>
  </sheetData>
  <sheetProtection algorithmName="SHA-512" hashValue="Ns4nYcO5/fNJ6hE17bSij0OHFx404983d7ainUiqfME6L/pYpj/83RgwrtSclv277IDm+nz6YAsBeYLs2hTnXQ==" saltValue="tjnfZOydYX7OWcoyXtNPXw=="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249977111117893"/>
    <pageSetUpPr fitToPage="1"/>
  </sheetPr>
  <dimension ref="A1:K85"/>
  <sheetViews>
    <sheetView showGridLines="0" zoomScaleNormal="100" workbookViewId="0">
      <pane ySplit="2" topLeftCell="A3" activePane="bottomLeft" state="frozen"/>
      <selection pane="bottomLeft"/>
    </sheetView>
  </sheetViews>
  <sheetFormatPr defaultRowHeight="14.5" x14ac:dyDescent="0.35"/>
  <cols>
    <col min="1" max="1" width="18.1796875" customWidth="1"/>
    <col min="2" max="2" width="17.36328125" customWidth="1"/>
    <col min="3" max="3" width="12.453125" customWidth="1"/>
    <col min="4" max="4" width="9.90625" customWidth="1"/>
    <col min="5" max="5" width="18.26953125" customWidth="1"/>
    <col min="6" max="6" width="20.90625" customWidth="1"/>
    <col min="7" max="7" width="19.1796875" customWidth="1"/>
    <col min="8" max="8" width="9.1796875" style="439"/>
    <col min="12" max="12" width="16.1796875" bestFit="1" customWidth="1"/>
    <col min="13" max="13" width="14.7265625" bestFit="1" customWidth="1"/>
  </cols>
  <sheetData>
    <row r="1" spans="1:8" ht="15.5" x14ac:dyDescent="0.35">
      <c r="A1" s="629" t="s">
        <v>531</v>
      </c>
    </row>
    <row r="2" spans="1:8" x14ac:dyDescent="0.35">
      <c r="A2" s="601" t="s">
        <v>509</v>
      </c>
    </row>
    <row r="3" spans="1:8" x14ac:dyDescent="0.35">
      <c r="A3" s="28"/>
      <c r="B3" s="28"/>
      <c r="C3" s="28"/>
      <c r="D3" s="28"/>
      <c r="E3" s="28"/>
      <c r="F3" s="28"/>
      <c r="G3" s="28"/>
    </row>
    <row r="4" spans="1:8" ht="15.75" customHeight="1" x14ac:dyDescent="0.35">
      <c r="A4" s="614" t="s">
        <v>533</v>
      </c>
      <c r="B4" s="614"/>
      <c r="C4" s="614"/>
      <c r="D4" s="614"/>
      <c r="E4" s="614"/>
      <c r="F4" s="614"/>
      <c r="G4" s="614"/>
    </row>
    <row r="5" spans="1:8" ht="15.75" customHeight="1" x14ac:dyDescent="0.35">
      <c r="A5" t="s">
        <v>320</v>
      </c>
      <c r="B5" t="s">
        <v>696</v>
      </c>
      <c r="C5" s="606"/>
      <c r="D5" s="606"/>
      <c r="E5" s="606"/>
      <c r="F5" s="606"/>
      <c r="G5" s="606"/>
    </row>
    <row r="6" spans="1:8" ht="15.75" customHeight="1" x14ac:dyDescent="0.35">
      <c r="A6" t="s">
        <v>321</v>
      </c>
      <c r="B6" t="s">
        <v>323</v>
      </c>
      <c r="C6" s="606"/>
      <c r="D6" s="606"/>
      <c r="E6" s="606"/>
      <c r="G6" s="606"/>
    </row>
    <row r="7" spans="1:8" ht="15.75" customHeight="1" x14ac:dyDescent="0.35">
      <c r="A7" t="s">
        <v>322</v>
      </c>
      <c r="B7" t="s">
        <v>532</v>
      </c>
      <c r="C7" s="606"/>
      <c r="D7" s="606"/>
      <c r="E7" s="606"/>
      <c r="F7" s="606"/>
      <c r="G7" s="606"/>
    </row>
    <row r="8" spans="1:8" ht="15.5" customHeight="1" x14ac:dyDescent="0.35">
      <c r="A8" s="75"/>
      <c r="B8" s="75"/>
      <c r="C8" s="75"/>
      <c r="D8" s="75"/>
      <c r="E8" s="75"/>
      <c r="F8" s="1205" t="s">
        <v>914</v>
      </c>
      <c r="G8" s="1205"/>
    </row>
    <row r="9" spans="1:8" s="563" customFormat="1" ht="46.5" customHeight="1" x14ac:dyDescent="0.35">
      <c r="A9" s="1024" t="s">
        <v>1</v>
      </c>
      <c r="B9" s="1025" t="s">
        <v>428</v>
      </c>
      <c r="C9" s="1025" t="s">
        <v>124</v>
      </c>
      <c r="D9" s="1025" t="s">
        <v>120</v>
      </c>
      <c r="E9" s="1025" t="s">
        <v>129</v>
      </c>
      <c r="F9" s="1025" t="s">
        <v>121</v>
      </c>
      <c r="G9" s="1025" t="s">
        <v>122</v>
      </c>
    </row>
    <row r="10" spans="1:8" x14ac:dyDescent="0.35">
      <c r="A10" s="759" t="s">
        <v>961</v>
      </c>
      <c r="B10" s="775">
        <v>33998</v>
      </c>
      <c r="C10" s="775">
        <v>18732</v>
      </c>
      <c r="D10" s="902">
        <v>52730</v>
      </c>
      <c r="E10" s="780"/>
      <c r="F10" s="903"/>
      <c r="G10" s="780"/>
      <c r="H10"/>
    </row>
    <row r="11" spans="1:8" x14ac:dyDescent="0.35">
      <c r="A11" s="759" t="s">
        <v>308</v>
      </c>
      <c r="B11" s="775">
        <v>28846</v>
      </c>
      <c r="C11" s="775">
        <v>27699</v>
      </c>
      <c r="D11" s="902">
        <v>56545</v>
      </c>
      <c r="E11" s="775">
        <v>46395</v>
      </c>
      <c r="F11" s="903"/>
      <c r="G11" s="780"/>
      <c r="H11"/>
    </row>
    <row r="12" spans="1:8" x14ac:dyDescent="0.35">
      <c r="A12" s="759" t="s">
        <v>195</v>
      </c>
      <c r="B12" s="775">
        <v>26013</v>
      </c>
      <c r="C12" s="775">
        <v>30238</v>
      </c>
      <c r="D12" s="902">
        <v>56251</v>
      </c>
      <c r="E12" s="775">
        <v>44122</v>
      </c>
      <c r="F12" s="903"/>
      <c r="G12" s="780"/>
      <c r="H12"/>
    </row>
    <row r="13" spans="1:8" x14ac:dyDescent="0.35">
      <c r="A13" s="759" t="s">
        <v>194</v>
      </c>
      <c r="B13" s="775">
        <v>29576</v>
      </c>
      <c r="C13" s="775">
        <v>41472</v>
      </c>
      <c r="D13" s="902">
        <v>71048</v>
      </c>
      <c r="E13" s="775">
        <v>46164</v>
      </c>
      <c r="F13" s="904">
        <v>30359</v>
      </c>
      <c r="G13" s="775">
        <v>15805</v>
      </c>
      <c r="H13"/>
    </row>
    <row r="14" spans="1:8" x14ac:dyDescent="0.35">
      <c r="A14" s="759" t="s">
        <v>193</v>
      </c>
      <c r="B14" s="775">
        <v>26986</v>
      </c>
      <c r="C14" s="775">
        <v>38729</v>
      </c>
      <c r="D14" s="902">
        <v>65715</v>
      </c>
      <c r="E14" s="775">
        <v>41832</v>
      </c>
      <c r="F14" s="904">
        <v>28032</v>
      </c>
      <c r="G14" s="775">
        <v>13800</v>
      </c>
      <c r="H14"/>
    </row>
    <row r="15" spans="1:8" x14ac:dyDescent="0.35">
      <c r="A15" s="759" t="s">
        <v>192</v>
      </c>
      <c r="B15" s="775">
        <v>28338</v>
      </c>
      <c r="C15" s="775">
        <v>43379</v>
      </c>
      <c r="D15" s="902">
        <v>71717</v>
      </c>
      <c r="E15" s="775">
        <v>43710</v>
      </c>
      <c r="F15" s="904">
        <v>28897</v>
      </c>
      <c r="G15" s="775">
        <v>14813</v>
      </c>
      <c r="H15"/>
    </row>
    <row r="16" spans="1:8" x14ac:dyDescent="0.35">
      <c r="A16" s="759" t="s">
        <v>258</v>
      </c>
      <c r="B16" s="775">
        <v>29016</v>
      </c>
      <c r="C16" s="775">
        <v>41785</v>
      </c>
      <c r="D16" s="902">
        <v>70801</v>
      </c>
      <c r="E16" s="775">
        <v>44321</v>
      </c>
      <c r="F16" s="904">
        <v>27955</v>
      </c>
      <c r="G16" s="775">
        <v>16366</v>
      </c>
      <c r="H16"/>
    </row>
    <row r="17" spans="1:8" x14ac:dyDescent="0.35">
      <c r="A17" s="759" t="s">
        <v>242</v>
      </c>
      <c r="B17" s="775">
        <v>27754</v>
      </c>
      <c r="C17" s="775">
        <v>42077</v>
      </c>
      <c r="D17" s="902">
        <v>69831</v>
      </c>
      <c r="E17" s="775">
        <v>42385</v>
      </c>
      <c r="F17" s="904">
        <v>28114</v>
      </c>
      <c r="G17" s="775">
        <v>14271</v>
      </c>
      <c r="H17"/>
    </row>
    <row r="18" spans="1:8" x14ac:dyDescent="0.35">
      <c r="A18" s="759" t="s">
        <v>241</v>
      </c>
      <c r="B18" s="775">
        <v>24462</v>
      </c>
      <c r="C18" s="775">
        <v>44740</v>
      </c>
      <c r="D18" s="902">
        <v>69202</v>
      </c>
      <c r="E18" s="775">
        <v>37549</v>
      </c>
      <c r="F18" s="904">
        <v>25645</v>
      </c>
      <c r="G18" s="775">
        <v>11904</v>
      </c>
      <c r="H18"/>
    </row>
    <row r="19" spans="1:8" x14ac:dyDescent="0.35">
      <c r="A19" s="759" t="s">
        <v>773</v>
      </c>
      <c r="B19" s="775">
        <v>22292</v>
      </c>
      <c r="C19" s="775">
        <v>46945</v>
      </c>
      <c r="D19" s="902">
        <v>69237</v>
      </c>
      <c r="E19" s="775">
        <v>34610</v>
      </c>
      <c r="F19" s="904">
        <v>24016</v>
      </c>
      <c r="G19" s="775">
        <v>10594</v>
      </c>
      <c r="H19"/>
    </row>
    <row r="20" spans="1:8" x14ac:dyDescent="0.35">
      <c r="A20" s="759" t="s">
        <v>951</v>
      </c>
      <c r="B20" s="775">
        <v>7703</v>
      </c>
      <c r="C20" s="775">
        <v>12472</v>
      </c>
      <c r="D20" s="902">
        <v>20175</v>
      </c>
      <c r="E20" s="775">
        <v>12574</v>
      </c>
      <c r="F20" s="904">
        <v>8723</v>
      </c>
      <c r="G20" s="775">
        <v>3851</v>
      </c>
      <c r="H20"/>
    </row>
    <row r="21" spans="1:8" x14ac:dyDescent="0.35">
      <c r="A21" s="199"/>
      <c r="B21" s="224"/>
      <c r="C21" s="224"/>
      <c r="D21" s="760"/>
      <c r="E21" s="224"/>
      <c r="F21" s="224"/>
      <c r="G21" s="224"/>
    </row>
    <row r="22" spans="1:8" ht="15" customHeight="1" x14ac:dyDescent="0.35">
      <c r="A22" s="1206" t="str">
        <f xml:space="preserve"> "One Year Change " &amp; A19 &amp; " to " &amp;A20</f>
        <v>One Year Change 2019-20 to 2020-21</v>
      </c>
      <c r="B22" s="1206"/>
      <c r="C22" s="1206"/>
      <c r="D22" s="1206"/>
      <c r="E22" s="224"/>
      <c r="F22" s="28"/>
      <c r="G22" s="28"/>
    </row>
    <row r="23" spans="1:8" ht="23.5" customHeight="1" x14ac:dyDescent="0.35">
      <c r="A23" s="244" t="s">
        <v>6</v>
      </c>
      <c r="B23" s="245">
        <f>B20-B19</f>
        <v>-14589</v>
      </c>
      <c r="C23" s="245">
        <f t="shared" ref="C23:G23" si="0">C20-C19</f>
        <v>-34473</v>
      </c>
      <c r="D23" s="246">
        <f t="shared" si="0"/>
        <v>-49062</v>
      </c>
      <c r="E23" s="245">
        <f t="shared" si="0"/>
        <v>-22036</v>
      </c>
      <c r="F23" s="245">
        <f>F20-F19</f>
        <v>-15293</v>
      </c>
      <c r="G23" s="245">
        <f t="shared" si="0"/>
        <v>-6743</v>
      </c>
    </row>
    <row r="24" spans="1:8" ht="15" thickBot="1" x14ac:dyDescent="0.4">
      <c r="A24" s="247" t="s">
        <v>7</v>
      </c>
      <c r="B24" s="1026">
        <f>B23/B19</f>
        <v>-0.65445002691548537</v>
      </c>
      <c r="C24" s="1026">
        <f t="shared" ref="C24:F24" si="1">C23/C19</f>
        <v>-0.73432740440941524</v>
      </c>
      <c r="D24" s="1027">
        <f>D23/D19</f>
        <v>-0.70860955847307072</v>
      </c>
      <c r="E24" s="1026">
        <f t="shared" si="1"/>
        <v>-0.63669459693730135</v>
      </c>
      <c r="F24" s="1026">
        <f t="shared" si="1"/>
        <v>-0.63678381079280477</v>
      </c>
      <c r="G24" s="1026">
        <f>G23/G19</f>
        <v>-0.63649235416273364</v>
      </c>
    </row>
    <row r="26" spans="1:8" x14ac:dyDescent="0.35">
      <c r="A26" s="1206" t="str">
        <f>"Five Year Change " &amp; A15 &amp; " to " &amp; A20</f>
        <v>Five Year Change 2015-16 to 2020-21</v>
      </c>
      <c r="B26" s="1206"/>
      <c r="C26" s="1206"/>
      <c r="D26" s="1206"/>
      <c r="E26" s="224"/>
      <c r="F26" s="28"/>
      <c r="G26" s="28"/>
    </row>
    <row r="27" spans="1:8" x14ac:dyDescent="0.35">
      <c r="A27" s="244" t="s">
        <v>6</v>
      </c>
      <c r="B27" s="245">
        <f>B20-B15</f>
        <v>-20635</v>
      </c>
      <c r="C27" s="245">
        <f t="shared" ref="C27:G27" si="2">C20-C15</f>
        <v>-30907</v>
      </c>
      <c r="D27" s="246">
        <f t="shared" si="2"/>
        <v>-51542</v>
      </c>
      <c r="E27" s="245">
        <f t="shared" si="2"/>
        <v>-31136</v>
      </c>
      <c r="F27" s="245">
        <f t="shared" si="2"/>
        <v>-20174</v>
      </c>
      <c r="G27" s="245">
        <f t="shared" si="2"/>
        <v>-10962</v>
      </c>
    </row>
    <row r="28" spans="1:8" ht="17.5" customHeight="1" thickBot="1" x14ac:dyDescent="0.4">
      <c r="A28" s="247" t="s">
        <v>7</v>
      </c>
      <c r="B28" s="1026">
        <f>B27/B15</f>
        <v>-0.72817418307572868</v>
      </c>
      <c r="C28" s="1026">
        <f>C27/C15</f>
        <v>-0.71248760921183063</v>
      </c>
      <c r="D28" s="1027">
        <f t="shared" ref="D28:G28" si="3">D27/D15</f>
        <v>-0.71868594614944847</v>
      </c>
      <c r="E28" s="1026">
        <f t="shared" si="3"/>
        <v>-0.71233127430793863</v>
      </c>
      <c r="F28" s="1026">
        <f t="shared" si="3"/>
        <v>-0.69813475447278261</v>
      </c>
      <c r="G28" s="1026">
        <f t="shared" si="3"/>
        <v>-0.74002565314251001</v>
      </c>
    </row>
    <row r="29" spans="1:8" x14ac:dyDescent="0.35">
      <c r="A29" s="447"/>
      <c r="B29" s="449"/>
      <c r="C29" s="449"/>
      <c r="D29" s="450"/>
      <c r="E29" s="449"/>
      <c r="F29" s="449"/>
      <c r="G29" s="449"/>
    </row>
    <row r="30" spans="1:8" x14ac:dyDescent="0.35">
      <c r="A30" s="448" t="s">
        <v>8</v>
      </c>
      <c r="B30" s="449"/>
      <c r="C30" s="449"/>
      <c r="D30" s="450"/>
      <c r="E30" s="449"/>
      <c r="F30" s="449"/>
      <c r="G30" s="449"/>
    </row>
    <row r="31" spans="1:8" ht="30" customHeight="1" x14ac:dyDescent="0.35">
      <c r="A31" s="1191" t="s">
        <v>915</v>
      </c>
      <c r="B31" s="1191"/>
      <c r="C31" s="1191"/>
      <c r="D31" s="1191"/>
      <c r="E31" s="1191"/>
      <c r="F31" s="1191"/>
      <c r="G31" s="1191"/>
      <c r="H31" s="1191"/>
    </row>
    <row r="32" spans="1:8" ht="60" customHeight="1" x14ac:dyDescent="0.35">
      <c r="A32" s="1191" t="s">
        <v>743</v>
      </c>
      <c r="B32" s="1191"/>
      <c r="C32" s="1191"/>
      <c r="D32" s="1191"/>
      <c r="E32" s="1191"/>
      <c r="F32" s="1191"/>
      <c r="G32" s="1191"/>
      <c r="H32" s="1191"/>
    </row>
    <row r="33" spans="1:8" ht="30" customHeight="1" x14ac:dyDescent="0.35">
      <c r="A33" s="1159" t="s">
        <v>744</v>
      </c>
      <c r="B33" s="1159"/>
      <c r="C33" s="1159"/>
      <c r="D33" s="1159"/>
      <c r="E33" s="1159"/>
      <c r="F33" s="1159"/>
      <c r="G33" s="1159"/>
      <c r="H33" s="1159"/>
    </row>
    <row r="34" spans="1:8" x14ac:dyDescent="0.35">
      <c r="A34" s="429"/>
      <c r="B34" s="449"/>
      <c r="C34" s="449"/>
      <c r="D34" s="450"/>
      <c r="E34" s="449"/>
      <c r="F34" s="449"/>
      <c r="G34" s="449"/>
    </row>
    <row r="35" spans="1:8" x14ac:dyDescent="0.35">
      <c r="A35" s="195"/>
      <c r="B35" s="248"/>
      <c r="C35" s="248"/>
      <c r="D35" s="248"/>
      <c r="E35" s="248"/>
      <c r="F35" s="28"/>
      <c r="G35" s="28"/>
    </row>
    <row r="36" spans="1:8" ht="15.5" x14ac:dyDescent="0.35">
      <c r="A36" s="1198" t="s">
        <v>591</v>
      </c>
      <c r="B36" s="1198"/>
      <c r="C36" s="1198"/>
      <c r="D36" s="1198"/>
      <c r="E36" s="1198"/>
      <c r="F36" s="1198"/>
      <c r="G36" s="1198"/>
      <c r="H36" s="1198"/>
    </row>
    <row r="37" spans="1:8" ht="15.5" x14ac:dyDescent="0.35">
      <c r="A37" t="s">
        <v>320</v>
      </c>
      <c r="B37" t="s">
        <v>697</v>
      </c>
      <c r="C37" s="605"/>
      <c r="D37" s="605"/>
      <c r="E37" s="605"/>
      <c r="F37" s="605"/>
      <c r="G37" s="605"/>
      <c r="H37" s="605"/>
    </row>
    <row r="38" spans="1:8" ht="15.5" x14ac:dyDescent="0.35">
      <c r="A38" t="s">
        <v>321</v>
      </c>
      <c r="B38" t="s">
        <v>323</v>
      </c>
      <c r="C38" s="605"/>
      <c r="D38" s="605"/>
      <c r="E38" s="605"/>
      <c r="F38" s="605"/>
      <c r="G38" s="605"/>
      <c r="H38" s="605"/>
    </row>
    <row r="39" spans="1:8" ht="15.5" x14ac:dyDescent="0.35">
      <c r="A39" t="s">
        <v>322</v>
      </c>
      <c r="B39" t="s">
        <v>532</v>
      </c>
      <c r="C39" s="605"/>
      <c r="D39" s="605"/>
      <c r="E39" s="605"/>
      <c r="F39" s="605"/>
      <c r="G39" s="605"/>
      <c r="H39" s="605"/>
    </row>
    <row r="40" spans="1:8" ht="15.5" x14ac:dyDescent="0.35">
      <c r="C40" s="610"/>
      <c r="D40" s="610"/>
      <c r="E40" s="610"/>
      <c r="F40" s="610"/>
      <c r="G40" s="610"/>
      <c r="H40" s="610"/>
    </row>
    <row r="41" spans="1:8" x14ac:dyDescent="0.35">
      <c r="A41" s="166"/>
      <c r="B41" s="249" t="s">
        <v>7</v>
      </c>
      <c r="C41" s="346"/>
      <c r="D41" s="613"/>
      <c r="E41" s="613" t="s">
        <v>548</v>
      </c>
      <c r="G41" s="28"/>
    </row>
    <row r="42" spans="1:8" ht="26.5" x14ac:dyDescent="0.35">
      <c r="A42" s="250" t="s">
        <v>1</v>
      </c>
      <c r="B42" s="241" t="s">
        <v>119</v>
      </c>
      <c r="C42" s="193" t="s">
        <v>124</v>
      </c>
      <c r="D42" s="649" t="s">
        <v>133</v>
      </c>
      <c r="E42" s="652" t="s">
        <v>131</v>
      </c>
    </row>
    <row r="43" spans="1:8" x14ac:dyDescent="0.35">
      <c r="A43" s="276" t="str">
        <f>A10</f>
        <v>2010-11</v>
      </c>
      <c r="B43" s="142">
        <f>B10/$D10%</f>
        <v>64.47563057083255</v>
      </c>
      <c r="C43" s="142">
        <f>C10/$D10%</f>
        <v>35.524369429167457</v>
      </c>
      <c r="D43" s="653"/>
      <c r="E43" s="375"/>
      <c r="G43" s="28"/>
    </row>
    <row r="44" spans="1:8" x14ac:dyDescent="0.35">
      <c r="A44" s="276" t="str">
        <f t="shared" ref="A44:A53" si="4">A11</f>
        <v>2011-12</v>
      </c>
      <c r="B44" s="142">
        <f>B11/$D11%</f>
        <v>51.014236448846049</v>
      </c>
      <c r="C44" s="142">
        <f>C11/$D11%</f>
        <v>48.985763551153944</v>
      </c>
      <c r="D44" s="654">
        <f>E11/D11</f>
        <v>0.82049694933239015</v>
      </c>
      <c r="E44" s="502">
        <f>E11/B11</f>
        <v>1.6083685779657491</v>
      </c>
      <c r="G44" s="28"/>
    </row>
    <row r="45" spans="1:8" x14ac:dyDescent="0.35">
      <c r="A45" s="276" t="str">
        <f t="shared" si="4"/>
        <v>2012-13</v>
      </c>
      <c r="B45" s="142">
        <f t="shared" ref="B45:C53" si="5">B12/$D12%</f>
        <v>46.244511208689623</v>
      </c>
      <c r="C45" s="142">
        <f t="shared" si="5"/>
        <v>53.755488791310377</v>
      </c>
      <c r="D45" s="654">
        <f t="shared" ref="D45:D53" si="6">E12/D12</f>
        <v>0.78437716662814883</v>
      </c>
      <c r="E45" s="502">
        <f t="shared" ref="E45:E53" si="7">E12/B12</f>
        <v>1.696151924037981</v>
      </c>
      <c r="G45" s="28"/>
    </row>
    <row r="46" spans="1:8" x14ac:dyDescent="0.35">
      <c r="A46" s="276" t="str">
        <f t="shared" si="4"/>
        <v>2013-14</v>
      </c>
      <c r="B46" s="142">
        <f t="shared" si="5"/>
        <v>41.628195023082988</v>
      </c>
      <c r="C46" s="142">
        <f t="shared" si="5"/>
        <v>58.371804976917012</v>
      </c>
      <c r="D46" s="654">
        <f t="shared" si="6"/>
        <v>0.64975791014525386</v>
      </c>
      <c r="E46" s="502">
        <f t="shared" si="7"/>
        <v>1.56086015688396</v>
      </c>
      <c r="G46" s="28"/>
    </row>
    <row r="47" spans="1:8" x14ac:dyDescent="0.35">
      <c r="A47" s="276" t="str">
        <f t="shared" si="4"/>
        <v>2014-15</v>
      </c>
      <c r="B47" s="142">
        <f t="shared" si="5"/>
        <v>41.065205812980295</v>
      </c>
      <c r="C47" s="142">
        <f t="shared" si="5"/>
        <v>58.934794187019712</v>
      </c>
      <c r="D47" s="654">
        <f t="shared" si="6"/>
        <v>0.63656699383702353</v>
      </c>
      <c r="E47" s="502">
        <f t="shared" si="7"/>
        <v>1.5501371081301416</v>
      </c>
      <c r="G47" s="28"/>
    </row>
    <row r="48" spans="1:8" x14ac:dyDescent="0.35">
      <c r="A48" s="276" t="str">
        <f t="shared" si="4"/>
        <v>2015-16</v>
      </c>
      <c r="B48" s="142">
        <f t="shared" si="5"/>
        <v>39.513643905907948</v>
      </c>
      <c r="C48" s="142">
        <f t="shared" si="5"/>
        <v>60.486356094092059</v>
      </c>
      <c r="D48" s="654">
        <f t="shared" si="6"/>
        <v>0.60947892410446614</v>
      </c>
      <c r="E48" s="502">
        <f t="shared" si="7"/>
        <v>1.5424518314630531</v>
      </c>
      <c r="G48" s="28"/>
    </row>
    <row r="49" spans="1:10" ht="15" customHeight="1" x14ac:dyDescent="0.35">
      <c r="A49" s="276" t="str">
        <f t="shared" si="4"/>
        <v>2016-17</v>
      </c>
      <c r="B49" s="142">
        <f t="shared" si="5"/>
        <v>40.982471998983065</v>
      </c>
      <c r="C49" s="142">
        <f t="shared" si="5"/>
        <v>59.017528001016935</v>
      </c>
      <c r="D49" s="654">
        <f t="shared" si="6"/>
        <v>0.62599398313583143</v>
      </c>
      <c r="E49" s="502">
        <f t="shared" si="7"/>
        <v>1.5274676040805073</v>
      </c>
      <c r="G49" s="28"/>
    </row>
    <row r="50" spans="1:10" x14ac:dyDescent="0.35">
      <c r="A50" s="276" t="str">
        <f t="shared" si="4"/>
        <v>2017-18</v>
      </c>
      <c r="B50" s="142">
        <f t="shared" si="5"/>
        <v>39.744526070083488</v>
      </c>
      <c r="C50" s="142">
        <f t="shared" si="5"/>
        <v>60.255473929916519</v>
      </c>
      <c r="D50" s="654">
        <f t="shared" si="6"/>
        <v>0.60696538786498833</v>
      </c>
      <c r="E50" s="502">
        <f t="shared" si="7"/>
        <v>1.5271672551704258</v>
      </c>
      <c r="G50" s="28"/>
    </row>
    <row r="51" spans="1:10" x14ac:dyDescent="0.35">
      <c r="A51" s="276" t="str">
        <f t="shared" si="4"/>
        <v>2018-19</v>
      </c>
      <c r="B51" s="142">
        <f t="shared" si="5"/>
        <v>35.348689344238608</v>
      </c>
      <c r="C51" s="142">
        <f t="shared" si="5"/>
        <v>64.651310655761392</v>
      </c>
      <c r="D51" s="654">
        <f t="shared" si="6"/>
        <v>0.54259992485766306</v>
      </c>
      <c r="E51" s="502">
        <f t="shared" si="7"/>
        <v>1.5349930504455891</v>
      </c>
      <c r="G51" s="28"/>
    </row>
    <row r="52" spans="1:10" x14ac:dyDescent="0.35">
      <c r="A52" s="276" t="str">
        <f t="shared" si="4"/>
        <v>2019-20</v>
      </c>
      <c r="B52" s="142">
        <f t="shared" si="5"/>
        <v>32.196657856348487</v>
      </c>
      <c r="C52" s="142">
        <f t="shared" si="5"/>
        <v>67.80334214365152</v>
      </c>
      <c r="D52" s="654">
        <f t="shared" si="6"/>
        <v>0.49987723327122779</v>
      </c>
      <c r="E52" s="502">
        <f t="shared" si="7"/>
        <v>1.5525749147676295</v>
      </c>
      <c r="G52" s="28"/>
    </row>
    <row r="53" spans="1:10" x14ac:dyDescent="0.35">
      <c r="A53" s="276" t="str">
        <f t="shared" si="4"/>
        <v>2020-21</v>
      </c>
      <c r="B53" s="142">
        <f t="shared" si="5"/>
        <v>38.180916976456011</v>
      </c>
      <c r="C53" s="142">
        <f t="shared" si="5"/>
        <v>61.819083023543989</v>
      </c>
      <c r="D53" s="654">
        <f t="shared" si="6"/>
        <v>0.62324659231722424</v>
      </c>
      <c r="E53" s="502">
        <f t="shared" si="7"/>
        <v>1.6323510320654291</v>
      </c>
    </row>
    <row r="54" spans="1:10" x14ac:dyDescent="0.35">
      <c r="A54" s="252"/>
      <c r="B54" s="253"/>
      <c r="C54" s="253"/>
      <c r="D54" s="254"/>
      <c r="E54" s="255"/>
    </row>
    <row r="55" spans="1:10" x14ac:dyDescent="0.35">
      <c r="B55" s="248"/>
      <c r="C55" s="248"/>
      <c r="D55" s="632"/>
      <c r="E55" s="633"/>
      <c r="F55" s="633"/>
      <c r="G55" s="28"/>
    </row>
    <row r="56" spans="1:10" ht="15.75" customHeight="1" x14ac:dyDescent="0.35">
      <c r="A56" s="1204" t="s">
        <v>598</v>
      </c>
      <c r="B56" s="1204"/>
      <c r="C56" s="1204"/>
      <c r="D56" s="1204"/>
      <c r="E56" s="1204"/>
      <c r="F56" s="1204"/>
      <c r="G56" s="500"/>
      <c r="H56" s="500"/>
      <c r="I56" s="500"/>
      <c r="J56" s="500"/>
    </row>
    <row r="57" spans="1:10" ht="15.75" customHeight="1" x14ac:dyDescent="0.35">
      <c r="A57" t="s">
        <v>320</v>
      </c>
      <c r="B57" t="s">
        <v>698</v>
      </c>
      <c r="C57" s="604"/>
      <c r="D57" s="604"/>
      <c r="E57" s="604"/>
      <c r="F57" s="604"/>
      <c r="G57" s="604"/>
      <c r="H57" s="604"/>
      <c r="I57" s="604"/>
      <c r="J57" s="604"/>
    </row>
    <row r="58" spans="1:10" ht="15.75" customHeight="1" x14ac:dyDescent="0.35">
      <c r="A58" t="s">
        <v>321</v>
      </c>
      <c r="B58" t="s">
        <v>323</v>
      </c>
      <c r="C58" s="604"/>
      <c r="D58" s="604"/>
      <c r="E58" s="604"/>
      <c r="F58" s="604"/>
      <c r="G58" s="604"/>
      <c r="H58" s="604"/>
      <c r="I58" s="604"/>
      <c r="J58" s="604"/>
    </row>
    <row r="59" spans="1:10" x14ac:dyDescent="0.35">
      <c r="A59" t="s">
        <v>322</v>
      </c>
      <c r="B59" t="s">
        <v>532</v>
      </c>
      <c r="C59" s="28"/>
      <c r="D59" s="126"/>
      <c r="E59" s="28"/>
      <c r="F59" s="28"/>
      <c r="G59" s="28"/>
    </row>
    <row r="60" spans="1:10" x14ac:dyDescent="0.35">
      <c r="A60" s="75"/>
      <c r="B60" s="75"/>
      <c r="C60" s="151"/>
      <c r="D60" s="151"/>
      <c r="E60" s="266" t="s">
        <v>549</v>
      </c>
      <c r="F60" s="677" t="s">
        <v>6</v>
      </c>
      <c r="G60" s="28"/>
    </row>
    <row r="61" spans="1:10" ht="26.5" x14ac:dyDescent="0.35">
      <c r="A61" s="196" t="s">
        <v>1</v>
      </c>
      <c r="B61" s="241" t="s">
        <v>119</v>
      </c>
      <c r="C61" s="193" t="s">
        <v>124</v>
      </c>
      <c r="D61" s="193" t="s">
        <v>125</v>
      </c>
      <c r="E61" s="256" t="s">
        <v>126</v>
      </c>
      <c r="F61" s="678" t="s">
        <v>423</v>
      </c>
      <c r="G61" s="28"/>
    </row>
    <row r="62" spans="1:10" x14ac:dyDescent="0.35">
      <c r="A62" s="199" t="str">
        <f>A11</f>
        <v>2011-12</v>
      </c>
      <c r="B62" s="471">
        <f>B11/F62*100</f>
        <v>1.2138406277667622</v>
      </c>
      <c r="C62" s="471">
        <f>C11/F62*100</f>
        <v>1.1655748300808273</v>
      </c>
      <c r="D62" s="472">
        <f>D11/F62*100</f>
        <v>2.3794154578475895</v>
      </c>
      <c r="E62" s="472">
        <f>E11/F62*100</f>
        <v>1.9523031243582796</v>
      </c>
      <c r="F62" s="118">
        <v>2376424</v>
      </c>
      <c r="G62" s="28"/>
    </row>
    <row r="63" spans="1:10" x14ac:dyDescent="0.35">
      <c r="A63" s="918" t="str">
        <f t="shared" ref="A63:A71" si="8">A12</f>
        <v>2012-13</v>
      </c>
      <c r="B63" s="471">
        <f t="shared" ref="B63:B71" si="9">B12/F63*100</f>
        <v>1.0899332121039444</v>
      </c>
      <c r="C63" s="471">
        <f t="shared" ref="C63:C71" si="10">C12/F63*100</f>
        <v>1.2669588462537604</v>
      </c>
      <c r="D63" s="472">
        <f t="shared" ref="D63:D71" si="11">D12/F63*100</f>
        <v>2.3568920583577047</v>
      </c>
      <c r="E63" s="472">
        <f t="shared" ref="E63:E71" si="12">E12/F63*100</f>
        <v>1.8486923147830021</v>
      </c>
      <c r="F63" s="118">
        <v>2386660</v>
      </c>
      <c r="G63" s="28"/>
    </row>
    <row r="64" spans="1:10" x14ac:dyDescent="0.35">
      <c r="A64" s="918" t="str">
        <f t="shared" si="8"/>
        <v>2013-14</v>
      </c>
      <c r="B64" s="471">
        <f t="shared" si="9"/>
        <v>1.2321577508538366</v>
      </c>
      <c r="C64" s="471">
        <f t="shared" si="10"/>
        <v>1.7277537950842006</v>
      </c>
      <c r="D64" s="472">
        <f t="shared" si="11"/>
        <v>2.9599115459380374</v>
      </c>
      <c r="E64" s="472">
        <f t="shared" si="12"/>
        <v>1.9232259403035068</v>
      </c>
      <c r="F64" s="118">
        <v>2400342</v>
      </c>
      <c r="G64" s="28"/>
    </row>
    <row r="65" spans="1:11" x14ac:dyDescent="0.35">
      <c r="A65" s="918" t="str">
        <f t="shared" si="8"/>
        <v>2014-15</v>
      </c>
      <c r="B65" s="471">
        <f t="shared" si="9"/>
        <v>1.1169637262035732</v>
      </c>
      <c r="C65" s="471">
        <f t="shared" si="10"/>
        <v>1.6030122342006297</v>
      </c>
      <c r="D65" s="472">
        <f t="shared" si="11"/>
        <v>2.7199759604042031</v>
      </c>
      <c r="E65" s="472">
        <f t="shared" si="12"/>
        <v>1.7314469204234744</v>
      </c>
      <c r="F65" s="118">
        <v>2416014</v>
      </c>
      <c r="G65" s="28"/>
    </row>
    <row r="66" spans="1:11" x14ac:dyDescent="0.35">
      <c r="A66" s="918" t="str">
        <f t="shared" si="8"/>
        <v>2015-16</v>
      </c>
      <c r="B66" s="471">
        <f t="shared" si="9"/>
        <v>1.1662001948193845</v>
      </c>
      <c r="C66" s="471">
        <f t="shared" si="10"/>
        <v>1.7851859076529779</v>
      </c>
      <c r="D66" s="472">
        <f t="shared" si="11"/>
        <v>2.9513861024723624</v>
      </c>
      <c r="E66" s="472">
        <f t="shared" si="12"/>
        <v>1.7988076263517294</v>
      </c>
      <c r="F66" s="118">
        <v>2429943</v>
      </c>
      <c r="G66" s="28"/>
    </row>
    <row r="67" spans="1:11" x14ac:dyDescent="0.35">
      <c r="A67" s="918" t="str">
        <f t="shared" si="8"/>
        <v>2016-17</v>
      </c>
      <c r="B67" s="471">
        <f t="shared" si="9"/>
        <v>1.1861803610622479</v>
      </c>
      <c r="C67" s="471">
        <f t="shared" si="10"/>
        <v>1.7081798451539159</v>
      </c>
      <c r="D67" s="472">
        <f t="shared" si="11"/>
        <v>2.894360206216164</v>
      </c>
      <c r="E67" s="472">
        <f t="shared" si="12"/>
        <v>1.8118520741191029</v>
      </c>
      <c r="F67" s="118">
        <v>2446171</v>
      </c>
      <c r="G67" s="28"/>
    </row>
    <row r="68" spans="1:11" ht="15" customHeight="1" x14ac:dyDescent="0.35">
      <c r="A68" s="918" t="str">
        <f t="shared" si="8"/>
        <v>2017-18</v>
      </c>
      <c r="B68" s="471">
        <f t="shared" si="9"/>
        <v>1.1269579849403264</v>
      </c>
      <c r="C68" s="471">
        <f t="shared" si="10"/>
        <v>1.7085469169249159</v>
      </c>
      <c r="D68" s="472">
        <f t="shared" si="11"/>
        <v>2.8355049018652427</v>
      </c>
      <c r="E68" s="472">
        <f t="shared" si="12"/>
        <v>1.7210533325537125</v>
      </c>
      <c r="F68" s="118">
        <v>2462736</v>
      </c>
      <c r="G68" s="28"/>
    </row>
    <row r="69" spans="1:11" ht="15" customHeight="1" x14ac:dyDescent="0.35">
      <c r="A69" s="918" t="str">
        <f t="shared" si="8"/>
        <v>2018-19</v>
      </c>
      <c r="B69" s="471">
        <f t="shared" si="9"/>
        <v>0.98745597481103231</v>
      </c>
      <c r="C69" s="471">
        <f t="shared" si="10"/>
        <v>1.8060166917278058</v>
      </c>
      <c r="D69" s="472">
        <f t="shared" si="11"/>
        <v>2.7934726665388379</v>
      </c>
      <c r="E69" s="472">
        <f t="shared" si="12"/>
        <v>1.5157380589559093</v>
      </c>
      <c r="F69" s="118">
        <v>2477275</v>
      </c>
      <c r="G69" s="28"/>
    </row>
    <row r="70" spans="1:11" ht="15" customHeight="1" x14ac:dyDescent="0.35">
      <c r="A70" s="918" t="str">
        <f t="shared" si="8"/>
        <v>2019-20</v>
      </c>
      <c r="B70" s="471">
        <f t="shared" si="9"/>
        <v>0.89324389140507199</v>
      </c>
      <c r="C70" s="471">
        <f t="shared" si="10"/>
        <v>1.8810934183568593</v>
      </c>
      <c r="D70" s="472">
        <f t="shared" si="11"/>
        <v>2.7743373097619308</v>
      </c>
      <c r="E70" s="472">
        <f t="shared" si="12"/>
        <v>1.3868280585649355</v>
      </c>
      <c r="F70" s="118">
        <v>2495623</v>
      </c>
      <c r="G70" s="28"/>
    </row>
    <row r="71" spans="1:11" ht="15" customHeight="1" x14ac:dyDescent="0.35">
      <c r="A71" s="918" t="str">
        <f t="shared" si="8"/>
        <v>2020-21</v>
      </c>
      <c r="B71" s="471">
        <f t="shared" si="9"/>
        <v>0.30718309157070933</v>
      </c>
      <c r="C71" s="471">
        <f t="shared" si="10"/>
        <v>0.49736304271970494</v>
      </c>
      <c r="D71" s="472">
        <f t="shared" si="11"/>
        <v>0.80454613429041433</v>
      </c>
      <c r="E71" s="472">
        <f t="shared" si="12"/>
        <v>0.50143063655849651</v>
      </c>
      <c r="F71" s="142">
        <v>2507625</v>
      </c>
      <c r="G71" s="28"/>
    </row>
    <row r="72" spans="1:11" x14ac:dyDescent="0.35">
      <c r="A72" s="242"/>
      <c r="B72" s="257"/>
      <c r="C72" s="257"/>
      <c r="D72" s="259"/>
      <c r="E72" s="258"/>
      <c r="F72" s="243"/>
      <c r="G72" s="28"/>
    </row>
    <row r="73" spans="1:11" x14ac:dyDescent="0.35">
      <c r="A73" s="428" t="s">
        <v>8</v>
      </c>
      <c r="B73" s="397"/>
      <c r="C73" s="397"/>
      <c r="D73" s="397"/>
      <c r="E73" s="397"/>
      <c r="F73" s="397"/>
      <c r="G73" s="397"/>
    </row>
    <row r="74" spans="1:11" x14ac:dyDescent="0.35">
      <c r="A74" s="631" t="s">
        <v>747</v>
      </c>
      <c r="B74" s="501"/>
      <c r="C74" s="501"/>
      <c r="D74" s="501"/>
      <c r="E74" s="501"/>
      <c r="F74" s="501"/>
      <c r="G74" s="501"/>
      <c r="K74" s="199"/>
    </row>
    <row r="75" spans="1:11" x14ac:dyDescent="0.35">
      <c r="A75" s="601" t="s">
        <v>748</v>
      </c>
      <c r="B75" s="430"/>
      <c r="C75" s="499"/>
      <c r="D75" s="499"/>
      <c r="E75" s="499"/>
      <c r="F75" s="499"/>
      <c r="G75" s="432"/>
      <c r="K75" s="199"/>
    </row>
    <row r="76" spans="1:11" x14ac:dyDescent="0.35">
      <c r="K76" s="199"/>
    </row>
    <row r="77" spans="1:11" x14ac:dyDescent="0.35">
      <c r="K77" s="199"/>
    </row>
    <row r="78" spans="1:11" x14ac:dyDescent="0.35">
      <c r="J78" s="199"/>
      <c r="K78" s="199"/>
    </row>
    <row r="79" spans="1:11" x14ac:dyDescent="0.35">
      <c r="J79" s="199"/>
      <c r="K79" s="199"/>
    </row>
    <row r="80" spans="1:11" x14ac:dyDescent="0.35">
      <c r="J80" s="199"/>
      <c r="K80" s="199"/>
    </row>
    <row r="81" spans="1:10" x14ac:dyDescent="0.35">
      <c r="A81" s="419"/>
      <c r="J81" s="199"/>
    </row>
    <row r="82" spans="1:10" x14ac:dyDescent="0.35">
      <c r="A82" s="382"/>
      <c r="J82" s="199"/>
    </row>
    <row r="83" spans="1:10" x14ac:dyDescent="0.35">
      <c r="J83" s="199"/>
    </row>
    <row r="84" spans="1:10" x14ac:dyDescent="0.35">
      <c r="J84" s="199"/>
    </row>
    <row r="85" spans="1:10" x14ac:dyDescent="0.35">
      <c r="J85" s="199"/>
    </row>
  </sheetData>
  <sheetProtection algorithmName="SHA-512" hashValue="k8IdUyhty3aKOpAtJ2A+t40OUQxkbXXP+8Q7QZXh9SDIPoMsTlnCuUmGGaw2tyrzMZgMKQFCjg4g6yL0ozpkYQ==" saltValue="r2tVGGpf3dCGG7qhxRfarQ==" spinCount="100000" sheet="1" scenarios="1" formatCells="0" formatColumns="0" formatRows="0" sort="0" autoFilter="0" pivotTables="0"/>
  <mergeCells count="8">
    <mergeCell ref="A56:F56"/>
    <mergeCell ref="F8:G8"/>
    <mergeCell ref="A22:D22"/>
    <mergeCell ref="A36:H36"/>
    <mergeCell ref="A26:D26"/>
    <mergeCell ref="A32:H32"/>
    <mergeCell ref="A33:H33"/>
    <mergeCell ref="A31:H31"/>
  </mergeCells>
  <hyperlinks>
    <hyperlink ref="A74:G74" r:id="rId1" display="https://www.nrscotland.gov.uk/statistics-and-data/statistics/statistics-by-theme/households/household-estimates/2016/list-of-tables"/>
    <hyperlink ref="A2" location="'Table of Contents'!A1" display="Back to Table of Contents"/>
    <hyperlink ref="A75" r:id="rId2"/>
  </hyperlinks>
  <pageMargins left="0.70866141732283472" right="0.70866141732283472" top="0.74803149606299213" bottom="0.74803149606299213" header="0.31496062992125984" footer="0.31496062992125984"/>
  <pageSetup paperSize="9" scale="61" orientation="portrait" r:id="rId3"/>
  <tableParts count="1">
    <tablePart r:id="rId4"/>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2"/>
  <sheetViews>
    <sheetView showGridLines="0" workbookViewId="0">
      <pane ySplit="2" topLeftCell="A3" activePane="bottomLeft" state="frozen"/>
      <selection pane="bottomLeft"/>
    </sheetView>
  </sheetViews>
  <sheetFormatPr defaultRowHeight="14.5" x14ac:dyDescent="0.35"/>
  <cols>
    <col min="1" max="1" width="19.81640625" customWidth="1"/>
    <col min="2" max="2" width="12.81640625" bestFit="1" customWidth="1"/>
    <col min="3" max="3" width="14.7265625" customWidth="1"/>
    <col min="4" max="4" width="13.08984375" customWidth="1"/>
    <col min="5" max="5" width="17.453125" bestFit="1" customWidth="1"/>
    <col min="6" max="6" width="19.08984375" bestFit="1" customWidth="1"/>
  </cols>
  <sheetData>
    <row r="1" spans="1:11" ht="15.5" x14ac:dyDescent="0.35">
      <c r="A1" s="629" t="s">
        <v>531</v>
      </c>
      <c r="B1" s="629"/>
      <c r="C1" s="629"/>
    </row>
    <row r="2" spans="1:11" ht="15.5" x14ac:dyDescent="0.35">
      <c r="A2" s="601" t="s">
        <v>509</v>
      </c>
      <c r="B2" s="603"/>
      <c r="C2" s="603"/>
    </row>
    <row r="3" spans="1:11" x14ac:dyDescent="0.35">
      <c r="A3" s="28"/>
      <c r="B3" s="28"/>
      <c r="C3" s="28"/>
      <c r="D3" s="28"/>
      <c r="E3" s="28"/>
      <c r="F3" s="28"/>
      <c r="G3" s="28"/>
      <c r="H3" s="28"/>
      <c r="I3" s="28"/>
      <c r="J3" s="28"/>
      <c r="K3" s="28"/>
    </row>
    <row r="4" spans="1:11" ht="15.5" x14ac:dyDescent="0.35">
      <c r="A4" s="1200" t="s">
        <v>534</v>
      </c>
      <c r="B4" s="1200"/>
      <c r="C4" s="1200"/>
      <c r="D4" s="1200"/>
      <c r="E4" s="1200"/>
      <c r="F4" s="1200"/>
      <c r="G4" s="1200"/>
      <c r="H4" s="1200"/>
      <c r="I4" s="1200"/>
      <c r="J4" s="1200"/>
      <c r="K4" s="1200"/>
    </row>
    <row r="5" spans="1:11" ht="15.5" x14ac:dyDescent="0.35">
      <c r="A5" t="s">
        <v>320</v>
      </c>
      <c r="B5" t="s">
        <v>699</v>
      </c>
      <c r="C5" s="607"/>
      <c r="D5" s="607"/>
      <c r="E5" s="607"/>
      <c r="F5" s="607"/>
      <c r="G5" s="607"/>
      <c r="H5" s="607"/>
      <c r="I5" s="607"/>
      <c r="J5" s="607"/>
      <c r="K5" s="607"/>
    </row>
    <row r="6" spans="1:11" ht="15.5" x14ac:dyDescent="0.35">
      <c r="A6" t="s">
        <v>321</v>
      </c>
      <c r="B6" t="s">
        <v>323</v>
      </c>
      <c r="C6" s="607"/>
      <c r="D6" s="607"/>
      <c r="E6" s="607"/>
      <c r="F6" s="607"/>
      <c r="G6" s="607"/>
      <c r="H6" s="607"/>
      <c r="I6" s="607"/>
      <c r="J6" s="607"/>
      <c r="K6" s="607"/>
    </row>
    <row r="7" spans="1:11" ht="15.5" x14ac:dyDescent="0.35">
      <c r="A7" t="s">
        <v>322</v>
      </c>
      <c r="B7" t="s">
        <v>532</v>
      </c>
      <c r="C7" s="607"/>
      <c r="D7" s="607"/>
      <c r="E7" s="607"/>
      <c r="F7" s="607"/>
      <c r="G7" s="607"/>
      <c r="H7" s="607"/>
      <c r="I7" s="607"/>
      <c r="J7" s="607"/>
      <c r="K7" s="607"/>
    </row>
    <row r="8" spans="1:11" ht="15.5" x14ac:dyDescent="0.35">
      <c r="C8" s="607"/>
      <c r="D8" s="607"/>
      <c r="E8" s="607"/>
      <c r="F8" s="607"/>
      <c r="G8" s="607"/>
      <c r="H8" s="607"/>
      <c r="I8" s="607"/>
      <c r="J8" s="607"/>
      <c r="K8" s="607"/>
    </row>
    <row r="9" spans="1:11" x14ac:dyDescent="0.35">
      <c r="B9" s="542"/>
      <c r="C9" s="542" t="s">
        <v>536</v>
      </c>
      <c r="D9" s="542"/>
      <c r="F9" s="771"/>
    </row>
    <row r="10" spans="1:11" s="563" customFormat="1" ht="29" x14ac:dyDescent="0.35">
      <c r="A10" s="784" t="s">
        <v>1</v>
      </c>
      <c r="B10" s="1034" t="s">
        <v>537</v>
      </c>
      <c r="C10" s="1035" t="s">
        <v>350</v>
      </c>
      <c r="D10" s="1035" t="s">
        <v>351</v>
      </c>
      <c r="E10" s="1034" t="s">
        <v>352</v>
      </c>
      <c r="F10" s="1036" t="s">
        <v>538</v>
      </c>
    </row>
    <row r="11" spans="1:11" x14ac:dyDescent="0.35">
      <c r="A11" s="783" t="s">
        <v>194</v>
      </c>
      <c r="B11" s="775">
        <v>66828</v>
      </c>
      <c r="C11" s="780"/>
      <c r="D11" s="780"/>
      <c r="E11" s="781"/>
      <c r="F11" s="774"/>
    </row>
    <row r="12" spans="1:11" x14ac:dyDescent="0.35">
      <c r="A12" s="783" t="s">
        <v>193</v>
      </c>
      <c r="B12" s="775">
        <v>63640</v>
      </c>
      <c r="C12" s="780"/>
      <c r="D12" s="780"/>
      <c r="E12" s="781"/>
      <c r="F12" s="774"/>
    </row>
    <row r="13" spans="1:11" x14ac:dyDescent="0.35">
      <c r="A13" s="783" t="s">
        <v>192</v>
      </c>
      <c r="B13" s="775">
        <v>69038</v>
      </c>
      <c r="C13" s="775">
        <v>176331</v>
      </c>
      <c r="D13" s="780"/>
      <c r="E13" s="781"/>
      <c r="F13" s="774"/>
    </row>
    <row r="14" spans="1:11" x14ac:dyDescent="0.35">
      <c r="A14" s="783" t="s">
        <v>258</v>
      </c>
      <c r="B14" s="775">
        <v>68202</v>
      </c>
      <c r="C14" s="775">
        <v>177208</v>
      </c>
      <c r="D14" s="780"/>
      <c r="E14" s="776">
        <v>45412</v>
      </c>
      <c r="F14" s="1028">
        <f>E14/HFSVs!D16</f>
        <v>0.64140337000889813</v>
      </c>
    </row>
    <row r="15" spans="1:11" x14ac:dyDescent="0.35">
      <c r="A15" s="783" t="s">
        <v>242</v>
      </c>
      <c r="B15" s="775">
        <v>67131</v>
      </c>
      <c r="C15" s="775">
        <v>180398</v>
      </c>
      <c r="D15" s="775">
        <v>264044</v>
      </c>
      <c r="E15" s="776">
        <v>45808</v>
      </c>
      <c r="F15" s="1028">
        <f>E15/HFSVs!D17</f>
        <v>0.6559837321533416</v>
      </c>
    </row>
    <row r="16" spans="1:11" x14ac:dyDescent="0.35">
      <c r="A16" s="783" t="s">
        <v>241</v>
      </c>
      <c r="B16" s="775">
        <v>66180</v>
      </c>
      <c r="C16" s="775">
        <v>176578</v>
      </c>
      <c r="D16" s="775">
        <v>267536</v>
      </c>
      <c r="E16" s="776">
        <v>47304</v>
      </c>
      <c r="F16" s="1028">
        <f>E16/HFSVs!D18</f>
        <v>0.68356405884223004</v>
      </c>
    </row>
    <row r="17" spans="1:11" x14ac:dyDescent="0.35">
      <c r="A17" s="803" t="s">
        <v>773</v>
      </c>
      <c r="B17" s="777">
        <v>66056</v>
      </c>
      <c r="C17" s="777">
        <v>174615</v>
      </c>
      <c r="D17" s="777">
        <v>272384</v>
      </c>
      <c r="E17" s="776">
        <v>47485</v>
      </c>
      <c r="F17" s="1028">
        <f>E17/HFSVs!D19</f>
        <v>0.68583271949968949</v>
      </c>
    </row>
    <row r="18" spans="1:11" x14ac:dyDescent="0.35">
      <c r="A18" s="784" t="s">
        <v>951</v>
      </c>
      <c r="B18" s="778">
        <v>19532</v>
      </c>
      <c r="C18" s="778">
        <v>136078</v>
      </c>
      <c r="D18" s="778">
        <v>236071</v>
      </c>
      <c r="E18" s="779">
        <v>12862</v>
      </c>
      <c r="F18" s="1029">
        <f>E18/HFSVs!D20</f>
        <v>0.6375216852540273</v>
      </c>
    </row>
    <row r="20" spans="1:11" x14ac:dyDescent="0.35">
      <c r="A20" s="359" t="s">
        <v>8</v>
      </c>
    </row>
    <row r="21" spans="1:11" ht="45" customHeight="1" x14ac:dyDescent="0.35">
      <c r="A21" s="1159" t="s">
        <v>750</v>
      </c>
      <c r="B21" s="1159"/>
      <c r="C21" s="1159"/>
      <c r="D21" s="1159"/>
      <c r="E21" s="1159"/>
      <c r="F21" s="1159"/>
    </row>
    <row r="22" spans="1:11" x14ac:dyDescent="0.35">
      <c r="A22" t="s">
        <v>749</v>
      </c>
    </row>
    <row r="23" spans="1:11" ht="30.75" customHeight="1" x14ac:dyDescent="0.35">
      <c r="A23" s="1159" t="s">
        <v>948</v>
      </c>
      <c r="B23" s="1159"/>
      <c r="C23" s="1159"/>
      <c r="D23" s="1159"/>
      <c r="E23" s="1159"/>
      <c r="F23" s="1159"/>
    </row>
    <row r="25" spans="1:11" ht="15.5" x14ac:dyDescent="0.35">
      <c r="A25" s="1200" t="s">
        <v>535</v>
      </c>
      <c r="B25" s="1200"/>
      <c r="C25" s="1200"/>
      <c r="D25" s="1200"/>
      <c r="E25" s="1200"/>
      <c r="F25" s="1200"/>
      <c r="G25" s="1200"/>
      <c r="H25" s="1200"/>
      <c r="I25" s="1200"/>
      <c r="J25" s="1200"/>
      <c r="K25" s="1200"/>
    </row>
    <row r="26" spans="1:11" ht="15.5" x14ac:dyDescent="0.35">
      <c r="A26" t="s">
        <v>320</v>
      </c>
      <c r="B26" t="s">
        <v>700</v>
      </c>
      <c r="C26" s="607"/>
      <c r="D26" s="607"/>
      <c r="E26" s="607"/>
      <c r="F26" s="607"/>
      <c r="G26" s="607"/>
      <c r="H26" s="607"/>
      <c r="I26" s="607"/>
      <c r="J26" s="607"/>
      <c r="K26" s="607"/>
    </row>
    <row r="27" spans="1:11" ht="15.5" x14ac:dyDescent="0.35">
      <c r="A27" t="s">
        <v>321</v>
      </c>
      <c r="B27" t="s">
        <v>323</v>
      </c>
      <c r="C27" s="607"/>
      <c r="D27" s="607"/>
      <c r="E27" s="607"/>
      <c r="F27" s="607"/>
      <c r="G27" s="607"/>
      <c r="H27" s="607"/>
      <c r="I27" s="607"/>
      <c r="J27" s="607"/>
      <c r="K27" s="607"/>
    </row>
    <row r="28" spans="1:11" ht="15.5" x14ac:dyDescent="0.35">
      <c r="A28" t="s">
        <v>322</v>
      </c>
      <c r="B28" t="s">
        <v>532</v>
      </c>
      <c r="C28" s="607"/>
      <c r="D28" s="607"/>
      <c r="E28" s="607"/>
      <c r="F28" s="607"/>
      <c r="G28" s="607"/>
      <c r="H28" s="607"/>
      <c r="I28" s="607"/>
      <c r="J28" s="607"/>
      <c r="K28" s="607"/>
    </row>
    <row r="30" spans="1:11" ht="30.75" customHeight="1" x14ac:dyDescent="0.35">
      <c r="B30" s="1207" t="s">
        <v>539</v>
      </c>
      <c r="C30" s="1207"/>
      <c r="D30" s="1207"/>
    </row>
    <row r="31" spans="1:11" ht="39" customHeight="1" x14ac:dyDescent="0.35">
      <c r="A31" s="784" t="s">
        <v>1</v>
      </c>
      <c r="B31" s="1034" t="s">
        <v>537</v>
      </c>
      <c r="C31" s="847" t="s">
        <v>350</v>
      </c>
      <c r="D31" s="1037" t="s">
        <v>351</v>
      </c>
    </row>
    <row r="32" spans="1:11" x14ac:dyDescent="0.35">
      <c r="A32" s="783" t="s">
        <v>194</v>
      </c>
      <c r="B32" s="789">
        <v>29094</v>
      </c>
      <c r="C32" s="1030"/>
      <c r="D32" s="1031"/>
    </row>
    <row r="33" spans="1:6" x14ac:dyDescent="0.35">
      <c r="A33" s="783" t="s">
        <v>193</v>
      </c>
      <c r="B33" s="789">
        <v>26541</v>
      </c>
      <c r="C33" s="1030"/>
      <c r="D33" s="1031"/>
    </row>
    <row r="34" spans="1:6" x14ac:dyDescent="0.35">
      <c r="A34" s="783" t="s">
        <v>192</v>
      </c>
      <c r="B34" s="789">
        <v>27846</v>
      </c>
      <c r="C34" s="789">
        <v>79298</v>
      </c>
      <c r="D34" s="1031"/>
    </row>
    <row r="35" spans="1:6" x14ac:dyDescent="0.35">
      <c r="A35" s="783" t="s">
        <v>258</v>
      </c>
      <c r="B35" s="789">
        <v>28400</v>
      </c>
      <c r="C35" s="789">
        <v>78665</v>
      </c>
      <c r="D35" s="1031"/>
    </row>
    <row r="36" spans="1:6" x14ac:dyDescent="0.35">
      <c r="A36" s="783" t="s">
        <v>242</v>
      </c>
      <c r="B36" s="789">
        <v>27184</v>
      </c>
      <c r="C36" s="789">
        <v>79049</v>
      </c>
      <c r="D36" s="1032">
        <v>121558</v>
      </c>
    </row>
    <row r="37" spans="1:6" x14ac:dyDescent="0.35">
      <c r="A37" s="783" t="s">
        <v>241</v>
      </c>
      <c r="B37" s="789">
        <v>23995</v>
      </c>
      <c r="C37" s="789">
        <v>75250</v>
      </c>
      <c r="D37" s="1032">
        <v>119658</v>
      </c>
    </row>
    <row r="38" spans="1:6" x14ac:dyDescent="0.35">
      <c r="A38" s="803" t="s">
        <v>773</v>
      </c>
      <c r="B38" s="906">
        <v>21868</v>
      </c>
      <c r="C38" s="906">
        <v>69792</v>
      </c>
      <c r="D38" s="1032">
        <v>117387</v>
      </c>
    </row>
    <row r="39" spans="1:6" x14ac:dyDescent="0.35">
      <c r="A39" s="784" t="s">
        <v>951</v>
      </c>
      <c r="B39" s="831">
        <v>7607</v>
      </c>
      <c r="C39" s="831">
        <v>51906</v>
      </c>
      <c r="D39" s="1033">
        <v>100293</v>
      </c>
    </row>
    <row r="41" spans="1:6" x14ac:dyDescent="0.35">
      <c r="A41" s="359" t="s">
        <v>8</v>
      </c>
    </row>
    <row r="42" spans="1:6" ht="45" customHeight="1" x14ac:dyDescent="0.35">
      <c r="A42" s="1159" t="s">
        <v>751</v>
      </c>
      <c r="B42" s="1159"/>
      <c r="C42" s="1159"/>
      <c r="D42" s="1159"/>
      <c r="E42" s="1159"/>
      <c r="F42" s="1159"/>
    </row>
  </sheetData>
  <sheetProtection algorithmName="SHA-512" hashValue="bTd4fN5tqWLMPloJlDsMYVWotAfFStXLQ1bRx6X8e1cybqPtqhfscy2d9CazropGNrQ9kIwgdYhzI36IKJT7hg==" saltValue="+4fxbEniCnZWhBqiIkQY2A==" spinCount="100000" sheet="1" scenarios="1" formatCells="0" formatColumns="0" formatRows="0" sort="0" autoFilter="0" pivotTables="0"/>
  <mergeCells count="6">
    <mergeCell ref="A4:K4"/>
    <mergeCell ref="A25:K25"/>
    <mergeCell ref="B30:D30"/>
    <mergeCell ref="A21:F21"/>
    <mergeCell ref="A42:F42"/>
    <mergeCell ref="A23:F23"/>
  </mergeCells>
  <hyperlinks>
    <hyperlink ref="A2" location="'Table of Contents'!A1" display="Back to Table of Contents"/>
  </hyperlinks>
  <pageMargins left="0.7" right="0.7" top="0.75" bottom="0.75" header="0.3" footer="0.3"/>
  <pageSetup paperSize="9" orientation="portrait"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E36"/>
  <sheetViews>
    <sheetView workbookViewId="0">
      <selection activeCell="B4" sqref="B4"/>
    </sheetView>
  </sheetViews>
  <sheetFormatPr defaultRowHeight="14.5" x14ac:dyDescent="0.35"/>
  <cols>
    <col min="1" max="1" width="20.36328125" bestFit="1" customWidth="1"/>
    <col min="2" max="2" width="16.453125" bestFit="1" customWidth="1"/>
    <col min="3" max="3" width="14.6328125" bestFit="1" customWidth="1"/>
    <col min="4" max="4" width="15.54296875" bestFit="1" customWidth="1"/>
    <col min="5" max="5" width="11.36328125" bestFit="1" customWidth="1"/>
  </cols>
  <sheetData>
    <row r="1" spans="1:5" x14ac:dyDescent="0.35">
      <c r="A1" s="459" t="s">
        <v>1</v>
      </c>
      <c r="B1" t="s">
        <v>951</v>
      </c>
    </row>
    <row r="3" spans="1:5" x14ac:dyDescent="0.35">
      <c r="A3" s="459" t="s">
        <v>234</v>
      </c>
      <c r="B3" t="s">
        <v>313</v>
      </c>
      <c r="C3" t="s">
        <v>314</v>
      </c>
      <c r="D3" t="s">
        <v>315</v>
      </c>
      <c r="E3" t="s">
        <v>240</v>
      </c>
    </row>
    <row r="4" spans="1:5" x14ac:dyDescent="0.35">
      <c r="A4" s="1153" t="s">
        <v>31</v>
      </c>
      <c r="B4" s="461">
        <v>3</v>
      </c>
      <c r="C4" s="461">
        <v>1</v>
      </c>
      <c r="D4" s="461"/>
      <c r="E4" s="461">
        <v>4</v>
      </c>
    </row>
    <row r="5" spans="1:5" x14ac:dyDescent="0.35">
      <c r="A5" s="1153" t="s">
        <v>32</v>
      </c>
      <c r="B5" s="461">
        <v>1</v>
      </c>
      <c r="C5" s="461">
        <v>23</v>
      </c>
      <c r="D5" s="461"/>
      <c r="E5" s="461">
        <v>24</v>
      </c>
    </row>
    <row r="6" spans="1:5" x14ac:dyDescent="0.35">
      <c r="A6" s="1153" t="s">
        <v>33</v>
      </c>
      <c r="B6" s="461">
        <v>1</v>
      </c>
      <c r="C6" s="461">
        <v>5</v>
      </c>
      <c r="D6" s="461"/>
      <c r="E6" s="461">
        <v>6</v>
      </c>
    </row>
    <row r="7" spans="1:5" x14ac:dyDescent="0.35">
      <c r="A7" s="1153" t="s">
        <v>34</v>
      </c>
      <c r="B7" s="461">
        <v>2</v>
      </c>
      <c r="C7" s="461">
        <v>12</v>
      </c>
      <c r="D7" s="461">
        <v>25</v>
      </c>
      <c r="E7" s="461">
        <v>39</v>
      </c>
    </row>
    <row r="8" spans="1:5" x14ac:dyDescent="0.35">
      <c r="A8" s="1153" t="s">
        <v>245</v>
      </c>
      <c r="B8" s="461">
        <v>7</v>
      </c>
      <c r="C8" s="461">
        <v>1</v>
      </c>
      <c r="D8" s="461"/>
      <c r="E8" s="461">
        <v>8</v>
      </c>
    </row>
    <row r="9" spans="1:5" x14ac:dyDescent="0.35">
      <c r="A9" s="1153" t="s">
        <v>35</v>
      </c>
      <c r="B9" s="461">
        <v>1</v>
      </c>
      <c r="C9" s="461">
        <v>1</v>
      </c>
      <c r="D9" s="461"/>
      <c r="E9" s="461">
        <v>2</v>
      </c>
    </row>
    <row r="10" spans="1:5" x14ac:dyDescent="0.35">
      <c r="A10" s="1153" t="s">
        <v>36</v>
      </c>
      <c r="B10" s="461">
        <v>1</v>
      </c>
      <c r="C10" s="461">
        <v>15</v>
      </c>
      <c r="D10" s="461">
        <v>1</v>
      </c>
      <c r="E10" s="461">
        <v>17</v>
      </c>
    </row>
    <row r="11" spans="1:5" x14ac:dyDescent="0.35">
      <c r="A11" s="1153" t="s">
        <v>37</v>
      </c>
      <c r="B11" s="461">
        <v>4</v>
      </c>
      <c r="C11" s="461"/>
      <c r="D11" s="461"/>
      <c r="E11" s="461">
        <v>4</v>
      </c>
    </row>
    <row r="12" spans="1:5" x14ac:dyDescent="0.35">
      <c r="A12" s="1153" t="s">
        <v>38</v>
      </c>
      <c r="B12" s="461">
        <v>1</v>
      </c>
      <c r="C12" s="461">
        <v>7</v>
      </c>
      <c r="D12" s="461"/>
      <c r="E12" s="461">
        <v>8</v>
      </c>
    </row>
    <row r="13" spans="1:5" x14ac:dyDescent="0.35">
      <c r="A13" s="1153" t="s">
        <v>39</v>
      </c>
      <c r="B13" s="461">
        <v>3</v>
      </c>
      <c r="C13" s="461"/>
      <c r="D13" s="461"/>
      <c r="E13" s="461">
        <v>3</v>
      </c>
    </row>
    <row r="14" spans="1:5" x14ac:dyDescent="0.35">
      <c r="A14" s="1153" t="s">
        <v>40</v>
      </c>
      <c r="B14" s="461">
        <v>1</v>
      </c>
      <c r="C14" s="461">
        <v>5</v>
      </c>
      <c r="D14" s="461"/>
      <c r="E14" s="461">
        <v>6</v>
      </c>
    </row>
    <row r="15" spans="1:5" x14ac:dyDescent="0.35">
      <c r="A15" s="1153" t="s">
        <v>41</v>
      </c>
      <c r="B15" s="461">
        <v>2</v>
      </c>
      <c r="C15" s="461"/>
      <c r="D15" s="461"/>
      <c r="E15" s="461">
        <v>2</v>
      </c>
    </row>
    <row r="16" spans="1:5" x14ac:dyDescent="0.35">
      <c r="A16" s="1153" t="s">
        <v>42</v>
      </c>
      <c r="B16" s="461">
        <v>3</v>
      </c>
      <c r="C16" s="461">
        <v>2</v>
      </c>
      <c r="D16" s="461"/>
      <c r="E16" s="461">
        <v>5</v>
      </c>
    </row>
    <row r="17" spans="1:5" x14ac:dyDescent="0.35">
      <c r="A17" s="1153" t="s">
        <v>43</v>
      </c>
      <c r="B17" s="461">
        <v>5</v>
      </c>
      <c r="C17" s="461">
        <v>8</v>
      </c>
      <c r="D17" s="461"/>
      <c r="E17" s="461">
        <v>13</v>
      </c>
    </row>
    <row r="18" spans="1:5" x14ac:dyDescent="0.35">
      <c r="A18" s="1153" t="s">
        <v>114</v>
      </c>
      <c r="B18" s="461">
        <v>11</v>
      </c>
      <c r="C18" s="461"/>
      <c r="D18" s="461"/>
      <c r="E18" s="461">
        <v>11</v>
      </c>
    </row>
    <row r="19" spans="1:5" x14ac:dyDescent="0.35">
      <c r="A19" s="1153" t="s">
        <v>44</v>
      </c>
      <c r="B19" s="461">
        <v>1</v>
      </c>
      <c r="C19" s="461">
        <v>51</v>
      </c>
      <c r="D19" s="461">
        <v>9</v>
      </c>
      <c r="E19" s="461">
        <v>61</v>
      </c>
    </row>
    <row r="20" spans="1:5" x14ac:dyDescent="0.35">
      <c r="A20" s="1153" t="s">
        <v>45</v>
      </c>
      <c r="B20" s="461">
        <v>2</v>
      </c>
      <c r="C20" s="461">
        <v>1</v>
      </c>
      <c r="D20" s="461"/>
      <c r="E20" s="461">
        <v>3</v>
      </c>
    </row>
    <row r="21" spans="1:5" x14ac:dyDescent="0.35">
      <c r="A21" s="1153" t="s">
        <v>46</v>
      </c>
      <c r="B21" s="461">
        <v>1</v>
      </c>
      <c r="C21" s="461">
        <v>1</v>
      </c>
      <c r="D21" s="461"/>
      <c r="E21" s="461">
        <v>2</v>
      </c>
    </row>
    <row r="22" spans="1:5" x14ac:dyDescent="0.35">
      <c r="A22" s="1153" t="s">
        <v>47</v>
      </c>
      <c r="B22" s="461">
        <v>1</v>
      </c>
      <c r="C22" s="461">
        <v>10</v>
      </c>
      <c r="D22" s="461">
        <v>1</v>
      </c>
      <c r="E22" s="461">
        <v>12</v>
      </c>
    </row>
    <row r="23" spans="1:5" x14ac:dyDescent="0.35">
      <c r="A23" s="1153" t="s">
        <v>48</v>
      </c>
      <c r="B23" s="461"/>
      <c r="C23" s="461">
        <v>14</v>
      </c>
      <c r="D23" s="461"/>
      <c r="E23" s="461">
        <v>14</v>
      </c>
    </row>
    <row r="24" spans="1:5" x14ac:dyDescent="0.35">
      <c r="A24" s="1153" t="s">
        <v>49</v>
      </c>
      <c r="B24" s="461">
        <v>3</v>
      </c>
      <c r="C24" s="461">
        <v>8</v>
      </c>
      <c r="D24" s="461">
        <v>3</v>
      </c>
      <c r="E24" s="461">
        <v>14</v>
      </c>
    </row>
    <row r="25" spans="1:5" x14ac:dyDescent="0.35">
      <c r="A25" s="1153" t="s">
        <v>50</v>
      </c>
      <c r="B25" s="461">
        <v>4</v>
      </c>
      <c r="C25" s="461">
        <v>3</v>
      </c>
      <c r="D25" s="461"/>
      <c r="E25" s="461">
        <v>7</v>
      </c>
    </row>
    <row r="26" spans="1:5" x14ac:dyDescent="0.35">
      <c r="A26" s="1153" t="s">
        <v>51</v>
      </c>
      <c r="B26" s="461"/>
      <c r="C26" s="461">
        <v>12</v>
      </c>
      <c r="D26" s="461"/>
      <c r="E26" s="461">
        <v>12</v>
      </c>
    </row>
    <row r="27" spans="1:5" x14ac:dyDescent="0.35">
      <c r="A27" s="1153" t="s">
        <v>52</v>
      </c>
      <c r="B27" s="461">
        <v>1</v>
      </c>
      <c r="C27" s="461">
        <v>10</v>
      </c>
      <c r="D27" s="461">
        <v>3</v>
      </c>
      <c r="E27" s="461">
        <v>14</v>
      </c>
    </row>
    <row r="28" spans="1:5" x14ac:dyDescent="0.35">
      <c r="A28" s="1153" t="s">
        <v>53</v>
      </c>
      <c r="B28" s="461">
        <v>3</v>
      </c>
      <c r="C28" s="461"/>
      <c r="D28" s="461"/>
      <c r="E28" s="461">
        <v>3</v>
      </c>
    </row>
    <row r="29" spans="1:5" x14ac:dyDescent="0.35">
      <c r="A29" s="1153" t="s">
        <v>54</v>
      </c>
      <c r="B29" s="461">
        <v>2</v>
      </c>
      <c r="C29" s="461">
        <v>11</v>
      </c>
      <c r="D29" s="461"/>
      <c r="E29" s="461">
        <v>13</v>
      </c>
    </row>
    <row r="30" spans="1:5" x14ac:dyDescent="0.35">
      <c r="A30" s="1153" t="s">
        <v>55</v>
      </c>
      <c r="B30" s="461"/>
      <c r="C30" s="461">
        <v>14</v>
      </c>
      <c r="D30" s="461"/>
      <c r="E30" s="461">
        <v>14</v>
      </c>
    </row>
    <row r="31" spans="1:5" x14ac:dyDescent="0.35">
      <c r="A31" s="1153" t="s">
        <v>56</v>
      </c>
      <c r="B31" s="461">
        <v>1</v>
      </c>
      <c r="C31" s="461">
        <v>4</v>
      </c>
      <c r="D31" s="461"/>
      <c r="E31" s="461">
        <v>5</v>
      </c>
    </row>
    <row r="32" spans="1:5" x14ac:dyDescent="0.35">
      <c r="A32" s="1153" t="s">
        <v>57</v>
      </c>
      <c r="B32" s="461">
        <v>4</v>
      </c>
      <c r="C32" s="461">
        <v>7</v>
      </c>
      <c r="D32" s="461">
        <v>1</v>
      </c>
      <c r="E32" s="461">
        <v>12</v>
      </c>
    </row>
    <row r="33" spans="1:5" x14ac:dyDescent="0.35">
      <c r="A33" s="1153" t="s">
        <v>58</v>
      </c>
      <c r="B33" s="461">
        <v>1</v>
      </c>
      <c r="C33" s="461">
        <v>9</v>
      </c>
      <c r="D33" s="461"/>
      <c r="E33" s="461">
        <v>10</v>
      </c>
    </row>
    <row r="34" spans="1:5" x14ac:dyDescent="0.35">
      <c r="A34" s="1153" t="s">
        <v>59</v>
      </c>
      <c r="B34" s="461">
        <v>2</v>
      </c>
      <c r="C34" s="461">
        <v>1</v>
      </c>
      <c r="D34" s="461"/>
      <c r="E34" s="461">
        <v>3</v>
      </c>
    </row>
    <row r="35" spans="1:5" x14ac:dyDescent="0.35">
      <c r="A35" s="1153" t="s">
        <v>60</v>
      </c>
      <c r="B35" s="461">
        <v>2</v>
      </c>
      <c r="C35" s="461">
        <v>4</v>
      </c>
      <c r="D35" s="461"/>
      <c r="E35" s="461">
        <v>6</v>
      </c>
    </row>
    <row r="36" spans="1:5" x14ac:dyDescent="0.35">
      <c r="A36" s="1153" t="s">
        <v>239</v>
      </c>
      <c r="B36" s="461">
        <v>74</v>
      </c>
      <c r="C36" s="461">
        <v>240</v>
      </c>
      <c r="D36" s="461">
        <v>43</v>
      </c>
      <c r="E36" s="461">
        <v>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2"/>
  <sheetViews>
    <sheetView showGridLines="0" workbookViewId="0">
      <pane ySplit="2" topLeftCell="A3" activePane="bottomLeft" state="frozen"/>
      <selection pane="bottomLeft"/>
    </sheetView>
  </sheetViews>
  <sheetFormatPr defaultRowHeight="14.5" x14ac:dyDescent="0.35"/>
  <cols>
    <col min="1" max="1" width="18.36328125" customWidth="1"/>
    <col min="2" max="2" width="12.81640625" bestFit="1" customWidth="1"/>
    <col min="3" max="3" width="14.7265625" customWidth="1"/>
    <col min="4" max="4" width="12.81640625" customWidth="1"/>
    <col min="5" max="5" width="11.453125" customWidth="1"/>
  </cols>
  <sheetData>
    <row r="1" spans="1:11" ht="15.5" x14ac:dyDescent="0.35">
      <c r="A1" s="629" t="s">
        <v>531</v>
      </c>
      <c r="B1" s="629"/>
      <c r="C1" s="629"/>
    </row>
    <row r="2" spans="1:11" ht="15.5" x14ac:dyDescent="0.35">
      <c r="A2" s="601" t="s">
        <v>509</v>
      </c>
      <c r="B2" s="603"/>
      <c r="C2" s="603"/>
    </row>
    <row r="3" spans="1:11" x14ac:dyDescent="0.35">
      <c r="A3" s="28"/>
      <c r="B3" s="28"/>
      <c r="C3" s="28"/>
      <c r="D3" s="28"/>
      <c r="E3" s="28"/>
      <c r="F3" s="28"/>
      <c r="G3" s="28"/>
      <c r="H3" s="28"/>
      <c r="I3" s="28"/>
      <c r="J3" s="28"/>
      <c r="K3" s="28"/>
    </row>
    <row r="4" spans="1:11" ht="15.75" customHeight="1" x14ac:dyDescent="0.35">
      <c r="A4" s="639" t="s">
        <v>540</v>
      </c>
      <c r="B4" s="639"/>
      <c r="C4" s="639"/>
      <c r="D4" s="639"/>
      <c r="E4" s="639"/>
      <c r="F4" s="639"/>
      <c r="G4" s="639"/>
      <c r="H4" s="639"/>
      <c r="I4" s="639"/>
      <c r="J4" s="639"/>
      <c r="K4" s="639"/>
    </row>
    <row r="5" spans="1:11" ht="15.5" x14ac:dyDescent="0.35">
      <c r="A5" t="s">
        <v>320</v>
      </c>
      <c r="B5" t="s">
        <v>701</v>
      </c>
      <c r="C5" s="607"/>
      <c r="D5" s="607"/>
      <c r="E5" s="607"/>
      <c r="F5" s="607"/>
      <c r="G5" s="607"/>
      <c r="H5" s="607"/>
      <c r="I5" s="607"/>
      <c r="J5" s="607"/>
      <c r="K5" s="607"/>
    </row>
    <row r="6" spans="1:11" ht="15.5" x14ac:dyDescent="0.35">
      <c r="A6" t="s">
        <v>321</v>
      </c>
      <c r="B6" t="s">
        <v>323</v>
      </c>
      <c r="C6" s="607"/>
      <c r="D6" s="607"/>
      <c r="E6" s="607"/>
      <c r="F6" s="607"/>
      <c r="G6" s="607"/>
      <c r="H6" s="607"/>
      <c r="I6" s="607"/>
      <c r="J6" s="607"/>
      <c r="K6" s="607"/>
    </row>
    <row r="7" spans="1:11" ht="15.5" x14ac:dyDescent="0.35">
      <c r="A7" t="s">
        <v>322</v>
      </c>
      <c r="B7" t="s">
        <v>532</v>
      </c>
      <c r="C7" s="607"/>
      <c r="D7" s="607"/>
      <c r="E7" s="607"/>
      <c r="F7" s="607"/>
      <c r="G7" s="607"/>
      <c r="H7" s="607"/>
      <c r="I7" s="607"/>
      <c r="J7" s="607"/>
      <c r="K7" s="607"/>
    </row>
    <row r="9" spans="1:11" ht="20.5" customHeight="1" x14ac:dyDescent="0.35">
      <c r="B9" s="642"/>
      <c r="C9" s="643" t="s">
        <v>425</v>
      </c>
      <c r="D9" s="642"/>
    </row>
    <row r="10" spans="1:11" s="563" customFormat="1" ht="51" customHeight="1" x14ac:dyDescent="0.35">
      <c r="A10" s="847" t="s">
        <v>1</v>
      </c>
      <c r="B10" s="847" t="s">
        <v>537</v>
      </c>
      <c r="C10" s="847" t="s">
        <v>350</v>
      </c>
      <c r="D10" s="847" t="s">
        <v>351</v>
      </c>
    </row>
    <row r="11" spans="1:11" x14ac:dyDescent="0.35">
      <c r="A11" s="996" t="s">
        <v>194</v>
      </c>
      <c r="B11" s="995">
        <v>2.7800000000000002E-2</v>
      </c>
      <c r="C11" s="1040"/>
      <c r="D11" s="1040"/>
    </row>
    <row r="12" spans="1:11" x14ac:dyDescent="0.35">
      <c r="A12" s="996" t="s">
        <v>193</v>
      </c>
      <c r="B12" s="995">
        <v>2.63E-2</v>
      </c>
      <c r="C12" s="1040"/>
      <c r="D12" s="1040"/>
    </row>
    <row r="13" spans="1:11" x14ac:dyDescent="0.35">
      <c r="A13" s="996" t="s">
        <v>192</v>
      </c>
      <c r="B13" s="995">
        <v>2.8399999999999998E-2</v>
      </c>
      <c r="C13" s="995">
        <v>7.2999999999999995E-2</v>
      </c>
      <c r="D13" s="1040"/>
    </row>
    <row r="14" spans="1:11" x14ac:dyDescent="0.35">
      <c r="A14" s="996" t="s">
        <v>258</v>
      </c>
      <c r="B14" s="995">
        <v>2.7900000000000001E-2</v>
      </c>
      <c r="C14" s="995">
        <v>7.2900000000000006E-2</v>
      </c>
      <c r="D14" s="1040"/>
    </row>
    <row r="15" spans="1:11" x14ac:dyDescent="0.35">
      <c r="A15" s="996" t="s">
        <v>242</v>
      </c>
      <c r="B15" s="995">
        <v>2.7300000000000001E-2</v>
      </c>
      <c r="C15" s="995">
        <v>7.3700000000000002E-2</v>
      </c>
      <c r="D15" s="995">
        <v>0.1079</v>
      </c>
    </row>
    <row r="16" spans="1:11" x14ac:dyDescent="0.35">
      <c r="A16" s="996" t="s">
        <v>241</v>
      </c>
      <c r="B16" s="995">
        <v>2.6699999999999998E-2</v>
      </c>
      <c r="C16" s="995">
        <v>7.17E-2</v>
      </c>
      <c r="D16" s="995">
        <v>0.10869999999999999</v>
      </c>
    </row>
    <row r="17" spans="1:11" x14ac:dyDescent="0.35">
      <c r="A17" s="1038" t="s">
        <v>773</v>
      </c>
      <c r="B17" s="1041">
        <v>2.6499999999999999E-2</v>
      </c>
      <c r="C17" s="1041">
        <v>7.0499999999999993E-2</v>
      </c>
      <c r="D17" s="1041">
        <v>0.1099</v>
      </c>
    </row>
    <row r="18" spans="1:11" ht="15" thickBot="1" x14ac:dyDescent="0.4">
      <c r="A18" s="1039" t="s">
        <v>951</v>
      </c>
      <c r="B18" s="1042">
        <v>7.8000000000000005E-3</v>
      </c>
      <c r="C18" s="1042">
        <v>5.4600000000000003E-2</v>
      </c>
      <c r="D18" s="1042">
        <v>9.4700000000000006E-2</v>
      </c>
    </row>
    <row r="20" spans="1:11" x14ac:dyDescent="0.35">
      <c r="A20" s="359" t="s">
        <v>8</v>
      </c>
    </row>
    <row r="21" spans="1:11" ht="30" customHeight="1" x14ac:dyDescent="0.35">
      <c r="A21" s="1159" t="s">
        <v>752</v>
      </c>
      <c r="B21" s="1159"/>
      <c r="C21" s="1159"/>
      <c r="D21" s="1159"/>
      <c r="E21" s="1159"/>
      <c r="F21" s="1159"/>
      <c r="G21" s="1159"/>
      <c r="H21" s="1159"/>
      <c r="I21" s="1159"/>
    </row>
    <row r="22" spans="1:11" x14ac:dyDescent="0.35">
      <c r="A22" s="601" t="s">
        <v>748</v>
      </c>
    </row>
    <row r="24" spans="1:11" ht="15.75" customHeight="1" x14ac:dyDescent="0.35">
      <c r="A24" s="639" t="s">
        <v>592</v>
      </c>
      <c r="B24" s="639"/>
      <c r="C24" s="639"/>
      <c r="D24" s="639"/>
      <c r="E24" s="639"/>
      <c r="F24" s="639"/>
      <c r="G24" s="639"/>
      <c r="H24" s="639"/>
      <c r="I24" s="639"/>
      <c r="J24" s="639"/>
      <c r="K24" s="639"/>
    </row>
    <row r="25" spans="1:11" ht="15.5" x14ac:dyDescent="0.35">
      <c r="A25" t="s">
        <v>320</v>
      </c>
      <c r="B25" t="s">
        <v>702</v>
      </c>
      <c r="C25" s="607"/>
      <c r="D25" s="607"/>
      <c r="E25" s="607"/>
      <c r="F25" s="607"/>
      <c r="G25" s="607"/>
      <c r="H25" s="607"/>
      <c r="I25" s="607"/>
      <c r="J25" s="607"/>
      <c r="K25" s="607"/>
    </row>
    <row r="26" spans="1:11" ht="15.5" x14ac:dyDescent="0.35">
      <c r="A26" t="s">
        <v>321</v>
      </c>
      <c r="B26" t="s">
        <v>323</v>
      </c>
      <c r="C26" s="607"/>
      <c r="D26" s="607"/>
      <c r="E26" s="607"/>
      <c r="F26" s="607"/>
      <c r="G26" s="607"/>
      <c r="H26" s="607"/>
      <c r="I26" s="607"/>
      <c r="J26" s="607"/>
      <c r="K26" s="607"/>
    </row>
    <row r="27" spans="1:11" ht="15.5" x14ac:dyDescent="0.35">
      <c r="A27" t="s">
        <v>322</v>
      </c>
      <c r="B27" t="s">
        <v>532</v>
      </c>
      <c r="C27" s="607"/>
      <c r="D27" s="607"/>
      <c r="E27" s="607"/>
      <c r="F27" s="607"/>
      <c r="G27" s="607"/>
      <c r="H27" s="607"/>
      <c r="I27" s="607"/>
      <c r="J27" s="607"/>
      <c r="K27" s="607"/>
    </row>
    <row r="29" spans="1:11" ht="29.25" customHeight="1" x14ac:dyDescent="0.35">
      <c r="B29" s="1208" t="s">
        <v>426</v>
      </c>
      <c r="C29" s="1208"/>
      <c r="D29" s="1208"/>
    </row>
    <row r="30" spans="1:11" ht="43" customHeight="1" x14ac:dyDescent="0.35">
      <c r="A30" s="847" t="s">
        <v>1</v>
      </c>
      <c r="B30" s="847" t="s">
        <v>537</v>
      </c>
      <c r="C30" s="847" t="s">
        <v>350</v>
      </c>
      <c r="D30" s="847" t="s">
        <v>351</v>
      </c>
    </row>
    <row r="31" spans="1:11" x14ac:dyDescent="0.35">
      <c r="A31" s="783" t="s">
        <v>194</v>
      </c>
      <c r="B31" s="995">
        <v>1.21E-2</v>
      </c>
      <c r="C31" s="1040"/>
      <c r="D31" s="1040"/>
    </row>
    <row r="32" spans="1:11" x14ac:dyDescent="0.35">
      <c r="A32" s="783" t="s">
        <v>193</v>
      </c>
      <c r="B32" s="995">
        <v>1.1000000000000001E-2</v>
      </c>
      <c r="C32" s="1040"/>
      <c r="D32" s="1040"/>
    </row>
    <row r="33" spans="1:9" x14ac:dyDescent="0.35">
      <c r="A33" s="783" t="s">
        <v>192</v>
      </c>
      <c r="B33" s="995">
        <v>1.15E-2</v>
      </c>
      <c r="C33" s="995">
        <v>3.2800000000000003E-2</v>
      </c>
      <c r="D33" s="1040"/>
    </row>
    <row r="34" spans="1:9" x14ac:dyDescent="0.35">
      <c r="A34" s="783" t="s">
        <v>258</v>
      </c>
      <c r="B34" s="995">
        <v>1.1599999999999999E-2</v>
      </c>
      <c r="C34" s="995">
        <v>3.2400000000000005E-2</v>
      </c>
      <c r="D34" s="1040"/>
    </row>
    <row r="35" spans="1:9" x14ac:dyDescent="0.35">
      <c r="A35" s="783" t="s">
        <v>242</v>
      </c>
      <c r="B35" s="995">
        <v>1.1000000000000001E-2</v>
      </c>
      <c r="C35" s="995">
        <v>3.2300000000000002E-2</v>
      </c>
      <c r="D35" s="995">
        <v>4.9699999999999994E-2</v>
      </c>
    </row>
    <row r="36" spans="1:9" x14ac:dyDescent="0.35">
      <c r="A36" s="783" t="s">
        <v>241</v>
      </c>
      <c r="B36" s="995">
        <v>9.7000000000000003E-3</v>
      </c>
      <c r="C36" s="995">
        <v>3.0600000000000002E-2</v>
      </c>
      <c r="D36" s="995">
        <v>4.8600000000000004E-2</v>
      </c>
    </row>
    <row r="37" spans="1:9" x14ac:dyDescent="0.35">
      <c r="A37" s="803" t="s">
        <v>773</v>
      </c>
      <c r="B37" s="1041">
        <v>8.8000000000000005E-3</v>
      </c>
      <c r="C37" s="1041">
        <v>2.8199999999999999E-2</v>
      </c>
      <c r="D37" s="1041">
        <v>4.7400000000000005E-2</v>
      </c>
    </row>
    <row r="38" spans="1:9" ht="15" thickBot="1" x14ac:dyDescent="0.4">
      <c r="A38" s="785" t="s">
        <v>951</v>
      </c>
      <c r="B38" s="1042">
        <v>3.0000000000000001E-3</v>
      </c>
      <c r="C38" s="1042">
        <v>2.0799999999999999E-2</v>
      </c>
      <c r="D38" s="1042">
        <v>4.0199999999999993E-2</v>
      </c>
    </row>
    <row r="39" spans="1:9" x14ac:dyDescent="0.35">
      <c r="G39" s="503"/>
    </row>
    <row r="40" spans="1:9" x14ac:dyDescent="0.35">
      <c r="A40" s="359" t="s">
        <v>8</v>
      </c>
      <c r="G40" s="503"/>
    </row>
    <row r="41" spans="1:9" ht="34" customHeight="1" x14ac:dyDescent="0.35">
      <c r="A41" s="1159" t="s">
        <v>753</v>
      </c>
      <c r="B41" s="1159"/>
      <c r="C41" s="1159"/>
      <c r="D41" s="1159"/>
      <c r="E41" s="1159"/>
      <c r="F41" s="1159"/>
      <c r="G41" s="1159"/>
      <c r="H41" s="1159"/>
      <c r="I41" s="1159"/>
    </row>
    <row r="42" spans="1:9" x14ac:dyDescent="0.35">
      <c r="A42" s="601" t="s">
        <v>748</v>
      </c>
    </row>
  </sheetData>
  <sheetProtection algorithmName="SHA-512" hashValue="hUJSvNTxfTl7hXXKcKYpN2Gkvtqt+viTJS33zwlbKE/CZcO1fYivWpHzN9xwY8l/lbFKxRAI675fyF7n50R5+Q==" saltValue="USJLlUBYUQreBfC/zNgzow==" spinCount="100000" sheet="1" scenarios="1" formatCells="0" formatColumns="0" formatRows="0" sort="0" autoFilter="0" pivotTables="0"/>
  <mergeCells count="3">
    <mergeCell ref="B29:D29"/>
    <mergeCell ref="A41:I41"/>
    <mergeCell ref="A21:I21"/>
  </mergeCells>
  <hyperlinks>
    <hyperlink ref="A2" location="'Table of Contents'!A1" display="Back to Table of Contents"/>
    <hyperlink ref="A22" r:id="rId1"/>
    <hyperlink ref="A42" r:id="rId2"/>
  </hyperlinks>
  <pageMargins left="0.7" right="0.7" top="0.75" bottom="0.75" header="0.3" footer="0.3"/>
  <tableParts count="2">
    <tablePart r:id="rId3"/>
    <tablePart r:id="rId4"/>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4"/>
  <sheetViews>
    <sheetView showGridLines="0" workbookViewId="0">
      <pane ySplit="2" topLeftCell="A3" activePane="bottomLeft" state="frozen"/>
      <selection pane="bottomLeft"/>
    </sheetView>
  </sheetViews>
  <sheetFormatPr defaultRowHeight="14.5" x14ac:dyDescent="0.35"/>
  <cols>
    <col min="1" max="1" width="21.26953125" customWidth="1"/>
    <col min="2" max="2" width="18" customWidth="1"/>
    <col min="3" max="3" width="14.54296875" customWidth="1"/>
    <col min="4" max="4" width="15.1796875" customWidth="1"/>
    <col min="5" max="5" width="15.36328125" customWidth="1"/>
    <col min="6" max="6" width="14.7265625" customWidth="1"/>
    <col min="7" max="7" width="15.453125" customWidth="1"/>
    <col min="8" max="8" width="16.54296875" customWidth="1"/>
    <col min="9" max="15" width="19.81640625" bestFit="1" customWidth="1"/>
    <col min="16" max="16" width="19.81640625" customWidth="1"/>
    <col min="17" max="21" width="19.81640625" bestFit="1" customWidth="1"/>
    <col min="22" max="22" width="17.26953125" bestFit="1" customWidth="1"/>
    <col min="23" max="23" width="24.7265625" bestFit="1" customWidth="1"/>
    <col min="24" max="24" width="18.7265625" bestFit="1" customWidth="1"/>
  </cols>
  <sheetData>
    <row r="1" spans="1:11" ht="15.5" x14ac:dyDescent="0.35">
      <c r="A1" s="629" t="s">
        <v>531</v>
      </c>
      <c r="B1" s="629"/>
      <c r="C1" s="629"/>
    </row>
    <row r="2" spans="1:11" ht="15.5" x14ac:dyDescent="0.35">
      <c r="A2" s="601" t="s">
        <v>509</v>
      </c>
      <c r="B2" s="609"/>
      <c r="C2" s="609"/>
    </row>
    <row r="3" spans="1:11" x14ac:dyDescent="0.35">
      <c r="A3" s="28"/>
      <c r="B3" s="28"/>
      <c r="C3" s="28"/>
      <c r="D3" s="28"/>
      <c r="E3" s="28"/>
      <c r="F3" s="28"/>
      <c r="G3" s="28"/>
      <c r="H3" s="28"/>
      <c r="I3" s="28"/>
      <c r="J3" s="28"/>
      <c r="K3" s="28"/>
    </row>
    <row r="4" spans="1:11" ht="15.75" customHeight="1" x14ac:dyDescent="0.35">
      <c r="A4" s="639" t="s">
        <v>594</v>
      </c>
      <c r="B4" s="639"/>
      <c r="C4" s="639"/>
      <c r="D4" s="639"/>
      <c r="E4" s="639"/>
      <c r="F4" s="639"/>
      <c r="G4" s="639"/>
      <c r="H4" s="639"/>
      <c r="I4" s="639"/>
      <c r="J4" s="639"/>
      <c r="K4" s="639"/>
    </row>
    <row r="5" spans="1:11" ht="15.5" x14ac:dyDescent="0.35">
      <c r="A5" t="s">
        <v>320</v>
      </c>
      <c r="B5" t="s">
        <v>703</v>
      </c>
      <c r="C5" s="612"/>
      <c r="D5" s="612"/>
      <c r="E5" s="612"/>
      <c r="F5" s="612"/>
      <c r="G5" s="612"/>
      <c r="H5" s="612"/>
      <c r="I5" s="612"/>
      <c r="J5" s="612"/>
      <c r="K5" s="612"/>
    </row>
    <row r="6" spans="1:11" ht="15.5" x14ac:dyDescent="0.35">
      <c r="A6" t="s">
        <v>321</v>
      </c>
      <c r="B6" t="s">
        <v>323</v>
      </c>
      <c r="C6" s="612"/>
      <c r="D6" s="612"/>
      <c r="E6" s="612"/>
      <c r="F6" s="612"/>
      <c r="G6" s="612"/>
      <c r="H6" s="612"/>
      <c r="I6" s="612"/>
      <c r="J6" s="612"/>
      <c r="K6" s="612"/>
    </row>
    <row r="7" spans="1:11" ht="15.5" x14ac:dyDescent="0.35">
      <c r="A7" t="s">
        <v>322</v>
      </c>
      <c r="B7" t="s">
        <v>532</v>
      </c>
      <c r="C7" s="612"/>
      <c r="D7" s="612"/>
      <c r="E7" s="612"/>
      <c r="F7" s="612"/>
      <c r="G7" s="612"/>
      <c r="H7" s="612"/>
      <c r="I7" s="612"/>
      <c r="J7" s="612"/>
      <c r="K7" s="612"/>
    </row>
    <row r="8" spans="1:11" ht="15.5" x14ac:dyDescent="0.35">
      <c r="C8" s="612"/>
      <c r="D8" s="612"/>
      <c r="E8" s="612"/>
      <c r="F8" s="612"/>
      <c r="G8" s="612"/>
      <c r="H8" s="612"/>
      <c r="I8" s="612"/>
      <c r="J8" s="612"/>
      <c r="K8" s="612"/>
    </row>
    <row r="9" spans="1:11" x14ac:dyDescent="0.35">
      <c r="C9" s="640" t="s">
        <v>977</v>
      </c>
    </row>
    <row r="10" spans="1:11" s="359" customFormat="1" ht="19" customHeight="1" x14ac:dyDescent="0.35">
      <c r="A10" s="908" t="s">
        <v>1</v>
      </c>
      <c r="B10" s="643" t="s">
        <v>343</v>
      </c>
      <c r="C10" s="643" t="s">
        <v>344</v>
      </c>
      <c r="D10" s="643" t="s">
        <v>345</v>
      </c>
      <c r="E10" s="643" t="s">
        <v>346</v>
      </c>
      <c r="F10" s="643" t="s">
        <v>347</v>
      </c>
      <c r="G10" s="643" t="s">
        <v>348</v>
      </c>
      <c r="H10" s="643" t="s">
        <v>349</v>
      </c>
    </row>
    <row r="11" spans="1:11" x14ac:dyDescent="0.35">
      <c r="A11" s="861" t="s">
        <v>194</v>
      </c>
      <c r="B11" s="789">
        <v>9522</v>
      </c>
      <c r="C11" s="789">
        <v>8378</v>
      </c>
      <c r="D11" s="789">
        <v>6148</v>
      </c>
      <c r="E11" s="789">
        <v>21422</v>
      </c>
      <c r="F11" s="789">
        <v>45974</v>
      </c>
      <c r="G11" s="789">
        <v>43449</v>
      </c>
      <c r="H11" s="930">
        <v>134893</v>
      </c>
    </row>
    <row r="12" spans="1:11" x14ac:dyDescent="0.35">
      <c r="A12" s="861" t="s">
        <v>193</v>
      </c>
      <c r="B12" s="789">
        <v>9301</v>
      </c>
      <c r="C12" s="789">
        <v>8100</v>
      </c>
      <c r="D12" s="789">
        <v>5611</v>
      </c>
      <c r="E12" s="789">
        <v>17596</v>
      </c>
      <c r="F12" s="789">
        <v>41757</v>
      </c>
      <c r="G12" s="789">
        <v>43048</v>
      </c>
      <c r="H12" s="930">
        <v>125413</v>
      </c>
    </row>
    <row r="13" spans="1:11" x14ac:dyDescent="0.35">
      <c r="A13" s="861" t="s">
        <v>192</v>
      </c>
      <c r="B13" s="789">
        <v>9270</v>
      </c>
      <c r="C13" s="789">
        <v>8385</v>
      </c>
      <c r="D13" s="789">
        <v>5779</v>
      </c>
      <c r="E13" s="789">
        <v>17567</v>
      </c>
      <c r="F13" s="789">
        <v>43991</v>
      </c>
      <c r="G13" s="789">
        <v>49733</v>
      </c>
      <c r="H13" s="930">
        <v>134725</v>
      </c>
    </row>
    <row r="14" spans="1:11" x14ac:dyDescent="0.35">
      <c r="A14" s="861" t="s">
        <v>258</v>
      </c>
      <c r="B14" s="789">
        <v>7684</v>
      </c>
      <c r="C14" s="789">
        <v>7945</v>
      </c>
      <c r="D14" s="789">
        <v>5617</v>
      </c>
      <c r="E14" s="789">
        <v>13019</v>
      </c>
      <c r="F14" s="789">
        <v>42665</v>
      </c>
      <c r="G14" s="789">
        <v>52260</v>
      </c>
      <c r="H14" s="930">
        <v>129190</v>
      </c>
    </row>
    <row r="15" spans="1:11" x14ac:dyDescent="0.35">
      <c r="A15" s="861" t="s">
        <v>242</v>
      </c>
      <c r="B15" s="789">
        <v>7694</v>
      </c>
      <c r="C15" s="789">
        <v>7954</v>
      </c>
      <c r="D15" s="789">
        <v>5364</v>
      </c>
      <c r="E15" s="789">
        <v>13881</v>
      </c>
      <c r="F15" s="789">
        <v>42205</v>
      </c>
      <c r="G15" s="789">
        <v>50848</v>
      </c>
      <c r="H15" s="930">
        <v>127946</v>
      </c>
    </row>
    <row r="16" spans="1:11" x14ac:dyDescent="0.35">
      <c r="A16" s="861" t="s">
        <v>241</v>
      </c>
      <c r="B16" s="789">
        <v>7266</v>
      </c>
      <c r="C16" s="789">
        <v>7987</v>
      </c>
      <c r="D16" s="789">
        <v>5517</v>
      </c>
      <c r="E16" s="789">
        <v>13947</v>
      </c>
      <c r="F16" s="789">
        <v>41141</v>
      </c>
      <c r="G16" s="789">
        <v>48727</v>
      </c>
      <c r="H16" s="930">
        <v>124585</v>
      </c>
    </row>
    <row r="17" spans="1:11" x14ac:dyDescent="0.35">
      <c r="A17" s="861" t="s">
        <v>773</v>
      </c>
      <c r="B17" s="789">
        <v>7040</v>
      </c>
      <c r="C17" s="789">
        <v>7889</v>
      </c>
      <c r="D17" s="789">
        <v>5512</v>
      </c>
      <c r="E17" s="789">
        <v>13665</v>
      </c>
      <c r="F17" s="789">
        <v>40173</v>
      </c>
      <c r="G17" s="789">
        <v>48769</v>
      </c>
      <c r="H17" s="930">
        <v>123048</v>
      </c>
    </row>
    <row r="18" spans="1:11" ht="15" thickBot="1" x14ac:dyDescent="0.4">
      <c r="A18" s="206" t="s">
        <v>951</v>
      </c>
      <c r="B18" s="797">
        <v>1285</v>
      </c>
      <c r="C18" s="797">
        <v>1660</v>
      </c>
      <c r="D18" s="797">
        <v>1298</v>
      </c>
      <c r="E18" s="797">
        <v>3016</v>
      </c>
      <c r="F18" s="797">
        <v>9515</v>
      </c>
      <c r="G18" s="797">
        <v>16154</v>
      </c>
      <c r="H18" s="938">
        <v>32928</v>
      </c>
    </row>
    <row r="19" spans="1:11" x14ac:dyDescent="0.35">
      <c r="A19" s="199"/>
      <c r="B19" s="199"/>
      <c r="C19" s="199"/>
      <c r="D19" s="199"/>
      <c r="E19" s="199"/>
      <c r="F19" s="199"/>
      <c r="G19" s="199"/>
      <c r="H19" s="199"/>
      <c r="I19" s="199"/>
    </row>
    <row r="20" spans="1:11" x14ac:dyDescent="0.35">
      <c r="A20" s="199" t="s">
        <v>8</v>
      </c>
      <c r="B20" s="199"/>
      <c r="C20" s="199"/>
      <c r="D20" s="199"/>
      <c r="E20" s="199"/>
      <c r="F20" s="199"/>
      <c r="G20" s="199"/>
      <c r="H20" s="199"/>
      <c r="I20" s="199"/>
    </row>
    <row r="21" spans="1:11" ht="60" customHeight="1" x14ac:dyDescent="0.35">
      <c r="A21" s="1159" t="s">
        <v>754</v>
      </c>
      <c r="B21" s="1159"/>
      <c r="C21" s="1159"/>
      <c r="D21" s="1159"/>
      <c r="E21" s="1159"/>
      <c r="F21" s="1159"/>
      <c r="G21" s="1159"/>
      <c r="H21" s="1159"/>
    </row>
    <row r="22" spans="1:11" x14ac:dyDescent="0.35">
      <c r="A22" t="s">
        <v>949</v>
      </c>
      <c r="H22" s="439"/>
    </row>
    <row r="23" spans="1:11" x14ac:dyDescent="0.35">
      <c r="H23" s="439"/>
    </row>
    <row r="24" spans="1:11" ht="15.75" customHeight="1" x14ac:dyDescent="0.35">
      <c r="A24" s="639" t="s">
        <v>593</v>
      </c>
      <c r="B24" s="639"/>
      <c r="C24" s="639"/>
      <c r="D24" s="639"/>
      <c r="E24" s="639"/>
      <c r="F24" s="639"/>
      <c r="G24" s="639"/>
      <c r="H24" s="639"/>
      <c r="I24" s="639"/>
      <c r="J24" s="639"/>
      <c r="K24" s="639"/>
    </row>
    <row r="25" spans="1:11" ht="15.5" x14ac:dyDescent="0.35">
      <c r="A25" t="s">
        <v>320</v>
      </c>
      <c r="B25" t="s">
        <v>704</v>
      </c>
      <c r="C25" s="612"/>
      <c r="D25" s="612"/>
      <c r="E25" s="612"/>
      <c r="F25" s="612"/>
      <c r="G25" s="612"/>
      <c r="H25" s="612"/>
      <c r="I25" s="612"/>
      <c r="J25" s="612"/>
      <c r="K25" s="612"/>
    </row>
    <row r="26" spans="1:11" ht="15.5" x14ac:dyDescent="0.35">
      <c r="A26" t="s">
        <v>321</v>
      </c>
      <c r="B26" t="s">
        <v>323</v>
      </c>
      <c r="C26" s="612"/>
      <c r="D26" s="612"/>
      <c r="E26" s="612"/>
      <c r="F26" s="612"/>
      <c r="G26" s="612"/>
      <c r="H26" s="612"/>
      <c r="I26" s="612"/>
      <c r="J26" s="612"/>
      <c r="K26" s="612"/>
    </row>
    <row r="27" spans="1:11" ht="15.5" x14ac:dyDescent="0.35">
      <c r="A27" t="s">
        <v>322</v>
      </c>
      <c r="B27" t="s">
        <v>532</v>
      </c>
      <c r="C27" s="612"/>
      <c r="D27" s="612"/>
      <c r="E27" s="612"/>
      <c r="F27" s="612"/>
      <c r="G27" s="612"/>
      <c r="H27" s="612"/>
      <c r="I27" s="612"/>
      <c r="J27" s="612"/>
      <c r="K27" s="612"/>
    </row>
    <row r="28" spans="1:11" ht="15.5" x14ac:dyDescent="0.35">
      <c r="C28" s="612"/>
      <c r="D28" s="612"/>
      <c r="E28" s="612"/>
      <c r="F28" s="612"/>
      <c r="G28" s="612"/>
      <c r="H28" s="612"/>
      <c r="I28" s="612"/>
      <c r="J28" s="612"/>
      <c r="K28" s="612"/>
    </row>
    <row r="29" spans="1:11" ht="15.5" x14ac:dyDescent="0.35">
      <c r="C29" s="640" t="s">
        <v>541</v>
      </c>
      <c r="D29" s="612"/>
      <c r="E29" s="612"/>
      <c r="F29" s="612"/>
      <c r="G29" s="612"/>
      <c r="H29" s="612"/>
      <c r="I29" s="612"/>
      <c r="J29" s="612"/>
      <c r="K29" s="612"/>
    </row>
    <row r="30" spans="1:11" ht="21" customHeight="1" x14ac:dyDescent="0.35">
      <c r="A30" s="784" t="s">
        <v>1</v>
      </c>
      <c r="B30" s="1044" t="s">
        <v>343</v>
      </c>
      <c r="C30" s="1044" t="s">
        <v>344</v>
      </c>
      <c r="D30" s="1044" t="s">
        <v>345</v>
      </c>
      <c r="E30" s="1044" t="s">
        <v>346</v>
      </c>
      <c r="F30" s="1044" t="s">
        <v>347</v>
      </c>
      <c r="G30" s="1044" t="s">
        <v>348</v>
      </c>
      <c r="H30" s="1044" t="s">
        <v>349</v>
      </c>
    </row>
    <row r="31" spans="1:11" x14ac:dyDescent="0.35">
      <c r="A31" s="803" t="s">
        <v>194</v>
      </c>
      <c r="B31" s="1041">
        <v>3.2383000000000002E-2</v>
      </c>
      <c r="C31" s="1041">
        <v>2.4962999999999999E-2</v>
      </c>
      <c r="D31" s="1041">
        <v>1.7888000000000001E-2</v>
      </c>
      <c r="E31" s="1041">
        <v>2.1791000000000001E-2</v>
      </c>
      <c r="F31" s="1041">
        <v>2.1170999999999999E-2</v>
      </c>
      <c r="G31" s="1041">
        <v>3.6214000000000003E-2</v>
      </c>
      <c r="H31" s="1048">
        <v>2.5319000000000001E-2</v>
      </c>
    </row>
    <row r="32" spans="1:11" x14ac:dyDescent="0.35">
      <c r="A32" s="803" t="s">
        <v>193</v>
      </c>
      <c r="B32" s="1041">
        <v>3.1868E-2</v>
      </c>
      <c r="C32" s="1041">
        <v>2.3587E-2</v>
      </c>
      <c r="D32" s="1041">
        <v>1.6718E-2</v>
      </c>
      <c r="E32" s="1041">
        <v>1.7881999999999999E-2</v>
      </c>
      <c r="F32" s="1041">
        <v>1.9206999999999998E-2</v>
      </c>
      <c r="G32" s="1041">
        <v>3.5312000000000003E-2</v>
      </c>
      <c r="H32" s="1048">
        <v>2.3451E-2</v>
      </c>
    </row>
    <row r="33" spans="1:8" x14ac:dyDescent="0.35">
      <c r="A33" s="803" t="s">
        <v>192</v>
      </c>
      <c r="B33" s="1041">
        <v>3.1836000000000003E-2</v>
      </c>
      <c r="C33" s="1041">
        <v>2.4072E-2</v>
      </c>
      <c r="D33" s="1041">
        <v>1.7430999999999999E-2</v>
      </c>
      <c r="E33" s="1041">
        <v>1.7731E-2</v>
      </c>
      <c r="F33" s="1041">
        <v>2.0205999999999998E-2</v>
      </c>
      <c r="G33" s="1041">
        <v>4.0293000000000002E-2</v>
      </c>
      <c r="H33" s="1048">
        <v>2.5073999999999999E-2</v>
      </c>
    </row>
    <row r="34" spans="1:8" x14ac:dyDescent="0.35">
      <c r="A34" s="803" t="s">
        <v>258</v>
      </c>
      <c r="B34" s="1041">
        <v>2.6744E-2</v>
      </c>
      <c r="C34" s="1041">
        <v>2.2349000000000001E-2</v>
      </c>
      <c r="D34" s="1041">
        <v>1.7017999999999998E-2</v>
      </c>
      <c r="E34" s="1041">
        <v>1.307E-2</v>
      </c>
      <c r="F34" s="1041">
        <v>1.9536999999999999E-2</v>
      </c>
      <c r="G34" s="1041">
        <v>4.1731999999999998E-2</v>
      </c>
      <c r="H34" s="1048">
        <v>2.3900999999999999E-2</v>
      </c>
    </row>
    <row r="35" spans="1:8" x14ac:dyDescent="0.35">
      <c r="A35" s="803" t="s">
        <v>242</v>
      </c>
      <c r="B35" s="1041">
        <v>2.7265999999999999E-2</v>
      </c>
      <c r="C35" s="1041">
        <v>2.2085E-2</v>
      </c>
      <c r="D35" s="1041">
        <v>1.6209000000000001E-2</v>
      </c>
      <c r="E35" s="1041">
        <v>1.3979999999999999E-2</v>
      </c>
      <c r="F35" s="1041">
        <v>1.9292E-2</v>
      </c>
      <c r="G35" s="1041">
        <v>3.9985E-2</v>
      </c>
      <c r="H35" s="1048">
        <v>2.3581999999999999E-2</v>
      </c>
    </row>
    <row r="36" spans="1:8" x14ac:dyDescent="0.35">
      <c r="A36" s="803" t="s">
        <v>241</v>
      </c>
      <c r="B36" s="1041">
        <v>2.6244E-2</v>
      </c>
      <c r="C36" s="1041">
        <v>2.2082999999999998E-2</v>
      </c>
      <c r="D36" s="1041">
        <v>1.6496E-2</v>
      </c>
      <c r="E36" s="1041">
        <v>1.4152E-2</v>
      </c>
      <c r="F36" s="1041">
        <v>1.8794000000000002E-2</v>
      </c>
      <c r="G36" s="1041">
        <v>3.7754999999999997E-2</v>
      </c>
      <c r="H36" s="1048">
        <v>2.2908999999999999E-2</v>
      </c>
    </row>
    <row r="37" spans="1:8" x14ac:dyDescent="0.35">
      <c r="A37" s="803" t="s">
        <v>773</v>
      </c>
      <c r="B37" s="1041">
        <v>2.5909000000000001E-2</v>
      </c>
      <c r="C37" s="1041">
        <v>2.1887E-2</v>
      </c>
      <c r="D37" s="1041">
        <v>1.6055E-2</v>
      </c>
      <c r="E37" s="1041">
        <v>1.3978000000000001E-2</v>
      </c>
      <c r="F37" s="1041">
        <v>1.8301999999999999E-2</v>
      </c>
      <c r="G37" s="1041">
        <v>3.7076999999999999E-2</v>
      </c>
      <c r="H37" s="1048">
        <v>2.2522E-2</v>
      </c>
    </row>
    <row r="38" spans="1:8" ht="15" thickBot="1" x14ac:dyDescent="0.4">
      <c r="A38" s="785" t="s">
        <v>951</v>
      </c>
      <c r="B38" s="1042">
        <v>4.8710000000000003E-3</v>
      </c>
      <c r="C38" s="1042">
        <v>4.6420000000000003E-3</v>
      </c>
      <c r="D38" s="1042">
        <v>3.6939999999999998E-3</v>
      </c>
      <c r="E38" s="1042">
        <v>3.127E-3</v>
      </c>
      <c r="F38" s="1042">
        <v>4.3359999999999996E-3</v>
      </c>
      <c r="G38" s="1042">
        <v>1.2102E-2</v>
      </c>
      <c r="H38" s="1049">
        <v>6.0239999999999998E-3</v>
      </c>
    </row>
    <row r="39" spans="1:8" x14ac:dyDescent="0.35">
      <c r="A39" s="542"/>
      <c r="B39" s="1043"/>
      <c r="C39" s="1043"/>
      <c r="D39" s="1043"/>
      <c r="E39" s="1043"/>
      <c r="F39" s="1043"/>
      <c r="G39" s="1043"/>
      <c r="H39" s="1043"/>
    </row>
    <row r="40" spans="1:8" x14ac:dyDescent="0.35">
      <c r="H40" s="439"/>
    </row>
    <row r="41" spans="1:8" x14ac:dyDescent="0.35">
      <c r="A41" s="359" t="s">
        <v>8</v>
      </c>
      <c r="H41" s="439"/>
    </row>
    <row r="42" spans="1:8" x14ac:dyDescent="0.35">
      <c r="A42" s="1159" t="s">
        <v>755</v>
      </c>
      <c r="B42" s="1159"/>
      <c r="C42" s="1159"/>
      <c r="D42" s="1159"/>
      <c r="E42" s="1159"/>
      <c r="F42" s="1159"/>
      <c r="G42" s="1159"/>
      <c r="H42" s="1159"/>
    </row>
    <row r="43" spans="1:8" x14ac:dyDescent="0.35">
      <c r="A43" t="s">
        <v>756</v>
      </c>
    </row>
    <row r="44" spans="1:8" x14ac:dyDescent="0.35">
      <c r="A44" s="689" t="s">
        <v>757</v>
      </c>
    </row>
  </sheetData>
  <sheetProtection algorithmName="SHA-512" hashValue="3TQgm+TeaBPdh7ltEEmL+t/ciYXJFPLNqlX6xsdOQIjikOzLTjH6FkmdhlOgI+W8PrMMmLHm9yYE7RyQBisRRQ==" saltValue="cZVXEAwOrfG8ej/lZME8LA==" spinCount="100000" sheet="1" scenarios="1" formatCells="0" formatColumns="0" formatRows="0" sort="0" autoFilter="0" pivotTables="0"/>
  <mergeCells count="2">
    <mergeCell ref="A21:H21"/>
    <mergeCell ref="A42:H42"/>
  </mergeCells>
  <hyperlinks>
    <hyperlink ref="A2" location="'Table of Contents'!A1" display="Back to Table of Contents"/>
    <hyperlink ref="A44" r:id="rId1"/>
  </hyperlinks>
  <pageMargins left="0.7" right="0.7" top="0.75" bottom="0.75" header="0.3" footer="0.3"/>
  <pageSetup paperSize="9" orientation="portrait" r:id="rId2"/>
  <tableParts count="2">
    <tablePart r:id="rId3"/>
    <tablePart r:id="rId4"/>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N31"/>
  <sheetViews>
    <sheetView showGridLines="0" workbookViewId="0">
      <pane ySplit="2" topLeftCell="A3" activePane="bottomLeft" state="frozen"/>
      <selection pane="bottomLeft"/>
    </sheetView>
  </sheetViews>
  <sheetFormatPr defaultRowHeight="14.5" x14ac:dyDescent="0.35"/>
  <cols>
    <col min="1" max="1" width="19.6328125" customWidth="1"/>
    <col min="2" max="7" width="9.7265625" bestFit="1" customWidth="1"/>
  </cols>
  <sheetData>
    <row r="1" spans="1:14" ht="15.5" x14ac:dyDescent="0.35">
      <c r="A1" s="629" t="s">
        <v>531</v>
      </c>
      <c r="B1" s="629"/>
      <c r="C1" s="629"/>
    </row>
    <row r="2" spans="1:14" ht="15.5" x14ac:dyDescent="0.35">
      <c r="A2" s="601" t="s">
        <v>509</v>
      </c>
      <c r="B2" s="742"/>
      <c r="C2" s="742"/>
    </row>
    <row r="3" spans="1:14" x14ac:dyDescent="0.35">
      <c r="A3" s="28"/>
      <c r="B3" s="28"/>
      <c r="C3" s="28"/>
    </row>
    <row r="4" spans="1:14" ht="15.5" x14ac:dyDescent="0.35">
      <c r="A4" s="639" t="s">
        <v>916</v>
      </c>
      <c r="B4" s="639"/>
      <c r="C4" s="639"/>
    </row>
    <row r="5" spans="1:14" ht="15.5" x14ac:dyDescent="0.35">
      <c r="A5" t="s">
        <v>830</v>
      </c>
      <c r="B5" s="639"/>
      <c r="C5" s="639"/>
    </row>
    <row r="6" spans="1:14" ht="15.5" x14ac:dyDescent="0.35">
      <c r="A6" t="s">
        <v>320</v>
      </c>
      <c r="B6" t="s">
        <v>917</v>
      </c>
      <c r="C6" s="745"/>
    </row>
    <row r="7" spans="1:14" ht="15.5" x14ac:dyDescent="0.35">
      <c r="A7" t="s">
        <v>321</v>
      </c>
      <c r="B7" t="s">
        <v>323</v>
      </c>
      <c r="C7" s="745"/>
      <c r="K7" s="359"/>
    </row>
    <row r="8" spans="1:14" ht="15.5" x14ac:dyDescent="0.35">
      <c r="A8" t="s">
        <v>322</v>
      </c>
      <c r="B8" t="s">
        <v>532</v>
      </c>
      <c r="C8" s="745"/>
    </row>
    <row r="9" spans="1:14" ht="22" customHeight="1" x14ac:dyDescent="0.35">
      <c r="F9" s="359"/>
      <c r="G9" s="723" t="s">
        <v>785</v>
      </c>
      <c r="L9" s="359"/>
      <c r="M9" s="359" t="s">
        <v>17441</v>
      </c>
      <c r="N9" s="359"/>
    </row>
    <row r="10" spans="1:14" ht="22" customHeight="1" x14ac:dyDescent="0.35">
      <c r="A10" s="1107" t="s">
        <v>786</v>
      </c>
      <c r="B10" s="1107" t="s">
        <v>192</v>
      </c>
      <c r="C10" s="1107" t="s">
        <v>258</v>
      </c>
      <c r="D10" s="1107" t="s">
        <v>242</v>
      </c>
      <c r="E10" s="1107" t="s">
        <v>241</v>
      </c>
      <c r="F10" s="1107" t="s">
        <v>773</v>
      </c>
      <c r="G10" s="1107" t="s">
        <v>951</v>
      </c>
      <c r="H10" s="442"/>
      <c r="I10" s="1108" t="str">
        <f>B10</f>
        <v>2015-16</v>
      </c>
      <c r="J10" s="1108" t="str">
        <f t="shared" ref="J10:M10" si="0">C10</f>
        <v>2016-17</v>
      </c>
      <c r="K10" s="1108" t="str">
        <f t="shared" si="0"/>
        <v>2017-18</v>
      </c>
      <c r="L10" s="1108" t="str">
        <f t="shared" si="0"/>
        <v>2018-19</v>
      </c>
      <c r="M10" s="1108" t="str">
        <f t="shared" si="0"/>
        <v>2019-20</v>
      </c>
      <c r="N10" s="1108" t="str">
        <f>G10</f>
        <v>2020-21</v>
      </c>
    </row>
    <row r="11" spans="1:14" x14ac:dyDescent="0.35">
      <c r="A11" s="783" t="s">
        <v>787</v>
      </c>
      <c r="B11" s="789">
        <v>8020</v>
      </c>
      <c r="C11" s="789">
        <v>7448</v>
      </c>
      <c r="D11" s="789">
        <v>7742</v>
      </c>
      <c r="E11" s="789">
        <v>9727</v>
      </c>
      <c r="F11" s="789">
        <v>10040</v>
      </c>
      <c r="G11" s="789">
        <v>2399</v>
      </c>
      <c r="I11" s="1045">
        <f>B11/B$17</f>
        <v>0.1118284367723134</v>
      </c>
      <c r="J11" s="1045">
        <f t="shared" ref="J11:N16" si="1">C11/C$17</f>
        <v>0.10519625429019364</v>
      </c>
      <c r="K11" s="1045">
        <f t="shared" si="1"/>
        <v>0.11086766622273775</v>
      </c>
      <c r="L11" s="1045">
        <f t="shared" si="1"/>
        <v>0.14055952140111558</v>
      </c>
      <c r="M11" s="1045">
        <f t="shared" si="1"/>
        <v>0.1450091713967965</v>
      </c>
      <c r="N11" s="1045">
        <f t="shared" si="1"/>
        <v>0.11890954151177199</v>
      </c>
    </row>
    <row r="12" spans="1:14" x14ac:dyDescent="0.35">
      <c r="A12" s="783" t="s">
        <v>113</v>
      </c>
      <c r="B12" s="789">
        <v>15848</v>
      </c>
      <c r="C12" s="789">
        <v>15101</v>
      </c>
      <c r="D12" s="789">
        <v>14796</v>
      </c>
      <c r="E12" s="789">
        <v>15332</v>
      </c>
      <c r="F12" s="789">
        <v>15696</v>
      </c>
      <c r="G12" s="789">
        <v>4662</v>
      </c>
      <c r="I12" s="1045">
        <f t="shared" ref="I12:I16" si="2">B12/B$17</f>
        <v>0.22097968403586318</v>
      </c>
      <c r="J12" s="1045">
        <f t="shared" si="1"/>
        <v>0.21328794791034025</v>
      </c>
      <c r="K12" s="1045">
        <f t="shared" si="1"/>
        <v>0.21188297461013017</v>
      </c>
      <c r="L12" s="1045">
        <f t="shared" si="1"/>
        <v>0.22155429033842952</v>
      </c>
      <c r="M12" s="1045">
        <f t="shared" si="1"/>
        <v>0.22669959703626674</v>
      </c>
      <c r="N12" s="1045">
        <f t="shared" si="1"/>
        <v>0.23107806691449814</v>
      </c>
    </row>
    <row r="13" spans="1:14" x14ac:dyDescent="0.35">
      <c r="A13" s="783" t="s">
        <v>788</v>
      </c>
      <c r="B13" s="789">
        <v>101</v>
      </c>
      <c r="C13" s="789">
        <v>103</v>
      </c>
      <c r="D13" s="789">
        <v>107</v>
      </c>
      <c r="E13" s="789">
        <v>622</v>
      </c>
      <c r="F13" s="789">
        <v>641</v>
      </c>
      <c r="G13" s="789">
        <v>102</v>
      </c>
      <c r="I13" s="1045">
        <f t="shared" si="2"/>
        <v>1.4083132311725254E-3</v>
      </c>
      <c r="J13" s="1045">
        <f t="shared" si="1"/>
        <v>1.4547817121227102E-3</v>
      </c>
      <c r="K13" s="1045">
        <f t="shared" si="1"/>
        <v>1.5322707679970213E-3</v>
      </c>
      <c r="L13" s="1045">
        <f t="shared" si="1"/>
        <v>8.9881795323834574E-3</v>
      </c>
      <c r="M13" s="1045">
        <f t="shared" si="1"/>
        <v>9.2580556638791403E-3</v>
      </c>
      <c r="N13" s="1045">
        <f t="shared" si="1"/>
        <v>5.0557620817843867E-3</v>
      </c>
    </row>
    <row r="14" spans="1:14" x14ac:dyDescent="0.35">
      <c r="A14" s="783" t="s">
        <v>190</v>
      </c>
      <c r="B14" s="789">
        <v>5400</v>
      </c>
      <c r="C14" s="789">
        <v>4535</v>
      </c>
      <c r="D14" s="789">
        <v>5074</v>
      </c>
      <c r="E14" s="789">
        <v>4289</v>
      </c>
      <c r="F14" s="789">
        <v>4004</v>
      </c>
      <c r="G14" s="789">
        <v>1105</v>
      </c>
      <c r="I14" s="1045">
        <f t="shared" si="2"/>
        <v>7.5295954933976603E-2</v>
      </c>
      <c r="J14" s="1045">
        <f t="shared" si="1"/>
        <v>6.405276761627661E-2</v>
      </c>
      <c r="K14" s="1045">
        <f t="shared" si="1"/>
        <v>7.266113903567184E-2</v>
      </c>
      <c r="L14" s="1045">
        <f t="shared" si="1"/>
        <v>6.1977977515100723E-2</v>
      </c>
      <c r="M14" s="1045">
        <f t="shared" si="1"/>
        <v>5.78303508239814E-2</v>
      </c>
      <c r="N14" s="1045">
        <f t="shared" si="1"/>
        <v>5.4770755885997523E-2</v>
      </c>
    </row>
    <row r="15" spans="1:14" x14ac:dyDescent="0.35">
      <c r="A15" s="783" t="s">
        <v>789</v>
      </c>
      <c r="B15" s="789">
        <v>37461</v>
      </c>
      <c r="C15" s="789">
        <v>39726</v>
      </c>
      <c r="D15" s="789">
        <v>38345</v>
      </c>
      <c r="E15" s="789">
        <v>35339</v>
      </c>
      <c r="F15" s="789">
        <v>34631</v>
      </c>
      <c r="G15" s="789">
        <v>10919</v>
      </c>
      <c r="I15" s="1045">
        <f t="shared" si="2"/>
        <v>0.52234477181142547</v>
      </c>
      <c r="J15" s="1045">
        <f t="shared" si="1"/>
        <v>0.56109376986200765</v>
      </c>
      <c r="K15" s="1045">
        <f t="shared" si="1"/>
        <v>0.54911142615743724</v>
      </c>
      <c r="L15" s="1045">
        <f t="shared" si="1"/>
        <v>0.51066443166382469</v>
      </c>
      <c r="M15" s="1045">
        <f t="shared" si="1"/>
        <v>0.50018053930701789</v>
      </c>
      <c r="N15" s="1045">
        <f t="shared" si="1"/>
        <v>0.54121437422552665</v>
      </c>
    </row>
    <row r="16" spans="1:14" x14ac:dyDescent="0.35">
      <c r="A16" s="784" t="s">
        <v>790</v>
      </c>
      <c r="B16" s="831">
        <v>4887</v>
      </c>
      <c r="C16" s="831">
        <v>3888</v>
      </c>
      <c r="D16" s="831">
        <v>3767</v>
      </c>
      <c r="E16" s="831">
        <v>3893</v>
      </c>
      <c r="F16" s="831">
        <v>4225</v>
      </c>
      <c r="G16" s="831">
        <v>988</v>
      </c>
      <c r="I16" s="1045">
        <f t="shared" si="2"/>
        <v>6.8142839215248829E-2</v>
      </c>
      <c r="J16" s="1045">
        <f t="shared" si="1"/>
        <v>5.4914478609059195E-2</v>
      </c>
      <c r="K16" s="1045">
        <f t="shared" si="1"/>
        <v>5.3944523206025975E-2</v>
      </c>
      <c r="L16" s="1045">
        <f t="shared" si="1"/>
        <v>5.6255599549145975E-2</v>
      </c>
      <c r="M16" s="1045">
        <f t="shared" si="1"/>
        <v>6.1022285772058295E-2</v>
      </c>
      <c r="N16" s="1045">
        <f t="shared" si="1"/>
        <v>4.8971499380421314E-2</v>
      </c>
    </row>
    <row r="17" spans="1:14" ht="15" thickBot="1" x14ac:dyDescent="0.4">
      <c r="A17" s="785" t="s">
        <v>26</v>
      </c>
      <c r="B17" s="938">
        <f>SUM(B11:B16)</f>
        <v>71717</v>
      </c>
      <c r="C17" s="938">
        <f t="shared" ref="C17:G17" si="3">SUM(C11:C16)</f>
        <v>70801</v>
      </c>
      <c r="D17" s="938">
        <f t="shared" si="3"/>
        <v>69831</v>
      </c>
      <c r="E17" s="938">
        <f t="shared" si="3"/>
        <v>69202</v>
      </c>
      <c r="F17" s="938">
        <f t="shared" si="3"/>
        <v>69237</v>
      </c>
      <c r="G17" s="938">
        <f t="shared" si="3"/>
        <v>20175</v>
      </c>
      <c r="H17" s="380"/>
      <c r="I17" s="1046"/>
      <c r="J17" s="1046"/>
      <c r="K17" s="1046"/>
      <c r="L17" s="1046"/>
      <c r="M17" s="1046"/>
      <c r="N17" s="1046"/>
    </row>
    <row r="20" spans="1:14" x14ac:dyDescent="0.35">
      <c r="B20" s="302"/>
    </row>
    <row r="21" spans="1:14" x14ac:dyDescent="0.35">
      <c r="B21" s="302"/>
    </row>
    <row r="22" spans="1:14" x14ac:dyDescent="0.35">
      <c r="B22" s="302"/>
    </row>
    <row r="31" spans="1:14" x14ac:dyDescent="0.35">
      <c r="I31" s="302"/>
      <c r="J31" s="302"/>
      <c r="K31" s="302"/>
    </row>
  </sheetData>
  <sheetProtection algorithmName="SHA-512" hashValue="YiyF/P/hG136VPYeDkMoPpPrR2G8RFOdzL2jkUFag2SnVdITKm7P0qGXuCNgOr3zRDqtBxz9aOz2+RYSXZwNoQ==" saltValue="hUrjJ4c0N2swJvh+Fv1JQA==" spinCount="100000" sheet="1" scenarios="1" formatCells="0" formatColumns="0" formatRows="0" sort="0" autoFilter="0" pivotTables="0"/>
  <sortState ref="C2:H22">
    <sortCondition ref="C1"/>
  </sortState>
  <hyperlinks>
    <hyperlink ref="A2" location="'Table of Contents'!A1" display="Back to Table of Contents"/>
  </hyperlinks>
  <pageMargins left="0.7" right="0.7" top="0.75" bottom="0.75" header="0.3" footer="0.3"/>
  <pageSetup paperSize="9" orientation="portrait"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2"/>
  <sheetViews>
    <sheetView showGridLines="0" workbookViewId="0">
      <pane ySplit="2" topLeftCell="A3" activePane="bottomLeft" state="frozen"/>
      <selection pane="bottomLeft"/>
    </sheetView>
  </sheetViews>
  <sheetFormatPr defaultColWidth="9.26953125" defaultRowHeight="14.5" x14ac:dyDescent="0.35"/>
  <cols>
    <col min="1" max="1" width="22.81640625" customWidth="1"/>
    <col min="2" max="2" width="19.81640625" bestFit="1" customWidth="1"/>
    <col min="3" max="3" width="22.453125" customWidth="1"/>
    <col min="4" max="4" width="25.36328125" customWidth="1"/>
    <col min="5" max="5" width="24.6328125" customWidth="1"/>
    <col min="6" max="6" width="21.6328125" customWidth="1"/>
    <col min="7" max="7" width="26.36328125" customWidth="1"/>
    <col min="8" max="8" width="23.81640625" customWidth="1"/>
  </cols>
  <sheetData>
    <row r="1" spans="1:11" ht="15.5" x14ac:dyDescent="0.35">
      <c r="A1" s="629" t="s">
        <v>531</v>
      </c>
      <c r="B1" s="629"/>
      <c r="C1" s="629"/>
    </row>
    <row r="2" spans="1:11" ht="15.5" x14ac:dyDescent="0.35">
      <c r="A2" s="601" t="s">
        <v>509</v>
      </c>
      <c r="B2" s="609"/>
      <c r="C2" s="609"/>
    </row>
    <row r="3" spans="1:11" x14ac:dyDescent="0.35">
      <c r="A3" s="28"/>
      <c r="B3" s="28"/>
      <c r="C3" s="28"/>
      <c r="D3" s="28"/>
      <c r="E3" s="28"/>
      <c r="F3" s="28"/>
      <c r="G3" s="28"/>
      <c r="H3" s="28"/>
      <c r="I3" s="28"/>
      <c r="J3" s="28"/>
      <c r="K3" s="28"/>
    </row>
    <row r="4" spans="1:11" ht="15.5" x14ac:dyDescent="0.35">
      <c r="A4" s="639" t="s">
        <v>542</v>
      </c>
      <c r="B4" s="639"/>
      <c r="C4" s="639"/>
      <c r="D4" s="639"/>
      <c r="E4" s="639"/>
      <c r="F4" s="639"/>
      <c r="G4" s="639"/>
      <c r="H4" s="639"/>
      <c r="I4" s="639"/>
      <c r="J4" s="639"/>
      <c r="K4" s="639"/>
    </row>
    <row r="5" spans="1:11" ht="15.5" x14ac:dyDescent="0.35">
      <c r="A5" t="s">
        <v>320</v>
      </c>
      <c r="B5" t="s">
        <v>705</v>
      </c>
      <c r="C5" s="612"/>
      <c r="D5" s="612"/>
      <c r="E5" s="612"/>
      <c r="F5" s="612"/>
      <c r="G5" s="612"/>
      <c r="H5" s="612"/>
      <c r="I5" s="612"/>
      <c r="J5" s="612"/>
      <c r="K5" s="612"/>
    </row>
    <row r="6" spans="1:11" ht="15.5" x14ac:dyDescent="0.35">
      <c r="A6" t="s">
        <v>321</v>
      </c>
      <c r="B6" t="s">
        <v>323</v>
      </c>
      <c r="C6" s="612"/>
      <c r="D6" s="612"/>
      <c r="E6" s="612"/>
      <c r="F6" s="612"/>
      <c r="G6" s="612"/>
      <c r="H6" s="612"/>
      <c r="I6" s="612"/>
      <c r="J6" s="612"/>
      <c r="K6" s="612"/>
    </row>
    <row r="7" spans="1:11" ht="15.5" x14ac:dyDescent="0.35">
      <c r="A7" t="s">
        <v>322</v>
      </c>
      <c r="B7" t="s">
        <v>760</v>
      </c>
      <c r="C7" s="612"/>
      <c r="D7" s="612"/>
      <c r="E7" s="612"/>
      <c r="F7" s="612"/>
      <c r="G7" s="612"/>
      <c r="H7" s="612"/>
      <c r="I7" s="612"/>
      <c r="J7" s="612"/>
      <c r="K7" s="612"/>
    </row>
    <row r="9" spans="1:11" x14ac:dyDescent="0.35">
      <c r="D9" s="645" t="s">
        <v>543</v>
      </c>
    </row>
    <row r="10" spans="1:11" s="359" customFormat="1" ht="21.5" customHeight="1" x14ac:dyDescent="0.35">
      <c r="A10" s="642" t="s">
        <v>1</v>
      </c>
      <c r="B10" s="528" t="s">
        <v>358</v>
      </c>
      <c r="C10" s="528" t="s">
        <v>962</v>
      </c>
      <c r="D10" s="528" t="s">
        <v>963</v>
      </c>
      <c r="E10" s="528" t="s">
        <v>964</v>
      </c>
      <c r="F10" s="528" t="s">
        <v>359</v>
      </c>
      <c r="G10" s="528" t="s">
        <v>405</v>
      </c>
    </row>
    <row r="11" spans="1:11" x14ac:dyDescent="0.35">
      <c r="A11" s="359" t="s">
        <v>193</v>
      </c>
      <c r="B11" s="789">
        <v>17883</v>
      </c>
      <c r="C11" s="789">
        <v>15938</v>
      </c>
      <c r="D11" s="789">
        <v>12820</v>
      </c>
      <c r="E11" s="789">
        <v>10359</v>
      </c>
      <c r="F11" s="789">
        <v>8715</v>
      </c>
      <c r="G11" s="930">
        <v>65715</v>
      </c>
    </row>
    <row r="12" spans="1:11" x14ac:dyDescent="0.35">
      <c r="A12" s="359" t="s">
        <v>192</v>
      </c>
      <c r="B12" s="789">
        <v>18993</v>
      </c>
      <c r="C12" s="789">
        <v>17419</v>
      </c>
      <c r="D12" s="789">
        <v>14153</v>
      </c>
      <c r="E12" s="789">
        <v>11858</v>
      </c>
      <c r="F12" s="789">
        <v>9294</v>
      </c>
      <c r="G12" s="930">
        <v>71717</v>
      </c>
    </row>
    <row r="13" spans="1:11" x14ac:dyDescent="0.35">
      <c r="A13" s="359" t="s">
        <v>258</v>
      </c>
      <c r="B13" s="789">
        <v>17707</v>
      </c>
      <c r="C13" s="789">
        <v>16801</v>
      </c>
      <c r="D13" s="789">
        <v>14140</v>
      </c>
      <c r="E13" s="789">
        <v>12512</v>
      </c>
      <c r="F13" s="789">
        <v>9641</v>
      </c>
      <c r="G13" s="930">
        <v>70801</v>
      </c>
    </row>
    <row r="14" spans="1:11" x14ac:dyDescent="0.35">
      <c r="A14" s="359" t="s">
        <v>242</v>
      </c>
      <c r="B14" s="789">
        <v>18513</v>
      </c>
      <c r="C14" s="789">
        <v>16350</v>
      </c>
      <c r="D14" s="789">
        <v>13755</v>
      </c>
      <c r="E14" s="789">
        <v>11983</v>
      </c>
      <c r="F14" s="789">
        <v>9230</v>
      </c>
      <c r="G14" s="930">
        <v>69831</v>
      </c>
    </row>
    <row r="15" spans="1:11" x14ac:dyDescent="0.35">
      <c r="A15" s="359" t="s">
        <v>241</v>
      </c>
      <c r="B15" s="789">
        <v>19491</v>
      </c>
      <c r="C15" s="789">
        <v>16489</v>
      </c>
      <c r="D15" s="789">
        <v>13423</v>
      </c>
      <c r="E15" s="789">
        <v>10933</v>
      </c>
      <c r="F15" s="789">
        <v>8866</v>
      </c>
      <c r="G15" s="930">
        <v>69202</v>
      </c>
    </row>
    <row r="16" spans="1:11" x14ac:dyDescent="0.35">
      <c r="A16" s="597" t="s">
        <v>773</v>
      </c>
      <c r="B16" s="906">
        <v>19688</v>
      </c>
      <c r="C16" s="906">
        <v>16060</v>
      </c>
      <c r="D16" s="906">
        <v>13387</v>
      </c>
      <c r="E16" s="906">
        <v>11358</v>
      </c>
      <c r="F16" s="906">
        <v>8743</v>
      </c>
      <c r="G16" s="934">
        <v>69236</v>
      </c>
    </row>
    <row r="17" spans="1:11" ht="15" thickBot="1" x14ac:dyDescent="0.4">
      <c r="A17" s="641" t="s">
        <v>951</v>
      </c>
      <c r="B17" s="797">
        <v>5620</v>
      </c>
      <c r="C17" s="797">
        <v>4841</v>
      </c>
      <c r="D17" s="797">
        <v>3809</v>
      </c>
      <c r="E17" s="797">
        <v>3327</v>
      </c>
      <c r="F17" s="797">
        <v>2565</v>
      </c>
      <c r="G17" s="938">
        <v>20162</v>
      </c>
    </row>
    <row r="18" spans="1:11" x14ac:dyDescent="0.35">
      <c r="A18" s="542"/>
      <c r="B18" s="542"/>
      <c r="C18" s="542"/>
      <c r="D18" s="542"/>
      <c r="E18" s="542"/>
      <c r="F18" s="542"/>
      <c r="G18" s="542"/>
    </row>
    <row r="19" spans="1:11" x14ac:dyDescent="0.35">
      <c r="A19" s="359" t="s">
        <v>8</v>
      </c>
    </row>
    <row r="20" spans="1:11" x14ac:dyDescent="0.35">
      <c r="A20" s="382" t="s">
        <v>759</v>
      </c>
    </row>
    <row r="21" spans="1:11" x14ac:dyDescent="0.35">
      <c r="A21" s="689" t="s">
        <v>758</v>
      </c>
    </row>
    <row r="22" spans="1:11" x14ac:dyDescent="0.35">
      <c r="A22" s="689"/>
    </row>
    <row r="23" spans="1:11" x14ac:dyDescent="0.35">
      <c r="A23" s="690"/>
    </row>
    <row r="24" spans="1:11" ht="15.75" customHeight="1" x14ac:dyDescent="0.35">
      <c r="A24" s="639" t="s">
        <v>595</v>
      </c>
      <c r="B24" s="639"/>
      <c r="C24" s="639"/>
      <c r="D24" s="639"/>
      <c r="E24" s="639"/>
      <c r="F24" s="639"/>
      <c r="G24" s="639"/>
      <c r="H24" s="639"/>
      <c r="I24" s="639"/>
      <c r="J24" s="639"/>
      <c r="K24" s="639"/>
    </row>
    <row r="25" spans="1:11" ht="15.5" x14ac:dyDescent="0.35">
      <c r="A25" t="s">
        <v>320</v>
      </c>
      <c r="B25" t="s">
        <v>706</v>
      </c>
      <c r="C25" s="612"/>
      <c r="D25" s="612"/>
      <c r="E25" s="612"/>
      <c r="F25" s="612"/>
      <c r="G25" s="612"/>
      <c r="H25" s="612"/>
      <c r="I25" s="612"/>
      <c r="J25" s="612"/>
      <c r="K25" s="612"/>
    </row>
    <row r="26" spans="1:11" ht="15.5" x14ac:dyDescent="0.35">
      <c r="A26" t="s">
        <v>321</v>
      </c>
      <c r="B26" t="s">
        <v>323</v>
      </c>
      <c r="C26" s="612"/>
      <c r="D26" s="612"/>
      <c r="E26" s="612"/>
      <c r="F26" s="612"/>
      <c r="G26" s="612"/>
      <c r="H26" s="612"/>
      <c r="I26" s="612"/>
      <c r="J26" s="612"/>
      <c r="K26" s="612"/>
    </row>
    <row r="27" spans="1:11" ht="15.5" x14ac:dyDescent="0.35">
      <c r="A27" t="s">
        <v>322</v>
      </c>
      <c r="B27" t="s">
        <v>760</v>
      </c>
      <c r="C27" s="612"/>
      <c r="D27" s="612"/>
      <c r="E27" s="612"/>
      <c r="F27" s="612"/>
      <c r="G27" s="612"/>
      <c r="H27" s="612"/>
      <c r="I27" s="612"/>
      <c r="J27" s="612"/>
      <c r="K27" s="612"/>
    </row>
    <row r="29" spans="1:11" x14ac:dyDescent="0.35">
      <c r="A29" s="359"/>
      <c r="C29" s="644"/>
      <c r="D29" s="646" t="s">
        <v>544</v>
      </c>
      <c r="E29" s="644"/>
      <c r="F29" s="644"/>
      <c r="G29" s="644"/>
    </row>
    <row r="30" spans="1:11" ht="23" customHeight="1" x14ac:dyDescent="0.35">
      <c r="A30" s="1047" t="s">
        <v>1</v>
      </c>
      <c r="B30" s="848" t="s">
        <v>358</v>
      </c>
      <c r="C30" s="848" t="s">
        <v>962</v>
      </c>
      <c r="D30" s="848" t="s">
        <v>963</v>
      </c>
      <c r="E30" s="848" t="s">
        <v>964</v>
      </c>
      <c r="F30" s="848" t="s">
        <v>359</v>
      </c>
      <c r="G30" s="848" t="s">
        <v>405</v>
      </c>
    </row>
    <row r="31" spans="1:11" x14ac:dyDescent="0.35">
      <c r="A31" s="783" t="s">
        <v>193</v>
      </c>
      <c r="B31" s="995">
        <v>3.4000000000000002E-2</v>
      </c>
      <c r="C31" s="995">
        <v>3.2000000000000001E-2</v>
      </c>
      <c r="D31" s="995">
        <v>2.6000000000000002E-2</v>
      </c>
      <c r="E31" s="995">
        <v>2.2000000000000002E-2</v>
      </c>
      <c r="F31" s="995">
        <v>1.9E-2</v>
      </c>
      <c r="G31" s="1050">
        <v>2.7000000000000003E-2</v>
      </c>
    </row>
    <row r="32" spans="1:11" x14ac:dyDescent="0.35">
      <c r="A32" s="783" t="s">
        <v>192</v>
      </c>
      <c r="B32" s="995">
        <v>3.6000000000000004E-2</v>
      </c>
      <c r="C32" s="995">
        <v>3.4000000000000002E-2</v>
      </c>
      <c r="D32" s="995">
        <v>2.8999999999999998E-2</v>
      </c>
      <c r="E32" s="995">
        <v>2.5000000000000001E-2</v>
      </c>
      <c r="F32" s="995">
        <v>2.1000000000000001E-2</v>
      </c>
      <c r="G32" s="1050">
        <v>2.8999999999999998E-2</v>
      </c>
    </row>
    <row r="33" spans="1:7" x14ac:dyDescent="0.35">
      <c r="A33" s="783" t="s">
        <v>258</v>
      </c>
      <c r="B33" s="995">
        <v>3.3000000000000002E-2</v>
      </c>
      <c r="C33" s="995">
        <v>3.3000000000000002E-2</v>
      </c>
      <c r="D33" s="995">
        <v>2.8999999999999998E-2</v>
      </c>
      <c r="E33" s="995">
        <v>2.6000000000000002E-2</v>
      </c>
      <c r="F33" s="995">
        <v>2.1000000000000001E-2</v>
      </c>
      <c r="G33" s="1050">
        <v>2.8999999999999998E-2</v>
      </c>
    </row>
    <row r="34" spans="1:7" x14ac:dyDescent="0.35">
      <c r="A34" s="783" t="s">
        <v>242</v>
      </c>
      <c r="B34" s="995">
        <v>3.5000000000000003E-2</v>
      </c>
      <c r="C34" s="995">
        <v>3.2000000000000001E-2</v>
      </c>
      <c r="D34" s="995">
        <v>2.7999999999999997E-2</v>
      </c>
      <c r="E34" s="995">
        <v>2.5000000000000001E-2</v>
      </c>
      <c r="F34" s="995">
        <v>0.02</v>
      </c>
      <c r="G34" s="1050">
        <v>2.7999999999999997E-2</v>
      </c>
    </row>
    <row r="35" spans="1:7" x14ac:dyDescent="0.35">
      <c r="A35" s="783" t="s">
        <v>241</v>
      </c>
      <c r="B35" s="995">
        <v>3.6000000000000004E-2</v>
      </c>
      <c r="C35" s="995">
        <v>3.2000000000000001E-2</v>
      </c>
      <c r="D35" s="995">
        <v>2.7000000000000003E-2</v>
      </c>
      <c r="E35" s="995">
        <v>2.2000000000000002E-2</v>
      </c>
      <c r="F35" s="995">
        <v>1.9E-2</v>
      </c>
      <c r="G35" s="1050">
        <v>2.7999999999999997E-2</v>
      </c>
    </row>
    <row r="36" spans="1:7" x14ac:dyDescent="0.35">
      <c r="A36" s="783" t="s">
        <v>773</v>
      </c>
      <c r="B36" s="995">
        <v>3.7000000000000005E-2</v>
      </c>
      <c r="C36" s="995">
        <v>3.1E-2</v>
      </c>
      <c r="D36" s="995">
        <v>2.7000000000000003E-2</v>
      </c>
      <c r="E36" s="995">
        <v>2.3E-2</v>
      </c>
      <c r="F36" s="995">
        <v>1.9E-2</v>
      </c>
      <c r="G36" s="1050">
        <v>2.7000000000000003E-2</v>
      </c>
    </row>
    <row r="37" spans="1:7" ht="15" thickBot="1" x14ac:dyDescent="0.4">
      <c r="A37" s="785" t="s">
        <v>951</v>
      </c>
      <c r="B37" s="1042">
        <v>0.01</v>
      </c>
      <c r="C37" s="1042">
        <v>9.0000000000000011E-3</v>
      </c>
      <c r="D37" s="1042">
        <v>8.0000000000000002E-3</v>
      </c>
      <c r="E37" s="1042">
        <v>6.9999999999999993E-3</v>
      </c>
      <c r="F37" s="1042">
        <v>5.0000000000000001E-3</v>
      </c>
      <c r="G37" s="1049">
        <v>8.0000000000000002E-3</v>
      </c>
    </row>
    <row r="38" spans="1:7" x14ac:dyDescent="0.35">
      <c r="A38" s="542"/>
      <c r="B38" s="542"/>
      <c r="C38" s="542"/>
      <c r="D38" s="542"/>
      <c r="E38" s="542"/>
      <c r="F38" s="542"/>
      <c r="G38" s="542"/>
    </row>
    <row r="39" spans="1:7" x14ac:dyDescent="0.35">
      <c r="A39" s="359" t="s">
        <v>8</v>
      </c>
    </row>
    <row r="40" spans="1:7" ht="15.75" customHeight="1" x14ac:dyDescent="0.35">
      <c r="A40" s="382" t="s">
        <v>762</v>
      </c>
    </row>
    <row r="41" spans="1:7" x14ac:dyDescent="0.35">
      <c r="A41" s="689" t="s">
        <v>758</v>
      </c>
    </row>
    <row r="42" spans="1:7" x14ac:dyDescent="0.35">
      <c r="A42" s="601" t="s">
        <v>763</v>
      </c>
    </row>
  </sheetData>
  <sheetProtection algorithmName="SHA-512" hashValue="Hm4TqCt+SySaXzoUgfWTw6unrz4s5iaeu3BOCPMrpaRyjleEq2cCfggKWda7Qd3ZXfq8fi6FyoEYSdO2NRYalg==" saltValue="fiSRQd2P8nDV4SV9SUL4Fg==" spinCount="100000" sheet="1" scenarios="1" formatCells="0" formatColumns="0" formatRows="0" sort="0" autoFilter="0" pivotTables="0"/>
  <hyperlinks>
    <hyperlink ref="A2" location="'Table of Contents'!A1" display="Back to Table of Contents"/>
    <hyperlink ref="A21" r:id="rId1"/>
    <hyperlink ref="A41" r:id="rId2"/>
    <hyperlink ref="A42" r:id="rId3"/>
  </hyperlinks>
  <pageMargins left="0.7" right="0.7" top="0.75" bottom="0.75" header="0.3" footer="0.3"/>
  <pageSetup paperSize="9" orientation="portrait" r:id="rId4"/>
  <tableParts count="2">
    <tablePart r:id="rId5"/>
    <tablePart r:id="rId6"/>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3"/>
  <sheetViews>
    <sheetView showGridLines="0" workbookViewId="0">
      <pane ySplit="2" topLeftCell="A3" activePane="bottomLeft" state="frozen"/>
      <selection pane="bottomLeft"/>
    </sheetView>
  </sheetViews>
  <sheetFormatPr defaultColWidth="9.26953125" defaultRowHeight="14.5" x14ac:dyDescent="0.35"/>
  <cols>
    <col min="1" max="1" width="22.90625" customWidth="1"/>
    <col min="2" max="2" width="21.90625" customWidth="1"/>
    <col min="3" max="3" width="22" customWidth="1"/>
    <col min="4" max="4" width="24.36328125" customWidth="1"/>
    <col min="5" max="5" width="25.08984375" customWidth="1"/>
    <col min="6" max="6" width="24.1796875" customWidth="1"/>
    <col min="7" max="7" width="15.54296875" customWidth="1"/>
    <col min="8" max="8" width="23.81640625" customWidth="1"/>
  </cols>
  <sheetData>
    <row r="1" spans="1:11" ht="15.5" x14ac:dyDescent="0.35">
      <c r="A1" s="629" t="s">
        <v>531</v>
      </c>
      <c r="B1" s="629"/>
      <c r="C1" s="629"/>
    </row>
    <row r="2" spans="1:11" ht="15.5" x14ac:dyDescent="0.35">
      <c r="A2" s="601" t="s">
        <v>509</v>
      </c>
      <c r="B2" s="742"/>
      <c r="C2" s="742"/>
    </row>
    <row r="3" spans="1:11" x14ac:dyDescent="0.35">
      <c r="A3" s="28"/>
      <c r="B3" s="28"/>
      <c r="C3" s="28"/>
      <c r="D3" s="28"/>
      <c r="E3" s="28"/>
      <c r="F3" s="28"/>
      <c r="G3" s="28"/>
      <c r="H3" s="28"/>
      <c r="I3" s="28"/>
      <c r="J3" s="28"/>
      <c r="K3" s="28"/>
    </row>
    <row r="4" spans="1:11" ht="15.5" x14ac:dyDescent="0.35">
      <c r="A4" s="639" t="s">
        <v>918</v>
      </c>
      <c r="B4" s="639"/>
      <c r="C4" s="639"/>
      <c r="D4" s="639"/>
      <c r="E4" s="639"/>
      <c r="F4" s="639"/>
      <c r="G4" s="639"/>
      <c r="H4" s="639"/>
      <c r="I4" s="639"/>
      <c r="J4" s="639"/>
      <c r="K4" s="639"/>
    </row>
    <row r="5" spans="1:11" ht="15.5" x14ac:dyDescent="0.35">
      <c r="A5" t="s">
        <v>830</v>
      </c>
      <c r="B5" s="745"/>
      <c r="C5" s="745"/>
      <c r="D5" s="745"/>
      <c r="E5" s="745"/>
      <c r="F5" s="745"/>
      <c r="G5" s="745"/>
      <c r="H5" s="745"/>
      <c r="I5" s="745"/>
      <c r="J5" s="745"/>
      <c r="K5" s="745"/>
    </row>
    <row r="6" spans="1:11" ht="15.5" x14ac:dyDescent="0.35">
      <c r="A6" t="s">
        <v>320</v>
      </c>
      <c r="B6" t="s">
        <v>933</v>
      </c>
      <c r="C6" s="745"/>
      <c r="D6" s="745"/>
      <c r="E6" s="745"/>
      <c r="F6" s="745"/>
      <c r="G6" s="745"/>
      <c r="H6" s="745"/>
      <c r="I6" s="745"/>
      <c r="J6" s="745"/>
      <c r="K6" s="745"/>
    </row>
    <row r="7" spans="1:11" ht="15.5" x14ac:dyDescent="0.35">
      <c r="A7" t="s">
        <v>321</v>
      </c>
      <c r="B7" t="s">
        <v>323</v>
      </c>
      <c r="C7" s="745"/>
      <c r="D7" s="745"/>
      <c r="E7" s="745"/>
      <c r="F7" s="745"/>
      <c r="G7" s="745"/>
      <c r="H7" s="745"/>
      <c r="I7" s="745"/>
      <c r="J7" s="745"/>
      <c r="K7" s="745"/>
    </row>
    <row r="8" spans="1:11" ht="15.5" x14ac:dyDescent="0.35">
      <c r="A8" t="s">
        <v>322</v>
      </c>
      <c r="B8" t="s">
        <v>760</v>
      </c>
      <c r="C8" s="745"/>
      <c r="D8" s="745"/>
      <c r="E8" s="745"/>
      <c r="F8" s="745"/>
      <c r="G8" s="745"/>
      <c r="H8" s="745"/>
      <c r="I8" s="745"/>
      <c r="J8" s="745"/>
      <c r="K8" s="745"/>
    </row>
    <row r="10" spans="1:11" x14ac:dyDescent="0.35">
      <c r="B10" s="617"/>
      <c r="C10" s="617"/>
      <c r="D10" s="646" t="s">
        <v>920</v>
      </c>
      <c r="E10" s="617"/>
      <c r="F10" s="617"/>
      <c r="G10" s="617"/>
    </row>
    <row r="11" spans="1:11" s="359" customFormat="1" x14ac:dyDescent="0.35">
      <c r="A11" s="642" t="s">
        <v>1</v>
      </c>
      <c r="B11" s="643" t="s">
        <v>358</v>
      </c>
      <c r="C11" s="643" t="s">
        <v>962</v>
      </c>
      <c r="D11" s="643" t="s">
        <v>963</v>
      </c>
      <c r="E11" s="643" t="s">
        <v>964</v>
      </c>
      <c r="F11" s="643" t="s">
        <v>359</v>
      </c>
      <c r="G11" s="643" t="s">
        <v>405</v>
      </c>
    </row>
    <row r="12" spans="1:11" x14ac:dyDescent="0.35">
      <c r="A12" s="359" t="s">
        <v>193</v>
      </c>
      <c r="B12" s="958">
        <v>5932</v>
      </c>
      <c r="C12" s="958">
        <v>6245</v>
      </c>
      <c r="D12" s="958">
        <v>5330</v>
      </c>
      <c r="E12" s="958">
        <v>4909</v>
      </c>
      <c r="F12" s="958">
        <v>4570</v>
      </c>
      <c r="G12" s="959">
        <v>26986</v>
      </c>
    </row>
    <row r="13" spans="1:11" x14ac:dyDescent="0.35">
      <c r="A13" s="359" t="s">
        <v>192</v>
      </c>
      <c r="B13" s="958">
        <v>5981</v>
      </c>
      <c r="C13" s="958">
        <v>6505</v>
      </c>
      <c r="D13" s="958">
        <v>5846</v>
      </c>
      <c r="E13" s="958">
        <v>5342</v>
      </c>
      <c r="F13" s="958">
        <v>4664</v>
      </c>
      <c r="G13" s="959">
        <v>28338</v>
      </c>
    </row>
    <row r="14" spans="1:11" x14ac:dyDescent="0.35">
      <c r="A14" s="359" t="s">
        <v>258</v>
      </c>
      <c r="B14" s="958">
        <v>5807</v>
      </c>
      <c r="C14" s="958">
        <v>6558</v>
      </c>
      <c r="D14" s="958">
        <v>5955</v>
      </c>
      <c r="E14" s="958">
        <v>5629</v>
      </c>
      <c r="F14" s="958">
        <v>5067</v>
      </c>
      <c r="G14" s="959">
        <v>29016</v>
      </c>
    </row>
    <row r="15" spans="1:11" x14ac:dyDescent="0.35">
      <c r="A15" s="597" t="s">
        <v>242</v>
      </c>
      <c r="B15" s="1092">
        <v>5580</v>
      </c>
      <c r="C15" s="1092">
        <v>6276</v>
      </c>
      <c r="D15" s="1092">
        <v>5701</v>
      </c>
      <c r="E15" s="1092">
        <v>5371</v>
      </c>
      <c r="F15" s="1092">
        <v>4825</v>
      </c>
      <c r="G15" s="1093">
        <v>27753</v>
      </c>
    </row>
    <row r="16" spans="1:11" x14ac:dyDescent="0.35">
      <c r="A16" s="597" t="s">
        <v>241</v>
      </c>
      <c r="B16" s="1092">
        <v>5167</v>
      </c>
      <c r="C16" s="1092">
        <v>5592</v>
      </c>
      <c r="D16" s="1092">
        <v>5025</v>
      </c>
      <c r="E16" s="1092">
        <v>4486</v>
      </c>
      <c r="F16" s="1092">
        <v>4192</v>
      </c>
      <c r="G16" s="1093">
        <v>24462</v>
      </c>
    </row>
    <row r="17" spans="1:11" x14ac:dyDescent="0.35">
      <c r="A17" s="597" t="s">
        <v>773</v>
      </c>
      <c r="B17" s="906">
        <v>4672</v>
      </c>
      <c r="C17" s="906">
        <v>5076</v>
      </c>
      <c r="D17" s="906">
        <v>4524</v>
      </c>
      <c r="E17" s="906">
        <v>4212</v>
      </c>
      <c r="F17" s="906">
        <v>3808</v>
      </c>
      <c r="G17" s="934">
        <v>22292</v>
      </c>
    </row>
    <row r="18" spans="1:11" ht="15" thickBot="1" x14ac:dyDescent="0.4">
      <c r="A18" s="641" t="s">
        <v>951</v>
      </c>
      <c r="B18" s="797">
        <v>1697</v>
      </c>
      <c r="C18" s="797">
        <v>1703</v>
      </c>
      <c r="D18" s="797">
        <v>1492</v>
      </c>
      <c r="E18" s="797">
        <v>1490</v>
      </c>
      <c r="F18" s="797">
        <v>1319</v>
      </c>
      <c r="G18" s="938">
        <v>7701</v>
      </c>
    </row>
    <row r="20" spans="1:11" x14ac:dyDescent="0.35">
      <c r="A20" s="359" t="s">
        <v>8</v>
      </c>
    </row>
    <row r="21" spans="1:11" ht="15.75" customHeight="1" x14ac:dyDescent="0.35">
      <c r="A21" s="382" t="s">
        <v>926</v>
      </c>
      <c r="H21" s="639"/>
      <c r="I21" s="639"/>
      <c r="J21" s="639"/>
      <c r="K21" s="639"/>
    </row>
    <row r="22" spans="1:11" ht="15.5" x14ac:dyDescent="0.35">
      <c r="A22" s="689" t="s">
        <v>758</v>
      </c>
      <c r="H22" s="745"/>
      <c r="I22" s="745"/>
      <c r="J22" s="745"/>
      <c r="K22" s="745"/>
    </row>
    <row r="23" spans="1:11" ht="15.5" x14ac:dyDescent="0.35">
      <c r="A23" s="690"/>
      <c r="H23" s="745"/>
      <c r="I23" s="745"/>
      <c r="J23" s="745"/>
      <c r="K23" s="745"/>
    </row>
    <row r="24" spans="1:11" ht="15.5" x14ac:dyDescent="0.35">
      <c r="A24" s="639" t="s">
        <v>919</v>
      </c>
      <c r="B24" s="639"/>
      <c r="C24" s="639"/>
      <c r="D24" s="639"/>
      <c r="E24" s="639"/>
      <c r="F24" s="639"/>
      <c r="G24" s="639"/>
      <c r="H24" s="745"/>
      <c r="I24" s="745"/>
      <c r="J24" s="745"/>
      <c r="K24" s="745"/>
    </row>
    <row r="25" spans="1:11" ht="15.5" x14ac:dyDescent="0.35">
      <c r="A25" t="s">
        <v>830</v>
      </c>
      <c r="B25" s="745"/>
      <c r="C25" s="745"/>
      <c r="D25" s="745"/>
      <c r="E25" s="745"/>
      <c r="F25" s="745"/>
      <c r="G25" s="745"/>
      <c r="H25" s="745"/>
      <c r="I25" s="745"/>
      <c r="J25" s="745"/>
      <c r="K25" s="745"/>
    </row>
    <row r="26" spans="1:11" ht="15.5" x14ac:dyDescent="0.35">
      <c r="A26" t="s">
        <v>320</v>
      </c>
      <c r="B26" t="s">
        <v>934</v>
      </c>
      <c r="C26" s="745"/>
      <c r="D26" s="745"/>
      <c r="E26" s="745"/>
      <c r="F26" s="745"/>
      <c r="G26" s="745"/>
    </row>
    <row r="27" spans="1:11" ht="15.5" x14ac:dyDescent="0.35">
      <c r="A27" t="s">
        <v>321</v>
      </c>
      <c r="B27" t="s">
        <v>323</v>
      </c>
      <c r="C27" s="745"/>
      <c r="D27" s="745"/>
      <c r="E27" s="745"/>
      <c r="F27" s="745"/>
      <c r="G27" s="745"/>
    </row>
    <row r="28" spans="1:11" ht="15.5" x14ac:dyDescent="0.35">
      <c r="A28" t="s">
        <v>322</v>
      </c>
      <c r="B28" t="s">
        <v>760</v>
      </c>
      <c r="C28" s="745"/>
      <c r="D28" s="745"/>
      <c r="E28" s="745"/>
      <c r="F28" s="745"/>
      <c r="G28" s="745"/>
    </row>
    <row r="29" spans="1:11" ht="21.5" customHeight="1" x14ac:dyDescent="0.35"/>
    <row r="30" spans="1:11" x14ac:dyDescent="0.35">
      <c r="A30" s="359"/>
      <c r="C30" s="644"/>
      <c r="D30" s="646" t="s">
        <v>921</v>
      </c>
      <c r="E30" s="644"/>
      <c r="F30" s="644"/>
    </row>
    <row r="31" spans="1:11" x14ac:dyDescent="0.35">
      <c r="A31" s="784" t="s">
        <v>1</v>
      </c>
      <c r="B31" s="1044" t="s">
        <v>358</v>
      </c>
      <c r="C31" s="1044" t="s">
        <v>962</v>
      </c>
      <c r="D31" s="1044" t="s">
        <v>963</v>
      </c>
      <c r="E31" s="1044" t="s">
        <v>964</v>
      </c>
      <c r="F31" s="1044" t="s">
        <v>359</v>
      </c>
      <c r="G31" s="1044" t="s">
        <v>405</v>
      </c>
    </row>
    <row r="32" spans="1:11" x14ac:dyDescent="0.35">
      <c r="A32" s="803" t="s">
        <v>193</v>
      </c>
      <c r="B32" s="1041">
        <v>1.1000000000000001E-2</v>
      </c>
      <c r="C32" s="1041">
        <v>1.2E-2</v>
      </c>
      <c r="D32" s="1041">
        <v>1.1000000000000001E-2</v>
      </c>
      <c r="E32" s="1041">
        <v>0.01</v>
      </c>
      <c r="F32" s="1041">
        <v>0.01</v>
      </c>
      <c r="G32" s="1048">
        <v>1.1000000000000001E-2</v>
      </c>
    </row>
    <row r="33" spans="1:7" x14ac:dyDescent="0.35">
      <c r="A33" s="803" t="s">
        <v>192</v>
      </c>
      <c r="B33" s="1041">
        <v>1.1000000000000001E-2</v>
      </c>
      <c r="C33" s="1041">
        <v>1.3000000000000001E-2</v>
      </c>
      <c r="D33" s="1041">
        <v>1.2E-2</v>
      </c>
      <c r="E33" s="1041">
        <v>1.1000000000000001E-2</v>
      </c>
      <c r="F33" s="1041">
        <v>0.01</v>
      </c>
      <c r="G33" s="1048">
        <v>1.2E-2</v>
      </c>
    </row>
    <row r="34" spans="1:7" x14ac:dyDescent="0.35">
      <c r="A34" s="803" t="s">
        <v>258</v>
      </c>
      <c r="B34" s="1041">
        <v>1.1000000000000001E-2</v>
      </c>
      <c r="C34" s="1041">
        <v>1.3000000000000001E-2</v>
      </c>
      <c r="D34" s="1041">
        <v>1.2E-2</v>
      </c>
      <c r="E34" s="1041">
        <v>1.2E-2</v>
      </c>
      <c r="F34" s="1041">
        <v>1.1000000000000001E-2</v>
      </c>
      <c r="G34" s="1048">
        <v>1.2E-2</v>
      </c>
    </row>
    <row r="35" spans="1:7" x14ac:dyDescent="0.35">
      <c r="A35" s="803" t="s">
        <v>242</v>
      </c>
      <c r="B35" s="1041">
        <v>0.01</v>
      </c>
      <c r="C35" s="1041">
        <v>1.2E-2</v>
      </c>
      <c r="D35" s="1041">
        <v>1.1000000000000001E-2</v>
      </c>
      <c r="E35" s="1041">
        <v>1.1000000000000001E-2</v>
      </c>
      <c r="F35" s="1041">
        <v>1.1000000000000001E-2</v>
      </c>
      <c r="G35" s="1048">
        <v>1.1000000000000001E-2</v>
      </c>
    </row>
    <row r="36" spans="1:7" x14ac:dyDescent="0.35">
      <c r="A36" s="803" t="s">
        <v>241</v>
      </c>
      <c r="B36" s="1041">
        <v>0.01</v>
      </c>
      <c r="C36" s="1041">
        <v>1.1000000000000001E-2</v>
      </c>
      <c r="D36" s="1041">
        <v>0.01</v>
      </c>
      <c r="E36" s="1041">
        <v>9.0000000000000011E-3</v>
      </c>
      <c r="F36" s="1041">
        <v>9.0000000000000011E-3</v>
      </c>
      <c r="G36" s="1048">
        <v>0.01</v>
      </c>
    </row>
    <row r="37" spans="1:7" x14ac:dyDescent="0.35">
      <c r="A37" s="803" t="s">
        <v>773</v>
      </c>
      <c r="B37" s="1041">
        <v>9.0000000000000011E-3</v>
      </c>
      <c r="C37" s="1041">
        <v>0.01</v>
      </c>
      <c r="D37" s="1041">
        <v>9.0000000000000011E-3</v>
      </c>
      <c r="E37" s="1041">
        <v>8.0000000000000002E-3</v>
      </c>
      <c r="F37" s="1041">
        <v>8.0000000000000002E-3</v>
      </c>
      <c r="G37" s="1048">
        <v>9.0000000000000011E-3</v>
      </c>
    </row>
    <row r="38" spans="1:7" ht="15.75" customHeight="1" thickBot="1" x14ac:dyDescent="0.4">
      <c r="A38" s="785" t="s">
        <v>951</v>
      </c>
      <c r="B38" s="1042">
        <v>3.0000000000000001E-3</v>
      </c>
      <c r="C38" s="1042">
        <v>3.0000000000000001E-3</v>
      </c>
      <c r="D38" s="1042">
        <v>3.0000000000000001E-3</v>
      </c>
      <c r="E38" s="1042">
        <v>3.0000000000000001E-3</v>
      </c>
      <c r="F38" s="1042">
        <v>3.0000000000000001E-3</v>
      </c>
      <c r="G38" s="1049">
        <v>3.0000000000000001E-3</v>
      </c>
    </row>
    <row r="39" spans="1:7" x14ac:dyDescent="0.35">
      <c r="A39" s="542"/>
      <c r="B39" s="542"/>
      <c r="C39" s="542"/>
      <c r="D39" s="542"/>
      <c r="E39" s="542"/>
      <c r="F39" s="542"/>
      <c r="G39" s="542"/>
    </row>
    <row r="40" spans="1:7" x14ac:dyDescent="0.35">
      <c r="A40" s="359" t="s">
        <v>8</v>
      </c>
    </row>
    <row r="41" spans="1:7" x14ac:dyDescent="0.35">
      <c r="A41" s="382" t="s">
        <v>926</v>
      </c>
    </row>
    <row r="42" spans="1:7" x14ac:dyDescent="0.35">
      <c r="A42" s="689" t="s">
        <v>758</v>
      </c>
    </row>
    <row r="43" spans="1:7" x14ac:dyDescent="0.35">
      <c r="A43" s="601" t="s">
        <v>763</v>
      </c>
    </row>
  </sheetData>
  <sheetProtection algorithmName="SHA-512" hashValue="9qHalaK8hVyH5d0cguuQSILDsMobijWtdiIR1bxdb9/rhhvkV3ncMK+VQOJIN8vMkQiedZuZOIBjvyMxRm6rVw==" saltValue="oSUM2OOZEYpLlLhD/57yJg==" spinCount="100000" sheet="1" scenarios="1" formatCells="0" formatColumns="0" formatRows="0" sort="0" autoFilter="0" pivotTables="0"/>
  <hyperlinks>
    <hyperlink ref="A2" location="'Table of Contents'!A1" display="Back to Table of Contents"/>
    <hyperlink ref="A22" r:id="rId1"/>
    <hyperlink ref="A42" r:id="rId2"/>
    <hyperlink ref="A43" r:id="rId3"/>
  </hyperlinks>
  <pageMargins left="0.7" right="0.7" top="0.75" bottom="0.75" header="0.3" footer="0.3"/>
  <tableParts count="2">
    <tablePart r:id="rId4"/>
    <tablePart r:id="rId5"/>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3"/>
  <sheetViews>
    <sheetView showGridLines="0" workbookViewId="0">
      <pane ySplit="2" topLeftCell="A3" activePane="bottomLeft" state="frozen"/>
      <selection pane="bottomLeft"/>
    </sheetView>
  </sheetViews>
  <sheetFormatPr defaultColWidth="9.26953125" defaultRowHeight="14.5" x14ac:dyDescent="0.35"/>
  <cols>
    <col min="1" max="1" width="23.36328125" customWidth="1"/>
    <col min="2" max="8" width="23.81640625" customWidth="1"/>
  </cols>
  <sheetData>
    <row r="1" spans="1:11" ht="15.5" x14ac:dyDescent="0.35">
      <c r="A1" s="629" t="s">
        <v>531</v>
      </c>
      <c r="B1" s="629"/>
      <c r="C1" s="629"/>
    </row>
    <row r="2" spans="1:11" ht="15.5" x14ac:dyDescent="0.35">
      <c r="A2" s="601" t="s">
        <v>509</v>
      </c>
      <c r="B2" s="742"/>
      <c r="C2" s="742"/>
    </row>
    <row r="3" spans="1:11" x14ac:dyDescent="0.35">
      <c r="A3" s="28"/>
      <c r="B3" s="28"/>
      <c r="C3" s="28"/>
      <c r="D3" s="28"/>
      <c r="E3" s="28"/>
      <c r="F3" s="28"/>
      <c r="G3" s="28"/>
      <c r="H3" s="28"/>
      <c r="I3" s="28"/>
      <c r="J3" s="28"/>
      <c r="K3" s="28"/>
    </row>
    <row r="4" spans="1:11" ht="15.5" x14ac:dyDescent="0.35">
      <c r="A4" s="639" t="s">
        <v>924</v>
      </c>
      <c r="B4" s="639"/>
      <c r="C4" s="639"/>
      <c r="D4" s="639"/>
      <c r="E4" s="639"/>
      <c r="F4" s="639"/>
      <c r="G4" s="639"/>
      <c r="H4" s="639"/>
      <c r="I4" s="639"/>
      <c r="J4" s="639"/>
      <c r="K4" s="639"/>
    </row>
    <row r="5" spans="1:11" ht="15.5" x14ac:dyDescent="0.35">
      <c r="A5" t="s">
        <v>830</v>
      </c>
      <c r="B5" s="745"/>
      <c r="C5" s="745"/>
      <c r="D5" s="745"/>
      <c r="E5" s="745"/>
      <c r="F5" s="745"/>
      <c r="G5" s="745"/>
      <c r="H5" s="745"/>
      <c r="I5" s="745"/>
      <c r="J5" s="745"/>
      <c r="K5" s="745"/>
    </row>
    <row r="6" spans="1:11" ht="15.5" x14ac:dyDescent="0.35">
      <c r="A6" t="s">
        <v>320</v>
      </c>
      <c r="B6" t="s">
        <v>935</v>
      </c>
      <c r="C6" s="745"/>
      <c r="D6" s="745"/>
      <c r="E6" s="745"/>
      <c r="F6" s="745"/>
      <c r="G6" s="745"/>
      <c r="H6" s="745"/>
      <c r="I6" s="745"/>
      <c r="J6" s="745"/>
      <c r="K6" s="745"/>
    </row>
    <row r="7" spans="1:11" ht="15.5" x14ac:dyDescent="0.35">
      <c r="A7" t="s">
        <v>321</v>
      </c>
      <c r="B7" t="s">
        <v>323</v>
      </c>
      <c r="C7" s="745"/>
      <c r="D7" s="745"/>
      <c r="E7" s="745"/>
      <c r="F7" s="745"/>
      <c r="G7" s="745"/>
      <c r="H7" s="745"/>
      <c r="I7" s="745"/>
      <c r="J7" s="745"/>
      <c r="K7" s="745"/>
    </row>
    <row r="8" spans="1:11" ht="15.5" x14ac:dyDescent="0.35">
      <c r="A8" t="s">
        <v>322</v>
      </c>
      <c r="B8" t="s">
        <v>760</v>
      </c>
      <c r="C8" s="745"/>
      <c r="D8" s="745"/>
      <c r="E8" s="745"/>
      <c r="F8" s="745"/>
      <c r="G8" s="745"/>
      <c r="H8" s="745"/>
      <c r="I8" s="745"/>
      <c r="J8" s="745"/>
      <c r="K8" s="745"/>
    </row>
    <row r="10" spans="1:11" x14ac:dyDescent="0.35">
      <c r="D10" s="646" t="s">
        <v>922</v>
      </c>
    </row>
    <row r="11" spans="1:11" s="359" customFormat="1" x14ac:dyDescent="0.35">
      <c r="A11" s="643" t="s">
        <v>1</v>
      </c>
      <c r="B11" s="643" t="s">
        <v>358</v>
      </c>
      <c r="C11" s="643">
        <v>2</v>
      </c>
      <c r="D11" s="643">
        <v>3</v>
      </c>
      <c r="E11" s="643">
        <v>4</v>
      </c>
      <c r="F11" s="643" t="s">
        <v>359</v>
      </c>
      <c r="G11"/>
    </row>
    <row r="12" spans="1:11" x14ac:dyDescent="0.35">
      <c r="A12" s="359" t="s">
        <v>193</v>
      </c>
      <c r="B12" s="973">
        <f>'SIMD-Alarms'!B12/'SIMD-Visits'!B11</f>
        <v>0.33171168148520941</v>
      </c>
      <c r="C12" s="973">
        <f>'SIMD-Alarms'!C12/'SIMD-Visits'!C11</f>
        <v>0.39183084452252476</v>
      </c>
      <c r="D12" s="973">
        <f>'SIMD-Alarms'!D12/'SIMD-Visits'!D11</f>
        <v>0.41575663026521059</v>
      </c>
      <c r="E12" s="973">
        <f>'SIMD-Alarms'!E12/'SIMD-Visits'!E11</f>
        <v>0.4738874408726711</v>
      </c>
      <c r="F12" s="973">
        <f>'SIMD-Alarms'!F12/'SIMD-Visits'!F11</f>
        <v>0.52438324727481356</v>
      </c>
    </row>
    <row r="13" spans="1:11" x14ac:dyDescent="0.35">
      <c r="A13" s="359" t="s">
        <v>192</v>
      </c>
      <c r="B13" s="973">
        <f>'SIMD-Alarms'!B13/'SIMD-Visits'!B12</f>
        <v>0.31490549149686725</v>
      </c>
      <c r="C13" s="973">
        <f>'SIMD-Alarms'!C13/'SIMD-Visits'!C12</f>
        <v>0.37344279235317757</v>
      </c>
      <c r="D13" s="973">
        <f>'SIMD-Alarms'!D13/'SIMD-Visits'!D12</f>
        <v>0.41305730233872678</v>
      </c>
      <c r="E13" s="973">
        <f>'SIMD-Alarms'!E13/'SIMD-Visits'!E12</f>
        <v>0.45049755439365829</v>
      </c>
      <c r="F13" s="973">
        <f>'SIMD-Alarms'!F13/'SIMD-Visits'!F12</f>
        <v>0.50182913707768451</v>
      </c>
    </row>
    <row r="14" spans="1:11" x14ac:dyDescent="0.35">
      <c r="A14" s="359" t="s">
        <v>258</v>
      </c>
      <c r="B14" s="973">
        <f>'SIMD-Alarms'!B14/'SIMD-Visits'!B13</f>
        <v>0.32794939854294913</v>
      </c>
      <c r="C14" s="973">
        <f>'SIMD-Alarms'!C14/'SIMD-Visits'!C13</f>
        <v>0.39033390869591095</v>
      </c>
      <c r="D14" s="973">
        <f>'SIMD-Alarms'!D14/'SIMD-Visits'!D13</f>
        <v>0.42114568599717117</v>
      </c>
      <c r="E14" s="973">
        <f>'SIMD-Alarms'!E14/'SIMD-Visits'!E13</f>
        <v>0.44988810741687979</v>
      </c>
      <c r="F14" s="973">
        <f>'SIMD-Alarms'!F14/'SIMD-Visits'!F13</f>
        <v>0.525567887148636</v>
      </c>
    </row>
    <row r="15" spans="1:11" x14ac:dyDescent="0.35">
      <c r="A15" s="359" t="s">
        <v>242</v>
      </c>
      <c r="B15" s="973">
        <f>'SIMD-Alarms'!B15/'SIMD-Visits'!B14</f>
        <v>0.30140982012639767</v>
      </c>
      <c r="C15" s="973">
        <f>'SIMD-Alarms'!C15/'SIMD-Visits'!C14</f>
        <v>0.3838532110091743</v>
      </c>
      <c r="D15" s="973">
        <f>'SIMD-Alarms'!D15/'SIMD-Visits'!D14</f>
        <v>0.41446746637586335</v>
      </c>
      <c r="E15" s="973">
        <f>'SIMD-Alarms'!E15/'SIMD-Visits'!E14</f>
        <v>0.44821830927146789</v>
      </c>
      <c r="F15" s="973">
        <f>'SIMD-Alarms'!F15/'SIMD-Visits'!F14</f>
        <v>0.52275189599133265</v>
      </c>
    </row>
    <row r="16" spans="1:11" x14ac:dyDescent="0.35">
      <c r="A16" s="359" t="s">
        <v>241</v>
      </c>
      <c r="B16" s="973">
        <f>'SIMD-Alarms'!B16/'SIMD-Visits'!B15</f>
        <v>0.2650967113026525</v>
      </c>
      <c r="C16" s="973">
        <f>'SIMD-Alarms'!C16/'SIMD-Visits'!C15</f>
        <v>0.33913518102977741</v>
      </c>
      <c r="D16" s="973">
        <f>'SIMD-Alarms'!D16/'SIMD-Visits'!D15</f>
        <v>0.37435744617447664</v>
      </c>
      <c r="E16" s="973">
        <f>'SIMD-Alarms'!E16/'SIMD-Visits'!E15</f>
        <v>0.41031738772523552</v>
      </c>
      <c r="F16" s="973">
        <f>'SIMD-Alarms'!F16/'SIMD-Visits'!F15</f>
        <v>0.47281750507556958</v>
      </c>
    </row>
    <row r="17" spans="1:11" x14ac:dyDescent="0.35">
      <c r="A17" s="359" t="s">
        <v>773</v>
      </c>
      <c r="B17" s="973">
        <f>'SIMD-Alarms'!B17/'SIMD-Visits'!B16</f>
        <v>0.23730190979276716</v>
      </c>
      <c r="C17" s="973">
        <f>'SIMD-Alarms'!C17/'SIMD-Visits'!C16</f>
        <v>0.31606475716064758</v>
      </c>
      <c r="D17" s="973">
        <f>'SIMD-Alarms'!D17/'SIMD-Visits'!D16</f>
        <v>0.3379397923358482</v>
      </c>
      <c r="E17" s="973">
        <f>'SIMD-Alarms'!E17/'SIMD-Visits'!E16</f>
        <v>0.37083993660855785</v>
      </c>
      <c r="F17" s="973">
        <f>'SIMD-Alarms'!F17/'SIMD-Visits'!F16</f>
        <v>0.4355484387510008</v>
      </c>
    </row>
    <row r="18" spans="1:11" ht="15" thickBot="1" x14ac:dyDescent="0.4">
      <c r="A18" s="641" t="s">
        <v>951</v>
      </c>
      <c r="B18" s="1051">
        <f>'SIMD-Alarms'!B18/'SIMD-Visits'!B17</f>
        <v>0.3019572953736655</v>
      </c>
      <c r="C18" s="1051">
        <f>'SIMD-Alarms'!C18/'SIMD-Visits'!C17</f>
        <v>0.35178682090477176</v>
      </c>
      <c r="D18" s="1051">
        <f>'SIMD-Alarms'!D18/'SIMD-Visits'!D17</f>
        <v>0.3917038592806511</v>
      </c>
      <c r="E18" s="1051">
        <f>'SIMD-Alarms'!E18/'SIMD-Visits'!E17</f>
        <v>0.44785091674180943</v>
      </c>
      <c r="F18" s="1051">
        <f>'SIMD-Alarms'!F18/'SIMD-Visits'!F17</f>
        <v>0.51423001949317737</v>
      </c>
    </row>
    <row r="20" spans="1:11" x14ac:dyDescent="0.35">
      <c r="A20" s="359" t="s">
        <v>8</v>
      </c>
    </row>
    <row r="21" spans="1:11" x14ac:dyDescent="0.35">
      <c r="A21" s="382" t="s">
        <v>926</v>
      </c>
    </row>
    <row r="22" spans="1:11" x14ac:dyDescent="0.35">
      <c r="A22" s="689" t="s">
        <v>758</v>
      </c>
    </row>
    <row r="23" spans="1:11" x14ac:dyDescent="0.35">
      <c r="A23" s="690"/>
    </row>
    <row r="24" spans="1:11" ht="15.75" customHeight="1" x14ac:dyDescent="0.35">
      <c r="A24" s="639" t="s">
        <v>925</v>
      </c>
      <c r="B24" s="639"/>
      <c r="C24" s="639"/>
      <c r="D24" s="639"/>
      <c r="E24" s="639"/>
      <c r="F24" s="639"/>
      <c r="G24" s="639"/>
      <c r="H24" s="639"/>
      <c r="I24" s="639"/>
      <c r="J24" s="639"/>
      <c r="K24" s="639"/>
    </row>
    <row r="25" spans="1:11" ht="15.5" x14ac:dyDescent="0.35">
      <c r="A25" t="s">
        <v>830</v>
      </c>
      <c r="B25" s="745"/>
      <c r="C25" s="745"/>
      <c r="D25" s="745"/>
      <c r="E25" s="745"/>
      <c r="F25" s="745"/>
      <c r="G25" s="745"/>
      <c r="H25" s="745"/>
      <c r="I25" s="745"/>
      <c r="J25" s="745"/>
      <c r="K25" s="745"/>
    </row>
    <row r="26" spans="1:11" ht="15.5" x14ac:dyDescent="0.35">
      <c r="A26" t="s">
        <v>320</v>
      </c>
      <c r="B26" t="s">
        <v>936</v>
      </c>
      <c r="C26" s="745"/>
      <c r="D26" s="745"/>
      <c r="E26" s="745"/>
      <c r="F26" s="745"/>
      <c r="G26" s="745"/>
      <c r="H26" s="745"/>
      <c r="I26" s="745"/>
      <c r="J26" s="745"/>
      <c r="K26" s="745"/>
    </row>
    <row r="27" spans="1:11" ht="15.5" x14ac:dyDescent="0.35">
      <c r="A27" t="s">
        <v>321</v>
      </c>
      <c r="B27" t="s">
        <v>323</v>
      </c>
      <c r="C27" s="745"/>
      <c r="D27" s="745"/>
      <c r="E27" s="745"/>
      <c r="F27" s="745"/>
      <c r="G27" s="745"/>
      <c r="H27" s="745"/>
      <c r="I27" s="745"/>
      <c r="J27" s="745"/>
      <c r="K27" s="745"/>
    </row>
    <row r="28" spans="1:11" ht="15.5" x14ac:dyDescent="0.35">
      <c r="A28" t="s">
        <v>322</v>
      </c>
      <c r="B28" t="s">
        <v>760</v>
      </c>
      <c r="C28" s="745"/>
      <c r="D28" s="745"/>
      <c r="E28" s="745"/>
      <c r="F28" s="745"/>
      <c r="G28" s="745"/>
      <c r="H28" s="745"/>
      <c r="I28" s="745"/>
      <c r="J28" s="745"/>
      <c r="K28" s="745"/>
    </row>
    <row r="30" spans="1:11" x14ac:dyDescent="0.35">
      <c r="A30" s="359"/>
      <c r="C30" s="644"/>
      <c r="D30" s="646" t="s">
        <v>923</v>
      </c>
      <c r="E30" s="644"/>
      <c r="F30" s="644"/>
    </row>
    <row r="31" spans="1:11" ht="17.5" customHeight="1" x14ac:dyDescent="0.35">
      <c r="A31" s="643" t="s">
        <v>1</v>
      </c>
      <c r="B31" s="643" t="s">
        <v>358</v>
      </c>
      <c r="C31" s="643">
        <v>2</v>
      </c>
      <c r="D31" s="643">
        <v>3</v>
      </c>
      <c r="E31" s="643">
        <v>4</v>
      </c>
      <c r="F31" s="643" t="s">
        <v>359</v>
      </c>
    </row>
    <row r="32" spans="1:11" x14ac:dyDescent="0.35">
      <c r="A32" s="359" t="s">
        <v>193</v>
      </c>
      <c r="B32" s="995">
        <f>hSIMDAlarmsOwnerOcc!B5/100</f>
        <v>0.54899999999999993</v>
      </c>
      <c r="C32" s="995">
        <f>hSIMDAlarmsOwnerOcc!C5/100</f>
        <v>0.57600000000000007</v>
      </c>
      <c r="D32" s="995">
        <f>hSIMDAlarmsOwnerOcc!D5/100</f>
        <v>0.55399999999999994</v>
      </c>
      <c r="E32" s="995">
        <f>hSIMDAlarmsOwnerOcc!E5/100</f>
        <v>0.56700000000000006</v>
      </c>
      <c r="F32" s="995">
        <f>hSIMDAlarmsOwnerOcc!F5/100</f>
        <v>0.57100000000000006</v>
      </c>
    </row>
    <row r="33" spans="1:7" x14ac:dyDescent="0.35">
      <c r="A33" s="359" t="s">
        <v>192</v>
      </c>
      <c r="B33" s="995">
        <f>hSIMDAlarmsOwnerOcc!B6/100</f>
        <v>0.53900000000000003</v>
      </c>
      <c r="C33" s="995">
        <f>hSIMDAlarmsOwnerOcc!C6/100</f>
        <v>0.55600000000000005</v>
      </c>
      <c r="D33" s="995">
        <f>hSIMDAlarmsOwnerOcc!D6/100</f>
        <v>0.55700000000000005</v>
      </c>
      <c r="E33" s="995">
        <f>hSIMDAlarmsOwnerOcc!E6/100</f>
        <v>0.53400000000000003</v>
      </c>
      <c r="F33" s="995">
        <f>hSIMDAlarmsOwnerOcc!F6/100</f>
        <v>0.55899999999999994</v>
      </c>
    </row>
    <row r="34" spans="1:7" x14ac:dyDescent="0.35">
      <c r="A34" s="359" t="s">
        <v>258</v>
      </c>
      <c r="B34" s="995">
        <f>hSIMDAlarmsOwnerOcc!B7/100</f>
        <v>0.54700000000000004</v>
      </c>
      <c r="C34" s="995">
        <f>hSIMDAlarmsOwnerOcc!C7/100</f>
        <v>0.56600000000000006</v>
      </c>
      <c r="D34" s="995">
        <f>hSIMDAlarmsOwnerOcc!D7/100</f>
        <v>0.54600000000000004</v>
      </c>
      <c r="E34" s="995">
        <f>hSIMDAlarmsOwnerOcc!E7/100</f>
        <v>0.53400000000000003</v>
      </c>
      <c r="F34" s="995">
        <f>hSIMDAlarmsOwnerOcc!F7/100</f>
        <v>0.56000000000000005</v>
      </c>
    </row>
    <row r="35" spans="1:7" x14ac:dyDescent="0.35">
      <c r="A35" s="359" t="s">
        <v>242</v>
      </c>
      <c r="B35" s="995">
        <f>hSIMDAlarmsOwnerOcc!B8/100</f>
        <v>0.52700000000000002</v>
      </c>
      <c r="C35" s="995">
        <f>hSIMDAlarmsOwnerOcc!C8/100</f>
        <v>0.56899999999999995</v>
      </c>
      <c r="D35" s="995">
        <f>hSIMDAlarmsOwnerOcc!D8/100</f>
        <v>0.54700000000000004</v>
      </c>
      <c r="E35" s="995">
        <f>hSIMDAlarmsOwnerOcc!E8/100</f>
        <v>0.53200000000000003</v>
      </c>
      <c r="F35" s="995">
        <f>hSIMDAlarmsOwnerOcc!F8/100</f>
        <v>0.56899999999999995</v>
      </c>
    </row>
    <row r="36" spans="1:7" x14ac:dyDescent="0.35">
      <c r="A36" s="359" t="s">
        <v>241</v>
      </c>
      <c r="B36" s="995">
        <f>hSIMDAlarmsOwnerOcc!B9/100</f>
        <v>0.52200000000000002</v>
      </c>
      <c r="C36" s="995">
        <f>hSIMDAlarmsOwnerOcc!C9/100</f>
        <v>0.54299999999999993</v>
      </c>
      <c r="D36" s="995">
        <f>hSIMDAlarmsOwnerOcc!D9/100</f>
        <v>0.52</v>
      </c>
      <c r="E36" s="995">
        <f>hSIMDAlarmsOwnerOcc!E9/100</f>
        <v>0.51200000000000001</v>
      </c>
      <c r="F36" s="995">
        <f>hSIMDAlarmsOwnerOcc!F9/100</f>
        <v>0.52200000000000002</v>
      </c>
    </row>
    <row r="37" spans="1:7" x14ac:dyDescent="0.35">
      <c r="A37" s="359" t="s">
        <v>773</v>
      </c>
      <c r="B37" s="995">
        <f>hSIMDAlarmsOwnerOcc!B10/100</f>
        <v>0.49200000000000005</v>
      </c>
      <c r="C37" s="995">
        <f>hSIMDAlarmsOwnerOcc!C10/100</f>
        <v>0.52400000000000002</v>
      </c>
      <c r="D37" s="995">
        <f>hSIMDAlarmsOwnerOcc!D10/100</f>
        <v>0.48700000000000004</v>
      </c>
      <c r="E37" s="995">
        <f>hSIMDAlarmsOwnerOcc!E10/100</f>
        <v>0.46299999999999997</v>
      </c>
      <c r="F37" s="995">
        <f>hSIMDAlarmsOwnerOcc!F10/100</f>
        <v>0.49</v>
      </c>
      <c r="G37" s="503"/>
    </row>
    <row r="38" spans="1:7" ht="15" thickBot="1" x14ac:dyDescent="0.4">
      <c r="A38" s="641" t="s">
        <v>951</v>
      </c>
      <c r="B38" s="1042">
        <f>hSIMDAlarmsOwnerOcc!B11/100</f>
        <v>0.55600000000000005</v>
      </c>
      <c r="C38" s="1042">
        <f>hSIMDAlarmsOwnerOcc!C11/100</f>
        <v>0.55399999999999994</v>
      </c>
      <c r="D38" s="1042">
        <f>hSIMDAlarmsOwnerOcc!D11/100</f>
        <v>0.53100000000000003</v>
      </c>
      <c r="E38" s="1042">
        <f>hSIMDAlarmsOwnerOcc!E11/100</f>
        <v>0.54200000000000004</v>
      </c>
      <c r="F38" s="1042">
        <f>hSIMDAlarmsOwnerOcc!F11/100</f>
        <v>0.56399999999999995</v>
      </c>
      <c r="G38" s="503"/>
    </row>
    <row r="40" spans="1:7" x14ac:dyDescent="0.35">
      <c r="A40" s="359" t="s">
        <v>8</v>
      </c>
    </row>
    <row r="41" spans="1:7" x14ac:dyDescent="0.35">
      <c r="A41" s="382" t="s">
        <v>926</v>
      </c>
    </row>
    <row r="42" spans="1:7" ht="15.75" customHeight="1" x14ac:dyDescent="0.35">
      <c r="A42" s="689" t="s">
        <v>758</v>
      </c>
    </row>
    <row r="43" spans="1:7" x14ac:dyDescent="0.35">
      <c r="A43" s="601"/>
    </row>
  </sheetData>
  <sheetProtection algorithmName="SHA-512" hashValue="OIO3zTejR+pstQJqC9h/6UIjq1VlkfL9tjur1/Wf6S3r0xJx87LEyIu255pX9EihGjEOqvSHNu3Vj+tcjynang==" saltValue="RX5itlTP5wzsLMtJWKdW0Q==" spinCount="100000" sheet="1" scenarios="1" formatCells="0" formatColumns="0" formatRows="0" sort="0" autoFilter="0" pivotTables="0"/>
  <hyperlinks>
    <hyperlink ref="A2" location="'Table of Contents'!A1" display="Back to Table of Contents"/>
    <hyperlink ref="A22" r:id="rId1"/>
    <hyperlink ref="A42" r:id="rId2"/>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3:H13"/>
  <sheetViews>
    <sheetView workbookViewId="0">
      <selection activeCell="E9" sqref="E9"/>
    </sheetView>
  </sheetViews>
  <sheetFormatPr defaultRowHeight="14.5" x14ac:dyDescent="0.35"/>
  <cols>
    <col min="1" max="1" width="19.90625" bestFit="1" customWidth="1"/>
    <col min="2" max="2" width="15.26953125" bestFit="1" customWidth="1"/>
    <col min="3" max="6" width="5.81640625" bestFit="1" customWidth="1"/>
    <col min="7" max="7" width="5" bestFit="1" customWidth="1"/>
    <col min="8" max="8" width="10.7265625" bestFit="1" customWidth="1"/>
  </cols>
  <sheetData>
    <row r="3" spans="1:8" x14ac:dyDescent="0.35">
      <c r="A3" t="s">
        <v>17449</v>
      </c>
      <c r="B3" t="s">
        <v>256</v>
      </c>
    </row>
    <row r="4" spans="1:8" x14ac:dyDescent="0.35">
      <c r="A4" t="s">
        <v>234</v>
      </c>
      <c r="B4">
        <v>1</v>
      </c>
      <c r="C4">
        <v>2</v>
      </c>
      <c r="D4">
        <v>3</v>
      </c>
      <c r="E4">
        <v>4</v>
      </c>
      <c r="F4">
        <v>5</v>
      </c>
      <c r="G4" t="s">
        <v>17450</v>
      </c>
      <c r="H4" t="s">
        <v>239</v>
      </c>
    </row>
    <row r="5" spans="1:8" x14ac:dyDescent="0.35">
      <c r="A5" s="857" t="s">
        <v>193</v>
      </c>
      <c r="B5" s="461">
        <v>54.9</v>
      </c>
      <c r="C5" s="461">
        <v>57.6</v>
      </c>
      <c r="D5" s="461">
        <v>55.4</v>
      </c>
      <c r="E5" s="461">
        <v>56.7</v>
      </c>
      <c r="F5" s="461">
        <v>57.1</v>
      </c>
      <c r="G5" s="461"/>
      <c r="H5" s="461">
        <v>281.70000000000005</v>
      </c>
    </row>
    <row r="6" spans="1:8" x14ac:dyDescent="0.35">
      <c r="A6" s="857" t="s">
        <v>192</v>
      </c>
      <c r="B6" s="461">
        <v>53.9</v>
      </c>
      <c r="C6" s="461">
        <v>55.6</v>
      </c>
      <c r="D6" s="461">
        <v>55.7</v>
      </c>
      <c r="E6" s="461">
        <v>53.4</v>
      </c>
      <c r="F6" s="461">
        <v>55.9</v>
      </c>
      <c r="G6" s="461"/>
      <c r="H6" s="461">
        <v>274.5</v>
      </c>
    </row>
    <row r="7" spans="1:8" x14ac:dyDescent="0.35">
      <c r="A7" s="857" t="s">
        <v>258</v>
      </c>
      <c r="B7" s="461">
        <v>54.7</v>
      </c>
      <c r="C7" s="461">
        <v>56.6</v>
      </c>
      <c r="D7" s="461">
        <v>54.6</v>
      </c>
      <c r="E7" s="461">
        <v>53.4</v>
      </c>
      <c r="F7" s="461">
        <v>56</v>
      </c>
      <c r="G7" s="461"/>
      <c r="H7" s="461">
        <v>275.3</v>
      </c>
    </row>
    <row r="8" spans="1:8" x14ac:dyDescent="0.35">
      <c r="A8" s="857" t="s">
        <v>242</v>
      </c>
      <c r="B8" s="461">
        <v>52.7</v>
      </c>
      <c r="C8" s="461">
        <v>56.9</v>
      </c>
      <c r="D8" s="461">
        <v>54.7</v>
      </c>
      <c r="E8" s="461">
        <v>53.2</v>
      </c>
      <c r="F8" s="461">
        <v>56.9</v>
      </c>
      <c r="G8" s="461"/>
      <c r="H8" s="461">
        <v>274.39999999999998</v>
      </c>
    </row>
    <row r="9" spans="1:8" x14ac:dyDescent="0.35">
      <c r="A9" s="857" t="s">
        <v>241</v>
      </c>
      <c r="B9" s="461">
        <v>52.2</v>
      </c>
      <c r="C9" s="461">
        <v>54.3</v>
      </c>
      <c r="D9" s="461">
        <v>52</v>
      </c>
      <c r="E9" s="461">
        <v>51.2</v>
      </c>
      <c r="F9" s="461">
        <v>52.2</v>
      </c>
      <c r="G9" s="461"/>
      <c r="H9" s="461">
        <v>261.89999999999998</v>
      </c>
    </row>
    <row r="10" spans="1:8" x14ac:dyDescent="0.35">
      <c r="A10" s="857" t="s">
        <v>773</v>
      </c>
      <c r="B10" s="461">
        <v>49.2</v>
      </c>
      <c r="C10" s="461">
        <v>52.4</v>
      </c>
      <c r="D10" s="461">
        <v>48.7</v>
      </c>
      <c r="E10" s="461">
        <v>46.3</v>
      </c>
      <c r="F10" s="461">
        <v>49</v>
      </c>
      <c r="G10" s="461"/>
      <c r="H10" s="461">
        <v>245.60000000000002</v>
      </c>
    </row>
    <row r="11" spans="1:8" x14ac:dyDescent="0.35">
      <c r="A11" s="857" t="s">
        <v>951</v>
      </c>
      <c r="B11" s="461">
        <v>55.6</v>
      </c>
      <c r="C11" s="461">
        <v>55.4</v>
      </c>
      <c r="D11" s="461">
        <v>53.1</v>
      </c>
      <c r="E11" s="461">
        <v>54.2</v>
      </c>
      <c r="F11" s="461">
        <v>56.4</v>
      </c>
      <c r="G11" s="461"/>
      <c r="H11" s="461">
        <v>274.7</v>
      </c>
    </row>
    <row r="12" spans="1:8" x14ac:dyDescent="0.35">
      <c r="A12" s="857" t="s">
        <v>17450</v>
      </c>
      <c r="B12" s="461"/>
      <c r="C12" s="461"/>
      <c r="D12" s="461"/>
      <c r="E12" s="461"/>
      <c r="F12" s="461"/>
      <c r="G12" s="461">
        <v>0</v>
      </c>
      <c r="H12" s="461">
        <v>0</v>
      </c>
    </row>
    <row r="13" spans="1:8" x14ac:dyDescent="0.35">
      <c r="A13" s="857" t="s">
        <v>239</v>
      </c>
      <c r="B13" s="461">
        <v>373.2</v>
      </c>
      <c r="C13" s="461">
        <v>388.79999999999995</v>
      </c>
      <c r="D13" s="461">
        <v>374.2</v>
      </c>
      <c r="E13" s="461">
        <v>368.4</v>
      </c>
      <c r="F13" s="461">
        <v>383.5</v>
      </c>
      <c r="G13" s="461">
        <v>0</v>
      </c>
      <c r="H13" s="461">
        <v>1888.1000000000001</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43"/>
  <sheetViews>
    <sheetView showGridLines="0" zoomScaleNormal="100" workbookViewId="0">
      <pane ySplit="2" topLeftCell="A3" activePane="bottomLeft" state="frozen"/>
      <selection pane="bottomLeft"/>
    </sheetView>
  </sheetViews>
  <sheetFormatPr defaultRowHeight="14.5" x14ac:dyDescent="0.35"/>
  <cols>
    <col min="1" max="1" width="20.90625" customWidth="1"/>
    <col min="2" max="2" width="22.36328125" bestFit="1" customWidth="1"/>
    <col min="3" max="3" width="21.08984375" customWidth="1"/>
    <col min="4" max="4" width="24" customWidth="1"/>
    <col min="5" max="5" width="22.54296875" customWidth="1"/>
    <col min="6" max="6" width="20.1796875" bestFit="1" customWidth="1"/>
    <col min="7" max="7" width="20" customWidth="1"/>
    <col min="8" max="8" width="15.26953125" customWidth="1"/>
  </cols>
  <sheetData>
    <row r="1" spans="1:11" ht="15.5" x14ac:dyDescent="0.35">
      <c r="A1" s="629" t="s">
        <v>531</v>
      </c>
    </row>
    <row r="2" spans="1:11" x14ac:dyDescent="0.35">
      <c r="A2" s="601" t="s">
        <v>509</v>
      </c>
    </row>
    <row r="3" spans="1:11" x14ac:dyDescent="0.35">
      <c r="A3" s="28"/>
    </row>
    <row r="4" spans="1:11" ht="15.75" customHeight="1" x14ac:dyDescent="0.35">
      <c r="A4" s="639" t="s">
        <v>546</v>
      </c>
      <c r="B4" s="639"/>
      <c r="C4" s="639"/>
      <c r="D4" s="639"/>
      <c r="E4" s="639"/>
      <c r="F4" s="639"/>
      <c r="G4" s="639"/>
      <c r="H4" s="639"/>
      <c r="I4" s="639"/>
      <c r="J4" s="639"/>
      <c r="K4" s="639"/>
    </row>
    <row r="5" spans="1:11" ht="15.5" x14ac:dyDescent="0.35">
      <c r="A5" t="s">
        <v>445</v>
      </c>
      <c r="B5" s="612"/>
      <c r="C5" s="612"/>
      <c r="D5" s="612"/>
      <c r="E5" s="612"/>
      <c r="F5" s="612"/>
      <c r="G5" s="612"/>
      <c r="H5" s="612"/>
      <c r="I5" s="612"/>
      <c r="J5" s="612"/>
      <c r="K5" s="612"/>
    </row>
    <row r="6" spans="1:11" ht="15.5" x14ac:dyDescent="0.35">
      <c r="A6" t="s">
        <v>320</v>
      </c>
      <c r="B6" t="s">
        <v>707</v>
      </c>
      <c r="C6" s="612"/>
      <c r="D6" s="612"/>
      <c r="E6" s="612"/>
      <c r="F6" s="612"/>
      <c r="G6" s="612"/>
      <c r="H6" s="612"/>
      <c r="I6" s="612"/>
      <c r="J6" s="612"/>
      <c r="K6" s="612"/>
    </row>
    <row r="7" spans="1:11" ht="15.5" x14ac:dyDescent="0.35">
      <c r="A7" t="s">
        <v>321</v>
      </c>
      <c r="B7" t="s">
        <v>323</v>
      </c>
      <c r="C7" s="612"/>
      <c r="D7" s="612"/>
      <c r="E7" s="612"/>
      <c r="F7" s="612"/>
      <c r="G7" s="612"/>
      <c r="H7" s="612"/>
      <c r="I7" s="612"/>
      <c r="J7" s="612"/>
      <c r="K7" s="612"/>
    </row>
    <row r="8" spans="1:11" ht="15.5" x14ac:dyDescent="0.35">
      <c r="A8" t="s">
        <v>322</v>
      </c>
      <c r="B8" t="s">
        <v>760</v>
      </c>
      <c r="C8" s="612"/>
      <c r="D8" s="612"/>
      <c r="E8" s="612"/>
      <c r="F8" s="612"/>
      <c r="G8" s="612"/>
      <c r="H8" s="612"/>
      <c r="I8" s="612"/>
      <c r="J8" s="612"/>
      <c r="K8" s="612"/>
    </row>
    <row r="9" spans="1:11" x14ac:dyDescent="0.35">
      <c r="D9" s="645" t="s">
        <v>545</v>
      </c>
    </row>
    <row r="10" spans="1:11" ht="17.5" customHeight="1" x14ac:dyDescent="0.35">
      <c r="A10" s="770" t="s">
        <v>1</v>
      </c>
      <c r="B10" s="1044" t="s">
        <v>360</v>
      </c>
      <c r="C10" s="1044" t="s">
        <v>361</v>
      </c>
      <c r="D10" s="1044" t="s">
        <v>362</v>
      </c>
      <c r="E10" s="1044" t="s">
        <v>363</v>
      </c>
      <c r="F10" s="1044" t="s">
        <v>364</v>
      </c>
      <c r="G10" s="1044" t="s">
        <v>365</v>
      </c>
      <c r="H10" s="1044" t="s">
        <v>405</v>
      </c>
    </row>
    <row r="11" spans="1:11" x14ac:dyDescent="0.35">
      <c r="A11" s="783" t="s">
        <v>193</v>
      </c>
      <c r="B11" s="789">
        <v>22827</v>
      </c>
      <c r="C11" s="789">
        <v>26356</v>
      </c>
      <c r="D11" s="789">
        <v>5123</v>
      </c>
      <c r="E11" s="789">
        <v>2287</v>
      </c>
      <c r="F11" s="789">
        <v>5570</v>
      </c>
      <c r="G11" s="789">
        <v>3547</v>
      </c>
      <c r="H11" s="930">
        <v>65710</v>
      </c>
    </row>
    <row r="12" spans="1:11" x14ac:dyDescent="0.35">
      <c r="A12" s="783" t="s">
        <v>192</v>
      </c>
      <c r="B12" s="789">
        <v>24059</v>
      </c>
      <c r="C12" s="789">
        <v>30012</v>
      </c>
      <c r="D12" s="789">
        <v>5434</v>
      </c>
      <c r="E12" s="789">
        <v>2463</v>
      </c>
      <c r="F12" s="789">
        <v>5747</v>
      </c>
      <c r="G12" s="789">
        <v>4001</v>
      </c>
      <c r="H12" s="930">
        <v>71716</v>
      </c>
    </row>
    <row r="13" spans="1:11" x14ac:dyDescent="0.35">
      <c r="A13" s="783" t="s">
        <v>258</v>
      </c>
      <c r="B13" s="789">
        <v>22379</v>
      </c>
      <c r="C13" s="789">
        <v>29335</v>
      </c>
      <c r="D13" s="789">
        <v>5378</v>
      </c>
      <c r="E13" s="789">
        <v>3000</v>
      </c>
      <c r="F13" s="789">
        <v>6151</v>
      </c>
      <c r="G13" s="789">
        <v>4554</v>
      </c>
      <c r="H13" s="930">
        <v>70797</v>
      </c>
    </row>
    <row r="14" spans="1:11" x14ac:dyDescent="0.35">
      <c r="A14" s="783" t="s">
        <v>242</v>
      </c>
      <c r="B14" s="789">
        <v>23395</v>
      </c>
      <c r="C14" s="789">
        <v>27654</v>
      </c>
      <c r="D14" s="789">
        <v>5102</v>
      </c>
      <c r="E14" s="789">
        <v>3090</v>
      </c>
      <c r="F14" s="789">
        <v>5853</v>
      </c>
      <c r="G14" s="789">
        <v>4730</v>
      </c>
      <c r="H14" s="930">
        <v>69824</v>
      </c>
    </row>
    <row r="15" spans="1:11" x14ac:dyDescent="0.35">
      <c r="A15" s="783" t="s">
        <v>241</v>
      </c>
      <c r="B15" s="789">
        <v>25614</v>
      </c>
      <c r="C15" s="789">
        <v>26967</v>
      </c>
      <c r="D15" s="789">
        <v>4968</v>
      </c>
      <c r="E15" s="789">
        <v>2685</v>
      </c>
      <c r="F15" s="789">
        <v>5307</v>
      </c>
      <c r="G15" s="789">
        <v>3661</v>
      </c>
      <c r="H15" s="930">
        <v>69202</v>
      </c>
    </row>
    <row r="16" spans="1:11" x14ac:dyDescent="0.35">
      <c r="A16" s="783" t="s">
        <v>773</v>
      </c>
      <c r="B16" s="789">
        <v>25050</v>
      </c>
      <c r="C16" s="789">
        <v>26689</v>
      </c>
      <c r="D16" s="789">
        <v>5212</v>
      </c>
      <c r="E16" s="789">
        <v>2581</v>
      </c>
      <c r="F16" s="789">
        <v>5941</v>
      </c>
      <c r="G16" s="789">
        <v>3763</v>
      </c>
      <c r="H16" s="930">
        <v>69236</v>
      </c>
    </row>
    <row r="17" spans="1:11" ht="15" thickBot="1" x14ac:dyDescent="0.4">
      <c r="A17" s="785" t="s">
        <v>951</v>
      </c>
      <c r="B17" s="797">
        <v>6661</v>
      </c>
      <c r="C17" s="797">
        <v>8615</v>
      </c>
      <c r="D17" s="797">
        <v>1589</v>
      </c>
      <c r="E17" s="797">
        <v>746</v>
      </c>
      <c r="F17" s="797">
        <v>1555</v>
      </c>
      <c r="G17" s="797">
        <v>996</v>
      </c>
      <c r="H17" s="938">
        <v>20162</v>
      </c>
    </row>
    <row r="19" spans="1:11" x14ac:dyDescent="0.35">
      <c r="A19" s="359" t="s">
        <v>8</v>
      </c>
    </row>
    <row r="20" spans="1:11" x14ac:dyDescent="0.35">
      <c r="A20" s="382" t="s">
        <v>761</v>
      </c>
    </row>
    <row r="21" spans="1:11" x14ac:dyDescent="0.35">
      <c r="A21" s="689" t="s">
        <v>764</v>
      </c>
    </row>
    <row r="22" spans="1:11" x14ac:dyDescent="0.35">
      <c r="A22" s="690"/>
    </row>
    <row r="23" spans="1:11" ht="15.5" x14ac:dyDescent="0.35">
      <c r="A23" s="639" t="s">
        <v>597</v>
      </c>
      <c r="B23" s="639"/>
      <c r="C23" s="639"/>
      <c r="D23" s="639"/>
      <c r="E23" s="639"/>
      <c r="F23" s="639"/>
      <c r="G23" s="639"/>
      <c r="H23" s="639"/>
      <c r="I23" s="639"/>
      <c r="J23" s="639"/>
      <c r="K23" s="639"/>
    </row>
    <row r="24" spans="1:11" ht="15.5" x14ac:dyDescent="0.35">
      <c r="A24" t="s">
        <v>445</v>
      </c>
      <c r="B24" s="612"/>
      <c r="C24" s="612"/>
      <c r="D24" s="612"/>
      <c r="E24" s="612"/>
      <c r="F24" s="612"/>
      <c r="G24" s="612"/>
      <c r="H24" s="612"/>
      <c r="I24" s="612"/>
      <c r="J24" s="612"/>
      <c r="K24" s="612"/>
    </row>
    <row r="25" spans="1:11" ht="15.5" x14ac:dyDescent="0.35">
      <c r="A25" t="s">
        <v>320</v>
      </c>
      <c r="B25" t="s">
        <v>708</v>
      </c>
      <c r="C25" s="612"/>
      <c r="D25" s="612"/>
      <c r="E25" s="612"/>
      <c r="F25" s="612"/>
      <c r="G25" s="612"/>
      <c r="H25" s="612"/>
      <c r="I25" s="612"/>
      <c r="J25" s="612"/>
      <c r="K25" s="612"/>
    </row>
    <row r="26" spans="1:11" ht="15.5" x14ac:dyDescent="0.35">
      <c r="A26" t="s">
        <v>321</v>
      </c>
      <c r="B26" t="s">
        <v>323</v>
      </c>
      <c r="C26" s="612"/>
      <c r="D26" s="612"/>
      <c r="E26" s="612"/>
      <c r="F26" s="612"/>
      <c r="G26" s="612"/>
      <c r="H26" s="612"/>
      <c r="I26" s="612"/>
      <c r="J26" s="612"/>
      <c r="K26" s="612"/>
    </row>
    <row r="27" spans="1:11" ht="15.5" x14ac:dyDescent="0.35">
      <c r="A27" t="s">
        <v>322</v>
      </c>
      <c r="B27" t="s">
        <v>760</v>
      </c>
      <c r="C27" s="612"/>
      <c r="D27" s="612"/>
      <c r="E27" s="612"/>
      <c r="F27" s="612"/>
      <c r="G27" s="612"/>
      <c r="H27" s="612"/>
      <c r="I27" s="612"/>
      <c r="J27" s="612"/>
      <c r="K27" s="612"/>
    </row>
    <row r="29" spans="1:11" x14ac:dyDescent="0.35">
      <c r="D29" s="645" t="s">
        <v>547</v>
      </c>
    </row>
    <row r="30" spans="1:11" ht="19" customHeight="1" x14ac:dyDescent="0.35">
      <c r="A30" s="770" t="s">
        <v>1</v>
      </c>
      <c r="B30" s="1044" t="s">
        <v>360</v>
      </c>
      <c r="C30" s="1044" t="s">
        <v>361</v>
      </c>
      <c r="D30" s="1044" t="s">
        <v>362</v>
      </c>
      <c r="E30" s="1044" t="s">
        <v>363</v>
      </c>
      <c r="F30" s="1044" t="s">
        <v>364</v>
      </c>
      <c r="G30" s="1044" t="s">
        <v>365</v>
      </c>
      <c r="H30" s="1044" t="s">
        <v>405</v>
      </c>
    </row>
    <row r="31" spans="1:11" x14ac:dyDescent="0.35">
      <c r="A31" s="783" t="s">
        <v>193</v>
      </c>
      <c r="B31" s="995">
        <v>2.6000000000000002E-2</v>
      </c>
      <c r="C31" s="995">
        <v>0.03</v>
      </c>
      <c r="D31" s="995">
        <v>2.5000000000000001E-2</v>
      </c>
      <c r="E31" s="995">
        <v>2.5000000000000001E-2</v>
      </c>
      <c r="F31" s="995">
        <v>2.2000000000000002E-2</v>
      </c>
      <c r="G31" s="995">
        <v>2.5000000000000001E-2</v>
      </c>
      <c r="H31" s="1050">
        <v>2.7000000000000003E-2</v>
      </c>
    </row>
    <row r="32" spans="1:11" x14ac:dyDescent="0.35">
      <c r="A32" s="783" t="s">
        <v>192</v>
      </c>
      <c r="B32" s="995">
        <v>2.7999999999999997E-2</v>
      </c>
      <c r="C32" s="995">
        <v>3.4000000000000002E-2</v>
      </c>
      <c r="D32" s="995">
        <v>2.7000000000000003E-2</v>
      </c>
      <c r="E32" s="995">
        <v>2.7000000000000003E-2</v>
      </c>
      <c r="F32" s="995">
        <v>2.3E-2</v>
      </c>
      <c r="G32" s="995">
        <v>2.7000000000000003E-2</v>
      </c>
      <c r="H32" s="1050">
        <v>2.8999999999999998E-2</v>
      </c>
    </row>
    <row r="33" spans="1:8" x14ac:dyDescent="0.35">
      <c r="A33" s="783" t="s">
        <v>258</v>
      </c>
      <c r="B33" s="995">
        <v>2.5000000000000001E-2</v>
      </c>
      <c r="C33" s="995">
        <v>3.3000000000000002E-2</v>
      </c>
      <c r="D33" s="995">
        <v>2.6000000000000002E-2</v>
      </c>
      <c r="E33" s="995">
        <v>3.3000000000000002E-2</v>
      </c>
      <c r="F33" s="995">
        <v>2.4E-2</v>
      </c>
      <c r="G33" s="995">
        <v>3.1E-2</v>
      </c>
      <c r="H33" s="1050">
        <v>2.8999999999999998E-2</v>
      </c>
    </row>
    <row r="34" spans="1:8" x14ac:dyDescent="0.35">
      <c r="A34" s="783" t="s">
        <v>242</v>
      </c>
      <c r="B34" s="995">
        <v>2.6000000000000002E-2</v>
      </c>
      <c r="C34" s="995">
        <v>3.1E-2</v>
      </c>
      <c r="D34" s="995">
        <v>2.5000000000000001E-2</v>
      </c>
      <c r="E34" s="995">
        <v>3.4000000000000002E-2</v>
      </c>
      <c r="F34" s="995">
        <v>2.3E-2</v>
      </c>
      <c r="G34" s="995">
        <v>3.2000000000000001E-2</v>
      </c>
      <c r="H34" s="1050">
        <v>2.7999999999999997E-2</v>
      </c>
    </row>
    <row r="35" spans="1:8" x14ac:dyDescent="0.35">
      <c r="A35" s="783" t="s">
        <v>241</v>
      </c>
      <c r="B35" s="995">
        <v>2.7999999999999997E-2</v>
      </c>
      <c r="C35" s="995">
        <v>0.03</v>
      </c>
      <c r="D35" s="995">
        <v>2.4E-2</v>
      </c>
      <c r="E35" s="995">
        <v>2.8999999999999998E-2</v>
      </c>
      <c r="F35" s="995">
        <v>0.02</v>
      </c>
      <c r="G35" s="995">
        <v>2.5000000000000001E-2</v>
      </c>
      <c r="H35" s="1050">
        <v>2.7999999999999997E-2</v>
      </c>
    </row>
    <row r="36" spans="1:8" x14ac:dyDescent="0.35">
      <c r="A36" s="783" t="s">
        <v>773</v>
      </c>
      <c r="B36" s="995">
        <v>2.7999999999999997E-2</v>
      </c>
      <c r="C36" s="995">
        <v>0.03</v>
      </c>
      <c r="D36" s="995">
        <v>2.5000000000000001E-2</v>
      </c>
      <c r="E36" s="995">
        <v>2.7999999999999997E-2</v>
      </c>
      <c r="F36" s="995">
        <v>2.2000000000000002E-2</v>
      </c>
      <c r="G36" s="995">
        <v>2.5000000000000001E-2</v>
      </c>
      <c r="H36" s="1050">
        <v>2.7000000000000003E-2</v>
      </c>
    </row>
    <row r="37" spans="1:8" ht="15" thickBot="1" x14ac:dyDescent="0.4">
      <c r="A37" s="785" t="s">
        <v>951</v>
      </c>
      <c r="B37" s="1042">
        <v>6.9999999999999993E-3</v>
      </c>
      <c r="C37" s="1042">
        <v>0.01</v>
      </c>
      <c r="D37" s="1042">
        <v>8.0000000000000002E-3</v>
      </c>
      <c r="E37" s="1042">
        <v>8.0000000000000002E-3</v>
      </c>
      <c r="F37" s="1042">
        <v>6.0000000000000001E-3</v>
      </c>
      <c r="G37" s="1042">
        <v>6.9999999999999993E-3</v>
      </c>
      <c r="H37" s="1049">
        <v>8.0000000000000002E-3</v>
      </c>
    </row>
    <row r="40" spans="1:8" x14ac:dyDescent="0.35">
      <c r="A40" s="359" t="s">
        <v>8</v>
      </c>
    </row>
    <row r="41" spans="1:8" x14ac:dyDescent="0.35">
      <c r="A41" s="382" t="s">
        <v>765</v>
      </c>
    </row>
    <row r="42" spans="1:8" x14ac:dyDescent="0.35">
      <c r="A42" s="689" t="s">
        <v>764</v>
      </c>
    </row>
    <row r="43" spans="1:8" x14ac:dyDescent="0.35">
      <c r="A43" s="601" t="s">
        <v>763</v>
      </c>
    </row>
  </sheetData>
  <sheetProtection algorithmName="SHA-512" hashValue="Mr+g+KCc4Ee3c9FtR41qzkKEh320YnW+1+a4JcGkIWK/L6LXT75irIAC5bo556/NO29OFGiGMh+mZPH8DyF9OQ==" saltValue="Z7GY+r9d23f4uJx+j3YgYw==" spinCount="100000" sheet="1" scenarios="1" formatCells="0" formatColumns="0" formatRows="0" sort="0" autoFilter="0" pivotTables="0"/>
  <hyperlinks>
    <hyperlink ref="A2" location="'Table of Contents'!A1" display="Back to Table of Contents"/>
    <hyperlink ref="A21" r:id="rId1"/>
    <hyperlink ref="A42" r:id="rId2"/>
    <hyperlink ref="A43" r:id="rId3"/>
  </hyperlinks>
  <pageMargins left="0.7" right="0.7" top="0.75" bottom="0.75" header="0.3" footer="0.3"/>
  <pageSetup paperSize="9" orientation="portrait" r:id="rId4"/>
  <tableParts count="2">
    <tablePart r:id="rId5"/>
    <tablePart r:id="rId6"/>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36"/>
  <sheetViews>
    <sheetView workbookViewId="0">
      <selection activeCell="D4" sqref="D4"/>
    </sheetView>
  </sheetViews>
  <sheetFormatPr defaultRowHeight="14.5" x14ac:dyDescent="0.35"/>
  <cols>
    <col min="1" max="1" width="20.36328125" bestFit="1" customWidth="1"/>
    <col min="2" max="2" width="26.453125" bestFit="1" customWidth="1"/>
    <col min="3" max="3" width="22.453125" bestFit="1" customWidth="1"/>
    <col min="4" max="4" width="16.1796875" bestFit="1" customWidth="1"/>
    <col min="5" max="5" width="17.36328125" bestFit="1" customWidth="1"/>
    <col min="6" max="6" width="21.1796875" bestFit="1" customWidth="1"/>
    <col min="7" max="7" width="25" bestFit="1" customWidth="1"/>
    <col min="8" max="8" width="15.08984375" bestFit="1" customWidth="1"/>
    <col min="9" max="9" width="24.7265625" bestFit="1" customWidth="1"/>
    <col min="10" max="10" width="26.1796875" bestFit="1" customWidth="1"/>
    <col min="11" max="11" width="17.08984375" bestFit="1" customWidth="1"/>
    <col min="12" max="12" width="26.7265625" bestFit="1" customWidth="1"/>
    <col min="13" max="13" width="28.08984375" bestFit="1" customWidth="1"/>
  </cols>
  <sheetData>
    <row r="1" spans="1:13" x14ac:dyDescent="0.35">
      <c r="A1" s="459" t="s">
        <v>1</v>
      </c>
      <c r="B1" t="s">
        <v>951</v>
      </c>
    </row>
    <row r="3" spans="1:13" x14ac:dyDescent="0.35">
      <c r="A3" s="459" t="s">
        <v>234</v>
      </c>
      <c r="B3" t="s">
        <v>974</v>
      </c>
      <c r="C3" t="s">
        <v>975</v>
      </c>
      <c r="D3" t="s">
        <v>976</v>
      </c>
      <c r="E3" t="s">
        <v>406</v>
      </c>
      <c r="F3" t="s">
        <v>407</v>
      </c>
      <c r="G3" t="s">
        <v>408</v>
      </c>
      <c r="H3" t="s">
        <v>409</v>
      </c>
      <c r="I3" t="s">
        <v>410</v>
      </c>
      <c r="J3" t="s">
        <v>411</v>
      </c>
      <c r="K3" t="s">
        <v>412</v>
      </c>
      <c r="L3" t="s">
        <v>413</v>
      </c>
      <c r="M3" t="s">
        <v>414</v>
      </c>
    </row>
    <row r="4" spans="1:13" x14ac:dyDescent="0.35">
      <c r="A4" s="1000" t="s">
        <v>31</v>
      </c>
      <c r="B4" s="461">
        <v>130</v>
      </c>
      <c r="C4" s="461">
        <v>411</v>
      </c>
      <c r="D4" s="461">
        <v>541</v>
      </c>
      <c r="E4" s="461">
        <v>189</v>
      </c>
      <c r="F4" s="461">
        <v>135</v>
      </c>
      <c r="G4" s="461">
        <v>54</v>
      </c>
      <c r="H4" s="461">
        <v>120980</v>
      </c>
      <c r="I4" s="461">
        <v>0.44700000000000001</v>
      </c>
      <c r="J4" s="461">
        <v>0.156</v>
      </c>
      <c r="K4" s="461">
        <v>108893</v>
      </c>
      <c r="L4" s="461">
        <v>0.497</v>
      </c>
      <c r="M4" s="461">
        <v>0.17399999999999999</v>
      </c>
    </row>
    <row r="5" spans="1:13" x14ac:dyDescent="0.35">
      <c r="A5" s="1000" t="s">
        <v>32</v>
      </c>
      <c r="B5" s="461">
        <v>126</v>
      </c>
      <c r="C5" s="461">
        <v>311</v>
      </c>
      <c r="D5" s="461">
        <v>437</v>
      </c>
      <c r="E5" s="461">
        <v>223</v>
      </c>
      <c r="F5" s="461">
        <v>147</v>
      </c>
      <c r="G5" s="461">
        <v>76</v>
      </c>
      <c r="H5" s="461">
        <v>119854</v>
      </c>
      <c r="I5" s="461">
        <v>0.36499999999999999</v>
      </c>
      <c r="J5" s="461">
        <v>0.186</v>
      </c>
      <c r="K5" s="461">
        <v>112713</v>
      </c>
      <c r="L5" s="461">
        <v>0.38800000000000001</v>
      </c>
      <c r="M5" s="461">
        <v>0.19800000000000001</v>
      </c>
    </row>
    <row r="6" spans="1:13" x14ac:dyDescent="0.35">
      <c r="A6" s="1000" t="s">
        <v>33</v>
      </c>
      <c r="B6" s="461">
        <v>201</v>
      </c>
      <c r="C6" s="461">
        <v>519</v>
      </c>
      <c r="D6" s="461">
        <v>720</v>
      </c>
      <c r="E6" s="461">
        <v>292</v>
      </c>
      <c r="F6" s="461">
        <v>177</v>
      </c>
      <c r="G6" s="461">
        <v>115</v>
      </c>
      <c r="H6" s="461">
        <v>57206</v>
      </c>
      <c r="I6" s="461">
        <v>1.2589999999999999</v>
      </c>
      <c r="J6" s="461">
        <v>0.51</v>
      </c>
      <c r="K6" s="461">
        <v>54480</v>
      </c>
      <c r="L6" s="461">
        <v>1.3220000000000001</v>
      </c>
      <c r="M6" s="461">
        <v>0.53600000000000003</v>
      </c>
    </row>
    <row r="7" spans="1:13" x14ac:dyDescent="0.35">
      <c r="A7" s="1000" t="s">
        <v>34</v>
      </c>
      <c r="B7" s="461">
        <v>166</v>
      </c>
      <c r="C7" s="461">
        <v>320</v>
      </c>
      <c r="D7" s="461">
        <v>486</v>
      </c>
      <c r="E7" s="461">
        <v>271</v>
      </c>
      <c r="F7" s="461">
        <v>154</v>
      </c>
      <c r="G7" s="461">
        <v>117</v>
      </c>
      <c r="H7" s="461">
        <v>48199</v>
      </c>
      <c r="I7" s="461">
        <v>1.008</v>
      </c>
      <c r="J7" s="461">
        <v>0.56200000000000006</v>
      </c>
      <c r="K7" s="461">
        <v>41839</v>
      </c>
      <c r="L7" s="461">
        <v>1.1619999999999999</v>
      </c>
      <c r="M7" s="461">
        <v>0.64800000000000002</v>
      </c>
    </row>
    <row r="8" spans="1:13" x14ac:dyDescent="0.35">
      <c r="A8" s="1000" t="s">
        <v>245</v>
      </c>
      <c r="B8" s="461">
        <v>680</v>
      </c>
      <c r="C8" s="461">
        <v>756</v>
      </c>
      <c r="D8" s="461">
        <v>1436</v>
      </c>
      <c r="E8" s="461">
        <v>1010</v>
      </c>
      <c r="F8" s="461">
        <v>700</v>
      </c>
      <c r="G8" s="461">
        <v>310</v>
      </c>
      <c r="H8" s="461">
        <v>254929</v>
      </c>
      <c r="I8" s="461">
        <v>0.56299999999999994</v>
      </c>
      <c r="J8" s="461">
        <v>0.39600000000000002</v>
      </c>
      <c r="K8" s="461">
        <v>239364</v>
      </c>
      <c r="L8" s="461">
        <v>0.6</v>
      </c>
      <c r="M8" s="461">
        <v>0.42199999999999999</v>
      </c>
    </row>
    <row r="9" spans="1:13" x14ac:dyDescent="0.35">
      <c r="A9" s="1000" t="s">
        <v>35</v>
      </c>
      <c r="B9" s="461">
        <v>63</v>
      </c>
      <c r="C9" s="461">
        <v>108</v>
      </c>
      <c r="D9" s="461">
        <v>171</v>
      </c>
      <c r="E9" s="461">
        <v>122</v>
      </c>
      <c r="F9" s="461">
        <v>94</v>
      </c>
      <c r="G9" s="461">
        <v>28</v>
      </c>
      <c r="H9" s="461">
        <v>24838</v>
      </c>
      <c r="I9" s="461">
        <v>0.68799999999999994</v>
      </c>
      <c r="J9" s="461">
        <v>0.49099999999999999</v>
      </c>
      <c r="K9" s="461">
        <v>24066</v>
      </c>
      <c r="L9" s="461">
        <v>0.71099999999999997</v>
      </c>
      <c r="M9" s="461">
        <v>0.50700000000000001</v>
      </c>
    </row>
    <row r="10" spans="1:13" x14ac:dyDescent="0.35">
      <c r="A10" s="1000" t="s">
        <v>36</v>
      </c>
      <c r="B10" s="461">
        <v>142</v>
      </c>
      <c r="C10" s="461">
        <v>231</v>
      </c>
      <c r="D10" s="461">
        <v>373</v>
      </c>
      <c r="E10" s="461">
        <v>206</v>
      </c>
      <c r="F10" s="461">
        <v>124</v>
      </c>
      <c r="G10" s="461">
        <v>82</v>
      </c>
      <c r="H10" s="461">
        <v>75298</v>
      </c>
      <c r="I10" s="461">
        <v>0.495</v>
      </c>
      <c r="J10" s="461">
        <v>0.27400000000000002</v>
      </c>
      <c r="K10" s="461">
        <v>69957</v>
      </c>
      <c r="L10" s="461">
        <v>0.53300000000000003</v>
      </c>
      <c r="M10" s="461">
        <v>0.29399999999999998</v>
      </c>
    </row>
    <row r="11" spans="1:13" x14ac:dyDescent="0.35">
      <c r="A11" s="1000" t="s">
        <v>37</v>
      </c>
      <c r="B11" s="461">
        <v>289</v>
      </c>
      <c r="C11" s="461">
        <v>641</v>
      </c>
      <c r="D11" s="461">
        <v>930</v>
      </c>
      <c r="E11" s="461">
        <v>450</v>
      </c>
      <c r="F11" s="461">
        <v>284</v>
      </c>
      <c r="G11" s="461">
        <v>166</v>
      </c>
      <c r="H11" s="461">
        <v>75027</v>
      </c>
      <c r="I11" s="461">
        <v>1.24</v>
      </c>
      <c r="J11" s="461">
        <v>0.6</v>
      </c>
      <c r="K11" s="461">
        <v>70689</v>
      </c>
      <c r="L11" s="461">
        <v>1.3160000000000001</v>
      </c>
      <c r="M11" s="461">
        <v>0.63700000000000001</v>
      </c>
    </row>
    <row r="12" spans="1:13" x14ac:dyDescent="0.35">
      <c r="A12" s="1000" t="s">
        <v>38</v>
      </c>
      <c r="B12" s="461">
        <v>172</v>
      </c>
      <c r="C12" s="461">
        <v>316</v>
      </c>
      <c r="D12" s="461">
        <v>488</v>
      </c>
      <c r="E12" s="461">
        <v>299</v>
      </c>
      <c r="F12" s="461">
        <v>222</v>
      </c>
      <c r="G12" s="461">
        <v>77</v>
      </c>
      <c r="H12" s="461">
        <v>58821</v>
      </c>
      <c r="I12" s="461">
        <v>0.83</v>
      </c>
      <c r="J12" s="461">
        <v>0.50800000000000001</v>
      </c>
      <c r="K12" s="461">
        <v>55564</v>
      </c>
      <c r="L12" s="461">
        <v>0.878</v>
      </c>
      <c r="M12" s="461">
        <v>0.53800000000000003</v>
      </c>
    </row>
    <row r="13" spans="1:13" x14ac:dyDescent="0.35">
      <c r="A13" s="1000" t="s">
        <v>39</v>
      </c>
      <c r="B13" s="461">
        <v>229</v>
      </c>
      <c r="C13" s="461">
        <v>178</v>
      </c>
      <c r="D13" s="461">
        <v>407</v>
      </c>
      <c r="E13" s="461">
        <v>371</v>
      </c>
      <c r="F13" s="461">
        <v>238</v>
      </c>
      <c r="G13" s="461">
        <v>133</v>
      </c>
      <c r="H13" s="461">
        <v>47251</v>
      </c>
      <c r="I13" s="461">
        <v>0.86099999999999999</v>
      </c>
      <c r="J13" s="461">
        <v>0.78500000000000003</v>
      </c>
      <c r="K13" s="461">
        <v>46563</v>
      </c>
      <c r="L13" s="461">
        <v>0.874</v>
      </c>
      <c r="M13" s="461">
        <v>0.79700000000000004</v>
      </c>
    </row>
    <row r="14" spans="1:13" x14ac:dyDescent="0.35">
      <c r="A14" s="1000" t="s">
        <v>40</v>
      </c>
      <c r="B14" s="461">
        <v>125</v>
      </c>
      <c r="C14" s="461">
        <v>156</v>
      </c>
      <c r="D14" s="461">
        <v>281</v>
      </c>
      <c r="E14" s="461">
        <v>227</v>
      </c>
      <c r="F14" s="461">
        <v>163</v>
      </c>
      <c r="G14" s="461">
        <v>64</v>
      </c>
      <c r="H14" s="461">
        <v>49642</v>
      </c>
      <c r="I14" s="461">
        <v>0.56599999999999995</v>
      </c>
      <c r="J14" s="461">
        <v>0.45700000000000002</v>
      </c>
      <c r="K14" s="461">
        <v>47482</v>
      </c>
      <c r="L14" s="461">
        <v>0.59199999999999997</v>
      </c>
      <c r="M14" s="461">
        <v>0.47799999999999998</v>
      </c>
    </row>
    <row r="15" spans="1:13" x14ac:dyDescent="0.35">
      <c r="A15" s="1000" t="s">
        <v>41</v>
      </c>
      <c r="B15" s="461">
        <v>205</v>
      </c>
      <c r="C15" s="461">
        <v>173</v>
      </c>
      <c r="D15" s="461">
        <v>378</v>
      </c>
      <c r="E15" s="461">
        <v>323</v>
      </c>
      <c r="F15" s="461">
        <v>222</v>
      </c>
      <c r="G15" s="461">
        <v>101</v>
      </c>
      <c r="H15" s="461">
        <v>39453</v>
      </c>
      <c r="I15" s="461">
        <v>0.95799999999999996</v>
      </c>
      <c r="J15" s="461">
        <v>0.81899999999999995</v>
      </c>
      <c r="K15" s="461">
        <v>39586</v>
      </c>
      <c r="L15" s="461">
        <v>0.95499999999999996</v>
      </c>
      <c r="M15" s="461">
        <v>0.81599999999999995</v>
      </c>
    </row>
    <row r="16" spans="1:13" x14ac:dyDescent="0.35">
      <c r="A16" s="1000" t="s">
        <v>42</v>
      </c>
      <c r="B16" s="461">
        <v>158</v>
      </c>
      <c r="C16" s="461">
        <v>298</v>
      </c>
      <c r="D16" s="461">
        <v>456</v>
      </c>
      <c r="E16" s="461">
        <v>252</v>
      </c>
      <c r="F16" s="461">
        <v>181</v>
      </c>
      <c r="G16" s="461">
        <v>71</v>
      </c>
      <c r="H16" s="461">
        <v>75595</v>
      </c>
      <c r="I16" s="461">
        <v>0.60299999999999998</v>
      </c>
      <c r="J16" s="461">
        <v>0.33300000000000002</v>
      </c>
      <c r="K16" s="461">
        <v>72994</v>
      </c>
      <c r="L16" s="461">
        <v>0.625</v>
      </c>
      <c r="M16" s="461">
        <v>0.34499999999999997</v>
      </c>
    </row>
    <row r="17" spans="1:13" x14ac:dyDescent="0.35">
      <c r="A17" s="1000" t="s">
        <v>43</v>
      </c>
      <c r="B17" s="461">
        <v>580</v>
      </c>
      <c r="C17" s="461">
        <v>722</v>
      </c>
      <c r="D17" s="461">
        <v>1302</v>
      </c>
      <c r="E17" s="461">
        <v>981</v>
      </c>
      <c r="F17" s="461">
        <v>654</v>
      </c>
      <c r="G17" s="461">
        <v>327</v>
      </c>
      <c r="H17" s="461">
        <v>179232</v>
      </c>
      <c r="I17" s="461">
        <v>0.72599999999999998</v>
      </c>
      <c r="J17" s="461">
        <v>0.54700000000000004</v>
      </c>
      <c r="K17" s="461">
        <v>169886</v>
      </c>
      <c r="L17" s="461">
        <v>0.76600000000000001</v>
      </c>
      <c r="M17" s="461">
        <v>0.57699999999999996</v>
      </c>
    </row>
    <row r="18" spans="1:13" x14ac:dyDescent="0.35">
      <c r="A18" s="1000" t="s">
        <v>114</v>
      </c>
      <c r="B18" s="461">
        <v>771</v>
      </c>
      <c r="C18" s="461">
        <v>1323</v>
      </c>
      <c r="D18" s="461">
        <v>2094</v>
      </c>
      <c r="E18" s="461">
        <v>1149</v>
      </c>
      <c r="F18" s="461">
        <v>906</v>
      </c>
      <c r="G18" s="461">
        <v>243</v>
      </c>
      <c r="H18" s="461">
        <v>317193</v>
      </c>
      <c r="I18" s="461">
        <v>0.66</v>
      </c>
      <c r="J18" s="461">
        <v>0.36199999999999999</v>
      </c>
      <c r="K18" s="461">
        <v>295761</v>
      </c>
      <c r="L18" s="461">
        <v>0.70799999999999996</v>
      </c>
      <c r="M18" s="461">
        <v>0.38800000000000001</v>
      </c>
    </row>
    <row r="19" spans="1:13" x14ac:dyDescent="0.35">
      <c r="A19" s="1000" t="s">
        <v>44</v>
      </c>
      <c r="B19" s="461">
        <v>164</v>
      </c>
      <c r="C19" s="461">
        <v>632</v>
      </c>
      <c r="D19" s="461">
        <v>796</v>
      </c>
      <c r="E19" s="461">
        <v>334</v>
      </c>
      <c r="F19" s="461">
        <v>167</v>
      </c>
      <c r="G19" s="461">
        <v>167</v>
      </c>
      <c r="H19" s="461">
        <v>119918</v>
      </c>
      <c r="I19" s="461">
        <v>0.66400000000000003</v>
      </c>
      <c r="J19" s="461">
        <v>0.27900000000000003</v>
      </c>
      <c r="K19" s="461">
        <v>110084</v>
      </c>
      <c r="L19" s="461">
        <v>0.72299999999999998</v>
      </c>
      <c r="M19" s="461">
        <v>0.30299999999999999</v>
      </c>
    </row>
    <row r="20" spans="1:13" x14ac:dyDescent="0.35">
      <c r="A20" s="1000" t="s">
        <v>45</v>
      </c>
      <c r="B20" s="461">
        <v>293</v>
      </c>
      <c r="C20" s="461">
        <v>200</v>
      </c>
      <c r="D20" s="461">
        <v>493</v>
      </c>
      <c r="E20" s="461">
        <v>469</v>
      </c>
      <c r="F20" s="461">
        <v>339</v>
      </c>
      <c r="G20" s="461">
        <v>130</v>
      </c>
      <c r="H20" s="461">
        <v>39107</v>
      </c>
      <c r="I20" s="461">
        <v>1.2610000000000001</v>
      </c>
      <c r="J20" s="461">
        <v>1.1990000000000001</v>
      </c>
      <c r="K20" s="461">
        <v>37646</v>
      </c>
      <c r="L20" s="461">
        <v>1.31</v>
      </c>
      <c r="M20" s="461">
        <v>1.246</v>
      </c>
    </row>
    <row r="21" spans="1:13" x14ac:dyDescent="0.35">
      <c r="A21" s="1000" t="s">
        <v>46</v>
      </c>
      <c r="B21" s="461">
        <v>104</v>
      </c>
      <c r="C21" s="461">
        <v>201</v>
      </c>
      <c r="D21" s="461">
        <v>305</v>
      </c>
      <c r="E21" s="461">
        <v>173</v>
      </c>
      <c r="F21" s="461">
        <v>115</v>
      </c>
      <c r="G21" s="461">
        <v>58</v>
      </c>
      <c r="H21" s="461">
        <v>41657</v>
      </c>
      <c r="I21" s="461">
        <v>0.73199999999999998</v>
      </c>
      <c r="J21" s="461">
        <v>0.41499999999999998</v>
      </c>
      <c r="K21" s="461">
        <v>40137</v>
      </c>
      <c r="L21" s="461">
        <v>0.76</v>
      </c>
      <c r="M21" s="461">
        <v>0.43099999999999999</v>
      </c>
    </row>
    <row r="22" spans="1:13" x14ac:dyDescent="0.35">
      <c r="A22" s="1000" t="s">
        <v>47</v>
      </c>
      <c r="B22" s="461">
        <v>86</v>
      </c>
      <c r="C22" s="461">
        <v>260</v>
      </c>
      <c r="D22" s="461">
        <v>346</v>
      </c>
      <c r="E22" s="461">
        <v>158</v>
      </c>
      <c r="F22" s="461">
        <v>97</v>
      </c>
      <c r="G22" s="461">
        <v>61</v>
      </c>
      <c r="H22" s="461">
        <v>45838</v>
      </c>
      <c r="I22" s="461">
        <v>0.755</v>
      </c>
      <c r="J22" s="461">
        <v>0.34499999999999997</v>
      </c>
      <c r="K22" s="461">
        <v>43175</v>
      </c>
      <c r="L22" s="461">
        <v>0.80100000000000005</v>
      </c>
      <c r="M22" s="461">
        <v>0.36599999999999999</v>
      </c>
    </row>
    <row r="23" spans="1:13" x14ac:dyDescent="0.35">
      <c r="A23" s="1000" t="s">
        <v>48</v>
      </c>
      <c r="B23" s="461">
        <v>23</v>
      </c>
      <c r="C23" s="461">
        <v>34</v>
      </c>
      <c r="D23" s="461">
        <v>57</v>
      </c>
      <c r="E23" s="461">
        <v>38</v>
      </c>
      <c r="F23" s="461">
        <v>26</v>
      </c>
      <c r="G23" s="461">
        <v>12</v>
      </c>
      <c r="H23" s="461">
        <v>14764</v>
      </c>
      <c r="I23" s="461">
        <v>0.38600000000000001</v>
      </c>
      <c r="J23" s="461">
        <v>0.25700000000000001</v>
      </c>
      <c r="K23" s="461">
        <v>12849</v>
      </c>
      <c r="L23" s="461">
        <v>0.44400000000000001</v>
      </c>
      <c r="M23" s="461">
        <v>0.29599999999999999</v>
      </c>
    </row>
    <row r="24" spans="1:13" x14ac:dyDescent="0.35">
      <c r="A24" s="1000" t="s">
        <v>49</v>
      </c>
      <c r="B24" s="461">
        <v>230</v>
      </c>
      <c r="C24" s="461">
        <v>322</v>
      </c>
      <c r="D24" s="461">
        <v>552</v>
      </c>
      <c r="E24" s="461">
        <v>405</v>
      </c>
      <c r="F24" s="461">
        <v>255</v>
      </c>
      <c r="G24" s="461">
        <v>150</v>
      </c>
      <c r="H24" s="461">
        <v>68843</v>
      </c>
      <c r="I24" s="461">
        <v>0.80200000000000005</v>
      </c>
      <c r="J24" s="461">
        <v>0.58799999999999997</v>
      </c>
      <c r="K24" s="461">
        <v>64415</v>
      </c>
      <c r="L24" s="461">
        <v>0.85699999999999998</v>
      </c>
      <c r="M24" s="461">
        <v>0.629</v>
      </c>
    </row>
    <row r="25" spans="1:13" x14ac:dyDescent="0.35">
      <c r="A25" s="1000" t="s">
        <v>50</v>
      </c>
      <c r="B25" s="461">
        <v>678</v>
      </c>
      <c r="C25" s="461">
        <v>1190</v>
      </c>
      <c r="D25" s="461">
        <v>1868</v>
      </c>
      <c r="E25" s="461">
        <v>1121</v>
      </c>
      <c r="F25" s="461">
        <v>858</v>
      </c>
      <c r="G25" s="461">
        <v>263</v>
      </c>
      <c r="H25" s="461">
        <v>157625</v>
      </c>
      <c r="I25" s="461">
        <v>1.1850000000000001</v>
      </c>
      <c r="J25" s="461">
        <v>0.71099999999999997</v>
      </c>
      <c r="K25" s="461">
        <v>152910</v>
      </c>
      <c r="L25" s="461">
        <v>1.222</v>
      </c>
      <c r="M25" s="461">
        <v>0.73299999999999998</v>
      </c>
    </row>
    <row r="26" spans="1:13" x14ac:dyDescent="0.35">
      <c r="A26" s="1000" t="s">
        <v>51</v>
      </c>
      <c r="B26" s="461">
        <v>35</v>
      </c>
      <c r="C26" s="461">
        <v>35</v>
      </c>
      <c r="D26" s="461">
        <v>70</v>
      </c>
      <c r="E26" s="461">
        <v>84</v>
      </c>
      <c r="F26" s="461">
        <v>45</v>
      </c>
      <c r="G26" s="461">
        <v>39</v>
      </c>
      <c r="H26" s="461">
        <v>11391</v>
      </c>
      <c r="I26" s="461">
        <v>0.61499999999999999</v>
      </c>
      <c r="J26" s="461">
        <v>0.73699999999999999</v>
      </c>
      <c r="K26" s="461">
        <v>10635</v>
      </c>
      <c r="L26" s="461">
        <v>0.65800000000000003</v>
      </c>
      <c r="M26" s="461">
        <v>0.79</v>
      </c>
    </row>
    <row r="27" spans="1:13" x14ac:dyDescent="0.35">
      <c r="A27" s="1000" t="s">
        <v>52</v>
      </c>
      <c r="B27" s="461">
        <v>166</v>
      </c>
      <c r="C27" s="461">
        <v>376</v>
      </c>
      <c r="D27" s="461">
        <v>542</v>
      </c>
      <c r="E27" s="461">
        <v>288</v>
      </c>
      <c r="F27" s="461">
        <v>186</v>
      </c>
      <c r="G27" s="461">
        <v>102</v>
      </c>
      <c r="H27" s="461">
        <v>73775</v>
      </c>
      <c r="I27" s="461">
        <v>0.73499999999999999</v>
      </c>
      <c r="J27" s="461">
        <v>0.39</v>
      </c>
      <c r="K27" s="461">
        <v>69432</v>
      </c>
      <c r="L27" s="461">
        <v>0.78100000000000003</v>
      </c>
      <c r="M27" s="461">
        <v>0.41499999999999998</v>
      </c>
    </row>
    <row r="28" spans="1:13" x14ac:dyDescent="0.35">
      <c r="A28" s="1000" t="s">
        <v>53</v>
      </c>
      <c r="B28" s="461">
        <v>335</v>
      </c>
      <c r="C28" s="461">
        <v>353</v>
      </c>
      <c r="D28" s="461">
        <v>688</v>
      </c>
      <c r="E28" s="461">
        <v>551</v>
      </c>
      <c r="F28" s="461">
        <v>425</v>
      </c>
      <c r="G28" s="461">
        <v>126</v>
      </c>
      <c r="H28" s="461">
        <v>88624</v>
      </c>
      <c r="I28" s="461">
        <v>0.77600000000000002</v>
      </c>
      <c r="J28" s="461">
        <v>0.622</v>
      </c>
      <c r="K28" s="461">
        <v>87241</v>
      </c>
      <c r="L28" s="461">
        <v>0.78900000000000003</v>
      </c>
      <c r="M28" s="461">
        <v>0.63200000000000001</v>
      </c>
    </row>
    <row r="29" spans="1:13" x14ac:dyDescent="0.35">
      <c r="A29" s="1000" t="s">
        <v>54</v>
      </c>
      <c r="B29" s="461">
        <v>268</v>
      </c>
      <c r="C29" s="461">
        <v>381</v>
      </c>
      <c r="D29" s="461">
        <v>649</v>
      </c>
      <c r="E29" s="461">
        <v>448</v>
      </c>
      <c r="F29" s="461">
        <v>253</v>
      </c>
      <c r="G29" s="461">
        <v>195</v>
      </c>
      <c r="H29" s="461">
        <v>58814</v>
      </c>
      <c r="I29" s="461">
        <v>1.103</v>
      </c>
      <c r="J29" s="461">
        <v>0.76200000000000001</v>
      </c>
      <c r="K29" s="461">
        <v>54796</v>
      </c>
      <c r="L29" s="461">
        <v>1.1839999999999999</v>
      </c>
      <c r="M29" s="461">
        <v>0.81799999999999995</v>
      </c>
    </row>
    <row r="30" spans="1:13" x14ac:dyDescent="0.35">
      <c r="A30" s="1000" t="s">
        <v>55</v>
      </c>
      <c r="B30" s="461">
        <v>17</v>
      </c>
      <c r="C30" s="461">
        <v>123</v>
      </c>
      <c r="D30" s="461">
        <v>140</v>
      </c>
      <c r="E30" s="461">
        <v>34</v>
      </c>
      <c r="F30" s="461">
        <v>8</v>
      </c>
      <c r="G30" s="461">
        <v>26</v>
      </c>
      <c r="H30" s="461">
        <v>11374</v>
      </c>
      <c r="I30" s="461">
        <v>1.2310000000000001</v>
      </c>
      <c r="J30" s="461">
        <v>0.29899999999999999</v>
      </c>
      <c r="K30" s="461">
        <v>10461</v>
      </c>
      <c r="L30" s="461">
        <v>1.3380000000000001</v>
      </c>
      <c r="M30" s="461">
        <v>0.32500000000000001</v>
      </c>
    </row>
    <row r="31" spans="1:13" x14ac:dyDescent="0.35">
      <c r="A31" s="1000" t="s">
        <v>56</v>
      </c>
      <c r="B31" s="461">
        <v>131</v>
      </c>
      <c r="C31" s="461">
        <v>270</v>
      </c>
      <c r="D31" s="461">
        <v>401</v>
      </c>
      <c r="E31" s="461">
        <v>253</v>
      </c>
      <c r="F31" s="461">
        <v>197</v>
      </c>
      <c r="G31" s="461">
        <v>56</v>
      </c>
      <c r="H31" s="461">
        <v>55793</v>
      </c>
      <c r="I31" s="461">
        <v>0.71899999999999997</v>
      </c>
      <c r="J31" s="461">
        <v>0.45300000000000001</v>
      </c>
      <c r="K31" s="461">
        <v>52571</v>
      </c>
      <c r="L31" s="461">
        <v>0.76300000000000001</v>
      </c>
      <c r="M31" s="461">
        <v>0.48099999999999998</v>
      </c>
    </row>
    <row r="32" spans="1:13" x14ac:dyDescent="0.35">
      <c r="A32" s="1000" t="s">
        <v>57</v>
      </c>
      <c r="B32" s="461">
        <v>580</v>
      </c>
      <c r="C32" s="461">
        <v>758</v>
      </c>
      <c r="D32" s="461">
        <v>1338</v>
      </c>
      <c r="E32" s="461">
        <v>980</v>
      </c>
      <c r="F32" s="461">
        <v>746</v>
      </c>
      <c r="G32" s="461">
        <v>234</v>
      </c>
      <c r="H32" s="461">
        <v>153863</v>
      </c>
      <c r="I32" s="461">
        <v>0.87</v>
      </c>
      <c r="J32" s="461">
        <v>0.63700000000000001</v>
      </c>
      <c r="K32" s="461">
        <v>148483</v>
      </c>
      <c r="L32" s="461">
        <v>0.90100000000000002</v>
      </c>
      <c r="M32" s="461">
        <v>0.66</v>
      </c>
    </row>
    <row r="33" spans="1:13" x14ac:dyDescent="0.35">
      <c r="A33" s="1000" t="s">
        <v>58</v>
      </c>
      <c r="B33" s="461">
        <v>63</v>
      </c>
      <c r="C33" s="461">
        <v>108</v>
      </c>
      <c r="D33" s="461">
        <v>171</v>
      </c>
      <c r="E33" s="461">
        <v>120</v>
      </c>
      <c r="F33" s="461">
        <v>76</v>
      </c>
      <c r="G33" s="461">
        <v>44</v>
      </c>
      <c r="H33" s="461">
        <v>41950</v>
      </c>
      <c r="I33" s="461">
        <v>0.40799999999999997</v>
      </c>
      <c r="J33" s="461">
        <v>0.28599999999999998</v>
      </c>
      <c r="K33" s="461">
        <v>39896</v>
      </c>
      <c r="L33" s="461">
        <v>0.42899999999999999</v>
      </c>
      <c r="M33" s="461">
        <v>0.30099999999999999</v>
      </c>
    </row>
    <row r="34" spans="1:13" x14ac:dyDescent="0.35">
      <c r="A34" s="1000" t="s">
        <v>59</v>
      </c>
      <c r="B34" s="461">
        <v>221</v>
      </c>
      <c r="C34" s="461">
        <v>356</v>
      </c>
      <c r="D34" s="461">
        <v>577</v>
      </c>
      <c r="E34" s="461">
        <v>335</v>
      </c>
      <c r="F34" s="461">
        <v>269</v>
      </c>
      <c r="G34" s="461">
        <v>66</v>
      </c>
      <c r="H34" s="461">
        <v>45148</v>
      </c>
      <c r="I34" s="461">
        <v>1.278</v>
      </c>
      <c r="J34" s="461">
        <v>0.74199999999999999</v>
      </c>
      <c r="K34" s="461">
        <v>43164</v>
      </c>
      <c r="L34" s="461">
        <v>1.337</v>
      </c>
      <c r="M34" s="461">
        <v>0.77600000000000002</v>
      </c>
    </row>
    <row r="35" spans="1:13" x14ac:dyDescent="0.35">
      <c r="A35" s="1000" t="s">
        <v>60</v>
      </c>
      <c r="B35" s="461">
        <v>272</v>
      </c>
      <c r="C35" s="461">
        <v>410</v>
      </c>
      <c r="D35" s="461">
        <v>682</v>
      </c>
      <c r="E35" s="461">
        <v>418</v>
      </c>
      <c r="F35" s="461">
        <v>260</v>
      </c>
      <c r="G35" s="461">
        <v>158</v>
      </c>
      <c r="H35" s="461">
        <v>81723</v>
      </c>
      <c r="I35" s="461">
        <v>0.83499999999999996</v>
      </c>
      <c r="J35" s="461">
        <v>0.51100000000000001</v>
      </c>
      <c r="K35" s="461">
        <v>79892</v>
      </c>
      <c r="L35" s="461">
        <v>0.85399999999999998</v>
      </c>
      <c r="M35" s="461">
        <v>0.52300000000000002</v>
      </c>
    </row>
    <row r="36" spans="1:13" x14ac:dyDescent="0.35">
      <c r="A36" s="1000" t="s">
        <v>239</v>
      </c>
      <c r="B36" s="461">
        <v>7703</v>
      </c>
      <c r="C36" s="461">
        <v>12472</v>
      </c>
      <c r="D36" s="461">
        <v>20175</v>
      </c>
      <c r="E36" s="461">
        <v>12574</v>
      </c>
      <c r="F36" s="461">
        <v>8723</v>
      </c>
      <c r="G36" s="461">
        <v>3851</v>
      </c>
      <c r="H36" s="461">
        <v>2653725</v>
      </c>
      <c r="I36" s="461">
        <v>25.624000000000002</v>
      </c>
      <c r="J36" s="461">
        <v>16.218999999999998</v>
      </c>
      <c r="K36" s="461">
        <v>2507624</v>
      </c>
      <c r="L36" s="461">
        <v>27.078000000000007</v>
      </c>
      <c r="M36" s="461">
        <v>17.079999999999995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257"/>
  <sheetViews>
    <sheetView topLeftCell="B1" workbookViewId="0">
      <selection activeCell="F33" sqref="F33"/>
    </sheetView>
  </sheetViews>
  <sheetFormatPr defaultRowHeight="14.5" x14ac:dyDescent="0.35"/>
  <cols>
    <col min="1" max="1" width="20.36328125" bestFit="1" customWidth="1"/>
    <col min="2" max="2" width="10.453125" bestFit="1" customWidth="1"/>
    <col min="3" max="3" width="22.26953125" bestFit="1" customWidth="1"/>
    <col min="4" max="4" width="18.26953125" bestFit="1" customWidth="1"/>
    <col min="5" max="5" width="12.08984375" bestFit="1" customWidth="1"/>
    <col min="6" max="6" width="17" bestFit="1" customWidth="1"/>
    <col min="7" max="7" width="20.90625" bestFit="1" customWidth="1"/>
    <col min="8" max="8" width="13.1796875" bestFit="1" customWidth="1"/>
    <col min="9" max="9" width="11" bestFit="1" customWidth="1"/>
    <col min="10" max="10" width="20.6328125" bestFit="1" customWidth="1"/>
    <col min="11" max="11" width="22" bestFit="1" customWidth="1"/>
    <col min="12" max="12" width="12.90625" bestFit="1" customWidth="1"/>
    <col min="13" max="13" width="22.54296875" bestFit="1" customWidth="1"/>
    <col min="14" max="14" width="24" bestFit="1" customWidth="1"/>
    <col min="15" max="15" width="7.453125" bestFit="1" customWidth="1"/>
    <col min="16" max="16" width="24" bestFit="1" customWidth="1"/>
  </cols>
  <sheetData>
    <row r="1" spans="1:15" x14ac:dyDescent="0.35">
      <c r="A1" t="s">
        <v>827</v>
      </c>
      <c r="B1" t="s">
        <v>965</v>
      </c>
      <c r="C1" t="s">
        <v>428</v>
      </c>
      <c r="D1" t="s">
        <v>124</v>
      </c>
      <c r="E1" t="s">
        <v>120</v>
      </c>
      <c r="F1" t="s">
        <v>966</v>
      </c>
      <c r="G1" t="s">
        <v>967</v>
      </c>
      <c r="H1" t="s">
        <v>968</v>
      </c>
      <c r="I1" t="s">
        <v>969</v>
      </c>
      <c r="J1" t="s">
        <v>970</v>
      </c>
      <c r="K1" t="s">
        <v>971</v>
      </c>
      <c r="L1" t="s">
        <v>423</v>
      </c>
      <c r="M1" t="s">
        <v>972</v>
      </c>
      <c r="N1" t="s">
        <v>973</v>
      </c>
      <c r="O1" t="s">
        <v>1</v>
      </c>
    </row>
    <row r="2" spans="1:15" x14ac:dyDescent="0.35">
      <c r="A2" t="s">
        <v>43</v>
      </c>
      <c r="B2" t="s">
        <v>380</v>
      </c>
      <c r="C2">
        <v>3531</v>
      </c>
      <c r="D2">
        <v>3068</v>
      </c>
      <c r="E2">
        <v>6599</v>
      </c>
      <c r="F2">
        <v>3943</v>
      </c>
      <c r="G2">
        <v>1691</v>
      </c>
      <c r="H2">
        <v>5634</v>
      </c>
      <c r="I2">
        <v>171560</v>
      </c>
      <c r="J2">
        <v>3.8460000000000001</v>
      </c>
      <c r="K2">
        <v>3.2839999999999998</v>
      </c>
      <c r="L2">
        <v>162200</v>
      </c>
      <c r="M2">
        <v>4.0679999999999996</v>
      </c>
      <c r="N2">
        <v>3.4729999999999999</v>
      </c>
      <c r="O2" t="s">
        <v>194</v>
      </c>
    </row>
    <row r="3" spans="1:15" x14ac:dyDescent="0.35">
      <c r="A3" t="s">
        <v>44</v>
      </c>
      <c r="B3" t="s">
        <v>274</v>
      </c>
      <c r="C3">
        <v>1287</v>
      </c>
      <c r="D3">
        <v>2547</v>
      </c>
      <c r="E3">
        <v>3834</v>
      </c>
      <c r="F3">
        <v>1317</v>
      </c>
      <c r="G3">
        <v>724</v>
      </c>
      <c r="H3">
        <v>2041</v>
      </c>
      <c r="I3">
        <v>113703</v>
      </c>
      <c r="J3">
        <v>3.3719999999999999</v>
      </c>
      <c r="K3">
        <v>1.7949999999999999</v>
      </c>
      <c r="L3">
        <v>104445</v>
      </c>
      <c r="M3">
        <v>3.6710000000000003</v>
      </c>
      <c r="N3">
        <v>1.954</v>
      </c>
      <c r="O3" t="s">
        <v>194</v>
      </c>
    </row>
    <row r="4" spans="1:15" x14ac:dyDescent="0.35">
      <c r="A4" t="s">
        <v>49</v>
      </c>
      <c r="B4" t="s">
        <v>278</v>
      </c>
      <c r="C4">
        <v>958</v>
      </c>
      <c r="D4">
        <v>660</v>
      </c>
      <c r="E4">
        <v>1618</v>
      </c>
      <c r="F4">
        <v>972</v>
      </c>
      <c r="G4">
        <v>661</v>
      </c>
      <c r="H4">
        <v>1633</v>
      </c>
      <c r="I4">
        <v>67082</v>
      </c>
      <c r="J4">
        <v>2.4119999999999999</v>
      </c>
      <c r="K4">
        <v>2.4340000000000002</v>
      </c>
      <c r="L4">
        <v>62613</v>
      </c>
      <c r="M4">
        <v>2.5840000000000001</v>
      </c>
      <c r="N4">
        <v>2.6080000000000001</v>
      </c>
      <c r="O4" t="s">
        <v>194</v>
      </c>
    </row>
    <row r="5" spans="1:15" x14ac:dyDescent="0.35">
      <c r="A5" t="s">
        <v>53</v>
      </c>
      <c r="B5" t="s">
        <v>290</v>
      </c>
      <c r="C5">
        <v>1045</v>
      </c>
      <c r="D5">
        <v>832</v>
      </c>
      <c r="E5">
        <v>1877</v>
      </c>
      <c r="F5">
        <v>1240</v>
      </c>
      <c r="G5">
        <v>486</v>
      </c>
      <c r="H5">
        <v>1726</v>
      </c>
      <c r="I5">
        <v>83933</v>
      </c>
      <c r="J5">
        <v>2.2359999999999998</v>
      </c>
      <c r="K5">
        <v>2.056</v>
      </c>
      <c r="L5">
        <v>81787</v>
      </c>
      <c r="M5">
        <v>2.2949999999999999</v>
      </c>
      <c r="N5">
        <v>2.11</v>
      </c>
      <c r="O5" t="s">
        <v>194</v>
      </c>
    </row>
    <row r="6" spans="1:15" x14ac:dyDescent="0.35">
      <c r="A6" t="s">
        <v>37</v>
      </c>
      <c r="B6" t="s">
        <v>294</v>
      </c>
      <c r="C6">
        <v>698</v>
      </c>
      <c r="D6">
        <v>3024</v>
      </c>
      <c r="E6">
        <v>3722</v>
      </c>
      <c r="F6">
        <v>677</v>
      </c>
      <c r="G6">
        <v>308</v>
      </c>
      <c r="H6">
        <v>985</v>
      </c>
      <c r="I6">
        <v>73575</v>
      </c>
      <c r="J6">
        <v>5.0590000000000002</v>
      </c>
      <c r="K6">
        <v>1.339</v>
      </c>
      <c r="L6">
        <v>69610</v>
      </c>
      <c r="M6">
        <v>5.3469999999999995</v>
      </c>
      <c r="N6">
        <v>1.415</v>
      </c>
      <c r="O6" t="s">
        <v>193</v>
      </c>
    </row>
    <row r="7" spans="1:15" x14ac:dyDescent="0.35">
      <c r="A7" t="s">
        <v>114</v>
      </c>
      <c r="B7" t="s">
        <v>297</v>
      </c>
      <c r="C7">
        <v>2493</v>
      </c>
      <c r="D7">
        <v>3638</v>
      </c>
      <c r="E7">
        <v>6131</v>
      </c>
      <c r="F7">
        <v>2836</v>
      </c>
      <c r="G7">
        <v>867</v>
      </c>
      <c r="H7">
        <v>3703</v>
      </c>
      <c r="I7">
        <v>301891</v>
      </c>
      <c r="J7">
        <v>2.0310000000000001</v>
      </c>
      <c r="K7">
        <v>1.2270000000000001</v>
      </c>
      <c r="L7">
        <v>286377</v>
      </c>
      <c r="M7">
        <v>2.141</v>
      </c>
      <c r="N7">
        <v>1.2929999999999999</v>
      </c>
      <c r="O7" t="s">
        <v>193</v>
      </c>
    </row>
    <row r="8" spans="1:15" x14ac:dyDescent="0.35">
      <c r="A8" t="s">
        <v>44</v>
      </c>
      <c r="B8" t="s">
        <v>274</v>
      </c>
      <c r="C8">
        <v>962</v>
      </c>
      <c r="D8">
        <v>2623</v>
      </c>
      <c r="E8">
        <v>3585</v>
      </c>
      <c r="F8">
        <v>1042</v>
      </c>
      <c r="G8">
        <v>500</v>
      </c>
      <c r="H8">
        <v>1542</v>
      </c>
      <c r="I8">
        <v>114603</v>
      </c>
      <c r="J8">
        <v>3.1280000000000001</v>
      </c>
      <c r="K8">
        <v>1.3460000000000001</v>
      </c>
      <c r="L8">
        <v>105711</v>
      </c>
      <c r="M8">
        <v>3.391</v>
      </c>
      <c r="N8">
        <v>1.4590000000000001</v>
      </c>
      <c r="O8" t="s">
        <v>193</v>
      </c>
    </row>
    <row r="9" spans="1:15" x14ac:dyDescent="0.35">
      <c r="A9" t="s">
        <v>56</v>
      </c>
      <c r="B9" t="s">
        <v>283</v>
      </c>
      <c r="C9">
        <v>608</v>
      </c>
      <c r="D9">
        <v>517</v>
      </c>
      <c r="E9">
        <v>1125</v>
      </c>
      <c r="F9">
        <v>715</v>
      </c>
      <c r="G9">
        <v>318</v>
      </c>
      <c r="H9">
        <v>1033</v>
      </c>
      <c r="I9">
        <v>54489</v>
      </c>
      <c r="J9">
        <v>2.0649999999999999</v>
      </c>
      <c r="K9">
        <v>1.8959999999999999</v>
      </c>
      <c r="L9">
        <v>51874</v>
      </c>
      <c r="M9">
        <v>2.169</v>
      </c>
      <c r="N9">
        <v>1.9910000000000001</v>
      </c>
      <c r="O9" t="s">
        <v>193</v>
      </c>
    </row>
    <row r="10" spans="1:15" x14ac:dyDescent="0.35">
      <c r="A10" t="s">
        <v>58</v>
      </c>
      <c r="B10" t="s">
        <v>285</v>
      </c>
      <c r="C10">
        <v>352</v>
      </c>
      <c r="D10">
        <v>667</v>
      </c>
      <c r="E10">
        <v>1019</v>
      </c>
      <c r="F10">
        <v>391</v>
      </c>
      <c r="G10">
        <v>166</v>
      </c>
      <c r="H10">
        <v>557</v>
      </c>
      <c r="I10">
        <v>40320</v>
      </c>
      <c r="J10">
        <v>2.5270000000000001</v>
      </c>
      <c r="K10">
        <v>1.381</v>
      </c>
      <c r="L10">
        <v>38310</v>
      </c>
      <c r="M10">
        <v>2.66</v>
      </c>
      <c r="N10">
        <v>1.454</v>
      </c>
      <c r="O10" t="s">
        <v>193</v>
      </c>
    </row>
    <row r="11" spans="1:15" x14ac:dyDescent="0.35">
      <c r="A11" t="s">
        <v>41</v>
      </c>
      <c r="B11" t="s">
        <v>271</v>
      </c>
      <c r="C11">
        <v>587</v>
      </c>
      <c r="D11">
        <v>1106</v>
      </c>
      <c r="E11">
        <v>1693</v>
      </c>
      <c r="F11">
        <v>640</v>
      </c>
      <c r="G11">
        <v>250</v>
      </c>
      <c r="H11">
        <v>890</v>
      </c>
      <c r="I11">
        <v>38061</v>
      </c>
      <c r="J11">
        <v>4.4480000000000004</v>
      </c>
      <c r="K11">
        <v>2.3380000000000001</v>
      </c>
      <c r="L11">
        <v>38270</v>
      </c>
      <c r="M11">
        <v>4.4240000000000004</v>
      </c>
      <c r="N11">
        <v>2.3260000000000001</v>
      </c>
      <c r="O11" t="s">
        <v>192</v>
      </c>
    </row>
    <row r="12" spans="1:15" x14ac:dyDescent="0.35">
      <c r="A12" t="s">
        <v>60</v>
      </c>
      <c r="B12" t="s">
        <v>292</v>
      </c>
      <c r="C12">
        <v>1092</v>
      </c>
      <c r="D12">
        <v>779</v>
      </c>
      <c r="E12">
        <v>1871</v>
      </c>
      <c r="F12">
        <v>1051</v>
      </c>
      <c r="G12">
        <v>659</v>
      </c>
      <c r="H12">
        <v>1710</v>
      </c>
      <c r="I12">
        <v>77834</v>
      </c>
      <c r="J12">
        <v>2.4039999999999999</v>
      </c>
      <c r="K12">
        <v>2.1970000000000001</v>
      </c>
      <c r="L12">
        <v>75782</v>
      </c>
      <c r="M12">
        <v>2.4689999999999999</v>
      </c>
      <c r="N12">
        <v>2.2560000000000002</v>
      </c>
      <c r="O12" t="s">
        <v>192</v>
      </c>
    </row>
    <row r="13" spans="1:15" x14ac:dyDescent="0.35">
      <c r="A13" t="s">
        <v>37</v>
      </c>
      <c r="B13" t="s">
        <v>294</v>
      </c>
      <c r="C13">
        <v>870</v>
      </c>
      <c r="D13">
        <v>3053</v>
      </c>
      <c r="E13">
        <v>3923</v>
      </c>
      <c r="F13">
        <v>823</v>
      </c>
      <c r="G13">
        <v>377</v>
      </c>
      <c r="H13">
        <v>1200</v>
      </c>
      <c r="I13">
        <v>74026</v>
      </c>
      <c r="J13">
        <v>5.2990000000000004</v>
      </c>
      <c r="K13">
        <v>1.621</v>
      </c>
      <c r="L13">
        <v>69635</v>
      </c>
      <c r="M13">
        <v>5.6340000000000003</v>
      </c>
      <c r="N13">
        <v>1.7229999999999999</v>
      </c>
      <c r="O13" t="s">
        <v>258</v>
      </c>
    </row>
    <row r="14" spans="1:15" x14ac:dyDescent="0.35">
      <c r="A14" t="s">
        <v>38</v>
      </c>
      <c r="B14" t="s">
        <v>269</v>
      </c>
      <c r="C14">
        <v>574</v>
      </c>
      <c r="D14">
        <v>681</v>
      </c>
      <c r="E14">
        <v>1255</v>
      </c>
      <c r="F14">
        <v>584</v>
      </c>
      <c r="G14">
        <v>364</v>
      </c>
      <c r="H14">
        <v>948</v>
      </c>
      <c r="I14">
        <v>57873</v>
      </c>
      <c r="J14">
        <v>2.169</v>
      </c>
      <c r="K14">
        <v>1.6379999999999999</v>
      </c>
      <c r="L14">
        <v>54748</v>
      </c>
      <c r="M14">
        <v>2.2919999999999998</v>
      </c>
      <c r="N14">
        <v>1.732</v>
      </c>
      <c r="O14" t="s">
        <v>258</v>
      </c>
    </row>
    <row r="15" spans="1:15" x14ac:dyDescent="0.35">
      <c r="A15" t="s">
        <v>42</v>
      </c>
      <c r="B15" t="s">
        <v>273</v>
      </c>
      <c r="C15">
        <v>570</v>
      </c>
      <c r="D15">
        <v>980</v>
      </c>
      <c r="E15">
        <v>1550</v>
      </c>
      <c r="F15">
        <v>612</v>
      </c>
      <c r="G15">
        <v>266</v>
      </c>
      <c r="H15">
        <v>878</v>
      </c>
      <c r="I15">
        <v>73767</v>
      </c>
      <c r="J15">
        <v>2.101</v>
      </c>
      <c r="K15">
        <v>1.19</v>
      </c>
      <c r="L15">
        <v>71072</v>
      </c>
      <c r="M15">
        <v>2.181</v>
      </c>
      <c r="N15">
        <v>1.2349999999999999</v>
      </c>
      <c r="O15" t="s">
        <v>258</v>
      </c>
    </row>
    <row r="16" spans="1:15" x14ac:dyDescent="0.35">
      <c r="A16" t="s">
        <v>46</v>
      </c>
      <c r="B16" t="s">
        <v>276</v>
      </c>
      <c r="C16">
        <v>528</v>
      </c>
      <c r="D16">
        <v>438</v>
      </c>
      <c r="E16">
        <v>966</v>
      </c>
      <c r="F16">
        <v>416</v>
      </c>
      <c r="G16">
        <v>424</v>
      </c>
      <c r="H16">
        <v>840</v>
      </c>
      <c r="I16">
        <v>39297</v>
      </c>
      <c r="J16">
        <v>2.4580000000000002</v>
      </c>
      <c r="K16">
        <v>2.1379999999999999</v>
      </c>
      <c r="L16">
        <v>37766</v>
      </c>
      <c r="M16">
        <v>2.5579999999999998</v>
      </c>
      <c r="N16">
        <v>2.2240000000000002</v>
      </c>
      <c r="O16" t="s">
        <v>258</v>
      </c>
    </row>
    <row r="17" spans="1:15" x14ac:dyDescent="0.35">
      <c r="A17" t="s">
        <v>52</v>
      </c>
      <c r="B17" t="s">
        <v>280</v>
      </c>
      <c r="C17">
        <v>466</v>
      </c>
      <c r="D17">
        <v>1489</v>
      </c>
      <c r="E17">
        <v>1955</v>
      </c>
      <c r="F17">
        <v>375</v>
      </c>
      <c r="G17">
        <v>285</v>
      </c>
      <c r="H17">
        <v>660</v>
      </c>
      <c r="I17">
        <v>71347</v>
      </c>
      <c r="J17">
        <v>2.74</v>
      </c>
      <c r="K17">
        <v>0.92500000000000004</v>
      </c>
      <c r="L17">
        <v>67101</v>
      </c>
      <c r="M17">
        <v>2.9140000000000001</v>
      </c>
      <c r="N17">
        <v>0.98399999999999999</v>
      </c>
      <c r="O17" t="s">
        <v>258</v>
      </c>
    </row>
    <row r="18" spans="1:15" x14ac:dyDescent="0.35">
      <c r="A18" t="s">
        <v>59</v>
      </c>
      <c r="B18" t="s">
        <v>291</v>
      </c>
      <c r="C18">
        <v>558</v>
      </c>
      <c r="D18">
        <v>1036</v>
      </c>
      <c r="E18">
        <v>1594</v>
      </c>
      <c r="F18">
        <v>620</v>
      </c>
      <c r="G18">
        <v>238</v>
      </c>
      <c r="H18">
        <v>858</v>
      </c>
      <c r="I18">
        <v>45104</v>
      </c>
      <c r="J18">
        <v>3.5339999999999998</v>
      </c>
      <c r="K18">
        <v>1.9020000000000001</v>
      </c>
      <c r="L18">
        <v>42657</v>
      </c>
      <c r="M18">
        <v>3.7370000000000001</v>
      </c>
      <c r="N18">
        <v>2.0110000000000001</v>
      </c>
      <c r="O18" t="s">
        <v>258</v>
      </c>
    </row>
    <row r="19" spans="1:15" x14ac:dyDescent="0.35">
      <c r="A19" t="s">
        <v>31</v>
      </c>
      <c r="B19" t="s">
        <v>286</v>
      </c>
      <c r="C19">
        <v>478</v>
      </c>
      <c r="D19">
        <v>1669</v>
      </c>
      <c r="E19">
        <v>2147</v>
      </c>
      <c r="F19">
        <v>432</v>
      </c>
      <c r="G19">
        <v>260</v>
      </c>
      <c r="H19">
        <v>692</v>
      </c>
      <c r="I19">
        <v>116821</v>
      </c>
      <c r="J19">
        <v>1.8380000000000001</v>
      </c>
      <c r="K19">
        <v>0.59199999999999997</v>
      </c>
      <c r="L19">
        <v>106802</v>
      </c>
      <c r="M19">
        <v>2.0099999999999998</v>
      </c>
      <c r="N19">
        <v>0.64800000000000002</v>
      </c>
      <c r="O19" t="s">
        <v>242</v>
      </c>
    </row>
    <row r="20" spans="1:15" x14ac:dyDescent="0.35">
      <c r="A20" t="s">
        <v>33</v>
      </c>
      <c r="B20" t="s">
        <v>293</v>
      </c>
      <c r="C20">
        <v>469</v>
      </c>
      <c r="D20">
        <v>1121</v>
      </c>
      <c r="E20">
        <v>1590</v>
      </c>
      <c r="F20">
        <v>434</v>
      </c>
      <c r="G20">
        <v>216</v>
      </c>
      <c r="H20">
        <v>650</v>
      </c>
      <c r="I20">
        <v>56135</v>
      </c>
      <c r="J20">
        <v>2.8319999999999999</v>
      </c>
      <c r="K20">
        <v>1.1579999999999999</v>
      </c>
      <c r="L20">
        <v>53627</v>
      </c>
      <c r="M20">
        <v>2.9649999999999999</v>
      </c>
      <c r="N20">
        <v>1.212</v>
      </c>
      <c r="O20" t="s">
        <v>242</v>
      </c>
    </row>
    <row r="21" spans="1:15" x14ac:dyDescent="0.35">
      <c r="A21" t="s">
        <v>45</v>
      </c>
      <c r="B21" t="s">
        <v>275</v>
      </c>
      <c r="C21">
        <v>712</v>
      </c>
      <c r="D21">
        <v>762</v>
      </c>
      <c r="E21">
        <v>1474</v>
      </c>
      <c r="F21">
        <v>621</v>
      </c>
      <c r="G21">
        <v>402</v>
      </c>
      <c r="H21">
        <v>1023</v>
      </c>
      <c r="I21">
        <v>38848</v>
      </c>
      <c r="J21">
        <v>3.794</v>
      </c>
      <c r="K21">
        <v>2.633</v>
      </c>
      <c r="L21">
        <v>37651</v>
      </c>
      <c r="M21">
        <v>3.915</v>
      </c>
      <c r="N21">
        <v>2.7170000000000001</v>
      </c>
      <c r="O21" t="s">
        <v>242</v>
      </c>
    </row>
    <row r="22" spans="1:15" x14ac:dyDescent="0.35">
      <c r="A22" t="s">
        <v>52</v>
      </c>
      <c r="B22" t="s">
        <v>280</v>
      </c>
      <c r="C22">
        <v>484</v>
      </c>
      <c r="D22">
        <v>1014</v>
      </c>
      <c r="E22">
        <v>1498</v>
      </c>
      <c r="F22">
        <v>451</v>
      </c>
      <c r="G22">
        <v>265</v>
      </c>
      <c r="H22">
        <v>716</v>
      </c>
      <c r="I22">
        <v>71810</v>
      </c>
      <c r="J22">
        <v>2.0859999999999999</v>
      </c>
      <c r="K22">
        <v>0.997</v>
      </c>
      <c r="L22">
        <v>67618</v>
      </c>
      <c r="M22">
        <v>2.2149999999999999</v>
      </c>
      <c r="N22">
        <v>1.0589999999999999</v>
      </c>
      <c r="O22" t="s">
        <v>242</v>
      </c>
    </row>
    <row r="23" spans="1:15" x14ac:dyDescent="0.35">
      <c r="A23" t="s">
        <v>55</v>
      </c>
      <c r="B23" t="s">
        <v>282</v>
      </c>
      <c r="C23">
        <v>113</v>
      </c>
      <c r="D23">
        <v>212</v>
      </c>
      <c r="E23">
        <v>325</v>
      </c>
      <c r="F23">
        <v>128</v>
      </c>
      <c r="G23">
        <v>76</v>
      </c>
      <c r="H23">
        <v>204</v>
      </c>
      <c r="I23">
        <v>11180</v>
      </c>
      <c r="J23">
        <v>2.907</v>
      </c>
      <c r="K23">
        <v>1.825</v>
      </c>
      <c r="L23">
        <v>10341</v>
      </c>
      <c r="M23">
        <v>3.1429999999999998</v>
      </c>
      <c r="N23">
        <v>1.9729999999999999</v>
      </c>
      <c r="O23" t="s">
        <v>242</v>
      </c>
    </row>
    <row r="24" spans="1:15" x14ac:dyDescent="0.35">
      <c r="A24" t="s">
        <v>33</v>
      </c>
      <c r="B24" t="s">
        <v>293</v>
      </c>
      <c r="C24">
        <v>429</v>
      </c>
      <c r="D24">
        <v>1339</v>
      </c>
      <c r="E24">
        <v>1768</v>
      </c>
      <c r="F24">
        <v>450</v>
      </c>
      <c r="G24">
        <v>177</v>
      </c>
      <c r="H24">
        <v>627</v>
      </c>
      <c r="I24">
        <v>56485</v>
      </c>
      <c r="J24">
        <v>3.13</v>
      </c>
      <c r="K24">
        <v>1.1100000000000001</v>
      </c>
      <c r="L24">
        <v>53888</v>
      </c>
      <c r="M24">
        <v>3.2810000000000001</v>
      </c>
      <c r="N24">
        <v>1.1639999999999999</v>
      </c>
      <c r="O24" t="s">
        <v>241</v>
      </c>
    </row>
    <row r="25" spans="1:15" x14ac:dyDescent="0.35">
      <c r="A25" t="s">
        <v>42</v>
      </c>
      <c r="B25" t="s">
        <v>273</v>
      </c>
      <c r="C25">
        <v>533</v>
      </c>
      <c r="D25">
        <v>1326</v>
      </c>
      <c r="E25">
        <v>1859</v>
      </c>
      <c r="F25">
        <v>606</v>
      </c>
      <c r="G25">
        <v>192</v>
      </c>
      <c r="H25">
        <v>798</v>
      </c>
      <c r="I25">
        <v>74826</v>
      </c>
      <c r="J25">
        <v>2.484</v>
      </c>
      <c r="K25">
        <v>1.0660000000000001</v>
      </c>
      <c r="L25">
        <v>72267</v>
      </c>
      <c r="M25">
        <v>2.5720000000000001</v>
      </c>
      <c r="N25">
        <v>1.1040000000000001</v>
      </c>
      <c r="O25" t="s">
        <v>241</v>
      </c>
    </row>
    <row r="26" spans="1:15" x14ac:dyDescent="0.35">
      <c r="A26" t="s">
        <v>114</v>
      </c>
      <c r="B26" t="s">
        <v>297</v>
      </c>
      <c r="C26">
        <v>2993</v>
      </c>
      <c r="D26">
        <v>7060</v>
      </c>
      <c r="E26">
        <v>10053</v>
      </c>
      <c r="F26">
        <v>3265</v>
      </c>
      <c r="G26">
        <v>886</v>
      </c>
      <c r="H26">
        <v>4151</v>
      </c>
      <c r="I26">
        <v>311447</v>
      </c>
      <c r="J26">
        <v>3.2280000000000002</v>
      </c>
      <c r="K26">
        <v>1.333</v>
      </c>
      <c r="L26">
        <v>292619</v>
      </c>
      <c r="M26">
        <v>3.4359999999999999</v>
      </c>
      <c r="N26">
        <v>1.419</v>
      </c>
      <c r="O26" t="s">
        <v>241</v>
      </c>
    </row>
    <row r="27" spans="1:15" x14ac:dyDescent="0.35">
      <c r="A27" t="s">
        <v>57</v>
      </c>
      <c r="B27" t="s">
        <v>284</v>
      </c>
      <c r="C27">
        <v>1352</v>
      </c>
      <c r="D27">
        <v>2193</v>
      </c>
      <c r="E27">
        <v>3545</v>
      </c>
      <c r="F27">
        <v>1663</v>
      </c>
      <c r="G27">
        <v>484</v>
      </c>
      <c r="H27">
        <v>2147</v>
      </c>
      <c r="I27">
        <v>151352</v>
      </c>
      <c r="J27">
        <v>2.3420000000000001</v>
      </c>
      <c r="K27">
        <v>1.419</v>
      </c>
      <c r="L27">
        <v>146173</v>
      </c>
      <c r="M27">
        <v>2.4249999999999998</v>
      </c>
      <c r="N27">
        <v>1.4689999999999999</v>
      </c>
      <c r="O27" t="s">
        <v>241</v>
      </c>
    </row>
    <row r="28" spans="1:15" x14ac:dyDescent="0.35">
      <c r="A28" t="s">
        <v>35</v>
      </c>
      <c r="B28" t="s">
        <v>267</v>
      </c>
      <c r="C28">
        <v>292</v>
      </c>
      <c r="D28">
        <v>379</v>
      </c>
      <c r="E28">
        <v>671</v>
      </c>
      <c r="F28">
        <v>445</v>
      </c>
      <c r="G28">
        <v>50</v>
      </c>
      <c r="H28">
        <v>495</v>
      </c>
      <c r="I28">
        <v>24716</v>
      </c>
      <c r="J28">
        <v>2.7149999999999999</v>
      </c>
      <c r="K28">
        <v>2.0030000000000001</v>
      </c>
      <c r="L28">
        <v>23890</v>
      </c>
      <c r="M28">
        <v>2.8090000000000002</v>
      </c>
      <c r="N28">
        <v>2.0720000000000001</v>
      </c>
      <c r="O28" t="s">
        <v>773</v>
      </c>
    </row>
    <row r="29" spans="1:15" x14ac:dyDescent="0.35">
      <c r="A29" t="s">
        <v>37</v>
      </c>
      <c r="B29" t="s">
        <v>294</v>
      </c>
      <c r="C29">
        <v>577</v>
      </c>
      <c r="D29">
        <v>2144</v>
      </c>
      <c r="E29">
        <v>2721</v>
      </c>
      <c r="F29">
        <v>510</v>
      </c>
      <c r="G29">
        <v>327</v>
      </c>
      <c r="H29">
        <v>837</v>
      </c>
      <c r="I29">
        <v>74891</v>
      </c>
      <c r="J29">
        <v>3.633</v>
      </c>
      <c r="K29">
        <v>1.1179999999999999</v>
      </c>
      <c r="L29">
        <v>70685</v>
      </c>
      <c r="M29">
        <v>3.8490000000000002</v>
      </c>
      <c r="N29">
        <v>1.1839999999999999</v>
      </c>
      <c r="O29" t="s">
        <v>773</v>
      </c>
    </row>
    <row r="30" spans="1:15" x14ac:dyDescent="0.35">
      <c r="A30" t="s">
        <v>43</v>
      </c>
      <c r="B30" t="s">
        <v>380</v>
      </c>
      <c r="C30">
        <v>2533</v>
      </c>
      <c r="D30">
        <v>3908</v>
      </c>
      <c r="E30">
        <v>6441</v>
      </c>
      <c r="F30">
        <v>2725</v>
      </c>
      <c r="G30">
        <v>1258</v>
      </c>
      <c r="H30">
        <v>3983</v>
      </c>
      <c r="I30">
        <v>178183</v>
      </c>
      <c r="J30">
        <v>3.6150000000000002</v>
      </c>
      <c r="K30">
        <v>2.2349999999999999</v>
      </c>
      <c r="L30">
        <v>169239</v>
      </c>
      <c r="M30">
        <v>3.806</v>
      </c>
      <c r="N30">
        <v>2.3529999999999998</v>
      </c>
      <c r="O30" t="s">
        <v>773</v>
      </c>
    </row>
    <row r="31" spans="1:15" x14ac:dyDescent="0.35">
      <c r="A31" t="s">
        <v>44</v>
      </c>
      <c r="B31" t="s">
        <v>274</v>
      </c>
      <c r="C31">
        <v>592</v>
      </c>
      <c r="D31">
        <v>2276</v>
      </c>
      <c r="E31">
        <v>2868</v>
      </c>
      <c r="F31">
        <v>522</v>
      </c>
      <c r="G31">
        <v>464</v>
      </c>
      <c r="H31">
        <v>986</v>
      </c>
      <c r="I31">
        <v>119061</v>
      </c>
      <c r="J31">
        <v>2.4089999999999998</v>
      </c>
      <c r="K31">
        <v>0.82799999999999996</v>
      </c>
      <c r="L31">
        <v>109514</v>
      </c>
      <c r="M31">
        <v>2.6189999999999998</v>
      </c>
      <c r="N31">
        <v>0.9</v>
      </c>
      <c r="O31" t="s">
        <v>773</v>
      </c>
    </row>
    <row r="32" spans="1:15" x14ac:dyDescent="0.35">
      <c r="A32" t="s">
        <v>33</v>
      </c>
      <c r="B32" t="s">
        <v>293</v>
      </c>
      <c r="C32">
        <v>201</v>
      </c>
      <c r="D32">
        <v>519</v>
      </c>
      <c r="E32">
        <v>720</v>
      </c>
      <c r="F32">
        <v>177</v>
      </c>
      <c r="G32">
        <v>115</v>
      </c>
      <c r="H32">
        <v>292</v>
      </c>
      <c r="I32">
        <v>57206</v>
      </c>
      <c r="J32">
        <v>1.2589999999999999</v>
      </c>
      <c r="K32">
        <v>0.51</v>
      </c>
      <c r="L32">
        <v>54480</v>
      </c>
      <c r="M32">
        <v>1.3220000000000001</v>
      </c>
      <c r="N32">
        <v>0.53600000000000003</v>
      </c>
      <c r="O32" t="s">
        <v>951</v>
      </c>
    </row>
    <row r="33" spans="1:15" x14ac:dyDescent="0.35">
      <c r="A33" t="s">
        <v>245</v>
      </c>
      <c r="B33" t="s">
        <v>289</v>
      </c>
      <c r="C33">
        <v>680</v>
      </c>
      <c r="D33">
        <v>756</v>
      </c>
      <c r="E33">
        <v>1436</v>
      </c>
      <c r="F33">
        <v>700</v>
      </c>
      <c r="G33">
        <v>310</v>
      </c>
      <c r="H33">
        <v>1010</v>
      </c>
      <c r="I33">
        <v>254929</v>
      </c>
      <c r="J33">
        <v>0.56299999999999994</v>
      </c>
      <c r="K33">
        <v>0.39600000000000002</v>
      </c>
      <c r="L33">
        <v>239364</v>
      </c>
      <c r="M33">
        <v>0.6</v>
      </c>
      <c r="N33">
        <v>0.42199999999999999</v>
      </c>
      <c r="O33" t="s">
        <v>951</v>
      </c>
    </row>
    <row r="34" spans="1:15" x14ac:dyDescent="0.35">
      <c r="A34" t="s">
        <v>40</v>
      </c>
      <c r="B34" t="s">
        <v>270</v>
      </c>
      <c r="C34">
        <v>125</v>
      </c>
      <c r="D34">
        <v>156</v>
      </c>
      <c r="E34">
        <v>281</v>
      </c>
      <c r="F34">
        <v>163</v>
      </c>
      <c r="G34">
        <v>64</v>
      </c>
      <c r="H34">
        <v>227</v>
      </c>
      <c r="I34">
        <v>49642</v>
      </c>
      <c r="J34">
        <v>0.56599999999999995</v>
      </c>
      <c r="K34">
        <v>0.45700000000000002</v>
      </c>
      <c r="L34">
        <v>47482</v>
      </c>
      <c r="M34">
        <v>0.59199999999999997</v>
      </c>
      <c r="N34">
        <v>0.47799999999999998</v>
      </c>
      <c r="O34" t="s">
        <v>951</v>
      </c>
    </row>
    <row r="35" spans="1:15" x14ac:dyDescent="0.35">
      <c r="A35" t="s">
        <v>43</v>
      </c>
      <c r="B35" t="s">
        <v>380</v>
      </c>
      <c r="C35">
        <v>580</v>
      </c>
      <c r="D35">
        <v>722</v>
      </c>
      <c r="E35">
        <v>1302</v>
      </c>
      <c r="F35">
        <v>654</v>
      </c>
      <c r="G35">
        <v>327</v>
      </c>
      <c r="H35">
        <v>981</v>
      </c>
      <c r="I35">
        <v>179232</v>
      </c>
      <c r="J35">
        <v>0.72599999999999998</v>
      </c>
      <c r="K35">
        <v>0.54700000000000004</v>
      </c>
      <c r="L35">
        <v>169886</v>
      </c>
      <c r="M35">
        <v>0.76600000000000001</v>
      </c>
      <c r="N35">
        <v>0.57699999999999996</v>
      </c>
      <c r="O35" t="s">
        <v>951</v>
      </c>
    </row>
    <row r="36" spans="1:15" x14ac:dyDescent="0.35">
      <c r="A36" t="s">
        <v>37</v>
      </c>
      <c r="B36" t="s">
        <v>294</v>
      </c>
      <c r="C36">
        <v>1038</v>
      </c>
      <c r="D36">
        <v>6335</v>
      </c>
      <c r="E36">
        <v>7373</v>
      </c>
      <c r="F36">
        <v>936</v>
      </c>
      <c r="G36">
        <v>496</v>
      </c>
      <c r="H36">
        <v>1432</v>
      </c>
      <c r="I36">
        <v>73560</v>
      </c>
      <c r="J36">
        <v>10.023</v>
      </c>
      <c r="K36">
        <v>1.9470000000000001</v>
      </c>
      <c r="L36">
        <v>69500</v>
      </c>
      <c r="M36">
        <v>10.609</v>
      </c>
      <c r="N36">
        <v>2.06</v>
      </c>
      <c r="O36" t="s">
        <v>194</v>
      </c>
    </row>
    <row r="37" spans="1:15" x14ac:dyDescent="0.35">
      <c r="A37" t="s">
        <v>39</v>
      </c>
      <c r="B37" t="s">
        <v>296</v>
      </c>
      <c r="C37">
        <v>554</v>
      </c>
      <c r="D37">
        <v>307</v>
      </c>
      <c r="E37">
        <v>861</v>
      </c>
      <c r="F37">
        <v>757</v>
      </c>
      <c r="G37">
        <v>209</v>
      </c>
      <c r="H37">
        <v>966</v>
      </c>
      <c r="I37">
        <v>44864</v>
      </c>
      <c r="J37">
        <v>1.919</v>
      </c>
      <c r="K37">
        <v>2.153</v>
      </c>
      <c r="L37">
        <v>44102</v>
      </c>
      <c r="M37">
        <v>1.952</v>
      </c>
      <c r="N37">
        <v>2.19</v>
      </c>
      <c r="O37" t="s">
        <v>194</v>
      </c>
    </row>
    <row r="38" spans="1:15" x14ac:dyDescent="0.35">
      <c r="A38" t="s">
        <v>41</v>
      </c>
      <c r="B38" t="s">
        <v>271</v>
      </c>
      <c r="C38">
        <v>492</v>
      </c>
      <c r="D38">
        <v>448</v>
      </c>
      <c r="E38">
        <v>940</v>
      </c>
      <c r="F38">
        <v>603</v>
      </c>
      <c r="G38">
        <v>198</v>
      </c>
      <c r="H38">
        <v>801</v>
      </c>
      <c r="I38">
        <v>37639</v>
      </c>
      <c r="J38">
        <v>2.4969999999999999</v>
      </c>
      <c r="K38">
        <v>2.1280000000000001</v>
      </c>
      <c r="L38">
        <v>37804</v>
      </c>
      <c r="M38">
        <v>2.4870000000000001</v>
      </c>
      <c r="N38">
        <v>2.1189999999999998</v>
      </c>
      <c r="O38" t="s">
        <v>194</v>
      </c>
    </row>
    <row r="39" spans="1:15" x14ac:dyDescent="0.35">
      <c r="A39" t="s">
        <v>47</v>
      </c>
      <c r="B39" t="s">
        <v>277</v>
      </c>
      <c r="C39">
        <v>332</v>
      </c>
      <c r="D39">
        <v>299</v>
      </c>
      <c r="E39">
        <v>631</v>
      </c>
      <c r="F39">
        <v>317</v>
      </c>
      <c r="G39">
        <v>264</v>
      </c>
      <c r="H39">
        <v>581</v>
      </c>
      <c r="I39">
        <v>43495</v>
      </c>
      <c r="J39">
        <v>1.4510000000000001</v>
      </c>
      <c r="K39">
        <v>1.3360000000000001</v>
      </c>
      <c r="L39">
        <v>40839</v>
      </c>
      <c r="M39">
        <v>1.5449999999999999</v>
      </c>
      <c r="N39">
        <v>1.423</v>
      </c>
      <c r="O39" t="s">
        <v>194</v>
      </c>
    </row>
    <row r="40" spans="1:15" x14ac:dyDescent="0.35">
      <c r="A40" t="s">
        <v>33</v>
      </c>
      <c r="B40" t="s">
        <v>293</v>
      </c>
      <c r="C40">
        <v>486</v>
      </c>
      <c r="D40">
        <v>1357</v>
      </c>
      <c r="E40">
        <v>1843</v>
      </c>
      <c r="F40">
        <v>498</v>
      </c>
      <c r="G40">
        <v>226</v>
      </c>
      <c r="H40">
        <v>724</v>
      </c>
      <c r="I40">
        <v>55267</v>
      </c>
      <c r="J40">
        <v>3.335</v>
      </c>
      <c r="K40">
        <v>1.31</v>
      </c>
      <c r="L40">
        <v>52692</v>
      </c>
      <c r="M40">
        <v>3.4980000000000002</v>
      </c>
      <c r="N40">
        <v>1.3740000000000001</v>
      </c>
      <c r="O40" t="s">
        <v>193</v>
      </c>
    </row>
    <row r="41" spans="1:15" x14ac:dyDescent="0.35">
      <c r="A41" t="s">
        <v>245</v>
      </c>
      <c r="B41" t="s">
        <v>289</v>
      </c>
      <c r="C41">
        <v>2833</v>
      </c>
      <c r="D41">
        <v>2754</v>
      </c>
      <c r="E41">
        <v>5587</v>
      </c>
      <c r="F41">
        <v>2716</v>
      </c>
      <c r="G41">
        <v>1169</v>
      </c>
      <c r="H41">
        <v>3885</v>
      </c>
      <c r="I41">
        <v>239525</v>
      </c>
      <c r="J41">
        <v>2.3330000000000002</v>
      </c>
      <c r="K41">
        <v>1.6219999999999999</v>
      </c>
      <c r="L41">
        <v>229231</v>
      </c>
      <c r="M41">
        <v>2.4369999999999998</v>
      </c>
      <c r="N41">
        <v>1.6949999999999998</v>
      </c>
      <c r="O41" t="s">
        <v>193</v>
      </c>
    </row>
    <row r="42" spans="1:15" x14ac:dyDescent="0.35">
      <c r="A42" t="s">
        <v>40</v>
      </c>
      <c r="B42" t="s">
        <v>270</v>
      </c>
      <c r="C42">
        <v>737</v>
      </c>
      <c r="D42">
        <v>511</v>
      </c>
      <c r="E42">
        <v>1248</v>
      </c>
      <c r="F42">
        <v>708</v>
      </c>
      <c r="G42">
        <v>526</v>
      </c>
      <c r="H42">
        <v>1234</v>
      </c>
      <c r="I42">
        <v>45968</v>
      </c>
      <c r="J42">
        <v>2.7149999999999999</v>
      </c>
      <c r="K42">
        <v>2.6840000000000002</v>
      </c>
      <c r="L42">
        <v>43981</v>
      </c>
      <c r="M42">
        <v>2.8380000000000001</v>
      </c>
      <c r="N42">
        <v>2.806</v>
      </c>
      <c r="O42" t="s">
        <v>193</v>
      </c>
    </row>
    <row r="43" spans="1:15" x14ac:dyDescent="0.35">
      <c r="A43" t="s">
        <v>41</v>
      </c>
      <c r="B43" t="s">
        <v>271</v>
      </c>
      <c r="C43">
        <v>546</v>
      </c>
      <c r="D43">
        <v>689</v>
      </c>
      <c r="E43">
        <v>1235</v>
      </c>
      <c r="F43">
        <v>549</v>
      </c>
      <c r="G43">
        <v>267</v>
      </c>
      <c r="H43">
        <v>816</v>
      </c>
      <c r="I43">
        <v>37852</v>
      </c>
      <c r="J43">
        <v>3.2629999999999999</v>
      </c>
      <c r="K43">
        <v>2.1560000000000001</v>
      </c>
      <c r="L43">
        <v>38048</v>
      </c>
      <c r="M43">
        <v>3.246</v>
      </c>
      <c r="N43">
        <v>2.145</v>
      </c>
      <c r="O43" t="s">
        <v>193</v>
      </c>
    </row>
    <row r="44" spans="1:15" x14ac:dyDescent="0.35">
      <c r="A44" t="s">
        <v>50</v>
      </c>
      <c r="B44" t="s">
        <v>295</v>
      </c>
      <c r="C44">
        <v>1427</v>
      </c>
      <c r="D44">
        <v>2067</v>
      </c>
      <c r="E44">
        <v>3494</v>
      </c>
      <c r="F44">
        <v>1929</v>
      </c>
      <c r="G44">
        <v>499</v>
      </c>
      <c r="H44">
        <v>2428</v>
      </c>
      <c r="I44">
        <v>151424</v>
      </c>
      <c r="J44">
        <v>2.3069999999999999</v>
      </c>
      <c r="K44">
        <v>1.603</v>
      </c>
      <c r="L44">
        <v>148610</v>
      </c>
      <c r="M44">
        <v>2.351</v>
      </c>
      <c r="N44">
        <v>1.6339999999999999</v>
      </c>
      <c r="O44" t="s">
        <v>193</v>
      </c>
    </row>
    <row r="45" spans="1:15" x14ac:dyDescent="0.35">
      <c r="A45" t="s">
        <v>55</v>
      </c>
      <c r="B45" t="s">
        <v>282</v>
      </c>
      <c r="C45">
        <v>55</v>
      </c>
      <c r="D45">
        <v>168</v>
      </c>
      <c r="E45">
        <v>223</v>
      </c>
      <c r="F45">
        <v>60</v>
      </c>
      <c r="G45">
        <v>42</v>
      </c>
      <c r="H45">
        <v>102</v>
      </c>
      <c r="I45">
        <v>10950</v>
      </c>
      <c r="J45">
        <v>2.0369999999999999</v>
      </c>
      <c r="K45">
        <v>0.93200000000000005</v>
      </c>
      <c r="L45">
        <v>10166</v>
      </c>
      <c r="M45">
        <v>2.194</v>
      </c>
      <c r="N45">
        <v>1.0029999999999999</v>
      </c>
      <c r="O45" t="s">
        <v>193</v>
      </c>
    </row>
    <row r="46" spans="1:15" x14ac:dyDescent="0.35">
      <c r="A46" t="s">
        <v>32</v>
      </c>
      <c r="B46" t="s">
        <v>287</v>
      </c>
      <c r="C46">
        <v>683</v>
      </c>
      <c r="D46">
        <v>1249</v>
      </c>
      <c r="E46">
        <v>1932</v>
      </c>
      <c r="F46">
        <v>648</v>
      </c>
      <c r="G46">
        <v>431</v>
      </c>
      <c r="H46">
        <v>1079</v>
      </c>
      <c r="I46">
        <v>115223</v>
      </c>
      <c r="J46">
        <v>1.677</v>
      </c>
      <c r="K46">
        <v>0.93600000000000005</v>
      </c>
      <c r="L46">
        <v>109631</v>
      </c>
      <c r="M46">
        <v>1.762</v>
      </c>
      <c r="N46">
        <v>0.98399999999999999</v>
      </c>
      <c r="O46" t="s">
        <v>192</v>
      </c>
    </row>
    <row r="47" spans="1:15" x14ac:dyDescent="0.35">
      <c r="A47" t="s">
        <v>50</v>
      </c>
      <c r="B47" t="s">
        <v>295</v>
      </c>
      <c r="C47">
        <v>1654</v>
      </c>
      <c r="D47">
        <v>2505</v>
      </c>
      <c r="E47">
        <v>4159</v>
      </c>
      <c r="F47">
        <v>2213</v>
      </c>
      <c r="G47">
        <v>542</v>
      </c>
      <c r="H47">
        <v>2755</v>
      </c>
      <c r="I47">
        <v>152293</v>
      </c>
      <c r="J47">
        <v>2.7309999999999999</v>
      </c>
      <c r="K47">
        <v>1.8090000000000002</v>
      </c>
      <c r="L47">
        <v>149282</v>
      </c>
      <c r="M47">
        <v>2.786</v>
      </c>
      <c r="N47">
        <v>1.8460000000000001</v>
      </c>
      <c r="O47" t="s">
        <v>192</v>
      </c>
    </row>
    <row r="48" spans="1:15" x14ac:dyDescent="0.35">
      <c r="A48" t="s">
        <v>54</v>
      </c>
      <c r="B48" t="s">
        <v>281</v>
      </c>
      <c r="C48">
        <v>1347</v>
      </c>
      <c r="D48">
        <v>1196</v>
      </c>
      <c r="E48">
        <v>2543</v>
      </c>
      <c r="F48">
        <v>802</v>
      </c>
      <c r="G48">
        <v>1330</v>
      </c>
      <c r="H48">
        <v>2132</v>
      </c>
      <c r="I48">
        <v>57628</v>
      </c>
      <c r="J48">
        <v>4.4130000000000003</v>
      </c>
      <c r="K48">
        <v>3.7</v>
      </c>
      <c r="L48">
        <v>53351</v>
      </c>
      <c r="M48">
        <v>4.7670000000000003</v>
      </c>
      <c r="N48">
        <v>3.996</v>
      </c>
      <c r="O48" t="s">
        <v>192</v>
      </c>
    </row>
    <row r="49" spans="1:15" x14ac:dyDescent="0.35">
      <c r="A49" t="s">
        <v>56</v>
      </c>
      <c r="B49" t="s">
        <v>283</v>
      </c>
      <c r="C49">
        <v>657</v>
      </c>
      <c r="D49">
        <v>731</v>
      </c>
      <c r="E49">
        <v>1388</v>
      </c>
      <c r="F49">
        <v>688</v>
      </c>
      <c r="G49">
        <v>380</v>
      </c>
      <c r="H49">
        <v>1068</v>
      </c>
      <c r="I49">
        <v>54635</v>
      </c>
      <c r="J49">
        <v>2.54</v>
      </c>
      <c r="K49">
        <v>1.9550000000000001</v>
      </c>
      <c r="L49">
        <v>51912</v>
      </c>
      <c r="M49">
        <v>2.6739999999999999</v>
      </c>
      <c r="N49">
        <v>2.0569999999999999</v>
      </c>
      <c r="O49" t="s">
        <v>192</v>
      </c>
    </row>
    <row r="50" spans="1:15" x14ac:dyDescent="0.35">
      <c r="A50" t="s">
        <v>36</v>
      </c>
      <c r="B50" t="s">
        <v>268</v>
      </c>
      <c r="C50">
        <v>1262</v>
      </c>
      <c r="D50">
        <v>848</v>
      </c>
      <c r="E50">
        <v>2110</v>
      </c>
      <c r="F50">
        <v>1150</v>
      </c>
      <c r="G50">
        <v>642</v>
      </c>
      <c r="H50">
        <v>1792</v>
      </c>
      <c r="I50">
        <v>74453</v>
      </c>
      <c r="J50">
        <v>2.8340000000000001</v>
      </c>
      <c r="K50">
        <v>2.407</v>
      </c>
      <c r="L50">
        <v>69202</v>
      </c>
      <c r="M50">
        <v>3.0489999999999999</v>
      </c>
      <c r="N50">
        <v>2.59</v>
      </c>
      <c r="O50" t="s">
        <v>258</v>
      </c>
    </row>
    <row r="51" spans="1:15" x14ac:dyDescent="0.35">
      <c r="A51" t="s">
        <v>54</v>
      </c>
      <c r="B51" t="s">
        <v>281</v>
      </c>
      <c r="C51">
        <v>1359</v>
      </c>
      <c r="D51">
        <v>1477</v>
      </c>
      <c r="E51">
        <v>2836</v>
      </c>
      <c r="F51">
        <v>832</v>
      </c>
      <c r="G51">
        <v>1288</v>
      </c>
      <c r="H51">
        <v>2120</v>
      </c>
      <c r="I51">
        <v>57940</v>
      </c>
      <c r="J51">
        <v>4.8949999999999996</v>
      </c>
      <c r="K51">
        <v>3.6589999999999998</v>
      </c>
      <c r="L51">
        <v>53787</v>
      </c>
      <c r="M51">
        <v>5.2729999999999997</v>
      </c>
      <c r="N51">
        <v>3.9409999999999998</v>
      </c>
      <c r="O51" t="s">
        <v>258</v>
      </c>
    </row>
    <row r="52" spans="1:15" x14ac:dyDescent="0.35">
      <c r="A52" t="s">
        <v>58</v>
      </c>
      <c r="B52" t="s">
        <v>285</v>
      </c>
      <c r="C52">
        <v>336</v>
      </c>
      <c r="D52">
        <v>720</v>
      </c>
      <c r="E52">
        <v>1056</v>
      </c>
      <c r="F52">
        <v>334</v>
      </c>
      <c r="G52">
        <v>201</v>
      </c>
      <c r="H52">
        <v>535</v>
      </c>
      <c r="I52">
        <v>40998</v>
      </c>
      <c r="J52">
        <v>2.5760000000000001</v>
      </c>
      <c r="K52">
        <v>1.3049999999999999</v>
      </c>
      <c r="L52">
        <v>38951</v>
      </c>
      <c r="M52">
        <v>2.7109999999999999</v>
      </c>
      <c r="N52">
        <v>1.3740000000000001</v>
      </c>
      <c r="O52" t="s">
        <v>258</v>
      </c>
    </row>
    <row r="53" spans="1:15" x14ac:dyDescent="0.35">
      <c r="A53" t="s">
        <v>245</v>
      </c>
      <c r="B53" t="s">
        <v>289</v>
      </c>
      <c r="C53">
        <v>2302</v>
      </c>
      <c r="D53">
        <v>2297</v>
      </c>
      <c r="E53">
        <v>4599</v>
      </c>
      <c r="F53">
        <v>2309</v>
      </c>
      <c r="G53">
        <v>888</v>
      </c>
      <c r="H53">
        <v>3197</v>
      </c>
      <c r="I53">
        <v>246818</v>
      </c>
      <c r="J53">
        <v>1.863</v>
      </c>
      <c r="K53">
        <v>1.2949999999999999</v>
      </c>
      <c r="L53">
        <v>233369</v>
      </c>
      <c r="M53">
        <v>1.9710000000000001</v>
      </c>
      <c r="N53">
        <v>1.37</v>
      </c>
      <c r="O53" t="s">
        <v>242</v>
      </c>
    </row>
    <row r="54" spans="1:15" x14ac:dyDescent="0.35">
      <c r="A54" t="s">
        <v>43</v>
      </c>
      <c r="B54" t="s">
        <v>380</v>
      </c>
      <c r="C54">
        <v>3137</v>
      </c>
      <c r="D54">
        <v>3401</v>
      </c>
      <c r="E54">
        <v>6538</v>
      </c>
      <c r="F54">
        <v>3292</v>
      </c>
      <c r="G54">
        <v>1655</v>
      </c>
      <c r="H54">
        <v>4947</v>
      </c>
      <c r="I54">
        <v>175915</v>
      </c>
      <c r="J54">
        <v>3.7170000000000001</v>
      </c>
      <c r="K54">
        <v>2.8120000000000003</v>
      </c>
      <c r="L54">
        <v>166960</v>
      </c>
      <c r="M54">
        <v>3.9159999999999999</v>
      </c>
      <c r="N54">
        <v>2.9630000000000001</v>
      </c>
      <c r="O54" t="s">
        <v>242</v>
      </c>
    </row>
    <row r="55" spans="1:15" x14ac:dyDescent="0.35">
      <c r="A55" t="s">
        <v>47</v>
      </c>
      <c r="B55" t="s">
        <v>277</v>
      </c>
      <c r="C55">
        <v>516</v>
      </c>
      <c r="D55">
        <v>1149</v>
      </c>
      <c r="E55">
        <v>1665</v>
      </c>
      <c r="F55">
        <v>399</v>
      </c>
      <c r="G55">
        <v>473</v>
      </c>
      <c r="H55">
        <v>872</v>
      </c>
      <c r="I55">
        <v>45209</v>
      </c>
      <c r="J55">
        <v>3.6829999999999998</v>
      </c>
      <c r="K55">
        <v>1.929</v>
      </c>
      <c r="L55">
        <v>42554</v>
      </c>
      <c r="M55">
        <v>3.9130000000000003</v>
      </c>
      <c r="N55">
        <v>2.0489999999999999</v>
      </c>
      <c r="O55" t="s">
        <v>241</v>
      </c>
    </row>
    <row r="56" spans="1:15" x14ac:dyDescent="0.35">
      <c r="A56" t="s">
        <v>52</v>
      </c>
      <c r="B56" t="s">
        <v>280</v>
      </c>
      <c r="C56">
        <v>385</v>
      </c>
      <c r="D56">
        <v>1084</v>
      </c>
      <c r="E56">
        <v>1469</v>
      </c>
      <c r="F56">
        <v>357</v>
      </c>
      <c r="G56">
        <v>249</v>
      </c>
      <c r="H56">
        <v>606</v>
      </c>
      <c r="I56">
        <v>72441</v>
      </c>
      <c r="J56">
        <v>2.028</v>
      </c>
      <c r="K56">
        <v>0.83699999999999997</v>
      </c>
      <c r="L56">
        <v>68196</v>
      </c>
      <c r="M56">
        <v>2.1539999999999999</v>
      </c>
      <c r="N56">
        <v>0.88900000000000001</v>
      </c>
      <c r="O56" t="s">
        <v>241</v>
      </c>
    </row>
    <row r="57" spans="1:15" x14ac:dyDescent="0.35">
      <c r="A57" t="s">
        <v>59</v>
      </c>
      <c r="B57" t="s">
        <v>291</v>
      </c>
      <c r="C57">
        <v>556</v>
      </c>
      <c r="D57">
        <v>1008</v>
      </c>
      <c r="E57">
        <v>1564</v>
      </c>
      <c r="F57">
        <v>642</v>
      </c>
      <c r="G57">
        <v>185</v>
      </c>
      <c r="H57">
        <v>827</v>
      </c>
      <c r="I57">
        <v>45228</v>
      </c>
      <c r="J57">
        <v>3.4580000000000002</v>
      </c>
      <c r="K57">
        <v>1.829</v>
      </c>
      <c r="L57">
        <v>42868</v>
      </c>
      <c r="M57">
        <v>3.6480000000000001</v>
      </c>
      <c r="N57">
        <v>1.929</v>
      </c>
      <c r="O57" t="s">
        <v>241</v>
      </c>
    </row>
    <row r="58" spans="1:15" x14ac:dyDescent="0.35">
      <c r="A58" t="s">
        <v>53</v>
      </c>
      <c r="B58" t="s">
        <v>290</v>
      </c>
      <c r="C58">
        <v>774</v>
      </c>
      <c r="D58">
        <v>1023</v>
      </c>
      <c r="E58">
        <v>1797</v>
      </c>
      <c r="F58">
        <v>786</v>
      </c>
      <c r="G58">
        <v>396</v>
      </c>
      <c r="H58">
        <v>1182</v>
      </c>
      <c r="I58">
        <v>88086</v>
      </c>
      <c r="J58">
        <v>2.04</v>
      </c>
      <c r="K58">
        <v>1.3420000000000001</v>
      </c>
      <c r="L58">
        <v>86683</v>
      </c>
      <c r="M58">
        <v>2.073</v>
      </c>
      <c r="N58">
        <v>1.3639999999999999</v>
      </c>
      <c r="O58" t="s">
        <v>773</v>
      </c>
    </row>
    <row r="59" spans="1:15" x14ac:dyDescent="0.35">
      <c r="A59" t="s">
        <v>54</v>
      </c>
      <c r="B59" t="s">
        <v>281</v>
      </c>
      <c r="C59">
        <v>869</v>
      </c>
      <c r="D59">
        <v>1387</v>
      </c>
      <c r="E59">
        <v>2256</v>
      </c>
      <c r="F59">
        <v>798</v>
      </c>
      <c r="G59">
        <v>632</v>
      </c>
      <c r="H59">
        <v>1430</v>
      </c>
      <c r="I59">
        <v>58671</v>
      </c>
      <c r="J59">
        <v>3.8449999999999998</v>
      </c>
      <c r="K59">
        <v>2.4369999999999998</v>
      </c>
      <c r="L59">
        <v>54715</v>
      </c>
      <c r="M59">
        <v>4.1230000000000002</v>
      </c>
      <c r="N59">
        <v>2.6139999999999999</v>
      </c>
      <c r="O59" t="s">
        <v>773</v>
      </c>
    </row>
    <row r="60" spans="1:15" x14ac:dyDescent="0.35">
      <c r="A60" t="s">
        <v>34</v>
      </c>
      <c r="B60" t="s">
        <v>288</v>
      </c>
      <c r="C60">
        <v>166</v>
      </c>
      <c r="D60">
        <v>320</v>
      </c>
      <c r="E60">
        <v>486</v>
      </c>
      <c r="F60">
        <v>154</v>
      </c>
      <c r="G60">
        <v>117</v>
      </c>
      <c r="H60">
        <v>271</v>
      </c>
      <c r="I60">
        <v>48199</v>
      </c>
      <c r="J60">
        <v>1.008</v>
      </c>
      <c r="K60">
        <v>0.56200000000000006</v>
      </c>
      <c r="L60">
        <v>41839</v>
      </c>
      <c r="M60">
        <v>1.1619999999999999</v>
      </c>
      <c r="N60">
        <v>0.64800000000000002</v>
      </c>
      <c r="O60" t="s">
        <v>951</v>
      </c>
    </row>
    <row r="61" spans="1:15" x14ac:dyDescent="0.35">
      <c r="A61" t="s">
        <v>36</v>
      </c>
      <c r="B61" t="s">
        <v>268</v>
      </c>
      <c r="C61">
        <v>142</v>
      </c>
      <c r="D61">
        <v>231</v>
      </c>
      <c r="E61">
        <v>373</v>
      </c>
      <c r="F61">
        <v>124</v>
      </c>
      <c r="G61">
        <v>82</v>
      </c>
      <c r="H61">
        <v>206</v>
      </c>
      <c r="I61">
        <v>75298</v>
      </c>
      <c r="J61">
        <v>0.495</v>
      </c>
      <c r="K61">
        <v>0.27400000000000002</v>
      </c>
      <c r="L61">
        <v>69957</v>
      </c>
      <c r="M61">
        <v>0.53300000000000003</v>
      </c>
      <c r="N61">
        <v>0.29399999999999998</v>
      </c>
      <c r="O61" t="s">
        <v>951</v>
      </c>
    </row>
    <row r="62" spans="1:15" x14ac:dyDescent="0.35">
      <c r="A62" t="s">
        <v>38</v>
      </c>
      <c r="B62" t="s">
        <v>269</v>
      </c>
      <c r="C62">
        <v>172</v>
      </c>
      <c r="D62">
        <v>316</v>
      </c>
      <c r="E62">
        <v>488</v>
      </c>
      <c r="F62">
        <v>222</v>
      </c>
      <c r="G62">
        <v>77</v>
      </c>
      <c r="H62">
        <v>299</v>
      </c>
      <c r="I62">
        <v>58821</v>
      </c>
      <c r="J62">
        <v>0.83</v>
      </c>
      <c r="K62">
        <v>0.50800000000000001</v>
      </c>
      <c r="L62">
        <v>55564</v>
      </c>
      <c r="M62">
        <v>0.878</v>
      </c>
      <c r="N62">
        <v>0.53800000000000003</v>
      </c>
      <c r="O62" t="s">
        <v>951</v>
      </c>
    </row>
    <row r="63" spans="1:15" x14ac:dyDescent="0.35">
      <c r="A63" t="s">
        <v>47</v>
      </c>
      <c r="B63" t="s">
        <v>277</v>
      </c>
      <c r="C63">
        <v>86</v>
      </c>
      <c r="D63">
        <v>260</v>
      </c>
      <c r="E63">
        <v>346</v>
      </c>
      <c r="F63">
        <v>97</v>
      </c>
      <c r="G63">
        <v>61</v>
      </c>
      <c r="H63">
        <v>158</v>
      </c>
      <c r="I63">
        <v>45838</v>
      </c>
      <c r="J63">
        <v>0.755</v>
      </c>
      <c r="K63">
        <v>0.34499999999999997</v>
      </c>
      <c r="L63">
        <v>43175</v>
      </c>
      <c r="M63">
        <v>0.80100000000000005</v>
      </c>
      <c r="N63">
        <v>0.36599999999999999</v>
      </c>
      <c r="O63" t="s">
        <v>951</v>
      </c>
    </row>
    <row r="64" spans="1:15" x14ac:dyDescent="0.35">
      <c r="A64" t="s">
        <v>50</v>
      </c>
      <c r="B64" t="s">
        <v>295</v>
      </c>
      <c r="C64">
        <v>678</v>
      </c>
      <c r="D64">
        <v>1190</v>
      </c>
      <c r="E64">
        <v>1868</v>
      </c>
      <c r="F64">
        <v>858</v>
      </c>
      <c r="G64">
        <v>263</v>
      </c>
      <c r="H64">
        <v>1121</v>
      </c>
      <c r="I64">
        <v>157625</v>
      </c>
      <c r="J64">
        <v>1.1850000000000001</v>
      </c>
      <c r="K64">
        <v>0.71099999999999997</v>
      </c>
      <c r="L64">
        <v>152910</v>
      </c>
      <c r="M64">
        <v>1.222</v>
      </c>
      <c r="N64">
        <v>0.73299999999999998</v>
      </c>
      <c r="O64" t="s">
        <v>951</v>
      </c>
    </row>
    <row r="65" spans="1:15" x14ac:dyDescent="0.35">
      <c r="A65" t="s">
        <v>52</v>
      </c>
      <c r="B65" t="s">
        <v>280</v>
      </c>
      <c r="C65">
        <v>166</v>
      </c>
      <c r="D65">
        <v>376</v>
      </c>
      <c r="E65">
        <v>542</v>
      </c>
      <c r="F65">
        <v>186</v>
      </c>
      <c r="G65">
        <v>102</v>
      </c>
      <c r="H65">
        <v>288</v>
      </c>
      <c r="I65">
        <v>73775</v>
      </c>
      <c r="J65">
        <v>0.73499999999999999</v>
      </c>
      <c r="K65">
        <v>0.39</v>
      </c>
      <c r="L65">
        <v>69432</v>
      </c>
      <c r="M65">
        <v>0.78100000000000003</v>
      </c>
      <c r="N65">
        <v>0.41499999999999998</v>
      </c>
      <c r="O65" t="s">
        <v>951</v>
      </c>
    </row>
    <row r="66" spans="1:15" x14ac:dyDescent="0.35">
      <c r="A66" t="s">
        <v>36</v>
      </c>
      <c r="B66" t="s">
        <v>268</v>
      </c>
      <c r="C66">
        <v>1064</v>
      </c>
      <c r="D66">
        <v>392</v>
      </c>
      <c r="E66">
        <v>1456</v>
      </c>
      <c r="F66">
        <v>882</v>
      </c>
      <c r="G66">
        <v>540</v>
      </c>
      <c r="H66">
        <v>1422</v>
      </c>
      <c r="I66">
        <v>73555</v>
      </c>
      <c r="J66">
        <v>1.9790000000000001</v>
      </c>
      <c r="K66">
        <v>1.9330000000000001</v>
      </c>
      <c r="L66">
        <v>68682</v>
      </c>
      <c r="M66">
        <v>2.12</v>
      </c>
      <c r="N66">
        <v>2.0699999999999998</v>
      </c>
      <c r="O66" t="s">
        <v>194</v>
      </c>
    </row>
    <row r="67" spans="1:15" x14ac:dyDescent="0.35">
      <c r="A67" t="s">
        <v>38</v>
      </c>
      <c r="B67" t="s">
        <v>269</v>
      </c>
      <c r="C67">
        <v>582</v>
      </c>
      <c r="D67">
        <v>1242</v>
      </c>
      <c r="E67">
        <v>1824</v>
      </c>
      <c r="F67">
        <v>662</v>
      </c>
      <c r="G67">
        <v>298</v>
      </c>
      <c r="H67">
        <v>960</v>
      </c>
      <c r="I67">
        <v>57172</v>
      </c>
      <c r="J67">
        <v>3.19</v>
      </c>
      <c r="K67">
        <v>1.679</v>
      </c>
      <c r="L67">
        <v>54453</v>
      </c>
      <c r="M67">
        <v>3.35</v>
      </c>
      <c r="N67">
        <v>1.7629999999999999</v>
      </c>
      <c r="O67" t="s">
        <v>194</v>
      </c>
    </row>
    <row r="68" spans="1:15" x14ac:dyDescent="0.35">
      <c r="A68" t="s">
        <v>114</v>
      </c>
      <c r="B68" t="s">
        <v>297</v>
      </c>
      <c r="C68">
        <v>2763</v>
      </c>
      <c r="D68">
        <v>3336</v>
      </c>
      <c r="E68">
        <v>6099</v>
      </c>
      <c r="F68">
        <v>3186</v>
      </c>
      <c r="G68">
        <v>954</v>
      </c>
      <c r="H68">
        <v>4140</v>
      </c>
      <c r="I68">
        <v>301633</v>
      </c>
      <c r="J68">
        <v>2.0219999999999998</v>
      </c>
      <c r="K68">
        <v>1.373</v>
      </c>
      <c r="L68">
        <v>285346</v>
      </c>
      <c r="M68">
        <v>2.137</v>
      </c>
      <c r="N68">
        <v>1.4510000000000001</v>
      </c>
      <c r="O68" t="s">
        <v>194</v>
      </c>
    </row>
    <row r="69" spans="1:15" x14ac:dyDescent="0.35">
      <c r="A69" t="s">
        <v>46</v>
      </c>
      <c r="B69" t="s">
        <v>276</v>
      </c>
      <c r="C69">
        <v>569</v>
      </c>
      <c r="D69">
        <v>411</v>
      </c>
      <c r="E69">
        <v>980</v>
      </c>
      <c r="F69">
        <v>405</v>
      </c>
      <c r="G69">
        <v>452</v>
      </c>
      <c r="H69">
        <v>857</v>
      </c>
      <c r="I69">
        <v>37503</v>
      </c>
      <c r="J69">
        <v>2.613</v>
      </c>
      <c r="K69">
        <v>2.2850000000000001</v>
      </c>
      <c r="L69">
        <v>36009</v>
      </c>
      <c r="M69">
        <v>2.722</v>
      </c>
      <c r="N69">
        <v>2.38</v>
      </c>
      <c r="O69" t="s">
        <v>194</v>
      </c>
    </row>
    <row r="70" spans="1:15" x14ac:dyDescent="0.35">
      <c r="A70" t="s">
        <v>50</v>
      </c>
      <c r="B70" t="s">
        <v>295</v>
      </c>
      <c r="C70">
        <v>1381</v>
      </c>
      <c r="D70">
        <v>1452</v>
      </c>
      <c r="E70">
        <v>2833</v>
      </c>
      <c r="F70">
        <v>1819</v>
      </c>
      <c r="G70">
        <v>538</v>
      </c>
      <c r="H70">
        <v>2357</v>
      </c>
      <c r="I70">
        <v>150541</v>
      </c>
      <c r="J70">
        <v>1.8820000000000001</v>
      </c>
      <c r="K70">
        <v>1.5659999999999998</v>
      </c>
      <c r="L70">
        <v>147554</v>
      </c>
      <c r="M70">
        <v>1.92</v>
      </c>
      <c r="N70">
        <v>1.597</v>
      </c>
      <c r="O70" t="s">
        <v>194</v>
      </c>
    </row>
    <row r="71" spans="1:15" x14ac:dyDescent="0.35">
      <c r="A71" t="s">
        <v>51</v>
      </c>
      <c r="B71" t="s">
        <v>279</v>
      </c>
      <c r="C71">
        <v>115</v>
      </c>
      <c r="D71">
        <v>150</v>
      </c>
      <c r="E71">
        <v>265</v>
      </c>
      <c r="F71">
        <v>183</v>
      </c>
      <c r="G71">
        <v>64</v>
      </c>
      <c r="H71">
        <v>247</v>
      </c>
      <c r="I71">
        <v>10717</v>
      </c>
      <c r="J71">
        <v>2.4729999999999999</v>
      </c>
      <c r="K71">
        <v>2.3050000000000002</v>
      </c>
      <c r="L71">
        <v>9945</v>
      </c>
      <c r="M71">
        <v>2.665</v>
      </c>
      <c r="N71">
        <v>2.484</v>
      </c>
      <c r="O71" t="s">
        <v>194</v>
      </c>
    </row>
    <row r="72" spans="1:15" x14ac:dyDescent="0.35">
      <c r="A72" t="s">
        <v>55</v>
      </c>
      <c r="B72" t="s">
        <v>282</v>
      </c>
      <c r="C72">
        <v>73</v>
      </c>
      <c r="D72">
        <v>218</v>
      </c>
      <c r="E72">
        <v>291</v>
      </c>
      <c r="F72">
        <v>69</v>
      </c>
      <c r="G72">
        <v>56</v>
      </c>
      <c r="H72">
        <v>125</v>
      </c>
      <c r="I72">
        <v>10852</v>
      </c>
      <c r="J72">
        <v>2.6819999999999999</v>
      </c>
      <c r="K72">
        <v>1.1519999999999999</v>
      </c>
      <c r="L72">
        <v>10135</v>
      </c>
      <c r="M72">
        <v>2.871</v>
      </c>
      <c r="N72">
        <v>1.2330000000000001</v>
      </c>
      <c r="O72" t="s">
        <v>194</v>
      </c>
    </row>
    <row r="73" spans="1:15" x14ac:dyDescent="0.35">
      <c r="A73" t="s">
        <v>58</v>
      </c>
      <c r="B73" t="s">
        <v>285</v>
      </c>
      <c r="C73">
        <v>265</v>
      </c>
      <c r="D73">
        <v>607</v>
      </c>
      <c r="E73">
        <v>872</v>
      </c>
      <c r="F73">
        <v>297</v>
      </c>
      <c r="G73">
        <v>113</v>
      </c>
      <c r="H73">
        <v>410</v>
      </c>
      <c r="I73">
        <v>39965</v>
      </c>
      <c r="J73">
        <v>2.1819999999999999</v>
      </c>
      <c r="K73">
        <v>1.026</v>
      </c>
      <c r="L73">
        <v>38056</v>
      </c>
      <c r="M73">
        <v>2.2909999999999999</v>
      </c>
      <c r="N73">
        <v>1.077</v>
      </c>
      <c r="O73" t="s">
        <v>194</v>
      </c>
    </row>
    <row r="74" spans="1:15" x14ac:dyDescent="0.35">
      <c r="A74" t="s">
        <v>60</v>
      </c>
      <c r="B74" t="s">
        <v>292</v>
      </c>
      <c r="C74">
        <v>1381</v>
      </c>
      <c r="D74">
        <v>546</v>
      </c>
      <c r="E74">
        <v>1927</v>
      </c>
      <c r="F74">
        <v>1141</v>
      </c>
      <c r="G74">
        <v>1121</v>
      </c>
      <c r="H74">
        <v>2262</v>
      </c>
      <c r="I74">
        <v>76473</v>
      </c>
      <c r="J74">
        <v>2.52</v>
      </c>
      <c r="K74">
        <v>2.9580000000000002</v>
      </c>
      <c r="L74">
        <v>74335</v>
      </c>
      <c r="M74">
        <v>2.5920000000000001</v>
      </c>
      <c r="N74">
        <v>3.0430000000000001</v>
      </c>
      <c r="O74" t="s">
        <v>194</v>
      </c>
    </row>
    <row r="75" spans="1:15" x14ac:dyDescent="0.35">
      <c r="A75" t="s">
        <v>34</v>
      </c>
      <c r="B75" t="s">
        <v>288</v>
      </c>
      <c r="C75">
        <v>498</v>
      </c>
      <c r="D75">
        <v>680</v>
      </c>
      <c r="E75">
        <v>1178</v>
      </c>
      <c r="F75">
        <v>412</v>
      </c>
      <c r="G75">
        <v>414</v>
      </c>
      <c r="H75">
        <v>826</v>
      </c>
      <c r="I75">
        <v>47500</v>
      </c>
      <c r="J75">
        <v>2.48</v>
      </c>
      <c r="K75">
        <v>1.7389999999999999</v>
      </c>
      <c r="L75">
        <v>40857</v>
      </c>
      <c r="M75">
        <v>2.883</v>
      </c>
      <c r="N75">
        <v>2.0219999999999998</v>
      </c>
      <c r="O75" t="s">
        <v>193</v>
      </c>
    </row>
    <row r="76" spans="1:15" x14ac:dyDescent="0.35">
      <c r="A76" t="s">
        <v>42</v>
      </c>
      <c r="B76" t="s">
        <v>273</v>
      </c>
      <c r="C76">
        <v>533</v>
      </c>
      <c r="D76">
        <v>1084</v>
      </c>
      <c r="E76">
        <v>1617</v>
      </c>
      <c r="F76">
        <v>573</v>
      </c>
      <c r="G76">
        <v>201</v>
      </c>
      <c r="H76">
        <v>774</v>
      </c>
      <c r="I76">
        <v>72624</v>
      </c>
      <c r="J76">
        <v>2.2269999999999999</v>
      </c>
      <c r="K76">
        <v>1.0660000000000001</v>
      </c>
      <c r="L76">
        <v>69693</v>
      </c>
      <c r="M76">
        <v>2.3199999999999998</v>
      </c>
      <c r="N76">
        <v>1.111</v>
      </c>
      <c r="O76" t="s">
        <v>193</v>
      </c>
    </row>
    <row r="77" spans="1:15" x14ac:dyDescent="0.35">
      <c r="A77" t="s">
        <v>54</v>
      </c>
      <c r="B77" t="s">
        <v>281</v>
      </c>
      <c r="C77">
        <v>1229</v>
      </c>
      <c r="D77">
        <v>1194</v>
      </c>
      <c r="E77">
        <v>2423</v>
      </c>
      <c r="F77">
        <v>844</v>
      </c>
      <c r="G77">
        <v>1072</v>
      </c>
      <c r="H77">
        <v>1916</v>
      </c>
      <c r="I77">
        <v>57274</v>
      </c>
      <c r="J77">
        <v>4.2309999999999999</v>
      </c>
      <c r="K77">
        <v>3.3449999999999998</v>
      </c>
      <c r="L77">
        <v>53157</v>
      </c>
      <c r="M77">
        <v>4.5579999999999998</v>
      </c>
      <c r="N77">
        <v>3.6040000000000001</v>
      </c>
      <c r="O77" t="s">
        <v>193</v>
      </c>
    </row>
    <row r="78" spans="1:15" x14ac:dyDescent="0.35">
      <c r="A78" t="s">
        <v>53</v>
      </c>
      <c r="B78" t="s">
        <v>290</v>
      </c>
      <c r="C78">
        <v>794</v>
      </c>
      <c r="D78">
        <v>944</v>
      </c>
      <c r="E78">
        <v>1738</v>
      </c>
      <c r="F78">
        <v>865</v>
      </c>
      <c r="G78">
        <v>399</v>
      </c>
      <c r="H78">
        <v>1264</v>
      </c>
      <c r="I78">
        <v>84997</v>
      </c>
      <c r="J78">
        <v>2.0449999999999999</v>
      </c>
      <c r="K78">
        <v>1.4870000000000001</v>
      </c>
      <c r="L78">
        <v>83245</v>
      </c>
      <c r="M78">
        <v>2.0880000000000001</v>
      </c>
      <c r="N78">
        <v>1.518</v>
      </c>
      <c r="O78" t="s">
        <v>192</v>
      </c>
    </row>
    <row r="79" spans="1:15" x14ac:dyDescent="0.35">
      <c r="A79" t="s">
        <v>58</v>
      </c>
      <c r="B79" t="s">
        <v>285</v>
      </c>
      <c r="C79">
        <v>358</v>
      </c>
      <c r="D79">
        <v>653</v>
      </c>
      <c r="E79">
        <v>1011</v>
      </c>
      <c r="F79">
        <v>384</v>
      </c>
      <c r="G79">
        <v>181</v>
      </c>
      <c r="H79">
        <v>565</v>
      </c>
      <c r="I79">
        <v>40646</v>
      </c>
      <c r="J79">
        <v>2.4870000000000001</v>
      </c>
      <c r="K79">
        <v>1.3900000000000001</v>
      </c>
      <c r="L79">
        <v>38665</v>
      </c>
      <c r="M79">
        <v>2.6150000000000002</v>
      </c>
      <c r="N79">
        <v>1.4610000000000001</v>
      </c>
      <c r="O79" t="s">
        <v>192</v>
      </c>
    </row>
    <row r="80" spans="1:15" x14ac:dyDescent="0.35">
      <c r="A80" t="s">
        <v>59</v>
      </c>
      <c r="B80" t="s">
        <v>291</v>
      </c>
      <c r="C80">
        <v>470</v>
      </c>
      <c r="D80">
        <v>934</v>
      </c>
      <c r="E80">
        <v>1404</v>
      </c>
      <c r="F80">
        <v>586</v>
      </c>
      <c r="G80">
        <v>154</v>
      </c>
      <c r="H80">
        <v>740</v>
      </c>
      <c r="I80">
        <v>45056</v>
      </c>
      <c r="J80">
        <v>3.1160000000000001</v>
      </c>
      <c r="K80">
        <v>1.6419999999999999</v>
      </c>
      <c r="L80">
        <v>42571</v>
      </c>
      <c r="M80">
        <v>3.298</v>
      </c>
      <c r="N80">
        <v>1.738</v>
      </c>
      <c r="O80" t="s">
        <v>192</v>
      </c>
    </row>
    <row r="81" spans="1:15" x14ac:dyDescent="0.35">
      <c r="A81" t="s">
        <v>43</v>
      </c>
      <c r="B81" t="s">
        <v>380</v>
      </c>
      <c r="C81">
        <v>3392</v>
      </c>
      <c r="D81">
        <v>3061</v>
      </c>
      <c r="E81">
        <v>6453</v>
      </c>
      <c r="F81">
        <v>3462</v>
      </c>
      <c r="G81">
        <v>1853</v>
      </c>
      <c r="H81">
        <v>5315</v>
      </c>
      <c r="I81">
        <v>174528</v>
      </c>
      <c r="J81">
        <v>3.6970000000000001</v>
      </c>
      <c r="K81">
        <v>3.0449999999999999</v>
      </c>
      <c r="L81">
        <v>165833</v>
      </c>
      <c r="M81">
        <v>3.891</v>
      </c>
      <c r="N81">
        <v>3.2050000000000001</v>
      </c>
      <c r="O81" t="s">
        <v>258</v>
      </c>
    </row>
    <row r="82" spans="1:15" x14ac:dyDescent="0.35">
      <c r="A82" t="s">
        <v>60</v>
      </c>
      <c r="B82" t="s">
        <v>292</v>
      </c>
      <c r="C82">
        <v>972</v>
      </c>
      <c r="D82">
        <v>766</v>
      </c>
      <c r="E82">
        <v>1738</v>
      </c>
      <c r="F82">
        <v>837</v>
      </c>
      <c r="G82">
        <v>665</v>
      </c>
      <c r="H82">
        <v>1502</v>
      </c>
      <c r="I82">
        <v>78604</v>
      </c>
      <c r="J82">
        <v>2.2109999999999999</v>
      </c>
      <c r="K82">
        <v>1.911</v>
      </c>
      <c r="L82">
        <v>76630</v>
      </c>
      <c r="M82">
        <v>2.2679999999999998</v>
      </c>
      <c r="N82">
        <v>1.96</v>
      </c>
      <c r="O82" t="s">
        <v>258</v>
      </c>
    </row>
    <row r="83" spans="1:15" x14ac:dyDescent="0.35">
      <c r="A83" t="s">
        <v>35</v>
      </c>
      <c r="B83" t="s">
        <v>267</v>
      </c>
      <c r="C83">
        <v>205</v>
      </c>
      <c r="D83">
        <v>360</v>
      </c>
      <c r="E83">
        <v>565</v>
      </c>
      <c r="F83">
        <v>233</v>
      </c>
      <c r="G83">
        <v>85</v>
      </c>
      <c r="H83">
        <v>318</v>
      </c>
      <c r="I83">
        <v>24377</v>
      </c>
      <c r="J83">
        <v>2.3180000000000001</v>
      </c>
      <c r="K83">
        <v>1.3049999999999999</v>
      </c>
      <c r="L83">
        <v>23563</v>
      </c>
      <c r="M83">
        <v>2.3980000000000001</v>
      </c>
      <c r="N83">
        <v>1.35</v>
      </c>
      <c r="O83" t="s">
        <v>242</v>
      </c>
    </row>
    <row r="84" spans="1:15" x14ac:dyDescent="0.35">
      <c r="A84" t="s">
        <v>37</v>
      </c>
      <c r="B84" t="s">
        <v>294</v>
      </c>
      <c r="C84">
        <v>661</v>
      </c>
      <c r="D84">
        <v>2303</v>
      </c>
      <c r="E84">
        <v>2964</v>
      </c>
      <c r="F84">
        <v>624</v>
      </c>
      <c r="G84">
        <v>289</v>
      </c>
      <c r="H84">
        <v>913</v>
      </c>
      <c r="I84">
        <v>74354</v>
      </c>
      <c r="J84">
        <v>3.9859999999999998</v>
      </c>
      <c r="K84">
        <v>1.228</v>
      </c>
      <c r="L84">
        <v>70049</v>
      </c>
      <c r="M84">
        <v>4.2309999999999999</v>
      </c>
      <c r="N84">
        <v>1.3029999999999999</v>
      </c>
      <c r="O84" t="s">
        <v>242</v>
      </c>
    </row>
    <row r="85" spans="1:15" x14ac:dyDescent="0.35">
      <c r="A85" t="s">
        <v>39</v>
      </c>
      <c r="B85" t="s">
        <v>296</v>
      </c>
      <c r="C85">
        <v>721</v>
      </c>
      <c r="D85">
        <v>684</v>
      </c>
      <c r="E85">
        <v>1405</v>
      </c>
      <c r="F85">
        <v>764</v>
      </c>
      <c r="G85">
        <v>348</v>
      </c>
      <c r="H85">
        <v>1112</v>
      </c>
      <c r="I85">
        <v>46430</v>
      </c>
      <c r="J85">
        <v>3.0259999999999998</v>
      </c>
      <c r="K85">
        <v>2.395</v>
      </c>
      <c r="L85">
        <v>45690</v>
      </c>
      <c r="M85">
        <v>3.0750000000000002</v>
      </c>
      <c r="N85">
        <v>2.4340000000000002</v>
      </c>
      <c r="O85" t="s">
        <v>242</v>
      </c>
    </row>
    <row r="86" spans="1:15" x14ac:dyDescent="0.35">
      <c r="A86" t="s">
        <v>114</v>
      </c>
      <c r="B86" t="s">
        <v>297</v>
      </c>
      <c r="C86">
        <v>2973</v>
      </c>
      <c r="D86">
        <v>5059</v>
      </c>
      <c r="E86">
        <v>8032</v>
      </c>
      <c r="F86">
        <v>3089</v>
      </c>
      <c r="G86">
        <v>982</v>
      </c>
      <c r="H86">
        <v>4071</v>
      </c>
      <c r="I86">
        <v>308293</v>
      </c>
      <c r="J86">
        <v>2.605</v>
      </c>
      <c r="K86">
        <v>1.32</v>
      </c>
      <c r="L86">
        <v>291115</v>
      </c>
      <c r="M86">
        <v>2.7589999999999999</v>
      </c>
      <c r="N86">
        <v>1.3980000000000001</v>
      </c>
      <c r="O86" t="s">
        <v>242</v>
      </c>
    </row>
    <row r="87" spans="1:15" x14ac:dyDescent="0.35">
      <c r="A87" t="s">
        <v>44</v>
      </c>
      <c r="B87" t="s">
        <v>274</v>
      </c>
      <c r="C87">
        <v>1288</v>
      </c>
      <c r="D87">
        <v>3927</v>
      </c>
      <c r="E87">
        <v>5215</v>
      </c>
      <c r="F87">
        <v>1385</v>
      </c>
      <c r="G87">
        <v>742</v>
      </c>
      <c r="H87">
        <v>2127</v>
      </c>
      <c r="I87">
        <v>117291</v>
      </c>
      <c r="J87">
        <v>4.4459999999999997</v>
      </c>
      <c r="K87">
        <v>1.8129999999999999</v>
      </c>
      <c r="L87">
        <v>108319</v>
      </c>
      <c r="M87">
        <v>4.8140000000000001</v>
      </c>
      <c r="N87">
        <v>1.964</v>
      </c>
      <c r="O87" t="s">
        <v>242</v>
      </c>
    </row>
    <row r="88" spans="1:15" x14ac:dyDescent="0.35">
      <c r="A88" t="s">
        <v>56</v>
      </c>
      <c r="B88" t="s">
        <v>283</v>
      </c>
      <c r="C88">
        <v>543</v>
      </c>
      <c r="D88">
        <v>765</v>
      </c>
      <c r="E88">
        <v>1308</v>
      </c>
      <c r="F88">
        <v>559</v>
      </c>
      <c r="G88">
        <v>334</v>
      </c>
      <c r="H88">
        <v>893</v>
      </c>
      <c r="I88">
        <v>55252</v>
      </c>
      <c r="J88">
        <v>2.367</v>
      </c>
      <c r="K88">
        <v>1.6160000000000001</v>
      </c>
      <c r="L88">
        <v>52104</v>
      </c>
      <c r="M88">
        <v>2.5099999999999998</v>
      </c>
      <c r="N88">
        <v>1.714</v>
      </c>
      <c r="O88" t="s">
        <v>242</v>
      </c>
    </row>
    <row r="89" spans="1:15" x14ac:dyDescent="0.35">
      <c r="A89" t="s">
        <v>44</v>
      </c>
      <c r="B89" t="s">
        <v>274</v>
      </c>
      <c r="C89">
        <v>813</v>
      </c>
      <c r="D89">
        <v>2969</v>
      </c>
      <c r="E89">
        <v>3782</v>
      </c>
      <c r="F89">
        <v>818</v>
      </c>
      <c r="G89">
        <v>537</v>
      </c>
      <c r="H89">
        <v>1355</v>
      </c>
      <c r="I89">
        <v>118117</v>
      </c>
      <c r="J89">
        <v>3.202</v>
      </c>
      <c r="K89">
        <v>1.147</v>
      </c>
      <c r="L89">
        <v>108878</v>
      </c>
      <c r="M89">
        <v>3.4740000000000002</v>
      </c>
      <c r="N89">
        <v>1.2450000000000001</v>
      </c>
      <c r="O89" t="s">
        <v>241</v>
      </c>
    </row>
    <row r="90" spans="1:15" x14ac:dyDescent="0.35">
      <c r="A90" t="s">
        <v>53</v>
      </c>
      <c r="B90" t="s">
        <v>290</v>
      </c>
      <c r="C90">
        <v>848</v>
      </c>
      <c r="D90">
        <v>1039</v>
      </c>
      <c r="E90">
        <v>1887</v>
      </c>
      <c r="F90">
        <v>803</v>
      </c>
      <c r="G90">
        <v>475</v>
      </c>
      <c r="H90">
        <v>1278</v>
      </c>
      <c r="I90">
        <v>87265</v>
      </c>
      <c r="J90">
        <v>2.1619999999999999</v>
      </c>
      <c r="K90">
        <v>1.4650000000000001</v>
      </c>
      <c r="L90">
        <v>85745</v>
      </c>
      <c r="M90">
        <v>2.2010000000000001</v>
      </c>
      <c r="N90">
        <v>1.49</v>
      </c>
      <c r="O90" t="s">
        <v>241</v>
      </c>
    </row>
    <row r="91" spans="1:15" x14ac:dyDescent="0.35">
      <c r="A91" t="s">
        <v>32</v>
      </c>
      <c r="B91" t="s">
        <v>287</v>
      </c>
      <c r="C91">
        <v>699</v>
      </c>
      <c r="D91">
        <v>1579</v>
      </c>
      <c r="E91">
        <v>2278</v>
      </c>
      <c r="F91">
        <v>731</v>
      </c>
      <c r="G91">
        <v>413</v>
      </c>
      <c r="H91">
        <v>1144</v>
      </c>
      <c r="I91">
        <v>119196</v>
      </c>
      <c r="J91">
        <v>1.911</v>
      </c>
      <c r="K91">
        <v>0.96</v>
      </c>
      <c r="L91">
        <v>112114</v>
      </c>
      <c r="M91">
        <v>2.032</v>
      </c>
      <c r="N91">
        <v>1.02</v>
      </c>
      <c r="O91" t="s">
        <v>773</v>
      </c>
    </row>
    <row r="92" spans="1:15" x14ac:dyDescent="0.35">
      <c r="A92" t="s">
        <v>34</v>
      </c>
      <c r="B92" t="s">
        <v>288</v>
      </c>
      <c r="C92">
        <v>451</v>
      </c>
      <c r="D92">
        <v>1072</v>
      </c>
      <c r="E92">
        <v>1523</v>
      </c>
      <c r="F92">
        <v>389</v>
      </c>
      <c r="G92">
        <v>332</v>
      </c>
      <c r="H92">
        <v>721</v>
      </c>
      <c r="I92">
        <v>48134</v>
      </c>
      <c r="J92">
        <v>3.1640000000000001</v>
      </c>
      <c r="K92">
        <v>1.498</v>
      </c>
      <c r="L92">
        <v>41789</v>
      </c>
      <c r="M92">
        <v>3.6440000000000001</v>
      </c>
      <c r="N92">
        <v>1.7250000000000001</v>
      </c>
      <c r="O92" t="s">
        <v>773</v>
      </c>
    </row>
    <row r="93" spans="1:15" x14ac:dyDescent="0.35">
      <c r="A93" t="s">
        <v>39</v>
      </c>
      <c r="B93" t="s">
        <v>296</v>
      </c>
      <c r="C93">
        <v>656</v>
      </c>
      <c r="D93">
        <v>662</v>
      </c>
      <c r="E93">
        <v>1318</v>
      </c>
      <c r="F93">
        <v>758</v>
      </c>
      <c r="G93">
        <v>299</v>
      </c>
      <c r="H93">
        <v>1057</v>
      </c>
      <c r="I93">
        <v>46986</v>
      </c>
      <c r="J93">
        <v>2.8050000000000002</v>
      </c>
      <c r="K93">
        <v>2.25</v>
      </c>
      <c r="L93">
        <v>46228</v>
      </c>
      <c r="M93">
        <v>2.851</v>
      </c>
      <c r="N93">
        <v>2.286</v>
      </c>
      <c r="O93" t="s">
        <v>773</v>
      </c>
    </row>
    <row r="94" spans="1:15" x14ac:dyDescent="0.35">
      <c r="A94" t="s">
        <v>45</v>
      </c>
      <c r="B94" t="s">
        <v>275</v>
      </c>
      <c r="C94">
        <v>631</v>
      </c>
      <c r="D94">
        <v>773</v>
      </c>
      <c r="E94">
        <v>1404</v>
      </c>
      <c r="F94">
        <v>603</v>
      </c>
      <c r="G94">
        <v>338</v>
      </c>
      <c r="H94">
        <v>941</v>
      </c>
      <c r="I94">
        <v>38977</v>
      </c>
      <c r="J94">
        <v>3.6019999999999999</v>
      </c>
      <c r="K94">
        <v>2.4140000000000001</v>
      </c>
      <c r="L94">
        <v>37614</v>
      </c>
      <c r="M94">
        <v>3.7330000000000001</v>
      </c>
      <c r="N94">
        <v>2.5019999999999998</v>
      </c>
      <c r="O94" t="s">
        <v>773</v>
      </c>
    </row>
    <row r="95" spans="1:15" x14ac:dyDescent="0.35">
      <c r="A95" t="s">
        <v>50</v>
      </c>
      <c r="B95" t="s">
        <v>295</v>
      </c>
      <c r="C95">
        <v>1328</v>
      </c>
      <c r="D95">
        <v>2916</v>
      </c>
      <c r="E95">
        <v>4244</v>
      </c>
      <c r="F95">
        <v>1742</v>
      </c>
      <c r="G95">
        <v>411</v>
      </c>
      <c r="H95">
        <v>2153</v>
      </c>
      <c r="I95">
        <v>156694</v>
      </c>
      <c r="J95">
        <v>2.7080000000000002</v>
      </c>
      <c r="K95">
        <v>1.3740000000000001</v>
      </c>
      <c r="L95">
        <v>152443</v>
      </c>
      <c r="M95">
        <v>2.7839999999999998</v>
      </c>
      <c r="N95">
        <v>1.4119999999999999</v>
      </c>
      <c r="O95" t="s">
        <v>773</v>
      </c>
    </row>
    <row r="96" spans="1:15" x14ac:dyDescent="0.35">
      <c r="A96" t="s">
        <v>35</v>
      </c>
      <c r="B96" t="s">
        <v>267</v>
      </c>
      <c r="C96">
        <v>63</v>
      </c>
      <c r="D96">
        <v>108</v>
      </c>
      <c r="E96">
        <v>171</v>
      </c>
      <c r="F96">
        <v>94</v>
      </c>
      <c r="G96">
        <v>28</v>
      </c>
      <c r="H96">
        <v>122</v>
      </c>
      <c r="I96">
        <v>24838</v>
      </c>
      <c r="J96">
        <v>0.68799999999999994</v>
      </c>
      <c r="K96">
        <v>0.49099999999999999</v>
      </c>
      <c r="L96">
        <v>24066</v>
      </c>
      <c r="M96">
        <v>0.71099999999999997</v>
      </c>
      <c r="N96">
        <v>0.50700000000000001</v>
      </c>
      <c r="O96" t="s">
        <v>951</v>
      </c>
    </row>
    <row r="97" spans="1:15" x14ac:dyDescent="0.35">
      <c r="A97" t="s">
        <v>49</v>
      </c>
      <c r="B97" t="s">
        <v>278</v>
      </c>
      <c r="C97">
        <v>230</v>
      </c>
      <c r="D97">
        <v>322</v>
      </c>
      <c r="E97">
        <v>552</v>
      </c>
      <c r="F97">
        <v>255</v>
      </c>
      <c r="G97">
        <v>150</v>
      </c>
      <c r="H97">
        <v>405</v>
      </c>
      <c r="I97">
        <v>68843</v>
      </c>
      <c r="J97">
        <v>0.80200000000000005</v>
      </c>
      <c r="K97">
        <v>0.58799999999999997</v>
      </c>
      <c r="L97">
        <v>64415</v>
      </c>
      <c r="M97">
        <v>0.85699999999999998</v>
      </c>
      <c r="N97">
        <v>0.629</v>
      </c>
      <c r="O97" t="s">
        <v>951</v>
      </c>
    </row>
    <row r="98" spans="1:15" x14ac:dyDescent="0.35">
      <c r="A98" t="s">
        <v>33</v>
      </c>
      <c r="B98" t="s">
        <v>293</v>
      </c>
      <c r="C98">
        <v>829</v>
      </c>
      <c r="D98">
        <v>2850</v>
      </c>
      <c r="E98">
        <v>3679</v>
      </c>
      <c r="F98">
        <v>723</v>
      </c>
      <c r="G98">
        <v>504</v>
      </c>
      <c r="H98">
        <v>1227</v>
      </c>
      <c r="I98">
        <v>54872</v>
      </c>
      <c r="J98">
        <v>6.7050000000000001</v>
      </c>
      <c r="K98">
        <v>2.2359999999999998</v>
      </c>
      <c r="L98">
        <v>52413</v>
      </c>
      <c r="M98">
        <v>7.0190000000000001</v>
      </c>
      <c r="N98">
        <v>2.3410000000000002</v>
      </c>
      <c r="O98" t="s">
        <v>194</v>
      </c>
    </row>
    <row r="99" spans="1:15" x14ac:dyDescent="0.35">
      <c r="A99" t="s">
        <v>52</v>
      </c>
      <c r="B99" t="s">
        <v>280</v>
      </c>
      <c r="C99">
        <v>922</v>
      </c>
      <c r="D99">
        <v>3441</v>
      </c>
      <c r="E99">
        <v>4363</v>
      </c>
      <c r="F99">
        <v>890</v>
      </c>
      <c r="G99">
        <v>524</v>
      </c>
      <c r="H99">
        <v>1414</v>
      </c>
      <c r="I99">
        <v>69923</v>
      </c>
      <c r="J99">
        <v>6.24</v>
      </c>
      <c r="K99">
        <v>2.0219999999999998</v>
      </c>
      <c r="L99">
        <v>65616</v>
      </c>
      <c r="M99">
        <v>6.649</v>
      </c>
      <c r="N99">
        <v>2.1549999999999998</v>
      </c>
      <c r="O99" t="s">
        <v>194</v>
      </c>
    </row>
    <row r="100" spans="1:15" x14ac:dyDescent="0.35">
      <c r="A100" t="s">
        <v>54</v>
      </c>
      <c r="B100" t="s">
        <v>281</v>
      </c>
      <c r="C100">
        <v>1252</v>
      </c>
      <c r="D100">
        <v>1347</v>
      </c>
      <c r="E100">
        <v>2599</v>
      </c>
      <c r="F100">
        <v>948</v>
      </c>
      <c r="G100">
        <v>1046</v>
      </c>
      <c r="H100">
        <v>1994</v>
      </c>
      <c r="I100">
        <v>57097</v>
      </c>
      <c r="J100">
        <v>4.5519999999999996</v>
      </c>
      <c r="K100">
        <v>3.492</v>
      </c>
      <c r="L100">
        <v>52934</v>
      </c>
      <c r="M100">
        <v>4.91</v>
      </c>
      <c r="N100">
        <v>3.7669999999999999</v>
      </c>
      <c r="O100" t="s">
        <v>194</v>
      </c>
    </row>
    <row r="101" spans="1:15" x14ac:dyDescent="0.35">
      <c r="A101" t="s">
        <v>39</v>
      </c>
      <c r="B101" t="s">
        <v>296</v>
      </c>
      <c r="C101">
        <v>562</v>
      </c>
      <c r="D101">
        <v>539</v>
      </c>
      <c r="E101">
        <v>1101</v>
      </c>
      <c r="F101">
        <v>734</v>
      </c>
      <c r="G101">
        <v>214</v>
      </c>
      <c r="H101">
        <v>948</v>
      </c>
      <c r="I101">
        <v>45281</v>
      </c>
      <c r="J101">
        <v>2.431</v>
      </c>
      <c r="K101">
        <v>2.0939999999999999</v>
      </c>
      <c r="L101">
        <v>44504</v>
      </c>
      <c r="M101">
        <v>2.4740000000000002</v>
      </c>
      <c r="N101">
        <v>2.13</v>
      </c>
      <c r="O101" t="s">
        <v>193</v>
      </c>
    </row>
    <row r="102" spans="1:15" x14ac:dyDescent="0.35">
      <c r="A102" t="s">
        <v>47</v>
      </c>
      <c r="B102" t="s">
        <v>277</v>
      </c>
      <c r="C102">
        <v>372</v>
      </c>
      <c r="D102">
        <v>356</v>
      </c>
      <c r="E102">
        <v>728</v>
      </c>
      <c r="F102">
        <v>336</v>
      </c>
      <c r="G102">
        <v>293</v>
      </c>
      <c r="H102">
        <v>629</v>
      </c>
      <c r="I102">
        <v>43788</v>
      </c>
      <c r="J102">
        <v>1.663</v>
      </c>
      <c r="K102">
        <v>1.4359999999999999</v>
      </c>
      <c r="L102">
        <v>41288</v>
      </c>
      <c r="M102">
        <v>1.7629999999999999</v>
      </c>
      <c r="N102">
        <v>1.5230000000000001</v>
      </c>
      <c r="O102" t="s">
        <v>193</v>
      </c>
    </row>
    <row r="103" spans="1:15" x14ac:dyDescent="0.35">
      <c r="A103" t="s">
        <v>34</v>
      </c>
      <c r="B103" t="s">
        <v>288</v>
      </c>
      <c r="C103">
        <v>667</v>
      </c>
      <c r="D103">
        <v>980</v>
      </c>
      <c r="E103">
        <v>1647</v>
      </c>
      <c r="F103">
        <v>562</v>
      </c>
      <c r="G103">
        <v>512</v>
      </c>
      <c r="H103">
        <v>1074</v>
      </c>
      <c r="I103">
        <v>47712</v>
      </c>
      <c r="J103">
        <v>3.452</v>
      </c>
      <c r="K103">
        <v>2.2509999999999999</v>
      </c>
      <c r="L103">
        <v>40938</v>
      </c>
      <c r="M103">
        <v>4.0229999999999997</v>
      </c>
      <c r="N103">
        <v>2.6230000000000002</v>
      </c>
      <c r="O103" t="s">
        <v>192</v>
      </c>
    </row>
    <row r="104" spans="1:15" x14ac:dyDescent="0.35">
      <c r="A104" t="s">
        <v>37</v>
      </c>
      <c r="B104" t="s">
        <v>294</v>
      </c>
      <c r="C104">
        <v>849</v>
      </c>
      <c r="D104">
        <v>3502</v>
      </c>
      <c r="E104">
        <v>4351</v>
      </c>
      <c r="F104">
        <v>818</v>
      </c>
      <c r="G104">
        <v>370</v>
      </c>
      <c r="H104">
        <v>1188</v>
      </c>
      <c r="I104">
        <v>73689</v>
      </c>
      <c r="J104">
        <v>5.9050000000000002</v>
      </c>
      <c r="K104">
        <v>1.6120000000000001</v>
      </c>
      <c r="L104">
        <v>69534</v>
      </c>
      <c r="M104">
        <v>6.2569999999999997</v>
      </c>
      <c r="N104">
        <v>1.7090000000000001</v>
      </c>
      <c r="O104" t="s">
        <v>192</v>
      </c>
    </row>
    <row r="105" spans="1:15" x14ac:dyDescent="0.35">
      <c r="A105" t="s">
        <v>49</v>
      </c>
      <c r="B105" t="s">
        <v>278</v>
      </c>
      <c r="C105">
        <v>932</v>
      </c>
      <c r="D105">
        <v>1137</v>
      </c>
      <c r="E105">
        <v>2069</v>
      </c>
      <c r="F105">
        <v>954</v>
      </c>
      <c r="G105">
        <v>531</v>
      </c>
      <c r="H105">
        <v>1485</v>
      </c>
      <c r="I105">
        <v>67590</v>
      </c>
      <c r="J105">
        <v>3.0609999999999999</v>
      </c>
      <c r="K105">
        <v>2.1970000000000001</v>
      </c>
      <c r="L105">
        <v>63189</v>
      </c>
      <c r="M105">
        <v>3.274</v>
      </c>
      <c r="N105">
        <v>2.35</v>
      </c>
      <c r="O105" t="s">
        <v>192</v>
      </c>
    </row>
    <row r="106" spans="1:15" x14ac:dyDescent="0.35">
      <c r="A106" t="s">
        <v>55</v>
      </c>
      <c r="B106" t="s">
        <v>282</v>
      </c>
      <c r="C106">
        <v>100</v>
      </c>
      <c r="D106">
        <v>177</v>
      </c>
      <c r="E106">
        <v>277</v>
      </c>
      <c r="F106">
        <v>101</v>
      </c>
      <c r="G106">
        <v>94</v>
      </c>
      <c r="H106">
        <v>195</v>
      </c>
      <c r="I106">
        <v>11021</v>
      </c>
      <c r="J106">
        <v>2.5129999999999999</v>
      </c>
      <c r="K106">
        <v>1.7690000000000001</v>
      </c>
      <c r="L106">
        <v>10235</v>
      </c>
      <c r="M106">
        <v>2.706</v>
      </c>
      <c r="N106">
        <v>1.905</v>
      </c>
      <c r="O106" t="s">
        <v>192</v>
      </c>
    </row>
    <row r="107" spans="1:15" x14ac:dyDescent="0.35">
      <c r="A107" t="s">
        <v>31</v>
      </c>
      <c r="B107" t="s">
        <v>286</v>
      </c>
      <c r="C107">
        <v>466</v>
      </c>
      <c r="D107">
        <v>1427</v>
      </c>
      <c r="E107">
        <v>1893</v>
      </c>
      <c r="F107">
        <v>374</v>
      </c>
      <c r="G107">
        <v>299</v>
      </c>
      <c r="H107">
        <v>673</v>
      </c>
      <c r="I107">
        <v>115080</v>
      </c>
      <c r="J107">
        <v>1.645</v>
      </c>
      <c r="K107">
        <v>0.58499999999999996</v>
      </c>
      <c r="L107">
        <v>106749</v>
      </c>
      <c r="M107">
        <v>1.7730000000000001</v>
      </c>
      <c r="N107">
        <v>0.63</v>
      </c>
      <c r="O107" t="s">
        <v>258</v>
      </c>
    </row>
    <row r="108" spans="1:15" x14ac:dyDescent="0.35">
      <c r="A108" t="s">
        <v>32</v>
      </c>
      <c r="B108" t="s">
        <v>287</v>
      </c>
      <c r="C108">
        <v>739</v>
      </c>
      <c r="D108">
        <v>1595</v>
      </c>
      <c r="E108">
        <v>2334</v>
      </c>
      <c r="F108">
        <v>712</v>
      </c>
      <c r="G108">
        <v>510</v>
      </c>
      <c r="H108">
        <v>1222</v>
      </c>
      <c r="I108">
        <v>116421</v>
      </c>
      <c r="J108">
        <v>2.0049999999999999</v>
      </c>
      <c r="K108">
        <v>1.05</v>
      </c>
      <c r="L108">
        <v>110296</v>
      </c>
      <c r="M108">
        <v>2.1160000000000001</v>
      </c>
      <c r="N108">
        <v>1.1080000000000001</v>
      </c>
      <c r="O108" t="s">
        <v>258</v>
      </c>
    </row>
    <row r="109" spans="1:15" x14ac:dyDescent="0.35">
      <c r="A109" t="s">
        <v>35</v>
      </c>
      <c r="B109" t="s">
        <v>267</v>
      </c>
      <c r="C109">
        <v>270</v>
      </c>
      <c r="D109">
        <v>361</v>
      </c>
      <c r="E109">
        <v>631</v>
      </c>
      <c r="F109">
        <v>281</v>
      </c>
      <c r="G109">
        <v>120</v>
      </c>
      <c r="H109">
        <v>401</v>
      </c>
      <c r="I109">
        <v>24221</v>
      </c>
      <c r="J109">
        <v>2.605</v>
      </c>
      <c r="K109">
        <v>1.6560000000000001</v>
      </c>
      <c r="L109">
        <v>23401</v>
      </c>
      <c r="M109">
        <v>2.6959999999999997</v>
      </c>
      <c r="N109">
        <v>1.714</v>
      </c>
      <c r="O109" t="s">
        <v>258</v>
      </c>
    </row>
    <row r="110" spans="1:15" x14ac:dyDescent="0.35">
      <c r="A110" t="s">
        <v>39</v>
      </c>
      <c r="B110" t="s">
        <v>296</v>
      </c>
      <c r="C110">
        <v>720</v>
      </c>
      <c r="D110">
        <v>659</v>
      </c>
      <c r="E110">
        <v>1379</v>
      </c>
      <c r="F110">
        <v>857</v>
      </c>
      <c r="G110">
        <v>291</v>
      </c>
      <c r="H110">
        <v>1148</v>
      </c>
      <c r="I110">
        <v>46026</v>
      </c>
      <c r="J110">
        <v>2.996</v>
      </c>
      <c r="K110">
        <v>2.4939999999999998</v>
      </c>
      <c r="L110">
        <v>45350</v>
      </c>
      <c r="M110">
        <v>3.0409999999999999</v>
      </c>
      <c r="N110">
        <v>2.5310000000000001</v>
      </c>
      <c r="O110" t="s">
        <v>258</v>
      </c>
    </row>
    <row r="111" spans="1:15" x14ac:dyDescent="0.35">
      <c r="A111" t="s">
        <v>50</v>
      </c>
      <c r="B111" t="s">
        <v>295</v>
      </c>
      <c r="C111">
        <v>1400</v>
      </c>
      <c r="D111">
        <v>2084</v>
      </c>
      <c r="E111">
        <v>3484</v>
      </c>
      <c r="F111">
        <v>1722</v>
      </c>
      <c r="G111">
        <v>548</v>
      </c>
      <c r="H111">
        <v>2270</v>
      </c>
      <c r="I111">
        <v>153388</v>
      </c>
      <c r="J111">
        <v>2.2709999999999999</v>
      </c>
      <c r="K111">
        <v>1.48</v>
      </c>
      <c r="L111">
        <v>150364</v>
      </c>
      <c r="M111">
        <v>2.3170000000000002</v>
      </c>
      <c r="N111">
        <v>1.51</v>
      </c>
      <c r="O111" t="s">
        <v>258</v>
      </c>
    </row>
    <row r="112" spans="1:15" x14ac:dyDescent="0.35">
      <c r="A112" t="s">
        <v>55</v>
      </c>
      <c r="B112" t="s">
        <v>282</v>
      </c>
      <c r="C112">
        <v>86</v>
      </c>
      <c r="D112">
        <v>283</v>
      </c>
      <c r="E112">
        <v>369</v>
      </c>
      <c r="F112">
        <v>90</v>
      </c>
      <c r="G112">
        <v>70</v>
      </c>
      <c r="H112">
        <v>160</v>
      </c>
      <c r="I112">
        <v>11109</v>
      </c>
      <c r="J112">
        <v>3.3220000000000001</v>
      </c>
      <c r="K112">
        <v>1.44</v>
      </c>
      <c r="L112">
        <v>10283</v>
      </c>
      <c r="M112">
        <v>3.5880000000000001</v>
      </c>
      <c r="N112">
        <v>1.556</v>
      </c>
      <c r="O112" t="s">
        <v>258</v>
      </c>
    </row>
    <row r="113" spans="1:15" x14ac:dyDescent="0.35">
      <c r="A113" t="s">
        <v>57</v>
      </c>
      <c r="B113" t="s">
        <v>284</v>
      </c>
      <c r="C113">
        <v>1304</v>
      </c>
      <c r="D113">
        <v>2091</v>
      </c>
      <c r="E113">
        <v>3395</v>
      </c>
      <c r="F113">
        <v>1516</v>
      </c>
      <c r="G113">
        <v>593</v>
      </c>
      <c r="H113">
        <v>2109</v>
      </c>
      <c r="I113">
        <v>148771</v>
      </c>
      <c r="J113">
        <v>2.282</v>
      </c>
      <c r="K113">
        <v>1.4179999999999999</v>
      </c>
      <c r="L113">
        <v>144148</v>
      </c>
      <c r="M113">
        <v>2.355</v>
      </c>
      <c r="N113">
        <v>1.4630000000000001</v>
      </c>
      <c r="O113" t="s">
        <v>258</v>
      </c>
    </row>
    <row r="114" spans="1:15" x14ac:dyDescent="0.35">
      <c r="A114" t="s">
        <v>34</v>
      </c>
      <c r="B114" t="s">
        <v>288</v>
      </c>
      <c r="C114">
        <v>650</v>
      </c>
      <c r="D114">
        <v>1030</v>
      </c>
      <c r="E114">
        <v>1680</v>
      </c>
      <c r="F114">
        <v>503</v>
      </c>
      <c r="G114">
        <v>462</v>
      </c>
      <c r="H114">
        <v>965</v>
      </c>
      <c r="I114">
        <v>47884</v>
      </c>
      <c r="J114">
        <v>3.508</v>
      </c>
      <c r="K114">
        <v>2.0150000000000001</v>
      </c>
      <c r="L114">
        <v>41455</v>
      </c>
      <c r="M114">
        <v>4.0529999999999999</v>
      </c>
      <c r="N114">
        <v>2.3279999999999998</v>
      </c>
      <c r="O114" t="s">
        <v>242</v>
      </c>
    </row>
    <row r="115" spans="1:15" x14ac:dyDescent="0.35">
      <c r="A115" t="s">
        <v>49</v>
      </c>
      <c r="B115" t="s">
        <v>278</v>
      </c>
      <c r="C115">
        <v>805</v>
      </c>
      <c r="D115">
        <v>932</v>
      </c>
      <c r="E115">
        <v>1737</v>
      </c>
      <c r="F115">
        <v>822</v>
      </c>
      <c r="G115">
        <v>457</v>
      </c>
      <c r="H115">
        <v>1279</v>
      </c>
      <c r="I115">
        <v>67960</v>
      </c>
      <c r="J115">
        <v>2.556</v>
      </c>
      <c r="K115">
        <v>1.8820000000000001</v>
      </c>
      <c r="L115">
        <v>63756</v>
      </c>
      <c r="M115">
        <v>2.7240000000000002</v>
      </c>
      <c r="N115">
        <v>2.0059999999999998</v>
      </c>
      <c r="O115" t="s">
        <v>242</v>
      </c>
    </row>
    <row r="116" spans="1:15" x14ac:dyDescent="0.35">
      <c r="A116" t="s">
        <v>58</v>
      </c>
      <c r="B116" t="s">
        <v>285</v>
      </c>
      <c r="C116">
        <v>335</v>
      </c>
      <c r="D116">
        <v>625</v>
      </c>
      <c r="E116">
        <v>960</v>
      </c>
      <c r="F116">
        <v>315</v>
      </c>
      <c r="G116">
        <v>213</v>
      </c>
      <c r="H116">
        <v>528</v>
      </c>
      <c r="I116">
        <v>41250</v>
      </c>
      <c r="J116">
        <v>2.327</v>
      </c>
      <c r="K116">
        <v>1.28</v>
      </c>
      <c r="L116">
        <v>39285</v>
      </c>
      <c r="M116">
        <v>2.444</v>
      </c>
      <c r="N116">
        <v>1.3439999999999999</v>
      </c>
      <c r="O116" t="s">
        <v>242</v>
      </c>
    </row>
    <row r="117" spans="1:15" x14ac:dyDescent="0.35">
      <c r="A117" t="s">
        <v>34</v>
      </c>
      <c r="B117" t="s">
        <v>288</v>
      </c>
      <c r="C117">
        <v>531</v>
      </c>
      <c r="D117">
        <v>939</v>
      </c>
      <c r="E117">
        <v>1470</v>
      </c>
      <c r="F117">
        <v>480</v>
      </c>
      <c r="G117">
        <v>351</v>
      </c>
      <c r="H117">
        <v>831</v>
      </c>
      <c r="I117">
        <v>48020</v>
      </c>
      <c r="J117">
        <v>3.0609999999999999</v>
      </c>
      <c r="K117">
        <v>1.7309999999999999</v>
      </c>
      <c r="L117">
        <v>41630</v>
      </c>
      <c r="M117">
        <v>3.5310000000000001</v>
      </c>
      <c r="N117">
        <v>1.996</v>
      </c>
      <c r="O117" t="s">
        <v>241</v>
      </c>
    </row>
    <row r="118" spans="1:15" x14ac:dyDescent="0.35">
      <c r="A118" t="s">
        <v>245</v>
      </c>
      <c r="B118" t="s">
        <v>289</v>
      </c>
      <c r="C118">
        <v>1893</v>
      </c>
      <c r="D118">
        <v>2567</v>
      </c>
      <c r="E118">
        <v>4460</v>
      </c>
      <c r="F118">
        <v>1882</v>
      </c>
      <c r="G118">
        <v>776</v>
      </c>
      <c r="H118">
        <v>2658</v>
      </c>
      <c r="I118">
        <v>249810</v>
      </c>
      <c r="J118">
        <v>1.7850000000000001</v>
      </c>
      <c r="K118">
        <v>1.0640000000000001</v>
      </c>
      <c r="L118">
        <v>235771</v>
      </c>
      <c r="M118">
        <v>1.8919999999999999</v>
      </c>
      <c r="N118">
        <v>1.127</v>
      </c>
      <c r="O118" t="s">
        <v>241</v>
      </c>
    </row>
    <row r="119" spans="1:15" x14ac:dyDescent="0.35">
      <c r="A119" t="s">
        <v>48</v>
      </c>
      <c r="B119" t="s">
        <v>272</v>
      </c>
      <c r="C119">
        <v>112</v>
      </c>
      <c r="D119">
        <v>274</v>
      </c>
      <c r="E119">
        <v>386</v>
      </c>
      <c r="F119">
        <v>132</v>
      </c>
      <c r="G119">
        <v>29</v>
      </c>
      <c r="H119">
        <v>161</v>
      </c>
      <c r="I119">
        <v>14706</v>
      </c>
      <c r="J119">
        <v>2.625</v>
      </c>
      <c r="K119">
        <v>1.095</v>
      </c>
      <c r="L119">
        <v>12773</v>
      </c>
      <c r="M119">
        <v>3.0219999999999998</v>
      </c>
      <c r="N119">
        <v>1.26</v>
      </c>
      <c r="O119" t="s">
        <v>241</v>
      </c>
    </row>
    <row r="120" spans="1:15" x14ac:dyDescent="0.35">
      <c r="A120" t="s">
        <v>55</v>
      </c>
      <c r="B120" t="s">
        <v>282</v>
      </c>
      <c r="C120">
        <v>87</v>
      </c>
      <c r="D120">
        <v>209</v>
      </c>
      <c r="E120">
        <v>296</v>
      </c>
      <c r="F120">
        <v>85</v>
      </c>
      <c r="G120">
        <v>74</v>
      </c>
      <c r="H120">
        <v>159</v>
      </c>
      <c r="I120">
        <v>11270</v>
      </c>
      <c r="J120">
        <v>2.6259999999999999</v>
      </c>
      <c r="K120">
        <v>1.411</v>
      </c>
      <c r="L120">
        <v>10384</v>
      </c>
      <c r="M120">
        <v>2.851</v>
      </c>
      <c r="N120">
        <v>1.5310000000000001</v>
      </c>
      <c r="O120" t="s">
        <v>241</v>
      </c>
    </row>
    <row r="121" spans="1:15" x14ac:dyDescent="0.35">
      <c r="A121" t="s">
        <v>33</v>
      </c>
      <c r="B121" t="s">
        <v>293</v>
      </c>
      <c r="C121">
        <v>440</v>
      </c>
      <c r="D121">
        <v>1358</v>
      </c>
      <c r="E121">
        <v>1798</v>
      </c>
      <c r="F121">
        <v>474</v>
      </c>
      <c r="G121">
        <v>203</v>
      </c>
      <c r="H121">
        <v>677</v>
      </c>
      <c r="I121">
        <v>56928</v>
      </c>
      <c r="J121">
        <v>3.1579999999999999</v>
      </c>
      <c r="K121">
        <v>1.1890000000000001</v>
      </c>
      <c r="L121">
        <v>54221</v>
      </c>
      <c r="M121">
        <v>3.3159999999999998</v>
      </c>
      <c r="N121">
        <v>1.2490000000000001</v>
      </c>
      <c r="O121" t="s">
        <v>773</v>
      </c>
    </row>
    <row r="122" spans="1:15" x14ac:dyDescent="0.35">
      <c r="A122" t="s">
        <v>55</v>
      </c>
      <c r="B122" t="s">
        <v>282</v>
      </c>
      <c r="C122">
        <v>156</v>
      </c>
      <c r="D122">
        <v>407</v>
      </c>
      <c r="E122">
        <v>563</v>
      </c>
      <c r="F122">
        <v>141</v>
      </c>
      <c r="G122">
        <v>112</v>
      </c>
      <c r="H122">
        <v>253</v>
      </c>
      <c r="I122">
        <v>11305</v>
      </c>
      <c r="J122">
        <v>4.9800000000000004</v>
      </c>
      <c r="K122">
        <v>2.238</v>
      </c>
      <c r="L122">
        <v>10439</v>
      </c>
      <c r="M122">
        <v>5.3929999999999998</v>
      </c>
      <c r="N122">
        <v>2.4239999999999999</v>
      </c>
      <c r="O122" t="s">
        <v>773</v>
      </c>
    </row>
    <row r="123" spans="1:15" x14ac:dyDescent="0.35">
      <c r="A123" t="s">
        <v>59</v>
      </c>
      <c r="B123" t="s">
        <v>291</v>
      </c>
      <c r="C123">
        <v>468</v>
      </c>
      <c r="D123">
        <v>931</v>
      </c>
      <c r="E123">
        <v>1399</v>
      </c>
      <c r="F123">
        <v>550</v>
      </c>
      <c r="G123">
        <v>172</v>
      </c>
      <c r="H123">
        <v>722</v>
      </c>
      <c r="I123">
        <v>45357</v>
      </c>
      <c r="J123">
        <v>3.0840000000000001</v>
      </c>
      <c r="K123">
        <v>1.5920000000000001</v>
      </c>
      <c r="L123">
        <v>43030</v>
      </c>
      <c r="M123">
        <v>3.2509999999999999</v>
      </c>
      <c r="N123">
        <v>1.6779999999999999</v>
      </c>
      <c r="O123" t="s">
        <v>773</v>
      </c>
    </row>
    <row r="124" spans="1:15" x14ac:dyDescent="0.35">
      <c r="A124" t="s">
        <v>31</v>
      </c>
      <c r="B124" t="s">
        <v>286</v>
      </c>
      <c r="C124">
        <v>130</v>
      </c>
      <c r="D124">
        <v>411</v>
      </c>
      <c r="E124">
        <v>541</v>
      </c>
      <c r="F124">
        <v>135</v>
      </c>
      <c r="G124">
        <v>54</v>
      </c>
      <c r="H124">
        <v>189</v>
      </c>
      <c r="I124">
        <v>120980</v>
      </c>
      <c r="J124">
        <v>0.44700000000000001</v>
      </c>
      <c r="K124">
        <v>0.156</v>
      </c>
      <c r="L124">
        <v>108893</v>
      </c>
      <c r="M124">
        <v>0.497</v>
      </c>
      <c r="N124">
        <v>0.17399999999999999</v>
      </c>
      <c r="O124" t="s">
        <v>951</v>
      </c>
    </row>
    <row r="125" spans="1:15" x14ac:dyDescent="0.35">
      <c r="A125" t="s">
        <v>54</v>
      </c>
      <c r="B125" t="s">
        <v>281</v>
      </c>
      <c r="C125">
        <v>268</v>
      </c>
      <c r="D125">
        <v>381</v>
      </c>
      <c r="E125">
        <v>649</v>
      </c>
      <c r="F125">
        <v>253</v>
      </c>
      <c r="G125">
        <v>195</v>
      </c>
      <c r="H125">
        <v>448</v>
      </c>
      <c r="I125">
        <v>58814</v>
      </c>
      <c r="J125">
        <v>1.103</v>
      </c>
      <c r="K125">
        <v>0.76200000000000001</v>
      </c>
      <c r="L125">
        <v>54796</v>
      </c>
      <c r="M125">
        <v>1.1839999999999999</v>
      </c>
      <c r="N125">
        <v>0.81799999999999995</v>
      </c>
      <c r="O125" t="s">
        <v>951</v>
      </c>
    </row>
    <row r="126" spans="1:15" x14ac:dyDescent="0.35">
      <c r="A126" t="s">
        <v>59</v>
      </c>
      <c r="B126" t="s">
        <v>291</v>
      </c>
      <c r="C126">
        <v>221</v>
      </c>
      <c r="D126">
        <v>356</v>
      </c>
      <c r="E126">
        <v>577</v>
      </c>
      <c r="F126">
        <v>269</v>
      </c>
      <c r="G126">
        <v>66</v>
      </c>
      <c r="H126">
        <v>335</v>
      </c>
      <c r="I126">
        <v>45148</v>
      </c>
      <c r="J126">
        <v>1.278</v>
      </c>
      <c r="K126">
        <v>0.74199999999999999</v>
      </c>
      <c r="L126">
        <v>43164</v>
      </c>
      <c r="M126">
        <v>1.337</v>
      </c>
      <c r="N126">
        <v>0.77600000000000002</v>
      </c>
      <c r="O126" t="s">
        <v>951</v>
      </c>
    </row>
    <row r="127" spans="1:15" x14ac:dyDescent="0.35">
      <c r="A127" t="s">
        <v>44</v>
      </c>
      <c r="B127" t="s">
        <v>274</v>
      </c>
      <c r="C127">
        <v>164</v>
      </c>
      <c r="D127">
        <v>632</v>
      </c>
      <c r="E127">
        <v>796</v>
      </c>
      <c r="F127">
        <v>167</v>
      </c>
      <c r="G127">
        <v>167</v>
      </c>
      <c r="H127">
        <v>334</v>
      </c>
      <c r="I127">
        <v>119918</v>
      </c>
      <c r="J127">
        <v>0.66400000000000003</v>
      </c>
      <c r="K127">
        <v>0.27900000000000003</v>
      </c>
      <c r="L127">
        <v>110084</v>
      </c>
      <c r="M127">
        <v>0.72299999999999998</v>
      </c>
      <c r="N127">
        <v>0.30299999999999999</v>
      </c>
      <c r="O127" t="s">
        <v>951</v>
      </c>
    </row>
    <row r="128" spans="1:15" x14ac:dyDescent="0.35">
      <c r="A128" t="s">
        <v>56</v>
      </c>
      <c r="B128" t="s">
        <v>283</v>
      </c>
      <c r="C128">
        <v>131</v>
      </c>
      <c r="D128">
        <v>270</v>
      </c>
      <c r="E128">
        <v>401</v>
      </c>
      <c r="F128">
        <v>197</v>
      </c>
      <c r="G128">
        <v>56</v>
      </c>
      <c r="H128">
        <v>253</v>
      </c>
      <c r="I128">
        <v>55793</v>
      </c>
      <c r="J128">
        <v>0.71899999999999997</v>
      </c>
      <c r="K128">
        <v>0.45300000000000001</v>
      </c>
      <c r="L128">
        <v>52571</v>
      </c>
      <c r="M128">
        <v>0.76300000000000001</v>
      </c>
      <c r="N128">
        <v>0.48099999999999998</v>
      </c>
      <c r="O128" t="s">
        <v>951</v>
      </c>
    </row>
    <row r="129" spans="1:15" x14ac:dyDescent="0.35">
      <c r="A129" t="s">
        <v>31</v>
      </c>
      <c r="B129" t="s">
        <v>286</v>
      </c>
      <c r="C129">
        <v>492</v>
      </c>
      <c r="D129">
        <v>1898</v>
      </c>
      <c r="E129">
        <v>2390</v>
      </c>
      <c r="F129">
        <v>419</v>
      </c>
      <c r="G129">
        <v>245</v>
      </c>
      <c r="H129">
        <v>664</v>
      </c>
      <c r="I129">
        <v>112713</v>
      </c>
      <c r="J129">
        <v>2.12</v>
      </c>
      <c r="K129">
        <v>0.58899999999999997</v>
      </c>
      <c r="L129">
        <v>105047</v>
      </c>
      <c r="M129">
        <v>2.2749999999999999</v>
      </c>
      <c r="N129">
        <v>0.63200000000000001</v>
      </c>
      <c r="O129" t="s">
        <v>194</v>
      </c>
    </row>
    <row r="130" spans="1:15" x14ac:dyDescent="0.35">
      <c r="A130" t="s">
        <v>32</v>
      </c>
      <c r="B130" t="s">
        <v>287</v>
      </c>
      <c r="C130">
        <v>567</v>
      </c>
      <c r="D130">
        <v>789</v>
      </c>
      <c r="E130">
        <v>1356</v>
      </c>
      <c r="F130">
        <v>497</v>
      </c>
      <c r="G130">
        <v>391</v>
      </c>
      <c r="H130">
        <v>888</v>
      </c>
      <c r="I130">
        <v>112867</v>
      </c>
      <c r="J130">
        <v>1.2010000000000001</v>
      </c>
      <c r="K130">
        <v>0.78700000000000003</v>
      </c>
      <c r="L130">
        <v>107128</v>
      </c>
      <c r="M130">
        <v>1.266</v>
      </c>
      <c r="N130">
        <v>0.82899999999999996</v>
      </c>
      <c r="O130" t="s">
        <v>194</v>
      </c>
    </row>
    <row r="131" spans="1:15" x14ac:dyDescent="0.35">
      <c r="A131" t="s">
        <v>35</v>
      </c>
      <c r="B131" t="s">
        <v>267</v>
      </c>
      <c r="C131">
        <v>354</v>
      </c>
      <c r="D131">
        <v>518</v>
      </c>
      <c r="E131">
        <v>872</v>
      </c>
      <c r="F131">
        <v>391</v>
      </c>
      <c r="G131">
        <v>151</v>
      </c>
      <c r="H131">
        <v>542</v>
      </c>
      <c r="I131">
        <v>23894</v>
      </c>
      <c r="J131">
        <v>3.649</v>
      </c>
      <c r="K131">
        <v>2.2679999999999998</v>
      </c>
      <c r="L131">
        <v>22978</v>
      </c>
      <c r="M131">
        <v>3.7949999999999999</v>
      </c>
      <c r="N131">
        <v>2.359</v>
      </c>
      <c r="O131" t="s">
        <v>194</v>
      </c>
    </row>
    <row r="132" spans="1:15" x14ac:dyDescent="0.35">
      <c r="A132" t="s">
        <v>48</v>
      </c>
      <c r="B132" t="s">
        <v>272</v>
      </c>
      <c r="C132">
        <v>93</v>
      </c>
      <c r="D132">
        <v>199</v>
      </c>
      <c r="E132">
        <v>292</v>
      </c>
      <c r="F132">
        <v>116</v>
      </c>
      <c r="G132">
        <v>30</v>
      </c>
      <c r="H132">
        <v>146</v>
      </c>
      <c r="I132">
        <v>14520</v>
      </c>
      <c r="J132">
        <v>2.0110000000000001</v>
      </c>
      <c r="K132">
        <v>1.006</v>
      </c>
      <c r="L132">
        <v>12920</v>
      </c>
      <c r="M132">
        <v>2.2599999999999998</v>
      </c>
      <c r="N132">
        <v>1.1299999999999999</v>
      </c>
      <c r="O132" t="s">
        <v>193</v>
      </c>
    </row>
    <row r="133" spans="1:15" x14ac:dyDescent="0.35">
      <c r="A133" t="s">
        <v>53</v>
      </c>
      <c r="B133" t="s">
        <v>290</v>
      </c>
      <c r="C133">
        <v>884</v>
      </c>
      <c r="D133">
        <v>1268</v>
      </c>
      <c r="E133">
        <v>2152</v>
      </c>
      <c r="F133">
        <v>1019</v>
      </c>
      <c r="G133">
        <v>425</v>
      </c>
      <c r="H133">
        <v>1444</v>
      </c>
      <c r="I133">
        <v>84442</v>
      </c>
      <c r="J133">
        <v>2.548</v>
      </c>
      <c r="K133">
        <v>1.71</v>
      </c>
      <c r="L133">
        <v>82385</v>
      </c>
      <c r="M133">
        <v>2.6120000000000001</v>
      </c>
      <c r="N133">
        <v>1.7530000000000001</v>
      </c>
      <c r="O133" t="s">
        <v>193</v>
      </c>
    </row>
    <row r="134" spans="1:15" x14ac:dyDescent="0.35">
      <c r="A134" t="s">
        <v>31</v>
      </c>
      <c r="B134" t="s">
        <v>286</v>
      </c>
      <c r="C134">
        <v>572</v>
      </c>
      <c r="D134">
        <v>2074</v>
      </c>
      <c r="E134">
        <v>2646</v>
      </c>
      <c r="F134">
        <v>538</v>
      </c>
      <c r="G134">
        <v>281</v>
      </c>
      <c r="H134">
        <v>819</v>
      </c>
      <c r="I134">
        <v>114234</v>
      </c>
      <c r="J134">
        <v>2.3159999999999998</v>
      </c>
      <c r="K134">
        <v>0.71699999999999997</v>
      </c>
      <c r="L134">
        <v>105311</v>
      </c>
      <c r="M134">
        <v>2.5129999999999999</v>
      </c>
      <c r="N134">
        <v>0.77800000000000002</v>
      </c>
      <c r="O134" t="s">
        <v>192</v>
      </c>
    </row>
    <row r="135" spans="1:15" x14ac:dyDescent="0.35">
      <c r="A135" t="s">
        <v>47</v>
      </c>
      <c r="B135" t="s">
        <v>277</v>
      </c>
      <c r="C135">
        <v>426</v>
      </c>
      <c r="D135">
        <v>479</v>
      </c>
      <c r="E135">
        <v>905</v>
      </c>
      <c r="F135">
        <v>383</v>
      </c>
      <c r="G135">
        <v>384</v>
      </c>
      <c r="H135">
        <v>767</v>
      </c>
      <c r="I135">
        <v>44096</v>
      </c>
      <c r="J135">
        <v>2.052</v>
      </c>
      <c r="K135">
        <v>1.7389999999999999</v>
      </c>
      <c r="L135">
        <v>41641</v>
      </c>
      <c r="M135">
        <v>2.173</v>
      </c>
      <c r="N135">
        <v>1.8420000000000001</v>
      </c>
      <c r="O135" t="s">
        <v>192</v>
      </c>
    </row>
    <row r="136" spans="1:15" x14ac:dyDescent="0.35">
      <c r="A136" t="s">
        <v>52</v>
      </c>
      <c r="B136" t="s">
        <v>280</v>
      </c>
      <c r="C136">
        <v>443</v>
      </c>
      <c r="D136">
        <v>1554</v>
      </c>
      <c r="E136">
        <v>1997</v>
      </c>
      <c r="F136">
        <v>437</v>
      </c>
      <c r="G136">
        <v>234</v>
      </c>
      <c r="H136">
        <v>671</v>
      </c>
      <c r="I136">
        <v>70828</v>
      </c>
      <c r="J136">
        <v>2.82</v>
      </c>
      <c r="K136">
        <v>0.94699999999999995</v>
      </c>
      <c r="L136">
        <v>66545</v>
      </c>
      <c r="M136">
        <v>3.0009999999999999</v>
      </c>
      <c r="N136">
        <v>1.008</v>
      </c>
      <c r="O136" t="s">
        <v>192</v>
      </c>
    </row>
    <row r="137" spans="1:15" x14ac:dyDescent="0.35">
      <c r="A137" t="s">
        <v>114</v>
      </c>
      <c r="B137" t="s">
        <v>297</v>
      </c>
      <c r="C137">
        <v>2485</v>
      </c>
      <c r="D137">
        <v>3499</v>
      </c>
      <c r="E137">
        <v>5984</v>
      </c>
      <c r="F137">
        <v>2530</v>
      </c>
      <c r="G137">
        <v>949</v>
      </c>
      <c r="H137">
        <v>3479</v>
      </c>
      <c r="I137">
        <v>306000</v>
      </c>
      <c r="J137">
        <v>1.956</v>
      </c>
      <c r="K137">
        <v>1.137</v>
      </c>
      <c r="L137">
        <v>289399</v>
      </c>
      <c r="M137">
        <v>2.0680000000000001</v>
      </c>
      <c r="N137">
        <v>1.202</v>
      </c>
      <c r="O137" t="s">
        <v>258</v>
      </c>
    </row>
    <row r="138" spans="1:15" x14ac:dyDescent="0.35">
      <c r="A138" t="s">
        <v>47</v>
      </c>
      <c r="B138" t="s">
        <v>277</v>
      </c>
      <c r="C138">
        <v>768</v>
      </c>
      <c r="D138">
        <v>1016</v>
      </c>
      <c r="E138">
        <v>1784</v>
      </c>
      <c r="F138">
        <v>709</v>
      </c>
      <c r="G138">
        <v>647</v>
      </c>
      <c r="H138">
        <v>1356</v>
      </c>
      <c r="I138">
        <v>44454</v>
      </c>
      <c r="J138">
        <v>4.0129999999999999</v>
      </c>
      <c r="K138">
        <v>3.05</v>
      </c>
      <c r="L138">
        <v>41961</v>
      </c>
      <c r="M138">
        <v>4.2519999999999998</v>
      </c>
      <c r="N138">
        <v>3.2320000000000002</v>
      </c>
      <c r="O138" t="s">
        <v>258</v>
      </c>
    </row>
    <row r="139" spans="1:15" x14ac:dyDescent="0.35">
      <c r="A139" t="s">
        <v>49</v>
      </c>
      <c r="B139" t="s">
        <v>278</v>
      </c>
      <c r="C139">
        <v>905</v>
      </c>
      <c r="D139">
        <v>1053</v>
      </c>
      <c r="E139">
        <v>1958</v>
      </c>
      <c r="F139">
        <v>831</v>
      </c>
      <c r="G139">
        <v>575</v>
      </c>
      <c r="H139">
        <v>1406</v>
      </c>
      <c r="I139">
        <v>67800</v>
      </c>
      <c r="J139">
        <v>2.8879999999999999</v>
      </c>
      <c r="K139">
        <v>2.0739999999999998</v>
      </c>
      <c r="L139">
        <v>63440</v>
      </c>
      <c r="M139">
        <v>3.0859999999999999</v>
      </c>
      <c r="N139">
        <v>2.2160000000000002</v>
      </c>
      <c r="O139" t="s">
        <v>258</v>
      </c>
    </row>
    <row r="140" spans="1:15" x14ac:dyDescent="0.35">
      <c r="A140" t="s">
        <v>32</v>
      </c>
      <c r="B140" t="s">
        <v>287</v>
      </c>
      <c r="C140">
        <v>735</v>
      </c>
      <c r="D140">
        <v>1405</v>
      </c>
      <c r="E140">
        <v>2140</v>
      </c>
      <c r="F140">
        <v>828</v>
      </c>
      <c r="G140">
        <v>451</v>
      </c>
      <c r="H140">
        <v>1279</v>
      </c>
      <c r="I140">
        <v>117363</v>
      </c>
      <c r="J140">
        <v>1.823</v>
      </c>
      <c r="K140">
        <v>1.0900000000000001</v>
      </c>
      <c r="L140">
        <v>110941</v>
      </c>
      <c r="M140">
        <v>1.929</v>
      </c>
      <c r="N140">
        <v>1.153</v>
      </c>
      <c r="O140" t="s">
        <v>242</v>
      </c>
    </row>
    <row r="141" spans="1:15" x14ac:dyDescent="0.35">
      <c r="A141" t="s">
        <v>40</v>
      </c>
      <c r="B141" t="s">
        <v>270</v>
      </c>
      <c r="C141">
        <v>540</v>
      </c>
      <c r="D141">
        <v>494</v>
      </c>
      <c r="E141">
        <v>1034</v>
      </c>
      <c r="F141">
        <v>544</v>
      </c>
      <c r="G141">
        <v>339</v>
      </c>
      <c r="H141">
        <v>883</v>
      </c>
      <c r="I141">
        <v>47407</v>
      </c>
      <c r="J141">
        <v>2.181</v>
      </c>
      <c r="K141">
        <v>1.863</v>
      </c>
      <c r="L141">
        <v>45301</v>
      </c>
      <c r="M141">
        <v>2.2829999999999999</v>
      </c>
      <c r="N141">
        <v>1.9489999999999998</v>
      </c>
      <c r="O141" t="s">
        <v>242</v>
      </c>
    </row>
    <row r="142" spans="1:15" x14ac:dyDescent="0.35">
      <c r="A142" t="s">
        <v>54</v>
      </c>
      <c r="B142" t="s">
        <v>281</v>
      </c>
      <c r="C142">
        <v>1121</v>
      </c>
      <c r="D142">
        <v>1263</v>
      </c>
      <c r="E142">
        <v>2384</v>
      </c>
      <c r="F142">
        <v>779</v>
      </c>
      <c r="G142">
        <v>941</v>
      </c>
      <c r="H142">
        <v>1720</v>
      </c>
      <c r="I142">
        <v>58167</v>
      </c>
      <c r="J142">
        <v>4.0990000000000002</v>
      </c>
      <c r="K142">
        <v>2.9569999999999999</v>
      </c>
      <c r="L142">
        <v>54306</v>
      </c>
      <c r="M142">
        <v>4.3899999999999997</v>
      </c>
      <c r="N142">
        <v>3.1669999999999998</v>
      </c>
      <c r="O142" t="s">
        <v>242</v>
      </c>
    </row>
    <row r="143" spans="1:15" x14ac:dyDescent="0.35">
      <c r="A143" t="s">
        <v>57</v>
      </c>
      <c r="B143" t="s">
        <v>284</v>
      </c>
      <c r="C143">
        <v>1336</v>
      </c>
      <c r="D143">
        <v>2180</v>
      </c>
      <c r="E143">
        <v>3516</v>
      </c>
      <c r="F143">
        <v>1607</v>
      </c>
      <c r="G143">
        <v>503</v>
      </c>
      <c r="H143">
        <v>2110</v>
      </c>
      <c r="I143">
        <v>149972</v>
      </c>
      <c r="J143">
        <v>2.3439999999999999</v>
      </c>
      <c r="K143">
        <v>1.407</v>
      </c>
      <c r="L143">
        <v>145182</v>
      </c>
      <c r="M143">
        <v>2.4220000000000002</v>
      </c>
      <c r="N143">
        <v>1.4530000000000001</v>
      </c>
      <c r="O143" t="s">
        <v>242</v>
      </c>
    </row>
    <row r="144" spans="1:15" x14ac:dyDescent="0.35">
      <c r="A144" t="s">
        <v>36</v>
      </c>
      <c r="B144" t="s">
        <v>268</v>
      </c>
      <c r="C144">
        <v>1028</v>
      </c>
      <c r="D144">
        <v>721</v>
      </c>
      <c r="E144">
        <v>1749</v>
      </c>
      <c r="F144">
        <v>1107</v>
      </c>
      <c r="G144">
        <v>447</v>
      </c>
      <c r="H144">
        <v>1554</v>
      </c>
      <c r="I144">
        <v>74823</v>
      </c>
      <c r="J144">
        <v>2.3380000000000001</v>
      </c>
      <c r="K144">
        <v>2.077</v>
      </c>
      <c r="L144">
        <v>69586</v>
      </c>
      <c r="M144">
        <v>2.5129999999999999</v>
      </c>
      <c r="N144">
        <v>2.2330000000000001</v>
      </c>
      <c r="O144" t="s">
        <v>241</v>
      </c>
    </row>
    <row r="145" spans="1:15" x14ac:dyDescent="0.35">
      <c r="A145" t="s">
        <v>41</v>
      </c>
      <c r="B145" t="s">
        <v>271</v>
      </c>
      <c r="C145">
        <v>445</v>
      </c>
      <c r="D145">
        <v>651</v>
      </c>
      <c r="E145">
        <v>1096</v>
      </c>
      <c r="F145">
        <v>492</v>
      </c>
      <c r="G145">
        <v>194</v>
      </c>
      <c r="H145">
        <v>686</v>
      </c>
      <c r="I145">
        <v>38902</v>
      </c>
      <c r="J145">
        <v>2.8170000000000002</v>
      </c>
      <c r="K145">
        <v>1.7629999999999999</v>
      </c>
      <c r="L145">
        <v>39108</v>
      </c>
      <c r="M145">
        <v>2.802</v>
      </c>
      <c r="N145">
        <v>1.754</v>
      </c>
      <c r="O145" t="s">
        <v>241</v>
      </c>
    </row>
    <row r="146" spans="1:15" x14ac:dyDescent="0.35">
      <c r="A146" t="s">
        <v>45</v>
      </c>
      <c r="B146" t="s">
        <v>275</v>
      </c>
      <c r="C146">
        <v>635</v>
      </c>
      <c r="D146">
        <v>894</v>
      </c>
      <c r="E146">
        <v>1529</v>
      </c>
      <c r="F146">
        <v>575</v>
      </c>
      <c r="G146">
        <v>360</v>
      </c>
      <c r="H146">
        <v>935</v>
      </c>
      <c r="I146">
        <v>38985</v>
      </c>
      <c r="J146">
        <v>3.9220000000000002</v>
      </c>
      <c r="K146">
        <v>2.3980000000000001</v>
      </c>
      <c r="L146">
        <v>37640</v>
      </c>
      <c r="M146">
        <v>4.0620000000000003</v>
      </c>
      <c r="N146">
        <v>2.484</v>
      </c>
      <c r="O146" t="s">
        <v>241</v>
      </c>
    </row>
    <row r="147" spans="1:15" x14ac:dyDescent="0.35">
      <c r="A147" t="s">
        <v>46</v>
      </c>
      <c r="B147" t="s">
        <v>276</v>
      </c>
      <c r="C147">
        <v>394</v>
      </c>
      <c r="D147">
        <v>606</v>
      </c>
      <c r="E147">
        <v>1000</v>
      </c>
      <c r="F147">
        <v>353</v>
      </c>
      <c r="G147">
        <v>267</v>
      </c>
      <c r="H147">
        <v>620</v>
      </c>
      <c r="I147">
        <v>40612</v>
      </c>
      <c r="J147">
        <v>2.4620000000000002</v>
      </c>
      <c r="K147">
        <v>1.5270000000000001</v>
      </c>
      <c r="L147">
        <v>39122</v>
      </c>
      <c r="M147">
        <v>2.556</v>
      </c>
      <c r="N147">
        <v>1.585</v>
      </c>
      <c r="O147" t="s">
        <v>241</v>
      </c>
    </row>
    <row r="148" spans="1:15" x14ac:dyDescent="0.35">
      <c r="A148" t="s">
        <v>54</v>
      </c>
      <c r="B148" t="s">
        <v>281</v>
      </c>
      <c r="C148">
        <v>920</v>
      </c>
      <c r="D148">
        <v>1208</v>
      </c>
      <c r="E148">
        <v>2128</v>
      </c>
      <c r="F148">
        <v>740</v>
      </c>
      <c r="G148">
        <v>673</v>
      </c>
      <c r="H148">
        <v>1413</v>
      </c>
      <c r="I148">
        <v>58425</v>
      </c>
      <c r="J148">
        <v>3.6419999999999999</v>
      </c>
      <c r="K148">
        <v>2.4180000000000001</v>
      </c>
      <c r="L148">
        <v>54413</v>
      </c>
      <c r="M148">
        <v>3.911</v>
      </c>
      <c r="N148">
        <v>2.597</v>
      </c>
      <c r="O148" t="s">
        <v>241</v>
      </c>
    </row>
    <row r="149" spans="1:15" x14ac:dyDescent="0.35">
      <c r="A149" t="s">
        <v>60</v>
      </c>
      <c r="B149" t="s">
        <v>292</v>
      </c>
      <c r="C149">
        <v>851</v>
      </c>
      <c r="D149">
        <v>1470</v>
      </c>
      <c r="E149">
        <v>2321</v>
      </c>
      <c r="F149">
        <v>780</v>
      </c>
      <c r="G149">
        <v>506</v>
      </c>
      <c r="H149">
        <v>1286</v>
      </c>
      <c r="I149">
        <v>79854</v>
      </c>
      <c r="J149">
        <v>2.907</v>
      </c>
      <c r="K149">
        <v>1.6099999999999999</v>
      </c>
      <c r="L149">
        <v>77953</v>
      </c>
      <c r="M149">
        <v>2.9769999999999999</v>
      </c>
      <c r="N149">
        <v>1.65</v>
      </c>
      <c r="O149" t="s">
        <v>241</v>
      </c>
    </row>
    <row r="150" spans="1:15" x14ac:dyDescent="0.35">
      <c r="A150" t="s">
        <v>114</v>
      </c>
      <c r="B150" t="s">
        <v>297</v>
      </c>
      <c r="C150">
        <v>2529</v>
      </c>
      <c r="D150">
        <v>7410</v>
      </c>
      <c r="E150">
        <v>9939</v>
      </c>
      <c r="F150">
        <v>2783</v>
      </c>
      <c r="G150">
        <v>753</v>
      </c>
      <c r="H150">
        <v>3536</v>
      </c>
      <c r="I150">
        <v>314604</v>
      </c>
      <c r="J150">
        <v>3.1589999999999998</v>
      </c>
      <c r="K150">
        <v>1.1240000000000001</v>
      </c>
      <c r="L150">
        <v>294622</v>
      </c>
      <c r="M150">
        <v>3.3730000000000002</v>
      </c>
      <c r="N150">
        <v>1.2</v>
      </c>
      <c r="O150" t="s">
        <v>773</v>
      </c>
    </row>
    <row r="151" spans="1:15" x14ac:dyDescent="0.35">
      <c r="A151" t="s">
        <v>48</v>
      </c>
      <c r="B151" t="s">
        <v>272</v>
      </c>
      <c r="C151">
        <v>67</v>
      </c>
      <c r="D151">
        <v>235</v>
      </c>
      <c r="E151">
        <v>302</v>
      </c>
      <c r="F151">
        <v>69</v>
      </c>
      <c r="G151">
        <v>42</v>
      </c>
      <c r="H151">
        <v>111</v>
      </c>
      <c r="I151">
        <v>14734</v>
      </c>
      <c r="J151">
        <v>2.0499999999999998</v>
      </c>
      <c r="K151">
        <v>0.753</v>
      </c>
      <c r="L151">
        <v>12833</v>
      </c>
      <c r="M151">
        <v>2.3529999999999998</v>
      </c>
      <c r="N151">
        <v>0.86499999999999999</v>
      </c>
      <c r="O151" t="s">
        <v>773</v>
      </c>
    </row>
    <row r="152" spans="1:15" x14ac:dyDescent="0.35">
      <c r="A152" t="s">
        <v>51</v>
      </c>
      <c r="B152" t="s">
        <v>279</v>
      </c>
      <c r="C152">
        <v>122</v>
      </c>
      <c r="D152">
        <v>237</v>
      </c>
      <c r="E152">
        <v>359</v>
      </c>
      <c r="F152">
        <v>127</v>
      </c>
      <c r="G152">
        <v>84</v>
      </c>
      <c r="H152">
        <v>211</v>
      </c>
      <c r="I152">
        <v>11322</v>
      </c>
      <c r="J152">
        <v>3.1709999999999998</v>
      </c>
      <c r="K152">
        <v>1.8639999999999999</v>
      </c>
      <c r="L152">
        <v>10589</v>
      </c>
      <c r="M152">
        <v>3.39</v>
      </c>
      <c r="N152">
        <v>1.9929999999999999</v>
      </c>
      <c r="O152" t="s">
        <v>773</v>
      </c>
    </row>
    <row r="153" spans="1:15" x14ac:dyDescent="0.35">
      <c r="A153" t="s">
        <v>56</v>
      </c>
      <c r="B153" t="s">
        <v>283</v>
      </c>
      <c r="C153">
        <v>413</v>
      </c>
      <c r="D153">
        <v>588</v>
      </c>
      <c r="E153">
        <v>1001</v>
      </c>
      <c r="F153">
        <v>525</v>
      </c>
      <c r="G153">
        <v>185</v>
      </c>
      <c r="H153">
        <v>710</v>
      </c>
      <c r="I153">
        <v>55668</v>
      </c>
      <c r="J153">
        <v>1.798</v>
      </c>
      <c r="K153">
        <v>1.2749999999999999</v>
      </c>
      <c r="L153">
        <v>52588</v>
      </c>
      <c r="M153">
        <v>1.903</v>
      </c>
      <c r="N153">
        <v>1.35</v>
      </c>
      <c r="O153" t="s">
        <v>773</v>
      </c>
    </row>
    <row r="154" spans="1:15" x14ac:dyDescent="0.35">
      <c r="A154" t="s">
        <v>60</v>
      </c>
      <c r="B154" t="s">
        <v>292</v>
      </c>
      <c r="C154">
        <v>658</v>
      </c>
      <c r="D154">
        <v>1193</v>
      </c>
      <c r="E154">
        <v>1851</v>
      </c>
      <c r="F154">
        <v>631</v>
      </c>
      <c r="G154">
        <v>327</v>
      </c>
      <c r="H154">
        <v>958</v>
      </c>
      <c r="I154">
        <v>80911</v>
      </c>
      <c r="J154">
        <v>2.2879999999999998</v>
      </c>
      <c r="K154">
        <v>1.1839999999999999</v>
      </c>
      <c r="L154">
        <v>78966</v>
      </c>
      <c r="M154">
        <v>2.3439999999999999</v>
      </c>
      <c r="N154">
        <v>1.2130000000000001</v>
      </c>
      <c r="O154" t="s">
        <v>773</v>
      </c>
    </row>
    <row r="155" spans="1:15" x14ac:dyDescent="0.35">
      <c r="A155" t="s">
        <v>39</v>
      </c>
      <c r="B155" t="s">
        <v>296</v>
      </c>
      <c r="C155">
        <v>229</v>
      </c>
      <c r="D155">
        <v>178</v>
      </c>
      <c r="E155">
        <v>407</v>
      </c>
      <c r="F155">
        <v>238</v>
      </c>
      <c r="G155">
        <v>133</v>
      </c>
      <c r="H155">
        <v>371</v>
      </c>
      <c r="I155">
        <v>47251</v>
      </c>
      <c r="J155">
        <v>0.86099999999999999</v>
      </c>
      <c r="K155">
        <v>0.78500000000000003</v>
      </c>
      <c r="L155">
        <v>46563</v>
      </c>
      <c r="M155">
        <v>0.874</v>
      </c>
      <c r="N155">
        <v>0.79700000000000004</v>
      </c>
      <c r="O155" t="s">
        <v>951</v>
      </c>
    </row>
    <row r="156" spans="1:15" x14ac:dyDescent="0.35">
      <c r="A156" t="s">
        <v>114</v>
      </c>
      <c r="B156" t="s">
        <v>297</v>
      </c>
      <c r="C156">
        <v>771</v>
      </c>
      <c r="D156">
        <v>1323</v>
      </c>
      <c r="E156">
        <v>2094</v>
      </c>
      <c r="F156">
        <v>906</v>
      </c>
      <c r="G156">
        <v>243</v>
      </c>
      <c r="H156">
        <v>1149</v>
      </c>
      <c r="I156">
        <v>317193</v>
      </c>
      <c r="J156">
        <v>0.66</v>
      </c>
      <c r="K156">
        <v>0.36199999999999999</v>
      </c>
      <c r="L156">
        <v>295761</v>
      </c>
      <c r="M156">
        <v>0.70799999999999996</v>
      </c>
      <c r="N156">
        <v>0.38800000000000001</v>
      </c>
      <c r="O156" t="s">
        <v>951</v>
      </c>
    </row>
    <row r="157" spans="1:15" x14ac:dyDescent="0.35">
      <c r="A157" t="s">
        <v>48</v>
      </c>
      <c r="B157" t="s">
        <v>272</v>
      </c>
      <c r="C157">
        <v>23</v>
      </c>
      <c r="D157">
        <v>34</v>
      </c>
      <c r="E157">
        <v>57</v>
      </c>
      <c r="F157">
        <v>26</v>
      </c>
      <c r="G157">
        <v>12</v>
      </c>
      <c r="H157">
        <v>38</v>
      </c>
      <c r="I157">
        <v>14764</v>
      </c>
      <c r="J157">
        <v>0.38600000000000001</v>
      </c>
      <c r="K157">
        <v>0.25700000000000001</v>
      </c>
      <c r="L157">
        <v>12849</v>
      </c>
      <c r="M157">
        <v>0.44400000000000001</v>
      </c>
      <c r="N157">
        <v>0.29599999999999999</v>
      </c>
      <c r="O157" t="s">
        <v>951</v>
      </c>
    </row>
    <row r="158" spans="1:15" x14ac:dyDescent="0.35">
      <c r="A158" t="s">
        <v>56</v>
      </c>
      <c r="B158" t="s">
        <v>283</v>
      </c>
      <c r="C158">
        <v>601</v>
      </c>
      <c r="D158">
        <v>462</v>
      </c>
      <c r="E158">
        <v>1063</v>
      </c>
      <c r="F158">
        <v>577</v>
      </c>
      <c r="G158">
        <v>430</v>
      </c>
      <c r="H158">
        <v>1007</v>
      </c>
      <c r="I158">
        <v>54385</v>
      </c>
      <c r="J158">
        <v>1.9550000000000001</v>
      </c>
      <c r="K158">
        <v>1.8519999999999999</v>
      </c>
      <c r="L158">
        <v>51654</v>
      </c>
      <c r="M158">
        <v>2.0579999999999998</v>
      </c>
      <c r="N158">
        <v>1.95</v>
      </c>
      <c r="O158" t="s">
        <v>194</v>
      </c>
    </row>
    <row r="159" spans="1:15" x14ac:dyDescent="0.35">
      <c r="A159" t="s">
        <v>43</v>
      </c>
      <c r="B159" t="s">
        <v>380</v>
      </c>
      <c r="C159">
        <v>3404</v>
      </c>
      <c r="D159">
        <v>3462</v>
      </c>
      <c r="E159">
        <v>6866</v>
      </c>
      <c r="F159">
        <v>3640</v>
      </c>
      <c r="G159">
        <v>1737</v>
      </c>
      <c r="H159">
        <v>5377</v>
      </c>
      <c r="I159">
        <v>172425</v>
      </c>
      <c r="J159">
        <v>3.9820000000000002</v>
      </c>
      <c r="K159">
        <v>3.1179999999999999</v>
      </c>
      <c r="L159">
        <v>163958</v>
      </c>
      <c r="M159">
        <v>4.1879999999999997</v>
      </c>
      <c r="N159">
        <v>3.2789999999999999</v>
      </c>
      <c r="O159" t="s">
        <v>193</v>
      </c>
    </row>
    <row r="160" spans="1:15" x14ac:dyDescent="0.35">
      <c r="A160" t="s">
        <v>46</v>
      </c>
      <c r="B160" t="s">
        <v>276</v>
      </c>
      <c r="C160">
        <v>479</v>
      </c>
      <c r="D160">
        <v>491</v>
      </c>
      <c r="E160">
        <v>970</v>
      </c>
      <c r="F160">
        <v>465</v>
      </c>
      <c r="G160">
        <v>272</v>
      </c>
      <c r="H160">
        <v>737</v>
      </c>
      <c r="I160">
        <v>38159</v>
      </c>
      <c r="J160">
        <v>2.5419999999999998</v>
      </c>
      <c r="K160">
        <v>1.931</v>
      </c>
      <c r="L160">
        <v>36602</v>
      </c>
      <c r="M160">
        <v>2.65</v>
      </c>
      <c r="N160">
        <v>2.0139999999999998</v>
      </c>
      <c r="O160" t="s">
        <v>193</v>
      </c>
    </row>
    <row r="161" spans="1:15" x14ac:dyDescent="0.35">
      <c r="A161" t="s">
        <v>49</v>
      </c>
      <c r="B161" t="s">
        <v>278</v>
      </c>
      <c r="C161">
        <v>901</v>
      </c>
      <c r="D161">
        <v>964</v>
      </c>
      <c r="E161">
        <v>1865</v>
      </c>
      <c r="F161">
        <v>932</v>
      </c>
      <c r="G161">
        <v>551</v>
      </c>
      <c r="H161">
        <v>1483</v>
      </c>
      <c r="I161">
        <v>67204</v>
      </c>
      <c r="J161">
        <v>2.7749999999999999</v>
      </c>
      <c r="K161">
        <v>2.2069999999999999</v>
      </c>
      <c r="L161">
        <v>62802</v>
      </c>
      <c r="M161">
        <v>2.9699999999999998</v>
      </c>
      <c r="N161">
        <v>2.3609999999999998</v>
      </c>
      <c r="O161" t="s">
        <v>193</v>
      </c>
    </row>
    <row r="162" spans="1:15" x14ac:dyDescent="0.35">
      <c r="A162" t="s">
        <v>51</v>
      </c>
      <c r="B162" t="s">
        <v>279</v>
      </c>
      <c r="C162">
        <v>87</v>
      </c>
      <c r="D162">
        <v>161</v>
      </c>
      <c r="E162">
        <v>248</v>
      </c>
      <c r="F162">
        <v>64</v>
      </c>
      <c r="G162">
        <v>81</v>
      </c>
      <c r="H162">
        <v>145</v>
      </c>
      <c r="I162">
        <v>10816</v>
      </c>
      <c r="J162">
        <v>2.2930000000000001</v>
      </c>
      <c r="K162">
        <v>1.341</v>
      </c>
      <c r="L162">
        <v>10042</v>
      </c>
      <c r="M162">
        <v>2.4699999999999998</v>
      </c>
      <c r="N162">
        <v>1.444</v>
      </c>
      <c r="O162" t="s">
        <v>193</v>
      </c>
    </row>
    <row r="163" spans="1:15" x14ac:dyDescent="0.35">
      <c r="A163" t="s">
        <v>57</v>
      </c>
      <c r="B163" t="s">
        <v>284</v>
      </c>
      <c r="C163">
        <v>1155</v>
      </c>
      <c r="D163">
        <v>1979</v>
      </c>
      <c r="E163">
        <v>3134</v>
      </c>
      <c r="F163">
        <v>1410</v>
      </c>
      <c r="G163">
        <v>474</v>
      </c>
      <c r="H163">
        <v>1884</v>
      </c>
      <c r="I163">
        <v>146925</v>
      </c>
      <c r="J163">
        <v>2.133</v>
      </c>
      <c r="K163">
        <v>1.282</v>
      </c>
      <c r="L163">
        <v>142286</v>
      </c>
      <c r="M163">
        <v>2.2029999999999998</v>
      </c>
      <c r="N163">
        <v>1.3240000000000001</v>
      </c>
      <c r="O163" t="s">
        <v>193</v>
      </c>
    </row>
    <row r="164" spans="1:15" x14ac:dyDescent="0.35">
      <c r="A164" t="s">
        <v>35</v>
      </c>
      <c r="B164" t="s">
        <v>267</v>
      </c>
      <c r="C164">
        <v>243</v>
      </c>
      <c r="D164">
        <v>382</v>
      </c>
      <c r="E164">
        <v>625</v>
      </c>
      <c r="F164">
        <v>229</v>
      </c>
      <c r="G164">
        <v>130</v>
      </c>
      <c r="H164">
        <v>359</v>
      </c>
      <c r="I164">
        <v>24114</v>
      </c>
      <c r="J164">
        <v>2.5920000000000001</v>
      </c>
      <c r="K164">
        <v>1.4889999999999999</v>
      </c>
      <c r="L164">
        <v>23333</v>
      </c>
      <c r="M164">
        <v>2.6790000000000003</v>
      </c>
      <c r="N164">
        <v>1.5390000000000001</v>
      </c>
      <c r="O164" t="s">
        <v>192</v>
      </c>
    </row>
    <row r="165" spans="1:15" x14ac:dyDescent="0.35">
      <c r="A165" t="s">
        <v>40</v>
      </c>
      <c r="B165" t="s">
        <v>270</v>
      </c>
      <c r="C165">
        <v>716</v>
      </c>
      <c r="D165">
        <v>704</v>
      </c>
      <c r="E165">
        <v>1420</v>
      </c>
      <c r="F165">
        <v>715</v>
      </c>
      <c r="G165">
        <v>505</v>
      </c>
      <c r="H165">
        <v>1220</v>
      </c>
      <c r="I165">
        <v>46332</v>
      </c>
      <c r="J165">
        <v>3.0649999999999999</v>
      </c>
      <c r="K165">
        <v>2.633</v>
      </c>
      <c r="L165">
        <v>44384</v>
      </c>
      <c r="M165">
        <v>3.1989999999999998</v>
      </c>
      <c r="N165">
        <v>2.7490000000000001</v>
      </c>
      <c r="O165" t="s">
        <v>192</v>
      </c>
    </row>
    <row r="166" spans="1:15" x14ac:dyDescent="0.35">
      <c r="A166" t="s">
        <v>42</v>
      </c>
      <c r="B166" t="s">
        <v>273</v>
      </c>
      <c r="C166">
        <v>552</v>
      </c>
      <c r="D166">
        <v>1153</v>
      </c>
      <c r="E166">
        <v>1705</v>
      </c>
      <c r="F166">
        <v>631</v>
      </c>
      <c r="G166">
        <v>207</v>
      </c>
      <c r="H166">
        <v>838</v>
      </c>
      <c r="I166">
        <v>73290</v>
      </c>
      <c r="J166">
        <v>2.3260000000000001</v>
      </c>
      <c r="K166">
        <v>1.143</v>
      </c>
      <c r="L166">
        <v>70431</v>
      </c>
      <c r="M166">
        <v>2.4209999999999998</v>
      </c>
      <c r="N166">
        <v>1.19</v>
      </c>
      <c r="O166" t="s">
        <v>192</v>
      </c>
    </row>
    <row r="167" spans="1:15" x14ac:dyDescent="0.35">
      <c r="A167" t="s">
        <v>45</v>
      </c>
      <c r="B167" t="s">
        <v>275</v>
      </c>
      <c r="C167">
        <v>758</v>
      </c>
      <c r="D167">
        <v>936</v>
      </c>
      <c r="E167">
        <v>1694</v>
      </c>
      <c r="F167">
        <v>685</v>
      </c>
      <c r="G167">
        <v>396</v>
      </c>
      <c r="H167">
        <v>1081</v>
      </c>
      <c r="I167">
        <v>38787</v>
      </c>
      <c r="J167">
        <v>4.367</v>
      </c>
      <c r="K167">
        <v>2.7869999999999999</v>
      </c>
      <c r="L167">
        <v>37426</v>
      </c>
      <c r="M167">
        <v>4.5259999999999998</v>
      </c>
      <c r="N167">
        <v>2.8879999999999999</v>
      </c>
      <c r="O167" t="s">
        <v>192</v>
      </c>
    </row>
    <row r="168" spans="1:15" x14ac:dyDescent="0.35">
      <c r="A168" t="s">
        <v>46</v>
      </c>
      <c r="B168" t="s">
        <v>276</v>
      </c>
      <c r="C168">
        <v>574</v>
      </c>
      <c r="D168">
        <v>527</v>
      </c>
      <c r="E168">
        <v>1101</v>
      </c>
      <c r="F168">
        <v>474</v>
      </c>
      <c r="G168">
        <v>435</v>
      </c>
      <c r="H168">
        <v>909</v>
      </c>
      <c r="I168">
        <v>38675</v>
      </c>
      <c r="J168">
        <v>2.847</v>
      </c>
      <c r="K168">
        <v>2.35</v>
      </c>
      <c r="L168">
        <v>37069</v>
      </c>
      <c r="M168">
        <v>2.9699999999999998</v>
      </c>
      <c r="N168">
        <v>2.452</v>
      </c>
      <c r="O168" t="s">
        <v>192</v>
      </c>
    </row>
    <row r="169" spans="1:15" x14ac:dyDescent="0.35">
      <c r="A169" t="s">
        <v>48</v>
      </c>
      <c r="B169" t="s">
        <v>272</v>
      </c>
      <c r="C169">
        <v>114</v>
      </c>
      <c r="D169">
        <v>205</v>
      </c>
      <c r="E169">
        <v>319</v>
      </c>
      <c r="F169">
        <v>144</v>
      </c>
      <c r="G169">
        <v>41</v>
      </c>
      <c r="H169">
        <v>185</v>
      </c>
      <c r="I169">
        <v>14577</v>
      </c>
      <c r="J169">
        <v>2.1880000000000002</v>
      </c>
      <c r="K169">
        <v>1.2690000000000001</v>
      </c>
      <c r="L169">
        <v>12968</v>
      </c>
      <c r="M169">
        <v>2.46</v>
      </c>
      <c r="N169">
        <v>1.427</v>
      </c>
      <c r="O169" t="s">
        <v>192</v>
      </c>
    </row>
    <row r="170" spans="1:15" x14ac:dyDescent="0.35">
      <c r="A170" t="s">
        <v>51</v>
      </c>
      <c r="B170" t="s">
        <v>279</v>
      </c>
      <c r="C170">
        <v>134</v>
      </c>
      <c r="D170">
        <v>192</v>
      </c>
      <c r="E170">
        <v>326</v>
      </c>
      <c r="F170">
        <v>109</v>
      </c>
      <c r="G170">
        <v>92</v>
      </c>
      <c r="H170">
        <v>201</v>
      </c>
      <c r="I170">
        <v>10924</v>
      </c>
      <c r="J170">
        <v>2.984</v>
      </c>
      <c r="K170">
        <v>1.8399999999999999</v>
      </c>
      <c r="L170">
        <v>10146</v>
      </c>
      <c r="M170">
        <v>3.2130000000000001</v>
      </c>
      <c r="N170">
        <v>1.9809999999999999</v>
      </c>
      <c r="O170" t="s">
        <v>192</v>
      </c>
    </row>
    <row r="171" spans="1:15" x14ac:dyDescent="0.35">
      <c r="A171" t="s">
        <v>57</v>
      </c>
      <c r="B171" t="s">
        <v>284</v>
      </c>
      <c r="C171">
        <v>1189</v>
      </c>
      <c r="D171">
        <v>2143</v>
      </c>
      <c r="E171">
        <v>3332</v>
      </c>
      <c r="F171">
        <v>1396</v>
      </c>
      <c r="G171">
        <v>511</v>
      </c>
      <c r="H171">
        <v>1907</v>
      </c>
      <c r="I171">
        <v>147849</v>
      </c>
      <c r="J171">
        <v>2.254</v>
      </c>
      <c r="K171">
        <v>1.29</v>
      </c>
      <c r="L171">
        <v>143313</v>
      </c>
      <c r="M171">
        <v>2.3250000000000002</v>
      </c>
      <c r="N171">
        <v>1.331</v>
      </c>
      <c r="O171" t="s">
        <v>192</v>
      </c>
    </row>
    <row r="172" spans="1:15" x14ac:dyDescent="0.35">
      <c r="A172" t="s">
        <v>44</v>
      </c>
      <c r="B172" t="s">
        <v>274</v>
      </c>
      <c r="C172">
        <v>1215</v>
      </c>
      <c r="D172">
        <v>3439</v>
      </c>
      <c r="E172">
        <v>4654</v>
      </c>
      <c r="F172">
        <v>1204</v>
      </c>
      <c r="G172">
        <v>702</v>
      </c>
      <c r="H172">
        <v>1906</v>
      </c>
      <c r="I172">
        <v>116453</v>
      </c>
      <c r="J172">
        <v>3.996</v>
      </c>
      <c r="K172">
        <v>1.637</v>
      </c>
      <c r="L172">
        <v>107573</v>
      </c>
      <c r="M172">
        <v>4.3259999999999996</v>
      </c>
      <c r="N172">
        <v>1.772</v>
      </c>
      <c r="O172" t="s">
        <v>258</v>
      </c>
    </row>
    <row r="173" spans="1:15" x14ac:dyDescent="0.35">
      <c r="A173" t="s">
        <v>48</v>
      </c>
      <c r="B173" t="s">
        <v>272</v>
      </c>
      <c r="C173">
        <v>94</v>
      </c>
      <c r="D173">
        <v>249</v>
      </c>
      <c r="E173">
        <v>343</v>
      </c>
      <c r="F173">
        <v>95</v>
      </c>
      <c r="G173">
        <v>46</v>
      </c>
      <c r="H173">
        <v>141</v>
      </c>
      <c r="I173">
        <v>14599</v>
      </c>
      <c r="J173">
        <v>2.3490000000000002</v>
      </c>
      <c r="K173">
        <v>0.96599999999999997</v>
      </c>
      <c r="L173">
        <v>12951</v>
      </c>
      <c r="M173">
        <v>2.6480000000000001</v>
      </c>
      <c r="N173">
        <v>1.089</v>
      </c>
      <c r="O173" t="s">
        <v>258</v>
      </c>
    </row>
    <row r="174" spans="1:15" x14ac:dyDescent="0.35">
      <c r="A174" t="s">
        <v>56</v>
      </c>
      <c r="B174" t="s">
        <v>283</v>
      </c>
      <c r="C174">
        <v>691</v>
      </c>
      <c r="D174">
        <v>784</v>
      </c>
      <c r="E174">
        <v>1475</v>
      </c>
      <c r="F174">
        <v>697</v>
      </c>
      <c r="G174">
        <v>405</v>
      </c>
      <c r="H174">
        <v>1102</v>
      </c>
      <c r="I174">
        <v>54942</v>
      </c>
      <c r="J174">
        <v>2.6850000000000001</v>
      </c>
      <c r="K174">
        <v>2.0059999999999998</v>
      </c>
      <c r="L174">
        <v>51923</v>
      </c>
      <c r="M174">
        <v>2.8410000000000002</v>
      </c>
      <c r="N174">
        <v>2.1219999999999999</v>
      </c>
      <c r="O174" t="s">
        <v>258</v>
      </c>
    </row>
    <row r="175" spans="1:15" x14ac:dyDescent="0.35">
      <c r="A175" t="s">
        <v>38</v>
      </c>
      <c r="B175" t="s">
        <v>269</v>
      </c>
      <c r="C175">
        <v>485</v>
      </c>
      <c r="D175">
        <v>664</v>
      </c>
      <c r="E175">
        <v>1149</v>
      </c>
      <c r="F175">
        <v>538</v>
      </c>
      <c r="G175">
        <v>276</v>
      </c>
      <c r="H175">
        <v>814</v>
      </c>
      <c r="I175">
        <v>58158</v>
      </c>
      <c r="J175">
        <v>1.976</v>
      </c>
      <c r="K175">
        <v>1.4</v>
      </c>
      <c r="L175">
        <v>54873</v>
      </c>
      <c r="M175">
        <v>2.0939999999999999</v>
      </c>
      <c r="N175">
        <v>1.4830000000000001</v>
      </c>
      <c r="O175" t="s">
        <v>242</v>
      </c>
    </row>
    <row r="176" spans="1:15" x14ac:dyDescent="0.35">
      <c r="A176" t="s">
        <v>42</v>
      </c>
      <c r="B176" t="s">
        <v>273</v>
      </c>
      <c r="C176">
        <v>512</v>
      </c>
      <c r="D176">
        <v>1083</v>
      </c>
      <c r="E176">
        <v>1595</v>
      </c>
      <c r="F176">
        <v>530</v>
      </c>
      <c r="G176">
        <v>280</v>
      </c>
      <c r="H176">
        <v>810</v>
      </c>
      <c r="I176">
        <v>74361</v>
      </c>
      <c r="J176">
        <v>2.145</v>
      </c>
      <c r="K176">
        <v>1.089</v>
      </c>
      <c r="L176">
        <v>71800</v>
      </c>
      <c r="M176">
        <v>2.2210000000000001</v>
      </c>
      <c r="N176">
        <v>1.1280000000000001</v>
      </c>
      <c r="O176" t="s">
        <v>242</v>
      </c>
    </row>
    <row r="177" spans="1:15" x14ac:dyDescent="0.35">
      <c r="A177" t="s">
        <v>50</v>
      </c>
      <c r="B177" t="s">
        <v>295</v>
      </c>
      <c r="C177">
        <v>1327</v>
      </c>
      <c r="D177">
        <v>1990</v>
      </c>
      <c r="E177">
        <v>3317</v>
      </c>
      <c r="F177">
        <v>1744</v>
      </c>
      <c r="G177">
        <v>446</v>
      </c>
      <c r="H177">
        <v>2190</v>
      </c>
      <c r="I177">
        <v>154286</v>
      </c>
      <c r="J177">
        <v>2.15</v>
      </c>
      <c r="K177">
        <v>1.419</v>
      </c>
      <c r="L177">
        <v>151155</v>
      </c>
      <c r="M177">
        <v>2.194</v>
      </c>
      <c r="N177">
        <v>1.4490000000000001</v>
      </c>
      <c r="O177" t="s">
        <v>242</v>
      </c>
    </row>
    <row r="178" spans="1:15" x14ac:dyDescent="0.35">
      <c r="A178" t="s">
        <v>53</v>
      </c>
      <c r="B178" t="s">
        <v>290</v>
      </c>
      <c r="C178">
        <v>1137</v>
      </c>
      <c r="D178">
        <v>1411</v>
      </c>
      <c r="E178">
        <v>2548</v>
      </c>
      <c r="F178">
        <v>1077</v>
      </c>
      <c r="G178">
        <v>656</v>
      </c>
      <c r="H178">
        <v>1733</v>
      </c>
      <c r="I178">
        <v>86449</v>
      </c>
      <c r="J178">
        <v>2.9470000000000001</v>
      </c>
      <c r="K178">
        <v>2.0049999999999999</v>
      </c>
      <c r="L178">
        <v>84938</v>
      </c>
      <c r="M178">
        <v>3</v>
      </c>
      <c r="N178">
        <v>2.04</v>
      </c>
      <c r="O178" t="s">
        <v>242</v>
      </c>
    </row>
    <row r="179" spans="1:15" x14ac:dyDescent="0.35">
      <c r="A179" t="s">
        <v>59</v>
      </c>
      <c r="B179" t="s">
        <v>291</v>
      </c>
      <c r="C179">
        <v>654</v>
      </c>
      <c r="D179">
        <v>1023</v>
      </c>
      <c r="E179">
        <v>1677</v>
      </c>
      <c r="F179">
        <v>714</v>
      </c>
      <c r="G179">
        <v>285</v>
      </c>
      <c r="H179">
        <v>999</v>
      </c>
      <c r="I179">
        <v>45093</v>
      </c>
      <c r="J179">
        <v>3.7189999999999999</v>
      </c>
      <c r="K179">
        <v>2.2149999999999999</v>
      </c>
      <c r="L179">
        <v>42746</v>
      </c>
      <c r="M179">
        <v>3.923</v>
      </c>
      <c r="N179">
        <v>2.3370000000000002</v>
      </c>
      <c r="O179" t="s">
        <v>242</v>
      </c>
    </row>
    <row r="180" spans="1:15" x14ac:dyDescent="0.35">
      <c r="A180" t="s">
        <v>32</v>
      </c>
      <c r="B180" t="s">
        <v>287</v>
      </c>
      <c r="C180">
        <v>564</v>
      </c>
      <c r="D180">
        <v>1206</v>
      </c>
      <c r="E180">
        <v>1770</v>
      </c>
      <c r="F180">
        <v>618</v>
      </c>
      <c r="G180">
        <v>336</v>
      </c>
      <c r="H180">
        <v>954</v>
      </c>
      <c r="I180">
        <v>118197</v>
      </c>
      <c r="J180">
        <v>1.4969999999999999</v>
      </c>
      <c r="K180">
        <v>0.80700000000000005</v>
      </c>
      <c r="L180">
        <v>111156</v>
      </c>
      <c r="M180">
        <v>1.5920000000000001</v>
      </c>
      <c r="N180">
        <v>0.85799999999999998</v>
      </c>
      <c r="O180" t="s">
        <v>241</v>
      </c>
    </row>
    <row r="181" spans="1:15" x14ac:dyDescent="0.35">
      <c r="A181" t="s">
        <v>37</v>
      </c>
      <c r="B181" t="s">
        <v>294</v>
      </c>
      <c r="C181">
        <v>692</v>
      </c>
      <c r="D181">
        <v>2702</v>
      </c>
      <c r="E181">
        <v>3394</v>
      </c>
      <c r="F181">
        <v>680</v>
      </c>
      <c r="G181">
        <v>318</v>
      </c>
      <c r="H181">
        <v>998</v>
      </c>
      <c r="I181">
        <v>74531</v>
      </c>
      <c r="J181">
        <v>4.5540000000000003</v>
      </c>
      <c r="K181">
        <v>1.339</v>
      </c>
      <c r="L181">
        <v>70337</v>
      </c>
      <c r="M181">
        <v>4.8250000000000002</v>
      </c>
      <c r="N181">
        <v>1.419</v>
      </c>
      <c r="O181" t="s">
        <v>241</v>
      </c>
    </row>
    <row r="182" spans="1:15" x14ac:dyDescent="0.35">
      <c r="A182" t="s">
        <v>49</v>
      </c>
      <c r="B182" t="s">
        <v>278</v>
      </c>
      <c r="C182">
        <v>701</v>
      </c>
      <c r="D182">
        <v>879</v>
      </c>
      <c r="E182">
        <v>1580</v>
      </c>
      <c r="F182">
        <v>725</v>
      </c>
      <c r="G182">
        <v>449</v>
      </c>
      <c r="H182">
        <v>1174</v>
      </c>
      <c r="I182">
        <v>68158</v>
      </c>
      <c r="J182">
        <v>2.3180000000000001</v>
      </c>
      <c r="K182">
        <v>1.722</v>
      </c>
      <c r="L182">
        <v>63935</v>
      </c>
      <c r="M182">
        <v>2.4710000000000001</v>
      </c>
      <c r="N182">
        <v>1.8359999999999999</v>
      </c>
      <c r="O182" t="s">
        <v>241</v>
      </c>
    </row>
    <row r="183" spans="1:15" x14ac:dyDescent="0.35">
      <c r="A183" t="s">
        <v>58</v>
      </c>
      <c r="B183" t="s">
        <v>285</v>
      </c>
      <c r="C183">
        <v>323</v>
      </c>
      <c r="D183">
        <v>611</v>
      </c>
      <c r="E183">
        <v>934</v>
      </c>
      <c r="F183">
        <v>329</v>
      </c>
      <c r="G183">
        <v>182</v>
      </c>
      <c r="H183">
        <v>511</v>
      </c>
      <c r="I183">
        <v>41443</v>
      </c>
      <c r="J183">
        <v>2.254</v>
      </c>
      <c r="K183">
        <v>1.2330000000000001</v>
      </c>
      <c r="L183">
        <v>39440</v>
      </c>
      <c r="M183">
        <v>2.3679999999999999</v>
      </c>
      <c r="N183">
        <v>1.296</v>
      </c>
      <c r="O183" t="s">
        <v>241</v>
      </c>
    </row>
    <row r="184" spans="1:15" x14ac:dyDescent="0.35">
      <c r="A184" t="s">
        <v>245</v>
      </c>
      <c r="B184" t="s">
        <v>289</v>
      </c>
      <c r="C184">
        <v>1502</v>
      </c>
      <c r="D184">
        <v>3441</v>
      </c>
      <c r="E184">
        <v>4943</v>
      </c>
      <c r="F184">
        <v>1592</v>
      </c>
      <c r="G184">
        <v>578</v>
      </c>
      <c r="H184">
        <v>2170</v>
      </c>
      <c r="I184">
        <v>252731</v>
      </c>
      <c r="J184">
        <v>1.956</v>
      </c>
      <c r="K184">
        <v>0.85899999999999999</v>
      </c>
      <c r="L184">
        <v>238269</v>
      </c>
      <c r="M184">
        <v>2.0750000000000002</v>
      </c>
      <c r="N184">
        <v>0.91100000000000003</v>
      </c>
      <c r="O184" t="s">
        <v>773</v>
      </c>
    </row>
    <row r="185" spans="1:15" x14ac:dyDescent="0.35">
      <c r="A185" t="s">
        <v>47</v>
      </c>
      <c r="B185" t="s">
        <v>277</v>
      </c>
      <c r="C185">
        <v>483</v>
      </c>
      <c r="D185">
        <v>1205</v>
      </c>
      <c r="E185">
        <v>1688</v>
      </c>
      <c r="F185">
        <v>500</v>
      </c>
      <c r="G185">
        <v>377</v>
      </c>
      <c r="H185">
        <v>877</v>
      </c>
      <c r="I185">
        <v>45630</v>
      </c>
      <c r="J185">
        <v>3.6989999999999998</v>
      </c>
      <c r="K185">
        <v>1.9220000000000002</v>
      </c>
      <c r="L185">
        <v>42932</v>
      </c>
      <c r="M185">
        <v>3.9319999999999999</v>
      </c>
      <c r="N185">
        <v>2.0430000000000001</v>
      </c>
      <c r="O185" t="s">
        <v>773</v>
      </c>
    </row>
    <row r="186" spans="1:15" x14ac:dyDescent="0.35">
      <c r="A186" t="s">
        <v>42</v>
      </c>
      <c r="B186" t="s">
        <v>273</v>
      </c>
      <c r="C186">
        <v>158</v>
      </c>
      <c r="D186">
        <v>298</v>
      </c>
      <c r="E186">
        <v>456</v>
      </c>
      <c r="F186">
        <v>181</v>
      </c>
      <c r="G186">
        <v>71</v>
      </c>
      <c r="H186">
        <v>252</v>
      </c>
      <c r="I186">
        <v>75595</v>
      </c>
      <c r="J186">
        <v>0.60299999999999998</v>
      </c>
      <c r="K186">
        <v>0.33300000000000002</v>
      </c>
      <c r="L186">
        <v>72994</v>
      </c>
      <c r="M186">
        <v>0.625</v>
      </c>
      <c r="N186">
        <v>0.34499999999999997</v>
      </c>
      <c r="O186" t="s">
        <v>951</v>
      </c>
    </row>
    <row r="187" spans="1:15" x14ac:dyDescent="0.35">
      <c r="A187" t="s">
        <v>245</v>
      </c>
      <c r="B187" t="s">
        <v>289</v>
      </c>
      <c r="C187">
        <v>2962</v>
      </c>
      <c r="D187">
        <v>2362</v>
      </c>
      <c r="E187">
        <v>5324</v>
      </c>
      <c r="F187">
        <v>2668</v>
      </c>
      <c r="G187">
        <v>1393</v>
      </c>
      <c r="H187">
        <v>4061</v>
      </c>
      <c r="I187">
        <v>237524</v>
      </c>
      <c r="J187">
        <v>2.2410000000000001</v>
      </c>
      <c r="K187">
        <v>1.71</v>
      </c>
      <c r="L187">
        <v>227222</v>
      </c>
      <c r="M187">
        <v>2.343</v>
      </c>
      <c r="N187">
        <v>1.7869999999999999</v>
      </c>
      <c r="O187" t="s">
        <v>194</v>
      </c>
    </row>
    <row r="188" spans="1:15" x14ac:dyDescent="0.35">
      <c r="A188" t="s">
        <v>42</v>
      </c>
      <c r="B188" t="s">
        <v>273</v>
      </c>
      <c r="C188">
        <v>552</v>
      </c>
      <c r="D188">
        <v>1169</v>
      </c>
      <c r="E188">
        <v>1721</v>
      </c>
      <c r="F188">
        <v>614</v>
      </c>
      <c r="G188">
        <v>186</v>
      </c>
      <c r="H188">
        <v>800</v>
      </c>
      <c r="I188">
        <v>72128</v>
      </c>
      <c r="J188">
        <v>2.3860000000000001</v>
      </c>
      <c r="K188">
        <v>1.109</v>
      </c>
      <c r="L188">
        <v>69443</v>
      </c>
      <c r="M188">
        <v>2.4779999999999998</v>
      </c>
      <c r="N188">
        <v>1.1519999999999999</v>
      </c>
      <c r="O188" t="s">
        <v>194</v>
      </c>
    </row>
    <row r="189" spans="1:15" x14ac:dyDescent="0.35">
      <c r="A189" t="s">
        <v>31</v>
      </c>
      <c r="B189" t="s">
        <v>286</v>
      </c>
      <c r="C189">
        <v>524</v>
      </c>
      <c r="D189">
        <v>1951</v>
      </c>
      <c r="E189">
        <v>2475</v>
      </c>
      <c r="F189">
        <v>469</v>
      </c>
      <c r="G189">
        <v>283</v>
      </c>
      <c r="H189">
        <v>752</v>
      </c>
      <c r="I189">
        <v>113508</v>
      </c>
      <c r="J189">
        <v>2.1800000000000002</v>
      </c>
      <c r="K189">
        <v>0.66300000000000003</v>
      </c>
      <c r="L189">
        <v>105287</v>
      </c>
      <c r="M189">
        <v>2.351</v>
      </c>
      <c r="N189">
        <v>0.71399999999999997</v>
      </c>
      <c r="O189" t="s">
        <v>193</v>
      </c>
    </row>
    <row r="190" spans="1:15" x14ac:dyDescent="0.35">
      <c r="A190" t="s">
        <v>32</v>
      </c>
      <c r="B190" t="s">
        <v>287</v>
      </c>
      <c r="C190">
        <v>617</v>
      </c>
      <c r="D190">
        <v>831</v>
      </c>
      <c r="E190">
        <v>1448</v>
      </c>
      <c r="F190">
        <v>609</v>
      </c>
      <c r="G190">
        <v>394</v>
      </c>
      <c r="H190">
        <v>1003</v>
      </c>
      <c r="I190">
        <v>114086</v>
      </c>
      <c r="J190">
        <v>1.2690000000000001</v>
      </c>
      <c r="K190">
        <v>0.879</v>
      </c>
      <c r="L190">
        <v>108381</v>
      </c>
      <c r="M190">
        <v>1.3360000000000001</v>
      </c>
      <c r="N190">
        <v>0.92500000000000004</v>
      </c>
      <c r="O190" t="s">
        <v>193</v>
      </c>
    </row>
    <row r="191" spans="1:15" x14ac:dyDescent="0.35">
      <c r="A191" t="s">
        <v>35</v>
      </c>
      <c r="B191" t="s">
        <v>267</v>
      </c>
      <c r="C191">
        <v>273</v>
      </c>
      <c r="D191">
        <v>511</v>
      </c>
      <c r="E191">
        <v>784</v>
      </c>
      <c r="F191">
        <v>314</v>
      </c>
      <c r="G191">
        <v>87</v>
      </c>
      <c r="H191">
        <v>401</v>
      </c>
      <c r="I191">
        <v>23995</v>
      </c>
      <c r="J191">
        <v>3.2669999999999999</v>
      </c>
      <c r="K191">
        <v>1.671</v>
      </c>
      <c r="L191">
        <v>23217</v>
      </c>
      <c r="M191">
        <v>3.3769999999999998</v>
      </c>
      <c r="N191">
        <v>1.7269999999999999</v>
      </c>
      <c r="O191" t="s">
        <v>193</v>
      </c>
    </row>
    <row r="192" spans="1:15" x14ac:dyDescent="0.35">
      <c r="A192" t="s">
        <v>36</v>
      </c>
      <c r="B192" t="s">
        <v>268</v>
      </c>
      <c r="C192">
        <v>897</v>
      </c>
      <c r="D192">
        <v>629</v>
      </c>
      <c r="E192">
        <v>1526</v>
      </c>
      <c r="F192">
        <v>765</v>
      </c>
      <c r="G192">
        <v>450</v>
      </c>
      <c r="H192">
        <v>1215</v>
      </c>
      <c r="I192">
        <v>73895</v>
      </c>
      <c r="J192">
        <v>2.0649999999999999</v>
      </c>
      <c r="K192">
        <v>1.6440000000000001</v>
      </c>
      <c r="L192">
        <v>68818</v>
      </c>
      <c r="M192">
        <v>2.2170000000000001</v>
      </c>
      <c r="N192">
        <v>1.766</v>
      </c>
      <c r="O192" t="s">
        <v>193</v>
      </c>
    </row>
    <row r="193" spans="1:15" x14ac:dyDescent="0.35">
      <c r="A193" t="s">
        <v>38</v>
      </c>
      <c r="B193" t="s">
        <v>269</v>
      </c>
      <c r="C193">
        <v>467</v>
      </c>
      <c r="D193">
        <v>836</v>
      </c>
      <c r="E193">
        <v>1303</v>
      </c>
      <c r="F193">
        <v>506</v>
      </c>
      <c r="G193">
        <v>256</v>
      </c>
      <c r="H193">
        <v>762</v>
      </c>
      <c r="I193">
        <v>57324</v>
      </c>
      <c r="J193">
        <v>2.2730000000000001</v>
      </c>
      <c r="K193">
        <v>1.329</v>
      </c>
      <c r="L193">
        <v>54401</v>
      </c>
      <c r="M193">
        <v>2.395</v>
      </c>
      <c r="N193">
        <v>1.401</v>
      </c>
      <c r="O193" t="s">
        <v>193</v>
      </c>
    </row>
    <row r="194" spans="1:15" x14ac:dyDescent="0.35">
      <c r="A194" t="s">
        <v>45</v>
      </c>
      <c r="B194" t="s">
        <v>275</v>
      </c>
      <c r="C194">
        <v>673</v>
      </c>
      <c r="D194">
        <v>631</v>
      </c>
      <c r="E194">
        <v>1304</v>
      </c>
      <c r="F194">
        <v>636</v>
      </c>
      <c r="G194">
        <v>386</v>
      </c>
      <c r="H194">
        <v>1022</v>
      </c>
      <c r="I194">
        <v>38699</v>
      </c>
      <c r="J194">
        <v>3.37</v>
      </c>
      <c r="K194">
        <v>2.641</v>
      </c>
      <c r="L194">
        <v>37384</v>
      </c>
      <c r="M194">
        <v>3.488</v>
      </c>
      <c r="N194">
        <v>2.734</v>
      </c>
      <c r="O194" t="s">
        <v>193</v>
      </c>
    </row>
    <row r="195" spans="1:15" x14ac:dyDescent="0.35">
      <c r="A195" t="s">
        <v>59</v>
      </c>
      <c r="B195" t="s">
        <v>291</v>
      </c>
      <c r="C195">
        <v>402</v>
      </c>
      <c r="D195">
        <v>519</v>
      </c>
      <c r="E195">
        <v>921</v>
      </c>
      <c r="F195">
        <v>471</v>
      </c>
      <c r="G195">
        <v>160</v>
      </c>
      <c r="H195">
        <v>631</v>
      </c>
      <c r="I195">
        <v>44734</v>
      </c>
      <c r="J195">
        <v>2.0590000000000002</v>
      </c>
      <c r="K195">
        <v>1.411</v>
      </c>
      <c r="L195">
        <v>42353</v>
      </c>
      <c r="M195">
        <v>2.1749999999999998</v>
      </c>
      <c r="N195">
        <v>1.49</v>
      </c>
      <c r="O195" t="s">
        <v>193</v>
      </c>
    </row>
    <row r="196" spans="1:15" x14ac:dyDescent="0.35">
      <c r="A196" t="s">
        <v>33</v>
      </c>
      <c r="B196" t="s">
        <v>293</v>
      </c>
      <c r="C196">
        <v>485</v>
      </c>
      <c r="D196">
        <v>1685</v>
      </c>
      <c r="E196">
        <v>2170</v>
      </c>
      <c r="F196">
        <v>462</v>
      </c>
      <c r="G196">
        <v>262</v>
      </c>
      <c r="H196">
        <v>724</v>
      </c>
      <c r="I196">
        <v>55619</v>
      </c>
      <c r="J196">
        <v>3.9020000000000001</v>
      </c>
      <c r="K196">
        <v>1.302</v>
      </c>
      <c r="L196">
        <v>53142</v>
      </c>
      <c r="M196">
        <v>4.0830000000000002</v>
      </c>
      <c r="N196">
        <v>1.3620000000000001</v>
      </c>
      <c r="O196" t="s">
        <v>192</v>
      </c>
    </row>
    <row r="197" spans="1:15" x14ac:dyDescent="0.35">
      <c r="A197" t="s">
        <v>43</v>
      </c>
      <c r="B197" t="s">
        <v>380</v>
      </c>
      <c r="C197">
        <v>3204</v>
      </c>
      <c r="D197">
        <v>3874</v>
      </c>
      <c r="E197">
        <v>7078</v>
      </c>
      <c r="F197">
        <v>3231</v>
      </c>
      <c r="G197">
        <v>1803</v>
      </c>
      <c r="H197">
        <v>5034</v>
      </c>
      <c r="I197">
        <v>173366</v>
      </c>
      <c r="J197">
        <v>4.0830000000000002</v>
      </c>
      <c r="K197">
        <v>2.9039999999999999</v>
      </c>
      <c r="L197">
        <v>164705</v>
      </c>
      <c r="M197">
        <v>4.2969999999999997</v>
      </c>
      <c r="N197">
        <v>3.056</v>
      </c>
      <c r="O197" t="s">
        <v>192</v>
      </c>
    </row>
    <row r="198" spans="1:15" x14ac:dyDescent="0.35">
      <c r="A198" t="s">
        <v>114</v>
      </c>
      <c r="B198" t="s">
        <v>297</v>
      </c>
      <c r="C198">
        <v>2649</v>
      </c>
      <c r="D198">
        <v>3737</v>
      </c>
      <c r="E198">
        <v>6386</v>
      </c>
      <c r="F198">
        <v>2864</v>
      </c>
      <c r="G198">
        <v>956</v>
      </c>
      <c r="H198">
        <v>3820</v>
      </c>
      <c r="I198">
        <v>304013</v>
      </c>
      <c r="J198">
        <v>2.101</v>
      </c>
      <c r="K198">
        <v>1.2570000000000001</v>
      </c>
      <c r="L198">
        <v>287862</v>
      </c>
      <c r="M198">
        <v>2.218</v>
      </c>
      <c r="N198">
        <v>1.327</v>
      </c>
      <c r="O198" t="s">
        <v>192</v>
      </c>
    </row>
    <row r="199" spans="1:15" x14ac:dyDescent="0.35">
      <c r="A199" t="s">
        <v>44</v>
      </c>
      <c r="B199" t="s">
        <v>274</v>
      </c>
      <c r="C199">
        <v>1073</v>
      </c>
      <c r="D199">
        <v>2605</v>
      </c>
      <c r="E199">
        <v>3678</v>
      </c>
      <c r="F199">
        <v>1225</v>
      </c>
      <c r="G199">
        <v>526</v>
      </c>
      <c r="H199">
        <v>1751</v>
      </c>
      <c r="I199">
        <v>115538</v>
      </c>
      <c r="J199">
        <v>3.1829999999999998</v>
      </c>
      <c r="K199">
        <v>1.516</v>
      </c>
      <c r="L199">
        <v>106834</v>
      </c>
      <c r="M199">
        <v>3.4430000000000001</v>
      </c>
      <c r="N199">
        <v>1.639</v>
      </c>
      <c r="O199" t="s">
        <v>192</v>
      </c>
    </row>
    <row r="200" spans="1:15" x14ac:dyDescent="0.35">
      <c r="A200" t="s">
        <v>245</v>
      </c>
      <c r="B200" t="s">
        <v>289</v>
      </c>
      <c r="C200">
        <v>2671</v>
      </c>
      <c r="D200">
        <v>2368</v>
      </c>
      <c r="E200">
        <v>5039</v>
      </c>
      <c r="F200">
        <v>2446</v>
      </c>
      <c r="G200">
        <v>1264</v>
      </c>
      <c r="H200">
        <v>3710</v>
      </c>
      <c r="I200">
        <v>244131</v>
      </c>
      <c r="J200">
        <v>2.0640000000000001</v>
      </c>
      <c r="K200">
        <v>1.52</v>
      </c>
      <c r="L200">
        <v>231383</v>
      </c>
      <c r="M200">
        <v>2.1779999999999999</v>
      </c>
      <c r="N200">
        <v>1.603</v>
      </c>
      <c r="O200" t="s">
        <v>258</v>
      </c>
    </row>
    <row r="201" spans="1:15" x14ac:dyDescent="0.35">
      <c r="A201" t="s">
        <v>41</v>
      </c>
      <c r="B201" t="s">
        <v>271</v>
      </c>
      <c r="C201">
        <v>644</v>
      </c>
      <c r="D201">
        <v>916</v>
      </c>
      <c r="E201">
        <v>1560</v>
      </c>
      <c r="F201">
        <v>686</v>
      </c>
      <c r="G201">
        <v>274</v>
      </c>
      <c r="H201">
        <v>960</v>
      </c>
      <c r="I201">
        <v>38389</v>
      </c>
      <c r="J201">
        <v>4.0640000000000001</v>
      </c>
      <c r="K201">
        <v>2.5009999999999999</v>
      </c>
      <c r="L201">
        <v>38581</v>
      </c>
      <c r="M201">
        <v>4.0430000000000001</v>
      </c>
      <c r="N201">
        <v>2.488</v>
      </c>
      <c r="O201" t="s">
        <v>258</v>
      </c>
    </row>
    <row r="202" spans="1:15" x14ac:dyDescent="0.35">
      <c r="A202" t="s">
        <v>51</v>
      </c>
      <c r="B202" t="s">
        <v>279</v>
      </c>
      <c r="C202">
        <v>116</v>
      </c>
      <c r="D202">
        <v>272</v>
      </c>
      <c r="E202">
        <v>388</v>
      </c>
      <c r="F202">
        <v>90</v>
      </c>
      <c r="G202">
        <v>90</v>
      </c>
      <c r="H202">
        <v>180</v>
      </c>
      <c r="I202">
        <v>11063</v>
      </c>
      <c r="J202">
        <v>3.5070000000000001</v>
      </c>
      <c r="K202">
        <v>1.627</v>
      </c>
      <c r="L202">
        <v>10256</v>
      </c>
      <c r="M202">
        <v>3.7829999999999999</v>
      </c>
      <c r="N202">
        <v>1.7549999999999999</v>
      </c>
      <c r="O202" t="s">
        <v>258</v>
      </c>
    </row>
    <row r="203" spans="1:15" x14ac:dyDescent="0.35">
      <c r="A203" t="s">
        <v>41</v>
      </c>
      <c r="B203" t="s">
        <v>271</v>
      </c>
      <c r="C203">
        <v>604</v>
      </c>
      <c r="D203">
        <v>662</v>
      </c>
      <c r="E203">
        <v>1266</v>
      </c>
      <c r="F203">
        <v>700</v>
      </c>
      <c r="G203">
        <v>194</v>
      </c>
      <c r="H203">
        <v>894</v>
      </c>
      <c r="I203">
        <v>38677</v>
      </c>
      <c r="J203">
        <v>3.2730000000000001</v>
      </c>
      <c r="K203">
        <v>2.3109999999999999</v>
      </c>
      <c r="L203">
        <v>38899</v>
      </c>
      <c r="M203">
        <v>3.2549999999999999</v>
      </c>
      <c r="N203">
        <v>2.298</v>
      </c>
      <c r="O203" t="s">
        <v>242</v>
      </c>
    </row>
    <row r="204" spans="1:15" x14ac:dyDescent="0.35">
      <c r="A204" t="s">
        <v>46</v>
      </c>
      <c r="B204" t="s">
        <v>276</v>
      </c>
      <c r="C204">
        <v>489</v>
      </c>
      <c r="D204">
        <v>509</v>
      </c>
      <c r="E204">
        <v>998</v>
      </c>
      <c r="F204">
        <v>349</v>
      </c>
      <c r="G204">
        <v>448</v>
      </c>
      <c r="H204">
        <v>797</v>
      </c>
      <c r="I204">
        <v>39937</v>
      </c>
      <c r="J204">
        <v>2.4990000000000001</v>
      </c>
      <c r="K204">
        <v>1.996</v>
      </c>
      <c r="L204">
        <v>38557</v>
      </c>
      <c r="M204">
        <v>2.5880000000000001</v>
      </c>
      <c r="N204">
        <v>2.0670000000000002</v>
      </c>
      <c r="O204" t="s">
        <v>242</v>
      </c>
    </row>
    <row r="205" spans="1:15" x14ac:dyDescent="0.35">
      <c r="A205" t="s">
        <v>47</v>
      </c>
      <c r="B205" t="s">
        <v>277</v>
      </c>
      <c r="C205">
        <v>609</v>
      </c>
      <c r="D205">
        <v>826</v>
      </c>
      <c r="E205">
        <v>1435</v>
      </c>
      <c r="F205">
        <v>554</v>
      </c>
      <c r="G205">
        <v>522</v>
      </c>
      <c r="H205">
        <v>1076</v>
      </c>
      <c r="I205">
        <v>44838</v>
      </c>
      <c r="J205">
        <v>3.2</v>
      </c>
      <c r="K205">
        <v>2.4</v>
      </c>
      <c r="L205">
        <v>42269</v>
      </c>
      <c r="M205">
        <v>3.395</v>
      </c>
      <c r="N205">
        <v>2.5460000000000003</v>
      </c>
      <c r="O205" t="s">
        <v>242</v>
      </c>
    </row>
    <row r="206" spans="1:15" x14ac:dyDescent="0.35">
      <c r="A206" t="s">
        <v>48</v>
      </c>
      <c r="B206" t="s">
        <v>272</v>
      </c>
      <c r="C206">
        <v>125</v>
      </c>
      <c r="D206">
        <v>223</v>
      </c>
      <c r="E206">
        <v>348</v>
      </c>
      <c r="F206">
        <v>171</v>
      </c>
      <c r="G206">
        <v>11</v>
      </c>
      <c r="H206">
        <v>182</v>
      </c>
      <c r="I206">
        <v>14714</v>
      </c>
      <c r="J206">
        <v>2.3650000000000002</v>
      </c>
      <c r="K206">
        <v>1.2370000000000001</v>
      </c>
      <c r="L206">
        <v>12805</v>
      </c>
      <c r="M206">
        <v>2.718</v>
      </c>
      <c r="N206">
        <v>1.421</v>
      </c>
      <c r="O206" t="s">
        <v>242</v>
      </c>
    </row>
    <row r="207" spans="1:15" x14ac:dyDescent="0.35">
      <c r="A207" t="s">
        <v>51</v>
      </c>
      <c r="B207" t="s">
        <v>279</v>
      </c>
      <c r="C207">
        <v>126</v>
      </c>
      <c r="D207">
        <v>250</v>
      </c>
      <c r="E207">
        <v>376</v>
      </c>
      <c r="F207">
        <v>88</v>
      </c>
      <c r="G207">
        <v>105</v>
      </c>
      <c r="H207">
        <v>193</v>
      </c>
      <c r="I207">
        <v>11192</v>
      </c>
      <c r="J207">
        <v>3.36</v>
      </c>
      <c r="K207">
        <v>1.724</v>
      </c>
      <c r="L207">
        <v>10385</v>
      </c>
      <c r="M207">
        <v>3.621</v>
      </c>
      <c r="N207">
        <v>1.8580000000000001</v>
      </c>
      <c r="O207" t="s">
        <v>242</v>
      </c>
    </row>
    <row r="208" spans="1:15" x14ac:dyDescent="0.35">
      <c r="A208" t="s">
        <v>40</v>
      </c>
      <c r="B208" t="s">
        <v>270</v>
      </c>
      <c r="C208">
        <v>440</v>
      </c>
      <c r="D208">
        <v>524</v>
      </c>
      <c r="E208">
        <v>964</v>
      </c>
      <c r="F208">
        <v>530</v>
      </c>
      <c r="G208">
        <v>193</v>
      </c>
      <c r="H208">
        <v>723</v>
      </c>
      <c r="I208">
        <v>48055</v>
      </c>
      <c r="J208">
        <v>2.0059999999999998</v>
      </c>
      <c r="K208">
        <v>1.5049999999999999</v>
      </c>
      <c r="L208">
        <v>45975</v>
      </c>
      <c r="M208">
        <v>2.097</v>
      </c>
      <c r="N208">
        <v>1.573</v>
      </c>
      <c r="O208" t="s">
        <v>241</v>
      </c>
    </row>
    <row r="209" spans="1:15" x14ac:dyDescent="0.35">
      <c r="A209" t="s">
        <v>43</v>
      </c>
      <c r="B209" t="s">
        <v>380</v>
      </c>
      <c r="C209">
        <v>2778</v>
      </c>
      <c r="D209">
        <v>3429</v>
      </c>
      <c r="E209">
        <v>6207</v>
      </c>
      <c r="F209">
        <v>2925</v>
      </c>
      <c r="G209">
        <v>1478</v>
      </c>
      <c r="H209">
        <v>4403</v>
      </c>
      <c r="I209">
        <v>177084</v>
      </c>
      <c r="J209">
        <v>3.5049999999999999</v>
      </c>
      <c r="K209">
        <v>2.4859999999999998</v>
      </c>
      <c r="L209">
        <v>167944</v>
      </c>
      <c r="M209">
        <v>3.6959999999999997</v>
      </c>
      <c r="N209">
        <v>2.6219999999999999</v>
      </c>
      <c r="O209" t="s">
        <v>241</v>
      </c>
    </row>
    <row r="210" spans="1:15" x14ac:dyDescent="0.35">
      <c r="A210" t="s">
        <v>51</v>
      </c>
      <c r="B210" t="s">
        <v>279</v>
      </c>
      <c r="C210">
        <v>96</v>
      </c>
      <c r="D210">
        <v>194</v>
      </c>
      <c r="E210">
        <v>290</v>
      </c>
      <c r="F210">
        <v>82</v>
      </c>
      <c r="G210">
        <v>85</v>
      </c>
      <c r="H210">
        <v>167</v>
      </c>
      <c r="I210">
        <v>11261</v>
      </c>
      <c r="J210">
        <v>2.5750000000000002</v>
      </c>
      <c r="K210">
        <v>1.4830000000000001</v>
      </c>
      <c r="L210">
        <v>10506</v>
      </c>
      <c r="M210">
        <v>2.76</v>
      </c>
      <c r="N210">
        <v>1.5899999999999999</v>
      </c>
      <c r="O210" t="s">
        <v>241</v>
      </c>
    </row>
    <row r="211" spans="1:15" x14ac:dyDescent="0.35">
      <c r="A211" t="s">
        <v>38</v>
      </c>
      <c r="B211" t="s">
        <v>269</v>
      </c>
      <c r="C211">
        <v>423</v>
      </c>
      <c r="D211">
        <v>680</v>
      </c>
      <c r="E211">
        <v>1103</v>
      </c>
      <c r="F211">
        <v>487</v>
      </c>
      <c r="G211">
        <v>216</v>
      </c>
      <c r="H211">
        <v>703</v>
      </c>
      <c r="I211">
        <v>58628</v>
      </c>
      <c r="J211">
        <v>1.881</v>
      </c>
      <c r="K211">
        <v>1.1990000000000001</v>
      </c>
      <c r="L211">
        <v>55387</v>
      </c>
      <c r="M211">
        <v>1.9910000000000001</v>
      </c>
      <c r="N211">
        <v>1.2690000000000001</v>
      </c>
      <c r="O211" t="s">
        <v>773</v>
      </c>
    </row>
    <row r="212" spans="1:15" x14ac:dyDescent="0.35">
      <c r="A212" t="s">
        <v>40</v>
      </c>
      <c r="B212" t="s">
        <v>270</v>
      </c>
      <c r="C212">
        <v>372</v>
      </c>
      <c r="D212">
        <v>530</v>
      </c>
      <c r="E212">
        <v>902</v>
      </c>
      <c r="F212">
        <v>448</v>
      </c>
      <c r="G212">
        <v>151</v>
      </c>
      <c r="H212">
        <v>599</v>
      </c>
      <c r="I212">
        <v>48851</v>
      </c>
      <c r="J212">
        <v>1.8460000000000001</v>
      </c>
      <c r="K212">
        <v>1.226</v>
      </c>
      <c r="L212">
        <v>46771</v>
      </c>
      <c r="M212">
        <v>1.929</v>
      </c>
      <c r="N212">
        <v>1.2810000000000001</v>
      </c>
      <c r="O212" t="s">
        <v>773</v>
      </c>
    </row>
    <row r="213" spans="1:15" x14ac:dyDescent="0.35">
      <c r="A213" t="s">
        <v>41</v>
      </c>
      <c r="B213" t="s">
        <v>271</v>
      </c>
      <c r="C213">
        <v>366</v>
      </c>
      <c r="D213">
        <v>587</v>
      </c>
      <c r="E213">
        <v>953</v>
      </c>
      <c r="F213">
        <v>397</v>
      </c>
      <c r="G213">
        <v>172</v>
      </c>
      <c r="H213">
        <v>569</v>
      </c>
      <c r="I213">
        <v>39144</v>
      </c>
      <c r="J213">
        <v>2.4350000000000001</v>
      </c>
      <c r="K213">
        <v>1.454</v>
      </c>
      <c r="L213">
        <v>39345</v>
      </c>
      <c r="M213">
        <v>2.4220000000000002</v>
      </c>
      <c r="N213">
        <v>1.446</v>
      </c>
      <c r="O213" t="s">
        <v>773</v>
      </c>
    </row>
    <row r="214" spans="1:15" x14ac:dyDescent="0.35">
      <c r="A214" t="s">
        <v>42</v>
      </c>
      <c r="B214" t="s">
        <v>273</v>
      </c>
      <c r="C214">
        <v>511</v>
      </c>
      <c r="D214">
        <v>1174</v>
      </c>
      <c r="E214">
        <v>1685</v>
      </c>
      <c r="F214">
        <v>590</v>
      </c>
      <c r="G214">
        <v>172</v>
      </c>
      <c r="H214">
        <v>762</v>
      </c>
      <c r="I214">
        <v>75226</v>
      </c>
      <c r="J214">
        <v>2.2400000000000002</v>
      </c>
      <c r="K214">
        <v>1.0129999999999999</v>
      </c>
      <c r="L214">
        <v>72672</v>
      </c>
      <c r="M214">
        <v>2.319</v>
      </c>
      <c r="N214">
        <v>1.0489999999999999</v>
      </c>
      <c r="O214" t="s">
        <v>773</v>
      </c>
    </row>
    <row r="215" spans="1:15" x14ac:dyDescent="0.35">
      <c r="A215" t="s">
        <v>46</v>
      </c>
      <c r="B215" t="s">
        <v>276</v>
      </c>
      <c r="C215">
        <v>338</v>
      </c>
      <c r="D215">
        <v>669</v>
      </c>
      <c r="E215">
        <v>1007</v>
      </c>
      <c r="F215">
        <v>303</v>
      </c>
      <c r="G215">
        <v>225</v>
      </c>
      <c r="H215">
        <v>528</v>
      </c>
      <c r="I215">
        <v>41226</v>
      </c>
      <c r="J215">
        <v>2.4430000000000001</v>
      </c>
      <c r="K215">
        <v>1.2810000000000001</v>
      </c>
      <c r="L215">
        <v>39733</v>
      </c>
      <c r="M215">
        <v>2.5339999999999998</v>
      </c>
      <c r="N215">
        <v>1.329</v>
      </c>
      <c r="O215" t="s">
        <v>773</v>
      </c>
    </row>
    <row r="216" spans="1:15" x14ac:dyDescent="0.35">
      <c r="A216" t="s">
        <v>52</v>
      </c>
      <c r="B216" t="s">
        <v>280</v>
      </c>
      <c r="C216">
        <v>389</v>
      </c>
      <c r="D216">
        <v>1165</v>
      </c>
      <c r="E216">
        <v>1554</v>
      </c>
      <c r="F216">
        <v>403</v>
      </c>
      <c r="G216">
        <v>198</v>
      </c>
      <c r="H216">
        <v>601</v>
      </c>
      <c r="I216">
        <v>73267</v>
      </c>
      <c r="J216">
        <v>2.121</v>
      </c>
      <c r="K216">
        <v>0.82</v>
      </c>
      <c r="L216">
        <v>69003</v>
      </c>
      <c r="M216">
        <v>2.2519999999999998</v>
      </c>
      <c r="N216">
        <v>0.871</v>
      </c>
      <c r="O216" t="s">
        <v>773</v>
      </c>
    </row>
    <row r="217" spans="1:15" x14ac:dyDescent="0.35">
      <c r="A217" t="s">
        <v>37</v>
      </c>
      <c r="B217" t="s">
        <v>294</v>
      </c>
      <c r="C217">
        <v>289</v>
      </c>
      <c r="D217">
        <v>641</v>
      </c>
      <c r="E217">
        <v>930</v>
      </c>
      <c r="F217">
        <v>284</v>
      </c>
      <c r="G217">
        <v>166</v>
      </c>
      <c r="H217">
        <v>450</v>
      </c>
      <c r="I217">
        <v>75027</v>
      </c>
      <c r="J217">
        <v>1.24</v>
      </c>
      <c r="K217">
        <v>0.6</v>
      </c>
      <c r="L217">
        <v>70689</v>
      </c>
      <c r="M217">
        <v>1.3160000000000001</v>
      </c>
      <c r="N217">
        <v>0.63700000000000001</v>
      </c>
      <c r="O217" t="s">
        <v>951</v>
      </c>
    </row>
    <row r="218" spans="1:15" x14ac:dyDescent="0.35">
      <c r="A218" t="s">
        <v>46</v>
      </c>
      <c r="B218" t="s">
        <v>276</v>
      </c>
      <c r="C218">
        <v>104</v>
      </c>
      <c r="D218">
        <v>201</v>
      </c>
      <c r="E218">
        <v>305</v>
      </c>
      <c r="F218">
        <v>115</v>
      </c>
      <c r="G218">
        <v>58</v>
      </c>
      <c r="H218">
        <v>173</v>
      </c>
      <c r="I218">
        <v>41657</v>
      </c>
      <c r="J218">
        <v>0.73199999999999998</v>
      </c>
      <c r="K218">
        <v>0.41499999999999998</v>
      </c>
      <c r="L218">
        <v>40137</v>
      </c>
      <c r="M218">
        <v>0.76</v>
      </c>
      <c r="N218">
        <v>0.43099999999999999</v>
      </c>
      <c r="O218" t="s">
        <v>951</v>
      </c>
    </row>
    <row r="219" spans="1:15" x14ac:dyDescent="0.35">
      <c r="A219" t="s">
        <v>53</v>
      </c>
      <c r="B219" t="s">
        <v>290</v>
      </c>
      <c r="C219">
        <v>335</v>
      </c>
      <c r="D219">
        <v>353</v>
      </c>
      <c r="E219">
        <v>688</v>
      </c>
      <c r="F219">
        <v>425</v>
      </c>
      <c r="G219">
        <v>126</v>
      </c>
      <c r="H219">
        <v>551</v>
      </c>
      <c r="I219">
        <v>88624</v>
      </c>
      <c r="J219">
        <v>0.77600000000000002</v>
      </c>
      <c r="K219">
        <v>0.622</v>
      </c>
      <c r="L219">
        <v>87241</v>
      </c>
      <c r="M219">
        <v>0.78900000000000003</v>
      </c>
      <c r="N219">
        <v>0.63200000000000001</v>
      </c>
      <c r="O219" t="s">
        <v>951</v>
      </c>
    </row>
    <row r="220" spans="1:15" x14ac:dyDescent="0.35">
      <c r="A220" t="s">
        <v>57</v>
      </c>
      <c r="B220" t="s">
        <v>284</v>
      </c>
      <c r="C220">
        <v>580</v>
      </c>
      <c r="D220">
        <v>758</v>
      </c>
      <c r="E220">
        <v>1338</v>
      </c>
      <c r="F220">
        <v>746</v>
      </c>
      <c r="G220">
        <v>234</v>
      </c>
      <c r="H220">
        <v>980</v>
      </c>
      <c r="I220">
        <v>153863</v>
      </c>
      <c r="J220">
        <v>0.87</v>
      </c>
      <c r="K220">
        <v>0.63700000000000001</v>
      </c>
      <c r="L220">
        <v>148483</v>
      </c>
      <c r="M220">
        <v>0.90100000000000002</v>
      </c>
      <c r="N220">
        <v>0.66</v>
      </c>
      <c r="O220" t="s">
        <v>951</v>
      </c>
    </row>
    <row r="221" spans="1:15" x14ac:dyDescent="0.35">
      <c r="A221" t="s">
        <v>34</v>
      </c>
      <c r="B221" t="s">
        <v>288</v>
      </c>
      <c r="C221">
        <v>529</v>
      </c>
      <c r="D221">
        <v>457</v>
      </c>
      <c r="E221">
        <v>986</v>
      </c>
      <c r="F221">
        <v>539</v>
      </c>
      <c r="G221">
        <v>425</v>
      </c>
      <c r="H221">
        <v>964</v>
      </c>
      <c r="I221">
        <v>47336</v>
      </c>
      <c r="J221">
        <v>2.0830000000000002</v>
      </c>
      <c r="K221">
        <v>2.0369999999999999</v>
      </c>
      <c r="L221">
        <v>40934</v>
      </c>
      <c r="M221">
        <v>2.4089999999999998</v>
      </c>
      <c r="N221">
        <v>2.355</v>
      </c>
      <c r="O221" t="s">
        <v>194</v>
      </c>
    </row>
    <row r="222" spans="1:15" x14ac:dyDescent="0.35">
      <c r="A222" t="s">
        <v>40</v>
      </c>
      <c r="B222" t="s">
        <v>270</v>
      </c>
      <c r="C222">
        <v>649</v>
      </c>
      <c r="D222">
        <v>366</v>
      </c>
      <c r="E222">
        <v>1015</v>
      </c>
      <c r="F222">
        <v>611</v>
      </c>
      <c r="G222">
        <v>496</v>
      </c>
      <c r="H222">
        <v>1107</v>
      </c>
      <c r="I222">
        <v>45613</v>
      </c>
      <c r="J222">
        <v>2.2250000000000001</v>
      </c>
      <c r="K222">
        <v>2.427</v>
      </c>
      <c r="L222">
        <v>43682</v>
      </c>
      <c r="M222">
        <v>2.3239999999999998</v>
      </c>
      <c r="N222">
        <v>2.5339999999999998</v>
      </c>
      <c r="O222" t="s">
        <v>194</v>
      </c>
    </row>
    <row r="223" spans="1:15" x14ac:dyDescent="0.35">
      <c r="A223" t="s">
        <v>45</v>
      </c>
      <c r="B223" t="s">
        <v>275</v>
      </c>
      <c r="C223">
        <v>649</v>
      </c>
      <c r="D223">
        <v>595</v>
      </c>
      <c r="E223">
        <v>1244</v>
      </c>
      <c r="F223">
        <v>626</v>
      </c>
      <c r="G223">
        <v>354</v>
      </c>
      <c r="H223">
        <v>980</v>
      </c>
      <c r="I223">
        <v>38791</v>
      </c>
      <c r="J223">
        <v>3.2069999999999999</v>
      </c>
      <c r="K223">
        <v>2.5259999999999998</v>
      </c>
      <c r="L223">
        <v>37337</v>
      </c>
      <c r="M223">
        <v>3.3319999999999999</v>
      </c>
      <c r="N223">
        <v>2.625</v>
      </c>
      <c r="O223" t="s">
        <v>194</v>
      </c>
    </row>
    <row r="224" spans="1:15" x14ac:dyDescent="0.35">
      <c r="A224" t="s">
        <v>48</v>
      </c>
      <c r="B224" t="s">
        <v>272</v>
      </c>
      <c r="C224">
        <v>123</v>
      </c>
      <c r="D224">
        <v>226</v>
      </c>
      <c r="E224">
        <v>349</v>
      </c>
      <c r="F224">
        <v>181</v>
      </c>
      <c r="G224">
        <v>15</v>
      </c>
      <c r="H224">
        <v>196</v>
      </c>
      <c r="I224">
        <v>14490</v>
      </c>
      <c r="J224">
        <v>2.4089999999999998</v>
      </c>
      <c r="K224">
        <v>1.353</v>
      </c>
      <c r="L224">
        <v>12924</v>
      </c>
      <c r="M224">
        <v>2.7</v>
      </c>
      <c r="N224">
        <v>1.5169999999999999</v>
      </c>
      <c r="O224" t="s">
        <v>194</v>
      </c>
    </row>
    <row r="225" spans="1:15" x14ac:dyDescent="0.35">
      <c r="A225" t="s">
        <v>57</v>
      </c>
      <c r="B225" t="s">
        <v>284</v>
      </c>
      <c r="C225">
        <v>1230</v>
      </c>
      <c r="D225">
        <v>1647</v>
      </c>
      <c r="E225">
        <v>2877</v>
      </c>
      <c r="F225">
        <v>1474</v>
      </c>
      <c r="G225">
        <v>585</v>
      </c>
      <c r="H225">
        <v>2059</v>
      </c>
      <c r="I225">
        <v>146110</v>
      </c>
      <c r="J225">
        <v>1.9689999999999999</v>
      </c>
      <c r="K225">
        <v>1.409</v>
      </c>
      <c r="L225">
        <v>141129</v>
      </c>
      <c r="M225">
        <v>2.0390000000000001</v>
      </c>
      <c r="N225">
        <v>1.4590000000000001</v>
      </c>
      <c r="O225" t="s">
        <v>194</v>
      </c>
    </row>
    <row r="226" spans="1:15" x14ac:dyDescent="0.35">
      <c r="A226" t="s">
        <v>59</v>
      </c>
      <c r="B226" t="s">
        <v>291</v>
      </c>
      <c r="C226">
        <v>436</v>
      </c>
      <c r="D226">
        <v>496</v>
      </c>
      <c r="E226">
        <v>932</v>
      </c>
      <c r="F226">
        <v>473</v>
      </c>
      <c r="G226">
        <v>195</v>
      </c>
      <c r="H226">
        <v>668</v>
      </c>
      <c r="I226">
        <v>44880</v>
      </c>
      <c r="J226">
        <v>2.077</v>
      </c>
      <c r="K226">
        <v>1.488</v>
      </c>
      <c r="L226">
        <v>42097</v>
      </c>
      <c r="M226">
        <v>2.214</v>
      </c>
      <c r="N226">
        <v>1.587</v>
      </c>
      <c r="O226" t="s">
        <v>194</v>
      </c>
    </row>
    <row r="227" spans="1:15" x14ac:dyDescent="0.35">
      <c r="A227" t="s">
        <v>52</v>
      </c>
      <c r="B227" t="s">
        <v>280</v>
      </c>
      <c r="C227">
        <v>635</v>
      </c>
      <c r="D227">
        <v>1787</v>
      </c>
      <c r="E227">
        <v>2422</v>
      </c>
      <c r="F227">
        <v>628</v>
      </c>
      <c r="G227">
        <v>319</v>
      </c>
      <c r="H227">
        <v>947</v>
      </c>
      <c r="I227">
        <v>70312</v>
      </c>
      <c r="J227">
        <v>3.4449999999999998</v>
      </c>
      <c r="K227">
        <v>1.347</v>
      </c>
      <c r="L227">
        <v>66035</v>
      </c>
      <c r="M227">
        <v>3.6680000000000001</v>
      </c>
      <c r="N227">
        <v>1.4339999999999999</v>
      </c>
      <c r="O227" t="s">
        <v>193</v>
      </c>
    </row>
    <row r="228" spans="1:15" x14ac:dyDescent="0.35">
      <c r="A228" t="s">
        <v>60</v>
      </c>
      <c r="B228" t="s">
        <v>292</v>
      </c>
      <c r="C228">
        <v>1103</v>
      </c>
      <c r="D228">
        <v>638</v>
      </c>
      <c r="E228">
        <v>1741</v>
      </c>
      <c r="F228">
        <v>967</v>
      </c>
      <c r="G228">
        <v>813</v>
      </c>
      <c r="H228">
        <v>1780</v>
      </c>
      <c r="I228">
        <v>77186</v>
      </c>
      <c r="J228">
        <v>2.2560000000000002</v>
      </c>
      <c r="K228">
        <v>2.306</v>
      </c>
      <c r="L228">
        <v>75035</v>
      </c>
      <c r="M228">
        <v>2.3199999999999998</v>
      </c>
      <c r="N228">
        <v>2.3719999999999999</v>
      </c>
      <c r="O228" t="s">
        <v>193</v>
      </c>
    </row>
    <row r="229" spans="1:15" x14ac:dyDescent="0.35">
      <c r="A229" t="s">
        <v>245</v>
      </c>
      <c r="B229" t="s">
        <v>289</v>
      </c>
      <c r="C229">
        <v>2759</v>
      </c>
      <c r="D229">
        <v>2546</v>
      </c>
      <c r="E229">
        <v>5305</v>
      </c>
      <c r="F229">
        <v>2752</v>
      </c>
      <c r="G229">
        <v>1091</v>
      </c>
      <c r="H229">
        <v>3843</v>
      </c>
      <c r="I229">
        <v>241433</v>
      </c>
      <c r="J229">
        <v>2.1970000000000001</v>
      </c>
      <c r="K229">
        <v>1.5920000000000001</v>
      </c>
      <c r="L229">
        <v>229650</v>
      </c>
      <c r="M229">
        <v>2.31</v>
      </c>
      <c r="N229">
        <v>1.673</v>
      </c>
      <c r="O229" t="s">
        <v>192</v>
      </c>
    </row>
    <row r="230" spans="1:15" x14ac:dyDescent="0.35">
      <c r="A230" t="s">
        <v>36</v>
      </c>
      <c r="B230" t="s">
        <v>268</v>
      </c>
      <c r="C230">
        <v>1086</v>
      </c>
      <c r="D230">
        <v>1068</v>
      </c>
      <c r="E230">
        <v>2154</v>
      </c>
      <c r="F230">
        <v>923</v>
      </c>
      <c r="G230">
        <v>558</v>
      </c>
      <c r="H230">
        <v>1481</v>
      </c>
      <c r="I230">
        <v>74190</v>
      </c>
      <c r="J230">
        <v>2.903</v>
      </c>
      <c r="K230">
        <v>1.996</v>
      </c>
      <c r="L230">
        <v>68999</v>
      </c>
      <c r="M230">
        <v>3.1219999999999999</v>
      </c>
      <c r="N230">
        <v>2.1459999999999999</v>
      </c>
      <c r="O230" t="s">
        <v>192</v>
      </c>
    </row>
    <row r="231" spans="1:15" x14ac:dyDescent="0.35">
      <c r="A231" t="s">
        <v>38</v>
      </c>
      <c r="B231" t="s">
        <v>269</v>
      </c>
      <c r="C231">
        <v>509</v>
      </c>
      <c r="D231">
        <v>828</v>
      </c>
      <c r="E231">
        <v>1337</v>
      </c>
      <c r="F231">
        <v>543</v>
      </c>
      <c r="G231">
        <v>320</v>
      </c>
      <c r="H231">
        <v>863</v>
      </c>
      <c r="I231">
        <v>57654</v>
      </c>
      <c r="J231">
        <v>2.319</v>
      </c>
      <c r="K231">
        <v>1.4969999999999999</v>
      </c>
      <c r="L231">
        <v>54570</v>
      </c>
      <c r="M231">
        <v>2.4500000000000002</v>
      </c>
      <c r="N231">
        <v>1.581</v>
      </c>
      <c r="O231" t="s">
        <v>192</v>
      </c>
    </row>
    <row r="232" spans="1:15" x14ac:dyDescent="0.35">
      <c r="A232" t="s">
        <v>39</v>
      </c>
      <c r="B232" t="s">
        <v>296</v>
      </c>
      <c r="C232">
        <v>662</v>
      </c>
      <c r="D232">
        <v>793</v>
      </c>
      <c r="E232">
        <v>1455</v>
      </c>
      <c r="F232">
        <v>844</v>
      </c>
      <c r="G232">
        <v>248</v>
      </c>
      <c r="H232">
        <v>1092</v>
      </c>
      <c r="I232">
        <v>45678</v>
      </c>
      <c r="J232">
        <v>3.1850000000000001</v>
      </c>
      <c r="K232">
        <v>2.391</v>
      </c>
      <c r="L232">
        <v>45008</v>
      </c>
      <c r="M232">
        <v>3.2330000000000001</v>
      </c>
      <c r="N232">
        <v>2.4260000000000002</v>
      </c>
      <c r="O232" t="s">
        <v>192</v>
      </c>
    </row>
    <row r="233" spans="1:15" x14ac:dyDescent="0.35">
      <c r="A233" t="s">
        <v>33</v>
      </c>
      <c r="B233" t="s">
        <v>293</v>
      </c>
      <c r="C233">
        <v>499</v>
      </c>
      <c r="D233">
        <v>1528</v>
      </c>
      <c r="E233">
        <v>2027</v>
      </c>
      <c r="F233">
        <v>450</v>
      </c>
      <c r="G233">
        <v>277</v>
      </c>
      <c r="H233">
        <v>727</v>
      </c>
      <c r="I233">
        <v>55872</v>
      </c>
      <c r="J233">
        <v>3.6280000000000001</v>
      </c>
      <c r="K233">
        <v>1.3009999999999999</v>
      </c>
      <c r="L233">
        <v>53333</v>
      </c>
      <c r="M233">
        <v>3.8010000000000002</v>
      </c>
      <c r="N233">
        <v>1.363</v>
      </c>
      <c r="O233" t="s">
        <v>258</v>
      </c>
    </row>
    <row r="234" spans="1:15" x14ac:dyDescent="0.35">
      <c r="A234" t="s">
        <v>34</v>
      </c>
      <c r="B234" t="s">
        <v>288</v>
      </c>
      <c r="C234">
        <v>630</v>
      </c>
      <c r="D234">
        <v>925</v>
      </c>
      <c r="E234">
        <v>1555</v>
      </c>
      <c r="F234">
        <v>481</v>
      </c>
      <c r="G234">
        <v>497</v>
      </c>
      <c r="H234">
        <v>978</v>
      </c>
      <c r="I234">
        <v>47780</v>
      </c>
      <c r="J234">
        <v>3.254</v>
      </c>
      <c r="K234">
        <v>2.0470000000000002</v>
      </c>
      <c r="L234">
        <v>41040</v>
      </c>
      <c r="M234">
        <v>3.7890000000000001</v>
      </c>
      <c r="N234">
        <v>2.383</v>
      </c>
      <c r="O234" t="s">
        <v>258</v>
      </c>
    </row>
    <row r="235" spans="1:15" x14ac:dyDescent="0.35">
      <c r="A235" t="s">
        <v>40</v>
      </c>
      <c r="B235" t="s">
        <v>270</v>
      </c>
      <c r="C235">
        <v>596</v>
      </c>
      <c r="D235">
        <v>578</v>
      </c>
      <c r="E235">
        <v>1174</v>
      </c>
      <c r="F235">
        <v>608</v>
      </c>
      <c r="G235">
        <v>364</v>
      </c>
      <c r="H235">
        <v>972</v>
      </c>
      <c r="I235">
        <v>46672</v>
      </c>
      <c r="J235">
        <v>2.5150000000000001</v>
      </c>
      <c r="K235">
        <v>2.0830000000000002</v>
      </c>
      <c r="L235">
        <v>44749</v>
      </c>
      <c r="M235">
        <v>2.6240000000000001</v>
      </c>
      <c r="N235">
        <v>2.1720000000000002</v>
      </c>
      <c r="O235" t="s">
        <v>258</v>
      </c>
    </row>
    <row r="236" spans="1:15" x14ac:dyDescent="0.35">
      <c r="A236" t="s">
        <v>45</v>
      </c>
      <c r="B236" t="s">
        <v>275</v>
      </c>
      <c r="C236">
        <v>797</v>
      </c>
      <c r="D236">
        <v>1003</v>
      </c>
      <c r="E236">
        <v>1800</v>
      </c>
      <c r="F236">
        <v>621</v>
      </c>
      <c r="G236">
        <v>567</v>
      </c>
      <c r="H236">
        <v>1188</v>
      </c>
      <c r="I236">
        <v>38835</v>
      </c>
      <c r="J236">
        <v>4.6349999999999998</v>
      </c>
      <c r="K236">
        <v>3.0590000000000002</v>
      </c>
      <c r="L236">
        <v>37586</v>
      </c>
      <c r="M236">
        <v>4.7889999999999997</v>
      </c>
      <c r="N236">
        <v>3.161</v>
      </c>
      <c r="O236" t="s">
        <v>258</v>
      </c>
    </row>
    <row r="237" spans="1:15" x14ac:dyDescent="0.35">
      <c r="A237" t="s">
        <v>53</v>
      </c>
      <c r="B237" t="s">
        <v>290</v>
      </c>
      <c r="C237">
        <v>1030</v>
      </c>
      <c r="D237">
        <v>1105</v>
      </c>
      <c r="E237">
        <v>2135</v>
      </c>
      <c r="F237">
        <v>905</v>
      </c>
      <c r="G237">
        <v>674</v>
      </c>
      <c r="H237">
        <v>1579</v>
      </c>
      <c r="I237">
        <v>85724</v>
      </c>
      <c r="J237">
        <v>2.4910000000000001</v>
      </c>
      <c r="K237">
        <v>1.8420000000000001</v>
      </c>
      <c r="L237">
        <v>84025</v>
      </c>
      <c r="M237">
        <v>2.5409999999999999</v>
      </c>
      <c r="N237">
        <v>1.879</v>
      </c>
      <c r="O237" t="s">
        <v>258</v>
      </c>
    </row>
    <row r="238" spans="1:15" x14ac:dyDescent="0.35">
      <c r="A238" t="s">
        <v>36</v>
      </c>
      <c r="B238" t="s">
        <v>268</v>
      </c>
      <c r="C238">
        <v>1115</v>
      </c>
      <c r="D238">
        <v>835</v>
      </c>
      <c r="E238">
        <v>1950</v>
      </c>
      <c r="F238">
        <v>1083</v>
      </c>
      <c r="G238">
        <v>534</v>
      </c>
      <c r="H238">
        <v>1617</v>
      </c>
      <c r="I238">
        <v>74687</v>
      </c>
      <c r="J238">
        <v>2.6109999999999998</v>
      </c>
      <c r="K238">
        <v>2.165</v>
      </c>
      <c r="L238">
        <v>69503</v>
      </c>
      <c r="M238">
        <v>2.806</v>
      </c>
      <c r="N238">
        <v>2.327</v>
      </c>
      <c r="O238" t="s">
        <v>242</v>
      </c>
    </row>
    <row r="239" spans="1:15" x14ac:dyDescent="0.35">
      <c r="A239" t="s">
        <v>60</v>
      </c>
      <c r="B239" t="s">
        <v>292</v>
      </c>
      <c r="C239">
        <v>963</v>
      </c>
      <c r="D239">
        <v>1092</v>
      </c>
      <c r="E239">
        <v>2055</v>
      </c>
      <c r="F239">
        <v>850</v>
      </c>
      <c r="G239">
        <v>604</v>
      </c>
      <c r="H239">
        <v>1454</v>
      </c>
      <c r="I239">
        <v>79112</v>
      </c>
      <c r="J239">
        <v>2.5979999999999999</v>
      </c>
      <c r="K239">
        <v>1.8380000000000001</v>
      </c>
      <c r="L239">
        <v>77369</v>
      </c>
      <c r="M239">
        <v>2.6560000000000001</v>
      </c>
      <c r="N239">
        <v>1.879</v>
      </c>
      <c r="O239" t="s">
        <v>242</v>
      </c>
    </row>
    <row r="240" spans="1:15" x14ac:dyDescent="0.35">
      <c r="A240" t="s">
        <v>31</v>
      </c>
      <c r="B240" t="s">
        <v>286</v>
      </c>
      <c r="C240">
        <v>569</v>
      </c>
      <c r="D240">
        <v>2176</v>
      </c>
      <c r="E240">
        <v>2745</v>
      </c>
      <c r="F240">
        <v>546</v>
      </c>
      <c r="G240">
        <v>278</v>
      </c>
      <c r="H240">
        <v>824</v>
      </c>
      <c r="I240">
        <v>118131</v>
      </c>
      <c r="J240">
        <v>2.3239999999999998</v>
      </c>
      <c r="K240">
        <v>0.69799999999999995</v>
      </c>
      <c r="L240">
        <v>107586</v>
      </c>
      <c r="M240">
        <v>2.5510000000000002</v>
      </c>
      <c r="N240">
        <v>0.76600000000000001</v>
      </c>
      <c r="O240" t="s">
        <v>241</v>
      </c>
    </row>
    <row r="241" spans="1:15" x14ac:dyDescent="0.35">
      <c r="A241" t="s">
        <v>35</v>
      </c>
      <c r="B241" t="s">
        <v>267</v>
      </c>
      <c r="C241">
        <v>219</v>
      </c>
      <c r="D241">
        <v>372</v>
      </c>
      <c r="E241">
        <v>591</v>
      </c>
      <c r="F241">
        <v>235</v>
      </c>
      <c r="G241">
        <v>82</v>
      </c>
      <c r="H241">
        <v>317</v>
      </c>
      <c r="I241">
        <v>24524</v>
      </c>
      <c r="J241">
        <v>2.41</v>
      </c>
      <c r="K241">
        <v>1.2929999999999999</v>
      </c>
      <c r="L241">
        <v>23674</v>
      </c>
      <c r="M241">
        <v>2.496</v>
      </c>
      <c r="N241">
        <v>1.339</v>
      </c>
      <c r="O241" t="s">
        <v>241</v>
      </c>
    </row>
    <row r="242" spans="1:15" x14ac:dyDescent="0.35">
      <c r="A242" t="s">
        <v>38</v>
      </c>
      <c r="B242" t="s">
        <v>269</v>
      </c>
      <c r="C242">
        <v>421</v>
      </c>
      <c r="D242">
        <v>656</v>
      </c>
      <c r="E242">
        <v>1077</v>
      </c>
      <c r="F242">
        <v>446</v>
      </c>
      <c r="G242">
        <v>251</v>
      </c>
      <c r="H242">
        <v>697</v>
      </c>
      <c r="I242">
        <v>58453</v>
      </c>
      <c r="J242">
        <v>1.843</v>
      </c>
      <c r="K242">
        <v>1.1919999999999999</v>
      </c>
      <c r="L242">
        <v>55107</v>
      </c>
      <c r="M242">
        <v>1.954</v>
      </c>
      <c r="N242">
        <v>1.2650000000000001</v>
      </c>
      <c r="O242" t="s">
        <v>241</v>
      </c>
    </row>
    <row r="243" spans="1:15" x14ac:dyDescent="0.35">
      <c r="A243" t="s">
        <v>39</v>
      </c>
      <c r="B243" t="s">
        <v>296</v>
      </c>
      <c r="C243">
        <v>653</v>
      </c>
      <c r="D243">
        <v>579</v>
      </c>
      <c r="E243">
        <v>1232</v>
      </c>
      <c r="F243">
        <v>755</v>
      </c>
      <c r="G243">
        <v>285</v>
      </c>
      <c r="H243">
        <v>1040</v>
      </c>
      <c r="I243">
        <v>46721</v>
      </c>
      <c r="J243">
        <v>2.637</v>
      </c>
      <c r="K243">
        <v>2.226</v>
      </c>
      <c r="L243">
        <v>46023</v>
      </c>
      <c r="M243">
        <v>2.677</v>
      </c>
      <c r="N243">
        <v>2.2599999999999998</v>
      </c>
      <c r="O243" t="s">
        <v>241</v>
      </c>
    </row>
    <row r="244" spans="1:15" x14ac:dyDescent="0.35">
      <c r="A244" t="s">
        <v>50</v>
      </c>
      <c r="B244" t="s">
        <v>295</v>
      </c>
      <c r="C244">
        <v>1248</v>
      </c>
      <c r="D244">
        <v>2019</v>
      </c>
      <c r="E244">
        <v>3267</v>
      </c>
      <c r="F244">
        <v>1614</v>
      </c>
      <c r="G244">
        <v>428</v>
      </c>
      <c r="H244">
        <v>2042</v>
      </c>
      <c r="I244">
        <v>155364</v>
      </c>
      <c r="J244">
        <v>2.1030000000000002</v>
      </c>
      <c r="K244">
        <v>1.3140000000000001</v>
      </c>
      <c r="L244">
        <v>151744</v>
      </c>
      <c r="M244">
        <v>2.153</v>
      </c>
      <c r="N244">
        <v>1.3460000000000001</v>
      </c>
      <c r="O244" t="s">
        <v>241</v>
      </c>
    </row>
    <row r="245" spans="1:15" x14ac:dyDescent="0.35">
      <c r="A245" t="s">
        <v>56</v>
      </c>
      <c r="B245" t="s">
        <v>283</v>
      </c>
      <c r="C245">
        <v>437</v>
      </c>
      <c r="D245">
        <v>687</v>
      </c>
      <c r="E245">
        <v>1124</v>
      </c>
      <c r="F245">
        <v>531</v>
      </c>
      <c r="G245">
        <v>204</v>
      </c>
      <c r="H245">
        <v>735</v>
      </c>
      <c r="I245">
        <v>55486</v>
      </c>
      <c r="J245">
        <v>2.0259999999999998</v>
      </c>
      <c r="K245">
        <v>1.325</v>
      </c>
      <c r="L245">
        <v>52281</v>
      </c>
      <c r="M245">
        <v>2.15</v>
      </c>
      <c r="N245">
        <v>1.4060000000000001</v>
      </c>
      <c r="O245" t="s">
        <v>241</v>
      </c>
    </row>
    <row r="246" spans="1:15" x14ac:dyDescent="0.35">
      <c r="A246" t="s">
        <v>31</v>
      </c>
      <c r="B246" t="s">
        <v>286</v>
      </c>
      <c r="C246">
        <v>392</v>
      </c>
      <c r="D246">
        <v>2273</v>
      </c>
      <c r="E246">
        <v>2665</v>
      </c>
      <c r="F246">
        <v>391</v>
      </c>
      <c r="G246">
        <v>199</v>
      </c>
      <c r="H246">
        <v>590</v>
      </c>
      <c r="I246">
        <v>119523</v>
      </c>
      <c r="J246">
        <v>2.23</v>
      </c>
      <c r="K246">
        <v>0.49399999999999999</v>
      </c>
      <c r="L246">
        <v>108381</v>
      </c>
      <c r="M246">
        <v>2.4590000000000001</v>
      </c>
      <c r="N246">
        <v>0.54400000000000004</v>
      </c>
      <c r="O246" t="s">
        <v>773</v>
      </c>
    </row>
    <row r="247" spans="1:15" x14ac:dyDescent="0.35">
      <c r="A247" t="s">
        <v>36</v>
      </c>
      <c r="B247" t="s">
        <v>268</v>
      </c>
      <c r="C247">
        <v>870</v>
      </c>
      <c r="D247">
        <v>839</v>
      </c>
      <c r="E247">
        <v>1709</v>
      </c>
      <c r="F247">
        <v>824</v>
      </c>
      <c r="G247">
        <v>438</v>
      </c>
      <c r="H247">
        <v>1262</v>
      </c>
      <c r="I247">
        <v>75089</v>
      </c>
      <c r="J247">
        <v>2.2759999999999998</v>
      </c>
      <c r="K247">
        <v>1.681</v>
      </c>
      <c r="L247">
        <v>69699</v>
      </c>
      <c r="M247">
        <v>2.452</v>
      </c>
      <c r="N247">
        <v>1.8109999999999999</v>
      </c>
      <c r="O247" t="s">
        <v>773</v>
      </c>
    </row>
    <row r="248" spans="1:15" x14ac:dyDescent="0.35">
      <c r="A248" t="s">
        <v>49</v>
      </c>
      <c r="B248" t="s">
        <v>278</v>
      </c>
      <c r="C248">
        <v>716</v>
      </c>
      <c r="D248">
        <v>969</v>
      </c>
      <c r="E248">
        <v>1685</v>
      </c>
      <c r="F248">
        <v>784</v>
      </c>
      <c r="G248">
        <v>366</v>
      </c>
      <c r="H248">
        <v>1150</v>
      </c>
      <c r="I248">
        <v>68496</v>
      </c>
      <c r="J248">
        <v>2.46</v>
      </c>
      <c r="K248">
        <v>1.679</v>
      </c>
      <c r="L248">
        <v>64140</v>
      </c>
      <c r="M248">
        <v>2.6269999999999998</v>
      </c>
      <c r="N248">
        <v>1.7930000000000001</v>
      </c>
      <c r="O248" t="s">
        <v>773</v>
      </c>
    </row>
    <row r="249" spans="1:15" x14ac:dyDescent="0.35">
      <c r="A249" t="s">
        <v>57</v>
      </c>
      <c r="B249" t="s">
        <v>284</v>
      </c>
      <c r="C249">
        <v>1364</v>
      </c>
      <c r="D249">
        <v>2345</v>
      </c>
      <c r="E249">
        <v>3709</v>
      </c>
      <c r="F249">
        <v>1628</v>
      </c>
      <c r="G249">
        <v>551</v>
      </c>
      <c r="H249">
        <v>2179</v>
      </c>
      <c r="I249">
        <v>152998</v>
      </c>
      <c r="J249">
        <v>2.4239999999999999</v>
      </c>
      <c r="K249">
        <v>1.4239999999999999</v>
      </c>
      <c r="L249">
        <v>147434</v>
      </c>
      <c r="M249">
        <v>2.516</v>
      </c>
      <c r="N249">
        <v>1.478</v>
      </c>
      <c r="O249" t="s">
        <v>773</v>
      </c>
    </row>
    <row r="250" spans="1:15" x14ac:dyDescent="0.35">
      <c r="A250" t="s">
        <v>58</v>
      </c>
      <c r="B250" t="s">
        <v>285</v>
      </c>
      <c r="C250">
        <v>311</v>
      </c>
      <c r="D250">
        <v>590</v>
      </c>
      <c r="E250">
        <v>901</v>
      </c>
      <c r="F250">
        <v>360</v>
      </c>
      <c r="G250">
        <v>153</v>
      </c>
      <c r="H250">
        <v>513</v>
      </c>
      <c r="I250">
        <v>41638</v>
      </c>
      <c r="J250">
        <v>2.1640000000000001</v>
      </c>
      <c r="K250">
        <v>1.232</v>
      </c>
      <c r="L250">
        <v>39654</v>
      </c>
      <c r="M250">
        <v>2.2720000000000002</v>
      </c>
      <c r="N250">
        <v>1.294</v>
      </c>
      <c r="O250" t="s">
        <v>773</v>
      </c>
    </row>
    <row r="251" spans="1:15" x14ac:dyDescent="0.35">
      <c r="A251" t="s">
        <v>32</v>
      </c>
      <c r="B251" t="s">
        <v>287</v>
      </c>
      <c r="C251">
        <v>126</v>
      </c>
      <c r="D251">
        <v>311</v>
      </c>
      <c r="E251">
        <v>437</v>
      </c>
      <c r="F251">
        <v>147</v>
      </c>
      <c r="G251">
        <v>76</v>
      </c>
      <c r="H251">
        <v>223</v>
      </c>
      <c r="I251">
        <v>119854</v>
      </c>
      <c r="J251">
        <v>0.36499999999999999</v>
      </c>
      <c r="K251">
        <v>0.186</v>
      </c>
      <c r="L251">
        <v>112713</v>
      </c>
      <c r="M251">
        <v>0.38800000000000001</v>
      </c>
      <c r="N251">
        <v>0.19800000000000001</v>
      </c>
      <c r="O251" t="s">
        <v>951</v>
      </c>
    </row>
    <row r="252" spans="1:15" x14ac:dyDescent="0.35">
      <c r="A252" t="s">
        <v>41</v>
      </c>
      <c r="B252" t="s">
        <v>271</v>
      </c>
      <c r="C252">
        <v>205</v>
      </c>
      <c r="D252">
        <v>173</v>
      </c>
      <c r="E252">
        <v>378</v>
      </c>
      <c r="F252">
        <v>222</v>
      </c>
      <c r="G252">
        <v>101</v>
      </c>
      <c r="H252">
        <v>323</v>
      </c>
      <c r="I252">
        <v>39453</v>
      </c>
      <c r="J252">
        <v>0.95799999999999996</v>
      </c>
      <c r="K252">
        <v>0.81899999999999995</v>
      </c>
      <c r="L252">
        <v>39586</v>
      </c>
      <c r="M252">
        <v>0.95499999999999996</v>
      </c>
      <c r="N252">
        <v>0.81599999999999995</v>
      </c>
      <c r="O252" t="s">
        <v>951</v>
      </c>
    </row>
    <row r="253" spans="1:15" x14ac:dyDescent="0.35">
      <c r="A253" t="s">
        <v>45</v>
      </c>
      <c r="B253" t="s">
        <v>275</v>
      </c>
      <c r="C253">
        <v>293</v>
      </c>
      <c r="D253">
        <v>200</v>
      </c>
      <c r="E253">
        <v>493</v>
      </c>
      <c r="F253">
        <v>339</v>
      </c>
      <c r="G253">
        <v>130</v>
      </c>
      <c r="H253">
        <v>469</v>
      </c>
      <c r="I253">
        <v>39107</v>
      </c>
      <c r="J253">
        <v>1.2610000000000001</v>
      </c>
      <c r="K253">
        <v>1.1990000000000001</v>
      </c>
      <c r="L253">
        <v>37646</v>
      </c>
      <c r="M253">
        <v>1.31</v>
      </c>
      <c r="N253">
        <v>1.246</v>
      </c>
      <c r="O253" t="s">
        <v>951</v>
      </c>
    </row>
    <row r="254" spans="1:15" x14ac:dyDescent="0.35">
      <c r="A254" t="s">
        <v>51</v>
      </c>
      <c r="B254" t="s">
        <v>279</v>
      </c>
      <c r="C254">
        <v>35</v>
      </c>
      <c r="D254">
        <v>35</v>
      </c>
      <c r="E254">
        <v>70</v>
      </c>
      <c r="F254">
        <v>45</v>
      </c>
      <c r="G254">
        <v>39</v>
      </c>
      <c r="H254">
        <v>84</v>
      </c>
      <c r="I254">
        <v>11391</v>
      </c>
      <c r="J254">
        <v>0.61499999999999999</v>
      </c>
      <c r="K254">
        <v>0.73699999999999999</v>
      </c>
      <c r="L254">
        <v>10635</v>
      </c>
      <c r="M254">
        <v>0.65800000000000003</v>
      </c>
      <c r="N254">
        <v>0.79</v>
      </c>
      <c r="O254" t="s">
        <v>951</v>
      </c>
    </row>
    <row r="255" spans="1:15" x14ac:dyDescent="0.35">
      <c r="A255" t="s">
        <v>55</v>
      </c>
      <c r="B255" t="s">
        <v>282</v>
      </c>
      <c r="C255">
        <v>17</v>
      </c>
      <c r="D255">
        <v>123</v>
      </c>
      <c r="E255">
        <v>140</v>
      </c>
      <c r="F255">
        <v>8</v>
      </c>
      <c r="G255">
        <v>26</v>
      </c>
      <c r="H255">
        <v>34</v>
      </c>
      <c r="I255">
        <v>11374</v>
      </c>
      <c r="J255">
        <v>1.2310000000000001</v>
      </c>
      <c r="K255">
        <v>0.29899999999999999</v>
      </c>
      <c r="L255">
        <v>10461</v>
      </c>
      <c r="M255">
        <v>1.3380000000000001</v>
      </c>
      <c r="N255">
        <v>0.32500000000000001</v>
      </c>
      <c r="O255" t="s">
        <v>951</v>
      </c>
    </row>
    <row r="256" spans="1:15" x14ac:dyDescent="0.35">
      <c r="A256" t="s">
        <v>58</v>
      </c>
      <c r="B256" t="s">
        <v>285</v>
      </c>
      <c r="C256">
        <v>63</v>
      </c>
      <c r="D256">
        <v>108</v>
      </c>
      <c r="E256">
        <v>171</v>
      </c>
      <c r="F256">
        <v>76</v>
      </c>
      <c r="G256">
        <v>44</v>
      </c>
      <c r="H256">
        <v>120</v>
      </c>
      <c r="I256">
        <v>41950</v>
      </c>
      <c r="J256">
        <v>0.40799999999999997</v>
      </c>
      <c r="K256">
        <v>0.28599999999999998</v>
      </c>
      <c r="L256">
        <v>39896</v>
      </c>
      <c r="M256">
        <v>0.42899999999999999</v>
      </c>
      <c r="N256">
        <v>0.30099999999999999</v>
      </c>
      <c r="O256" t="s">
        <v>951</v>
      </c>
    </row>
    <row r="257" spans="1:15" x14ac:dyDescent="0.35">
      <c r="A257" t="s">
        <v>60</v>
      </c>
      <c r="B257" t="s">
        <v>292</v>
      </c>
      <c r="C257">
        <v>272</v>
      </c>
      <c r="D257">
        <v>410</v>
      </c>
      <c r="E257">
        <v>682</v>
      </c>
      <c r="F257">
        <v>260</v>
      </c>
      <c r="G257">
        <v>158</v>
      </c>
      <c r="H257">
        <v>418</v>
      </c>
      <c r="I257">
        <v>81723</v>
      </c>
      <c r="J257">
        <v>0.83499999999999996</v>
      </c>
      <c r="K257">
        <v>0.51100000000000001</v>
      </c>
      <c r="L257">
        <v>79892</v>
      </c>
      <c r="M257">
        <v>0.85399999999999998</v>
      </c>
      <c r="N257">
        <v>0.52300000000000002</v>
      </c>
      <c r="O257" t="s">
        <v>951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F225"/>
  <sheetViews>
    <sheetView workbookViewId="0">
      <selection sqref="A1:F225"/>
    </sheetView>
  </sheetViews>
  <sheetFormatPr defaultRowHeight="14.5" x14ac:dyDescent="0.35"/>
  <cols>
    <col min="2" max="2" width="20.36328125" bestFit="1" customWidth="1"/>
    <col min="3" max="3" width="16.453125" bestFit="1" customWidth="1"/>
    <col min="4" max="4" width="14.6328125" bestFit="1" customWidth="1"/>
    <col min="5" max="5" width="15.54296875" bestFit="1" customWidth="1"/>
  </cols>
  <sheetData>
    <row r="1" spans="1:6" x14ac:dyDescent="0.35">
      <c r="A1" t="s">
        <v>1</v>
      </c>
      <c r="B1" t="s">
        <v>17443</v>
      </c>
      <c r="C1" s="850" t="s">
        <v>112</v>
      </c>
      <c r="D1" s="850" t="s">
        <v>185</v>
      </c>
      <c r="E1" s="850" t="s">
        <v>29</v>
      </c>
      <c r="F1" s="851" t="s">
        <v>26</v>
      </c>
    </row>
    <row r="2" spans="1:6" x14ac:dyDescent="0.35">
      <c r="A2" t="s">
        <v>241</v>
      </c>
      <c r="B2" s="846" t="s">
        <v>31</v>
      </c>
      <c r="C2" s="461">
        <v>3</v>
      </c>
      <c r="D2" s="461">
        <v>1</v>
      </c>
      <c r="E2" s="461"/>
      <c r="F2" s="461">
        <f>SUM(C2:E2)</f>
        <v>4</v>
      </c>
    </row>
    <row r="3" spans="1:6" x14ac:dyDescent="0.35">
      <c r="A3" t="s">
        <v>241</v>
      </c>
      <c r="B3" s="846" t="s">
        <v>32</v>
      </c>
      <c r="C3" s="461">
        <v>1</v>
      </c>
      <c r="D3" s="461">
        <v>23</v>
      </c>
      <c r="E3" s="461"/>
      <c r="F3" s="461">
        <f t="shared" ref="F3:F33" si="0">SUM(C3:E3)</f>
        <v>24</v>
      </c>
    </row>
    <row r="4" spans="1:6" x14ac:dyDescent="0.35">
      <c r="A4" t="s">
        <v>241</v>
      </c>
      <c r="B4" s="846" t="s">
        <v>33</v>
      </c>
      <c r="C4" s="461">
        <v>1</v>
      </c>
      <c r="D4" s="461">
        <v>5</v>
      </c>
      <c r="E4" s="461"/>
      <c r="F4" s="461">
        <f t="shared" si="0"/>
        <v>6</v>
      </c>
    </row>
    <row r="5" spans="1:6" x14ac:dyDescent="0.35">
      <c r="A5" t="s">
        <v>241</v>
      </c>
      <c r="B5" s="846" t="s">
        <v>34</v>
      </c>
      <c r="C5" s="461">
        <v>2</v>
      </c>
      <c r="D5" s="461">
        <v>12</v>
      </c>
      <c r="E5" s="461">
        <v>25</v>
      </c>
      <c r="F5" s="461">
        <f t="shared" si="0"/>
        <v>39</v>
      </c>
    </row>
    <row r="6" spans="1:6" x14ac:dyDescent="0.35">
      <c r="A6" t="s">
        <v>241</v>
      </c>
      <c r="B6" s="846" t="s">
        <v>245</v>
      </c>
      <c r="C6" s="461">
        <v>7</v>
      </c>
      <c r="D6" s="461">
        <v>1</v>
      </c>
      <c r="E6" s="461"/>
      <c r="F6" s="461">
        <f t="shared" si="0"/>
        <v>8</v>
      </c>
    </row>
    <row r="7" spans="1:6" x14ac:dyDescent="0.35">
      <c r="A7" t="s">
        <v>241</v>
      </c>
      <c r="B7" s="846" t="s">
        <v>35</v>
      </c>
      <c r="C7" s="461">
        <v>1</v>
      </c>
      <c r="D7" s="461">
        <v>1</v>
      </c>
      <c r="E7" s="461"/>
      <c r="F7" s="461">
        <f t="shared" si="0"/>
        <v>2</v>
      </c>
    </row>
    <row r="8" spans="1:6" x14ac:dyDescent="0.35">
      <c r="A8" t="s">
        <v>241</v>
      </c>
      <c r="B8" s="846" t="s">
        <v>36</v>
      </c>
      <c r="C8" s="461">
        <v>1</v>
      </c>
      <c r="D8" s="461">
        <v>15</v>
      </c>
      <c r="E8" s="461">
        <v>1</v>
      </c>
      <c r="F8" s="461">
        <f t="shared" si="0"/>
        <v>17</v>
      </c>
    </row>
    <row r="9" spans="1:6" x14ac:dyDescent="0.35">
      <c r="A9" t="s">
        <v>241</v>
      </c>
      <c r="B9" s="846" t="s">
        <v>37</v>
      </c>
      <c r="C9" s="461">
        <v>4</v>
      </c>
      <c r="D9" s="461"/>
      <c r="E9" s="461"/>
      <c r="F9" s="461">
        <f t="shared" si="0"/>
        <v>4</v>
      </c>
    </row>
    <row r="10" spans="1:6" x14ac:dyDescent="0.35">
      <c r="A10" t="s">
        <v>241</v>
      </c>
      <c r="B10" s="846" t="s">
        <v>38</v>
      </c>
      <c r="C10" s="461">
        <v>1</v>
      </c>
      <c r="D10" s="461">
        <v>7</v>
      </c>
      <c r="E10" s="461"/>
      <c r="F10" s="461">
        <f t="shared" si="0"/>
        <v>8</v>
      </c>
    </row>
    <row r="11" spans="1:6" x14ac:dyDescent="0.35">
      <c r="A11" t="s">
        <v>241</v>
      </c>
      <c r="B11" s="846" t="s">
        <v>39</v>
      </c>
      <c r="C11" s="461">
        <v>3</v>
      </c>
      <c r="D11" s="461"/>
      <c r="E11" s="461"/>
      <c r="F11" s="461">
        <f t="shared" si="0"/>
        <v>3</v>
      </c>
    </row>
    <row r="12" spans="1:6" x14ac:dyDescent="0.35">
      <c r="A12" t="s">
        <v>241</v>
      </c>
      <c r="B12" s="846" t="s">
        <v>40</v>
      </c>
      <c r="C12" s="461">
        <v>1</v>
      </c>
      <c r="D12" s="461">
        <v>5</v>
      </c>
      <c r="E12" s="461"/>
      <c r="F12" s="461">
        <f t="shared" si="0"/>
        <v>6</v>
      </c>
    </row>
    <row r="13" spans="1:6" x14ac:dyDescent="0.35">
      <c r="A13" t="s">
        <v>241</v>
      </c>
      <c r="B13" s="846" t="s">
        <v>41</v>
      </c>
      <c r="C13" s="461">
        <v>2</v>
      </c>
      <c r="D13" s="461"/>
      <c r="E13" s="461"/>
      <c r="F13" s="461">
        <f t="shared" si="0"/>
        <v>2</v>
      </c>
    </row>
    <row r="14" spans="1:6" x14ac:dyDescent="0.35">
      <c r="A14" t="s">
        <v>241</v>
      </c>
      <c r="B14" s="846" t="s">
        <v>42</v>
      </c>
      <c r="C14" s="461">
        <v>3</v>
      </c>
      <c r="D14" s="461">
        <v>2</v>
      </c>
      <c r="E14" s="461"/>
      <c r="F14" s="461">
        <f t="shared" si="0"/>
        <v>5</v>
      </c>
    </row>
    <row r="15" spans="1:6" x14ac:dyDescent="0.35">
      <c r="A15" t="s">
        <v>241</v>
      </c>
      <c r="B15" s="846" t="s">
        <v>43</v>
      </c>
      <c r="C15" s="461">
        <v>5</v>
      </c>
      <c r="D15" s="461">
        <v>8</v>
      </c>
      <c r="E15" s="461"/>
      <c r="F15" s="461">
        <f t="shared" si="0"/>
        <v>13</v>
      </c>
    </row>
    <row r="16" spans="1:6" x14ac:dyDescent="0.35">
      <c r="A16" t="s">
        <v>241</v>
      </c>
      <c r="B16" s="846" t="s">
        <v>114</v>
      </c>
      <c r="C16" s="461">
        <v>11</v>
      </c>
      <c r="D16" s="461"/>
      <c r="E16" s="461"/>
      <c r="F16" s="461">
        <f t="shared" si="0"/>
        <v>11</v>
      </c>
    </row>
    <row r="17" spans="1:6" x14ac:dyDescent="0.35">
      <c r="A17" t="s">
        <v>241</v>
      </c>
      <c r="B17" s="846" t="s">
        <v>44</v>
      </c>
      <c r="C17" s="461">
        <v>1</v>
      </c>
      <c r="D17" s="461">
        <v>51</v>
      </c>
      <c r="E17" s="461">
        <v>9</v>
      </c>
      <c r="F17" s="461">
        <f t="shared" si="0"/>
        <v>61</v>
      </c>
    </row>
    <row r="18" spans="1:6" x14ac:dyDescent="0.35">
      <c r="A18" t="s">
        <v>241</v>
      </c>
      <c r="B18" s="846" t="s">
        <v>45</v>
      </c>
      <c r="C18" s="461">
        <v>2</v>
      </c>
      <c r="D18" s="461">
        <v>1</v>
      </c>
      <c r="E18" s="461"/>
      <c r="F18" s="461">
        <f t="shared" si="0"/>
        <v>3</v>
      </c>
    </row>
    <row r="19" spans="1:6" x14ac:dyDescent="0.35">
      <c r="A19" t="s">
        <v>241</v>
      </c>
      <c r="B19" s="846" t="s">
        <v>46</v>
      </c>
      <c r="C19" s="461">
        <v>1</v>
      </c>
      <c r="D19" s="461">
        <v>1</v>
      </c>
      <c r="E19" s="461"/>
      <c r="F19" s="461">
        <f t="shared" si="0"/>
        <v>2</v>
      </c>
    </row>
    <row r="20" spans="1:6" x14ac:dyDescent="0.35">
      <c r="A20" t="s">
        <v>241</v>
      </c>
      <c r="B20" s="846" t="s">
        <v>47</v>
      </c>
      <c r="C20" s="461">
        <v>1</v>
      </c>
      <c r="D20" s="461">
        <v>10</v>
      </c>
      <c r="E20" s="461">
        <v>1</v>
      </c>
      <c r="F20" s="461">
        <f t="shared" si="0"/>
        <v>12</v>
      </c>
    </row>
    <row r="21" spans="1:6" x14ac:dyDescent="0.35">
      <c r="A21" t="s">
        <v>241</v>
      </c>
      <c r="B21" s="846" t="s">
        <v>48</v>
      </c>
      <c r="C21" s="461"/>
      <c r="D21" s="461">
        <v>14</v>
      </c>
      <c r="E21" s="461"/>
      <c r="F21" s="461">
        <f t="shared" si="0"/>
        <v>14</v>
      </c>
    </row>
    <row r="22" spans="1:6" x14ac:dyDescent="0.35">
      <c r="A22" t="s">
        <v>241</v>
      </c>
      <c r="B22" s="846" t="s">
        <v>49</v>
      </c>
      <c r="C22" s="461">
        <v>3</v>
      </c>
      <c r="D22" s="461">
        <v>8</v>
      </c>
      <c r="E22" s="461">
        <v>3</v>
      </c>
      <c r="F22" s="461">
        <f t="shared" si="0"/>
        <v>14</v>
      </c>
    </row>
    <row r="23" spans="1:6" x14ac:dyDescent="0.35">
      <c r="A23" t="s">
        <v>241</v>
      </c>
      <c r="B23" s="846" t="s">
        <v>50</v>
      </c>
      <c r="C23" s="461">
        <v>4</v>
      </c>
      <c r="D23" s="461">
        <v>3</v>
      </c>
      <c r="E23" s="461"/>
      <c r="F23" s="461">
        <f t="shared" si="0"/>
        <v>7</v>
      </c>
    </row>
    <row r="24" spans="1:6" x14ac:dyDescent="0.35">
      <c r="A24" t="s">
        <v>241</v>
      </c>
      <c r="B24" s="846" t="s">
        <v>51</v>
      </c>
      <c r="C24" s="461"/>
      <c r="D24" s="461">
        <v>12</v>
      </c>
      <c r="E24" s="461"/>
      <c r="F24" s="461">
        <f t="shared" si="0"/>
        <v>12</v>
      </c>
    </row>
    <row r="25" spans="1:6" x14ac:dyDescent="0.35">
      <c r="A25" t="s">
        <v>241</v>
      </c>
      <c r="B25" s="846" t="s">
        <v>52</v>
      </c>
      <c r="C25" s="461">
        <v>1</v>
      </c>
      <c r="D25" s="461">
        <v>10</v>
      </c>
      <c r="E25" s="461">
        <v>3</v>
      </c>
      <c r="F25" s="461">
        <f t="shared" si="0"/>
        <v>14</v>
      </c>
    </row>
    <row r="26" spans="1:6" x14ac:dyDescent="0.35">
      <c r="A26" t="s">
        <v>241</v>
      </c>
      <c r="B26" s="846" t="s">
        <v>53</v>
      </c>
      <c r="C26" s="461">
        <v>3</v>
      </c>
      <c r="D26" s="461"/>
      <c r="E26" s="461"/>
      <c r="F26" s="461">
        <f t="shared" si="0"/>
        <v>3</v>
      </c>
    </row>
    <row r="27" spans="1:6" x14ac:dyDescent="0.35">
      <c r="A27" t="s">
        <v>241</v>
      </c>
      <c r="B27" s="846" t="s">
        <v>54</v>
      </c>
      <c r="C27" s="461">
        <v>2</v>
      </c>
      <c r="D27" s="461">
        <v>11</v>
      </c>
      <c r="E27" s="461"/>
      <c r="F27" s="461">
        <f t="shared" si="0"/>
        <v>13</v>
      </c>
    </row>
    <row r="28" spans="1:6" x14ac:dyDescent="0.35">
      <c r="A28" t="s">
        <v>241</v>
      </c>
      <c r="B28" s="846" t="s">
        <v>55</v>
      </c>
      <c r="C28" s="461"/>
      <c r="D28" s="461">
        <v>14</v>
      </c>
      <c r="E28" s="461"/>
      <c r="F28" s="461">
        <f t="shared" si="0"/>
        <v>14</v>
      </c>
    </row>
    <row r="29" spans="1:6" x14ac:dyDescent="0.35">
      <c r="A29" t="s">
        <v>241</v>
      </c>
      <c r="B29" s="846" t="s">
        <v>56</v>
      </c>
      <c r="C29" s="461">
        <v>1</v>
      </c>
      <c r="D29" s="461">
        <v>4</v>
      </c>
      <c r="E29" s="461"/>
      <c r="F29" s="461">
        <f t="shared" si="0"/>
        <v>5</v>
      </c>
    </row>
    <row r="30" spans="1:6" x14ac:dyDescent="0.35">
      <c r="A30" t="s">
        <v>241</v>
      </c>
      <c r="B30" s="846" t="s">
        <v>57</v>
      </c>
      <c r="C30" s="461">
        <v>4</v>
      </c>
      <c r="D30" s="461">
        <v>7</v>
      </c>
      <c r="E30" s="461">
        <v>1</v>
      </c>
      <c r="F30" s="461">
        <f t="shared" si="0"/>
        <v>12</v>
      </c>
    </row>
    <row r="31" spans="1:6" x14ac:dyDescent="0.35">
      <c r="A31" t="s">
        <v>241</v>
      </c>
      <c r="B31" s="846" t="s">
        <v>58</v>
      </c>
      <c r="C31" s="461">
        <v>1</v>
      </c>
      <c r="D31" s="461">
        <v>9</v>
      </c>
      <c r="E31" s="461"/>
      <c r="F31" s="461">
        <f t="shared" si="0"/>
        <v>10</v>
      </c>
    </row>
    <row r="32" spans="1:6" x14ac:dyDescent="0.35">
      <c r="A32" t="s">
        <v>241</v>
      </c>
      <c r="B32" s="846" t="s">
        <v>59</v>
      </c>
      <c r="C32" s="461">
        <v>2</v>
      </c>
      <c r="D32" s="461">
        <v>1</v>
      </c>
      <c r="E32" s="461"/>
      <c r="F32" s="461">
        <f t="shared" si="0"/>
        <v>3</v>
      </c>
    </row>
    <row r="33" spans="1:6" x14ac:dyDescent="0.35">
      <c r="A33" t="s">
        <v>241</v>
      </c>
      <c r="B33" s="846" t="s">
        <v>60</v>
      </c>
      <c r="C33" s="461">
        <v>2</v>
      </c>
      <c r="D33" s="461">
        <v>4</v>
      </c>
      <c r="E33" s="461"/>
      <c r="F33" s="461">
        <f t="shared" si="0"/>
        <v>6</v>
      </c>
    </row>
    <row r="34" spans="1:6" x14ac:dyDescent="0.35">
      <c r="A34" t="s">
        <v>773</v>
      </c>
      <c r="B34" s="846" t="s">
        <v>31</v>
      </c>
      <c r="C34" s="461">
        <v>3</v>
      </c>
      <c r="D34" s="461">
        <v>1</v>
      </c>
      <c r="E34" s="461"/>
      <c r="F34" s="461">
        <f>SUM(C34:E34)</f>
        <v>4</v>
      </c>
    </row>
    <row r="35" spans="1:6" x14ac:dyDescent="0.35">
      <c r="A35" t="s">
        <v>773</v>
      </c>
      <c r="B35" s="846" t="s">
        <v>32</v>
      </c>
      <c r="C35" s="461">
        <v>1</v>
      </c>
      <c r="D35" s="461">
        <v>23</v>
      </c>
      <c r="E35" s="461"/>
      <c r="F35" s="461">
        <f t="shared" ref="F35:F65" si="1">SUM(C35:E35)</f>
        <v>24</v>
      </c>
    </row>
    <row r="36" spans="1:6" x14ac:dyDescent="0.35">
      <c r="A36" t="s">
        <v>773</v>
      </c>
      <c r="B36" s="846" t="s">
        <v>33</v>
      </c>
      <c r="C36" s="461">
        <v>1</v>
      </c>
      <c r="D36" s="461">
        <v>5</v>
      </c>
      <c r="E36" s="461"/>
      <c r="F36" s="461">
        <f t="shared" si="1"/>
        <v>6</v>
      </c>
    </row>
    <row r="37" spans="1:6" x14ac:dyDescent="0.35">
      <c r="A37" t="s">
        <v>773</v>
      </c>
      <c r="B37" s="846" t="s">
        <v>34</v>
      </c>
      <c r="C37" s="461">
        <v>2</v>
      </c>
      <c r="D37" s="461">
        <v>12</v>
      </c>
      <c r="E37" s="461">
        <v>25</v>
      </c>
      <c r="F37" s="461">
        <f t="shared" si="1"/>
        <v>39</v>
      </c>
    </row>
    <row r="38" spans="1:6" x14ac:dyDescent="0.35">
      <c r="A38" t="s">
        <v>773</v>
      </c>
      <c r="B38" s="846" t="s">
        <v>245</v>
      </c>
      <c r="C38" s="461">
        <v>7</v>
      </c>
      <c r="D38" s="461">
        <v>1</v>
      </c>
      <c r="E38" s="461"/>
      <c r="F38" s="461">
        <f t="shared" si="1"/>
        <v>8</v>
      </c>
    </row>
    <row r="39" spans="1:6" x14ac:dyDescent="0.35">
      <c r="A39" t="s">
        <v>773</v>
      </c>
      <c r="B39" s="846" t="s">
        <v>35</v>
      </c>
      <c r="C39" s="461">
        <v>1</v>
      </c>
      <c r="D39" s="461">
        <v>1</v>
      </c>
      <c r="E39" s="461"/>
      <c r="F39" s="461">
        <f t="shared" si="1"/>
        <v>2</v>
      </c>
    </row>
    <row r="40" spans="1:6" x14ac:dyDescent="0.35">
      <c r="A40" t="s">
        <v>773</v>
      </c>
      <c r="B40" s="846" t="s">
        <v>36</v>
      </c>
      <c r="C40" s="461">
        <v>1</v>
      </c>
      <c r="D40" s="461">
        <v>15</v>
      </c>
      <c r="E40" s="461">
        <v>1</v>
      </c>
      <c r="F40" s="461">
        <f t="shared" si="1"/>
        <v>17</v>
      </c>
    </row>
    <row r="41" spans="1:6" x14ac:dyDescent="0.35">
      <c r="A41" t="s">
        <v>773</v>
      </c>
      <c r="B41" s="846" t="s">
        <v>37</v>
      </c>
      <c r="C41" s="461">
        <v>4</v>
      </c>
      <c r="D41" s="461"/>
      <c r="E41" s="461"/>
      <c r="F41" s="461">
        <f t="shared" si="1"/>
        <v>4</v>
      </c>
    </row>
    <row r="42" spans="1:6" x14ac:dyDescent="0.35">
      <c r="A42" t="s">
        <v>773</v>
      </c>
      <c r="B42" s="846" t="s">
        <v>38</v>
      </c>
      <c r="C42" s="461">
        <v>1</v>
      </c>
      <c r="D42" s="461">
        <v>7</v>
      </c>
      <c r="E42" s="461"/>
      <c r="F42" s="461">
        <f t="shared" si="1"/>
        <v>8</v>
      </c>
    </row>
    <row r="43" spans="1:6" x14ac:dyDescent="0.35">
      <c r="A43" t="s">
        <v>773</v>
      </c>
      <c r="B43" s="846" t="s">
        <v>39</v>
      </c>
      <c r="C43" s="461">
        <v>3</v>
      </c>
      <c r="D43" s="461"/>
      <c r="E43" s="461"/>
      <c r="F43" s="461">
        <f t="shared" si="1"/>
        <v>3</v>
      </c>
    </row>
    <row r="44" spans="1:6" x14ac:dyDescent="0.35">
      <c r="A44" t="s">
        <v>773</v>
      </c>
      <c r="B44" s="846" t="s">
        <v>40</v>
      </c>
      <c r="C44" s="461">
        <v>1</v>
      </c>
      <c r="D44" s="461">
        <v>5</v>
      </c>
      <c r="E44" s="461"/>
      <c r="F44" s="461">
        <f t="shared" si="1"/>
        <v>6</v>
      </c>
    </row>
    <row r="45" spans="1:6" x14ac:dyDescent="0.35">
      <c r="A45" t="s">
        <v>773</v>
      </c>
      <c r="B45" s="846" t="s">
        <v>41</v>
      </c>
      <c r="C45" s="461">
        <v>2</v>
      </c>
      <c r="D45" s="461"/>
      <c r="E45" s="461"/>
      <c r="F45" s="461">
        <f t="shared" si="1"/>
        <v>2</v>
      </c>
    </row>
    <row r="46" spans="1:6" x14ac:dyDescent="0.35">
      <c r="A46" t="s">
        <v>773</v>
      </c>
      <c r="B46" s="846" t="s">
        <v>42</v>
      </c>
      <c r="C46" s="461">
        <v>3</v>
      </c>
      <c r="D46" s="461">
        <v>2</v>
      </c>
      <c r="E46" s="461"/>
      <c r="F46" s="461">
        <f t="shared" si="1"/>
        <v>5</v>
      </c>
    </row>
    <row r="47" spans="1:6" x14ac:dyDescent="0.35">
      <c r="A47" t="s">
        <v>773</v>
      </c>
      <c r="B47" s="846" t="s">
        <v>43</v>
      </c>
      <c r="C47" s="461">
        <v>5</v>
      </c>
      <c r="D47" s="461">
        <v>8</v>
      </c>
      <c r="E47" s="461"/>
      <c r="F47" s="461">
        <f t="shared" si="1"/>
        <v>13</v>
      </c>
    </row>
    <row r="48" spans="1:6" x14ac:dyDescent="0.35">
      <c r="A48" t="s">
        <v>773</v>
      </c>
      <c r="B48" s="846" t="s">
        <v>114</v>
      </c>
      <c r="C48" s="461">
        <v>11</v>
      </c>
      <c r="D48" s="461"/>
      <c r="E48" s="461"/>
      <c r="F48" s="461">
        <f t="shared" si="1"/>
        <v>11</v>
      </c>
    </row>
    <row r="49" spans="1:6" x14ac:dyDescent="0.35">
      <c r="A49" t="s">
        <v>773</v>
      </c>
      <c r="B49" s="846" t="s">
        <v>44</v>
      </c>
      <c r="C49" s="461">
        <v>1</v>
      </c>
      <c r="D49" s="461">
        <v>51</v>
      </c>
      <c r="E49" s="461">
        <v>9</v>
      </c>
      <c r="F49" s="461">
        <f t="shared" si="1"/>
        <v>61</v>
      </c>
    </row>
    <row r="50" spans="1:6" x14ac:dyDescent="0.35">
      <c r="A50" t="s">
        <v>773</v>
      </c>
      <c r="B50" s="846" t="s">
        <v>45</v>
      </c>
      <c r="C50" s="461">
        <v>2</v>
      </c>
      <c r="D50" s="461">
        <v>1</v>
      </c>
      <c r="E50" s="461"/>
      <c r="F50" s="461">
        <f t="shared" si="1"/>
        <v>3</v>
      </c>
    </row>
    <row r="51" spans="1:6" x14ac:dyDescent="0.35">
      <c r="A51" t="s">
        <v>773</v>
      </c>
      <c r="B51" s="846" t="s">
        <v>46</v>
      </c>
      <c r="C51" s="461">
        <v>1</v>
      </c>
      <c r="D51" s="461">
        <v>1</v>
      </c>
      <c r="E51" s="461"/>
      <c r="F51" s="461">
        <f t="shared" si="1"/>
        <v>2</v>
      </c>
    </row>
    <row r="52" spans="1:6" x14ac:dyDescent="0.35">
      <c r="A52" t="s">
        <v>773</v>
      </c>
      <c r="B52" s="846" t="s">
        <v>47</v>
      </c>
      <c r="C52" s="461">
        <v>1</v>
      </c>
      <c r="D52" s="461">
        <v>10</v>
      </c>
      <c r="E52" s="461">
        <v>1</v>
      </c>
      <c r="F52" s="461">
        <f t="shared" si="1"/>
        <v>12</v>
      </c>
    </row>
    <row r="53" spans="1:6" x14ac:dyDescent="0.35">
      <c r="A53" t="s">
        <v>773</v>
      </c>
      <c r="B53" s="846" t="s">
        <v>48</v>
      </c>
      <c r="C53" s="461"/>
      <c r="D53" s="461">
        <v>14</v>
      </c>
      <c r="E53" s="461"/>
      <c r="F53" s="461">
        <f t="shared" si="1"/>
        <v>14</v>
      </c>
    </row>
    <row r="54" spans="1:6" x14ac:dyDescent="0.35">
      <c r="A54" t="s">
        <v>773</v>
      </c>
      <c r="B54" s="846" t="s">
        <v>49</v>
      </c>
      <c r="C54" s="461">
        <v>3</v>
      </c>
      <c r="D54" s="461">
        <v>8</v>
      </c>
      <c r="E54" s="461">
        <v>3</v>
      </c>
      <c r="F54" s="461">
        <f t="shared" si="1"/>
        <v>14</v>
      </c>
    </row>
    <row r="55" spans="1:6" x14ac:dyDescent="0.35">
      <c r="A55" t="s">
        <v>773</v>
      </c>
      <c r="B55" s="846" t="s">
        <v>50</v>
      </c>
      <c r="C55" s="461">
        <v>4</v>
      </c>
      <c r="D55" s="461">
        <v>3</v>
      </c>
      <c r="E55" s="461"/>
      <c r="F55" s="461">
        <f t="shared" si="1"/>
        <v>7</v>
      </c>
    </row>
    <row r="56" spans="1:6" x14ac:dyDescent="0.35">
      <c r="A56" t="s">
        <v>773</v>
      </c>
      <c r="B56" s="846" t="s">
        <v>51</v>
      </c>
      <c r="C56" s="461"/>
      <c r="D56" s="461">
        <v>12</v>
      </c>
      <c r="E56" s="461"/>
      <c r="F56" s="461">
        <f t="shared" si="1"/>
        <v>12</v>
      </c>
    </row>
    <row r="57" spans="1:6" x14ac:dyDescent="0.35">
      <c r="A57" t="s">
        <v>773</v>
      </c>
      <c r="B57" s="846" t="s">
        <v>52</v>
      </c>
      <c r="C57" s="461">
        <v>1</v>
      </c>
      <c r="D57" s="461">
        <v>10</v>
      </c>
      <c r="E57" s="461">
        <v>3</v>
      </c>
      <c r="F57" s="461">
        <f t="shared" si="1"/>
        <v>14</v>
      </c>
    </row>
    <row r="58" spans="1:6" x14ac:dyDescent="0.35">
      <c r="A58" t="s">
        <v>773</v>
      </c>
      <c r="B58" s="846" t="s">
        <v>53</v>
      </c>
      <c r="C58" s="461">
        <v>3</v>
      </c>
      <c r="D58" s="461"/>
      <c r="E58" s="461"/>
      <c r="F58" s="461">
        <f t="shared" si="1"/>
        <v>3</v>
      </c>
    </row>
    <row r="59" spans="1:6" x14ac:dyDescent="0.35">
      <c r="A59" t="s">
        <v>773</v>
      </c>
      <c r="B59" s="846" t="s">
        <v>54</v>
      </c>
      <c r="C59" s="461">
        <v>2</v>
      </c>
      <c r="D59" s="461">
        <v>11</v>
      </c>
      <c r="E59" s="461"/>
      <c r="F59" s="461">
        <f t="shared" si="1"/>
        <v>13</v>
      </c>
    </row>
    <row r="60" spans="1:6" x14ac:dyDescent="0.35">
      <c r="A60" t="s">
        <v>773</v>
      </c>
      <c r="B60" s="846" t="s">
        <v>55</v>
      </c>
      <c r="C60" s="461"/>
      <c r="D60" s="461">
        <v>14</v>
      </c>
      <c r="E60" s="461"/>
      <c r="F60" s="461">
        <f t="shared" si="1"/>
        <v>14</v>
      </c>
    </row>
    <row r="61" spans="1:6" x14ac:dyDescent="0.35">
      <c r="A61" t="s">
        <v>773</v>
      </c>
      <c r="B61" s="846" t="s">
        <v>56</v>
      </c>
      <c r="C61" s="461">
        <v>1</v>
      </c>
      <c r="D61" s="461">
        <v>4</v>
      </c>
      <c r="E61" s="461"/>
      <c r="F61" s="461">
        <f t="shared" si="1"/>
        <v>5</v>
      </c>
    </row>
    <row r="62" spans="1:6" x14ac:dyDescent="0.35">
      <c r="A62" t="s">
        <v>773</v>
      </c>
      <c r="B62" s="846" t="s">
        <v>57</v>
      </c>
      <c r="C62" s="461">
        <v>4</v>
      </c>
      <c r="D62" s="461">
        <v>7</v>
      </c>
      <c r="E62" s="461">
        <v>1</v>
      </c>
      <c r="F62" s="461">
        <f t="shared" si="1"/>
        <v>12</v>
      </c>
    </row>
    <row r="63" spans="1:6" x14ac:dyDescent="0.35">
      <c r="A63" t="s">
        <v>773</v>
      </c>
      <c r="B63" s="846" t="s">
        <v>58</v>
      </c>
      <c r="C63" s="461">
        <v>1</v>
      </c>
      <c r="D63" s="461">
        <v>9</v>
      </c>
      <c r="E63" s="461"/>
      <c r="F63" s="461">
        <f t="shared" si="1"/>
        <v>10</v>
      </c>
    </row>
    <row r="64" spans="1:6" x14ac:dyDescent="0.35">
      <c r="A64" t="s">
        <v>773</v>
      </c>
      <c r="B64" s="846" t="s">
        <v>59</v>
      </c>
      <c r="C64" s="461">
        <v>2</v>
      </c>
      <c r="D64" s="461">
        <v>1</v>
      </c>
      <c r="E64" s="461"/>
      <c r="F64" s="461">
        <f t="shared" si="1"/>
        <v>3</v>
      </c>
    </row>
    <row r="65" spans="1:6" x14ac:dyDescent="0.35">
      <c r="A65" t="s">
        <v>773</v>
      </c>
      <c r="B65" s="846" t="s">
        <v>60</v>
      </c>
      <c r="C65" s="461">
        <v>2</v>
      </c>
      <c r="D65" s="461">
        <v>4</v>
      </c>
      <c r="E65" s="461"/>
      <c r="F65" s="461">
        <f t="shared" si="1"/>
        <v>6</v>
      </c>
    </row>
    <row r="66" spans="1:6" x14ac:dyDescent="0.35">
      <c r="A66" t="s">
        <v>951</v>
      </c>
      <c r="B66" s="846" t="s">
        <v>31</v>
      </c>
      <c r="C66" s="461">
        <v>3</v>
      </c>
      <c r="D66" s="461">
        <v>1</v>
      </c>
      <c r="E66" s="461"/>
      <c r="F66" s="461">
        <f>SUM(C66:E66)</f>
        <v>4</v>
      </c>
    </row>
    <row r="67" spans="1:6" x14ac:dyDescent="0.35">
      <c r="A67" t="s">
        <v>951</v>
      </c>
      <c r="B67" s="846" t="s">
        <v>32</v>
      </c>
      <c r="C67" s="461">
        <v>1</v>
      </c>
      <c r="D67" s="461">
        <v>23</v>
      </c>
      <c r="E67" s="461"/>
      <c r="F67" s="461">
        <f t="shared" ref="F67:F97" si="2">SUM(C67:E67)</f>
        <v>24</v>
      </c>
    </row>
    <row r="68" spans="1:6" x14ac:dyDescent="0.35">
      <c r="A68" t="s">
        <v>951</v>
      </c>
      <c r="B68" s="846" t="s">
        <v>33</v>
      </c>
      <c r="C68" s="461">
        <v>1</v>
      </c>
      <c r="D68" s="461">
        <v>5</v>
      </c>
      <c r="E68" s="461"/>
      <c r="F68" s="461">
        <f t="shared" si="2"/>
        <v>6</v>
      </c>
    </row>
    <row r="69" spans="1:6" x14ac:dyDescent="0.35">
      <c r="A69" t="s">
        <v>951</v>
      </c>
      <c r="B69" s="846" t="s">
        <v>34</v>
      </c>
      <c r="C69" s="461">
        <v>2</v>
      </c>
      <c r="D69" s="461">
        <v>12</v>
      </c>
      <c r="E69" s="461">
        <v>25</v>
      </c>
      <c r="F69" s="461">
        <f t="shared" si="2"/>
        <v>39</v>
      </c>
    </row>
    <row r="70" spans="1:6" x14ac:dyDescent="0.35">
      <c r="A70" t="s">
        <v>951</v>
      </c>
      <c r="B70" s="846" t="s">
        <v>245</v>
      </c>
      <c r="C70" s="461">
        <v>7</v>
      </c>
      <c r="D70" s="461">
        <v>1</v>
      </c>
      <c r="E70" s="461"/>
      <c r="F70" s="461">
        <f t="shared" si="2"/>
        <v>8</v>
      </c>
    </row>
    <row r="71" spans="1:6" x14ac:dyDescent="0.35">
      <c r="A71" t="s">
        <v>951</v>
      </c>
      <c r="B71" s="846" t="s">
        <v>35</v>
      </c>
      <c r="C71" s="461">
        <v>1</v>
      </c>
      <c r="D71" s="461">
        <v>1</v>
      </c>
      <c r="E71" s="461"/>
      <c r="F71" s="461">
        <f t="shared" si="2"/>
        <v>2</v>
      </c>
    </row>
    <row r="72" spans="1:6" x14ac:dyDescent="0.35">
      <c r="A72" t="s">
        <v>951</v>
      </c>
      <c r="B72" s="846" t="s">
        <v>36</v>
      </c>
      <c r="C72" s="461">
        <v>1</v>
      </c>
      <c r="D72" s="461">
        <v>15</v>
      </c>
      <c r="E72" s="461">
        <v>1</v>
      </c>
      <c r="F72" s="461">
        <f t="shared" si="2"/>
        <v>17</v>
      </c>
    </row>
    <row r="73" spans="1:6" x14ac:dyDescent="0.35">
      <c r="A73" t="s">
        <v>951</v>
      </c>
      <c r="B73" s="846" t="s">
        <v>37</v>
      </c>
      <c r="C73" s="461">
        <v>4</v>
      </c>
      <c r="D73" s="461"/>
      <c r="E73" s="461"/>
      <c r="F73" s="461">
        <f t="shared" si="2"/>
        <v>4</v>
      </c>
    </row>
    <row r="74" spans="1:6" x14ac:dyDescent="0.35">
      <c r="A74" t="s">
        <v>951</v>
      </c>
      <c r="B74" s="846" t="s">
        <v>38</v>
      </c>
      <c r="C74" s="461">
        <v>1</v>
      </c>
      <c r="D74" s="461">
        <v>7</v>
      </c>
      <c r="E74" s="461"/>
      <c r="F74" s="461">
        <f t="shared" si="2"/>
        <v>8</v>
      </c>
    </row>
    <row r="75" spans="1:6" x14ac:dyDescent="0.35">
      <c r="A75" t="s">
        <v>951</v>
      </c>
      <c r="B75" s="846" t="s">
        <v>39</v>
      </c>
      <c r="C75" s="461">
        <v>3</v>
      </c>
      <c r="D75" s="461"/>
      <c r="E75" s="461"/>
      <c r="F75" s="461">
        <f t="shared" si="2"/>
        <v>3</v>
      </c>
    </row>
    <row r="76" spans="1:6" x14ac:dyDescent="0.35">
      <c r="A76" t="s">
        <v>951</v>
      </c>
      <c r="B76" s="846" t="s">
        <v>40</v>
      </c>
      <c r="C76" s="461">
        <v>1</v>
      </c>
      <c r="D76" s="461">
        <v>5</v>
      </c>
      <c r="E76" s="461"/>
      <c r="F76" s="461">
        <f t="shared" si="2"/>
        <v>6</v>
      </c>
    </row>
    <row r="77" spans="1:6" x14ac:dyDescent="0.35">
      <c r="A77" t="s">
        <v>951</v>
      </c>
      <c r="B77" s="846" t="s">
        <v>41</v>
      </c>
      <c r="C77" s="461">
        <v>2</v>
      </c>
      <c r="D77" s="461"/>
      <c r="E77" s="461"/>
      <c r="F77" s="461">
        <f t="shared" si="2"/>
        <v>2</v>
      </c>
    </row>
    <row r="78" spans="1:6" x14ac:dyDescent="0.35">
      <c r="A78" t="s">
        <v>951</v>
      </c>
      <c r="B78" s="846" t="s">
        <v>42</v>
      </c>
      <c r="C78" s="461">
        <v>3</v>
      </c>
      <c r="D78" s="461">
        <v>2</v>
      </c>
      <c r="E78" s="461"/>
      <c r="F78" s="461">
        <f t="shared" si="2"/>
        <v>5</v>
      </c>
    </row>
    <row r="79" spans="1:6" x14ac:dyDescent="0.35">
      <c r="A79" t="s">
        <v>951</v>
      </c>
      <c r="B79" s="846" t="s">
        <v>43</v>
      </c>
      <c r="C79" s="461">
        <v>5</v>
      </c>
      <c r="D79" s="461">
        <v>8</v>
      </c>
      <c r="E79" s="461"/>
      <c r="F79" s="461">
        <f t="shared" si="2"/>
        <v>13</v>
      </c>
    </row>
    <row r="80" spans="1:6" x14ac:dyDescent="0.35">
      <c r="A80" t="s">
        <v>951</v>
      </c>
      <c r="B80" s="846" t="s">
        <v>114</v>
      </c>
      <c r="C80" s="461">
        <v>11</v>
      </c>
      <c r="D80" s="461"/>
      <c r="E80" s="461"/>
      <c r="F80" s="461">
        <f t="shared" si="2"/>
        <v>11</v>
      </c>
    </row>
    <row r="81" spans="1:6" x14ac:dyDescent="0.35">
      <c r="A81" t="s">
        <v>951</v>
      </c>
      <c r="B81" s="846" t="s">
        <v>44</v>
      </c>
      <c r="C81" s="461">
        <v>1</v>
      </c>
      <c r="D81" s="461">
        <v>51</v>
      </c>
      <c r="E81" s="461">
        <v>9</v>
      </c>
      <c r="F81" s="461">
        <f t="shared" si="2"/>
        <v>61</v>
      </c>
    </row>
    <row r="82" spans="1:6" x14ac:dyDescent="0.35">
      <c r="A82" t="s">
        <v>951</v>
      </c>
      <c r="B82" s="846" t="s">
        <v>45</v>
      </c>
      <c r="C82" s="461">
        <v>2</v>
      </c>
      <c r="D82" s="461">
        <v>1</v>
      </c>
      <c r="E82" s="461"/>
      <c r="F82" s="461">
        <f t="shared" si="2"/>
        <v>3</v>
      </c>
    </row>
    <row r="83" spans="1:6" x14ac:dyDescent="0.35">
      <c r="A83" t="s">
        <v>951</v>
      </c>
      <c r="B83" s="846" t="s">
        <v>46</v>
      </c>
      <c r="C83" s="461">
        <v>1</v>
      </c>
      <c r="D83" s="461">
        <v>1</v>
      </c>
      <c r="E83" s="461"/>
      <c r="F83" s="461">
        <f t="shared" si="2"/>
        <v>2</v>
      </c>
    </row>
    <row r="84" spans="1:6" x14ac:dyDescent="0.35">
      <c r="A84" t="s">
        <v>951</v>
      </c>
      <c r="B84" s="846" t="s">
        <v>47</v>
      </c>
      <c r="C84" s="461">
        <v>1</v>
      </c>
      <c r="D84" s="461">
        <v>10</v>
      </c>
      <c r="E84" s="461">
        <v>1</v>
      </c>
      <c r="F84" s="461">
        <f t="shared" si="2"/>
        <v>12</v>
      </c>
    </row>
    <row r="85" spans="1:6" x14ac:dyDescent="0.35">
      <c r="A85" t="s">
        <v>951</v>
      </c>
      <c r="B85" s="846" t="s">
        <v>48</v>
      </c>
      <c r="C85" s="461"/>
      <c r="D85" s="461">
        <v>14</v>
      </c>
      <c r="E85" s="461"/>
      <c r="F85" s="461">
        <f t="shared" si="2"/>
        <v>14</v>
      </c>
    </row>
    <row r="86" spans="1:6" x14ac:dyDescent="0.35">
      <c r="A86" t="s">
        <v>951</v>
      </c>
      <c r="B86" s="846" t="s">
        <v>49</v>
      </c>
      <c r="C86" s="461">
        <v>3</v>
      </c>
      <c r="D86" s="461">
        <v>8</v>
      </c>
      <c r="E86" s="461">
        <v>3</v>
      </c>
      <c r="F86" s="461">
        <f t="shared" si="2"/>
        <v>14</v>
      </c>
    </row>
    <row r="87" spans="1:6" x14ac:dyDescent="0.35">
      <c r="A87" t="s">
        <v>951</v>
      </c>
      <c r="B87" s="846" t="s">
        <v>50</v>
      </c>
      <c r="C87" s="461">
        <v>4</v>
      </c>
      <c r="D87" s="461">
        <v>3</v>
      </c>
      <c r="E87" s="461"/>
      <c r="F87" s="461">
        <f t="shared" si="2"/>
        <v>7</v>
      </c>
    </row>
    <row r="88" spans="1:6" x14ac:dyDescent="0.35">
      <c r="A88" t="s">
        <v>951</v>
      </c>
      <c r="B88" s="846" t="s">
        <v>51</v>
      </c>
      <c r="C88" s="461"/>
      <c r="D88" s="461">
        <v>12</v>
      </c>
      <c r="E88" s="461"/>
      <c r="F88" s="461">
        <f t="shared" si="2"/>
        <v>12</v>
      </c>
    </row>
    <row r="89" spans="1:6" x14ac:dyDescent="0.35">
      <c r="A89" t="s">
        <v>951</v>
      </c>
      <c r="B89" s="846" t="s">
        <v>52</v>
      </c>
      <c r="C89" s="461">
        <v>1</v>
      </c>
      <c r="D89" s="461">
        <v>10</v>
      </c>
      <c r="E89" s="461">
        <v>3</v>
      </c>
      <c r="F89" s="461">
        <f t="shared" si="2"/>
        <v>14</v>
      </c>
    </row>
    <row r="90" spans="1:6" x14ac:dyDescent="0.35">
      <c r="A90" t="s">
        <v>951</v>
      </c>
      <c r="B90" s="846" t="s">
        <v>53</v>
      </c>
      <c r="C90" s="461">
        <v>3</v>
      </c>
      <c r="D90" s="461"/>
      <c r="E90" s="461"/>
      <c r="F90" s="461">
        <f t="shared" si="2"/>
        <v>3</v>
      </c>
    </row>
    <row r="91" spans="1:6" x14ac:dyDescent="0.35">
      <c r="A91" t="s">
        <v>951</v>
      </c>
      <c r="B91" s="846" t="s">
        <v>54</v>
      </c>
      <c r="C91" s="461">
        <v>2</v>
      </c>
      <c r="D91" s="461">
        <v>11</v>
      </c>
      <c r="E91" s="461"/>
      <c r="F91" s="461">
        <f t="shared" si="2"/>
        <v>13</v>
      </c>
    </row>
    <row r="92" spans="1:6" x14ac:dyDescent="0.35">
      <c r="A92" t="s">
        <v>951</v>
      </c>
      <c r="B92" s="846" t="s">
        <v>55</v>
      </c>
      <c r="C92" s="461"/>
      <c r="D92" s="461">
        <v>14</v>
      </c>
      <c r="E92" s="461"/>
      <c r="F92" s="461">
        <f t="shared" si="2"/>
        <v>14</v>
      </c>
    </row>
    <row r="93" spans="1:6" x14ac:dyDescent="0.35">
      <c r="A93" t="s">
        <v>951</v>
      </c>
      <c r="B93" s="846" t="s">
        <v>56</v>
      </c>
      <c r="C93" s="461">
        <v>1</v>
      </c>
      <c r="D93" s="461">
        <v>4</v>
      </c>
      <c r="E93" s="461"/>
      <c r="F93" s="461">
        <f t="shared" si="2"/>
        <v>5</v>
      </c>
    </row>
    <row r="94" spans="1:6" x14ac:dyDescent="0.35">
      <c r="A94" t="s">
        <v>951</v>
      </c>
      <c r="B94" s="846" t="s">
        <v>57</v>
      </c>
      <c r="C94" s="461">
        <v>4</v>
      </c>
      <c r="D94" s="461">
        <v>7</v>
      </c>
      <c r="E94" s="461">
        <v>1</v>
      </c>
      <c r="F94" s="461">
        <f t="shared" si="2"/>
        <v>12</v>
      </c>
    </row>
    <row r="95" spans="1:6" x14ac:dyDescent="0.35">
      <c r="A95" t="s">
        <v>951</v>
      </c>
      <c r="B95" s="846" t="s">
        <v>58</v>
      </c>
      <c r="C95" s="461">
        <v>1</v>
      </c>
      <c r="D95" s="461">
        <v>9</v>
      </c>
      <c r="E95" s="461"/>
      <c r="F95" s="461">
        <f t="shared" si="2"/>
        <v>10</v>
      </c>
    </row>
    <row r="96" spans="1:6" x14ac:dyDescent="0.35">
      <c r="A96" t="s">
        <v>951</v>
      </c>
      <c r="B96" s="846" t="s">
        <v>59</v>
      </c>
      <c r="C96" s="461">
        <v>2</v>
      </c>
      <c r="D96" s="461">
        <v>1</v>
      </c>
      <c r="E96" s="461"/>
      <c r="F96" s="461">
        <f t="shared" si="2"/>
        <v>3</v>
      </c>
    </row>
    <row r="97" spans="1:6" x14ac:dyDescent="0.35">
      <c r="A97" t="s">
        <v>951</v>
      </c>
      <c r="B97" s="846" t="s">
        <v>60</v>
      </c>
      <c r="C97" s="461">
        <v>2</v>
      </c>
      <c r="D97" s="461">
        <v>4</v>
      </c>
      <c r="E97" s="461"/>
      <c r="F97" s="461">
        <f t="shared" si="2"/>
        <v>6</v>
      </c>
    </row>
    <row r="98" spans="1:6" x14ac:dyDescent="0.35">
      <c r="A98" t="s">
        <v>242</v>
      </c>
      <c r="B98" s="846" t="s">
        <v>31</v>
      </c>
      <c r="C98" s="461">
        <v>3</v>
      </c>
      <c r="D98" s="461">
        <v>1</v>
      </c>
      <c r="E98" s="461"/>
      <c r="F98" s="461">
        <f>SUM(C98:E98)</f>
        <v>4</v>
      </c>
    </row>
    <row r="99" spans="1:6" x14ac:dyDescent="0.35">
      <c r="A99" t="s">
        <v>242</v>
      </c>
      <c r="B99" s="846" t="s">
        <v>32</v>
      </c>
      <c r="C99" s="461">
        <v>1</v>
      </c>
      <c r="D99" s="461">
        <v>23</v>
      </c>
      <c r="E99" s="461"/>
      <c r="F99" s="461">
        <f t="shared" ref="F99:F129" si="3">SUM(C99:E99)</f>
        <v>24</v>
      </c>
    </row>
    <row r="100" spans="1:6" x14ac:dyDescent="0.35">
      <c r="A100" t="s">
        <v>242</v>
      </c>
      <c r="B100" s="846" t="s">
        <v>33</v>
      </c>
      <c r="C100" s="461">
        <v>1</v>
      </c>
      <c r="D100" s="461">
        <v>5</v>
      </c>
      <c r="E100" s="461"/>
      <c r="F100" s="461">
        <f t="shared" si="3"/>
        <v>6</v>
      </c>
    </row>
    <row r="101" spans="1:6" x14ac:dyDescent="0.35">
      <c r="A101" t="s">
        <v>242</v>
      </c>
      <c r="B101" s="846" t="s">
        <v>34</v>
      </c>
      <c r="C101" s="461">
        <v>2</v>
      </c>
      <c r="D101" s="461">
        <v>12</v>
      </c>
      <c r="E101" s="461">
        <v>25</v>
      </c>
      <c r="F101" s="461">
        <f t="shared" si="3"/>
        <v>39</v>
      </c>
    </row>
    <row r="102" spans="1:6" x14ac:dyDescent="0.35">
      <c r="A102" t="s">
        <v>242</v>
      </c>
      <c r="B102" s="846" t="s">
        <v>245</v>
      </c>
      <c r="C102" s="461">
        <v>7</v>
      </c>
      <c r="D102" s="461">
        <v>1</v>
      </c>
      <c r="E102" s="461"/>
      <c r="F102" s="461">
        <f t="shared" si="3"/>
        <v>8</v>
      </c>
    </row>
    <row r="103" spans="1:6" x14ac:dyDescent="0.35">
      <c r="A103" t="s">
        <v>242</v>
      </c>
      <c r="B103" s="846" t="s">
        <v>35</v>
      </c>
      <c r="C103" s="461">
        <v>1</v>
      </c>
      <c r="D103" s="461">
        <v>1</v>
      </c>
      <c r="E103" s="461"/>
      <c r="F103" s="461">
        <f t="shared" si="3"/>
        <v>2</v>
      </c>
    </row>
    <row r="104" spans="1:6" x14ac:dyDescent="0.35">
      <c r="A104" t="s">
        <v>242</v>
      </c>
      <c r="B104" s="846" t="s">
        <v>36</v>
      </c>
      <c r="C104" s="461">
        <v>1</v>
      </c>
      <c r="D104" s="461">
        <v>15</v>
      </c>
      <c r="E104" s="461">
        <v>1</v>
      </c>
      <c r="F104" s="461">
        <f t="shared" si="3"/>
        <v>17</v>
      </c>
    </row>
    <row r="105" spans="1:6" x14ac:dyDescent="0.35">
      <c r="A105" t="s">
        <v>242</v>
      </c>
      <c r="B105" s="846" t="s">
        <v>37</v>
      </c>
      <c r="C105" s="461">
        <v>4</v>
      </c>
      <c r="D105" s="461"/>
      <c r="E105" s="461"/>
      <c r="F105" s="461">
        <f t="shared" si="3"/>
        <v>4</v>
      </c>
    </row>
    <row r="106" spans="1:6" x14ac:dyDescent="0.35">
      <c r="A106" t="s">
        <v>242</v>
      </c>
      <c r="B106" s="846" t="s">
        <v>38</v>
      </c>
      <c r="C106" s="461">
        <v>1</v>
      </c>
      <c r="D106" s="461">
        <v>7</v>
      </c>
      <c r="E106" s="461"/>
      <c r="F106" s="461">
        <f t="shared" si="3"/>
        <v>8</v>
      </c>
    </row>
    <row r="107" spans="1:6" x14ac:dyDescent="0.35">
      <c r="A107" t="s">
        <v>242</v>
      </c>
      <c r="B107" s="846" t="s">
        <v>39</v>
      </c>
      <c r="C107" s="461">
        <v>3</v>
      </c>
      <c r="D107" s="461"/>
      <c r="E107" s="461"/>
      <c r="F107" s="461">
        <f t="shared" si="3"/>
        <v>3</v>
      </c>
    </row>
    <row r="108" spans="1:6" x14ac:dyDescent="0.35">
      <c r="A108" t="s">
        <v>242</v>
      </c>
      <c r="B108" s="846" t="s">
        <v>40</v>
      </c>
      <c r="C108" s="461">
        <v>1</v>
      </c>
      <c r="D108" s="461">
        <v>5</v>
      </c>
      <c r="E108" s="461"/>
      <c r="F108" s="461">
        <f t="shared" si="3"/>
        <v>6</v>
      </c>
    </row>
    <row r="109" spans="1:6" x14ac:dyDescent="0.35">
      <c r="A109" t="s">
        <v>242</v>
      </c>
      <c r="B109" s="846" t="s">
        <v>41</v>
      </c>
      <c r="C109" s="461">
        <v>2</v>
      </c>
      <c r="D109" s="461"/>
      <c r="E109" s="461"/>
      <c r="F109" s="461">
        <f t="shared" si="3"/>
        <v>2</v>
      </c>
    </row>
    <row r="110" spans="1:6" x14ac:dyDescent="0.35">
      <c r="A110" t="s">
        <v>242</v>
      </c>
      <c r="B110" s="846" t="s">
        <v>42</v>
      </c>
      <c r="C110" s="461">
        <v>3</v>
      </c>
      <c r="D110" s="461">
        <v>2</v>
      </c>
      <c r="E110" s="461"/>
      <c r="F110" s="461">
        <f t="shared" si="3"/>
        <v>5</v>
      </c>
    </row>
    <row r="111" spans="1:6" x14ac:dyDescent="0.35">
      <c r="A111" t="s">
        <v>242</v>
      </c>
      <c r="B111" s="846" t="s">
        <v>43</v>
      </c>
      <c r="C111" s="461">
        <v>5</v>
      </c>
      <c r="D111" s="461">
        <v>8</v>
      </c>
      <c r="E111" s="461"/>
      <c r="F111" s="461">
        <f t="shared" si="3"/>
        <v>13</v>
      </c>
    </row>
    <row r="112" spans="1:6" x14ac:dyDescent="0.35">
      <c r="A112" t="s">
        <v>242</v>
      </c>
      <c r="B112" s="846" t="s">
        <v>114</v>
      </c>
      <c r="C112" s="461">
        <v>11</v>
      </c>
      <c r="D112" s="461"/>
      <c r="E112" s="461"/>
      <c r="F112" s="461">
        <f t="shared" si="3"/>
        <v>11</v>
      </c>
    </row>
    <row r="113" spans="1:6" x14ac:dyDescent="0.35">
      <c r="A113" t="s">
        <v>242</v>
      </c>
      <c r="B113" s="846" t="s">
        <v>44</v>
      </c>
      <c r="C113" s="461">
        <v>1</v>
      </c>
      <c r="D113" s="461">
        <v>51</v>
      </c>
      <c r="E113" s="461">
        <v>9</v>
      </c>
      <c r="F113" s="461">
        <f t="shared" si="3"/>
        <v>61</v>
      </c>
    </row>
    <row r="114" spans="1:6" x14ac:dyDescent="0.35">
      <c r="A114" t="s">
        <v>242</v>
      </c>
      <c r="B114" s="846" t="s">
        <v>45</v>
      </c>
      <c r="C114" s="461">
        <v>2</v>
      </c>
      <c r="D114" s="461">
        <v>1</v>
      </c>
      <c r="E114" s="461"/>
      <c r="F114" s="461">
        <f t="shared" si="3"/>
        <v>3</v>
      </c>
    </row>
    <row r="115" spans="1:6" x14ac:dyDescent="0.35">
      <c r="A115" t="s">
        <v>242</v>
      </c>
      <c r="B115" s="846" t="s">
        <v>46</v>
      </c>
      <c r="C115" s="461">
        <v>1</v>
      </c>
      <c r="D115" s="461">
        <v>1</v>
      </c>
      <c r="E115" s="461"/>
      <c r="F115" s="461">
        <f t="shared" si="3"/>
        <v>2</v>
      </c>
    </row>
    <row r="116" spans="1:6" x14ac:dyDescent="0.35">
      <c r="A116" t="s">
        <v>242</v>
      </c>
      <c r="B116" s="846" t="s">
        <v>47</v>
      </c>
      <c r="C116" s="461">
        <v>1</v>
      </c>
      <c r="D116" s="461">
        <v>10</v>
      </c>
      <c r="E116" s="461">
        <v>1</v>
      </c>
      <c r="F116" s="461">
        <f t="shared" si="3"/>
        <v>12</v>
      </c>
    </row>
    <row r="117" spans="1:6" x14ac:dyDescent="0.35">
      <c r="A117" t="s">
        <v>242</v>
      </c>
      <c r="B117" s="846" t="s">
        <v>48</v>
      </c>
      <c r="C117" s="461"/>
      <c r="D117" s="461">
        <v>14</v>
      </c>
      <c r="E117" s="461"/>
      <c r="F117" s="461">
        <f t="shared" si="3"/>
        <v>14</v>
      </c>
    </row>
    <row r="118" spans="1:6" x14ac:dyDescent="0.35">
      <c r="A118" t="s">
        <v>242</v>
      </c>
      <c r="B118" s="846" t="s">
        <v>49</v>
      </c>
      <c r="C118" s="461">
        <v>3</v>
      </c>
      <c r="D118" s="461">
        <v>8</v>
      </c>
      <c r="E118" s="461">
        <v>3</v>
      </c>
      <c r="F118" s="461">
        <f t="shared" si="3"/>
        <v>14</v>
      </c>
    </row>
    <row r="119" spans="1:6" x14ac:dyDescent="0.35">
      <c r="A119" t="s">
        <v>242</v>
      </c>
      <c r="B119" s="846" t="s">
        <v>50</v>
      </c>
      <c r="C119" s="461">
        <v>4</v>
      </c>
      <c r="D119" s="461">
        <v>3</v>
      </c>
      <c r="E119" s="461"/>
      <c r="F119" s="461">
        <f t="shared" si="3"/>
        <v>7</v>
      </c>
    </row>
    <row r="120" spans="1:6" x14ac:dyDescent="0.35">
      <c r="A120" t="s">
        <v>242</v>
      </c>
      <c r="B120" s="846" t="s">
        <v>51</v>
      </c>
      <c r="C120" s="461"/>
      <c r="D120" s="461">
        <v>12</v>
      </c>
      <c r="E120" s="461"/>
      <c r="F120" s="461">
        <f t="shared" si="3"/>
        <v>12</v>
      </c>
    </row>
    <row r="121" spans="1:6" x14ac:dyDescent="0.35">
      <c r="A121" t="s">
        <v>242</v>
      </c>
      <c r="B121" s="846" t="s">
        <v>52</v>
      </c>
      <c r="C121" s="461">
        <v>1</v>
      </c>
      <c r="D121" s="461">
        <v>10</v>
      </c>
      <c r="E121" s="461">
        <v>3</v>
      </c>
      <c r="F121" s="461">
        <f t="shared" si="3"/>
        <v>14</v>
      </c>
    </row>
    <row r="122" spans="1:6" x14ac:dyDescent="0.35">
      <c r="A122" t="s">
        <v>242</v>
      </c>
      <c r="B122" s="846" t="s">
        <v>53</v>
      </c>
      <c r="C122" s="461">
        <v>3</v>
      </c>
      <c r="D122" s="461"/>
      <c r="E122" s="461"/>
      <c r="F122" s="461">
        <f t="shared" si="3"/>
        <v>3</v>
      </c>
    </row>
    <row r="123" spans="1:6" x14ac:dyDescent="0.35">
      <c r="A123" t="s">
        <v>242</v>
      </c>
      <c r="B123" s="846" t="s">
        <v>54</v>
      </c>
      <c r="C123" s="461">
        <v>2</v>
      </c>
      <c r="D123" s="461">
        <v>11</v>
      </c>
      <c r="E123" s="461"/>
      <c r="F123" s="461">
        <f t="shared" si="3"/>
        <v>13</v>
      </c>
    </row>
    <row r="124" spans="1:6" x14ac:dyDescent="0.35">
      <c r="A124" t="s">
        <v>242</v>
      </c>
      <c r="B124" s="846" t="s">
        <v>55</v>
      </c>
      <c r="C124" s="461"/>
      <c r="D124" s="461">
        <v>14</v>
      </c>
      <c r="E124" s="461"/>
      <c r="F124" s="461">
        <f t="shared" si="3"/>
        <v>14</v>
      </c>
    </row>
    <row r="125" spans="1:6" x14ac:dyDescent="0.35">
      <c r="A125" t="s">
        <v>242</v>
      </c>
      <c r="B125" s="846" t="s">
        <v>56</v>
      </c>
      <c r="C125" s="461">
        <v>1</v>
      </c>
      <c r="D125" s="461">
        <v>4</v>
      </c>
      <c r="E125" s="461"/>
      <c r="F125" s="461">
        <f t="shared" si="3"/>
        <v>5</v>
      </c>
    </row>
    <row r="126" spans="1:6" x14ac:dyDescent="0.35">
      <c r="A126" t="s">
        <v>242</v>
      </c>
      <c r="B126" s="846" t="s">
        <v>57</v>
      </c>
      <c r="C126" s="461">
        <v>4</v>
      </c>
      <c r="D126" s="461">
        <v>7</v>
      </c>
      <c r="E126" s="461">
        <v>1</v>
      </c>
      <c r="F126" s="461">
        <f t="shared" si="3"/>
        <v>12</v>
      </c>
    </row>
    <row r="127" spans="1:6" x14ac:dyDescent="0.35">
      <c r="A127" t="s">
        <v>242</v>
      </c>
      <c r="B127" s="846" t="s">
        <v>58</v>
      </c>
      <c r="C127" s="461">
        <v>1</v>
      </c>
      <c r="D127" s="461">
        <v>9</v>
      </c>
      <c r="E127" s="461"/>
      <c r="F127" s="461">
        <f t="shared" si="3"/>
        <v>10</v>
      </c>
    </row>
    <row r="128" spans="1:6" x14ac:dyDescent="0.35">
      <c r="A128" t="s">
        <v>242</v>
      </c>
      <c r="B128" s="846" t="s">
        <v>59</v>
      </c>
      <c r="C128" s="461">
        <v>2</v>
      </c>
      <c r="D128" s="461">
        <v>1</v>
      </c>
      <c r="E128" s="461"/>
      <c r="F128" s="461">
        <f t="shared" si="3"/>
        <v>3</v>
      </c>
    </row>
    <row r="129" spans="1:6" x14ac:dyDescent="0.35">
      <c r="A129" t="s">
        <v>242</v>
      </c>
      <c r="B129" s="846" t="s">
        <v>60</v>
      </c>
      <c r="C129" s="461">
        <v>2</v>
      </c>
      <c r="D129" s="461">
        <v>4</v>
      </c>
      <c r="E129" s="461"/>
      <c r="F129" s="461">
        <f t="shared" si="3"/>
        <v>6</v>
      </c>
    </row>
    <row r="130" spans="1:6" x14ac:dyDescent="0.35">
      <c r="A130" t="s">
        <v>258</v>
      </c>
      <c r="B130" s="846" t="s">
        <v>31</v>
      </c>
      <c r="C130" s="461">
        <v>3</v>
      </c>
      <c r="D130" s="461">
        <v>1</v>
      </c>
      <c r="E130" s="461"/>
      <c r="F130" s="461">
        <f>SUM(C130:E130)</f>
        <v>4</v>
      </c>
    </row>
    <row r="131" spans="1:6" x14ac:dyDescent="0.35">
      <c r="A131" t="s">
        <v>258</v>
      </c>
      <c r="B131" s="846" t="s">
        <v>32</v>
      </c>
      <c r="C131" s="461">
        <v>1</v>
      </c>
      <c r="D131" s="461">
        <v>23</v>
      </c>
      <c r="E131" s="461"/>
      <c r="F131" s="461">
        <f t="shared" ref="F131:F161" si="4">SUM(C131:E131)</f>
        <v>24</v>
      </c>
    </row>
    <row r="132" spans="1:6" x14ac:dyDescent="0.35">
      <c r="A132" t="s">
        <v>258</v>
      </c>
      <c r="B132" s="846" t="s">
        <v>33</v>
      </c>
      <c r="C132" s="461">
        <v>1</v>
      </c>
      <c r="D132" s="461">
        <v>5</v>
      </c>
      <c r="E132" s="461"/>
      <c r="F132" s="461">
        <f t="shared" si="4"/>
        <v>6</v>
      </c>
    </row>
    <row r="133" spans="1:6" x14ac:dyDescent="0.35">
      <c r="A133" t="s">
        <v>258</v>
      </c>
      <c r="B133" s="846" t="s">
        <v>34</v>
      </c>
      <c r="C133" s="461">
        <v>2</v>
      </c>
      <c r="D133" s="461">
        <v>12</v>
      </c>
      <c r="E133" s="461">
        <v>25</v>
      </c>
      <c r="F133" s="461">
        <f t="shared" si="4"/>
        <v>39</v>
      </c>
    </row>
    <row r="134" spans="1:6" x14ac:dyDescent="0.35">
      <c r="A134" t="s">
        <v>258</v>
      </c>
      <c r="B134" s="846" t="s">
        <v>245</v>
      </c>
      <c r="C134" s="461">
        <v>7</v>
      </c>
      <c r="D134" s="461">
        <v>1</v>
      </c>
      <c r="E134" s="461"/>
      <c r="F134" s="461">
        <f t="shared" si="4"/>
        <v>8</v>
      </c>
    </row>
    <row r="135" spans="1:6" x14ac:dyDescent="0.35">
      <c r="A135" t="s">
        <v>258</v>
      </c>
      <c r="B135" s="846" t="s">
        <v>35</v>
      </c>
      <c r="C135" s="461">
        <v>1</v>
      </c>
      <c r="D135" s="461">
        <v>1</v>
      </c>
      <c r="E135" s="461"/>
      <c r="F135" s="461">
        <f t="shared" si="4"/>
        <v>2</v>
      </c>
    </row>
    <row r="136" spans="1:6" x14ac:dyDescent="0.35">
      <c r="A136" t="s">
        <v>258</v>
      </c>
      <c r="B136" s="846" t="s">
        <v>36</v>
      </c>
      <c r="C136" s="461">
        <v>1</v>
      </c>
      <c r="D136" s="461">
        <v>15</v>
      </c>
      <c r="E136" s="461">
        <v>1</v>
      </c>
      <c r="F136" s="461">
        <f t="shared" si="4"/>
        <v>17</v>
      </c>
    </row>
    <row r="137" spans="1:6" x14ac:dyDescent="0.35">
      <c r="A137" t="s">
        <v>258</v>
      </c>
      <c r="B137" s="846" t="s">
        <v>37</v>
      </c>
      <c r="C137" s="461">
        <v>4</v>
      </c>
      <c r="D137" s="461"/>
      <c r="E137" s="461"/>
      <c r="F137" s="461">
        <f t="shared" si="4"/>
        <v>4</v>
      </c>
    </row>
    <row r="138" spans="1:6" x14ac:dyDescent="0.35">
      <c r="A138" t="s">
        <v>258</v>
      </c>
      <c r="B138" s="846" t="s">
        <v>38</v>
      </c>
      <c r="C138" s="461">
        <v>1</v>
      </c>
      <c r="D138" s="461">
        <v>7</v>
      </c>
      <c r="E138" s="461"/>
      <c r="F138" s="461">
        <f t="shared" si="4"/>
        <v>8</v>
      </c>
    </row>
    <row r="139" spans="1:6" x14ac:dyDescent="0.35">
      <c r="A139" t="s">
        <v>258</v>
      </c>
      <c r="B139" s="846" t="s">
        <v>39</v>
      </c>
      <c r="C139" s="461">
        <v>3</v>
      </c>
      <c r="D139" s="461"/>
      <c r="E139" s="461"/>
      <c r="F139" s="461">
        <f t="shared" si="4"/>
        <v>3</v>
      </c>
    </row>
    <row r="140" spans="1:6" x14ac:dyDescent="0.35">
      <c r="A140" t="s">
        <v>258</v>
      </c>
      <c r="B140" s="846" t="s">
        <v>40</v>
      </c>
      <c r="C140" s="461">
        <v>1</v>
      </c>
      <c r="D140" s="461">
        <v>5</v>
      </c>
      <c r="E140" s="461"/>
      <c r="F140" s="461">
        <f t="shared" si="4"/>
        <v>6</v>
      </c>
    </row>
    <row r="141" spans="1:6" x14ac:dyDescent="0.35">
      <c r="A141" t="s">
        <v>258</v>
      </c>
      <c r="B141" s="846" t="s">
        <v>41</v>
      </c>
      <c r="C141" s="461">
        <v>2</v>
      </c>
      <c r="D141" s="461"/>
      <c r="E141" s="461"/>
      <c r="F141" s="461">
        <f t="shared" si="4"/>
        <v>2</v>
      </c>
    </row>
    <row r="142" spans="1:6" x14ac:dyDescent="0.35">
      <c r="A142" t="s">
        <v>258</v>
      </c>
      <c r="B142" s="846" t="s">
        <v>42</v>
      </c>
      <c r="C142" s="461">
        <v>3</v>
      </c>
      <c r="D142" s="461">
        <v>2</v>
      </c>
      <c r="E142" s="461"/>
      <c r="F142" s="461">
        <f t="shared" si="4"/>
        <v>5</v>
      </c>
    </row>
    <row r="143" spans="1:6" x14ac:dyDescent="0.35">
      <c r="A143" t="s">
        <v>258</v>
      </c>
      <c r="B143" s="846" t="s">
        <v>43</v>
      </c>
      <c r="C143" s="461">
        <v>5</v>
      </c>
      <c r="D143" s="461">
        <v>8</v>
      </c>
      <c r="E143" s="461"/>
      <c r="F143" s="461">
        <f t="shared" si="4"/>
        <v>13</v>
      </c>
    </row>
    <row r="144" spans="1:6" x14ac:dyDescent="0.35">
      <c r="A144" t="s">
        <v>258</v>
      </c>
      <c r="B144" s="846" t="s">
        <v>114</v>
      </c>
      <c r="C144" s="461">
        <v>11</v>
      </c>
      <c r="D144" s="461"/>
      <c r="E144" s="461"/>
      <c r="F144" s="461">
        <f t="shared" si="4"/>
        <v>11</v>
      </c>
    </row>
    <row r="145" spans="1:6" x14ac:dyDescent="0.35">
      <c r="A145" t="s">
        <v>258</v>
      </c>
      <c r="B145" s="846" t="s">
        <v>44</v>
      </c>
      <c r="C145" s="461">
        <v>1</v>
      </c>
      <c r="D145" s="461">
        <v>51</v>
      </c>
      <c r="E145" s="461">
        <v>9</v>
      </c>
      <c r="F145" s="461">
        <f t="shared" si="4"/>
        <v>61</v>
      </c>
    </row>
    <row r="146" spans="1:6" x14ac:dyDescent="0.35">
      <c r="A146" t="s">
        <v>258</v>
      </c>
      <c r="B146" s="846" t="s">
        <v>45</v>
      </c>
      <c r="C146" s="461">
        <v>2</v>
      </c>
      <c r="D146" s="461">
        <v>1</v>
      </c>
      <c r="E146" s="461"/>
      <c r="F146" s="461">
        <f t="shared" si="4"/>
        <v>3</v>
      </c>
    </row>
    <row r="147" spans="1:6" x14ac:dyDescent="0.35">
      <c r="A147" t="s">
        <v>258</v>
      </c>
      <c r="B147" s="846" t="s">
        <v>46</v>
      </c>
      <c r="C147" s="461">
        <v>1</v>
      </c>
      <c r="D147" s="461">
        <v>1</v>
      </c>
      <c r="E147" s="461"/>
      <c r="F147" s="461">
        <f t="shared" si="4"/>
        <v>2</v>
      </c>
    </row>
    <row r="148" spans="1:6" x14ac:dyDescent="0.35">
      <c r="A148" t="s">
        <v>258</v>
      </c>
      <c r="B148" s="846" t="s">
        <v>47</v>
      </c>
      <c r="C148" s="461">
        <v>1</v>
      </c>
      <c r="D148" s="461">
        <v>10</v>
      </c>
      <c r="E148" s="461">
        <v>1</v>
      </c>
      <c r="F148" s="461">
        <f t="shared" si="4"/>
        <v>12</v>
      </c>
    </row>
    <row r="149" spans="1:6" x14ac:dyDescent="0.35">
      <c r="A149" t="s">
        <v>258</v>
      </c>
      <c r="B149" s="846" t="s">
        <v>48</v>
      </c>
      <c r="C149" s="461"/>
      <c r="D149" s="461">
        <v>14</v>
      </c>
      <c r="E149" s="461"/>
      <c r="F149" s="461">
        <f t="shared" si="4"/>
        <v>14</v>
      </c>
    </row>
    <row r="150" spans="1:6" x14ac:dyDescent="0.35">
      <c r="A150" t="s">
        <v>258</v>
      </c>
      <c r="B150" s="846" t="s">
        <v>49</v>
      </c>
      <c r="C150" s="461">
        <v>3</v>
      </c>
      <c r="D150" s="461">
        <v>8</v>
      </c>
      <c r="E150" s="461">
        <v>3</v>
      </c>
      <c r="F150" s="461">
        <f t="shared" si="4"/>
        <v>14</v>
      </c>
    </row>
    <row r="151" spans="1:6" x14ac:dyDescent="0.35">
      <c r="A151" t="s">
        <v>258</v>
      </c>
      <c r="B151" s="846" t="s">
        <v>50</v>
      </c>
      <c r="C151" s="461">
        <v>4</v>
      </c>
      <c r="D151" s="461">
        <v>3</v>
      </c>
      <c r="E151" s="461"/>
      <c r="F151" s="461">
        <f t="shared" si="4"/>
        <v>7</v>
      </c>
    </row>
    <row r="152" spans="1:6" x14ac:dyDescent="0.35">
      <c r="A152" t="s">
        <v>258</v>
      </c>
      <c r="B152" s="846" t="s">
        <v>51</v>
      </c>
      <c r="C152" s="461"/>
      <c r="D152" s="461">
        <v>12</v>
      </c>
      <c r="E152" s="461"/>
      <c r="F152" s="461">
        <f t="shared" si="4"/>
        <v>12</v>
      </c>
    </row>
    <row r="153" spans="1:6" x14ac:dyDescent="0.35">
      <c r="A153" t="s">
        <v>258</v>
      </c>
      <c r="B153" s="846" t="s">
        <v>52</v>
      </c>
      <c r="C153" s="461">
        <v>1</v>
      </c>
      <c r="D153" s="461">
        <v>10</v>
      </c>
      <c r="E153" s="461">
        <v>3</v>
      </c>
      <c r="F153" s="461">
        <f t="shared" si="4"/>
        <v>14</v>
      </c>
    </row>
    <row r="154" spans="1:6" x14ac:dyDescent="0.35">
      <c r="A154" t="s">
        <v>258</v>
      </c>
      <c r="B154" s="846" t="s">
        <v>53</v>
      </c>
      <c r="C154" s="461">
        <v>3</v>
      </c>
      <c r="D154" s="461"/>
      <c r="E154" s="461"/>
      <c r="F154" s="461">
        <f t="shared" si="4"/>
        <v>3</v>
      </c>
    </row>
    <row r="155" spans="1:6" x14ac:dyDescent="0.35">
      <c r="A155" t="s">
        <v>258</v>
      </c>
      <c r="B155" s="846" t="s">
        <v>54</v>
      </c>
      <c r="C155" s="461">
        <v>2</v>
      </c>
      <c r="D155" s="461">
        <v>11</v>
      </c>
      <c r="E155" s="461"/>
      <c r="F155" s="461">
        <f t="shared" si="4"/>
        <v>13</v>
      </c>
    </row>
    <row r="156" spans="1:6" x14ac:dyDescent="0.35">
      <c r="A156" t="s">
        <v>258</v>
      </c>
      <c r="B156" s="846" t="s">
        <v>55</v>
      </c>
      <c r="C156" s="461"/>
      <c r="D156" s="461">
        <v>14</v>
      </c>
      <c r="E156" s="461"/>
      <c r="F156" s="461">
        <f t="shared" si="4"/>
        <v>14</v>
      </c>
    </row>
    <row r="157" spans="1:6" x14ac:dyDescent="0.35">
      <c r="A157" t="s">
        <v>258</v>
      </c>
      <c r="B157" s="846" t="s">
        <v>56</v>
      </c>
      <c r="C157" s="461">
        <v>1</v>
      </c>
      <c r="D157" s="461">
        <v>4</v>
      </c>
      <c r="E157" s="461"/>
      <c r="F157" s="461">
        <f t="shared" si="4"/>
        <v>5</v>
      </c>
    </row>
    <row r="158" spans="1:6" x14ac:dyDescent="0.35">
      <c r="A158" t="s">
        <v>258</v>
      </c>
      <c r="B158" s="846" t="s">
        <v>57</v>
      </c>
      <c r="C158" s="461">
        <v>4</v>
      </c>
      <c r="D158" s="461">
        <v>7</v>
      </c>
      <c r="E158" s="461">
        <v>1</v>
      </c>
      <c r="F158" s="461">
        <f t="shared" si="4"/>
        <v>12</v>
      </c>
    </row>
    <row r="159" spans="1:6" x14ac:dyDescent="0.35">
      <c r="A159" t="s">
        <v>258</v>
      </c>
      <c r="B159" s="846" t="s">
        <v>58</v>
      </c>
      <c r="C159" s="461">
        <v>1</v>
      </c>
      <c r="D159" s="461">
        <v>9</v>
      </c>
      <c r="E159" s="461"/>
      <c r="F159" s="461">
        <f t="shared" si="4"/>
        <v>10</v>
      </c>
    </row>
    <row r="160" spans="1:6" x14ac:dyDescent="0.35">
      <c r="A160" t="s">
        <v>258</v>
      </c>
      <c r="B160" s="846" t="s">
        <v>59</v>
      </c>
      <c r="C160" s="461">
        <v>2</v>
      </c>
      <c r="D160" s="461">
        <v>1</v>
      </c>
      <c r="E160" s="461"/>
      <c r="F160" s="461">
        <f t="shared" si="4"/>
        <v>3</v>
      </c>
    </row>
    <row r="161" spans="1:6" x14ac:dyDescent="0.35">
      <c r="A161" t="s">
        <v>258</v>
      </c>
      <c r="B161" s="846" t="s">
        <v>60</v>
      </c>
      <c r="C161" s="461">
        <v>2</v>
      </c>
      <c r="D161" s="461">
        <v>4</v>
      </c>
      <c r="E161" s="461"/>
      <c r="F161" s="461">
        <f t="shared" si="4"/>
        <v>6</v>
      </c>
    </row>
    <row r="162" spans="1:6" x14ac:dyDescent="0.35">
      <c r="A162" t="s">
        <v>192</v>
      </c>
      <c r="B162" s="846" t="s">
        <v>31</v>
      </c>
      <c r="C162" s="461">
        <v>3</v>
      </c>
      <c r="D162" s="461">
        <v>1</v>
      </c>
      <c r="E162" s="461"/>
      <c r="F162" s="461">
        <f>SUM(C162:E162)</f>
        <v>4</v>
      </c>
    </row>
    <row r="163" spans="1:6" x14ac:dyDescent="0.35">
      <c r="A163" t="s">
        <v>192</v>
      </c>
      <c r="B163" s="846" t="s">
        <v>32</v>
      </c>
      <c r="C163" s="461">
        <v>1</v>
      </c>
      <c r="D163" s="461">
        <v>23</v>
      </c>
      <c r="E163" s="461"/>
      <c r="F163" s="461">
        <f t="shared" ref="F163:F193" si="5">SUM(C163:E163)</f>
        <v>24</v>
      </c>
    </row>
    <row r="164" spans="1:6" x14ac:dyDescent="0.35">
      <c r="A164" t="s">
        <v>192</v>
      </c>
      <c r="B164" s="846" t="s">
        <v>33</v>
      </c>
      <c r="C164" s="461">
        <v>1</v>
      </c>
      <c r="D164" s="461">
        <v>5</v>
      </c>
      <c r="E164" s="461"/>
      <c r="F164" s="461">
        <f t="shared" si="5"/>
        <v>6</v>
      </c>
    </row>
    <row r="165" spans="1:6" x14ac:dyDescent="0.35">
      <c r="A165" t="s">
        <v>192</v>
      </c>
      <c r="B165" s="846" t="s">
        <v>34</v>
      </c>
      <c r="C165" s="461">
        <v>2</v>
      </c>
      <c r="D165" s="461">
        <v>12</v>
      </c>
      <c r="E165" s="461">
        <v>25</v>
      </c>
      <c r="F165" s="461">
        <f t="shared" si="5"/>
        <v>39</v>
      </c>
    </row>
    <row r="166" spans="1:6" x14ac:dyDescent="0.35">
      <c r="A166" t="s">
        <v>192</v>
      </c>
      <c r="B166" s="846" t="s">
        <v>245</v>
      </c>
      <c r="C166" s="461">
        <v>7</v>
      </c>
      <c r="D166" s="461">
        <v>1</v>
      </c>
      <c r="E166" s="461"/>
      <c r="F166" s="461">
        <f t="shared" si="5"/>
        <v>8</v>
      </c>
    </row>
    <row r="167" spans="1:6" x14ac:dyDescent="0.35">
      <c r="A167" t="s">
        <v>192</v>
      </c>
      <c r="B167" s="846" t="s">
        <v>35</v>
      </c>
      <c r="C167" s="461">
        <v>1</v>
      </c>
      <c r="D167" s="461">
        <v>1</v>
      </c>
      <c r="E167" s="461"/>
      <c r="F167" s="461">
        <f t="shared" si="5"/>
        <v>2</v>
      </c>
    </row>
    <row r="168" spans="1:6" x14ac:dyDescent="0.35">
      <c r="A168" t="s">
        <v>192</v>
      </c>
      <c r="B168" s="846" t="s">
        <v>36</v>
      </c>
      <c r="C168" s="461">
        <v>1</v>
      </c>
      <c r="D168" s="461">
        <v>15</v>
      </c>
      <c r="E168" s="461">
        <v>1</v>
      </c>
      <c r="F168" s="461">
        <f t="shared" si="5"/>
        <v>17</v>
      </c>
    </row>
    <row r="169" spans="1:6" x14ac:dyDescent="0.35">
      <c r="A169" t="s">
        <v>192</v>
      </c>
      <c r="B169" s="846" t="s">
        <v>37</v>
      </c>
      <c r="C169" s="461">
        <v>4</v>
      </c>
      <c r="D169" s="461"/>
      <c r="E169" s="461"/>
      <c r="F169" s="461">
        <f t="shared" si="5"/>
        <v>4</v>
      </c>
    </row>
    <row r="170" spans="1:6" x14ac:dyDescent="0.35">
      <c r="A170" t="s">
        <v>192</v>
      </c>
      <c r="B170" s="846" t="s">
        <v>38</v>
      </c>
      <c r="C170" s="461">
        <v>1</v>
      </c>
      <c r="D170" s="461">
        <v>7</v>
      </c>
      <c r="E170" s="461"/>
      <c r="F170" s="461">
        <f t="shared" si="5"/>
        <v>8</v>
      </c>
    </row>
    <row r="171" spans="1:6" x14ac:dyDescent="0.35">
      <c r="A171" t="s">
        <v>192</v>
      </c>
      <c r="B171" s="846" t="s">
        <v>39</v>
      </c>
      <c r="C171" s="461">
        <v>3</v>
      </c>
      <c r="D171" s="461"/>
      <c r="E171" s="461"/>
      <c r="F171" s="461">
        <f t="shared" si="5"/>
        <v>3</v>
      </c>
    </row>
    <row r="172" spans="1:6" x14ac:dyDescent="0.35">
      <c r="A172" t="s">
        <v>192</v>
      </c>
      <c r="B172" s="846" t="s">
        <v>40</v>
      </c>
      <c r="C172" s="461">
        <v>1</v>
      </c>
      <c r="D172" s="461">
        <v>5</v>
      </c>
      <c r="E172" s="461"/>
      <c r="F172" s="461">
        <f t="shared" si="5"/>
        <v>6</v>
      </c>
    </row>
    <row r="173" spans="1:6" x14ac:dyDescent="0.35">
      <c r="A173" t="s">
        <v>192</v>
      </c>
      <c r="B173" s="846" t="s">
        <v>41</v>
      </c>
      <c r="C173" s="461">
        <v>2</v>
      </c>
      <c r="D173" s="461"/>
      <c r="E173" s="461"/>
      <c r="F173" s="461">
        <f t="shared" si="5"/>
        <v>2</v>
      </c>
    </row>
    <row r="174" spans="1:6" x14ac:dyDescent="0.35">
      <c r="A174" t="s">
        <v>192</v>
      </c>
      <c r="B174" s="846" t="s">
        <v>42</v>
      </c>
      <c r="C174" s="461">
        <v>3</v>
      </c>
      <c r="D174" s="461">
        <v>2</v>
      </c>
      <c r="E174" s="461"/>
      <c r="F174" s="461">
        <f t="shared" si="5"/>
        <v>5</v>
      </c>
    </row>
    <row r="175" spans="1:6" x14ac:dyDescent="0.35">
      <c r="A175" t="s">
        <v>192</v>
      </c>
      <c r="B175" s="846" t="s">
        <v>43</v>
      </c>
      <c r="C175" s="461">
        <v>5</v>
      </c>
      <c r="D175" s="461">
        <v>8</v>
      </c>
      <c r="E175" s="461"/>
      <c r="F175" s="461">
        <f t="shared" si="5"/>
        <v>13</v>
      </c>
    </row>
    <row r="176" spans="1:6" x14ac:dyDescent="0.35">
      <c r="A176" t="s">
        <v>192</v>
      </c>
      <c r="B176" s="846" t="s">
        <v>114</v>
      </c>
      <c r="C176" s="461">
        <v>11</v>
      </c>
      <c r="D176" s="461"/>
      <c r="E176" s="461"/>
      <c r="F176" s="461">
        <f t="shared" si="5"/>
        <v>11</v>
      </c>
    </row>
    <row r="177" spans="1:6" x14ac:dyDescent="0.35">
      <c r="A177" t="s">
        <v>192</v>
      </c>
      <c r="B177" s="846" t="s">
        <v>44</v>
      </c>
      <c r="C177" s="461">
        <v>1</v>
      </c>
      <c r="D177" s="461">
        <v>51</v>
      </c>
      <c r="E177" s="461">
        <v>9</v>
      </c>
      <c r="F177" s="461">
        <f t="shared" si="5"/>
        <v>61</v>
      </c>
    </row>
    <row r="178" spans="1:6" x14ac:dyDescent="0.35">
      <c r="A178" t="s">
        <v>192</v>
      </c>
      <c r="B178" s="846" t="s">
        <v>45</v>
      </c>
      <c r="C178" s="461">
        <v>2</v>
      </c>
      <c r="D178" s="461">
        <v>1</v>
      </c>
      <c r="E178" s="461"/>
      <c r="F178" s="461">
        <f t="shared" si="5"/>
        <v>3</v>
      </c>
    </row>
    <row r="179" spans="1:6" x14ac:dyDescent="0.35">
      <c r="A179" t="s">
        <v>192</v>
      </c>
      <c r="B179" s="846" t="s">
        <v>46</v>
      </c>
      <c r="C179" s="461">
        <v>1</v>
      </c>
      <c r="D179" s="461">
        <v>1</v>
      </c>
      <c r="E179" s="461"/>
      <c r="F179" s="461">
        <f t="shared" si="5"/>
        <v>2</v>
      </c>
    </row>
    <row r="180" spans="1:6" x14ac:dyDescent="0.35">
      <c r="A180" t="s">
        <v>192</v>
      </c>
      <c r="B180" s="846" t="s">
        <v>47</v>
      </c>
      <c r="C180" s="461">
        <v>1</v>
      </c>
      <c r="D180" s="461">
        <v>10</v>
      </c>
      <c r="E180" s="461">
        <v>1</v>
      </c>
      <c r="F180" s="461">
        <f t="shared" si="5"/>
        <v>12</v>
      </c>
    </row>
    <row r="181" spans="1:6" x14ac:dyDescent="0.35">
      <c r="A181" t="s">
        <v>192</v>
      </c>
      <c r="B181" s="846" t="s">
        <v>48</v>
      </c>
      <c r="C181" s="461"/>
      <c r="D181" s="461">
        <v>14</v>
      </c>
      <c r="E181" s="461"/>
      <c r="F181" s="461">
        <f t="shared" si="5"/>
        <v>14</v>
      </c>
    </row>
    <row r="182" spans="1:6" x14ac:dyDescent="0.35">
      <c r="A182" t="s">
        <v>192</v>
      </c>
      <c r="B182" s="846" t="s">
        <v>49</v>
      </c>
      <c r="C182" s="461">
        <v>3</v>
      </c>
      <c r="D182" s="461">
        <v>8</v>
      </c>
      <c r="E182" s="461">
        <v>3</v>
      </c>
      <c r="F182" s="461">
        <f t="shared" si="5"/>
        <v>14</v>
      </c>
    </row>
    <row r="183" spans="1:6" x14ac:dyDescent="0.35">
      <c r="A183" t="s">
        <v>192</v>
      </c>
      <c r="B183" s="846" t="s">
        <v>50</v>
      </c>
      <c r="C183" s="461">
        <v>4</v>
      </c>
      <c r="D183" s="461">
        <v>3</v>
      </c>
      <c r="E183" s="461"/>
      <c r="F183" s="461">
        <f t="shared" si="5"/>
        <v>7</v>
      </c>
    </row>
    <row r="184" spans="1:6" x14ac:dyDescent="0.35">
      <c r="A184" t="s">
        <v>192</v>
      </c>
      <c r="B184" s="846" t="s">
        <v>51</v>
      </c>
      <c r="C184" s="461"/>
      <c r="D184" s="461">
        <v>12</v>
      </c>
      <c r="E184" s="461"/>
      <c r="F184" s="461">
        <f t="shared" si="5"/>
        <v>12</v>
      </c>
    </row>
    <row r="185" spans="1:6" x14ac:dyDescent="0.35">
      <c r="A185" t="s">
        <v>192</v>
      </c>
      <c r="B185" s="846" t="s">
        <v>52</v>
      </c>
      <c r="C185" s="461">
        <v>1</v>
      </c>
      <c r="D185" s="461">
        <v>10</v>
      </c>
      <c r="E185" s="461">
        <v>3</v>
      </c>
      <c r="F185" s="461">
        <f t="shared" si="5"/>
        <v>14</v>
      </c>
    </row>
    <row r="186" spans="1:6" x14ac:dyDescent="0.35">
      <c r="A186" t="s">
        <v>192</v>
      </c>
      <c r="B186" s="846" t="s">
        <v>53</v>
      </c>
      <c r="C186" s="461">
        <v>3</v>
      </c>
      <c r="D186" s="461"/>
      <c r="E186" s="461"/>
      <c r="F186" s="461">
        <f t="shared" si="5"/>
        <v>3</v>
      </c>
    </row>
    <row r="187" spans="1:6" x14ac:dyDescent="0.35">
      <c r="A187" t="s">
        <v>192</v>
      </c>
      <c r="B187" s="846" t="s">
        <v>54</v>
      </c>
      <c r="C187" s="461">
        <v>2</v>
      </c>
      <c r="D187" s="461">
        <v>11</v>
      </c>
      <c r="E187" s="461"/>
      <c r="F187" s="461">
        <f t="shared" si="5"/>
        <v>13</v>
      </c>
    </row>
    <row r="188" spans="1:6" x14ac:dyDescent="0.35">
      <c r="A188" t="s">
        <v>192</v>
      </c>
      <c r="B188" s="846" t="s">
        <v>55</v>
      </c>
      <c r="C188" s="461"/>
      <c r="D188" s="461">
        <v>14</v>
      </c>
      <c r="E188" s="461"/>
      <c r="F188" s="461">
        <f t="shared" si="5"/>
        <v>14</v>
      </c>
    </row>
    <row r="189" spans="1:6" x14ac:dyDescent="0.35">
      <c r="A189" t="s">
        <v>192</v>
      </c>
      <c r="B189" s="846" t="s">
        <v>56</v>
      </c>
      <c r="C189" s="461">
        <v>1</v>
      </c>
      <c r="D189" s="461">
        <v>4</v>
      </c>
      <c r="E189" s="461"/>
      <c r="F189" s="461">
        <f t="shared" si="5"/>
        <v>5</v>
      </c>
    </row>
    <row r="190" spans="1:6" x14ac:dyDescent="0.35">
      <c r="A190" t="s">
        <v>192</v>
      </c>
      <c r="B190" s="846" t="s">
        <v>57</v>
      </c>
      <c r="C190" s="461">
        <v>4</v>
      </c>
      <c r="D190" s="461">
        <v>7</v>
      </c>
      <c r="E190" s="461">
        <v>1</v>
      </c>
      <c r="F190" s="461">
        <f t="shared" si="5"/>
        <v>12</v>
      </c>
    </row>
    <row r="191" spans="1:6" x14ac:dyDescent="0.35">
      <c r="A191" t="s">
        <v>192</v>
      </c>
      <c r="B191" s="846" t="s">
        <v>58</v>
      </c>
      <c r="C191" s="461">
        <v>1</v>
      </c>
      <c r="D191" s="461">
        <v>9</v>
      </c>
      <c r="E191" s="461"/>
      <c r="F191" s="461">
        <f t="shared" si="5"/>
        <v>10</v>
      </c>
    </row>
    <row r="192" spans="1:6" x14ac:dyDescent="0.35">
      <c r="A192" t="s">
        <v>192</v>
      </c>
      <c r="B192" s="846" t="s">
        <v>59</v>
      </c>
      <c r="C192" s="461">
        <v>2</v>
      </c>
      <c r="D192" s="461">
        <v>1</v>
      </c>
      <c r="E192" s="461"/>
      <c r="F192" s="461">
        <f t="shared" si="5"/>
        <v>3</v>
      </c>
    </row>
    <row r="193" spans="1:6" x14ac:dyDescent="0.35">
      <c r="A193" t="s">
        <v>192</v>
      </c>
      <c r="B193" s="846" t="s">
        <v>60</v>
      </c>
      <c r="C193" s="461">
        <v>2</v>
      </c>
      <c r="D193" s="461">
        <v>4</v>
      </c>
      <c r="E193" s="461"/>
      <c r="F193" s="461">
        <f t="shared" si="5"/>
        <v>6</v>
      </c>
    </row>
    <row r="194" spans="1:6" x14ac:dyDescent="0.35">
      <c r="A194" t="s">
        <v>193</v>
      </c>
      <c r="B194" s="846" t="s">
        <v>31</v>
      </c>
      <c r="C194" s="461">
        <v>3</v>
      </c>
      <c r="D194" s="461">
        <v>1</v>
      </c>
      <c r="E194" s="461"/>
      <c r="F194" s="461">
        <f>SUM(C194:E194)</f>
        <v>4</v>
      </c>
    </row>
    <row r="195" spans="1:6" x14ac:dyDescent="0.35">
      <c r="A195" t="s">
        <v>193</v>
      </c>
      <c r="B195" s="846" t="s">
        <v>32</v>
      </c>
      <c r="C195" s="461">
        <v>1</v>
      </c>
      <c r="D195" s="461">
        <v>23</v>
      </c>
      <c r="E195" s="461"/>
      <c r="F195" s="461">
        <f t="shared" ref="F195:F225" si="6">SUM(C195:E195)</f>
        <v>24</v>
      </c>
    </row>
    <row r="196" spans="1:6" x14ac:dyDescent="0.35">
      <c r="A196" t="s">
        <v>193</v>
      </c>
      <c r="B196" s="846" t="s">
        <v>33</v>
      </c>
      <c r="C196" s="461">
        <v>1</v>
      </c>
      <c r="D196" s="461">
        <v>5</v>
      </c>
      <c r="E196" s="461"/>
      <c r="F196" s="461">
        <f t="shared" si="6"/>
        <v>6</v>
      </c>
    </row>
    <row r="197" spans="1:6" x14ac:dyDescent="0.35">
      <c r="A197" t="s">
        <v>193</v>
      </c>
      <c r="B197" s="846" t="s">
        <v>34</v>
      </c>
      <c r="C197" s="461">
        <v>2</v>
      </c>
      <c r="D197" s="461">
        <v>12</v>
      </c>
      <c r="E197" s="461">
        <v>25</v>
      </c>
      <c r="F197" s="461">
        <f t="shared" si="6"/>
        <v>39</v>
      </c>
    </row>
    <row r="198" spans="1:6" x14ac:dyDescent="0.35">
      <c r="A198" t="s">
        <v>193</v>
      </c>
      <c r="B198" s="846" t="s">
        <v>245</v>
      </c>
      <c r="C198" s="461">
        <v>7</v>
      </c>
      <c r="D198" s="461">
        <v>1</v>
      </c>
      <c r="E198" s="461"/>
      <c r="F198" s="461">
        <f t="shared" si="6"/>
        <v>8</v>
      </c>
    </row>
    <row r="199" spans="1:6" x14ac:dyDescent="0.35">
      <c r="A199" t="s">
        <v>193</v>
      </c>
      <c r="B199" s="846" t="s">
        <v>35</v>
      </c>
      <c r="C199" s="461">
        <v>1</v>
      </c>
      <c r="D199" s="461">
        <v>1</v>
      </c>
      <c r="E199" s="461"/>
      <c r="F199" s="461">
        <f t="shared" si="6"/>
        <v>2</v>
      </c>
    </row>
    <row r="200" spans="1:6" x14ac:dyDescent="0.35">
      <c r="A200" t="s">
        <v>193</v>
      </c>
      <c r="B200" s="846" t="s">
        <v>36</v>
      </c>
      <c r="C200" s="461">
        <v>1</v>
      </c>
      <c r="D200" s="461">
        <v>15</v>
      </c>
      <c r="E200" s="461">
        <v>1</v>
      </c>
      <c r="F200" s="461">
        <f t="shared" si="6"/>
        <v>17</v>
      </c>
    </row>
    <row r="201" spans="1:6" x14ac:dyDescent="0.35">
      <c r="A201" t="s">
        <v>193</v>
      </c>
      <c r="B201" s="846" t="s">
        <v>37</v>
      </c>
      <c r="C201" s="461">
        <v>4</v>
      </c>
      <c r="D201" s="461"/>
      <c r="E201" s="461"/>
      <c r="F201" s="461">
        <f t="shared" si="6"/>
        <v>4</v>
      </c>
    </row>
    <row r="202" spans="1:6" x14ac:dyDescent="0.35">
      <c r="A202" t="s">
        <v>193</v>
      </c>
      <c r="B202" s="846" t="s">
        <v>38</v>
      </c>
      <c r="C202" s="461">
        <v>1</v>
      </c>
      <c r="D202" s="461">
        <v>7</v>
      </c>
      <c r="E202" s="461"/>
      <c r="F202" s="461">
        <f t="shared" si="6"/>
        <v>8</v>
      </c>
    </row>
    <row r="203" spans="1:6" x14ac:dyDescent="0.35">
      <c r="A203" t="s">
        <v>193</v>
      </c>
      <c r="B203" s="846" t="s">
        <v>39</v>
      </c>
      <c r="C203" s="461">
        <v>3</v>
      </c>
      <c r="D203" s="461"/>
      <c r="E203" s="461"/>
      <c r="F203" s="461">
        <f t="shared" si="6"/>
        <v>3</v>
      </c>
    </row>
    <row r="204" spans="1:6" x14ac:dyDescent="0.35">
      <c r="A204" t="s">
        <v>193</v>
      </c>
      <c r="B204" s="846" t="s">
        <v>40</v>
      </c>
      <c r="C204" s="461">
        <v>1</v>
      </c>
      <c r="D204" s="461">
        <v>5</v>
      </c>
      <c r="E204" s="461"/>
      <c r="F204" s="461">
        <f t="shared" si="6"/>
        <v>6</v>
      </c>
    </row>
    <row r="205" spans="1:6" x14ac:dyDescent="0.35">
      <c r="A205" t="s">
        <v>193</v>
      </c>
      <c r="B205" s="846" t="s">
        <v>41</v>
      </c>
      <c r="C205" s="461">
        <v>2</v>
      </c>
      <c r="D205" s="461"/>
      <c r="E205" s="461"/>
      <c r="F205" s="461">
        <f t="shared" si="6"/>
        <v>2</v>
      </c>
    </row>
    <row r="206" spans="1:6" x14ac:dyDescent="0.35">
      <c r="A206" t="s">
        <v>193</v>
      </c>
      <c r="B206" s="846" t="s">
        <v>42</v>
      </c>
      <c r="C206" s="461">
        <v>3</v>
      </c>
      <c r="D206" s="461">
        <v>2</v>
      </c>
      <c r="E206" s="461"/>
      <c r="F206" s="461">
        <f t="shared" si="6"/>
        <v>5</v>
      </c>
    </row>
    <row r="207" spans="1:6" x14ac:dyDescent="0.35">
      <c r="A207" t="s">
        <v>193</v>
      </c>
      <c r="B207" s="846" t="s">
        <v>43</v>
      </c>
      <c r="C207" s="461">
        <v>5</v>
      </c>
      <c r="D207" s="461">
        <v>8</v>
      </c>
      <c r="E207" s="461"/>
      <c r="F207" s="461">
        <f t="shared" si="6"/>
        <v>13</v>
      </c>
    </row>
    <row r="208" spans="1:6" x14ac:dyDescent="0.35">
      <c r="A208" t="s">
        <v>193</v>
      </c>
      <c r="B208" s="846" t="s">
        <v>114</v>
      </c>
      <c r="C208" s="461">
        <v>11</v>
      </c>
      <c r="D208" s="461"/>
      <c r="E208" s="461"/>
      <c r="F208" s="461">
        <f t="shared" si="6"/>
        <v>11</v>
      </c>
    </row>
    <row r="209" spans="1:6" x14ac:dyDescent="0.35">
      <c r="A209" t="s">
        <v>193</v>
      </c>
      <c r="B209" s="846" t="s">
        <v>44</v>
      </c>
      <c r="C209" s="461">
        <v>1</v>
      </c>
      <c r="D209" s="461">
        <v>51</v>
      </c>
      <c r="E209" s="461">
        <v>9</v>
      </c>
      <c r="F209" s="461">
        <f t="shared" si="6"/>
        <v>61</v>
      </c>
    </row>
    <row r="210" spans="1:6" x14ac:dyDescent="0.35">
      <c r="A210" t="s">
        <v>193</v>
      </c>
      <c r="B210" s="846" t="s">
        <v>45</v>
      </c>
      <c r="C210" s="461">
        <v>2</v>
      </c>
      <c r="D210" s="461">
        <v>1</v>
      </c>
      <c r="E210" s="461"/>
      <c r="F210" s="461">
        <f t="shared" si="6"/>
        <v>3</v>
      </c>
    </row>
    <row r="211" spans="1:6" x14ac:dyDescent="0.35">
      <c r="A211" t="s">
        <v>193</v>
      </c>
      <c r="B211" s="846" t="s">
        <v>46</v>
      </c>
      <c r="C211" s="461">
        <v>1</v>
      </c>
      <c r="D211" s="461">
        <v>1</v>
      </c>
      <c r="E211" s="461"/>
      <c r="F211" s="461">
        <f t="shared" si="6"/>
        <v>2</v>
      </c>
    </row>
    <row r="212" spans="1:6" x14ac:dyDescent="0.35">
      <c r="A212" t="s">
        <v>193</v>
      </c>
      <c r="B212" s="846" t="s">
        <v>47</v>
      </c>
      <c r="C212" s="461">
        <v>1</v>
      </c>
      <c r="D212" s="461">
        <v>10</v>
      </c>
      <c r="E212" s="461">
        <v>1</v>
      </c>
      <c r="F212" s="461">
        <f t="shared" si="6"/>
        <v>12</v>
      </c>
    </row>
    <row r="213" spans="1:6" x14ac:dyDescent="0.35">
      <c r="A213" t="s">
        <v>193</v>
      </c>
      <c r="B213" s="846" t="s">
        <v>48</v>
      </c>
      <c r="C213" s="461"/>
      <c r="D213" s="461">
        <v>14</v>
      </c>
      <c r="E213" s="461"/>
      <c r="F213" s="461">
        <f t="shared" si="6"/>
        <v>14</v>
      </c>
    </row>
    <row r="214" spans="1:6" x14ac:dyDescent="0.35">
      <c r="A214" t="s">
        <v>193</v>
      </c>
      <c r="B214" s="846" t="s">
        <v>49</v>
      </c>
      <c r="C214" s="461">
        <v>3</v>
      </c>
      <c r="D214" s="461">
        <v>8</v>
      </c>
      <c r="E214" s="461">
        <v>3</v>
      </c>
      <c r="F214" s="461">
        <f t="shared" si="6"/>
        <v>14</v>
      </c>
    </row>
    <row r="215" spans="1:6" x14ac:dyDescent="0.35">
      <c r="A215" t="s">
        <v>193</v>
      </c>
      <c r="B215" s="846" t="s">
        <v>50</v>
      </c>
      <c r="C215" s="461">
        <v>4</v>
      </c>
      <c r="D215" s="461">
        <v>3</v>
      </c>
      <c r="E215" s="461"/>
      <c r="F215" s="461">
        <f t="shared" si="6"/>
        <v>7</v>
      </c>
    </row>
    <row r="216" spans="1:6" x14ac:dyDescent="0.35">
      <c r="A216" t="s">
        <v>193</v>
      </c>
      <c r="B216" s="846" t="s">
        <v>51</v>
      </c>
      <c r="C216" s="461"/>
      <c r="D216" s="461">
        <v>12</v>
      </c>
      <c r="E216" s="461"/>
      <c r="F216" s="461">
        <f t="shared" si="6"/>
        <v>12</v>
      </c>
    </row>
    <row r="217" spans="1:6" x14ac:dyDescent="0.35">
      <c r="A217" t="s">
        <v>193</v>
      </c>
      <c r="B217" s="846" t="s">
        <v>52</v>
      </c>
      <c r="C217" s="461">
        <v>1</v>
      </c>
      <c r="D217" s="461">
        <v>10</v>
      </c>
      <c r="E217" s="461">
        <v>3</v>
      </c>
      <c r="F217" s="461">
        <f t="shared" si="6"/>
        <v>14</v>
      </c>
    </row>
    <row r="218" spans="1:6" x14ac:dyDescent="0.35">
      <c r="A218" t="s">
        <v>193</v>
      </c>
      <c r="B218" s="846" t="s">
        <v>53</v>
      </c>
      <c r="C218" s="461">
        <v>3</v>
      </c>
      <c r="D218" s="461"/>
      <c r="E218" s="461"/>
      <c r="F218" s="461">
        <f t="shared" si="6"/>
        <v>3</v>
      </c>
    </row>
    <row r="219" spans="1:6" x14ac:dyDescent="0.35">
      <c r="A219" t="s">
        <v>193</v>
      </c>
      <c r="B219" s="846" t="s">
        <v>54</v>
      </c>
      <c r="C219" s="461">
        <v>2</v>
      </c>
      <c r="D219" s="461">
        <v>11</v>
      </c>
      <c r="E219" s="461"/>
      <c r="F219" s="461">
        <f t="shared" si="6"/>
        <v>13</v>
      </c>
    </row>
    <row r="220" spans="1:6" x14ac:dyDescent="0.35">
      <c r="A220" t="s">
        <v>193</v>
      </c>
      <c r="B220" s="846" t="s">
        <v>55</v>
      </c>
      <c r="C220" s="461"/>
      <c r="D220" s="461">
        <v>14</v>
      </c>
      <c r="E220" s="461"/>
      <c r="F220" s="461">
        <f t="shared" si="6"/>
        <v>14</v>
      </c>
    </row>
    <row r="221" spans="1:6" x14ac:dyDescent="0.35">
      <c r="A221" t="s">
        <v>193</v>
      </c>
      <c r="B221" s="846" t="s">
        <v>56</v>
      </c>
      <c r="C221" s="461">
        <v>1</v>
      </c>
      <c r="D221" s="461">
        <v>4</v>
      </c>
      <c r="E221" s="461"/>
      <c r="F221" s="461">
        <f t="shared" si="6"/>
        <v>5</v>
      </c>
    </row>
    <row r="222" spans="1:6" x14ac:dyDescent="0.35">
      <c r="A222" t="s">
        <v>193</v>
      </c>
      <c r="B222" s="846" t="s">
        <v>57</v>
      </c>
      <c r="C222" s="461">
        <v>4</v>
      </c>
      <c r="D222" s="461">
        <v>7</v>
      </c>
      <c r="E222" s="461">
        <v>1</v>
      </c>
      <c r="F222" s="461">
        <f t="shared" si="6"/>
        <v>12</v>
      </c>
    </row>
    <row r="223" spans="1:6" x14ac:dyDescent="0.35">
      <c r="A223" t="s">
        <v>193</v>
      </c>
      <c r="B223" s="846" t="s">
        <v>58</v>
      </c>
      <c r="C223" s="461">
        <v>1</v>
      </c>
      <c r="D223" s="461">
        <v>9</v>
      </c>
      <c r="E223" s="461"/>
      <c r="F223" s="461">
        <f t="shared" si="6"/>
        <v>10</v>
      </c>
    </row>
    <row r="224" spans="1:6" x14ac:dyDescent="0.35">
      <c r="A224" t="s">
        <v>193</v>
      </c>
      <c r="B224" s="846" t="s">
        <v>59</v>
      </c>
      <c r="C224" s="461">
        <v>2</v>
      </c>
      <c r="D224" s="461">
        <v>1</v>
      </c>
      <c r="E224" s="461"/>
      <c r="F224" s="461">
        <f t="shared" si="6"/>
        <v>3</v>
      </c>
    </row>
    <row r="225" spans="1:6" x14ac:dyDescent="0.35">
      <c r="A225" t="s">
        <v>193</v>
      </c>
      <c r="B225" s="846" t="s">
        <v>60</v>
      </c>
      <c r="C225" s="461">
        <v>2</v>
      </c>
      <c r="D225" s="461">
        <v>4</v>
      </c>
      <c r="E225" s="461"/>
      <c r="F225" s="461">
        <f t="shared" si="6"/>
        <v>6</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M36"/>
  <sheetViews>
    <sheetView topLeftCell="C1" workbookViewId="0">
      <selection activeCell="E20" sqref="E20"/>
    </sheetView>
  </sheetViews>
  <sheetFormatPr defaultRowHeight="14.5" x14ac:dyDescent="0.35"/>
  <cols>
    <col min="1" max="1" width="20.36328125" bestFit="1" customWidth="1"/>
    <col min="2" max="2" width="26.453125" bestFit="1" customWidth="1"/>
    <col min="3" max="3" width="22.453125" bestFit="1" customWidth="1"/>
    <col min="4" max="4" width="16.1796875" bestFit="1" customWidth="1"/>
    <col min="5" max="5" width="21.1796875" bestFit="1" customWidth="1"/>
    <col min="6" max="6" width="25" bestFit="1" customWidth="1"/>
    <col min="7" max="7" width="17.36328125" bestFit="1" customWidth="1"/>
    <col min="8" max="8" width="15.08984375" bestFit="1" customWidth="1"/>
    <col min="9" max="9" width="24.7265625" bestFit="1" customWidth="1"/>
    <col min="10" max="10" width="26.1796875" bestFit="1" customWidth="1"/>
    <col min="11" max="11" width="17.08984375" bestFit="1" customWidth="1"/>
    <col min="12" max="12" width="26.7265625" bestFit="1" customWidth="1"/>
    <col min="13" max="13" width="28.08984375" bestFit="1" customWidth="1"/>
  </cols>
  <sheetData>
    <row r="1" spans="1:13" x14ac:dyDescent="0.35">
      <c r="A1" s="459" t="s">
        <v>312</v>
      </c>
      <c r="B1" t="s">
        <v>951</v>
      </c>
    </row>
    <row r="3" spans="1:13" x14ac:dyDescent="0.35">
      <c r="A3" s="459" t="s">
        <v>234</v>
      </c>
      <c r="B3" t="s">
        <v>974</v>
      </c>
      <c r="C3" t="s">
        <v>975</v>
      </c>
      <c r="D3" t="s">
        <v>976</v>
      </c>
      <c r="E3" t="s">
        <v>407</v>
      </c>
      <c r="F3" t="s">
        <v>408</v>
      </c>
      <c r="G3" t="s">
        <v>406</v>
      </c>
      <c r="H3" t="s">
        <v>409</v>
      </c>
      <c r="I3" t="s">
        <v>410</v>
      </c>
      <c r="J3" t="s">
        <v>411</v>
      </c>
      <c r="K3" t="s">
        <v>412</v>
      </c>
      <c r="L3" t="s">
        <v>413</v>
      </c>
      <c r="M3" t="s">
        <v>414</v>
      </c>
    </row>
    <row r="4" spans="1:13" x14ac:dyDescent="0.35">
      <c r="A4" s="1152" t="s">
        <v>31</v>
      </c>
      <c r="B4" s="461">
        <v>130</v>
      </c>
      <c r="C4" s="461">
        <v>411</v>
      </c>
      <c r="D4" s="461">
        <v>541</v>
      </c>
      <c r="E4" s="461">
        <v>135</v>
      </c>
      <c r="F4" s="461">
        <v>54</v>
      </c>
      <c r="G4" s="461">
        <v>189</v>
      </c>
      <c r="H4" s="461">
        <v>120980</v>
      </c>
      <c r="I4" s="461">
        <v>0.44700000000000001</v>
      </c>
      <c r="J4" s="461">
        <v>0.156</v>
      </c>
      <c r="K4" s="461">
        <v>108893</v>
      </c>
      <c r="L4" s="461">
        <v>0.497</v>
      </c>
      <c r="M4" s="461">
        <v>0.17399999999999999</v>
      </c>
    </row>
    <row r="5" spans="1:13" x14ac:dyDescent="0.35">
      <c r="A5" s="1152" t="s">
        <v>32</v>
      </c>
      <c r="B5" s="461">
        <v>126</v>
      </c>
      <c r="C5" s="461">
        <v>311</v>
      </c>
      <c r="D5" s="461">
        <v>437</v>
      </c>
      <c r="E5" s="461">
        <v>147</v>
      </c>
      <c r="F5" s="461">
        <v>76</v>
      </c>
      <c r="G5" s="461">
        <v>223</v>
      </c>
      <c r="H5" s="461">
        <v>119854</v>
      </c>
      <c r="I5" s="461">
        <v>0.36499999999999999</v>
      </c>
      <c r="J5" s="461">
        <v>0.186</v>
      </c>
      <c r="K5" s="461">
        <v>112713</v>
      </c>
      <c r="L5" s="461">
        <v>0.38800000000000001</v>
      </c>
      <c r="M5" s="461">
        <v>0.19800000000000001</v>
      </c>
    </row>
    <row r="6" spans="1:13" x14ac:dyDescent="0.35">
      <c r="A6" s="1152" t="s">
        <v>33</v>
      </c>
      <c r="B6" s="461">
        <v>201</v>
      </c>
      <c r="C6" s="461">
        <v>519</v>
      </c>
      <c r="D6" s="461">
        <v>720</v>
      </c>
      <c r="E6" s="461">
        <v>177</v>
      </c>
      <c r="F6" s="461">
        <v>115</v>
      </c>
      <c r="G6" s="461">
        <v>292</v>
      </c>
      <c r="H6" s="461">
        <v>57206</v>
      </c>
      <c r="I6" s="461">
        <v>1.2589999999999999</v>
      </c>
      <c r="J6" s="461">
        <v>0.51</v>
      </c>
      <c r="K6" s="461">
        <v>54480</v>
      </c>
      <c r="L6" s="461">
        <v>1.3220000000000001</v>
      </c>
      <c r="M6" s="461">
        <v>0.53600000000000003</v>
      </c>
    </row>
    <row r="7" spans="1:13" x14ac:dyDescent="0.35">
      <c r="A7" s="1152" t="s">
        <v>34</v>
      </c>
      <c r="B7" s="461">
        <v>166</v>
      </c>
      <c r="C7" s="461">
        <v>320</v>
      </c>
      <c r="D7" s="461">
        <v>486</v>
      </c>
      <c r="E7" s="461">
        <v>154</v>
      </c>
      <c r="F7" s="461">
        <v>117</v>
      </c>
      <c r="G7" s="461">
        <v>271</v>
      </c>
      <c r="H7" s="461">
        <v>48199</v>
      </c>
      <c r="I7" s="461">
        <v>1.008</v>
      </c>
      <c r="J7" s="461">
        <v>0.56200000000000006</v>
      </c>
      <c r="K7" s="461">
        <v>41839</v>
      </c>
      <c r="L7" s="461">
        <v>1.1619999999999999</v>
      </c>
      <c r="M7" s="461">
        <v>0.64800000000000002</v>
      </c>
    </row>
    <row r="8" spans="1:13" x14ac:dyDescent="0.35">
      <c r="A8" s="1152" t="s">
        <v>245</v>
      </c>
      <c r="B8" s="461">
        <v>680</v>
      </c>
      <c r="C8" s="461">
        <v>756</v>
      </c>
      <c r="D8" s="461">
        <v>1436</v>
      </c>
      <c r="E8" s="461">
        <v>700</v>
      </c>
      <c r="F8" s="461">
        <v>310</v>
      </c>
      <c r="G8" s="461">
        <v>1010</v>
      </c>
      <c r="H8" s="461">
        <v>254929</v>
      </c>
      <c r="I8" s="461">
        <v>0.56299999999999994</v>
      </c>
      <c r="J8" s="461">
        <v>0.39600000000000002</v>
      </c>
      <c r="K8" s="461">
        <v>239364</v>
      </c>
      <c r="L8" s="461">
        <v>0.6</v>
      </c>
      <c r="M8" s="461">
        <v>0.42199999999999999</v>
      </c>
    </row>
    <row r="9" spans="1:13" x14ac:dyDescent="0.35">
      <c r="A9" s="1152" t="s">
        <v>35</v>
      </c>
      <c r="B9" s="461">
        <v>63</v>
      </c>
      <c r="C9" s="461">
        <v>108</v>
      </c>
      <c r="D9" s="461">
        <v>171</v>
      </c>
      <c r="E9" s="461">
        <v>94</v>
      </c>
      <c r="F9" s="461">
        <v>28</v>
      </c>
      <c r="G9" s="461">
        <v>122</v>
      </c>
      <c r="H9" s="461">
        <v>24838</v>
      </c>
      <c r="I9" s="461">
        <v>0.68799999999999994</v>
      </c>
      <c r="J9" s="461">
        <v>0.49099999999999999</v>
      </c>
      <c r="K9" s="461">
        <v>24066</v>
      </c>
      <c r="L9" s="461">
        <v>0.71099999999999997</v>
      </c>
      <c r="M9" s="461">
        <v>0.50700000000000001</v>
      </c>
    </row>
    <row r="10" spans="1:13" x14ac:dyDescent="0.35">
      <c r="A10" s="1152" t="s">
        <v>36</v>
      </c>
      <c r="B10" s="461">
        <v>142</v>
      </c>
      <c r="C10" s="461">
        <v>231</v>
      </c>
      <c r="D10" s="461">
        <v>373</v>
      </c>
      <c r="E10" s="461">
        <v>124</v>
      </c>
      <c r="F10" s="461">
        <v>82</v>
      </c>
      <c r="G10" s="461">
        <v>206</v>
      </c>
      <c r="H10" s="461">
        <v>75298</v>
      </c>
      <c r="I10" s="461">
        <v>0.495</v>
      </c>
      <c r="J10" s="461">
        <v>0.27400000000000002</v>
      </c>
      <c r="K10" s="461">
        <v>69957</v>
      </c>
      <c r="L10" s="461">
        <v>0.53300000000000003</v>
      </c>
      <c r="M10" s="461">
        <v>0.29399999999999998</v>
      </c>
    </row>
    <row r="11" spans="1:13" x14ac:dyDescent="0.35">
      <c r="A11" s="1152" t="s">
        <v>37</v>
      </c>
      <c r="B11" s="461">
        <v>289</v>
      </c>
      <c r="C11" s="461">
        <v>641</v>
      </c>
      <c r="D11" s="461">
        <v>930</v>
      </c>
      <c r="E11" s="461">
        <v>284</v>
      </c>
      <c r="F11" s="461">
        <v>166</v>
      </c>
      <c r="G11" s="461">
        <v>450</v>
      </c>
      <c r="H11" s="461">
        <v>75027</v>
      </c>
      <c r="I11" s="461">
        <v>1.24</v>
      </c>
      <c r="J11" s="461">
        <v>0.6</v>
      </c>
      <c r="K11" s="461">
        <v>70689</v>
      </c>
      <c r="L11" s="461">
        <v>1.3160000000000001</v>
      </c>
      <c r="M11" s="461">
        <v>0.63700000000000001</v>
      </c>
    </row>
    <row r="12" spans="1:13" x14ac:dyDescent="0.35">
      <c r="A12" s="1152" t="s">
        <v>38</v>
      </c>
      <c r="B12" s="461">
        <v>172</v>
      </c>
      <c r="C12" s="461">
        <v>316</v>
      </c>
      <c r="D12" s="461">
        <v>488</v>
      </c>
      <c r="E12" s="461">
        <v>222</v>
      </c>
      <c r="F12" s="461">
        <v>77</v>
      </c>
      <c r="G12" s="461">
        <v>299</v>
      </c>
      <c r="H12" s="461">
        <v>58821</v>
      </c>
      <c r="I12" s="461">
        <v>0.83</v>
      </c>
      <c r="J12" s="461">
        <v>0.50800000000000001</v>
      </c>
      <c r="K12" s="461">
        <v>55564</v>
      </c>
      <c r="L12" s="461">
        <v>0.878</v>
      </c>
      <c r="M12" s="461">
        <v>0.53800000000000003</v>
      </c>
    </row>
    <row r="13" spans="1:13" x14ac:dyDescent="0.35">
      <c r="A13" s="1152" t="s">
        <v>39</v>
      </c>
      <c r="B13" s="461">
        <v>229</v>
      </c>
      <c r="C13" s="461">
        <v>178</v>
      </c>
      <c r="D13" s="461">
        <v>407</v>
      </c>
      <c r="E13" s="461">
        <v>238</v>
      </c>
      <c r="F13" s="461">
        <v>133</v>
      </c>
      <c r="G13" s="461">
        <v>371</v>
      </c>
      <c r="H13" s="461">
        <v>47251</v>
      </c>
      <c r="I13" s="461">
        <v>0.86099999999999999</v>
      </c>
      <c r="J13" s="461">
        <v>0.78500000000000003</v>
      </c>
      <c r="K13" s="461">
        <v>46563</v>
      </c>
      <c r="L13" s="461">
        <v>0.874</v>
      </c>
      <c r="M13" s="461">
        <v>0.79700000000000004</v>
      </c>
    </row>
    <row r="14" spans="1:13" x14ac:dyDescent="0.35">
      <c r="A14" s="1152" t="s">
        <v>40</v>
      </c>
      <c r="B14" s="461">
        <v>125</v>
      </c>
      <c r="C14" s="461">
        <v>156</v>
      </c>
      <c r="D14" s="461">
        <v>281</v>
      </c>
      <c r="E14" s="461">
        <v>163</v>
      </c>
      <c r="F14" s="461">
        <v>64</v>
      </c>
      <c r="G14" s="461">
        <v>227</v>
      </c>
      <c r="H14" s="461">
        <v>49642</v>
      </c>
      <c r="I14" s="461">
        <v>0.56599999999999995</v>
      </c>
      <c r="J14" s="461">
        <v>0.45700000000000002</v>
      </c>
      <c r="K14" s="461">
        <v>47482</v>
      </c>
      <c r="L14" s="461">
        <v>0.59199999999999997</v>
      </c>
      <c r="M14" s="461">
        <v>0.47799999999999998</v>
      </c>
    </row>
    <row r="15" spans="1:13" x14ac:dyDescent="0.35">
      <c r="A15" s="1152" t="s">
        <v>41</v>
      </c>
      <c r="B15" s="461">
        <v>205</v>
      </c>
      <c r="C15" s="461">
        <v>173</v>
      </c>
      <c r="D15" s="461">
        <v>378</v>
      </c>
      <c r="E15" s="461">
        <v>222</v>
      </c>
      <c r="F15" s="461">
        <v>101</v>
      </c>
      <c r="G15" s="461">
        <v>323</v>
      </c>
      <c r="H15" s="461">
        <v>39453</v>
      </c>
      <c r="I15" s="461">
        <v>0.95799999999999996</v>
      </c>
      <c r="J15" s="461">
        <v>0.81899999999999995</v>
      </c>
      <c r="K15" s="461">
        <v>39586</v>
      </c>
      <c r="L15" s="461">
        <v>0.95499999999999996</v>
      </c>
      <c r="M15" s="461">
        <v>0.81599999999999995</v>
      </c>
    </row>
    <row r="16" spans="1:13" x14ac:dyDescent="0.35">
      <c r="A16" s="1152" t="s">
        <v>42</v>
      </c>
      <c r="B16" s="461">
        <v>158</v>
      </c>
      <c r="C16" s="461">
        <v>298</v>
      </c>
      <c r="D16" s="461">
        <v>456</v>
      </c>
      <c r="E16" s="461">
        <v>181</v>
      </c>
      <c r="F16" s="461">
        <v>71</v>
      </c>
      <c r="G16" s="461">
        <v>252</v>
      </c>
      <c r="H16" s="461">
        <v>75595</v>
      </c>
      <c r="I16" s="461">
        <v>0.60299999999999998</v>
      </c>
      <c r="J16" s="461">
        <v>0.33300000000000002</v>
      </c>
      <c r="K16" s="461">
        <v>72994</v>
      </c>
      <c r="L16" s="461">
        <v>0.625</v>
      </c>
      <c r="M16" s="461">
        <v>0.34499999999999997</v>
      </c>
    </row>
    <row r="17" spans="1:13" x14ac:dyDescent="0.35">
      <c r="A17" s="1152" t="s">
        <v>43</v>
      </c>
      <c r="B17" s="461">
        <v>580</v>
      </c>
      <c r="C17" s="461">
        <v>722</v>
      </c>
      <c r="D17" s="461">
        <v>1302</v>
      </c>
      <c r="E17" s="461">
        <v>654</v>
      </c>
      <c r="F17" s="461">
        <v>327</v>
      </c>
      <c r="G17" s="461">
        <v>981</v>
      </c>
      <c r="H17" s="461">
        <v>179232</v>
      </c>
      <c r="I17" s="461">
        <v>0.72599999999999998</v>
      </c>
      <c r="J17" s="461">
        <v>0.54700000000000004</v>
      </c>
      <c r="K17" s="461">
        <v>169886</v>
      </c>
      <c r="L17" s="461">
        <v>0.76600000000000001</v>
      </c>
      <c r="M17" s="461">
        <v>0.57699999999999996</v>
      </c>
    </row>
    <row r="18" spans="1:13" x14ac:dyDescent="0.35">
      <c r="A18" s="1152" t="s">
        <v>114</v>
      </c>
      <c r="B18" s="461">
        <v>771</v>
      </c>
      <c r="C18" s="461">
        <v>1323</v>
      </c>
      <c r="D18" s="461">
        <v>2094</v>
      </c>
      <c r="E18" s="461">
        <v>906</v>
      </c>
      <c r="F18" s="461">
        <v>243</v>
      </c>
      <c r="G18" s="461">
        <v>1149</v>
      </c>
      <c r="H18" s="461">
        <v>317193</v>
      </c>
      <c r="I18" s="461">
        <v>0.66</v>
      </c>
      <c r="J18" s="461">
        <v>0.36199999999999999</v>
      </c>
      <c r="K18" s="461">
        <v>295761</v>
      </c>
      <c r="L18" s="461">
        <v>0.70799999999999996</v>
      </c>
      <c r="M18" s="461">
        <v>0.38800000000000001</v>
      </c>
    </row>
    <row r="19" spans="1:13" x14ac:dyDescent="0.35">
      <c r="A19" s="1152" t="s">
        <v>44</v>
      </c>
      <c r="B19" s="461">
        <v>164</v>
      </c>
      <c r="C19" s="461">
        <v>632</v>
      </c>
      <c r="D19" s="461">
        <v>796</v>
      </c>
      <c r="E19" s="461">
        <v>167</v>
      </c>
      <c r="F19" s="461">
        <v>167</v>
      </c>
      <c r="G19" s="461">
        <v>334</v>
      </c>
      <c r="H19" s="461">
        <v>119918</v>
      </c>
      <c r="I19" s="461">
        <v>0.66400000000000003</v>
      </c>
      <c r="J19" s="461">
        <v>0.27900000000000003</v>
      </c>
      <c r="K19" s="461">
        <v>110084</v>
      </c>
      <c r="L19" s="461">
        <v>0.72299999999999998</v>
      </c>
      <c r="M19" s="461">
        <v>0.30299999999999999</v>
      </c>
    </row>
    <row r="20" spans="1:13" x14ac:dyDescent="0.35">
      <c r="A20" s="1152" t="s">
        <v>45</v>
      </c>
      <c r="B20" s="461">
        <v>293</v>
      </c>
      <c r="C20" s="461">
        <v>200</v>
      </c>
      <c r="D20" s="461">
        <v>493</v>
      </c>
      <c r="E20" s="461">
        <v>339</v>
      </c>
      <c r="F20" s="461">
        <v>130</v>
      </c>
      <c r="G20" s="461">
        <v>469</v>
      </c>
      <c r="H20" s="461">
        <v>39107</v>
      </c>
      <c r="I20" s="461">
        <v>1.2610000000000001</v>
      </c>
      <c r="J20" s="461">
        <v>1.1990000000000001</v>
      </c>
      <c r="K20" s="461">
        <v>37646</v>
      </c>
      <c r="L20" s="461">
        <v>1.31</v>
      </c>
      <c r="M20" s="461">
        <v>1.246</v>
      </c>
    </row>
    <row r="21" spans="1:13" x14ac:dyDescent="0.35">
      <c r="A21" s="1152" t="s">
        <v>46</v>
      </c>
      <c r="B21" s="461">
        <v>104</v>
      </c>
      <c r="C21" s="461">
        <v>201</v>
      </c>
      <c r="D21" s="461">
        <v>305</v>
      </c>
      <c r="E21" s="461">
        <v>115</v>
      </c>
      <c r="F21" s="461">
        <v>58</v>
      </c>
      <c r="G21" s="461">
        <v>173</v>
      </c>
      <c r="H21" s="461">
        <v>41657</v>
      </c>
      <c r="I21" s="461">
        <v>0.73199999999999998</v>
      </c>
      <c r="J21" s="461">
        <v>0.41499999999999998</v>
      </c>
      <c r="K21" s="461">
        <v>40137</v>
      </c>
      <c r="L21" s="461">
        <v>0.76</v>
      </c>
      <c r="M21" s="461">
        <v>0.43099999999999999</v>
      </c>
    </row>
    <row r="22" spans="1:13" x14ac:dyDescent="0.35">
      <c r="A22" s="1152" t="s">
        <v>47</v>
      </c>
      <c r="B22" s="461">
        <v>86</v>
      </c>
      <c r="C22" s="461">
        <v>260</v>
      </c>
      <c r="D22" s="461">
        <v>346</v>
      </c>
      <c r="E22" s="461">
        <v>97</v>
      </c>
      <c r="F22" s="461">
        <v>61</v>
      </c>
      <c r="G22" s="461">
        <v>158</v>
      </c>
      <c r="H22" s="461">
        <v>45838</v>
      </c>
      <c r="I22" s="461">
        <v>0.755</v>
      </c>
      <c r="J22" s="461">
        <v>0.34499999999999997</v>
      </c>
      <c r="K22" s="461">
        <v>43175</v>
      </c>
      <c r="L22" s="461">
        <v>0.80100000000000005</v>
      </c>
      <c r="M22" s="461">
        <v>0.36599999999999999</v>
      </c>
    </row>
    <row r="23" spans="1:13" x14ac:dyDescent="0.35">
      <c r="A23" s="1152" t="s">
        <v>48</v>
      </c>
      <c r="B23" s="461">
        <v>23</v>
      </c>
      <c r="C23" s="461">
        <v>34</v>
      </c>
      <c r="D23" s="461">
        <v>57</v>
      </c>
      <c r="E23" s="461">
        <v>26</v>
      </c>
      <c r="F23" s="461">
        <v>12</v>
      </c>
      <c r="G23" s="461">
        <v>38</v>
      </c>
      <c r="H23" s="461">
        <v>14764</v>
      </c>
      <c r="I23" s="461">
        <v>0.38600000000000001</v>
      </c>
      <c r="J23" s="461">
        <v>0.25700000000000001</v>
      </c>
      <c r="K23" s="461">
        <v>12849</v>
      </c>
      <c r="L23" s="461">
        <v>0.44400000000000001</v>
      </c>
      <c r="M23" s="461">
        <v>0.29599999999999999</v>
      </c>
    </row>
    <row r="24" spans="1:13" x14ac:dyDescent="0.35">
      <c r="A24" s="1152" t="s">
        <v>49</v>
      </c>
      <c r="B24" s="461">
        <v>230</v>
      </c>
      <c r="C24" s="461">
        <v>322</v>
      </c>
      <c r="D24" s="461">
        <v>552</v>
      </c>
      <c r="E24" s="461">
        <v>255</v>
      </c>
      <c r="F24" s="461">
        <v>150</v>
      </c>
      <c r="G24" s="461">
        <v>405</v>
      </c>
      <c r="H24" s="461">
        <v>68843</v>
      </c>
      <c r="I24" s="461">
        <v>0.80200000000000005</v>
      </c>
      <c r="J24" s="461">
        <v>0.58799999999999997</v>
      </c>
      <c r="K24" s="461">
        <v>64415</v>
      </c>
      <c r="L24" s="461">
        <v>0.85699999999999998</v>
      </c>
      <c r="M24" s="461">
        <v>0.629</v>
      </c>
    </row>
    <row r="25" spans="1:13" x14ac:dyDescent="0.35">
      <c r="A25" s="1152" t="s">
        <v>50</v>
      </c>
      <c r="B25" s="461">
        <v>678</v>
      </c>
      <c r="C25" s="461">
        <v>1190</v>
      </c>
      <c r="D25" s="461">
        <v>1868</v>
      </c>
      <c r="E25" s="461">
        <v>858</v>
      </c>
      <c r="F25" s="461">
        <v>263</v>
      </c>
      <c r="G25" s="461">
        <v>1121</v>
      </c>
      <c r="H25" s="461">
        <v>157625</v>
      </c>
      <c r="I25" s="461">
        <v>1.1850000000000001</v>
      </c>
      <c r="J25" s="461">
        <v>0.71099999999999997</v>
      </c>
      <c r="K25" s="461">
        <v>152910</v>
      </c>
      <c r="L25" s="461">
        <v>1.222</v>
      </c>
      <c r="M25" s="461">
        <v>0.73299999999999998</v>
      </c>
    </row>
    <row r="26" spans="1:13" x14ac:dyDescent="0.35">
      <c r="A26" s="1152" t="s">
        <v>51</v>
      </c>
      <c r="B26" s="461">
        <v>35</v>
      </c>
      <c r="C26" s="461">
        <v>35</v>
      </c>
      <c r="D26" s="461">
        <v>70</v>
      </c>
      <c r="E26" s="461">
        <v>45</v>
      </c>
      <c r="F26" s="461">
        <v>39</v>
      </c>
      <c r="G26" s="461">
        <v>84</v>
      </c>
      <c r="H26" s="461">
        <v>11391</v>
      </c>
      <c r="I26" s="461">
        <v>0.61499999999999999</v>
      </c>
      <c r="J26" s="461">
        <v>0.73699999999999999</v>
      </c>
      <c r="K26" s="461">
        <v>10635</v>
      </c>
      <c r="L26" s="461">
        <v>0.65800000000000003</v>
      </c>
      <c r="M26" s="461">
        <v>0.79</v>
      </c>
    </row>
    <row r="27" spans="1:13" x14ac:dyDescent="0.35">
      <c r="A27" s="1152" t="s">
        <v>52</v>
      </c>
      <c r="B27" s="461">
        <v>166</v>
      </c>
      <c r="C27" s="461">
        <v>376</v>
      </c>
      <c r="D27" s="461">
        <v>542</v>
      </c>
      <c r="E27" s="461">
        <v>186</v>
      </c>
      <c r="F27" s="461">
        <v>102</v>
      </c>
      <c r="G27" s="461">
        <v>288</v>
      </c>
      <c r="H27" s="461">
        <v>73775</v>
      </c>
      <c r="I27" s="461">
        <v>0.73499999999999999</v>
      </c>
      <c r="J27" s="461">
        <v>0.39</v>
      </c>
      <c r="K27" s="461">
        <v>69432</v>
      </c>
      <c r="L27" s="461">
        <v>0.78100000000000003</v>
      </c>
      <c r="M27" s="461">
        <v>0.41499999999999998</v>
      </c>
    </row>
    <row r="28" spans="1:13" x14ac:dyDescent="0.35">
      <c r="A28" s="1152" t="s">
        <v>53</v>
      </c>
      <c r="B28" s="461">
        <v>335</v>
      </c>
      <c r="C28" s="461">
        <v>353</v>
      </c>
      <c r="D28" s="461">
        <v>688</v>
      </c>
      <c r="E28" s="461">
        <v>425</v>
      </c>
      <c r="F28" s="461">
        <v>126</v>
      </c>
      <c r="G28" s="461">
        <v>551</v>
      </c>
      <c r="H28" s="461">
        <v>88624</v>
      </c>
      <c r="I28" s="461">
        <v>0.77600000000000002</v>
      </c>
      <c r="J28" s="461">
        <v>0.622</v>
      </c>
      <c r="K28" s="461">
        <v>87241</v>
      </c>
      <c r="L28" s="461">
        <v>0.78900000000000003</v>
      </c>
      <c r="M28" s="461">
        <v>0.63200000000000001</v>
      </c>
    </row>
    <row r="29" spans="1:13" x14ac:dyDescent="0.35">
      <c r="A29" s="1152" t="s">
        <v>54</v>
      </c>
      <c r="B29" s="461">
        <v>268</v>
      </c>
      <c r="C29" s="461">
        <v>381</v>
      </c>
      <c r="D29" s="461">
        <v>649</v>
      </c>
      <c r="E29" s="461">
        <v>253</v>
      </c>
      <c r="F29" s="461">
        <v>195</v>
      </c>
      <c r="G29" s="461">
        <v>448</v>
      </c>
      <c r="H29" s="461">
        <v>58814</v>
      </c>
      <c r="I29" s="461">
        <v>1.103</v>
      </c>
      <c r="J29" s="461">
        <v>0.76200000000000001</v>
      </c>
      <c r="K29" s="461">
        <v>54796</v>
      </c>
      <c r="L29" s="461">
        <v>1.1839999999999999</v>
      </c>
      <c r="M29" s="461">
        <v>0.81799999999999995</v>
      </c>
    </row>
    <row r="30" spans="1:13" x14ac:dyDescent="0.35">
      <c r="A30" s="1152" t="s">
        <v>55</v>
      </c>
      <c r="B30" s="461">
        <v>17</v>
      </c>
      <c r="C30" s="461">
        <v>123</v>
      </c>
      <c r="D30" s="461">
        <v>140</v>
      </c>
      <c r="E30" s="461">
        <v>8</v>
      </c>
      <c r="F30" s="461">
        <v>26</v>
      </c>
      <c r="G30" s="461">
        <v>34</v>
      </c>
      <c r="H30" s="461">
        <v>11374</v>
      </c>
      <c r="I30" s="461">
        <v>1.2310000000000001</v>
      </c>
      <c r="J30" s="461">
        <v>0.29899999999999999</v>
      </c>
      <c r="K30" s="461">
        <v>10461</v>
      </c>
      <c r="L30" s="461">
        <v>1.3380000000000001</v>
      </c>
      <c r="M30" s="461">
        <v>0.32500000000000001</v>
      </c>
    </row>
    <row r="31" spans="1:13" x14ac:dyDescent="0.35">
      <c r="A31" s="1152" t="s">
        <v>56</v>
      </c>
      <c r="B31" s="461">
        <v>131</v>
      </c>
      <c r="C31" s="461">
        <v>270</v>
      </c>
      <c r="D31" s="461">
        <v>401</v>
      </c>
      <c r="E31" s="461">
        <v>197</v>
      </c>
      <c r="F31" s="461">
        <v>56</v>
      </c>
      <c r="G31" s="461">
        <v>253</v>
      </c>
      <c r="H31" s="461">
        <v>55793</v>
      </c>
      <c r="I31" s="461">
        <v>0.71899999999999997</v>
      </c>
      <c r="J31" s="461">
        <v>0.45300000000000001</v>
      </c>
      <c r="K31" s="461">
        <v>52571</v>
      </c>
      <c r="L31" s="461">
        <v>0.76300000000000001</v>
      </c>
      <c r="M31" s="461">
        <v>0.48099999999999998</v>
      </c>
    </row>
    <row r="32" spans="1:13" x14ac:dyDescent="0.35">
      <c r="A32" s="1152" t="s">
        <v>57</v>
      </c>
      <c r="B32" s="461">
        <v>580</v>
      </c>
      <c r="C32" s="461">
        <v>758</v>
      </c>
      <c r="D32" s="461">
        <v>1338</v>
      </c>
      <c r="E32" s="461">
        <v>746</v>
      </c>
      <c r="F32" s="461">
        <v>234</v>
      </c>
      <c r="G32" s="461">
        <v>980</v>
      </c>
      <c r="H32" s="461">
        <v>153863</v>
      </c>
      <c r="I32" s="461">
        <v>0.87</v>
      </c>
      <c r="J32" s="461">
        <v>0.63700000000000001</v>
      </c>
      <c r="K32" s="461">
        <v>148483</v>
      </c>
      <c r="L32" s="461">
        <v>0.90100000000000002</v>
      </c>
      <c r="M32" s="461">
        <v>0.66</v>
      </c>
    </row>
    <row r="33" spans="1:13" x14ac:dyDescent="0.35">
      <c r="A33" s="1152" t="s">
        <v>58</v>
      </c>
      <c r="B33" s="461">
        <v>63</v>
      </c>
      <c r="C33" s="461">
        <v>108</v>
      </c>
      <c r="D33" s="461">
        <v>171</v>
      </c>
      <c r="E33" s="461">
        <v>76</v>
      </c>
      <c r="F33" s="461">
        <v>44</v>
      </c>
      <c r="G33" s="461">
        <v>120</v>
      </c>
      <c r="H33" s="461">
        <v>41950</v>
      </c>
      <c r="I33" s="461">
        <v>0.40799999999999997</v>
      </c>
      <c r="J33" s="461">
        <v>0.28599999999999998</v>
      </c>
      <c r="K33" s="461">
        <v>39896</v>
      </c>
      <c r="L33" s="461">
        <v>0.42899999999999999</v>
      </c>
      <c r="M33" s="461">
        <v>0.30099999999999999</v>
      </c>
    </row>
    <row r="34" spans="1:13" x14ac:dyDescent="0.35">
      <c r="A34" s="1152" t="s">
        <v>59</v>
      </c>
      <c r="B34" s="461">
        <v>221</v>
      </c>
      <c r="C34" s="461">
        <v>356</v>
      </c>
      <c r="D34" s="461">
        <v>577</v>
      </c>
      <c r="E34" s="461">
        <v>269</v>
      </c>
      <c r="F34" s="461">
        <v>66</v>
      </c>
      <c r="G34" s="461">
        <v>335</v>
      </c>
      <c r="H34" s="461">
        <v>45148</v>
      </c>
      <c r="I34" s="461">
        <v>1.278</v>
      </c>
      <c r="J34" s="461">
        <v>0.74199999999999999</v>
      </c>
      <c r="K34" s="461">
        <v>43164</v>
      </c>
      <c r="L34" s="461">
        <v>1.337</v>
      </c>
      <c r="M34" s="461">
        <v>0.77600000000000002</v>
      </c>
    </row>
    <row r="35" spans="1:13" x14ac:dyDescent="0.35">
      <c r="A35" s="1152" t="s">
        <v>60</v>
      </c>
      <c r="B35" s="461">
        <v>272</v>
      </c>
      <c r="C35" s="461">
        <v>410</v>
      </c>
      <c r="D35" s="461">
        <v>682</v>
      </c>
      <c r="E35" s="461">
        <v>260</v>
      </c>
      <c r="F35" s="461">
        <v>158</v>
      </c>
      <c r="G35" s="461">
        <v>418</v>
      </c>
      <c r="H35" s="461">
        <v>81723</v>
      </c>
      <c r="I35" s="461">
        <v>0.83499999999999996</v>
      </c>
      <c r="J35" s="461">
        <v>0.51100000000000001</v>
      </c>
      <c r="K35" s="461">
        <v>79892</v>
      </c>
      <c r="L35" s="461">
        <v>0.85399999999999998</v>
      </c>
      <c r="M35" s="461">
        <v>0.52300000000000002</v>
      </c>
    </row>
    <row r="36" spans="1:13" x14ac:dyDescent="0.35">
      <c r="A36" s="1152" t="s">
        <v>239</v>
      </c>
      <c r="B36" s="461">
        <v>7703</v>
      </c>
      <c r="C36" s="461">
        <v>12472</v>
      </c>
      <c r="D36" s="461">
        <v>20175</v>
      </c>
      <c r="E36" s="461">
        <v>8723</v>
      </c>
      <c r="F36" s="461">
        <v>3851</v>
      </c>
      <c r="G36" s="461">
        <v>12574</v>
      </c>
      <c r="H36" s="461">
        <v>2653725</v>
      </c>
      <c r="I36" s="461">
        <v>25.624000000000002</v>
      </c>
      <c r="J36" s="461">
        <v>16.218999999999998</v>
      </c>
      <c r="K36" s="461">
        <v>2507624</v>
      </c>
      <c r="L36" s="461">
        <v>27.078000000000007</v>
      </c>
      <c r="M36" s="461">
        <v>17.079999999999995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E41:S297"/>
  <sheetViews>
    <sheetView topLeftCell="E42" workbookViewId="0">
      <selection activeCell="I57" sqref="I57"/>
    </sheetView>
  </sheetViews>
  <sheetFormatPr defaultRowHeight="14.5" x14ac:dyDescent="0.35"/>
  <cols>
    <col min="5" max="5" width="7.453125" bestFit="1" customWidth="1"/>
    <col min="6" max="6" width="20.36328125" bestFit="1" customWidth="1"/>
    <col min="7" max="7" width="10.453125" bestFit="1" customWidth="1"/>
    <col min="8" max="8" width="22.26953125" bestFit="1" customWidth="1"/>
    <col min="9" max="9" width="18.26953125" bestFit="1" customWidth="1"/>
    <col min="10" max="10" width="12.08984375" bestFit="1" customWidth="1"/>
    <col min="11" max="11" width="17" bestFit="1" customWidth="1"/>
    <col min="12" max="12" width="20.90625" bestFit="1" customWidth="1"/>
    <col min="13" max="13" width="13.1796875" bestFit="1" customWidth="1"/>
    <col min="14" max="14" width="11" bestFit="1" customWidth="1"/>
    <col min="15" max="15" width="20.6328125" bestFit="1" customWidth="1"/>
    <col min="16" max="16" width="22" bestFit="1" customWidth="1"/>
    <col min="17" max="17" width="12.90625" bestFit="1" customWidth="1"/>
    <col min="18" max="18" width="22.54296875" bestFit="1" customWidth="1"/>
    <col min="19" max="19" width="24" bestFit="1" customWidth="1"/>
  </cols>
  <sheetData>
    <row r="41" spans="5:19" x14ac:dyDescent="0.35">
      <c r="E41" s="461" t="s">
        <v>312</v>
      </c>
      <c r="F41" s="461" t="s">
        <v>827</v>
      </c>
      <c r="G41" s="461" t="s">
        <v>965</v>
      </c>
      <c r="H41" s="461" t="s">
        <v>428</v>
      </c>
      <c r="I41" s="461" t="s">
        <v>124</v>
      </c>
      <c r="J41" s="461" t="s">
        <v>120</v>
      </c>
      <c r="K41" s="461" t="s">
        <v>966</v>
      </c>
      <c r="L41" s="461" t="s">
        <v>967</v>
      </c>
      <c r="M41" s="461" t="s">
        <v>968</v>
      </c>
      <c r="N41" s="461" t="s">
        <v>969</v>
      </c>
      <c r="O41" s="461" t="s">
        <v>970</v>
      </c>
      <c r="P41" s="461" t="s">
        <v>971</v>
      </c>
      <c r="Q41" s="461" t="s">
        <v>423</v>
      </c>
      <c r="R41" s="461" t="s">
        <v>972</v>
      </c>
      <c r="S41" s="461" t="s">
        <v>973</v>
      </c>
    </row>
    <row r="42" spans="5:19" x14ac:dyDescent="0.35">
      <c r="E42" s="461" t="s">
        <v>194</v>
      </c>
      <c r="F42" s="461" t="s">
        <v>31</v>
      </c>
      <c r="G42" s="461" t="s">
        <v>286</v>
      </c>
      <c r="H42" s="461">
        <v>492</v>
      </c>
      <c r="I42" s="461">
        <v>1898</v>
      </c>
      <c r="J42" s="461">
        <v>2390</v>
      </c>
      <c r="K42" s="461">
        <v>419</v>
      </c>
      <c r="L42" s="461">
        <v>245</v>
      </c>
      <c r="M42" s="461">
        <v>664</v>
      </c>
      <c r="N42" s="461">
        <v>112713</v>
      </c>
      <c r="O42" s="461">
        <v>2.12</v>
      </c>
      <c r="P42" s="461">
        <v>0.58899999999999997</v>
      </c>
      <c r="Q42" s="461">
        <v>105047</v>
      </c>
      <c r="R42" s="461">
        <v>2.2749999999999999</v>
      </c>
      <c r="S42" s="461">
        <v>0.63200000000000001</v>
      </c>
    </row>
    <row r="43" spans="5:19" x14ac:dyDescent="0.35">
      <c r="E43" s="461" t="s">
        <v>194</v>
      </c>
      <c r="F43" s="461" t="s">
        <v>32</v>
      </c>
      <c r="G43" s="461" t="s">
        <v>287</v>
      </c>
      <c r="H43" s="461">
        <v>567</v>
      </c>
      <c r="I43" s="461">
        <v>789</v>
      </c>
      <c r="J43" s="461">
        <v>1356</v>
      </c>
      <c r="K43" s="461">
        <v>497</v>
      </c>
      <c r="L43" s="461">
        <v>391</v>
      </c>
      <c r="M43" s="461">
        <v>888</v>
      </c>
      <c r="N43" s="461">
        <v>112867</v>
      </c>
      <c r="O43" s="461">
        <v>1.2010000000000001</v>
      </c>
      <c r="P43" s="461">
        <v>0.78700000000000003</v>
      </c>
      <c r="Q43" s="461">
        <v>107128</v>
      </c>
      <c r="R43" s="461">
        <v>1.266</v>
      </c>
      <c r="S43" s="461">
        <v>0.82899999999999996</v>
      </c>
    </row>
    <row r="44" spans="5:19" x14ac:dyDescent="0.35">
      <c r="E44" s="461" t="s">
        <v>194</v>
      </c>
      <c r="F44" s="461" t="s">
        <v>33</v>
      </c>
      <c r="G44" s="461" t="s">
        <v>293</v>
      </c>
      <c r="H44" s="461">
        <v>829</v>
      </c>
      <c r="I44" s="461">
        <v>2850</v>
      </c>
      <c r="J44" s="461">
        <v>3679</v>
      </c>
      <c r="K44" s="461">
        <v>723</v>
      </c>
      <c r="L44" s="461">
        <v>504</v>
      </c>
      <c r="M44" s="461">
        <v>1227</v>
      </c>
      <c r="N44" s="461">
        <v>54872</v>
      </c>
      <c r="O44" s="461">
        <v>6.7050000000000001</v>
      </c>
      <c r="P44" s="461">
        <v>2.2359999999999998</v>
      </c>
      <c r="Q44" s="461">
        <v>52413</v>
      </c>
      <c r="R44" s="461">
        <v>7.0190000000000001</v>
      </c>
      <c r="S44" s="461">
        <v>2.3410000000000002</v>
      </c>
    </row>
    <row r="45" spans="5:19" x14ac:dyDescent="0.35">
      <c r="E45" s="461" t="s">
        <v>194</v>
      </c>
      <c r="F45" s="461" t="s">
        <v>34</v>
      </c>
      <c r="G45" s="461" t="s">
        <v>288</v>
      </c>
      <c r="H45" s="461">
        <v>529</v>
      </c>
      <c r="I45" s="461">
        <v>457</v>
      </c>
      <c r="J45" s="461">
        <v>986</v>
      </c>
      <c r="K45" s="461">
        <v>539</v>
      </c>
      <c r="L45" s="461">
        <v>425</v>
      </c>
      <c r="M45" s="461">
        <v>964</v>
      </c>
      <c r="N45" s="461">
        <v>47336</v>
      </c>
      <c r="O45" s="461">
        <v>2.0830000000000002</v>
      </c>
      <c r="P45" s="461">
        <v>2.0369999999999999</v>
      </c>
      <c r="Q45" s="461">
        <v>40934</v>
      </c>
      <c r="R45" s="461">
        <v>2.4089999999999998</v>
      </c>
      <c r="S45" s="461">
        <v>2.355</v>
      </c>
    </row>
    <row r="46" spans="5:19" x14ac:dyDescent="0.35">
      <c r="E46" s="461" t="s">
        <v>194</v>
      </c>
      <c r="F46" s="461" t="s">
        <v>245</v>
      </c>
      <c r="G46" s="461" t="s">
        <v>289</v>
      </c>
      <c r="H46" s="461">
        <v>2962</v>
      </c>
      <c r="I46" s="461">
        <v>2361</v>
      </c>
      <c r="J46" s="461">
        <v>5323</v>
      </c>
      <c r="K46" s="461">
        <v>2668</v>
      </c>
      <c r="L46" s="461">
        <v>1393</v>
      </c>
      <c r="M46" s="461">
        <v>4061</v>
      </c>
      <c r="N46" s="461">
        <v>237524</v>
      </c>
      <c r="O46" s="461">
        <v>2.2410000000000001</v>
      </c>
      <c r="P46" s="461">
        <v>1.71</v>
      </c>
      <c r="Q46" s="461">
        <v>227222</v>
      </c>
      <c r="R46" s="461">
        <v>2.343</v>
      </c>
      <c r="S46" s="461">
        <v>1.7869999999999999</v>
      </c>
    </row>
    <row r="47" spans="5:19" x14ac:dyDescent="0.35">
      <c r="E47" s="461" t="s">
        <v>194</v>
      </c>
      <c r="F47" s="461" t="s">
        <v>35</v>
      </c>
      <c r="G47" s="461" t="s">
        <v>267</v>
      </c>
      <c r="H47" s="461">
        <v>354</v>
      </c>
      <c r="I47" s="461">
        <v>518</v>
      </c>
      <c r="J47" s="461">
        <v>872</v>
      </c>
      <c r="K47" s="461">
        <v>391</v>
      </c>
      <c r="L47" s="461">
        <v>151</v>
      </c>
      <c r="M47" s="461">
        <v>542</v>
      </c>
      <c r="N47" s="461">
        <v>23894</v>
      </c>
      <c r="O47" s="461">
        <v>3.649</v>
      </c>
      <c r="P47" s="461">
        <v>2.2679999999999998</v>
      </c>
      <c r="Q47" s="461">
        <v>22978</v>
      </c>
      <c r="R47" s="461">
        <v>3.7949999999999999</v>
      </c>
      <c r="S47" s="461">
        <v>2.359</v>
      </c>
    </row>
    <row r="48" spans="5:19" x14ac:dyDescent="0.35">
      <c r="E48" s="461" t="s">
        <v>194</v>
      </c>
      <c r="F48" s="461" t="s">
        <v>36</v>
      </c>
      <c r="G48" s="461" t="s">
        <v>268</v>
      </c>
      <c r="H48" s="461">
        <v>1064</v>
      </c>
      <c r="I48" s="461">
        <v>392</v>
      </c>
      <c r="J48" s="461">
        <v>1456</v>
      </c>
      <c r="K48" s="461">
        <v>882</v>
      </c>
      <c r="L48" s="461">
        <v>540</v>
      </c>
      <c r="M48" s="461">
        <v>1422</v>
      </c>
      <c r="N48" s="461">
        <v>73555</v>
      </c>
      <c r="O48" s="461">
        <v>1.9790000000000001</v>
      </c>
      <c r="P48" s="461">
        <v>1.9330000000000001</v>
      </c>
      <c r="Q48" s="461">
        <v>68682</v>
      </c>
      <c r="R48" s="461">
        <v>2.12</v>
      </c>
      <c r="S48" s="461">
        <v>2.0699999999999998</v>
      </c>
    </row>
    <row r="49" spans="5:19" x14ac:dyDescent="0.35">
      <c r="E49" s="461" t="s">
        <v>194</v>
      </c>
      <c r="F49" s="461" t="s">
        <v>37</v>
      </c>
      <c r="G49" s="461" t="s">
        <v>294</v>
      </c>
      <c r="H49" s="461">
        <v>1038</v>
      </c>
      <c r="I49" s="461">
        <v>6335</v>
      </c>
      <c r="J49" s="461">
        <v>7373</v>
      </c>
      <c r="K49" s="461">
        <v>936</v>
      </c>
      <c r="L49" s="461">
        <v>496</v>
      </c>
      <c r="M49" s="461">
        <v>1432</v>
      </c>
      <c r="N49" s="461">
        <v>73560</v>
      </c>
      <c r="O49" s="461">
        <v>10.023</v>
      </c>
      <c r="P49" s="461">
        <v>1.9470000000000001</v>
      </c>
      <c r="Q49" s="461">
        <v>69500</v>
      </c>
      <c r="R49" s="461">
        <v>10.609</v>
      </c>
      <c r="S49" s="461">
        <v>2.06</v>
      </c>
    </row>
    <row r="50" spans="5:19" x14ac:dyDescent="0.35">
      <c r="E50" s="461" t="s">
        <v>194</v>
      </c>
      <c r="F50" s="461" t="s">
        <v>38</v>
      </c>
      <c r="G50" s="461" t="s">
        <v>269</v>
      </c>
      <c r="H50" s="461">
        <v>582</v>
      </c>
      <c r="I50" s="461">
        <v>1242</v>
      </c>
      <c r="J50" s="461">
        <v>1824</v>
      </c>
      <c r="K50" s="461">
        <v>662</v>
      </c>
      <c r="L50" s="461">
        <v>298</v>
      </c>
      <c r="M50" s="461">
        <v>960</v>
      </c>
      <c r="N50" s="461">
        <v>57172</v>
      </c>
      <c r="O50" s="461">
        <v>3.19</v>
      </c>
      <c r="P50" s="461">
        <v>1.679</v>
      </c>
      <c r="Q50" s="461">
        <v>54453</v>
      </c>
      <c r="R50" s="461">
        <v>3.35</v>
      </c>
      <c r="S50" s="461">
        <v>1.7629999999999999</v>
      </c>
    </row>
    <row r="51" spans="5:19" x14ac:dyDescent="0.35">
      <c r="E51" s="461" t="s">
        <v>194</v>
      </c>
      <c r="F51" s="461" t="s">
        <v>39</v>
      </c>
      <c r="G51" s="461" t="s">
        <v>296</v>
      </c>
      <c r="H51" s="461">
        <v>554</v>
      </c>
      <c r="I51" s="461">
        <v>307</v>
      </c>
      <c r="J51" s="461">
        <v>861</v>
      </c>
      <c r="K51" s="461">
        <v>757</v>
      </c>
      <c r="L51" s="461">
        <v>209</v>
      </c>
      <c r="M51" s="461">
        <v>966</v>
      </c>
      <c r="N51" s="461">
        <v>44864</v>
      </c>
      <c r="O51" s="461">
        <v>1.919</v>
      </c>
      <c r="P51" s="461">
        <v>2.153</v>
      </c>
      <c r="Q51" s="461">
        <v>44102</v>
      </c>
      <c r="R51" s="461">
        <v>1.952</v>
      </c>
      <c r="S51" s="461">
        <v>2.19</v>
      </c>
    </row>
    <row r="52" spans="5:19" x14ac:dyDescent="0.35">
      <c r="E52" s="461" t="s">
        <v>194</v>
      </c>
      <c r="F52" s="461" t="s">
        <v>40</v>
      </c>
      <c r="G52" s="461" t="s">
        <v>270</v>
      </c>
      <c r="H52" s="461">
        <v>649</v>
      </c>
      <c r="I52" s="461">
        <v>366</v>
      </c>
      <c r="J52" s="461">
        <v>1015</v>
      </c>
      <c r="K52" s="461">
        <v>611</v>
      </c>
      <c r="L52" s="461">
        <v>496</v>
      </c>
      <c r="M52" s="461">
        <v>1107</v>
      </c>
      <c r="N52" s="461">
        <v>45613</v>
      </c>
      <c r="O52" s="461">
        <v>2.2250000000000001</v>
      </c>
      <c r="P52" s="461">
        <v>2.427</v>
      </c>
      <c r="Q52" s="461">
        <v>43682</v>
      </c>
      <c r="R52" s="461">
        <v>2.3239999999999998</v>
      </c>
      <c r="S52" s="461">
        <v>2.5339999999999998</v>
      </c>
    </row>
    <row r="53" spans="5:19" x14ac:dyDescent="0.35">
      <c r="E53" s="461" t="s">
        <v>194</v>
      </c>
      <c r="F53" s="461" t="s">
        <v>41</v>
      </c>
      <c r="G53" s="461" t="s">
        <v>271</v>
      </c>
      <c r="H53" s="461">
        <v>492</v>
      </c>
      <c r="I53" s="461">
        <v>448</v>
      </c>
      <c r="J53" s="461">
        <v>940</v>
      </c>
      <c r="K53" s="461">
        <v>603</v>
      </c>
      <c r="L53" s="461">
        <v>198</v>
      </c>
      <c r="M53" s="461">
        <v>801</v>
      </c>
      <c r="N53" s="461">
        <v>37639</v>
      </c>
      <c r="O53" s="461">
        <v>2.4969999999999999</v>
      </c>
      <c r="P53" s="461">
        <v>2.1280000000000001</v>
      </c>
      <c r="Q53" s="461">
        <v>37804</v>
      </c>
      <c r="R53" s="461">
        <v>2.4870000000000001</v>
      </c>
      <c r="S53" s="461">
        <v>2.1189999999999998</v>
      </c>
    </row>
    <row r="54" spans="5:19" x14ac:dyDescent="0.35">
      <c r="E54" s="461" t="s">
        <v>194</v>
      </c>
      <c r="F54" s="461" t="s">
        <v>42</v>
      </c>
      <c r="G54" s="461" t="s">
        <v>273</v>
      </c>
      <c r="H54">
        <v>552</v>
      </c>
      <c r="I54">
        <v>1169</v>
      </c>
      <c r="J54">
        <v>1721</v>
      </c>
      <c r="K54">
        <v>614</v>
      </c>
      <c r="L54">
        <v>186</v>
      </c>
      <c r="M54">
        <v>800</v>
      </c>
      <c r="N54">
        <v>72128</v>
      </c>
      <c r="O54">
        <v>2.3860000000000001</v>
      </c>
      <c r="P54">
        <v>1.109</v>
      </c>
      <c r="Q54">
        <v>69443</v>
      </c>
      <c r="R54">
        <v>2.4779999999999998</v>
      </c>
      <c r="S54">
        <v>1.1519999999999999</v>
      </c>
    </row>
    <row r="55" spans="5:19" x14ac:dyDescent="0.35">
      <c r="E55" s="461" t="s">
        <v>194</v>
      </c>
      <c r="F55" s="461" t="s">
        <v>43</v>
      </c>
      <c r="G55" s="461" t="s">
        <v>380</v>
      </c>
      <c r="H55">
        <v>3531</v>
      </c>
      <c r="I55">
        <v>3068</v>
      </c>
      <c r="J55">
        <v>6599</v>
      </c>
      <c r="K55">
        <v>3943</v>
      </c>
      <c r="L55">
        <v>1691</v>
      </c>
      <c r="M55">
        <v>5634</v>
      </c>
      <c r="N55">
        <v>171560</v>
      </c>
      <c r="O55">
        <v>3.8460000000000001</v>
      </c>
      <c r="P55">
        <v>3.2839999999999998</v>
      </c>
      <c r="Q55">
        <v>162200</v>
      </c>
      <c r="R55">
        <v>4.0679999999999996</v>
      </c>
      <c r="S55">
        <v>3.4729999999999999</v>
      </c>
    </row>
    <row r="56" spans="5:19" x14ac:dyDescent="0.35">
      <c r="E56" s="461" t="s">
        <v>194</v>
      </c>
      <c r="F56" s="461" t="s">
        <v>114</v>
      </c>
      <c r="G56" s="461" t="s">
        <v>297</v>
      </c>
      <c r="H56">
        <v>2763</v>
      </c>
      <c r="I56">
        <v>3336</v>
      </c>
      <c r="J56">
        <v>6099</v>
      </c>
      <c r="K56">
        <v>3186</v>
      </c>
      <c r="L56">
        <v>954</v>
      </c>
      <c r="M56">
        <v>4140</v>
      </c>
      <c r="N56">
        <v>301633</v>
      </c>
      <c r="O56">
        <v>2.0219999999999998</v>
      </c>
      <c r="P56">
        <v>1.373</v>
      </c>
      <c r="Q56">
        <v>285346</v>
      </c>
      <c r="R56">
        <v>2.137</v>
      </c>
      <c r="S56">
        <v>1.4510000000000001</v>
      </c>
    </row>
    <row r="57" spans="5:19" x14ac:dyDescent="0.35">
      <c r="E57" s="461" t="s">
        <v>194</v>
      </c>
      <c r="F57" s="461" t="s">
        <v>44</v>
      </c>
      <c r="G57" s="461" t="s">
        <v>274</v>
      </c>
      <c r="H57">
        <v>1287</v>
      </c>
      <c r="I57">
        <v>2547</v>
      </c>
      <c r="J57">
        <v>3834</v>
      </c>
      <c r="K57">
        <v>1317</v>
      </c>
      <c r="L57">
        <v>724</v>
      </c>
      <c r="M57">
        <v>2041</v>
      </c>
      <c r="N57">
        <v>113703</v>
      </c>
      <c r="O57">
        <v>3.3719999999999999</v>
      </c>
      <c r="P57">
        <v>1.7949999999999999</v>
      </c>
      <c r="Q57">
        <v>104445</v>
      </c>
      <c r="R57">
        <v>3.6710000000000003</v>
      </c>
      <c r="S57">
        <v>1.954</v>
      </c>
    </row>
    <row r="58" spans="5:19" x14ac:dyDescent="0.35">
      <c r="E58" s="461" t="s">
        <v>194</v>
      </c>
      <c r="F58" s="461" t="s">
        <v>45</v>
      </c>
      <c r="G58" s="461" t="s">
        <v>275</v>
      </c>
      <c r="H58">
        <v>649</v>
      </c>
      <c r="I58">
        <v>595</v>
      </c>
      <c r="J58">
        <v>1244</v>
      </c>
      <c r="K58">
        <v>626</v>
      </c>
      <c r="L58">
        <v>354</v>
      </c>
      <c r="M58">
        <v>980</v>
      </c>
      <c r="N58">
        <v>38791</v>
      </c>
      <c r="O58">
        <v>3.2069999999999999</v>
      </c>
      <c r="P58">
        <v>2.5259999999999998</v>
      </c>
      <c r="Q58">
        <v>37337</v>
      </c>
      <c r="R58">
        <v>3.3319999999999999</v>
      </c>
      <c r="S58">
        <v>2.625</v>
      </c>
    </row>
    <row r="59" spans="5:19" x14ac:dyDescent="0.35">
      <c r="E59" s="461" t="s">
        <v>194</v>
      </c>
      <c r="F59" s="461" t="s">
        <v>46</v>
      </c>
      <c r="G59" s="461" t="s">
        <v>276</v>
      </c>
      <c r="H59">
        <v>569</v>
      </c>
      <c r="I59">
        <v>411</v>
      </c>
      <c r="J59">
        <v>980</v>
      </c>
      <c r="K59">
        <v>405</v>
      </c>
      <c r="L59">
        <v>452</v>
      </c>
      <c r="M59">
        <v>857</v>
      </c>
      <c r="N59">
        <v>37503</v>
      </c>
      <c r="O59">
        <v>2.613</v>
      </c>
      <c r="P59">
        <v>2.2850000000000001</v>
      </c>
      <c r="Q59">
        <v>36009</v>
      </c>
      <c r="R59">
        <v>2.722</v>
      </c>
      <c r="S59">
        <v>2.38</v>
      </c>
    </row>
    <row r="60" spans="5:19" x14ac:dyDescent="0.35">
      <c r="E60" s="461" t="s">
        <v>194</v>
      </c>
      <c r="F60" s="461" t="s">
        <v>47</v>
      </c>
      <c r="G60" s="461" t="s">
        <v>277</v>
      </c>
      <c r="H60">
        <v>332</v>
      </c>
      <c r="I60">
        <v>299</v>
      </c>
      <c r="J60">
        <v>631</v>
      </c>
      <c r="K60">
        <v>317</v>
      </c>
      <c r="L60">
        <v>264</v>
      </c>
      <c r="M60">
        <v>581</v>
      </c>
      <c r="N60">
        <v>43495</v>
      </c>
      <c r="O60">
        <v>1.4510000000000001</v>
      </c>
      <c r="P60">
        <v>1.3360000000000001</v>
      </c>
      <c r="Q60">
        <v>40839</v>
      </c>
      <c r="R60">
        <v>1.5449999999999999</v>
      </c>
      <c r="S60">
        <v>1.423</v>
      </c>
    </row>
    <row r="61" spans="5:19" x14ac:dyDescent="0.35">
      <c r="E61" s="461" t="s">
        <v>194</v>
      </c>
      <c r="F61" s="461" t="s">
        <v>48</v>
      </c>
      <c r="G61" s="461" t="s">
        <v>272</v>
      </c>
      <c r="H61">
        <v>123</v>
      </c>
      <c r="I61">
        <v>226</v>
      </c>
      <c r="J61">
        <v>349</v>
      </c>
      <c r="K61">
        <v>181</v>
      </c>
      <c r="L61">
        <v>15</v>
      </c>
      <c r="M61">
        <v>196</v>
      </c>
      <c r="N61">
        <v>14490</v>
      </c>
      <c r="O61">
        <v>2.4089999999999998</v>
      </c>
      <c r="P61">
        <v>1.353</v>
      </c>
      <c r="Q61">
        <v>12924</v>
      </c>
      <c r="R61">
        <v>2.7</v>
      </c>
      <c r="S61">
        <v>1.5169999999999999</v>
      </c>
    </row>
    <row r="62" spans="5:19" x14ac:dyDescent="0.35">
      <c r="E62" s="461" t="s">
        <v>194</v>
      </c>
      <c r="F62" s="461" t="s">
        <v>49</v>
      </c>
      <c r="G62" s="461" t="s">
        <v>278</v>
      </c>
      <c r="H62">
        <v>958</v>
      </c>
      <c r="I62">
        <v>660</v>
      </c>
      <c r="J62">
        <v>1618</v>
      </c>
      <c r="K62">
        <v>972</v>
      </c>
      <c r="L62">
        <v>661</v>
      </c>
      <c r="M62">
        <v>1633</v>
      </c>
      <c r="N62">
        <v>67082</v>
      </c>
      <c r="O62">
        <v>2.4119999999999999</v>
      </c>
      <c r="P62">
        <v>2.4340000000000002</v>
      </c>
      <c r="Q62">
        <v>62613</v>
      </c>
      <c r="R62">
        <v>2.5840000000000001</v>
      </c>
      <c r="S62">
        <v>2.6080000000000001</v>
      </c>
    </row>
    <row r="63" spans="5:19" x14ac:dyDescent="0.35">
      <c r="E63" s="461" t="s">
        <v>194</v>
      </c>
      <c r="F63" s="461" t="s">
        <v>50</v>
      </c>
      <c r="G63" s="461" t="s">
        <v>295</v>
      </c>
      <c r="H63">
        <v>1381</v>
      </c>
      <c r="I63">
        <v>1452</v>
      </c>
      <c r="J63">
        <v>2833</v>
      </c>
      <c r="K63">
        <v>1819</v>
      </c>
      <c r="L63">
        <v>538</v>
      </c>
      <c r="M63">
        <v>2357</v>
      </c>
      <c r="N63">
        <v>150541</v>
      </c>
      <c r="O63">
        <v>1.8820000000000001</v>
      </c>
      <c r="P63">
        <v>1.5659999999999998</v>
      </c>
      <c r="Q63">
        <v>147554</v>
      </c>
      <c r="R63">
        <v>1.92</v>
      </c>
      <c r="S63">
        <v>1.597</v>
      </c>
    </row>
    <row r="64" spans="5:19" x14ac:dyDescent="0.35">
      <c r="E64" s="461" t="s">
        <v>194</v>
      </c>
      <c r="F64" s="461" t="s">
        <v>51</v>
      </c>
      <c r="G64" s="461" t="s">
        <v>279</v>
      </c>
      <c r="H64">
        <v>115</v>
      </c>
      <c r="I64">
        <v>150</v>
      </c>
      <c r="J64">
        <v>265</v>
      </c>
      <c r="K64">
        <v>183</v>
      </c>
      <c r="L64">
        <v>64</v>
      </c>
      <c r="M64">
        <v>247</v>
      </c>
      <c r="N64">
        <v>10717</v>
      </c>
      <c r="O64">
        <v>2.4729999999999999</v>
      </c>
      <c r="P64">
        <v>2.3050000000000002</v>
      </c>
      <c r="Q64">
        <v>9945</v>
      </c>
      <c r="R64">
        <v>2.665</v>
      </c>
      <c r="S64">
        <v>2.484</v>
      </c>
    </row>
    <row r="65" spans="5:19" x14ac:dyDescent="0.35">
      <c r="E65" s="461" t="s">
        <v>194</v>
      </c>
      <c r="F65" s="461" t="s">
        <v>52</v>
      </c>
      <c r="G65" s="461" t="s">
        <v>280</v>
      </c>
      <c r="H65">
        <v>922</v>
      </c>
      <c r="I65">
        <v>3441</v>
      </c>
      <c r="J65">
        <v>4363</v>
      </c>
      <c r="K65">
        <v>890</v>
      </c>
      <c r="L65">
        <v>524</v>
      </c>
      <c r="M65">
        <v>1414</v>
      </c>
      <c r="N65">
        <v>69923</v>
      </c>
      <c r="O65">
        <v>6.24</v>
      </c>
      <c r="P65">
        <v>2.0219999999999998</v>
      </c>
      <c r="Q65">
        <v>65616</v>
      </c>
      <c r="R65">
        <v>6.649</v>
      </c>
      <c r="S65">
        <v>2.1549999999999998</v>
      </c>
    </row>
    <row r="66" spans="5:19" x14ac:dyDescent="0.35">
      <c r="E66" s="461" t="s">
        <v>194</v>
      </c>
      <c r="F66" s="461" t="s">
        <v>53</v>
      </c>
      <c r="G66" s="461" t="s">
        <v>290</v>
      </c>
      <c r="H66">
        <v>1045</v>
      </c>
      <c r="I66">
        <v>832</v>
      </c>
      <c r="J66">
        <v>1877</v>
      </c>
      <c r="K66">
        <v>1240</v>
      </c>
      <c r="L66">
        <v>486</v>
      </c>
      <c r="M66">
        <v>1726</v>
      </c>
      <c r="N66">
        <v>83933</v>
      </c>
      <c r="O66">
        <v>2.2359999999999998</v>
      </c>
      <c r="P66">
        <v>2.056</v>
      </c>
      <c r="Q66">
        <v>81787</v>
      </c>
      <c r="R66">
        <v>2.2949999999999999</v>
      </c>
      <c r="S66">
        <v>2.11</v>
      </c>
    </row>
    <row r="67" spans="5:19" x14ac:dyDescent="0.35">
      <c r="E67" s="461" t="s">
        <v>194</v>
      </c>
      <c r="F67" s="461" t="s">
        <v>54</v>
      </c>
      <c r="G67" s="461" t="s">
        <v>281</v>
      </c>
      <c r="H67">
        <v>1251</v>
      </c>
      <c r="I67">
        <v>1347</v>
      </c>
      <c r="J67">
        <v>2598</v>
      </c>
      <c r="K67">
        <v>947</v>
      </c>
      <c r="L67">
        <v>1046</v>
      </c>
      <c r="M67">
        <v>1993</v>
      </c>
      <c r="N67">
        <v>57097</v>
      </c>
      <c r="O67">
        <v>4.55</v>
      </c>
      <c r="P67">
        <v>3.4910000000000001</v>
      </c>
      <c r="Q67">
        <v>52934</v>
      </c>
      <c r="R67">
        <v>4.9080000000000004</v>
      </c>
      <c r="S67">
        <v>3.7650000000000001</v>
      </c>
    </row>
    <row r="68" spans="5:19" x14ac:dyDescent="0.35">
      <c r="E68" s="461" t="s">
        <v>194</v>
      </c>
      <c r="F68" s="461" t="s">
        <v>55</v>
      </c>
      <c r="G68" s="461" t="s">
        <v>282</v>
      </c>
      <c r="H68">
        <v>73</v>
      </c>
      <c r="I68">
        <v>218</v>
      </c>
      <c r="J68">
        <v>291</v>
      </c>
      <c r="K68">
        <v>69</v>
      </c>
      <c r="L68">
        <v>56</v>
      </c>
      <c r="M68">
        <v>125</v>
      </c>
      <c r="N68">
        <v>10852</v>
      </c>
      <c r="O68">
        <v>2.6819999999999999</v>
      </c>
      <c r="P68">
        <v>1.1519999999999999</v>
      </c>
      <c r="Q68">
        <v>10135</v>
      </c>
      <c r="R68">
        <v>2.871</v>
      </c>
      <c r="S68">
        <v>1.2330000000000001</v>
      </c>
    </row>
    <row r="69" spans="5:19" x14ac:dyDescent="0.35">
      <c r="E69" s="461" t="s">
        <v>194</v>
      </c>
      <c r="F69" s="461" t="s">
        <v>56</v>
      </c>
      <c r="G69" s="461" t="s">
        <v>283</v>
      </c>
      <c r="H69">
        <v>601</v>
      </c>
      <c r="I69">
        <v>462</v>
      </c>
      <c r="J69">
        <v>1063</v>
      </c>
      <c r="K69">
        <v>577</v>
      </c>
      <c r="L69">
        <v>430</v>
      </c>
      <c r="M69">
        <v>1007</v>
      </c>
      <c r="N69">
        <v>54385</v>
      </c>
      <c r="O69">
        <v>1.9550000000000001</v>
      </c>
      <c r="P69">
        <v>1.8519999999999999</v>
      </c>
      <c r="Q69">
        <v>51654</v>
      </c>
      <c r="R69">
        <v>2.0579999999999998</v>
      </c>
      <c r="S69">
        <v>1.95</v>
      </c>
    </row>
    <row r="70" spans="5:19" x14ac:dyDescent="0.35">
      <c r="E70" s="461" t="s">
        <v>194</v>
      </c>
      <c r="F70" s="461" t="s">
        <v>57</v>
      </c>
      <c r="G70" s="461" t="s">
        <v>284</v>
      </c>
      <c r="H70">
        <v>1230</v>
      </c>
      <c r="I70">
        <v>1647</v>
      </c>
      <c r="J70">
        <v>2877</v>
      </c>
      <c r="K70">
        <v>1474</v>
      </c>
      <c r="L70">
        <v>585</v>
      </c>
      <c r="M70">
        <v>2059</v>
      </c>
      <c r="N70">
        <v>146110</v>
      </c>
      <c r="O70">
        <v>1.9689999999999999</v>
      </c>
      <c r="P70">
        <v>1.409</v>
      </c>
      <c r="Q70">
        <v>141129</v>
      </c>
      <c r="R70">
        <v>2.0390000000000001</v>
      </c>
      <c r="S70">
        <v>1.4590000000000001</v>
      </c>
    </row>
    <row r="71" spans="5:19" x14ac:dyDescent="0.35">
      <c r="E71" s="461" t="s">
        <v>194</v>
      </c>
      <c r="F71" s="461" t="s">
        <v>58</v>
      </c>
      <c r="G71" s="461" t="s">
        <v>285</v>
      </c>
      <c r="H71">
        <v>265</v>
      </c>
      <c r="I71">
        <v>607</v>
      </c>
      <c r="J71">
        <v>872</v>
      </c>
      <c r="K71">
        <v>297</v>
      </c>
      <c r="L71">
        <v>113</v>
      </c>
      <c r="M71">
        <v>410</v>
      </c>
      <c r="N71">
        <v>39965</v>
      </c>
      <c r="O71">
        <v>2.1819999999999999</v>
      </c>
      <c r="P71">
        <v>1.026</v>
      </c>
      <c r="Q71">
        <v>38056</v>
      </c>
      <c r="R71">
        <v>2.2909999999999999</v>
      </c>
      <c r="S71">
        <v>1.077</v>
      </c>
    </row>
    <row r="72" spans="5:19" x14ac:dyDescent="0.35">
      <c r="E72" s="461" t="s">
        <v>194</v>
      </c>
      <c r="F72" s="461" t="s">
        <v>59</v>
      </c>
      <c r="G72" s="461" t="s">
        <v>291</v>
      </c>
      <c r="H72">
        <v>436</v>
      </c>
      <c r="I72">
        <v>496</v>
      </c>
      <c r="J72">
        <v>932</v>
      </c>
      <c r="K72">
        <v>473</v>
      </c>
      <c r="L72">
        <v>195</v>
      </c>
      <c r="M72">
        <v>668</v>
      </c>
      <c r="N72">
        <v>44880</v>
      </c>
      <c r="O72">
        <v>2.077</v>
      </c>
      <c r="P72">
        <v>1.488</v>
      </c>
      <c r="Q72">
        <v>42097</v>
      </c>
      <c r="R72">
        <v>2.214</v>
      </c>
      <c r="S72">
        <v>1.587</v>
      </c>
    </row>
    <row r="73" spans="5:19" x14ac:dyDescent="0.35">
      <c r="E73" s="461" t="s">
        <v>194</v>
      </c>
      <c r="F73" s="461" t="s">
        <v>60</v>
      </c>
      <c r="G73" s="461" t="s">
        <v>292</v>
      </c>
      <c r="H73">
        <v>1381</v>
      </c>
      <c r="I73">
        <v>546</v>
      </c>
      <c r="J73">
        <v>1927</v>
      </c>
      <c r="K73">
        <v>1141</v>
      </c>
      <c r="L73">
        <v>1121</v>
      </c>
      <c r="M73">
        <v>2262</v>
      </c>
      <c r="N73">
        <v>76473</v>
      </c>
      <c r="O73">
        <v>2.52</v>
      </c>
      <c r="P73">
        <v>2.9580000000000002</v>
      </c>
      <c r="Q73">
        <v>74335</v>
      </c>
      <c r="R73">
        <v>2.5920000000000001</v>
      </c>
      <c r="S73">
        <v>3.0430000000000001</v>
      </c>
    </row>
    <row r="74" spans="5:19" x14ac:dyDescent="0.35">
      <c r="E74" s="461" t="s">
        <v>193</v>
      </c>
      <c r="F74" s="461" t="s">
        <v>31</v>
      </c>
      <c r="G74" s="461" t="s">
        <v>286</v>
      </c>
      <c r="H74">
        <v>524</v>
      </c>
      <c r="I74">
        <v>1951</v>
      </c>
      <c r="J74">
        <v>2475</v>
      </c>
      <c r="K74">
        <v>469</v>
      </c>
      <c r="L74">
        <v>283</v>
      </c>
      <c r="M74">
        <v>752</v>
      </c>
      <c r="N74">
        <v>113508</v>
      </c>
      <c r="O74">
        <v>2.1800000000000002</v>
      </c>
      <c r="P74">
        <v>0.66300000000000003</v>
      </c>
      <c r="Q74">
        <v>105287</v>
      </c>
      <c r="R74">
        <v>2.351</v>
      </c>
      <c r="S74">
        <v>0.71399999999999997</v>
      </c>
    </row>
    <row r="75" spans="5:19" x14ac:dyDescent="0.35">
      <c r="E75" s="461" t="s">
        <v>193</v>
      </c>
      <c r="F75" s="461" t="s">
        <v>32</v>
      </c>
      <c r="G75" s="461" t="s">
        <v>287</v>
      </c>
      <c r="H75">
        <v>617</v>
      </c>
      <c r="I75">
        <v>831</v>
      </c>
      <c r="J75">
        <v>1448</v>
      </c>
      <c r="K75">
        <v>609</v>
      </c>
      <c r="L75">
        <v>394</v>
      </c>
      <c r="M75">
        <v>1003</v>
      </c>
      <c r="N75">
        <v>114086</v>
      </c>
      <c r="O75">
        <v>1.2690000000000001</v>
      </c>
      <c r="P75">
        <v>0.879</v>
      </c>
      <c r="Q75">
        <v>108381</v>
      </c>
      <c r="R75">
        <v>1.3360000000000001</v>
      </c>
      <c r="S75">
        <v>0.92500000000000004</v>
      </c>
    </row>
    <row r="76" spans="5:19" x14ac:dyDescent="0.35">
      <c r="E76" s="461" t="s">
        <v>193</v>
      </c>
      <c r="F76" s="461" t="s">
        <v>33</v>
      </c>
      <c r="G76" s="461" t="s">
        <v>293</v>
      </c>
      <c r="H76">
        <v>486</v>
      </c>
      <c r="I76">
        <v>1357</v>
      </c>
      <c r="J76">
        <v>1843</v>
      </c>
      <c r="K76">
        <v>498</v>
      </c>
      <c r="L76">
        <v>226</v>
      </c>
      <c r="M76">
        <v>724</v>
      </c>
      <c r="N76">
        <v>55267</v>
      </c>
      <c r="O76">
        <v>3.335</v>
      </c>
      <c r="P76">
        <v>1.31</v>
      </c>
      <c r="Q76">
        <v>52692</v>
      </c>
      <c r="R76">
        <v>3.4980000000000002</v>
      </c>
      <c r="S76">
        <v>1.3740000000000001</v>
      </c>
    </row>
    <row r="77" spans="5:19" x14ac:dyDescent="0.35">
      <c r="E77" s="461" t="s">
        <v>193</v>
      </c>
      <c r="F77" s="461" t="s">
        <v>34</v>
      </c>
      <c r="G77" s="461" t="s">
        <v>288</v>
      </c>
      <c r="H77">
        <v>498</v>
      </c>
      <c r="I77">
        <v>680</v>
      </c>
      <c r="J77">
        <v>1178</v>
      </c>
      <c r="K77">
        <v>412</v>
      </c>
      <c r="L77">
        <v>414</v>
      </c>
      <c r="M77">
        <v>826</v>
      </c>
      <c r="N77">
        <v>47500</v>
      </c>
      <c r="O77">
        <v>2.48</v>
      </c>
      <c r="P77">
        <v>1.7389999999999999</v>
      </c>
      <c r="Q77">
        <v>40857</v>
      </c>
      <c r="R77">
        <v>2.883</v>
      </c>
      <c r="S77">
        <v>2.0219999999999998</v>
      </c>
    </row>
    <row r="78" spans="5:19" x14ac:dyDescent="0.35">
      <c r="E78" s="461" t="s">
        <v>193</v>
      </c>
      <c r="F78" s="461" t="s">
        <v>245</v>
      </c>
      <c r="G78" s="461" t="s">
        <v>289</v>
      </c>
      <c r="H78">
        <v>2833</v>
      </c>
      <c r="I78">
        <v>2754</v>
      </c>
      <c r="J78">
        <v>5587</v>
      </c>
      <c r="K78">
        <v>2716</v>
      </c>
      <c r="L78">
        <v>1169</v>
      </c>
      <c r="M78">
        <v>3885</v>
      </c>
      <c r="N78">
        <v>239525</v>
      </c>
      <c r="O78">
        <v>2.3330000000000002</v>
      </c>
      <c r="P78">
        <v>1.6219999999999999</v>
      </c>
      <c r="Q78">
        <v>229231</v>
      </c>
      <c r="R78">
        <v>2.4369999999999998</v>
      </c>
      <c r="S78">
        <v>1.6949999999999998</v>
      </c>
    </row>
    <row r="79" spans="5:19" x14ac:dyDescent="0.35">
      <c r="E79" s="461" t="s">
        <v>193</v>
      </c>
      <c r="F79" s="461" t="s">
        <v>35</v>
      </c>
      <c r="G79" s="461" t="s">
        <v>267</v>
      </c>
      <c r="H79">
        <v>273</v>
      </c>
      <c r="I79">
        <v>511</v>
      </c>
      <c r="J79">
        <v>784</v>
      </c>
      <c r="K79">
        <v>314</v>
      </c>
      <c r="L79">
        <v>87</v>
      </c>
      <c r="M79">
        <v>401</v>
      </c>
      <c r="N79">
        <v>23995</v>
      </c>
      <c r="O79">
        <v>3.2669999999999999</v>
      </c>
      <c r="P79">
        <v>1.671</v>
      </c>
      <c r="Q79">
        <v>23217</v>
      </c>
      <c r="R79">
        <v>3.3769999999999998</v>
      </c>
      <c r="S79">
        <v>1.7269999999999999</v>
      </c>
    </row>
    <row r="80" spans="5:19" x14ac:dyDescent="0.35">
      <c r="E80" s="461" t="s">
        <v>193</v>
      </c>
      <c r="F80" s="461" t="s">
        <v>36</v>
      </c>
      <c r="G80" s="461" t="s">
        <v>268</v>
      </c>
      <c r="H80">
        <v>897</v>
      </c>
      <c r="I80">
        <v>629</v>
      </c>
      <c r="J80">
        <v>1526</v>
      </c>
      <c r="K80">
        <v>765</v>
      </c>
      <c r="L80">
        <v>450</v>
      </c>
      <c r="M80">
        <v>1215</v>
      </c>
      <c r="N80">
        <v>73895</v>
      </c>
      <c r="O80">
        <v>2.0649999999999999</v>
      </c>
      <c r="P80">
        <v>1.6440000000000001</v>
      </c>
      <c r="Q80">
        <v>68818</v>
      </c>
      <c r="R80">
        <v>2.2170000000000001</v>
      </c>
      <c r="S80">
        <v>1.766</v>
      </c>
    </row>
    <row r="81" spans="5:19" x14ac:dyDescent="0.35">
      <c r="E81" s="461" t="s">
        <v>193</v>
      </c>
      <c r="F81" s="461" t="s">
        <v>37</v>
      </c>
      <c r="G81" s="461" t="s">
        <v>294</v>
      </c>
      <c r="H81">
        <v>698</v>
      </c>
      <c r="I81">
        <v>3028</v>
      </c>
      <c r="J81">
        <v>3726</v>
      </c>
      <c r="K81">
        <v>677</v>
      </c>
      <c r="L81">
        <v>308</v>
      </c>
      <c r="M81">
        <v>985</v>
      </c>
      <c r="N81">
        <v>73575</v>
      </c>
      <c r="O81">
        <v>5.0640000000000001</v>
      </c>
      <c r="P81">
        <v>1.339</v>
      </c>
      <c r="Q81">
        <v>69610</v>
      </c>
      <c r="R81">
        <v>5.3529999999999998</v>
      </c>
      <c r="S81">
        <v>1.415</v>
      </c>
    </row>
    <row r="82" spans="5:19" x14ac:dyDescent="0.35">
      <c r="E82" s="461" t="s">
        <v>193</v>
      </c>
      <c r="F82" s="461" t="s">
        <v>38</v>
      </c>
      <c r="G82" s="461" t="s">
        <v>269</v>
      </c>
      <c r="H82">
        <v>467</v>
      </c>
      <c r="I82">
        <v>836</v>
      </c>
      <c r="J82">
        <v>1303</v>
      </c>
      <c r="K82">
        <v>506</v>
      </c>
      <c r="L82">
        <v>256</v>
      </c>
      <c r="M82">
        <v>762</v>
      </c>
      <c r="N82">
        <v>57324</v>
      </c>
      <c r="O82">
        <v>2.2730000000000001</v>
      </c>
      <c r="P82">
        <v>1.329</v>
      </c>
      <c r="Q82">
        <v>54401</v>
      </c>
      <c r="R82">
        <v>2.395</v>
      </c>
      <c r="S82">
        <v>1.401</v>
      </c>
    </row>
    <row r="83" spans="5:19" x14ac:dyDescent="0.35">
      <c r="E83" s="461" t="s">
        <v>193</v>
      </c>
      <c r="F83" s="461" t="s">
        <v>39</v>
      </c>
      <c r="G83" s="461" t="s">
        <v>296</v>
      </c>
      <c r="H83">
        <v>562</v>
      </c>
      <c r="I83">
        <v>539</v>
      </c>
      <c r="J83">
        <v>1101</v>
      </c>
      <c r="K83">
        <v>734</v>
      </c>
      <c r="L83">
        <v>214</v>
      </c>
      <c r="M83">
        <v>948</v>
      </c>
      <c r="N83">
        <v>45281</v>
      </c>
      <c r="O83">
        <v>2.431</v>
      </c>
      <c r="P83">
        <v>2.0939999999999999</v>
      </c>
      <c r="Q83">
        <v>44504</v>
      </c>
      <c r="R83">
        <v>2.4740000000000002</v>
      </c>
      <c r="S83">
        <v>2.13</v>
      </c>
    </row>
    <row r="84" spans="5:19" x14ac:dyDescent="0.35">
      <c r="E84" s="461" t="s">
        <v>193</v>
      </c>
      <c r="F84" s="461" t="s">
        <v>40</v>
      </c>
      <c r="G84" s="461" t="s">
        <v>270</v>
      </c>
      <c r="H84">
        <v>737</v>
      </c>
      <c r="I84">
        <v>511</v>
      </c>
      <c r="J84">
        <v>1248</v>
      </c>
      <c r="K84">
        <v>708</v>
      </c>
      <c r="L84">
        <v>526</v>
      </c>
      <c r="M84">
        <v>1234</v>
      </c>
      <c r="N84">
        <v>45968</v>
      </c>
      <c r="O84">
        <v>2.7149999999999999</v>
      </c>
      <c r="P84">
        <v>2.6840000000000002</v>
      </c>
      <c r="Q84">
        <v>43981</v>
      </c>
      <c r="R84">
        <v>2.8380000000000001</v>
      </c>
      <c r="S84">
        <v>2.806</v>
      </c>
    </row>
    <row r="85" spans="5:19" x14ac:dyDescent="0.35">
      <c r="E85" s="461" t="s">
        <v>193</v>
      </c>
      <c r="F85" s="461" t="s">
        <v>41</v>
      </c>
      <c r="G85" s="461" t="s">
        <v>271</v>
      </c>
      <c r="H85">
        <v>546</v>
      </c>
      <c r="I85">
        <v>689</v>
      </c>
      <c r="J85">
        <v>1235</v>
      </c>
      <c r="K85">
        <v>549</v>
      </c>
      <c r="L85">
        <v>267</v>
      </c>
      <c r="M85">
        <v>816</v>
      </c>
      <c r="N85">
        <v>37852</v>
      </c>
      <c r="O85">
        <v>3.2629999999999999</v>
      </c>
      <c r="P85">
        <v>2.1560000000000001</v>
      </c>
      <c r="Q85">
        <v>38048</v>
      </c>
      <c r="R85">
        <v>3.246</v>
      </c>
      <c r="S85">
        <v>2.145</v>
      </c>
    </row>
    <row r="86" spans="5:19" x14ac:dyDescent="0.35">
      <c r="E86" s="461" t="s">
        <v>193</v>
      </c>
      <c r="F86" s="461" t="s">
        <v>42</v>
      </c>
      <c r="G86" s="461" t="s">
        <v>273</v>
      </c>
      <c r="H86">
        <v>533</v>
      </c>
      <c r="I86">
        <v>1084</v>
      </c>
      <c r="J86">
        <v>1617</v>
      </c>
      <c r="K86">
        <v>573</v>
      </c>
      <c r="L86">
        <v>201</v>
      </c>
      <c r="M86">
        <v>774</v>
      </c>
      <c r="N86">
        <v>72624</v>
      </c>
      <c r="O86">
        <v>2.2269999999999999</v>
      </c>
      <c r="P86">
        <v>1.0660000000000001</v>
      </c>
      <c r="Q86">
        <v>69693</v>
      </c>
      <c r="R86">
        <v>2.3199999999999998</v>
      </c>
      <c r="S86">
        <v>1.111</v>
      </c>
    </row>
    <row r="87" spans="5:19" x14ac:dyDescent="0.35">
      <c r="E87" s="461" t="s">
        <v>193</v>
      </c>
      <c r="F87" s="461" t="s">
        <v>43</v>
      </c>
      <c r="G87" s="461" t="s">
        <v>380</v>
      </c>
      <c r="H87">
        <v>3404</v>
      </c>
      <c r="I87">
        <v>3462</v>
      </c>
      <c r="J87">
        <v>6866</v>
      </c>
      <c r="K87">
        <v>3640</v>
      </c>
      <c r="L87">
        <v>1737</v>
      </c>
      <c r="M87">
        <v>5377</v>
      </c>
      <c r="N87">
        <v>172425</v>
      </c>
      <c r="O87">
        <v>3.9820000000000002</v>
      </c>
      <c r="P87">
        <v>3.1179999999999999</v>
      </c>
      <c r="Q87">
        <v>163958</v>
      </c>
      <c r="R87">
        <v>4.1879999999999997</v>
      </c>
      <c r="S87">
        <v>3.2789999999999999</v>
      </c>
    </row>
    <row r="88" spans="5:19" x14ac:dyDescent="0.35">
      <c r="E88" s="461" t="s">
        <v>193</v>
      </c>
      <c r="F88" s="461" t="s">
        <v>114</v>
      </c>
      <c r="G88" s="461" t="s">
        <v>297</v>
      </c>
      <c r="H88">
        <v>2493</v>
      </c>
      <c r="I88">
        <v>3638</v>
      </c>
      <c r="J88">
        <v>6131</v>
      </c>
      <c r="K88">
        <v>2836</v>
      </c>
      <c r="L88">
        <v>867</v>
      </c>
      <c r="M88">
        <v>3703</v>
      </c>
      <c r="N88">
        <v>301891</v>
      </c>
      <c r="O88">
        <v>2.0310000000000001</v>
      </c>
      <c r="P88">
        <v>1.2270000000000001</v>
      </c>
      <c r="Q88">
        <v>286377</v>
      </c>
      <c r="R88">
        <v>2.141</v>
      </c>
      <c r="S88">
        <v>1.2929999999999999</v>
      </c>
    </row>
    <row r="89" spans="5:19" x14ac:dyDescent="0.35">
      <c r="E89" s="461" t="s">
        <v>193</v>
      </c>
      <c r="F89" s="461" t="s">
        <v>44</v>
      </c>
      <c r="G89" s="461" t="s">
        <v>274</v>
      </c>
      <c r="H89">
        <v>962</v>
      </c>
      <c r="I89">
        <v>2623</v>
      </c>
      <c r="J89">
        <v>3585</v>
      </c>
      <c r="K89">
        <v>1042</v>
      </c>
      <c r="L89">
        <v>500</v>
      </c>
      <c r="M89">
        <v>1542</v>
      </c>
      <c r="N89">
        <v>114603</v>
      </c>
      <c r="O89">
        <v>3.1280000000000001</v>
      </c>
      <c r="P89">
        <v>1.3460000000000001</v>
      </c>
      <c r="Q89">
        <v>105711</v>
      </c>
      <c r="R89">
        <v>3.391</v>
      </c>
      <c r="S89">
        <v>1.4590000000000001</v>
      </c>
    </row>
    <row r="90" spans="5:19" x14ac:dyDescent="0.35">
      <c r="E90" s="461" t="s">
        <v>193</v>
      </c>
      <c r="F90" s="461" t="s">
        <v>45</v>
      </c>
      <c r="G90" s="461" t="s">
        <v>275</v>
      </c>
      <c r="H90">
        <v>673</v>
      </c>
      <c r="I90">
        <v>631</v>
      </c>
      <c r="J90">
        <v>1304</v>
      </c>
      <c r="K90">
        <v>636</v>
      </c>
      <c r="L90">
        <v>386</v>
      </c>
      <c r="M90">
        <v>1022</v>
      </c>
      <c r="N90">
        <v>38699</v>
      </c>
      <c r="O90">
        <v>3.37</v>
      </c>
      <c r="P90">
        <v>2.641</v>
      </c>
      <c r="Q90">
        <v>37384</v>
      </c>
      <c r="R90">
        <v>3.488</v>
      </c>
      <c r="S90">
        <v>2.734</v>
      </c>
    </row>
    <row r="91" spans="5:19" x14ac:dyDescent="0.35">
      <c r="E91" s="461" t="s">
        <v>193</v>
      </c>
      <c r="F91" s="461" t="s">
        <v>46</v>
      </c>
      <c r="G91" s="461" t="s">
        <v>276</v>
      </c>
      <c r="H91">
        <v>479</v>
      </c>
      <c r="I91">
        <v>491</v>
      </c>
      <c r="J91">
        <v>970</v>
      </c>
      <c r="K91">
        <v>465</v>
      </c>
      <c r="L91">
        <v>272</v>
      </c>
      <c r="M91">
        <v>737</v>
      </c>
      <c r="N91">
        <v>38159</v>
      </c>
      <c r="O91">
        <v>2.5419999999999998</v>
      </c>
      <c r="P91">
        <v>1.931</v>
      </c>
      <c r="Q91">
        <v>36602</v>
      </c>
      <c r="R91">
        <v>2.65</v>
      </c>
      <c r="S91">
        <v>2.0139999999999998</v>
      </c>
    </row>
    <row r="92" spans="5:19" x14ac:dyDescent="0.35">
      <c r="E92" s="461" t="s">
        <v>193</v>
      </c>
      <c r="F92" s="461" t="s">
        <v>47</v>
      </c>
      <c r="G92" s="461" t="s">
        <v>277</v>
      </c>
      <c r="H92">
        <v>372</v>
      </c>
      <c r="I92">
        <v>356</v>
      </c>
      <c r="J92">
        <v>728</v>
      </c>
      <c r="K92">
        <v>336</v>
      </c>
      <c r="L92">
        <v>293</v>
      </c>
      <c r="M92">
        <v>629</v>
      </c>
      <c r="N92">
        <v>43788</v>
      </c>
      <c r="O92">
        <v>1.663</v>
      </c>
      <c r="P92">
        <v>1.4359999999999999</v>
      </c>
      <c r="Q92">
        <v>41288</v>
      </c>
      <c r="R92">
        <v>1.7629999999999999</v>
      </c>
      <c r="S92">
        <v>1.5230000000000001</v>
      </c>
    </row>
    <row r="93" spans="5:19" x14ac:dyDescent="0.35">
      <c r="E93" s="461" t="s">
        <v>193</v>
      </c>
      <c r="F93" s="461" t="s">
        <v>48</v>
      </c>
      <c r="G93" s="461" t="s">
        <v>272</v>
      </c>
      <c r="H93">
        <v>93</v>
      </c>
      <c r="I93">
        <v>199</v>
      </c>
      <c r="J93">
        <v>292</v>
      </c>
      <c r="K93">
        <v>116</v>
      </c>
      <c r="L93">
        <v>30</v>
      </c>
      <c r="M93">
        <v>146</v>
      </c>
      <c r="N93">
        <v>14520</v>
      </c>
      <c r="O93">
        <v>2.0110000000000001</v>
      </c>
      <c r="P93">
        <v>1.006</v>
      </c>
      <c r="Q93">
        <v>12920</v>
      </c>
      <c r="R93">
        <v>2.2599999999999998</v>
      </c>
      <c r="S93">
        <v>1.1299999999999999</v>
      </c>
    </row>
    <row r="94" spans="5:19" x14ac:dyDescent="0.35">
      <c r="E94" s="461" t="s">
        <v>193</v>
      </c>
      <c r="F94" s="461" t="s">
        <v>49</v>
      </c>
      <c r="G94" s="461" t="s">
        <v>278</v>
      </c>
      <c r="H94">
        <v>901</v>
      </c>
      <c r="I94">
        <v>964</v>
      </c>
      <c r="J94">
        <v>1865</v>
      </c>
      <c r="K94">
        <v>932</v>
      </c>
      <c r="L94">
        <v>551</v>
      </c>
      <c r="M94">
        <v>1483</v>
      </c>
      <c r="N94">
        <v>67204</v>
      </c>
      <c r="O94">
        <v>2.7749999999999999</v>
      </c>
      <c r="P94">
        <v>2.2069999999999999</v>
      </c>
      <c r="Q94">
        <v>62802</v>
      </c>
      <c r="R94">
        <v>2.9699999999999998</v>
      </c>
      <c r="S94">
        <v>2.3609999999999998</v>
      </c>
    </row>
    <row r="95" spans="5:19" x14ac:dyDescent="0.35">
      <c r="E95" s="461" t="s">
        <v>193</v>
      </c>
      <c r="F95" s="461" t="s">
        <v>50</v>
      </c>
      <c r="G95" s="461" t="s">
        <v>295</v>
      </c>
      <c r="H95">
        <v>1427</v>
      </c>
      <c r="I95">
        <v>2067</v>
      </c>
      <c r="J95">
        <v>3494</v>
      </c>
      <c r="K95">
        <v>1929</v>
      </c>
      <c r="L95">
        <v>499</v>
      </c>
      <c r="M95">
        <v>2428</v>
      </c>
      <c r="N95">
        <v>151424</v>
      </c>
      <c r="O95">
        <v>2.3069999999999999</v>
      </c>
      <c r="P95">
        <v>1.603</v>
      </c>
      <c r="Q95">
        <v>148610</v>
      </c>
      <c r="R95">
        <v>2.351</v>
      </c>
      <c r="S95">
        <v>1.6339999999999999</v>
      </c>
    </row>
    <row r="96" spans="5:19" x14ac:dyDescent="0.35">
      <c r="E96" s="461" t="s">
        <v>193</v>
      </c>
      <c r="F96" s="461" t="s">
        <v>51</v>
      </c>
      <c r="G96" s="461" t="s">
        <v>279</v>
      </c>
      <c r="H96">
        <v>87</v>
      </c>
      <c r="I96">
        <v>161</v>
      </c>
      <c r="J96">
        <v>248</v>
      </c>
      <c r="K96">
        <v>64</v>
      </c>
      <c r="L96">
        <v>81</v>
      </c>
      <c r="M96">
        <v>145</v>
      </c>
      <c r="N96">
        <v>10816</v>
      </c>
      <c r="O96">
        <v>2.2930000000000001</v>
      </c>
      <c r="P96">
        <v>1.341</v>
      </c>
      <c r="Q96">
        <v>10042</v>
      </c>
      <c r="R96">
        <v>2.4699999999999998</v>
      </c>
      <c r="S96">
        <v>1.444</v>
      </c>
    </row>
    <row r="97" spans="5:19" x14ac:dyDescent="0.35">
      <c r="E97" s="461" t="s">
        <v>193</v>
      </c>
      <c r="F97" s="461" t="s">
        <v>52</v>
      </c>
      <c r="G97" s="461" t="s">
        <v>280</v>
      </c>
      <c r="H97">
        <v>635</v>
      </c>
      <c r="I97">
        <v>1787</v>
      </c>
      <c r="J97">
        <v>2422</v>
      </c>
      <c r="K97">
        <v>628</v>
      </c>
      <c r="L97">
        <v>319</v>
      </c>
      <c r="M97">
        <v>947</v>
      </c>
      <c r="N97">
        <v>70312</v>
      </c>
      <c r="O97">
        <v>3.4449999999999998</v>
      </c>
      <c r="P97">
        <v>1.347</v>
      </c>
      <c r="Q97">
        <v>66035</v>
      </c>
      <c r="R97">
        <v>3.6680000000000001</v>
      </c>
      <c r="S97">
        <v>1.4339999999999999</v>
      </c>
    </row>
    <row r="98" spans="5:19" x14ac:dyDescent="0.35">
      <c r="E98" s="461" t="s">
        <v>193</v>
      </c>
      <c r="F98" s="461" t="s">
        <v>53</v>
      </c>
      <c r="G98" s="461" t="s">
        <v>290</v>
      </c>
      <c r="H98">
        <v>885</v>
      </c>
      <c r="I98">
        <v>1268</v>
      </c>
      <c r="J98">
        <v>2153</v>
      </c>
      <c r="K98">
        <v>1020</v>
      </c>
      <c r="L98">
        <v>425</v>
      </c>
      <c r="M98">
        <v>1445</v>
      </c>
      <c r="N98">
        <v>84442</v>
      </c>
      <c r="O98">
        <v>2.5499999999999998</v>
      </c>
      <c r="P98">
        <v>1.7109999999999999</v>
      </c>
      <c r="Q98">
        <v>82385</v>
      </c>
      <c r="R98">
        <v>2.613</v>
      </c>
      <c r="S98">
        <v>1.754</v>
      </c>
    </row>
    <row r="99" spans="5:19" x14ac:dyDescent="0.35">
      <c r="E99" s="461" t="s">
        <v>193</v>
      </c>
      <c r="F99" s="461" t="s">
        <v>54</v>
      </c>
      <c r="G99" s="461" t="s">
        <v>281</v>
      </c>
      <c r="H99">
        <v>1229</v>
      </c>
      <c r="I99">
        <v>1194</v>
      </c>
      <c r="J99">
        <v>2423</v>
      </c>
      <c r="K99">
        <v>844</v>
      </c>
      <c r="L99">
        <v>1072</v>
      </c>
      <c r="M99">
        <v>1916</v>
      </c>
      <c r="N99">
        <v>57274</v>
      </c>
      <c r="O99">
        <v>4.2309999999999999</v>
      </c>
      <c r="P99">
        <v>3.3449999999999998</v>
      </c>
      <c r="Q99">
        <v>53157</v>
      </c>
      <c r="R99">
        <v>4.5579999999999998</v>
      </c>
      <c r="S99">
        <v>3.6040000000000001</v>
      </c>
    </row>
    <row r="100" spans="5:19" x14ac:dyDescent="0.35">
      <c r="E100" s="461" t="s">
        <v>193</v>
      </c>
      <c r="F100" s="461" t="s">
        <v>55</v>
      </c>
      <c r="G100" s="461" t="s">
        <v>282</v>
      </c>
      <c r="H100">
        <v>55</v>
      </c>
      <c r="I100">
        <v>168</v>
      </c>
      <c r="J100">
        <v>223</v>
      </c>
      <c r="K100">
        <v>60</v>
      </c>
      <c r="L100">
        <v>42</v>
      </c>
      <c r="M100">
        <v>102</v>
      </c>
      <c r="N100">
        <v>10950</v>
      </c>
      <c r="O100">
        <v>2.0369999999999999</v>
      </c>
      <c r="P100">
        <v>0.93200000000000005</v>
      </c>
      <c r="Q100">
        <v>10166</v>
      </c>
      <c r="R100">
        <v>2.194</v>
      </c>
      <c r="S100">
        <v>1.0029999999999999</v>
      </c>
    </row>
    <row r="101" spans="5:19" x14ac:dyDescent="0.35">
      <c r="E101" s="461" t="s">
        <v>193</v>
      </c>
      <c r="F101" s="461" t="s">
        <v>56</v>
      </c>
      <c r="G101" s="461" t="s">
        <v>283</v>
      </c>
      <c r="H101">
        <v>608</v>
      </c>
      <c r="I101">
        <v>517</v>
      </c>
      <c r="J101">
        <v>1125</v>
      </c>
      <c r="K101">
        <v>715</v>
      </c>
      <c r="L101">
        <v>318</v>
      </c>
      <c r="M101">
        <v>1033</v>
      </c>
      <c r="N101">
        <v>54489</v>
      </c>
      <c r="O101">
        <v>2.0649999999999999</v>
      </c>
      <c r="P101">
        <v>1.8959999999999999</v>
      </c>
      <c r="Q101">
        <v>51874</v>
      </c>
      <c r="R101">
        <v>2.169</v>
      </c>
      <c r="S101">
        <v>1.9910000000000001</v>
      </c>
    </row>
    <row r="102" spans="5:19" x14ac:dyDescent="0.35">
      <c r="E102" s="461" t="s">
        <v>193</v>
      </c>
      <c r="F102" s="461" t="s">
        <v>57</v>
      </c>
      <c r="G102" s="461" t="s">
        <v>284</v>
      </c>
      <c r="H102">
        <v>1155</v>
      </c>
      <c r="I102">
        <v>1979</v>
      </c>
      <c r="J102">
        <v>3134</v>
      </c>
      <c r="K102">
        <v>1410</v>
      </c>
      <c r="L102">
        <v>474</v>
      </c>
      <c r="M102">
        <v>1884</v>
      </c>
      <c r="N102">
        <v>146925</v>
      </c>
      <c r="O102">
        <v>2.133</v>
      </c>
      <c r="P102">
        <v>1.282</v>
      </c>
      <c r="Q102">
        <v>142286</v>
      </c>
      <c r="R102">
        <v>2.2029999999999998</v>
      </c>
      <c r="S102">
        <v>1.3240000000000001</v>
      </c>
    </row>
    <row r="103" spans="5:19" x14ac:dyDescent="0.35">
      <c r="E103" s="461" t="s">
        <v>193</v>
      </c>
      <c r="F103" s="461" t="s">
        <v>58</v>
      </c>
      <c r="G103" s="461" t="s">
        <v>285</v>
      </c>
      <c r="H103">
        <v>352</v>
      </c>
      <c r="I103">
        <v>667</v>
      </c>
      <c r="J103">
        <v>1019</v>
      </c>
      <c r="K103">
        <v>391</v>
      </c>
      <c r="L103">
        <v>166</v>
      </c>
      <c r="M103">
        <v>557</v>
      </c>
      <c r="N103">
        <v>40320</v>
      </c>
      <c r="O103">
        <v>2.5270000000000001</v>
      </c>
      <c r="P103">
        <v>1.381</v>
      </c>
      <c r="Q103">
        <v>38310</v>
      </c>
      <c r="R103">
        <v>2.66</v>
      </c>
      <c r="S103">
        <v>1.454</v>
      </c>
    </row>
    <row r="104" spans="5:19" x14ac:dyDescent="0.35">
      <c r="E104" s="461" t="s">
        <v>193</v>
      </c>
      <c r="F104" s="461" t="s">
        <v>59</v>
      </c>
      <c r="G104" s="461" t="s">
        <v>291</v>
      </c>
      <c r="H104">
        <v>402</v>
      </c>
      <c r="I104">
        <v>519</v>
      </c>
      <c r="J104">
        <v>921</v>
      </c>
      <c r="K104">
        <v>471</v>
      </c>
      <c r="L104">
        <v>160</v>
      </c>
      <c r="M104">
        <v>631</v>
      </c>
      <c r="N104">
        <v>44734</v>
      </c>
      <c r="O104">
        <v>2.0590000000000002</v>
      </c>
      <c r="P104">
        <v>1.411</v>
      </c>
      <c r="Q104">
        <v>42353</v>
      </c>
      <c r="R104">
        <v>2.1749999999999998</v>
      </c>
      <c r="S104">
        <v>1.49</v>
      </c>
    </row>
    <row r="105" spans="5:19" x14ac:dyDescent="0.35">
      <c r="E105" s="461" t="s">
        <v>193</v>
      </c>
      <c r="F105" s="461" t="s">
        <v>60</v>
      </c>
      <c r="G105" s="461" t="s">
        <v>292</v>
      </c>
      <c r="H105">
        <v>1103</v>
      </c>
      <c r="I105">
        <v>638</v>
      </c>
      <c r="J105">
        <v>1741</v>
      </c>
      <c r="K105">
        <v>967</v>
      </c>
      <c r="L105">
        <v>813</v>
      </c>
      <c r="M105">
        <v>1780</v>
      </c>
      <c r="N105">
        <v>77186</v>
      </c>
      <c r="O105">
        <v>2.2560000000000002</v>
      </c>
      <c r="P105">
        <v>2.306</v>
      </c>
      <c r="Q105">
        <v>75035</v>
      </c>
      <c r="R105">
        <v>2.3199999999999998</v>
      </c>
      <c r="S105">
        <v>2.3719999999999999</v>
      </c>
    </row>
    <row r="106" spans="5:19" x14ac:dyDescent="0.35">
      <c r="E106" s="461" t="s">
        <v>192</v>
      </c>
      <c r="F106" s="461" t="s">
        <v>31</v>
      </c>
      <c r="G106" s="461" t="s">
        <v>286</v>
      </c>
      <c r="H106">
        <v>572</v>
      </c>
      <c r="I106">
        <v>2074</v>
      </c>
      <c r="J106">
        <v>2646</v>
      </c>
      <c r="K106">
        <v>538</v>
      </c>
      <c r="L106">
        <v>281</v>
      </c>
      <c r="M106">
        <v>819</v>
      </c>
      <c r="N106">
        <v>114234</v>
      </c>
      <c r="O106">
        <v>2.3159999999999998</v>
      </c>
      <c r="P106">
        <v>0.71699999999999997</v>
      </c>
      <c r="Q106">
        <v>105311</v>
      </c>
      <c r="R106">
        <v>2.5129999999999999</v>
      </c>
      <c r="S106">
        <v>0.77800000000000002</v>
      </c>
    </row>
    <row r="107" spans="5:19" x14ac:dyDescent="0.35">
      <c r="E107" s="461" t="s">
        <v>192</v>
      </c>
      <c r="F107" s="461" t="s">
        <v>32</v>
      </c>
      <c r="G107" s="461" t="s">
        <v>287</v>
      </c>
      <c r="H107">
        <v>683</v>
      </c>
      <c r="I107">
        <v>1249</v>
      </c>
      <c r="J107">
        <v>1932</v>
      </c>
      <c r="K107">
        <v>648</v>
      </c>
      <c r="L107">
        <v>431</v>
      </c>
      <c r="M107">
        <v>1079</v>
      </c>
      <c r="N107">
        <v>115223</v>
      </c>
      <c r="O107">
        <v>1.677</v>
      </c>
      <c r="P107">
        <v>0.93600000000000005</v>
      </c>
      <c r="Q107">
        <v>109631</v>
      </c>
      <c r="R107">
        <v>1.762</v>
      </c>
      <c r="S107">
        <v>0.98399999999999999</v>
      </c>
    </row>
    <row r="108" spans="5:19" x14ac:dyDescent="0.35">
      <c r="E108" s="461" t="s">
        <v>192</v>
      </c>
      <c r="F108" s="461" t="s">
        <v>33</v>
      </c>
      <c r="G108" s="461" t="s">
        <v>293</v>
      </c>
      <c r="H108">
        <v>485</v>
      </c>
      <c r="I108">
        <v>1685</v>
      </c>
      <c r="J108">
        <v>2170</v>
      </c>
      <c r="K108">
        <v>462</v>
      </c>
      <c r="L108">
        <v>262</v>
      </c>
      <c r="M108">
        <v>724</v>
      </c>
      <c r="N108">
        <v>55619</v>
      </c>
      <c r="O108">
        <v>3.9020000000000001</v>
      </c>
      <c r="P108">
        <v>1.302</v>
      </c>
      <c r="Q108">
        <v>53142</v>
      </c>
      <c r="R108">
        <v>4.0830000000000002</v>
      </c>
      <c r="S108">
        <v>1.3620000000000001</v>
      </c>
    </row>
    <row r="109" spans="5:19" x14ac:dyDescent="0.35">
      <c r="E109" s="461" t="s">
        <v>192</v>
      </c>
      <c r="F109" s="461" t="s">
        <v>34</v>
      </c>
      <c r="G109" s="461" t="s">
        <v>288</v>
      </c>
      <c r="H109">
        <v>667</v>
      </c>
      <c r="I109">
        <v>980</v>
      </c>
      <c r="J109">
        <v>1647</v>
      </c>
      <c r="K109">
        <v>562</v>
      </c>
      <c r="L109">
        <v>512</v>
      </c>
      <c r="M109">
        <v>1074</v>
      </c>
      <c r="N109">
        <v>47712</v>
      </c>
      <c r="O109">
        <v>3.452</v>
      </c>
      <c r="P109">
        <v>2.2509999999999999</v>
      </c>
      <c r="Q109">
        <v>40938</v>
      </c>
      <c r="R109">
        <v>4.0229999999999997</v>
      </c>
      <c r="S109">
        <v>2.6230000000000002</v>
      </c>
    </row>
    <row r="110" spans="5:19" x14ac:dyDescent="0.35">
      <c r="E110" s="461" t="s">
        <v>192</v>
      </c>
      <c r="F110" s="461" t="s">
        <v>245</v>
      </c>
      <c r="G110" s="461" t="s">
        <v>289</v>
      </c>
      <c r="H110">
        <v>2759</v>
      </c>
      <c r="I110">
        <v>2546</v>
      </c>
      <c r="J110">
        <v>5305</v>
      </c>
      <c r="K110">
        <v>2752</v>
      </c>
      <c r="L110">
        <v>1091</v>
      </c>
      <c r="M110">
        <v>3843</v>
      </c>
      <c r="N110">
        <v>241433</v>
      </c>
      <c r="O110">
        <v>2.1970000000000001</v>
      </c>
      <c r="P110">
        <v>1.5920000000000001</v>
      </c>
      <c r="Q110">
        <v>229650</v>
      </c>
      <c r="R110">
        <v>2.31</v>
      </c>
      <c r="S110">
        <v>1.673</v>
      </c>
    </row>
    <row r="111" spans="5:19" x14ac:dyDescent="0.35">
      <c r="E111" s="461" t="s">
        <v>192</v>
      </c>
      <c r="F111" s="461" t="s">
        <v>35</v>
      </c>
      <c r="G111" s="461" t="s">
        <v>267</v>
      </c>
      <c r="H111">
        <v>243</v>
      </c>
      <c r="I111">
        <v>382</v>
      </c>
      <c r="J111">
        <v>625</v>
      </c>
      <c r="K111">
        <v>229</v>
      </c>
      <c r="L111">
        <v>130</v>
      </c>
      <c r="M111">
        <v>359</v>
      </c>
      <c r="N111">
        <v>24114</v>
      </c>
      <c r="O111">
        <v>2.5920000000000001</v>
      </c>
      <c r="P111">
        <v>1.4889999999999999</v>
      </c>
      <c r="Q111">
        <v>23333</v>
      </c>
      <c r="R111">
        <v>2.6790000000000003</v>
      </c>
      <c r="S111">
        <v>1.5390000000000001</v>
      </c>
    </row>
    <row r="112" spans="5:19" x14ac:dyDescent="0.35">
      <c r="E112" s="461" t="s">
        <v>192</v>
      </c>
      <c r="F112" s="461" t="s">
        <v>36</v>
      </c>
      <c r="G112" s="461" t="s">
        <v>268</v>
      </c>
      <c r="H112">
        <v>1086</v>
      </c>
      <c r="I112">
        <v>1068</v>
      </c>
      <c r="J112">
        <v>2154</v>
      </c>
      <c r="K112">
        <v>923</v>
      </c>
      <c r="L112">
        <v>558</v>
      </c>
      <c r="M112">
        <v>1481</v>
      </c>
      <c r="N112">
        <v>74190</v>
      </c>
      <c r="O112">
        <v>2.903</v>
      </c>
      <c r="P112">
        <v>1.996</v>
      </c>
      <c r="Q112">
        <v>68999</v>
      </c>
      <c r="R112">
        <v>3.1219999999999999</v>
      </c>
      <c r="S112">
        <v>2.1459999999999999</v>
      </c>
    </row>
    <row r="113" spans="5:19" x14ac:dyDescent="0.35">
      <c r="E113" s="461" t="s">
        <v>192</v>
      </c>
      <c r="F113" s="461" t="s">
        <v>37</v>
      </c>
      <c r="G113" s="461" t="s">
        <v>294</v>
      </c>
      <c r="H113">
        <v>849</v>
      </c>
      <c r="I113">
        <v>3502</v>
      </c>
      <c r="J113">
        <v>4351</v>
      </c>
      <c r="K113">
        <v>818</v>
      </c>
      <c r="L113">
        <v>370</v>
      </c>
      <c r="M113">
        <v>1188</v>
      </c>
      <c r="N113">
        <v>73689</v>
      </c>
      <c r="O113">
        <v>5.9050000000000002</v>
      </c>
      <c r="P113">
        <v>1.6120000000000001</v>
      </c>
      <c r="Q113">
        <v>69534</v>
      </c>
      <c r="R113">
        <v>6.2569999999999997</v>
      </c>
      <c r="S113">
        <v>1.7090000000000001</v>
      </c>
    </row>
    <row r="114" spans="5:19" x14ac:dyDescent="0.35">
      <c r="E114" s="461" t="s">
        <v>192</v>
      </c>
      <c r="F114" s="461" t="s">
        <v>38</v>
      </c>
      <c r="G114" s="461" t="s">
        <v>269</v>
      </c>
      <c r="H114">
        <v>509</v>
      </c>
      <c r="I114">
        <v>829</v>
      </c>
      <c r="J114">
        <v>1338</v>
      </c>
      <c r="K114">
        <v>543</v>
      </c>
      <c r="L114">
        <v>320</v>
      </c>
      <c r="M114">
        <v>863</v>
      </c>
      <c r="N114">
        <v>57654</v>
      </c>
      <c r="O114">
        <v>2.3210000000000002</v>
      </c>
      <c r="P114">
        <v>1.4969999999999999</v>
      </c>
      <c r="Q114">
        <v>54570</v>
      </c>
      <c r="R114">
        <v>2.452</v>
      </c>
      <c r="S114">
        <v>1.581</v>
      </c>
    </row>
    <row r="115" spans="5:19" x14ac:dyDescent="0.35">
      <c r="E115" s="461" t="s">
        <v>192</v>
      </c>
      <c r="F115" s="461" t="s">
        <v>39</v>
      </c>
      <c r="G115" s="461" t="s">
        <v>296</v>
      </c>
      <c r="H115">
        <v>662</v>
      </c>
      <c r="I115">
        <v>793</v>
      </c>
      <c r="J115">
        <v>1455</v>
      </c>
      <c r="K115">
        <v>844</v>
      </c>
      <c r="L115">
        <v>248</v>
      </c>
      <c r="M115">
        <v>1092</v>
      </c>
      <c r="N115">
        <v>45678</v>
      </c>
      <c r="O115">
        <v>3.1850000000000001</v>
      </c>
      <c r="P115">
        <v>2.391</v>
      </c>
      <c r="Q115">
        <v>45008</v>
      </c>
      <c r="R115">
        <v>3.2330000000000001</v>
      </c>
      <c r="S115">
        <v>2.4260000000000002</v>
      </c>
    </row>
    <row r="116" spans="5:19" x14ac:dyDescent="0.35">
      <c r="E116" s="461" t="s">
        <v>192</v>
      </c>
      <c r="F116" s="461" t="s">
        <v>40</v>
      </c>
      <c r="G116" s="461" t="s">
        <v>270</v>
      </c>
      <c r="H116">
        <v>716</v>
      </c>
      <c r="I116">
        <v>704</v>
      </c>
      <c r="J116">
        <v>1420</v>
      </c>
      <c r="K116">
        <v>715</v>
      </c>
      <c r="L116">
        <v>505</v>
      </c>
      <c r="M116">
        <v>1220</v>
      </c>
      <c r="N116">
        <v>46332</v>
      </c>
      <c r="O116">
        <v>3.0649999999999999</v>
      </c>
      <c r="P116">
        <v>2.633</v>
      </c>
      <c r="Q116">
        <v>44384</v>
      </c>
      <c r="R116">
        <v>3.1989999999999998</v>
      </c>
      <c r="S116">
        <v>2.7490000000000001</v>
      </c>
    </row>
    <row r="117" spans="5:19" x14ac:dyDescent="0.35">
      <c r="E117" s="461" t="s">
        <v>192</v>
      </c>
      <c r="F117" s="461" t="s">
        <v>41</v>
      </c>
      <c r="G117" s="461" t="s">
        <v>271</v>
      </c>
      <c r="H117">
        <v>587</v>
      </c>
      <c r="I117">
        <v>1106</v>
      </c>
      <c r="J117">
        <v>1693</v>
      </c>
      <c r="K117">
        <v>640</v>
      </c>
      <c r="L117">
        <v>250</v>
      </c>
      <c r="M117">
        <v>890</v>
      </c>
      <c r="N117">
        <v>38061</v>
      </c>
      <c r="O117">
        <v>4.4480000000000004</v>
      </c>
      <c r="P117">
        <v>2.3380000000000001</v>
      </c>
      <c r="Q117">
        <v>38270</v>
      </c>
      <c r="R117">
        <v>4.4240000000000004</v>
      </c>
      <c r="S117">
        <v>2.3260000000000001</v>
      </c>
    </row>
    <row r="118" spans="5:19" x14ac:dyDescent="0.35">
      <c r="E118" s="461" t="s">
        <v>192</v>
      </c>
      <c r="F118" s="461" t="s">
        <v>42</v>
      </c>
      <c r="G118" s="461" t="s">
        <v>273</v>
      </c>
      <c r="H118">
        <v>552</v>
      </c>
      <c r="I118">
        <v>1153</v>
      </c>
      <c r="J118">
        <v>1705</v>
      </c>
      <c r="K118">
        <v>631</v>
      </c>
      <c r="L118">
        <v>207</v>
      </c>
      <c r="M118">
        <v>838</v>
      </c>
      <c r="N118">
        <v>73290</v>
      </c>
      <c r="O118">
        <v>2.3260000000000001</v>
      </c>
      <c r="P118">
        <v>1.143</v>
      </c>
      <c r="Q118">
        <v>70431</v>
      </c>
      <c r="R118">
        <v>2.4209999999999998</v>
      </c>
      <c r="S118">
        <v>1.19</v>
      </c>
    </row>
    <row r="119" spans="5:19" x14ac:dyDescent="0.35">
      <c r="E119" s="461" t="s">
        <v>192</v>
      </c>
      <c r="F119" s="461" t="s">
        <v>43</v>
      </c>
      <c r="G119" s="461" t="s">
        <v>380</v>
      </c>
      <c r="H119">
        <v>3204</v>
      </c>
      <c r="I119">
        <v>3874</v>
      </c>
      <c r="J119">
        <v>7078</v>
      </c>
      <c r="K119">
        <v>3231</v>
      </c>
      <c r="L119">
        <v>1803</v>
      </c>
      <c r="M119">
        <v>5034</v>
      </c>
      <c r="N119">
        <v>173366</v>
      </c>
      <c r="O119">
        <v>4.0830000000000002</v>
      </c>
      <c r="P119">
        <v>2.9039999999999999</v>
      </c>
      <c r="Q119">
        <v>164705</v>
      </c>
      <c r="R119">
        <v>4.2969999999999997</v>
      </c>
      <c r="S119">
        <v>3.056</v>
      </c>
    </row>
    <row r="120" spans="5:19" x14ac:dyDescent="0.35">
      <c r="E120" s="461" t="s">
        <v>192</v>
      </c>
      <c r="F120" s="461" t="s">
        <v>114</v>
      </c>
      <c r="G120" s="461" t="s">
        <v>297</v>
      </c>
      <c r="H120">
        <v>2649</v>
      </c>
      <c r="I120">
        <v>3737</v>
      </c>
      <c r="J120">
        <v>6386</v>
      </c>
      <c r="K120">
        <v>2864</v>
      </c>
      <c r="L120">
        <v>956</v>
      </c>
      <c r="M120">
        <v>3820</v>
      </c>
      <c r="N120">
        <v>304013</v>
      </c>
      <c r="O120">
        <v>2.101</v>
      </c>
      <c r="P120">
        <v>1.2570000000000001</v>
      </c>
      <c r="Q120">
        <v>287862</v>
      </c>
      <c r="R120">
        <v>2.218</v>
      </c>
      <c r="S120">
        <v>1.327</v>
      </c>
    </row>
    <row r="121" spans="5:19" x14ac:dyDescent="0.35">
      <c r="E121" s="461" t="s">
        <v>192</v>
      </c>
      <c r="F121" s="461" t="s">
        <v>44</v>
      </c>
      <c r="G121" s="461" t="s">
        <v>274</v>
      </c>
      <c r="H121">
        <v>1073</v>
      </c>
      <c r="I121">
        <v>2605</v>
      </c>
      <c r="J121">
        <v>3678</v>
      </c>
      <c r="K121">
        <v>1225</v>
      </c>
      <c r="L121">
        <v>526</v>
      </c>
      <c r="M121">
        <v>1751</v>
      </c>
      <c r="N121">
        <v>115538</v>
      </c>
      <c r="O121">
        <v>3.1829999999999998</v>
      </c>
      <c r="P121">
        <v>1.516</v>
      </c>
      <c r="Q121">
        <v>106834</v>
      </c>
      <c r="R121">
        <v>3.4430000000000001</v>
      </c>
      <c r="S121">
        <v>1.639</v>
      </c>
    </row>
    <row r="122" spans="5:19" x14ac:dyDescent="0.35">
      <c r="E122" s="461" t="s">
        <v>192</v>
      </c>
      <c r="F122" s="461" t="s">
        <v>45</v>
      </c>
      <c r="G122" s="461" t="s">
        <v>275</v>
      </c>
      <c r="H122">
        <v>758</v>
      </c>
      <c r="I122">
        <v>936</v>
      </c>
      <c r="J122">
        <v>1694</v>
      </c>
      <c r="K122">
        <v>685</v>
      </c>
      <c r="L122">
        <v>396</v>
      </c>
      <c r="M122">
        <v>1081</v>
      </c>
      <c r="N122">
        <v>38787</v>
      </c>
      <c r="O122">
        <v>4.367</v>
      </c>
      <c r="P122">
        <v>2.7869999999999999</v>
      </c>
      <c r="Q122">
        <v>37426</v>
      </c>
      <c r="R122">
        <v>4.5259999999999998</v>
      </c>
      <c r="S122">
        <v>2.8879999999999999</v>
      </c>
    </row>
    <row r="123" spans="5:19" x14ac:dyDescent="0.35">
      <c r="E123" s="461" t="s">
        <v>192</v>
      </c>
      <c r="F123" s="461" t="s">
        <v>46</v>
      </c>
      <c r="G123" s="461" t="s">
        <v>276</v>
      </c>
      <c r="H123">
        <v>574</v>
      </c>
      <c r="I123">
        <v>527</v>
      </c>
      <c r="J123">
        <v>1101</v>
      </c>
      <c r="K123">
        <v>474</v>
      </c>
      <c r="L123">
        <v>435</v>
      </c>
      <c r="M123">
        <v>909</v>
      </c>
      <c r="N123">
        <v>38675</v>
      </c>
      <c r="O123">
        <v>2.847</v>
      </c>
      <c r="P123">
        <v>2.35</v>
      </c>
      <c r="Q123">
        <v>37069</v>
      </c>
      <c r="R123">
        <v>2.9699999999999998</v>
      </c>
      <c r="S123">
        <v>2.452</v>
      </c>
    </row>
    <row r="124" spans="5:19" x14ac:dyDescent="0.35">
      <c r="E124" s="461" t="s">
        <v>192</v>
      </c>
      <c r="F124" s="461" t="s">
        <v>47</v>
      </c>
      <c r="G124" s="461" t="s">
        <v>277</v>
      </c>
      <c r="H124">
        <v>426</v>
      </c>
      <c r="I124">
        <v>479</v>
      </c>
      <c r="J124">
        <v>905</v>
      </c>
      <c r="K124">
        <v>383</v>
      </c>
      <c r="L124">
        <v>384</v>
      </c>
      <c r="M124">
        <v>767</v>
      </c>
      <c r="N124">
        <v>44096</v>
      </c>
      <c r="O124">
        <v>2.052</v>
      </c>
      <c r="P124">
        <v>1.7389999999999999</v>
      </c>
      <c r="Q124">
        <v>41641</v>
      </c>
      <c r="R124">
        <v>2.173</v>
      </c>
      <c r="S124">
        <v>1.8420000000000001</v>
      </c>
    </row>
    <row r="125" spans="5:19" x14ac:dyDescent="0.35">
      <c r="E125" s="461" t="s">
        <v>192</v>
      </c>
      <c r="F125" s="461" t="s">
        <v>48</v>
      </c>
      <c r="G125" s="461" t="s">
        <v>272</v>
      </c>
      <c r="H125">
        <v>114</v>
      </c>
      <c r="I125">
        <v>205</v>
      </c>
      <c r="J125">
        <v>319</v>
      </c>
      <c r="K125">
        <v>144</v>
      </c>
      <c r="L125">
        <v>41</v>
      </c>
      <c r="M125">
        <v>185</v>
      </c>
      <c r="N125">
        <v>14577</v>
      </c>
      <c r="O125">
        <v>2.1880000000000002</v>
      </c>
      <c r="P125">
        <v>1.2690000000000001</v>
      </c>
      <c r="Q125">
        <v>12968</v>
      </c>
      <c r="R125">
        <v>2.46</v>
      </c>
      <c r="S125">
        <v>1.427</v>
      </c>
    </row>
    <row r="126" spans="5:19" x14ac:dyDescent="0.35">
      <c r="E126" s="461" t="s">
        <v>192</v>
      </c>
      <c r="F126" s="461" t="s">
        <v>49</v>
      </c>
      <c r="G126" s="461" t="s">
        <v>278</v>
      </c>
      <c r="H126">
        <v>932</v>
      </c>
      <c r="I126">
        <v>1137</v>
      </c>
      <c r="J126">
        <v>2069</v>
      </c>
      <c r="K126">
        <v>954</v>
      </c>
      <c r="L126">
        <v>531</v>
      </c>
      <c r="M126">
        <v>1485</v>
      </c>
      <c r="N126">
        <v>67590</v>
      </c>
      <c r="O126">
        <v>3.0609999999999999</v>
      </c>
      <c r="P126">
        <v>2.1970000000000001</v>
      </c>
      <c r="Q126">
        <v>63189</v>
      </c>
      <c r="R126">
        <v>3.274</v>
      </c>
      <c r="S126">
        <v>2.35</v>
      </c>
    </row>
    <row r="127" spans="5:19" x14ac:dyDescent="0.35">
      <c r="E127" s="461" t="s">
        <v>192</v>
      </c>
      <c r="F127" s="461" t="s">
        <v>50</v>
      </c>
      <c r="G127" s="461" t="s">
        <v>295</v>
      </c>
      <c r="H127">
        <v>1654</v>
      </c>
      <c r="I127">
        <v>2505</v>
      </c>
      <c r="J127">
        <v>4159</v>
      </c>
      <c r="K127">
        <v>2213</v>
      </c>
      <c r="L127">
        <v>542</v>
      </c>
      <c r="M127">
        <v>2755</v>
      </c>
      <c r="N127">
        <v>152293</v>
      </c>
      <c r="O127">
        <v>2.7309999999999999</v>
      </c>
      <c r="P127">
        <v>1.8090000000000002</v>
      </c>
      <c r="Q127">
        <v>149282</v>
      </c>
      <c r="R127">
        <v>2.786</v>
      </c>
      <c r="S127">
        <v>1.8460000000000001</v>
      </c>
    </row>
    <row r="128" spans="5:19" x14ac:dyDescent="0.35">
      <c r="E128" s="461" t="s">
        <v>192</v>
      </c>
      <c r="F128" s="461" t="s">
        <v>51</v>
      </c>
      <c r="G128" s="461" t="s">
        <v>279</v>
      </c>
      <c r="H128">
        <v>134</v>
      </c>
      <c r="I128">
        <v>192</v>
      </c>
      <c r="J128">
        <v>326</v>
      </c>
      <c r="K128">
        <v>109</v>
      </c>
      <c r="L128">
        <v>92</v>
      </c>
      <c r="M128">
        <v>201</v>
      </c>
      <c r="N128">
        <v>10924</v>
      </c>
      <c r="O128">
        <v>2.984</v>
      </c>
      <c r="P128">
        <v>1.8399999999999999</v>
      </c>
      <c r="Q128">
        <v>10146</v>
      </c>
      <c r="R128">
        <v>3.2130000000000001</v>
      </c>
      <c r="S128">
        <v>1.9809999999999999</v>
      </c>
    </row>
    <row r="129" spans="5:19" x14ac:dyDescent="0.35">
      <c r="E129" s="461" t="s">
        <v>192</v>
      </c>
      <c r="F129" s="461" t="s">
        <v>52</v>
      </c>
      <c r="G129" s="461" t="s">
        <v>280</v>
      </c>
      <c r="H129">
        <v>443</v>
      </c>
      <c r="I129">
        <v>1554</v>
      </c>
      <c r="J129">
        <v>1997</v>
      </c>
      <c r="K129">
        <v>437</v>
      </c>
      <c r="L129">
        <v>234</v>
      </c>
      <c r="M129">
        <v>671</v>
      </c>
      <c r="N129">
        <v>70828</v>
      </c>
      <c r="O129">
        <v>2.82</v>
      </c>
      <c r="P129">
        <v>0.94699999999999995</v>
      </c>
      <c r="Q129">
        <v>66545</v>
      </c>
      <c r="R129">
        <v>3.0009999999999999</v>
      </c>
      <c r="S129">
        <v>1.008</v>
      </c>
    </row>
    <row r="130" spans="5:19" x14ac:dyDescent="0.35">
      <c r="E130" s="461" t="s">
        <v>192</v>
      </c>
      <c r="F130" s="461" t="s">
        <v>53</v>
      </c>
      <c r="G130" s="461" t="s">
        <v>290</v>
      </c>
      <c r="H130">
        <v>794</v>
      </c>
      <c r="I130">
        <v>944</v>
      </c>
      <c r="J130">
        <v>1738</v>
      </c>
      <c r="K130">
        <v>865</v>
      </c>
      <c r="L130">
        <v>399</v>
      </c>
      <c r="M130">
        <v>1264</v>
      </c>
      <c r="N130">
        <v>84997</v>
      </c>
      <c r="O130">
        <v>2.0449999999999999</v>
      </c>
      <c r="P130">
        <v>1.4870000000000001</v>
      </c>
      <c r="Q130">
        <v>83245</v>
      </c>
      <c r="R130">
        <v>2.0880000000000001</v>
      </c>
      <c r="S130">
        <v>1.518</v>
      </c>
    </row>
    <row r="131" spans="5:19" x14ac:dyDescent="0.35">
      <c r="E131" s="461" t="s">
        <v>192</v>
      </c>
      <c r="F131" s="461" t="s">
        <v>54</v>
      </c>
      <c r="G131" s="461" t="s">
        <v>281</v>
      </c>
      <c r="H131">
        <v>1347</v>
      </c>
      <c r="I131">
        <v>1196</v>
      </c>
      <c r="J131">
        <v>2543</v>
      </c>
      <c r="K131">
        <v>802</v>
      </c>
      <c r="L131">
        <v>1330</v>
      </c>
      <c r="M131">
        <v>2132</v>
      </c>
      <c r="N131">
        <v>57628</v>
      </c>
      <c r="O131">
        <v>4.4130000000000003</v>
      </c>
      <c r="P131">
        <v>3.7</v>
      </c>
      <c r="Q131">
        <v>53351</v>
      </c>
      <c r="R131">
        <v>4.7670000000000003</v>
      </c>
      <c r="S131">
        <v>3.996</v>
      </c>
    </row>
    <row r="132" spans="5:19" x14ac:dyDescent="0.35">
      <c r="E132" s="461" t="s">
        <v>192</v>
      </c>
      <c r="F132" s="461" t="s">
        <v>55</v>
      </c>
      <c r="G132" s="461" t="s">
        <v>282</v>
      </c>
      <c r="H132">
        <v>100</v>
      </c>
      <c r="I132">
        <v>177</v>
      </c>
      <c r="J132">
        <v>277</v>
      </c>
      <c r="K132">
        <v>101</v>
      </c>
      <c r="L132">
        <v>94</v>
      </c>
      <c r="M132">
        <v>195</v>
      </c>
      <c r="N132">
        <v>11021</v>
      </c>
      <c r="O132">
        <v>2.5129999999999999</v>
      </c>
      <c r="P132">
        <v>1.7690000000000001</v>
      </c>
      <c r="Q132">
        <v>10235</v>
      </c>
      <c r="R132">
        <v>2.706</v>
      </c>
      <c r="S132">
        <v>1.905</v>
      </c>
    </row>
    <row r="133" spans="5:19" x14ac:dyDescent="0.35">
      <c r="E133" s="461" t="s">
        <v>192</v>
      </c>
      <c r="F133" s="461" t="s">
        <v>56</v>
      </c>
      <c r="G133" s="461" t="s">
        <v>283</v>
      </c>
      <c r="H133">
        <v>657</v>
      </c>
      <c r="I133">
        <v>731</v>
      </c>
      <c r="J133">
        <v>1388</v>
      </c>
      <c r="K133">
        <v>688</v>
      </c>
      <c r="L133">
        <v>380</v>
      </c>
      <c r="M133">
        <v>1068</v>
      </c>
      <c r="N133">
        <v>54635</v>
      </c>
      <c r="O133">
        <v>2.54</v>
      </c>
      <c r="P133">
        <v>1.9550000000000001</v>
      </c>
      <c r="Q133">
        <v>51912</v>
      </c>
      <c r="R133">
        <v>2.6739999999999999</v>
      </c>
      <c r="S133">
        <v>2.0569999999999999</v>
      </c>
    </row>
    <row r="134" spans="5:19" x14ac:dyDescent="0.35">
      <c r="E134" s="461" t="s">
        <v>192</v>
      </c>
      <c r="F134" s="461" t="s">
        <v>57</v>
      </c>
      <c r="G134" s="461" t="s">
        <v>284</v>
      </c>
      <c r="H134">
        <v>1189</v>
      </c>
      <c r="I134">
        <v>2143</v>
      </c>
      <c r="J134">
        <v>3332</v>
      </c>
      <c r="K134">
        <v>1396</v>
      </c>
      <c r="L134">
        <v>511</v>
      </c>
      <c r="M134">
        <v>1907</v>
      </c>
      <c r="N134">
        <v>147849</v>
      </c>
      <c r="O134">
        <v>2.254</v>
      </c>
      <c r="P134">
        <v>1.29</v>
      </c>
      <c r="Q134">
        <v>143313</v>
      </c>
      <c r="R134">
        <v>2.3250000000000002</v>
      </c>
      <c r="S134">
        <v>1.331</v>
      </c>
    </row>
    <row r="135" spans="5:19" x14ac:dyDescent="0.35">
      <c r="E135" s="461" t="s">
        <v>192</v>
      </c>
      <c r="F135" s="461" t="s">
        <v>58</v>
      </c>
      <c r="G135" s="461" t="s">
        <v>285</v>
      </c>
      <c r="H135">
        <v>358</v>
      </c>
      <c r="I135">
        <v>653</v>
      </c>
      <c r="J135">
        <v>1011</v>
      </c>
      <c r="K135">
        <v>384</v>
      </c>
      <c r="L135">
        <v>181</v>
      </c>
      <c r="M135">
        <v>565</v>
      </c>
      <c r="N135">
        <v>40646</v>
      </c>
      <c r="O135">
        <v>2.4870000000000001</v>
      </c>
      <c r="P135">
        <v>1.3900000000000001</v>
      </c>
      <c r="Q135">
        <v>38665</v>
      </c>
      <c r="R135">
        <v>2.6150000000000002</v>
      </c>
      <c r="S135">
        <v>1.4610000000000001</v>
      </c>
    </row>
    <row r="136" spans="5:19" x14ac:dyDescent="0.35">
      <c r="E136" s="461" t="s">
        <v>192</v>
      </c>
      <c r="F136" s="461" t="s">
        <v>59</v>
      </c>
      <c r="G136" s="461" t="s">
        <v>291</v>
      </c>
      <c r="H136">
        <v>470</v>
      </c>
      <c r="I136">
        <v>934</v>
      </c>
      <c r="J136">
        <v>1404</v>
      </c>
      <c r="K136">
        <v>586</v>
      </c>
      <c r="L136">
        <v>154</v>
      </c>
      <c r="M136">
        <v>740</v>
      </c>
      <c r="N136">
        <v>45056</v>
      </c>
      <c r="O136">
        <v>3.1160000000000001</v>
      </c>
      <c r="P136">
        <v>1.6419999999999999</v>
      </c>
      <c r="Q136">
        <v>42571</v>
      </c>
      <c r="R136">
        <v>3.298</v>
      </c>
      <c r="S136">
        <v>1.738</v>
      </c>
    </row>
    <row r="137" spans="5:19" x14ac:dyDescent="0.35">
      <c r="E137" s="461" t="s">
        <v>192</v>
      </c>
      <c r="F137" s="461" t="s">
        <v>60</v>
      </c>
      <c r="G137" s="461" t="s">
        <v>292</v>
      </c>
      <c r="H137">
        <v>1092</v>
      </c>
      <c r="I137">
        <v>779</v>
      </c>
      <c r="J137">
        <v>1871</v>
      </c>
      <c r="K137">
        <v>1051</v>
      </c>
      <c r="L137">
        <v>659</v>
      </c>
      <c r="M137">
        <v>1710</v>
      </c>
      <c r="N137">
        <v>77834</v>
      </c>
      <c r="O137">
        <v>2.4039999999999999</v>
      </c>
      <c r="P137">
        <v>2.1970000000000001</v>
      </c>
      <c r="Q137">
        <v>75782</v>
      </c>
      <c r="R137">
        <v>2.4689999999999999</v>
      </c>
      <c r="S137">
        <v>2.2560000000000002</v>
      </c>
    </row>
    <row r="138" spans="5:19" x14ac:dyDescent="0.35">
      <c r="E138" s="461" t="s">
        <v>258</v>
      </c>
      <c r="F138" s="461" t="s">
        <v>31</v>
      </c>
      <c r="G138" s="461" t="s">
        <v>286</v>
      </c>
      <c r="H138">
        <v>466</v>
      </c>
      <c r="I138">
        <v>1427</v>
      </c>
      <c r="J138">
        <v>1893</v>
      </c>
      <c r="K138">
        <v>374</v>
      </c>
      <c r="L138">
        <v>299</v>
      </c>
      <c r="M138">
        <v>673</v>
      </c>
      <c r="N138">
        <v>115080</v>
      </c>
      <c r="O138">
        <v>1.645</v>
      </c>
      <c r="P138">
        <v>0.58499999999999996</v>
      </c>
      <c r="Q138">
        <v>106749</v>
      </c>
      <c r="R138">
        <v>1.7730000000000001</v>
      </c>
      <c r="S138">
        <v>0.63</v>
      </c>
    </row>
    <row r="139" spans="5:19" x14ac:dyDescent="0.35">
      <c r="E139" s="461" t="s">
        <v>258</v>
      </c>
      <c r="F139" s="461" t="s">
        <v>32</v>
      </c>
      <c r="G139" s="461" t="s">
        <v>287</v>
      </c>
      <c r="H139">
        <v>739</v>
      </c>
      <c r="I139">
        <v>1595</v>
      </c>
      <c r="J139">
        <v>2334</v>
      </c>
      <c r="K139">
        <v>712</v>
      </c>
      <c r="L139">
        <v>510</v>
      </c>
      <c r="M139">
        <v>1222</v>
      </c>
      <c r="N139">
        <v>116421</v>
      </c>
      <c r="O139">
        <v>2.0049999999999999</v>
      </c>
      <c r="P139">
        <v>1.05</v>
      </c>
      <c r="Q139">
        <v>110296</v>
      </c>
      <c r="R139">
        <v>2.1160000000000001</v>
      </c>
      <c r="S139">
        <v>1.1080000000000001</v>
      </c>
    </row>
    <row r="140" spans="5:19" x14ac:dyDescent="0.35">
      <c r="E140" s="461" t="s">
        <v>258</v>
      </c>
      <c r="F140" s="461" t="s">
        <v>33</v>
      </c>
      <c r="G140" s="461" t="s">
        <v>293</v>
      </c>
      <c r="H140">
        <v>499</v>
      </c>
      <c r="I140">
        <v>1528</v>
      </c>
      <c r="J140">
        <v>2027</v>
      </c>
      <c r="K140">
        <v>450</v>
      </c>
      <c r="L140">
        <v>277</v>
      </c>
      <c r="M140">
        <v>727</v>
      </c>
      <c r="N140">
        <v>55872</v>
      </c>
      <c r="O140">
        <v>3.6280000000000001</v>
      </c>
      <c r="P140">
        <v>1.3009999999999999</v>
      </c>
      <c r="Q140">
        <v>53333</v>
      </c>
      <c r="R140">
        <v>3.8010000000000002</v>
      </c>
      <c r="S140">
        <v>1.363</v>
      </c>
    </row>
    <row r="141" spans="5:19" x14ac:dyDescent="0.35">
      <c r="E141" s="461" t="s">
        <v>258</v>
      </c>
      <c r="F141" s="461" t="s">
        <v>34</v>
      </c>
      <c r="G141" s="461" t="s">
        <v>288</v>
      </c>
      <c r="H141">
        <v>630</v>
      </c>
      <c r="I141">
        <v>925</v>
      </c>
      <c r="J141">
        <v>1555</v>
      </c>
      <c r="K141">
        <v>481</v>
      </c>
      <c r="L141">
        <v>497</v>
      </c>
      <c r="M141">
        <v>978</v>
      </c>
      <c r="N141">
        <v>47780</v>
      </c>
      <c r="O141">
        <v>3.254</v>
      </c>
      <c r="P141">
        <v>2.0470000000000002</v>
      </c>
      <c r="Q141">
        <v>41040</v>
      </c>
      <c r="R141">
        <v>3.7890000000000001</v>
      </c>
      <c r="S141">
        <v>2.383</v>
      </c>
    </row>
    <row r="142" spans="5:19" x14ac:dyDescent="0.35">
      <c r="E142" s="461" t="s">
        <v>258</v>
      </c>
      <c r="F142" s="461" t="s">
        <v>245</v>
      </c>
      <c r="G142" s="461" t="s">
        <v>289</v>
      </c>
      <c r="H142">
        <v>2671</v>
      </c>
      <c r="I142">
        <v>2368</v>
      </c>
      <c r="J142">
        <v>5039</v>
      </c>
      <c r="K142">
        <v>2446</v>
      </c>
      <c r="L142">
        <v>1264</v>
      </c>
      <c r="M142">
        <v>3710</v>
      </c>
      <c r="N142">
        <v>244131</v>
      </c>
      <c r="O142">
        <v>2.0640000000000001</v>
      </c>
      <c r="P142">
        <v>1.52</v>
      </c>
      <c r="Q142">
        <v>231383</v>
      </c>
      <c r="R142">
        <v>2.1779999999999999</v>
      </c>
      <c r="S142">
        <v>1.603</v>
      </c>
    </row>
    <row r="143" spans="5:19" x14ac:dyDescent="0.35">
      <c r="E143" s="461" t="s">
        <v>258</v>
      </c>
      <c r="F143" s="461" t="s">
        <v>35</v>
      </c>
      <c r="G143" s="461" t="s">
        <v>267</v>
      </c>
      <c r="H143">
        <v>270</v>
      </c>
      <c r="I143">
        <v>361</v>
      </c>
      <c r="J143">
        <v>631</v>
      </c>
      <c r="K143">
        <v>281</v>
      </c>
      <c r="L143">
        <v>120</v>
      </c>
      <c r="M143">
        <v>401</v>
      </c>
      <c r="N143">
        <v>24221</v>
      </c>
      <c r="O143">
        <v>2.605</v>
      </c>
      <c r="P143">
        <v>1.6560000000000001</v>
      </c>
      <c r="Q143">
        <v>23401</v>
      </c>
      <c r="R143">
        <v>2.6959999999999997</v>
      </c>
      <c r="S143">
        <v>1.714</v>
      </c>
    </row>
    <row r="144" spans="5:19" x14ac:dyDescent="0.35">
      <c r="E144" s="461" t="s">
        <v>258</v>
      </c>
      <c r="F144" s="461" t="s">
        <v>36</v>
      </c>
      <c r="G144" s="461" t="s">
        <v>268</v>
      </c>
      <c r="H144">
        <v>1262</v>
      </c>
      <c r="I144">
        <v>848</v>
      </c>
      <c r="J144">
        <v>2110</v>
      </c>
      <c r="K144">
        <v>1150</v>
      </c>
      <c r="L144">
        <v>642</v>
      </c>
      <c r="M144">
        <v>1792</v>
      </c>
      <c r="N144">
        <v>74453</v>
      </c>
      <c r="O144">
        <v>2.8340000000000001</v>
      </c>
      <c r="P144">
        <v>2.407</v>
      </c>
      <c r="Q144">
        <v>69202</v>
      </c>
      <c r="R144">
        <v>3.0489999999999999</v>
      </c>
      <c r="S144">
        <v>2.59</v>
      </c>
    </row>
    <row r="145" spans="5:19" x14ac:dyDescent="0.35">
      <c r="E145" s="461" t="s">
        <v>258</v>
      </c>
      <c r="F145" s="461" t="s">
        <v>37</v>
      </c>
      <c r="G145" s="461" t="s">
        <v>294</v>
      </c>
      <c r="H145">
        <v>870</v>
      </c>
      <c r="I145">
        <v>3054</v>
      </c>
      <c r="J145">
        <v>3924</v>
      </c>
      <c r="K145">
        <v>823</v>
      </c>
      <c r="L145">
        <v>377</v>
      </c>
      <c r="M145">
        <v>1200</v>
      </c>
      <c r="N145">
        <v>74026</v>
      </c>
      <c r="O145">
        <v>5.3010000000000002</v>
      </c>
      <c r="P145">
        <v>1.621</v>
      </c>
      <c r="Q145">
        <v>69635</v>
      </c>
      <c r="R145">
        <v>5.6349999999999998</v>
      </c>
      <c r="S145">
        <v>1.7229999999999999</v>
      </c>
    </row>
    <row r="146" spans="5:19" x14ac:dyDescent="0.35">
      <c r="E146" s="461" t="s">
        <v>258</v>
      </c>
      <c r="F146" s="461" t="s">
        <v>38</v>
      </c>
      <c r="G146" s="461" t="s">
        <v>269</v>
      </c>
      <c r="H146">
        <v>574</v>
      </c>
      <c r="I146">
        <v>681</v>
      </c>
      <c r="J146">
        <v>1255</v>
      </c>
      <c r="K146">
        <v>584</v>
      </c>
      <c r="L146">
        <v>364</v>
      </c>
      <c r="M146">
        <v>948</v>
      </c>
      <c r="N146">
        <v>57873</v>
      </c>
      <c r="O146">
        <v>2.169</v>
      </c>
      <c r="P146">
        <v>1.6379999999999999</v>
      </c>
      <c r="Q146">
        <v>54748</v>
      </c>
      <c r="R146">
        <v>2.2919999999999998</v>
      </c>
      <c r="S146">
        <v>1.732</v>
      </c>
    </row>
    <row r="147" spans="5:19" x14ac:dyDescent="0.35">
      <c r="E147" s="461" t="s">
        <v>258</v>
      </c>
      <c r="F147" s="461" t="s">
        <v>39</v>
      </c>
      <c r="G147" s="461" t="s">
        <v>296</v>
      </c>
      <c r="H147">
        <v>720</v>
      </c>
      <c r="I147">
        <v>659</v>
      </c>
      <c r="J147">
        <v>1379</v>
      </c>
      <c r="K147">
        <v>857</v>
      </c>
      <c r="L147">
        <v>291</v>
      </c>
      <c r="M147">
        <v>1148</v>
      </c>
      <c r="N147">
        <v>46026</v>
      </c>
      <c r="O147">
        <v>2.996</v>
      </c>
      <c r="P147">
        <v>2.4939999999999998</v>
      </c>
      <c r="Q147">
        <v>45350</v>
      </c>
      <c r="R147">
        <v>3.0409999999999999</v>
      </c>
      <c r="S147">
        <v>2.5310000000000001</v>
      </c>
    </row>
    <row r="148" spans="5:19" x14ac:dyDescent="0.35">
      <c r="E148" s="461" t="s">
        <v>258</v>
      </c>
      <c r="F148" s="461" t="s">
        <v>40</v>
      </c>
      <c r="G148" s="461" t="s">
        <v>270</v>
      </c>
      <c r="H148">
        <v>596</v>
      </c>
      <c r="I148">
        <v>578</v>
      </c>
      <c r="J148">
        <v>1174</v>
      </c>
      <c r="K148">
        <v>608</v>
      </c>
      <c r="L148">
        <v>364</v>
      </c>
      <c r="M148">
        <v>972</v>
      </c>
      <c r="N148">
        <v>46672</v>
      </c>
      <c r="O148">
        <v>2.5150000000000001</v>
      </c>
      <c r="P148">
        <v>2.0830000000000002</v>
      </c>
      <c r="Q148">
        <v>44749</v>
      </c>
      <c r="R148">
        <v>2.6240000000000001</v>
      </c>
      <c r="S148">
        <v>2.1720000000000002</v>
      </c>
    </row>
    <row r="149" spans="5:19" x14ac:dyDescent="0.35">
      <c r="E149" s="461" t="s">
        <v>258</v>
      </c>
      <c r="F149" s="461" t="s">
        <v>41</v>
      </c>
      <c r="G149" s="461" t="s">
        <v>271</v>
      </c>
      <c r="H149">
        <v>644</v>
      </c>
      <c r="I149">
        <v>916</v>
      </c>
      <c r="J149">
        <v>1560</v>
      </c>
      <c r="K149">
        <v>686</v>
      </c>
      <c r="L149">
        <v>274</v>
      </c>
      <c r="M149">
        <v>960</v>
      </c>
      <c r="N149">
        <v>38389</v>
      </c>
      <c r="O149">
        <v>4.0640000000000001</v>
      </c>
      <c r="P149">
        <v>2.5009999999999999</v>
      </c>
      <c r="Q149">
        <v>38581</v>
      </c>
      <c r="R149">
        <v>4.0430000000000001</v>
      </c>
      <c r="S149">
        <v>2.488</v>
      </c>
    </row>
    <row r="150" spans="5:19" x14ac:dyDescent="0.35">
      <c r="E150" s="461" t="s">
        <v>258</v>
      </c>
      <c r="F150" s="461" t="s">
        <v>42</v>
      </c>
      <c r="G150" s="461" t="s">
        <v>273</v>
      </c>
      <c r="H150">
        <v>570</v>
      </c>
      <c r="I150">
        <v>980</v>
      </c>
      <c r="J150">
        <v>1550</v>
      </c>
      <c r="K150">
        <v>612</v>
      </c>
      <c r="L150">
        <v>266</v>
      </c>
      <c r="M150">
        <v>878</v>
      </c>
      <c r="N150">
        <v>73767</v>
      </c>
      <c r="O150">
        <v>2.101</v>
      </c>
      <c r="P150">
        <v>1.19</v>
      </c>
      <c r="Q150">
        <v>71072</v>
      </c>
      <c r="R150">
        <v>2.181</v>
      </c>
      <c r="S150">
        <v>1.2349999999999999</v>
      </c>
    </row>
    <row r="151" spans="5:19" x14ac:dyDescent="0.35">
      <c r="E151" s="461" t="s">
        <v>258</v>
      </c>
      <c r="F151" s="461" t="s">
        <v>43</v>
      </c>
      <c r="G151" s="461" t="s">
        <v>380</v>
      </c>
      <c r="H151">
        <v>3394</v>
      </c>
      <c r="I151">
        <v>3061</v>
      </c>
      <c r="J151">
        <v>6455</v>
      </c>
      <c r="K151">
        <v>3465</v>
      </c>
      <c r="L151">
        <v>1854</v>
      </c>
      <c r="M151">
        <v>5319</v>
      </c>
      <c r="N151">
        <v>174528</v>
      </c>
      <c r="O151">
        <v>3.6989999999999998</v>
      </c>
      <c r="P151">
        <v>3.048</v>
      </c>
      <c r="Q151">
        <v>165833</v>
      </c>
      <c r="R151">
        <v>3.8919999999999999</v>
      </c>
      <c r="S151">
        <v>3.2069999999999999</v>
      </c>
    </row>
    <row r="152" spans="5:19" x14ac:dyDescent="0.35">
      <c r="E152" s="461" t="s">
        <v>258</v>
      </c>
      <c r="F152" s="461" t="s">
        <v>114</v>
      </c>
      <c r="G152" s="461" t="s">
        <v>297</v>
      </c>
      <c r="H152">
        <v>2486</v>
      </c>
      <c r="I152">
        <v>3499</v>
      </c>
      <c r="J152">
        <v>5985</v>
      </c>
      <c r="K152">
        <v>2532</v>
      </c>
      <c r="L152">
        <v>949</v>
      </c>
      <c r="M152">
        <v>3481</v>
      </c>
      <c r="N152">
        <v>306000</v>
      </c>
      <c r="O152">
        <v>1.956</v>
      </c>
      <c r="P152">
        <v>1.1379999999999999</v>
      </c>
      <c r="Q152">
        <v>289399</v>
      </c>
      <c r="R152">
        <v>2.0680000000000001</v>
      </c>
      <c r="S152">
        <v>1.2030000000000001</v>
      </c>
    </row>
    <row r="153" spans="5:19" x14ac:dyDescent="0.35">
      <c r="E153" s="461" t="s">
        <v>258</v>
      </c>
      <c r="F153" s="461" t="s">
        <v>44</v>
      </c>
      <c r="G153" s="461" t="s">
        <v>274</v>
      </c>
      <c r="H153">
        <v>1215</v>
      </c>
      <c r="I153">
        <v>3439</v>
      </c>
      <c r="J153">
        <v>4654</v>
      </c>
      <c r="K153">
        <v>1204</v>
      </c>
      <c r="L153">
        <v>702</v>
      </c>
      <c r="M153">
        <v>1906</v>
      </c>
      <c r="N153">
        <v>116453</v>
      </c>
      <c r="O153">
        <v>3.996</v>
      </c>
      <c r="P153">
        <v>1.637</v>
      </c>
      <c r="Q153">
        <v>107573</v>
      </c>
      <c r="R153">
        <v>4.3259999999999996</v>
      </c>
      <c r="S153">
        <v>1.772</v>
      </c>
    </row>
    <row r="154" spans="5:19" x14ac:dyDescent="0.35">
      <c r="E154" s="461" t="s">
        <v>258</v>
      </c>
      <c r="F154" s="461" t="s">
        <v>45</v>
      </c>
      <c r="G154" s="461" t="s">
        <v>275</v>
      </c>
      <c r="H154">
        <v>797</v>
      </c>
      <c r="I154">
        <v>1003</v>
      </c>
      <c r="J154">
        <v>1800</v>
      </c>
      <c r="K154">
        <v>621</v>
      </c>
      <c r="L154">
        <v>567</v>
      </c>
      <c r="M154">
        <v>1188</v>
      </c>
      <c r="N154">
        <v>38835</v>
      </c>
      <c r="O154">
        <v>4.6349999999999998</v>
      </c>
      <c r="P154">
        <v>3.0590000000000002</v>
      </c>
      <c r="Q154">
        <v>37586</v>
      </c>
      <c r="R154">
        <v>4.7889999999999997</v>
      </c>
      <c r="S154">
        <v>3.161</v>
      </c>
    </row>
    <row r="155" spans="5:19" x14ac:dyDescent="0.35">
      <c r="E155" s="461" t="s">
        <v>258</v>
      </c>
      <c r="F155" s="461" t="s">
        <v>46</v>
      </c>
      <c r="G155" s="461" t="s">
        <v>276</v>
      </c>
      <c r="H155">
        <v>528</v>
      </c>
      <c r="I155">
        <v>438</v>
      </c>
      <c r="J155">
        <v>966</v>
      </c>
      <c r="K155">
        <v>416</v>
      </c>
      <c r="L155">
        <v>424</v>
      </c>
      <c r="M155">
        <v>840</v>
      </c>
      <c r="N155">
        <v>39297</v>
      </c>
      <c r="O155">
        <v>2.4580000000000002</v>
      </c>
      <c r="P155">
        <v>2.1379999999999999</v>
      </c>
      <c r="Q155">
        <v>37766</v>
      </c>
      <c r="R155">
        <v>2.5579999999999998</v>
      </c>
      <c r="S155">
        <v>2.2240000000000002</v>
      </c>
    </row>
    <row r="156" spans="5:19" x14ac:dyDescent="0.35">
      <c r="E156" s="461" t="s">
        <v>258</v>
      </c>
      <c r="F156" s="461" t="s">
        <v>47</v>
      </c>
      <c r="G156" s="461" t="s">
        <v>277</v>
      </c>
      <c r="H156">
        <v>768</v>
      </c>
      <c r="I156">
        <v>1016</v>
      </c>
      <c r="J156">
        <v>1784</v>
      </c>
      <c r="K156">
        <v>709</v>
      </c>
      <c r="L156">
        <v>647</v>
      </c>
      <c r="M156">
        <v>1356</v>
      </c>
      <c r="N156">
        <v>44454</v>
      </c>
      <c r="O156">
        <v>4.0129999999999999</v>
      </c>
      <c r="P156">
        <v>3.05</v>
      </c>
      <c r="Q156">
        <v>41961</v>
      </c>
      <c r="R156">
        <v>4.2519999999999998</v>
      </c>
      <c r="S156">
        <v>3.2320000000000002</v>
      </c>
    </row>
    <row r="157" spans="5:19" x14ac:dyDescent="0.35">
      <c r="E157" s="461" t="s">
        <v>258</v>
      </c>
      <c r="F157" s="461" t="s">
        <v>48</v>
      </c>
      <c r="G157" s="461" t="s">
        <v>272</v>
      </c>
      <c r="H157">
        <v>94</v>
      </c>
      <c r="I157">
        <v>249</v>
      </c>
      <c r="J157">
        <v>343</v>
      </c>
      <c r="K157">
        <v>95</v>
      </c>
      <c r="L157">
        <v>46</v>
      </c>
      <c r="M157">
        <v>141</v>
      </c>
      <c r="N157">
        <v>14599</v>
      </c>
      <c r="O157">
        <v>2.3490000000000002</v>
      </c>
      <c r="P157">
        <v>0.96599999999999997</v>
      </c>
      <c r="Q157">
        <v>12951</v>
      </c>
      <c r="R157">
        <v>2.6480000000000001</v>
      </c>
      <c r="S157">
        <v>1.089</v>
      </c>
    </row>
    <row r="158" spans="5:19" x14ac:dyDescent="0.35">
      <c r="E158" s="461" t="s">
        <v>258</v>
      </c>
      <c r="F158" s="461" t="s">
        <v>49</v>
      </c>
      <c r="G158" s="461" t="s">
        <v>278</v>
      </c>
      <c r="H158">
        <v>905</v>
      </c>
      <c r="I158">
        <v>1053</v>
      </c>
      <c r="J158">
        <v>1958</v>
      </c>
      <c r="K158">
        <v>831</v>
      </c>
      <c r="L158">
        <v>575</v>
      </c>
      <c r="M158">
        <v>1406</v>
      </c>
      <c r="N158">
        <v>67800</v>
      </c>
      <c r="O158">
        <v>2.8879999999999999</v>
      </c>
      <c r="P158">
        <v>2.0739999999999998</v>
      </c>
      <c r="Q158">
        <v>63440</v>
      </c>
      <c r="R158">
        <v>3.0859999999999999</v>
      </c>
      <c r="S158">
        <v>2.2160000000000002</v>
      </c>
    </row>
    <row r="159" spans="5:19" x14ac:dyDescent="0.35">
      <c r="E159" s="461" t="s">
        <v>258</v>
      </c>
      <c r="F159" s="461" t="s">
        <v>50</v>
      </c>
      <c r="G159" s="461" t="s">
        <v>295</v>
      </c>
      <c r="H159">
        <v>1400</v>
      </c>
      <c r="I159">
        <v>2084</v>
      </c>
      <c r="J159">
        <v>3484</v>
      </c>
      <c r="K159">
        <v>1722</v>
      </c>
      <c r="L159">
        <v>548</v>
      </c>
      <c r="M159">
        <v>2270</v>
      </c>
      <c r="N159">
        <v>153388</v>
      </c>
      <c r="O159">
        <v>2.2709999999999999</v>
      </c>
      <c r="P159">
        <v>1.48</v>
      </c>
      <c r="Q159">
        <v>150364</v>
      </c>
      <c r="R159">
        <v>2.3170000000000002</v>
      </c>
      <c r="S159">
        <v>1.51</v>
      </c>
    </row>
    <row r="160" spans="5:19" x14ac:dyDescent="0.35">
      <c r="E160" s="461" t="s">
        <v>258</v>
      </c>
      <c r="F160" s="461" t="s">
        <v>51</v>
      </c>
      <c r="G160" s="461" t="s">
        <v>279</v>
      </c>
      <c r="H160">
        <v>116</v>
      </c>
      <c r="I160">
        <v>272</v>
      </c>
      <c r="J160">
        <v>388</v>
      </c>
      <c r="K160">
        <v>90</v>
      </c>
      <c r="L160">
        <v>90</v>
      </c>
      <c r="M160">
        <v>180</v>
      </c>
      <c r="N160">
        <v>11063</v>
      </c>
      <c r="O160">
        <v>3.5070000000000001</v>
      </c>
      <c r="P160">
        <v>1.627</v>
      </c>
      <c r="Q160">
        <v>10256</v>
      </c>
      <c r="R160">
        <v>3.7829999999999999</v>
      </c>
      <c r="S160">
        <v>1.7549999999999999</v>
      </c>
    </row>
    <row r="161" spans="5:19" x14ac:dyDescent="0.35">
      <c r="E161" s="461" t="s">
        <v>258</v>
      </c>
      <c r="F161" s="461" t="s">
        <v>52</v>
      </c>
      <c r="G161" s="461" t="s">
        <v>280</v>
      </c>
      <c r="H161">
        <v>466</v>
      </c>
      <c r="I161">
        <v>1489</v>
      </c>
      <c r="J161">
        <v>1955</v>
      </c>
      <c r="K161">
        <v>375</v>
      </c>
      <c r="L161">
        <v>285</v>
      </c>
      <c r="M161">
        <v>660</v>
      </c>
      <c r="N161">
        <v>71347</v>
      </c>
      <c r="O161">
        <v>2.74</v>
      </c>
      <c r="P161">
        <v>0.92500000000000004</v>
      </c>
      <c r="Q161">
        <v>67101</v>
      </c>
      <c r="R161">
        <v>2.9140000000000001</v>
      </c>
      <c r="S161">
        <v>0.98399999999999999</v>
      </c>
    </row>
    <row r="162" spans="5:19" x14ac:dyDescent="0.35">
      <c r="E162" s="461" t="s">
        <v>258</v>
      </c>
      <c r="F162" s="461" t="s">
        <v>53</v>
      </c>
      <c r="G162" s="461" t="s">
        <v>290</v>
      </c>
      <c r="H162">
        <v>1030</v>
      </c>
      <c r="I162">
        <v>1105</v>
      </c>
      <c r="J162">
        <v>2135</v>
      </c>
      <c r="K162">
        <v>905</v>
      </c>
      <c r="L162">
        <v>674</v>
      </c>
      <c r="M162">
        <v>1579</v>
      </c>
      <c r="N162">
        <v>85724</v>
      </c>
      <c r="O162">
        <v>2.4910000000000001</v>
      </c>
      <c r="P162">
        <v>1.8420000000000001</v>
      </c>
      <c r="Q162">
        <v>84025</v>
      </c>
      <c r="R162">
        <v>2.5409999999999999</v>
      </c>
      <c r="S162">
        <v>1.879</v>
      </c>
    </row>
    <row r="163" spans="5:19" x14ac:dyDescent="0.35">
      <c r="E163" s="461" t="s">
        <v>258</v>
      </c>
      <c r="F163" s="461" t="s">
        <v>54</v>
      </c>
      <c r="G163" s="461" t="s">
        <v>281</v>
      </c>
      <c r="H163">
        <v>1359</v>
      </c>
      <c r="I163">
        <v>1478</v>
      </c>
      <c r="J163">
        <v>2837</v>
      </c>
      <c r="K163">
        <v>832</v>
      </c>
      <c r="L163">
        <v>1288</v>
      </c>
      <c r="M163">
        <v>2120</v>
      </c>
      <c r="N163">
        <v>57940</v>
      </c>
      <c r="O163">
        <v>4.8959999999999999</v>
      </c>
      <c r="P163">
        <v>3.6589999999999998</v>
      </c>
      <c r="Q163">
        <v>53787</v>
      </c>
      <c r="R163">
        <v>5.2750000000000004</v>
      </c>
      <c r="S163">
        <v>3.9409999999999998</v>
      </c>
    </row>
    <row r="164" spans="5:19" x14ac:dyDescent="0.35">
      <c r="E164" s="461" t="s">
        <v>258</v>
      </c>
      <c r="F164" s="461" t="s">
        <v>55</v>
      </c>
      <c r="G164" s="461" t="s">
        <v>282</v>
      </c>
      <c r="H164">
        <v>86</v>
      </c>
      <c r="I164">
        <v>283</v>
      </c>
      <c r="J164">
        <v>369</v>
      </c>
      <c r="K164">
        <v>90</v>
      </c>
      <c r="L164">
        <v>70</v>
      </c>
      <c r="M164">
        <v>160</v>
      </c>
      <c r="N164">
        <v>11109</v>
      </c>
      <c r="O164">
        <v>3.3220000000000001</v>
      </c>
      <c r="P164">
        <v>1.44</v>
      </c>
      <c r="Q164">
        <v>10283</v>
      </c>
      <c r="R164">
        <v>3.5880000000000001</v>
      </c>
      <c r="S164">
        <v>1.556</v>
      </c>
    </row>
    <row r="165" spans="5:19" x14ac:dyDescent="0.35">
      <c r="E165" s="461" t="s">
        <v>258</v>
      </c>
      <c r="F165" s="461" t="s">
        <v>56</v>
      </c>
      <c r="G165" s="461" t="s">
        <v>283</v>
      </c>
      <c r="H165">
        <v>691</v>
      </c>
      <c r="I165">
        <v>784</v>
      </c>
      <c r="J165">
        <v>1475</v>
      </c>
      <c r="K165">
        <v>697</v>
      </c>
      <c r="L165">
        <v>405</v>
      </c>
      <c r="M165">
        <v>1102</v>
      </c>
      <c r="N165">
        <v>54942</v>
      </c>
      <c r="O165">
        <v>2.6850000000000001</v>
      </c>
      <c r="P165">
        <v>2.0059999999999998</v>
      </c>
      <c r="Q165">
        <v>51923</v>
      </c>
      <c r="R165">
        <v>2.8410000000000002</v>
      </c>
      <c r="S165">
        <v>2.1219999999999999</v>
      </c>
    </row>
    <row r="166" spans="5:19" x14ac:dyDescent="0.35">
      <c r="E166" s="461" t="s">
        <v>258</v>
      </c>
      <c r="F166" s="461" t="s">
        <v>57</v>
      </c>
      <c r="G166" s="461" t="s">
        <v>284</v>
      </c>
      <c r="H166">
        <v>1304</v>
      </c>
      <c r="I166">
        <v>2091</v>
      </c>
      <c r="J166">
        <v>3395</v>
      </c>
      <c r="K166">
        <v>1516</v>
      </c>
      <c r="L166">
        <v>593</v>
      </c>
      <c r="M166">
        <v>2109</v>
      </c>
      <c r="N166">
        <v>148771</v>
      </c>
      <c r="O166">
        <v>2.282</v>
      </c>
      <c r="P166">
        <v>1.4179999999999999</v>
      </c>
      <c r="Q166">
        <v>144148</v>
      </c>
      <c r="R166">
        <v>2.355</v>
      </c>
      <c r="S166">
        <v>1.4630000000000001</v>
      </c>
    </row>
    <row r="167" spans="5:19" x14ac:dyDescent="0.35">
      <c r="E167" s="461" t="s">
        <v>258</v>
      </c>
      <c r="F167" s="461" t="s">
        <v>58</v>
      </c>
      <c r="G167" s="461" t="s">
        <v>285</v>
      </c>
      <c r="H167">
        <v>336</v>
      </c>
      <c r="I167">
        <v>720</v>
      </c>
      <c r="J167">
        <v>1056</v>
      </c>
      <c r="K167">
        <v>334</v>
      </c>
      <c r="L167">
        <v>201</v>
      </c>
      <c r="M167">
        <v>535</v>
      </c>
      <c r="N167">
        <v>40998</v>
      </c>
      <c r="O167">
        <v>2.5760000000000001</v>
      </c>
      <c r="P167">
        <v>1.3049999999999999</v>
      </c>
      <c r="Q167">
        <v>38951</v>
      </c>
      <c r="R167">
        <v>2.7109999999999999</v>
      </c>
      <c r="S167">
        <v>1.3740000000000001</v>
      </c>
    </row>
    <row r="168" spans="5:19" x14ac:dyDescent="0.35">
      <c r="E168" s="461" t="s">
        <v>258</v>
      </c>
      <c r="F168" s="461" t="s">
        <v>59</v>
      </c>
      <c r="G168" s="461" t="s">
        <v>291</v>
      </c>
      <c r="H168">
        <v>558</v>
      </c>
      <c r="I168">
        <v>1035</v>
      </c>
      <c r="J168">
        <v>1593</v>
      </c>
      <c r="K168">
        <v>620</v>
      </c>
      <c r="L168">
        <v>238</v>
      </c>
      <c r="M168">
        <v>858</v>
      </c>
      <c r="N168">
        <v>45104</v>
      </c>
      <c r="O168">
        <v>3.532</v>
      </c>
      <c r="P168">
        <v>1.9020000000000001</v>
      </c>
      <c r="Q168">
        <v>42657</v>
      </c>
      <c r="R168">
        <v>3.734</v>
      </c>
      <c r="S168">
        <v>2.0110000000000001</v>
      </c>
    </row>
    <row r="169" spans="5:19" x14ac:dyDescent="0.35">
      <c r="E169" s="461" t="s">
        <v>258</v>
      </c>
      <c r="F169" s="461" t="s">
        <v>60</v>
      </c>
      <c r="G169" s="461" t="s">
        <v>292</v>
      </c>
      <c r="H169">
        <v>972</v>
      </c>
      <c r="I169">
        <v>766</v>
      </c>
      <c r="J169">
        <v>1738</v>
      </c>
      <c r="K169">
        <v>837</v>
      </c>
      <c r="L169">
        <v>665</v>
      </c>
      <c r="M169">
        <v>1502</v>
      </c>
      <c r="N169">
        <v>78604</v>
      </c>
      <c r="O169">
        <v>2.2109999999999999</v>
      </c>
      <c r="P169">
        <v>1.911</v>
      </c>
      <c r="Q169">
        <v>76630</v>
      </c>
      <c r="R169">
        <v>2.2679999999999998</v>
      </c>
      <c r="S169">
        <v>1.96</v>
      </c>
    </row>
    <row r="170" spans="5:19" x14ac:dyDescent="0.35">
      <c r="E170" s="461" t="s">
        <v>242</v>
      </c>
      <c r="F170" s="461" t="s">
        <v>31</v>
      </c>
      <c r="G170" s="461" t="s">
        <v>286</v>
      </c>
      <c r="H170">
        <v>478</v>
      </c>
      <c r="I170">
        <v>1669</v>
      </c>
      <c r="J170">
        <v>2147</v>
      </c>
      <c r="K170">
        <v>432</v>
      </c>
      <c r="L170">
        <v>260</v>
      </c>
      <c r="M170">
        <v>692</v>
      </c>
      <c r="N170">
        <v>116821</v>
      </c>
      <c r="O170">
        <v>1.8380000000000001</v>
      </c>
      <c r="P170">
        <v>0.59199999999999997</v>
      </c>
      <c r="Q170">
        <v>106802</v>
      </c>
      <c r="R170">
        <v>2.0099999999999998</v>
      </c>
      <c r="S170">
        <v>0.64800000000000002</v>
      </c>
    </row>
    <row r="171" spans="5:19" x14ac:dyDescent="0.35">
      <c r="E171" s="461" t="s">
        <v>242</v>
      </c>
      <c r="F171" s="461" t="s">
        <v>32</v>
      </c>
      <c r="G171" s="461" t="s">
        <v>287</v>
      </c>
      <c r="H171">
        <v>735</v>
      </c>
      <c r="I171">
        <v>1405</v>
      </c>
      <c r="J171">
        <v>2140</v>
      </c>
      <c r="K171">
        <v>828</v>
      </c>
      <c r="L171">
        <v>451</v>
      </c>
      <c r="M171">
        <v>1279</v>
      </c>
      <c r="N171">
        <v>117363</v>
      </c>
      <c r="O171">
        <v>1.823</v>
      </c>
      <c r="P171">
        <v>1.0900000000000001</v>
      </c>
      <c r="Q171">
        <v>110941</v>
      </c>
      <c r="R171">
        <v>1.929</v>
      </c>
      <c r="S171">
        <v>1.153</v>
      </c>
    </row>
    <row r="172" spans="5:19" x14ac:dyDescent="0.35">
      <c r="E172" s="461" t="s">
        <v>242</v>
      </c>
      <c r="F172" s="461" t="s">
        <v>33</v>
      </c>
      <c r="G172" s="461" t="s">
        <v>293</v>
      </c>
      <c r="H172">
        <v>469</v>
      </c>
      <c r="I172">
        <v>1121</v>
      </c>
      <c r="J172">
        <v>1590</v>
      </c>
      <c r="K172">
        <v>434</v>
      </c>
      <c r="L172">
        <v>216</v>
      </c>
      <c r="M172">
        <v>650</v>
      </c>
      <c r="N172">
        <v>56135</v>
      </c>
      <c r="O172">
        <v>2.8319999999999999</v>
      </c>
      <c r="P172">
        <v>1.1579999999999999</v>
      </c>
      <c r="Q172">
        <v>53627</v>
      </c>
      <c r="R172">
        <v>2.9649999999999999</v>
      </c>
      <c r="S172">
        <v>1.212</v>
      </c>
    </row>
    <row r="173" spans="5:19" x14ac:dyDescent="0.35">
      <c r="E173" s="461" t="s">
        <v>242</v>
      </c>
      <c r="F173" s="461" t="s">
        <v>34</v>
      </c>
      <c r="G173" s="461" t="s">
        <v>288</v>
      </c>
      <c r="H173">
        <v>650</v>
      </c>
      <c r="I173">
        <v>1030</v>
      </c>
      <c r="J173">
        <v>1680</v>
      </c>
      <c r="K173">
        <v>503</v>
      </c>
      <c r="L173">
        <v>462</v>
      </c>
      <c r="M173">
        <v>965</v>
      </c>
      <c r="N173">
        <v>47884</v>
      </c>
      <c r="O173">
        <v>3.508</v>
      </c>
      <c r="P173">
        <v>2.0150000000000001</v>
      </c>
      <c r="Q173">
        <v>41455</v>
      </c>
      <c r="R173">
        <v>4.0529999999999999</v>
      </c>
      <c r="S173">
        <v>2.3279999999999998</v>
      </c>
    </row>
    <row r="174" spans="5:19" x14ac:dyDescent="0.35">
      <c r="E174" s="461" t="s">
        <v>242</v>
      </c>
      <c r="F174" s="461" t="s">
        <v>245</v>
      </c>
      <c r="G174" s="461" t="s">
        <v>289</v>
      </c>
      <c r="H174">
        <v>2302</v>
      </c>
      <c r="I174">
        <v>2298</v>
      </c>
      <c r="J174">
        <v>4600</v>
      </c>
      <c r="K174">
        <v>2309</v>
      </c>
      <c r="L174">
        <v>888</v>
      </c>
      <c r="M174">
        <v>3197</v>
      </c>
      <c r="N174">
        <v>246818</v>
      </c>
      <c r="O174">
        <v>1.8639999999999999</v>
      </c>
      <c r="P174">
        <v>1.2949999999999999</v>
      </c>
      <c r="Q174">
        <v>233369</v>
      </c>
      <c r="R174">
        <v>1.9710000000000001</v>
      </c>
      <c r="S174">
        <v>1.37</v>
      </c>
    </row>
    <row r="175" spans="5:19" x14ac:dyDescent="0.35">
      <c r="E175" s="461" t="s">
        <v>242</v>
      </c>
      <c r="F175" s="461" t="s">
        <v>35</v>
      </c>
      <c r="G175" s="461" t="s">
        <v>267</v>
      </c>
      <c r="H175">
        <v>204</v>
      </c>
      <c r="I175">
        <v>360</v>
      </c>
      <c r="J175">
        <v>564</v>
      </c>
      <c r="K175">
        <v>230</v>
      </c>
      <c r="L175">
        <v>85</v>
      </c>
      <c r="M175">
        <v>315</v>
      </c>
      <c r="N175">
        <v>24377</v>
      </c>
      <c r="O175">
        <v>2.3140000000000001</v>
      </c>
      <c r="P175">
        <v>1.292</v>
      </c>
      <c r="Q175">
        <v>23563</v>
      </c>
      <c r="R175">
        <v>2.3940000000000001</v>
      </c>
      <c r="S175">
        <v>1.337</v>
      </c>
    </row>
    <row r="176" spans="5:19" x14ac:dyDescent="0.35">
      <c r="E176" s="461" t="s">
        <v>242</v>
      </c>
      <c r="F176" s="461" t="s">
        <v>36</v>
      </c>
      <c r="G176" s="461" t="s">
        <v>268</v>
      </c>
      <c r="H176">
        <v>1115</v>
      </c>
      <c r="I176">
        <v>836</v>
      </c>
      <c r="J176">
        <v>1951</v>
      </c>
      <c r="K176">
        <v>1083</v>
      </c>
      <c r="L176">
        <v>534</v>
      </c>
      <c r="M176">
        <v>1617</v>
      </c>
      <c r="N176">
        <v>74687</v>
      </c>
      <c r="O176">
        <v>2.6120000000000001</v>
      </c>
      <c r="P176">
        <v>2.165</v>
      </c>
      <c r="Q176">
        <v>69503</v>
      </c>
      <c r="R176">
        <v>2.8069999999999999</v>
      </c>
      <c r="S176">
        <v>2.327</v>
      </c>
    </row>
    <row r="177" spans="5:19" x14ac:dyDescent="0.35">
      <c r="E177" s="461" t="s">
        <v>242</v>
      </c>
      <c r="F177" s="461" t="s">
        <v>37</v>
      </c>
      <c r="G177" s="461" t="s">
        <v>294</v>
      </c>
      <c r="H177">
        <v>662</v>
      </c>
      <c r="I177">
        <v>2304</v>
      </c>
      <c r="J177">
        <v>2966</v>
      </c>
      <c r="K177">
        <v>626</v>
      </c>
      <c r="L177">
        <v>289</v>
      </c>
      <c r="M177">
        <v>915</v>
      </c>
      <c r="N177">
        <v>74354</v>
      </c>
      <c r="O177">
        <v>3.9889999999999999</v>
      </c>
      <c r="P177">
        <v>1.2310000000000001</v>
      </c>
      <c r="Q177">
        <v>70049</v>
      </c>
      <c r="R177">
        <v>4.234</v>
      </c>
      <c r="S177">
        <v>1.306</v>
      </c>
    </row>
    <row r="178" spans="5:19" x14ac:dyDescent="0.35">
      <c r="E178" s="461" t="s">
        <v>242</v>
      </c>
      <c r="F178" s="461" t="s">
        <v>38</v>
      </c>
      <c r="G178" s="461" t="s">
        <v>269</v>
      </c>
      <c r="H178">
        <v>485</v>
      </c>
      <c r="I178">
        <v>664</v>
      </c>
      <c r="J178">
        <v>1149</v>
      </c>
      <c r="K178">
        <v>538</v>
      </c>
      <c r="L178">
        <v>276</v>
      </c>
      <c r="M178">
        <v>814</v>
      </c>
      <c r="N178">
        <v>58158</v>
      </c>
      <c r="O178">
        <v>1.976</v>
      </c>
      <c r="P178">
        <v>1.4</v>
      </c>
      <c r="Q178">
        <v>54873</v>
      </c>
      <c r="R178">
        <v>2.0939999999999999</v>
      </c>
      <c r="S178">
        <v>1.4830000000000001</v>
      </c>
    </row>
    <row r="179" spans="5:19" x14ac:dyDescent="0.35">
      <c r="E179" s="461" t="s">
        <v>242</v>
      </c>
      <c r="F179" s="461" t="s">
        <v>39</v>
      </c>
      <c r="G179" s="461" t="s">
        <v>296</v>
      </c>
      <c r="H179">
        <v>721</v>
      </c>
      <c r="I179">
        <v>684</v>
      </c>
      <c r="J179">
        <v>1405</v>
      </c>
      <c r="K179">
        <v>764</v>
      </c>
      <c r="L179">
        <v>348</v>
      </c>
      <c r="M179">
        <v>1112</v>
      </c>
      <c r="N179">
        <v>46430</v>
      </c>
      <c r="O179">
        <v>3.0259999999999998</v>
      </c>
      <c r="P179">
        <v>2.395</v>
      </c>
      <c r="Q179">
        <v>45690</v>
      </c>
      <c r="R179">
        <v>3.0750000000000002</v>
      </c>
      <c r="S179">
        <v>2.4340000000000002</v>
      </c>
    </row>
    <row r="180" spans="5:19" x14ac:dyDescent="0.35">
      <c r="E180" s="461" t="s">
        <v>242</v>
      </c>
      <c r="F180" s="461" t="s">
        <v>40</v>
      </c>
      <c r="G180" s="461" t="s">
        <v>270</v>
      </c>
      <c r="H180">
        <v>540</v>
      </c>
      <c r="I180">
        <v>494</v>
      </c>
      <c r="J180">
        <v>1034</v>
      </c>
      <c r="K180">
        <v>544</v>
      </c>
      <c r="L180">
        <v>339</v>
      </c>
      <c r="M180">
        <v>883</v>
      </c>
      <c r="N180">
        <v>47407</v>
      </c>
      <c r="O180">
        <v>2.181</v>
      </c>
      <c r="P180">
        <v>1.863</v>
      </c>
      <c r="Q180">
        <v>45301</v>
      </c>
      <c r="R180">
        <v>2.2829999999999999</v>
      </c>
      <c r="S180">
        <v>1.9489999999999998</v>
      </c>
    </row>
    <row r="181" spans="5:19" x14ac:dyDescent="0.35">
      <c r="E181" s="461" t="s">
        <v>242</v>
      </c>
      <c r="F181" s="461" t="s">
        <v>41</v>
      </c>
      <c r="G181" s="461" t="s">
        <v>271</v>
      </c>
      <c r="H181">
        <v>604</v>
      </c>
      <c r="I181">
        <v>662</v>
      </c>
      <c r="J181">
        <v>1266</v>
      </c>
      <c r="K181">
        <v>700</v>
      </c>
      <c r="L181">
        <v>194</v>
      </c>
      <c r="M181">
        <v>894</v>
      </c>
      <c r="N181">
        <v>38677</v>
      </c>
      <c r="O181">
        <v>3.2730000000000001</v>
      </c>
      <c r="P181">
        <v>2.3109999999999999</v>
      </c>
      <c r="Q181">
        <v>38899</v>
      </c>
      <c r="R181">
        <v>3.2549999999999999</v>
      </c>
      <c r="S181">
        <v>2.298</v>
      </c>
    </row>
    <row r="182" spans="5:19" x14ac:dyDescent="0.35">
      <c r="E182" s="461" t="s">
        <v>242</v>
      </c>
      <c r="F182" s="461" t="s">
        <v>42</v>
      </c>
      <c r="G182" s="461" t="s">
        <v>273</v>
      </c>
      <c r="H182">
        <v>512</v>
      </c>
      <c r="I182">
        <v>1083</v>
      </c>
      <c r="J182">
        <v>1595</v>
      </c>
      <c r="K182">
        <v>530</v>
      </c>
      <c r="L182">
        <v>280</v>
      </c>
      <c r="M182">
        <v>810</v>
      </c>
      <c r="N182">
        <v>74361</v>
      </c>
      <c r="O182">
        <v>2.145</v>
      </c>
      <c r="P182">
        <v>1.089</v>
      </c>
      <c r="Q182">
        <v>71800</v>
      </c>
      <c r="R182">
        <v>2.2210000000000001</v>
      </c>
      <c r="S182">
        <v>1.1280000000000001</v>
      </c>
    </row>
    <row r="183" spans="5:19" x14ac:dyDescent="0.35">
      <c r="E183" s="461" t="s">
        <v>242</v>
      </c>
      <c r="F183" s="461" t="s">
        <v>43</v>
      </c>
      <c r="G183" s="461" t="s">
        <v>380</v>
      </c>
      <c r="H183">
        <v>3137</v>
      </c>
      <c r="I183">
        <v>3403</v>
      </c>
      <c r="J183">
        <v>6540</v>
      </c>
      <c r="K183">
        <v>3292</v>
      </c>
      <c r="L183">
        <v>1655</v>
      </c>
      <c r="M183">
        <v>4947</v>
      </c>
      <c r="N183">
        <v>175915</v>
      </c>
      <c r="O183">
        <v>3.718</v>
      </c>
      <c r="P183">
        <v>2.8120000000000003</v>
      </c>
      <c r="Q183">
        <v>166960</v>
      </c>
      <c r="R183">
        <v>3.9169999999999998</v>
      </c>
      <c r="S183">
        <v>2.9630000000000001</v>
      </c>
    </row>
    <row r="184" spans="5:19" x14ac:dyDescent="0.35">
      <c r="E184" s="461" t="s">
        <v>242</v>
      </c>
      <c r="F184" s="461" t="s">
        <v>114</v>
      </c>
      <c r="G184" s="461" t="s">
        <v>297</v>
      </c>
      <c r="H184">
        <v>2973</v>
      </c>
      <c r="I184">
        <v>5059</v>
      </c>
      <c r="J184">
        <v>8032</v>
      </c>
      <c r="K184">
        <v>3089</v>
      </c>
      <c r="L184">
        <v>982</v>
      </c>
      <c r="M184">
        <v>4071</v>
      </c>
      <c r="N184">
        <v>308293</v>
      </c>
      <c r="O184">
        <v>2.605</v>
      </c>
      <c r="P184">
        <v>1.32</v>
      </c>
      <c r="Q184">
        <v>291115</v>
      </c>
      <c r="R184">
        <v>2.7589999999999999</v>
      </c>
      <c r="S184">
        <v>1.3980000000000001</v>
      </c>
    </row>
    <row r="185" spans="5:19" x14ac:dyDescent="0.35">
      <c r="E185" s="461" t="s">
        <v>242</v>
      </c>
      <c r="F185" s="461" t="s">
        <v>44</v>
      </c>
      <c r="G185" s="461" t="s">
        <v>274</v>
      </c>
      <c r="H185">
        <v>1288</v>
      </c>
      <c r="I185">
        <v>3926</v>
      </c>
      <c r="J185">
        <v>5214</v>
      </c>
      <c r="K185">
        <v>1385</v>
      </c>
      <c r="L185">
        <v>742</v>
      </c>
      <c r="M185">
        <v>2127</v>
      </c>
      <c r="N185">
        <v>117291</v>
      </c>
      <c r="O185">
        <v>4.4450000000000003</v>
      </c>
      <c r="P185">
        <v>1.8129999999999999</v>
      </c>
      <c r="Q185">
        <v>108319</v>
      </c>
      <c r="R185">
        <v>4.8140000000000001</v>
      </c>
      <c r="S185">
        <v>1.964</v>
      </c>
    </row>
    <row r="186" spans="5:19" x14ac:dyDescent="0.35">
      <c r="E186" s="461" t="s">
        <v>242</v>
      </c>
      <c r="F186" s="461" t="s">
        <v>45</v>
      </c>
      <c r="G186" s="461" t="s">
        <v>275</v>
      </c>
      <c r="H186">
        <v>712</v>
      </c>
      <c r="I186">
        <v>764</v>
      </c>
      <c r="J186">
        <v>1476</v>
      </c>
      <c r="K186">
        <v>621</v>
      </c>
      <c r="L186">
        <v>402</v>
      </c>
      <c r="M186">
        <v>1023</v>
      </c>
      <c r="N186">
        <v>38848</v>
      </c>
      <c r="O186">
        <v>3.7989999999999999</v>
      </c>
      <c r="P186">
        <v>2.633</v>
      </c>
      <c r="Q186">
        <v>37651</v>
      </c>
      <c r="R186">
        <v>3.92</v>
      </c>
      <c r="S186">
        <v>2.7170000000000001</v>
      </c>
    </row>
    <row r="187" spans="5:19" x14ac:dyDescent="0.35">
      <c r="E187" s="461" t="s">
        <v>242</v>
      </c>
      <c r="F187" s="461" t="s">
        <v>46</v>
      </c>
      <c r="G187" s="461" t="s">
        <v>276</v>
      </c>
      <c r="H187">
        <v>489</v>
      </c>
      <c r="I187">
        <v>509</v>
      </c>
      <c r="J187">
        <v>998</v>
      </c>
      <c r="K187">
        <v>349</v>
      </c>
      <c r="L187">
        <v>448</v>
      </c>
      <c r="M187">
        <v>797</v>
      </c>
      <c r="N187">
        <v>39937</v>
      </c>
      <c r="O187">
        <v>2.4990000000000001</v>
      </c>
      <c r="P187">
        <v>1.996</v>
      </c>
      <c r="Q187">
        <v>38557</v>
      </c>
      <c r="R187">
        <v>2.5880000000000001</v>
      </c>
      <c r="S187">
        <v>2.0670000000000002</v>
      </c>
    </row>
    <row r="188" spans="5:19" x14ac:dyDescent="0.35">
      <c r="E188" s="461" t="s">
        <v>242</v>
      </c>
      <c r="F188" s="461" t="s">
        <v>47</v>
      </c>
      <c r="G188" s="461" t="s">
        <v>277</v>
      </c>
      <c r="H188">
        <v>609</v>
      </c>
      <c r="I188">
        <v>826</v>
      </c>
      <c r="J188">
        <v>1435</v>
      </c>
      <c r="K188">
        <v>554</v>
      </c>
      <c r="L188">
        <v>522</v>
      </c>
      <c r="M188">
        <v>1076</v>
      </c>
      <c r="N188">
        <v>44838</v>
      </c>
      <c r="O188">
        <v>3.2</v>
      </c>
      <c r="P188">
        <v>2.4</v>
      </c>
      <c r="Q188">
        <v>42269</v>
      </c>
      <c r="R188">
        <v>3.395</v>
      </c>
      <c r="S188">
        <v>2.5460000000000003</v>
      </c>
    </row>
    <row r="189" spans="5:19" x14ac:dyDescent="0.35">
      <c r="E189" s="461" t="s">
        <v>242</v>
      </c>
      <c r="F189" s="461" t="s">
        <v>48</v>
      </c>
      <c r="G189" s="461" t="s">
        <v>272</v>
      </c>
      <c r="H189">
        <v>125</v>
      </c>
      <c r="I189">
        <v>224</v>
      </c>
      <c r="J189">
        <v>349</v>
      </c>
      <c r="K189">
        <v>171</v>
      </c>
      <c r="L189">
        <v>11</v>
      </c>
      <c r="M189">
        <v>182</v>
      </c>
      <c r="N189">
        <v>14714</v>
      </c>
      <c r="O189">
        <v>2.3719999999999999</v>
      </c>
      <c r="P189">
        <v>1.2370000000000001</v>
      </c>
      <c r="Q189">
        <v>12805</v>
      </c>
      <c r="R189">
        <v>2.7250000000000001</v>
      </c>
      <c r="S189">
        <v>1.421</v>
      </c>
    </row>
    <row r="190" spans="5:19" x14ac:dyDescent="0.35">
      <c r="E190" s="461" t="s">
        <v>242</v>
      </c>
      <c r="F190" s="461" t="s">
        <v>49</v>
      </c>
      <c r="G190" s="461" t="s">
        <v>278</v>
      </c>
      <c r="H190">
        <v>805</v>
      </c>
      <c r="I190">
        <v>932</v>
      </c>
      <c r="J190">
        <v>1737</v>
      </c>
      <c r="K190">
        <v>822</v>
      </c>
      <c r="L190">
        <v>457</v>
      </c>
      <c r="M190">
        <v>1279</v>
      </c>
      <c r="N190">
        <v>67960</v>
      </c>
      <c r="O190">
        <v>2.556</v>
      </c>
      <c r="P190">
        <v>1.8820000000000001</v>
      </c>
      <c r="Q190">
        <v>63756</v>
      </c>
      <c r="R190">
        <v>2.7240000000000002</v>
      </c>
      <c r="S190">
        <v>2.0059999999999998</v>
      </c>
    </row>
    <row r="191" spans="5:19" x14ac:dyDescent="0.35">
      <c r="E191" s="461" t="s">
        <v>242</v>
      </c>
      <c r="F191" s="461" t="s">
        <v>50</v>
      </c>
      <c r="G191" s="461" t="s">
        <v>295</v>
      </c>
      <c r="H191">
        <v>1327</v>
      </c>
      <c r="I191">
        <v>1990</v>
      </c>
      <c r="J191">
        <v>3317</v>
      </c>
      <c r="K191">
        <v>1744</v>
      </c>
      <c r="L191">
        <v>446</v>
      </c>
      <c r="M191">
        <v>2190</v>
      </c>
      <c r="N191">
        <v>154286</v>
      </c>
      <c r="O191">
        <v>2.15</v>
      </c>
      <c r="P191">
        <v>1.419</v>
      </c>
      <c r="Q191">
        <v>151155</v>
      </c>
      <c r="R191">
        <v>2.194</v>
      </c>
      <c r="S191">
        <v>1.4490000000000001</v>
      </c>
    </row>
    <row r="192" spans="5:19" x14ac:dyDescent="0.35">
      <c r="E192" s="461" t="s">
        <v>242</v>
      </c>
      <c r="F192" s="461" t="s">
        <v>51</v>
      </c>
      <c r="G192" s="461" t="s">
        <v>279</v>
      </c>
      <c r="H192">
        <v>126</v>
      </c>
      <c r="I192">
        <v>250</v>
      </c>
      <c r="J192">
        <v>376</v>
      </c>
      <c r="K192">
        <v>88</v>
      </c>
      <c r="L192">
        <v>105</v>
      </c>
      <c r="M192">
        <v>193</v>
      </c>
      <c r="N192">
        <v>11192</v>
      </c>
      <c r="O192">
        <v>3.36</v>
      </c>
      <c r="P192">
        <v>1.724</v>
      </c>
      <c r="Q192">
        <v>10385</v>
      </c>
      <c r="R192">
        <v>3.621</v>
      </c>
      <c r="S192">
        <v>1.8580000000000001</v>
      </c>
    </row>
    <row r="193" spans="5:19" x14ac:dyDescent="0.35">
      <c r="E193" s="461" t="s">
        <v>242</v>
      </c>
      <c r="F193" s="461" t="s">
        <v>52</v>
      </c>
      <c r="G193" s="461" t="s">
        <v>280</v>
      </c>
      <c r="H193">
        <v>484</v>
      </c>
      <c r="I193">
        <v>1014</v>
      </c>
      <c r="J193">
        <v>1498</v>
      </c>
      <c r="K193">
        <v>451</v>
      </c>
      <c r="L193">
        <v>265</v>
      </c>
      <c r="M193">
        <v>716</v>
      </c>
      <c r="N193">
        <v>71810</v>
      </c>
      <c r="O193">
        <v>2.0859999999999999</v>
      </c>
      <c r="P193">
        <v>0.997</v>
      </c>
      <c r="Q193">
        <v>67618</v>
      </c>
      <c r="R193">
        <v>2.2149999999999999</v>
      </c>
      <c r="S193">
        <v>1.0589999999999999</v>
      </c>
    </row>
    <row r="194" spans="5:19" x14ac:dyDescent="0.35">
      <c r="E194" s="461" t="s">
        <v>242</v>
      </c>
      <c r="F194" s="461" t="s">
        <v>53</v>
      </c>
      <c r="G194" s="461" t="s">
        <v>290</v>
      </c>
      <c r="H194">
        <v>1137</v>
      </c>
      <c r="I194">
        <v>1411</v>
      </c>
      <c r="J194">
        <v>2548</v>
      </c>
      <c r="K194">
        <v>1077</v>
      </c>
      <c r="L194">
        <v>656</v>
      </c>
      <c r="M194">
        <v>1733</v>
      </c>
      <c r="N194">
        <v>86449</v>
      </c>
      <c r="O194">
        <v>2.9470000000000001</v>
      </c>
      <c r="P194">
        <v>2.0049999999999999</v>
      </c>
      <c r="Q194">
        <v>84938</v>
      </c>
      <c r="R194">
        <v>3</v>
      </c>
      <c r="S194">
        <v>2.04</v>
      </c>
    </row>
    <row r="195" spans="5:19" x14ac:dyDescent="0.35">
      <c r="E195" s="461" t="s">
        <v>242</v>
      </c>
      <c r="F195" s="461" t="s">
        <v>54</v>
      </c>
      <c r="G195" s="461" t="s">
        <v>281</v>
      </c>
      <c r="H195">
        <v>1121</v>
      </c>
      <c r="I195">
        <v>1263</v>
      </c>
      <c r="J195">
        <v>2384</v>
      </c>
      <c r="K195">
        <v>779</v>
      </c>
      <c r="L195">
        <v>941</v>
      </c>
      <c r="M195">
        <v>1720</v>
      </c>
      <c r="N195">
        <v>58167</v>
      </c>
      <c r="O195">
        <v>4.0990000000000002</v>
      </c>
      <c r="P195">
        <v>2.9569999999999999</v>
      </c>
      <c r="Q195">
        <v>54306</v>
      </c>
      <c r="R195">
        <v>4.3899999999999997</v>
      </c>
      <c r="S195">
        <v>3.1669999999999998</v>
      </c>
    </row>
    <row r="196" spans="5:19" x14ac:dyDescent="0.35">
      <c r="E196" s="461" t="s">
        <v>242</v>
      </c>
      <c r="F196" s="461" t="s">
        <v>55</v>
      </c>
      <c r="G196" s="461" t="s">
        <v>282</v>
      </c>
      <c r="H196">
        <v>113</v>
      </c>
      <c r="I196">
        <v>212</v>
      </c>
      <c r="J196">
        <v>325</v>
      </c>
      <c r="K196">
        <v>128</v>
      </c>
      <c r="L196">
        <v>76</v>
      </c>
      <c r="M196">
        <v>204</v>
      </c>
      <c r="N196">
        <v>11180</v>
      </c>
      <c r="O196">
        <v>2.907</v>
      </c>
      <c r="P196">
        <v>1.825</v>
      </c>
      <c r="Q196">
        <v>10341</v>
      </c>
      <c r="R196">
        <v>3.1429999999999998</v>
      </c>
      <c r="S196">
        <v>1.9729999999999999</v>
      </c>
    </row>
    <row r="197" spans="5:19" x14ac:dyDescent="0.35">
      <c r="E197" s="461" t="s">
        <v>242</v>
      </c>
      <c r="F197" s="461" t="s">
        <v>56</v>
      </c>
      <c r="G197" s="461" t="s">
        <v>283</v>
      </c>
      <c r="H197">
        <v>543</v>
      </c>
      <c r="I197">
        <v>765</v>
      </c>
      <c r="J197">
        <v>1308</v>
      </c>
      <c r="K197">
        <v>559</v>
      </c>
      <c r="L197">
        <v>334</v>
      </c>
      <c r="M197">
        <v>893</v>
      </c>
      <c r="N197">
        <v>55252</v>
      </c>
      <c r="O197">
        <v>2.367</v>
      </c>
      <c r="P197">
        <v>1.6160000000000001</v>
      </c>
      <c r="Q197">
        <v>52104</v>
      </c>
      <c r="R197">
        <v>2.5099999999999998</v>
      </c>
      <c r="S197">
        <v>1.714</v>
      </c>
    </row>
    <row r="198" spans="5:19" x14ac:dyDescent="0.35">
      <c r="E198" s="461" t="s">
        <v>242</v>
      </c>
      <c r="F198" s="461" t="s">
        <v>57</v>
      </c>
      <c r="G198" s="461" t="s">
        <v>284</v>
      </c>
      <c r="H198">
        <v>1336</v>
      </c>
      <c r="I198">
        <v>2180</v>
      </c>
      <c r="J198">
        <v>3516</v>
      </c>
      <c r="K198">
        <v>1607</v>
      </c>
      <c r="L198">
        <v>503</v>
      </c>
      <c r="M198">
        <v>2110</v>
      </c>
      <c r="N198">
        <v>149972</v>
      </c>
      <c r="O198">
        <v>2.3439999999999999</v>
      </c>
      <c r="P198">
        <v>1.407</v>
      </c>
      <c r="Q198">
        <v>145182</v>
      </c>
      <c r="R198">
        <v>2.4220000000000002</v>
      </c>
      <c r="S198">
        <v>1.4530000000000001</v>
      </c>
    </row>
    <row r="199" spans="5:19" x14ac:dyDescent="0.35">
      <c r="E199" s="461" t="s">
        <v>242</v>
      </c>
      <c r="F199" s="461" t="s">
        <v>58</v>
      </c>
      <c r="G199" s="461" t="s">
        <v>285</v>
      </c>
      <c r="H199">
        <v>335</v>
      </c>
      <c r="I199">
        <v>625</v>
      </c>
      <c r="J199">
        <v>960</v>
      </c>
      <c r="K199">
        <v>315</v>
      </c>
      <c r="L199">
        <v>213</v>
      </c>
      <c r="M199">
        <v>528</v>
      </c>
      <c r="N199">
        <v>41250</v>
      </c>
      <c r="O199">
        <v>2.327</v>
      </c>
      <c r="P199">
        <v>1.28</v>
      </c>
      <c r="Q199">
        <v>39285</v>
      </c>
      <c r="R199">
        <v>2.444</v>
      </c>
      <c r="S199">
        <v>1.3439999999999999</v>
      </c>
    </row>
    <row r="200" spans="5:19" x14ac:dyDescent="0.35">
      <c r="E200" s="461" t="s">
        <v>242</v>
      </c>
      <c r="F200" s="461" t="s">
        <v>59</v>
      </c>
      <c r="G200" s="461" t="s">
        <v>291</v>
      </c>
      <c r="H200">
        <v>653</v>
      </c>
      <c r="I200">
        <v>1022</v>
      </c>
      <c r="J200">
        <v>1675</v>
      </c>
      <c r="K200">
        <v>712</v>
      </c>
      <c r="L200">
        <v>285</v>
      </c>
      <c r="M200">
        <v>997</v>
      </c>
      <c r="N200">
        <v>45093</v>
      </c>
      <c r="O200">
        <v>3.7149999999999999</v>
      </c>
      <c r="P200">
        <v>2.2109999999999999</v>
      </c>
      <c r="Q200">
        <v>42746</v>
      </c>
      <c r="R200">
        <v>3.9180000000000001</v>
      </c>
      <c r="S200">
        <v>2.3319999999999999</v>
      </c>
    </row>
    <row r="201" spans="5:19" x14ac:dyDescent="0.35">
      <c r="E201" s="461" t="s">
        <v>242</v>
      </c>
      <c r="F201" s="461" t="s">
        <v>60</v>
      </c>
      <c r="G201" s="461" t="s">
        <v>292</v>
      </c>
      <c r="H201">
        <v>964</v>
      </c>
      <c r="I201">
        <v>1092</v>
      </c>
      <c r="J201">
        <v>2056</v>
      </c>
      <c r="K201">
        <v>850</v>
      </c>
      <c r="L201">
        <v>606</v>
      </c>
      <c r="M201">
        <v>1456</v>
      </c>
      <c r="N201">
        <v>79112</v>
      </c>
      <c r="O201">
        <v>2.5990000000000002</v>
      </c>
      <c r="P201">
        <v>1.8399999999999999</v>
      </c>
      <c r="Q201">
        <v>77369</v>
      </c>
      <c r="R201">
        <v>2.657</v>
      </c>
      <c r="S201">
        <v>1.8820000000000001</v>
      </c>
    </row>
    <row r="202" spans="5:19" x14ac:dyDescent="0.35">
      <c r="E202" s="461" t="s">
        <v>241</v>
      </c>
      <c r="F202" s="461" t="s">
        <v>31</v>
      </c>
      <c r="G202" s="461" t="s">
        <v>286</v>
      </c>
      <c r="H202">
        <v>569</v>
      </c>
      <c r="I202">
        <v>2176</v>
      </c>
      <c r="J202">
        <v>2745</v>
      </c>
      <c r="K202">
        <v>546</v>
      </c>
      <c r="L202">
        <v>278</v>
      </c>
      <c r="M202">
        <v>824</v>
      </c>
      <c r="N202">
        <v>118131</v>
      </c>
      <c r="O202">
        <v>2.3239999999999998</v>
      </c>
      <c r="P202">
        <v>0.69799999999999995</v>
      </c>
      <c r="Q202">
        <v>107586</v>
      </c>
      <c r="R202">
        <v>2.5510000000000002</v>
      </c>
      <c r="S202">
        <v>0.76600000000000001</v>
      </c>
    </row>
    <row r="203" spans="5:19" x14ac:dyDescent="0.35">
      <c r="E203" s="461" t="s">
        <v>241</v>
      </c>
      <c r="F203" s="461" t="s">
        <v>32</v>
      </c>
      <c r="G203" s="461" t="s">
        <v>287</v>
      </c>
      <c r="H203">
        <v>564</v>
      </c>
      <c r="I203">
        <v>1206</v>
      </c>
      <c r="J203">
        <v>1770</v>
      </c>
      <c r="K203">
        <v>618</v>
      </c>
      <c r="L203">
        <v>336</v>
      </c>
      <c r="M203">
        <v>954</v>
      </c>
      <c r="N203">
        <v>118197</v>
      </c>
      <c r="O203">
        <v>1.4969999999999999</v>
      </c>
      <c r="P203">
        <v>0.80700000000000005</v>
      </c>
      <c r="Q203">
        <v>111156</v>
      </c>
      <c r="R203">
        <v>1.5920000000000001</v>
      </c>
      <c r="S203">
        <v>0.85799999999999998</v>
      </c>
    </row>
    <row r="204" spans="5:19" x14ac:dyDescent="0.35">
      <c r="E204" s="461" t="s">
        <v>241</v>
      </c>
      <c r="F204" s="461" t="s">
        <v>33</v>
      </c>
      <c r="G204" s="461" t="s">
        <v>293</v>
      </c>
      <c r="H204">
        <v>429</v>
      </c>
      <c r="I204">
        <v>1339</v>
      </c>
      <c r="J204">
        <v>1768</v>
      </c>
      <c r="K204">
        <v>450</v>
      </c>
      <c r="L204">
        <v>177</v>
      </c>
      <c r="M204">
        <v>627</v>
      </c>
      <c r="N204">
        <v>56485</v>
      </c>
      <c r="O204">
        <v>3.13</v>
      </c>
      <c r="P204">
        <v>1.1100000000000001</v>
      </c>
      <c r="Q204">
        <v>53888</v>
      </c>
      <c r="R204">
        <v>3.2810000000000001</v>
      </c>
      <c r="S204">
        <v>1.1639999999999999</v>
      </c>
    </row>
    <row r="205" spans="5:19" x14ac:dyDescent="0.35">
      <c r="E205" s="461" t="s">
        <v>241</v>
      </c>
      <c r="F205" s="461" t="s">
        <v>34</v>
      </c>
      <c r="G205" s="461" t="s">
        <v>288</v>
      </c>
      <c r="H205">
        <v>531</v>
      </c>
      <c r="I205">
        <v>939</v>
      </c>
      <c r="J205">
        <v>1470</v>
      </c>
      <c r="K205">
        <v>480</v>
      </c>
      <c r="L205">
        <v>351</v>
      </c>
      <c r="M205">
        <v>831</v>
      </c>
      <c r="N205">
        <v>48020</v>
      </c>
      <c r="O205">
        <v>3.0609999999999999</v>
      </c>
      <c r="P205">
        <v>1.7309999999999999</v>
      </c>
      <c r="Q205">
        <v>41630</v>
      </c>
      <c r="R205">
        <v>3.5310000000000001</v>
      </c>
      <c r="S205">
        <v>1.996</v>
      </c>
    </row>
    <row r="206" spans="5:19" x14ac:dyDescent="0.35">
      <c r="E206" s="461" t="s">
        <v>241</v>
      </c>
      <c r="F206" s="461" t="s">
        <v>245</v>
      </c>
      <c r="G206" s="461" t="s">
        <v>289</v>
      </c>
      <c r="H206">
        <v>1893</v>
      </c>
      <c r="I206">
        <v>2567</v>
      </c>
      <c r="J206">
        <v>4460</v>
      </c>
      <c r="K206">
        <v>1882</v>
      </c>
      <c r="L206">
        <v>776</v>
      </c>
      <c r="M206">
        <v>2658</v>
      </c>
      <c r="N206">
        <v>249810</v>
      </c>
      <c r="O206">
        <v>1.7850000000000001</v>
      </c>
      <c r="P206">
        <v>1.0640000000000001</v>
      </c>
      <c r="Q206">
        <v>235771</v>
      </c>
      <c r="R206">
        <v>1.8919999999999999</v>
      </c>
      <c r="S206">
        <v>1.127</v>
      </c>
    </row>
    <row r="207" spans="5:19" x14ac:dyDescent="0.35">
      <c r="E207" s="461" t="s">
        <v>241</v>
      </c>
      <c r="F207" s="461" t="s">
        <v>35</v>
      </c>
      <c r="G207" s="461" t="s">
        <v>267</v>
      </c>
      <c r="H207">
        <v>219</v>
      </c>
      <c r="I207">
        <v>372</v>
      </c>
      <c r="J207">
        <v>591</v>
      </c>
      <c r="K207">
        <v>235</v>
      </c>
      <c r="L207">
        <v>82</v>
      </c>
      <c r="M207">
        <v>317</v>
      </c>
      <c r="N207">
        <v>24524</v>
      </c>
      <c r="O207">
        <v>2.41</v>
      </c>
      <c r="P207">
        <v>1.2929999999999999</v>
      </c>
      <c r="Q207">
        <v>23674</v>
      </c>
      <c r="R207">
        <v>2.496</v>
      </c>
      <c r="S207">
        <v>1.339</v>
      </c>
    </row>
    <row r="208" spans="5:19" x14ac:dyDescent="0.35">
      <c r="E208" s="461" t="s">
        <v>241</v>
      </c>
      <c r="F208" s="461" t="s">
        <v>36</v>
      </c>
      <c r="G208" s="461" t="s">
        <v>268</v>
      </c>
      <c r="H208">
        <v>1028</v>
      </c>
      <c r="I208">
        <v>721</v>
      </c>
      <c r="J208">
        <v>1749</v>
      </c>
      <c r="K208">
        <v>1107</v>
      </c>
      <c r="L208">
        <v>447</v>
      </c>
      <c r="M208">
        <v>1554</v>
      </c>
      <c r="N208">
        <v>74823</v>
      </c>
      <c r="O208">
        <v>2.3380000000000001</v>
      </c>
      <c r="P208">
        <v>2.077</v>
      </c>
      <c r="Q208">
        <v>69586</v>
      </c>
      <c r="R208">
        <v>2.5129999999999999</v>
      </c>
      <c r="S208">
        <v>2.2330000000000001</v>
      </c>
    </row>
    <row r="209" spans="5:19" x14ac:dyDescent="0.35">
      <c r="E209" s="461" t="s">
        <v>241</v>
      </c>
      <c r="F209" s="461" t="s">
        <v>37</v>
      </c>
      <c r="G209" s="461" t="s">
        <v>294</v>
      </c>
      <c r="H209">
        <v>692</v>
      </c>
      <c r="I209">
        <v>2702</v>
      </c>
      <c r="J209">
        <v>3394</v>
      </c>
      <c r="K209">
        <v>680</v>
      </c>
      <c r="L209">
        <v>318</v>
      </c>
      <c r="M209">
        <v>998</v>
      </c>
      <c r="N209">
        <v>74531</v>
      </c>
      <c r="O209">
        <v>4.5540000000000003</v>
      </c>
      <c r="P209">
        <v>1.339</v>
      </c>
      <c r="Q209">
        <v>70337</v>
      </c>
      <c r="R209">
        <v>4.8250000000000002</v>
      </c>
      <c r="S209">
        <v>1.419</v>
      </c>
    </row>
    <row r="210" spans="5:19" x14ac:dyDescent="0.35">
      <c r="E210" s="461" t="s">
        <v>241</v>
      </c>
      <c r="F210" s="461" t="s">
        <v>38</v>
      </c>
      <c r="G210" s="461" t="s">
        <v>269</v>
      </c>
      <c r="H210">
        <v>421</v>
      </c>
      <c r="I210">
        <v>656</v>
      </c>
      <c r="J210">
        <v>1077</v>
      </c>
      <c r="K210">
        <v>446</v>
      </c>
      <c r="L210">
        <v>251</v>
      </c>
      <c r="M210">
        <v>697</v>
      </c>
      <c r="N210">
        <v>58453</v>
      </c>
      <c r="O210">
        <v>1.843</v>
      </c>
      <c r="P210">
        <v>1.1919999999999999</v>
      </c>
      <c r="Q210">
        <v>55107</v>
      </c>
      <c r="R210">
        <v>1.954</v>
      </c>
      <c r="S210">
        <v>1.2650000000000001</v>
      </c>
    </row>
    <row r="211" spans="5:19" x14ac:dyDescent="0.35">
      <c r="E211" s="461" t="s">
        <v>241</v>
      </c>
      <c r="F211" s="461" t="s">
        <v>39</v>
      </c>
      <c r="G211" s="461" t="s">
        <v>296</v>
      </c>
      <c r="H211">
        <v>653</v>
      </c>
      <c r="I211">
        <v>579</v>
      </c>
      <c r="J211">
        <v>1232</v>
      </c>
      <c r="K211">
        <v>755</v>
      </c>
      <c r="L211">
        <v>285</v>
      </c>
      <c r="M211">
        <v>1040</v>
      </c>
      <c r="N211">
        <v>46721</v>
      </c>
      <c r="O211">
        <v>2.637</v>
      </c>
      <c r="P211">
        <v>2.226</v>
      </c>
      <c r="Q211">
        <v>46023</v>
      </c>
      <c r="R211">
        <v>2.677</v>
      </c>
      <c r="S211">
        <v>2.2599999999999998</v>
      </c>
    </row>
    <row r="212" spans="5:19" x14ac:dyDescent="0.35">
      <c r="E212" s="461" t="s">
        <v>241</v>
      </c>
      <c r="F212" s="461" t="s">
        <v>40</v>
      </c>
      <c r="G212" s="461" t="s">
        <v>270</v>
      </c>
      <c r="H212">
        <v>440</v>
      </c>
      <c r="I212">
        <v>524</v>
      </c>
      <c r="J212">
        <v>964</v>
      </c>
      <c r="K212">
        <v>530</v>
      </c>
      <c r="L212">
        <v>193</v>
      </c>
      <c r="M212">
        <v>723</v>
      </c>
      <c r="N212">
        <v>48055</v>
      </c>
      <c r="O212">
        <v>2.0059999999999998</v>
      </c>
      <c r="P212">
        <v>1.5049999999999999</v>
      </c>
      <c r="Q212">
        <v>45975</v>
      </c>
      <c r="R212">
        <v>2.097</v>
      </c>
      <c r="S212">
        <v>1.573</v>
      </c>
    </row>
    <row r="213" spans="5:19" x14ac:dyDescent="0.35">
      <c r="E213" s="461" t="s">
        <v>241</v>
      </c>
      <c r="F213" s="461" t="s">
        <v>41</v>
      </c>
      <c r="G213" s="461" t="s">
        <v>271</v>
      </c>
      <c r="H213">
        <v>445</v>
      </c>
      <c r="I213">
        <v>651</v>
      </c>
      <c r="J213">
        <v>1096</v>
      </c>
      <c r="K213">
        <v>492</v>
      </c>
      <c r="L213">
        <v>194</v>
      </c>
      <c r="M213">
        <v>686</v>
      </c>
      <c r="N213">
        <v>38902</v>
      </c>
      <c r="O213">
        <v>2.8170000000000002</v>
      </c>
      <c r="P213">
        <v>1.7629999999999999</v>
      </c>
      <c r="Q213">
        <v>39108</v>
      </c>
      <c r="R213">
        <v>2.802</v>
      </c>
      <c r="S213">
        <v>1.754</v>
      </c>
    </row>
    <row r="214" spans="5:19" x14ac:dyDescent="0.35">
      <c r="E214" s="461" t="s">
        <v>241</v>
      </c>
      <c r="F214" s="461" t="s">
        <v>42</v>
      </c>
      <c r="G214" s="461" t="s">
        <v>273</v>
      </c>
      <c r="H214">
        <v>533</v>
      </c>
      <c r="I214">
        <v>1326</v>
      </c>
      <c r="J214">
        <v>1859</v>
      </c>
      <c r="K214">
        <v>606</v>
      </c>
      <c r="L214">
        <v>192</v>
      </c>
      <c r="M214">
        <v>798</v>
      </c>
      <c r="N214">
        <v>74826</v>
      </c>
      <c r="O214">
        <v>2.484</v>
      </c>
      <c r="P214">
        <v>1.0660000000000001</v>
      </c>
      <c r="Q214">
        <v>72267</v>
      </c>
      <c r="R214">
        <v>2.5720000000000001</v>
      </c>
      <c r="S214">
        <v>1.1040000000000001</v>
      </c>
    </row>
    <row r="215" spans="5:19" x14ac:dyDescent="0.35">
      <c r="E215" s="461" t="s">
        <v>241</v>
      </c>
      <c r="F215" s="461" t="s">
        <v>43</v>
      </c>
      <c r="G215" s="461" t="s">
        <v>380</v>
      </c>
      <c r="H215">
        <v>2778</v>
      </c>
      <c r="I215">
        <v>3429</v>
      </c>
      <c r="J215">
        <v>6207</v>
      </c>
      <c r="K215">
        <v>2925</v>
      </c>
      <c r="L215">
        <v>1478</v>
      </c>
      <c r="M215">
        <v>4403</v>
      </c>
      <c r="N215">
        <v>177084</v>
      </c>
      <c r="O215">
        <v>3.5049999999999999</v>
      </c>
      <c r="P215">
        <v>2.4859999999999998</v>
      </c>
      <c r="Q215">
        <v>167944</v>
      </c>
      <c r="R215">
        <v>3.6959999999999997</v>
      </c>
      <c r="S215">
        <v>2.6219999999999999</v>
      </c>
    </row>
    <row r="216" spans="5:19" x14ac:dyDescent="0.35">
      <c r="E216" s="461" t="s">
        <v>241</v>
      </c>
      <c r="F216" s="461" t="s">
        <v>114</v>
      </c>
      <c r="G216" s="461" t="s">
        <v>297</v>
      </c>
      <c r="H216">
        <v>2993</v>
      </c>
      <c r="I216">
        <v>7060</v>
      </c>
      <c r="J216">
        <v>10053</v>
      </c>
      <c r="K216">
        <v>3265</v>
      </c>
      <c r="L216">
        <v>886</v>
      </c>
      <c r="M216">
        <v>4151</v>
      </c>
      <c r="N216">
        <v>311447</v>
      </c>
      <c r="O216">
        <v>3.2280000000000002</v>
      </c>
      <c r="P216">
        <v>1.333</v>
      </c>
      <c r="Q216">
        <v>292619</v>
      </c>
      <c r="R216">
        <v>3.4359999999999999</v>
      </c>
      <c r="S216">
        <v>1.419</v>
      </c>
    </row>
    <row r="217" spans="5:19" x14ac:dyDescent="0.35">
      <c r="E217" s="461" t="s">
        <v>241</v>
      </c>
      <c r="F217" s="461" t="s">
        <v>44</v>
      </c>
      <c r="G217" s="461" t="s">
        <v>274</v>
      </c>
      <c r="H217">
        <v>813</v>
      </c>
      <c r="I217">
        <v>2969</v>
      </c>
      <c r="J217">
        <v>3782</v>
      </c>
      <c r="K217">
        <v>818</v>
      </c>
      <c r="L217">
        <v>537</v>
      </c>
      <c r="M217">
        <v>1355</v>
      </c>
      <c r="N217">
        <v>118117</v>
      </c>
      <c r="O217">
        <v>3.202</v>
      </c>
      <c r="P217">
        <v>1.147</v>
      </c>
      <c r="Q217">
        <v>108878</v>
      </c>
      <c r="R217">
        <v>3.4740000000000002</v>
      </c>
      <c r="S217">
        <v>1.2450000000000001</v>
      </c>
    </row>
    <row r="218" spans="5:19" x14ac:dyDescent="0.35">
      <c r="E218" s="461" t="s">
        <v>241</v>
      </c>
      <c r="F218" s="461" t="s">
        <v>45</v>
      </c>
      <c r="G218" s="461" t="s">
        <v>275</v>
      </c>
      <c r="H218">
        <v>635</v>
      </c>
      <c r="I218">
        <v>894</v>
      </c>
      <c r="J218">
        <v>1529</v>
      </c>
      <c r="K218">
        <v>575</v>
      </c>
      <c r="L218">
        <v>360</v>
      </c>
      <c r="M218">
        <v>935</v>
      </c>
      <c r="N218">
        <v>38985</v>
      </c>
      <c r="O218">
        <v>3.9220000000000002</v>
      </c>
      <c r="P218">
        <v>2.3980000000000001</v>
      </c>
      <c r="Q218">
        <v>37640</v>
      </c>
      <c r="R218">
        <v>4.0620000000000003</v>
      </c>
      <c r="S218">
        <v>2.484</v>
      </c>
    </row>
    <row r="219" spans="5:19" x14ac:dyDescent="0.35">
      <c r="E219" s="461" t="s">
        <v>241</v>
      </c>
      <c r="F219" s="461" t="s">
        <v>46</v>
      </c>
      <c r="G219" s="461" t="s">
        <v>276</v>
      </c>
      <c r="H219">
        <v>394</v>
      </c>
      <c r="I219">
        <v>606</v>
      </c>
      <c r="J219">
        <v>1000</v>
      </c>
      <c r="K219">
        <v>353</v>
      </c>
      <c r="L219">
        <v>267</v>
      </c>
      <c r="M219">
        <v>620</v>
      </c>
      <c r="N219">
        <v>40612</v>
      </c>
      <c r="O219">
        <v>2.4620000000000002</v>
      </c>
      <c r="P219">
        <v>1.5270000000000001</v>
      </c>
      <c r="Q219">
        <v>39122</v>
      </c>
      <c r="R219">
        <v>2.556</v>
      </c>
      <c r="S219">
        <v>1.585</v>
      </c>
    </row>
    <row r="220" spans="5:19" x14ac:dyDescent="0.35">
      <c r="E220" s="461" t="s">
        <v>241</v>
      </c>
      <c r="F220" s="461" t="s">
        <v>47</v>
      </c>
      <c r="G220" s="461" t="s">
        <v>277</v>
      </c>
      <c r="H220">
        <v>516</v>
      </c>
      <c r="I220">
        <v>1149</v>
      </c>
      <c r="J220">
        <v>1665</v>
      </c>
      <c r="K220">
        <v>399</v>
      </c>
      <c r="L220">
        <v>473</v>
      </c>
      <c r="M220">
        <v>872</v>
      </c>
      <c r="N220">
        <v>45209</v>
      </c>
      <c r="O220">
        <v>3.6829999999999998</v>
      </c>
      <c r="P220">
        <v>1.929</v>
      </c>
      <c r="Q220">
        <v>42554</v>
      </c>
      <c r="R220">
        <v>3.9130000000000003</v>
      </c>
      <c r="S220">
        <v>2.0489999999999999</v>
      </c>
    </row>
    <row r="221" spans="5:19" x14ac:dyDescent="0.35">
      <c r="E221" s="461" t="s">
        <v>241</v>
      </c>
      <c r="F221" s="461" t="s">
        <v>48</v>
      </c>
      <c r="G221" s="461" t="s">
        <v>272</v>
      </c>
      <c r="H221">
        <v>112</v>
      </c>
      <c r="I221">
        <v>274</v>
      </c>
      <c r="J221">
        <v>386</v>
      </c>
      <c r="K221">
        <v>132</v>
      </c>
      <c r="L221">
        <v>29</v>
      </c>
      <c r="M221">
        <v>161</v>
      </c>
      <c r="N221">
        <v>14706</v>
      </c>
      <c r="O221">
        <v>2.625</v>
      </c>
      <c r="P221">
        <v>1.095</v>
      </c>
      <c r="Q221">
        <v>12773</v>
      </c>
      <c r="R221">
        <v>3.0219999999999998</v>
      </c>
      <c r="S221">
        <v>1.26</v>
      </c>
    </row>
    <row r="222" spans="5:19" x14ac:dyDescent="0.35">
      <c r="E222" s="461" t="s">
        <v>241</v>
      </c>
      <c r="F222" s="461" t="s">
        <v>49</v>
      </c>
      <c r="G222" s="461" t="s">
        <v>278</v>
      </c>
      <c r="H222">
        <v>701</v>
      </c>
      <c r="I222">
        <v>879</v>
      </c>
      <c r="J222">
        <v>1580</v>
      </c>
      <c r="K222">
        <v>725</v>
      </c>
      <c r="L222">
        <v>449</v>
      </c>
      <c r="M222">
        <v>1174</v>
      </c>
      <c r="N222">
        <v>68158</v>
      </c>
      <c r="O222">
        <v>2.3180000000000001</v>
      </c>
      <c r="P222">
        <v>1.722</v>
      </c>
      <c r="Q222">
        <v>63935</v>
      </c>
      <c r="R222">
        <v>2.4710000000000001</v>
      </c>
      <c r="S222">
        <v>1.8359999999999999</v>
      </c>
    </row>
    <row r="223" spans="5:19" x14ac:dyDescent="0.35">
      <c r="E223" s="461" t="s">
        <v>241</v>
      </c>
      <c r="F223" s="461" t="s">
        <v>50</v>
      </c>
      <c r="G223" s="461" t="s">
        <v>295</v>
      </c>
      <c r="H223">
        <v>1248</v>
      </c>
      <c r="I223">
        <v>2019</v>
      </c>
      <c r="J223">
        <v>3267</v>
      </c>
      <c r="K223">
        <v>1614</v>
      </c>
      <c r="L223">
        <v>428</v>
      </c>
      <c r="M223">
        <v>2042</v>
      </c>
      <c r="N223">
        <v>155364</v>
      </c>
      <c r="O223">
        <v>2.1030000000000002</v>
      </c>
      <c r="P223">
        <v>1.3140000000000001</v>
      </c>
      <c r="Q223">
        <v>151744</v>
      </c>
      <c r="R223">
        <v>2.153</v>
      </c>
      <c r="S223">
        <v>1.3460000000000001</v>
      </c>
    </row>
    <row r="224" spans="5:19" x14ac:dyDescent="0.35">
      <c r="E224" s="461" t="s">
        <v>241</v>
      </c>
      <c r="F224" s="461" t="s">
        <v>51</v>
      </c>
      <c r="G224" s="461" t="s">
        <v>279</v>
      </c>
      <c r="H224">
        <v>96</v>
      </c>
      <c r="I224">
        <v>194</v>
      </c>
      <c r="J224">
        <v>290</v>
      </c>
      <c r="K224">
        <v>82</v>
      </c>
      <c r="L224">
        <v>85</v>
      </c>
      <c r="M224">
        <v>167</v>
      </c>
      <c r="N224">
        <v>11261</v>
      </c>
      <c r="O224">
        <v>2.5750000000000002</v>
      </c>
      <c r="P224">
        <v>1.4830000000000001</v>
      </c>
      <c r="Q224">
        <v>10506</v>
      </c>
      <c r="R224">
        <v>2.76</v>
      </c>
      <c r="S224">
        <v>1.5899999999999999</v>
      </c>
    </row>
    <row r="225" spans="5:19" x14ac:dyDescent="0.35">
      <c r="E225" s="461" t="s">
        <v>241</v>
      </c>
      <c r="F225" s="461" t="s">
        <v>52</v>
      </c>
      <c r="G225" s="461" t="s">
        <v>280</v>
      </c>
      <c r="H225">
        <v>385</v>
      </c>
      <c r="I225">
        <v>1084</v>
      </c>
      <c r="J225">
        <v>1469</v>
      </c>
      <c r="K225">
        <v>357</v>
      </c>
      <c r="L225">
        <v>249</v>
      </c>
      <c r="M225">
        <v>606</v>
      </c>
      <c r="N225">
        <v>72441</v>
      </c>
      <c r="O225">
        <v>2.028</v>
      </c>
      <c r="P225">
        <v>0.83699999999999997</v>
      </c>
      <c r="Q225">
        <v>68196</v>
      </c>
      <c r="R225">
        <v>2.1539999999999999</v>
      </c>
      <c r="S225">
        <v>0.88900000000000001</v>
      </c>
    </row>
    <row r="226" spans="5:19" x14ac:dyDescent="0.35">
      <c r="E226" s="461" t="s">
        <v>241</v>
      </c>
      <c r="F226" s="461" t="s">
        <v>53</v>
      </c>
      <c r="G226" s="461" t="s">
        <v>290</v>
      </c>
      <c r="H226">
        <v>848</v>
      </c>
      <c r="I226">
        <v>1039</v>
      </c>
      <c r="J226">
        <v>1887</v>
      </c>
      <c r="K226">
        <v>803</v>
      </c>
      <c r="L226">
        <v>475</v>
      </c>
      <c r="M226">
        <v>1278</v>
      </c>
      <c r="N226">
        <v>87265</v>
      </c>
      <c r="O226">
        <v>2.1619999999999999</v>
      </c>
      <c r="P226">
        <v>1.4650000000000001</v>
      </c>
      <c r="Q226">
        <v>85745</v>
      </c>
      <c r="R226">
        <v>2.2010000000000001</v>
      </c>
      <c r="S226">
        <v>1.49</v>
      </c>
    </row>
    <row r="227" spans="5:19" x14ac:dyDescent="0.35">
      <c r="E227" s="461" t="s">
        <v>241</v>
      </c>
      <c r="F227" s="461" t="s">
        <v>54</v>
      </c>
      <c r="G227" s="461" t="s">
        <v>281</v>
      </c>
      <c r="H227">
        <v>920</v>
      </c>
      <c r="I227">
        <v>1208</v>
      </c>
      <c r="J227">
        <v>2128</v>
      </c>
      <c r="K227">
        <v>740</v>
      </c>
      <c r="L227">
        <v>673</v>
      </c>
      <c r="M227">
        <v>1413</v>
      </c>
      <c r="N227">
        <v>58425</v>
      </c>
      <c r="O227">
        <v>3.6419999999999999</v>
      </c>
      <c r="P227">
        <v>2.4180000000000001</v>
      </c>
      <c r="Q227">
        <v>54413</v>
      </c>
      <c r="R227">
        <v>3.911</v>
      </c>
      <c r="S227">
        <v>2.597</v>
      </c>
    </row>
    <row r="228" spans="5:19" x14ac:dyDescent="0.35">
      <c r="E228" s="461" t="s">
        <v>241</v>
      </c>
      <c r="F228" s="461" t="s">
        <v>55</v>
      </c>
      <c r="G228" s="461" t="s">
        <v>282</v>
      </c>
      <c r="H228">
        <v>87</v>
      </c>
      <c r="I228">
        <v>209</v>
      </c>
      <c r="J228">
        <v>296</v>
      </c>
      <c r="K228">
        <v>85</v>
      </c>
      <c r="L228">
        <v>74</v>
      </c>
      <c r="M228">
        <v>159</v>
      </c>
      <c r="N228">
        <v>11270</v>
      </c>
      <c r="O228">
        <v>2.6259999999999999</v>
      </c>
      <c r="P228">
        <v>1.411</v>
      </c>
      <c r="Q228">
        <v>10384</v>
      </c>
      <c r="R228">
        <v>2.851</v>
      </c>
      <c r="S228">
        <v>1.5310000000000001</v>
      </c>
    </row>
    <row r="229" spans="5:19" x14ac:dyDescent="0.35">
      <c r="E229" s="461" t="s">
        <v>241</v>
      </c>
      <c r="F229" s="461" t="s">
        <v>56</v>
      </c>
      <c r="G229" s="461" t="s">
        <v>283</v>
      </c>
      <c r="H229">
        <v>437</v>
      </c>
      <c r="I229">
        <v>687</v>
      </c>
      <c r="J229">
        <v>1124</v>
      </c>
      <c r="K229">
        <v>531</v>
      </c>
      <c r="L229">
        <v>204</v>
      </c>
      <c r="M229">
        <v>735</v>
      </c>
      <c r="N229">
        <v>55486</v>
      </c>
      <c r="O229">
        <v>2.0259999999999998</v>
      </c>
      <c r="P229">
        <v>1.325</v>
      </c>
      <c r="Q229">
        <v>52281</v>
      </c>
      <c r="R229">
        <v>2.15</v>
      </c>
      <c r="S229">
        <v>1.4060000000000001</v>
      </c>
    </row>
    <row r="230" spans="5:19" x14ac:dyDescent="0.35">
      <c r="E230" s="461" t="s">
        <v>241</v>
      </c>
      <c r="F230" s="461" t="s">
        <v>57</v>
      </c>
      <c r="G230" s="461" t="s">
        <v>284</v>
      </c>
      <c r="H230">
        <v>1352</v>
      </c>
      <c r="I230">
        <v>2193</v>
      </c>
      <c r="J230">
        <v>3545</v>
      </c>
      <c r="K230">
        <v>1663</v>
      </c>
      <c r="L230">
        <v>484</v>
      </c>
      <c r="M230">
        <v>2147</v>
      </c>
      <c r="N230">
        <v>151352</v>
      </c>
      <c r="O230">
        <v>2.3420000000000001</v>
      </c>
      <c r="P230">
        <v>1.419</v>
      </c>
      <c r="Q230">
        <v>146173</v>
      </c>
      <c r="R230">
        <v>2.4249999999999998</v>
      </c>
      <c r="S230">
        <v>1.4689999999999999</v>
      </c>
    </row>
    <row r="231" spans="5:19" x14ac:dyDescent="0.35">
      <c r="E231" s="461" t="s">
        <v>241</v>
      </c>
      <c r="F231" s="461" t="s">
        <v>58</v>
      </c>
      <c r="G231" s="461" t="s">
        <v>285</v>
      </c>
      <c r="H231">
        <v>323</v>
      </c>
      <c r="I231">
        <v>611</v>
      </c>
      <c r="J231">
        <v>934</v>
      </c>
      <c r="K231">
        <v>329</v>
      </c>
      <c r="L231">
        <v>182</v>
      </c>
      <c r="M231">
        <v>511</v>
      </c>
      <c r="N231">
        <v>41443</v>
      </c>
      <c r="O231">
        <v>2.254</v>
      </c>
      <c r="P231">
        <v>1.2330000000000001</v>
      </c>
      <c r="Q231">
        <v>39440</v>
      </c>
      <c r="R231">
        <v>2.3679999999999999</v>
      </c>
      <c r="S231">
        <v>1.296</v>
      </c>
    </row>
    <row r="232" spans="5:19" x14ac:dyDescent="0.35">
      <c r="E232" s="461" t="s">
        <v>241</v>
      </c>
      <c r="F232" s="461" t="s">
        <v>59</v>
      </c>
      <c r="G232" s="461" t="s">
        <v>291</v>
      </c>
      <c r="H232">
        <v>556</v>
      </c>
      <c r="I232">
        <v>1008</v>
      </c>
      <c r="J232">
        <v>1564</v>
      </c>
      <c r="K232">
        <v>642</v>
      </c>
      <c r="L232">
        <v>185</v>
      </c>
      <c r="M232">
        <v>827</v>
      </c>
      <c r="N232">
        <v>45228</v>
      </c>
      <c r="O232">
        <v>3.4580000000000002</v>
      </c>
      <c r="P232">
        <v>1.829</v>
      </c>
      <c r="Q232">
        <v>42868</v>
      </c>
      <c r="R232">
        <v>3.6480000000000001</v>
      </c>
      <c r="S232">
        <v>1.929</v>
      </c>
    </row>
    <row r="233" spans="5:19" x14ac:dyDescent="0.35">
      <c r="E233" s="461" t="s">
        <v>241</v>
      </c>
      <c r="F233" s="461" t="s">
        <v>60</v>
      </c>
      <c r="G233" s="461" t="s">
        <v>292</v>
      </c>
      <c r="H233">
        <v>851</v>
      </c>
      <c r="I233">
        <v>1470</v>
      </c>
      <c r="J233">
        <v>2321</v>
      </c>
      <c r="K233">
        <v>780</v>
      </c>
      <c r="L233">
        <v>506</v>
      </c>
      <c r="M233">
        <v>1286</v>
      </c>
      <c r="N233">
        <v>79854</v>
      </c>
      <c r="O233">
        <v>2.907</v>
      </c>
      <c r="P233">
        <v>1.6099999999999999</v>
      </c>
      <c r="Q233">
        <v>77953</v>
      </c>
      <c r="R233">
        <v>2.9769999999999999</v>
      </c>
      <c r="S233">
        <v>1.65</v>
      </c>
    </row>
    <row r="234" spans="5:19" x14ac:dyDescent="0.35">
      <c r="E234" s="461" t="s">
        <v>773</v>
      </c>
      <c r="F234" s="461" t="s">
        <v>31</v>
      </c>
      <c r="G234" s="461" t="s">
        <v>286</v>
      </c>
      <c r="H234">
        <v>392</v>
      </c>
      <c r="I234">
        <v>2273</v>
      </c>
      <c r="J234">
        <v>2665</v>
      </c>
      <c r="K234">
        <v>391</v>
      </c>
      <c r="L234">
        <v>199</v>
      </c>
      <c r="M234">
        <v>590</v>
      </c>
      <c r="N234">
        <v>119523</v>
      </c>
      <c r="O234">
        <v>2.23</v>
      </c>
      <c r="P234">
        <v>0.49399999999999999</v>
      </c>
      <c r="Q234">
        <v>108381</v>
      </c>
      <c r="R234">
        <v>2.4590000000000001</v>
      </c>
      <c r="S234">
        <v>0.54400000000000004</v>
      </c>
    </row>
    <row r="235" spans="5:19" x14ac:dyDescent="0.35">
      <c r="E235" s="461" t="s">
        <v>773</v>
      </c>
      <c r="F235" s="461" t="s">
        <v>32</v>
      </c>
      <c r="G235" s="461" t="s">
        <v>287</v>
      </c>
      <c r="H235">
        <v>699</v>
      </c>
      <c r="I235">
        <v>1579</v>
      </c>
      <c r="J235">
        <v>2278</v>
      </c>
      <c r="K235">
        <v>731</v>
      </c>
      <c r="L235">
        <v>413</v>
      </c>
      <c r="M235">
        <v>1144</v>
      </c>
      <c r="N235">
        <v>119196</v>
      </c>
      <c r="O235">
        <v>1.911</v>
      </c>
      <c r="P235">
        <v>0.96</v>
      </c>
      <c r="Q235">
        <v>112114</v>
      </c>
      <c r="R235">
        <v>2.032</v>
      </c>
      <c r="S235">
        <v>1.02</v>
      </c>
    </row>
    <row r="236" spans="5:19" x14ac:dyDescent="0.35">
      <c r="E236" s="461" t="s">
        <v>773</v>
      </c>
      <c r="F236" s="461" t="s">
        <v>33</v>
      </c>
      <c r="G236" s="461" t="s">
        <v>293</v>
      </c>
      <c r="H236">
        <v>440</v>
      </c>
      <c r="I236">
        <v>1358</v>
      </c>
      <c r="J236">
        <v>1798</v>
      </c>
      <c r="K236">
        <v>474</v>
      </c>
      <c r="L236">
        <v>203</v>
      </c>
      <c r="M236">
        <v>677</v>
      </c>
      <c r="N236">
        <v>56928</v>
      </c>
      <c r="O236">
        <v>3.1579999999999999</v>
      </c>
      <c r="P236">
        <v>1.1890000000000001</v>
      </c>
      <c r="Q236">
        <v>54221</v>
      </c>
      <c r="R236">
        <v>3.3159999999999998</v>
      </c>
      <c r="S236">
        <v>1.2490000000000001</v>
      </c>
    </row>
    <row r="237" spans="5:19" x14ac:dyDescent="0.35">
      <c r="E237" s="461" t="s">
        <v>773</v>
      </c>
      <c r="F237" s="461" t="s">
        <v>34</v>
      </c>
      <c r="G237" s="461" t="s">
        <v>288</v>
      </c>
      <c r="H237">
        <v>451</v>
      </c>
      <c r="I237">
        <v>1072</v>
      </c>
      <c r="J237">
        <v>1523</v>
      </c>
      <c r="K237">
        <v>389</v>
      </c>
      <c r="L237">
        <v>332</v>
      </c>
      <c r="M237">
        <v>721</v>
      </c>
      <c r="N237">
        <v>48134</v>
      </c>
      <c r="O237">
        <v>3.1640000000000001</v>
      </c>
      <c r="P237">
        <v>1.498</v>
      </c>
      <c r="Q237">
        <v>41789</v>
      </c>
      <c r="R237">
        <v>3.6440000000000001</v>
      </c>
      <c r="S237">
        <v>1.7250000000000001</v>
      </c>
    </row>
    <row r="238" spans="5:19" x14ac:dyDescent="0.35">
      <c r="E238" s="461" t="s">
        <v>773</v>
      </c>
      <c r="F238" s="461" t="s">
        <v>245</v>
      </c>
      <c r="G238" s="461" t="s">
        <v>289</v>
      </c>
      <c r="H238">
        <v>1502</v>
      </c>
      <c r="I238">
        <v>3441</v>
      </c>
      <c r="J238">
        <v>4943</v>
      </c>
      <c r="K238">
        <v>1592</v>
      </c>
      <c r="L238">
        <v>578</v>
      </c>
      <c r="M238">
        <v>2170</v>
      </c>
      <c r="N238">
        <v>252731</v>
      </c>
      <c r="O238">
        <v>1.956</v>
      </c>
      <c r="P238">
        <v>0.85899999999999999</v>
      </c>
      <c r="Q238">
        <v>238269</v>
      </c>
      <c r="R238">
        <v>2.0750000000000002</v>
      </c>
      <c r="S238">
        <v>0.91100000000000003</v>
      </c>
    </row>
    <row r="239" spans="5:19" x14ac:dyDescent="0.35">
      <c r="E239" s="461" t="s">
        <v>773</v>
      </c>
      <c r="F239" s="461" t="s">
        <v>35</v>
      </c>
      <c r="G239" s="461" t="s">
        <v>267</v>
      </c>
      <c r="H239">
        <v>292</v>
      </c>
      <c r="I239">
        <v>379</v>
      </c>
      <c r="J239">
        <v>671</v>
      </c>
      <c r="K239">
        <v>445</v>
      </c>
      <c r="L239">
        <v>50</v>
      </c>
      <c r="M239">
        <v>495</v>
      </c>
      <c r="N239">
        <v>24716</v>
      </c>
      <c r="O239">
        <v>2.7149999999999999</v>
      </c>
      <c r="P239">
        <v>2.0030000000000001</v>
      </c>
      <c r="Q239">
        <v>23890</v>
      </c>
      <c r="R239">
        <v>2.8090000000000002</v>
      </c>
      <c r="S239">
        <v>2.0720000000000001</v>
      </c>
    </row>
    <row r="240" spans="5:19" x14ac:dyDescent="0.35">
      <c r="E240" s="461" t="s">
        <v>773</v>
      </c>
      <c r="F240" s="461" t="s">
        <v>36</v>
      </c>
      <c r="G240" s="461" t="s">
        <v>268</v>
      </c>
      <c r="H240">
        <v>870</v>
      </c>
      <c r="I240">
        <v>839</v>
      </c>
      <c r="J240">
        <v>1709</v>
      </c>
      <c r="K240">
        <v>824</v>
      </c>
      <c r="L240">
        <v>438</v>
      </c>
      <c r="M240">
        <v>1262</v>
      </c>
      <c r="N240">
        <v>75089</v>
      </c>
      <c r="O240">
        <v>2.2759999999999998</v>
      </c>
      <c r="P240">
        <v>1.681</v>
      </c>
      <c r="Q240">
        <v>69699</v>
      </c>
      <c r="R240">
        <v>2.452</v>
      </c>
      <c r="S240">
        <v>1.8109999999999999</v>
      </c>
    </row>
    <row r="241" spans="5:19" x14ac:dyDescent="0.35">
      <c r="E241" s="461" t="s">
        <v>773</v>
      </c>
      <c r="F241" s="461" t="s">
        <v>37</v>
      </c>
      <c r="G241" s="461" t="s">
        <v>294</v>
      </c>
      <c r="H241">
        <v>577</v>
      </c>
      <c r="I241">
        <v>2144</v>
      </c>
      <c r="J241">
        <v>2721</v>
      </c>
      <c r="K241">
        <v>510</v>
      </c>
      <c r="L241">
        <v>327</v>
      </c>
      <c r="M241">
        <v>837</v>
      </c>
      <c r="N241">
        <v>74891</v>
      </c>
      <c r="O241">
        <v>3.633</v>
      </c>
      <c r="P241">
        <v>1.1179999999999999</v>
      </c>
      <c r="Q241">
        <v>70685</v>
      </c>
      <c r="R241">
        <v>3.8490000000000002</v>
      </c>
      <c r="S241">
        <v>1.1839999999999999</v>
      </c>
    </row>
    <row r="242" spans="5:19" x14ac:dyDescent="0.35">
      <c r="E242" s="461" t="s">
        <v>773</v>
      </c>
      <c r="F242" s="461" t="s">
        <v>38</v>
      </c>
      <c r="G242" s="461" t="s">
        <v>269</v>
      </c>
      <c r="H242">
        <v>423</v>
      </c>
      <c r="I242">
        <v>680</v>
      </c>
      <c r="J242">
        <v>1103</v>
      </c>
      <c r="K242">
        <v>487</v>
      </c>
      <c r="L242">
        <v>216</v>
      </c>
      <c r="M242">
        <v>703</v>
      </c>
      <c r="N242">
        <v>58628</v>
      </c>
      <c r="O242">
        <v>1.881</v>
      </c>
      <c r="P242">
        <v>1.1990000000000001</v>
      </c>
      <c r="Q242">
        <v>55387</v>
      </c>
      <c r="R242">
        <v>1.9910000000000001</v>
      </c>
      <c r="S242">
        <v>1.2690000000000001</v>
      </c>
    </row>
    <row r="243" spans="5:19" x14ac:dyDescent="0.35">
      <c r="E243" s="461" t="s">
        <v>773</v>
      </c>
      <c r="F243" s="461" t="s">
        <v>39</v>
      </c>
      <c r="G243" s="461" t="s">
        <v>296</v>
      </c>
      <c r="H243">
        <v>656</v>
      </c>
      <c r="I243">
        <v>662</v>
      </c>
      <c r="J243">
        <v>1318</v>
      </c>
      <c r="K243">
        <v>758</v>
      </c>
      <c r="L243">
        <v>299</v>
      </c>
      <c r="M243">
        <v>1057</v>
      </c>
      <c r="N243">
        <v>46986</v>
      </c>
      <c r="O243">
        <v>2.8050000000000002</v>
      </c>
      <c r="P243">
        <v>2.25</v>
      </c>
      <c r="Q243">
        <v>46228</v>
      </c>
      <c r="R243">
        <v>2.851</v>
      </c>
      <c r="S243">
        <v>2.286</v>
      </c>
    </row>
    <row r="244" spans="5:19" x14ac:dyDescent="0.35">
      <c r="E244" s="461" t="s">
        <v>773</v>
      </c>
      <c r="F244" s="461" t="s">
        <v>40</v>
      </c>
      <c r="G244" s="461" t="s">
        <v>270</v>
      </c>
      <c r="H244">
        <v>372</v>
      </c>
      <c r="I244">
        <v>530</v>
      </c>
      <c r="J244">
        <v>902</v>
      </c>
      <c r="K244">
        <v>448</v>
      </c>
      <c r="L244">
        <v>151</v>
      </c>
      <c r="M244">
        <v>599</v>
      </c>
      <c r="N244">
        <v>48851</v>
      </c>
      <c r="O244">
        <v>1.8460000000000001</v>
      </c>
      <c r="P244">
        <v>1.226</v>
      </c>
      <c r="Q244">
        <v>46771</v>
      </c>
      <c r="R244">
        <v>1.929</v>
      </c>
      <c r="S244">
        <v>1.2810000000000001</v>
      </c>
    </row>
    <row r="245" spans="5:19" x14ac:dyDescent="0.35">
      <c r="E245" s="461" t="s">
        <v>773</v>
      </c>
      <c r="F245" s="461" t="s">
        <v>41</v>
      </c>
      <c r="G245" s="461" t="s">
        <v>271</v>
      </c>
      <c r="H245">
        <v>366</v>
      </c>
      <c r="I245">
        <v>587</v>
      </c>
      <c r="J245">
        <v>953</v>
      </c>
      <c r="K245">
        <v>397</v>
      </c>
      <c r="L245">
        <v>172</v>
      </c>
      <c r="M245">
        <v>569</v>
      </c>
      <c r="N245">
        <v>39144</v>
      </c>
      <c r="O245">
        <v>2.4350000000000001</v>
      </c>
      <c r="P245">
        <v>1.454</v>
      </c>
      <c r="Q245">
        <v>39345</v>
      </c>
      <c r="R245">
        <v>2.4220000000000002</v>
      </c>
      <c r="S245">
        <v>1.446</v>
      </c>
    </row>
    <row r="246" spans="5:19" x14ac:dyDescent="0.35">
      <c r="E246" s="461" t="s">
        <v>773</v>
      </c>
      <c r="F246" s="461" t="s">
        <v>42</v>
      </c>
      <c r="G246" s="461" t="s">
        <v>273</v>
      </c>
      <c r="H246">
        <v>511</v>
      </c>
      <c r="I246">
        <v>1174</v>
      </c>
      <c r="J246">
        <v>1685</v>
      </c>
      <c r="K246">
        <v>590</v>
      </c>
      <c r="L246">
        <v>172</v>
      </c>
      <c r="M246">
        <v>762</v>
      </c>
      <c r="N246">
        <v>75226</v>
      </c>
      <c r="O246">
        <v>2.2400000000000002</v>
      </c>
      <c r="P246">
        <v>1.0129999999999999</v>
      </c>
      <c r="Q246">
        <v>72672</v>
      </c>
      <c r="R246">
        <v>2.319</v>
      </c>
      <c r="S246">
        <v>1.0489999999999999</v>
      </c>
    </row>
    <row r="247" spans="5:19" x14ac:dyDescent="0.35">
      <c r="E247" s="461" t="s">
        <v>773</v>
      </c>
      <c r="F247" s="461" t="s">
        <v>43</v>
      </c>
      <c r="G247" s="461" t="s">
        <v>380</v>
      </c>
      <c r="H247">
        <v>2533</v>
      </c>
      <c r="I247">
        <v>3908</v>
      </c>
      <c r="J247">
        <v>6441</v>
      </c>
      <c r="K247">
        <v>2725</v>
      </c>
      <c r="L247">
        <v>1258</v>
      </c>
      <c r="M247">
        <v>3983</v>
      </c>
      <c r="N247">
        <v>178183</v>
      </c>
      <c r="O247">
        <v>3.6150000000000002</v>
      </c>
      <c r="P247">
        <v>2.2349999999999999</v>
      </c>
      <c r="Q247">
        <v>169239</v>
      </c>
      <c r="R247">
        <v>3.806</v>
      </c>
      <c r="S247">
        <v>2.3529999999999998</v>
      </c>
    </row>
    <row r="248" spans="5:19" x14ac:dyDescent="0.35">
      <c r="E248" s="461" t="s">
        <v>773</v>
      </c>
      <c r="F248" s="461" t="s">
        <v>114</v>
      </c>
      <c r="G248" s="461" t="s">
        <v>297</v>
      </c>
      <c r="H248">
        <v>2529</v>
      </c>
      <c r="I248">
        <v>7410</v>
      </c>
      <c r="J248">
        <v>9939</v>
      </c>
      <c r="K248">
        <v>2783</v>
      </c>
      <c r="L248">
        <v>753</v>
      </c>
      <c r="M248">
        <v>3536</v>
      </c>
      <c r="N248">
        <v>314604</v>
      </c>
      <c r="O248">
        <v>3.1589999999999998</v>
      </c>
      <c r="P248">
        <v>1.1240000000000001</v>
      </c>
      <c r="Q248">
        <v>294622</v>
      </c>
      <c r="R248">
        <v>3.3730000000000002</v>
      </c>
      <c r="S248">
        <v>1.2</v>
      </c>
    </row>
    <row r="249" spans="5:19" x14ac:dyDescent="0.35">
      <c r="E249" s="461" t="s">
        <v>773</v>
      </c>
      <c r="F249" s="461" t="s">
        <v>44</v>
      </c>
      <c r="G249" s="461" t="s">
        <v>274</v>
      </c>
      <c r="H249">
        <v>592</v>
      </c>
      <c r="I249">
        <v>2276</v>
      </c>
      <c r="J249">
        <v>2868</v>
      </c>
      <c r="K249">
        <v>522</v>
      </c>
      <c r="L249">
        <v>464</v>
      </c>
      <c r="M249">
        <v>986</v>
      </c>
      <c r="N249">
        <v>119061</v>
      </c>
      <c r="O249">
        <v>2.4089999999999998</v>
      </c>
      <c r="P249">
        <v>0.82799999999999996</v>
      </c>
      <c r="Q249">
        <v>109514</v>
      </c>
      <c r="R249">
        <v>2.6189999999999998</v>
      </c>
      <c r="S249">
        <v>0.9</v>
      </c>
    </row>
    <row r="250" spans="5:19" x14ac:dyDescent="0.35">
      <c r="E250" s="461" t="s">
        <v>773</v>
      </c>
      <c r="F250" s="461" t="s">
        <v>45</v>
      </c>
      <c r="G250" s="461" t="s">
        <v>275</v>
      </c>
      <c r="H250">
        <v>631</v>
      </c>
      <c r="I250">
        <v>773</v>
      </c>
      <c r="J250">
        <v>1404</v>
      </c>
      <c r="K250">
        <v>603</v>
      </c>
      <c r="L250">
        <v>338</v>
      </c>
      <c r="M250">
        <v>941</v>
      </c>
      <c r="N250">
        <v>38977</v>
      </c>
      <c r="O250">
        <v>3.6019999999999999</v>
      </c>
      <c r="P250">
        <v>2.4140000000000001</v>
      </c>
      <c r="Q250">
        <v>37614</v>
      </c>
      <c r="R250">
        <v>3.7330000000000001</v>
      </c>
      <c r="S250">
        <v>2.5019999999999998</v>
      </c>
    </row>
    <row r="251" spans="5:19" x14ac:dyDescent="0.35">
      <c r="E251" s="461" t="s">
        <v>773</v>
      </c>
      <c r="F251" s="461" t="s">
        <v>46</v>
      </c>
      <c r="G251" s="461" t="s">
        <v>276</v>
      </c>
      <c r="H251">
        <v>338</v>
      </c>
      <c r="I251">
        <v>669</v>
      </c>
      <c r="J251">
        <v>1007</v>
      </c>
      <c r="K251">
        <v>303</v>
      </c>
      <c r="L251">
        <v>225</v>
      </c>
      <c r="M251">
        <v>528</v>
      </c>
      <c r="N251">
        <v>41226</v>
      </c>
      <c r="O251">
        <v>2.4430000000000001</v>
      </c>
      <c r="P251">
        <v>1.2810000000000001</v>
      </c>
      <c r="Q251">
        <v>39733</v>
      </c>
      <c r="R251">
        <v>2.5339999999999998</v>
      </c>
      <c r="S251">
        <v>1.329</v>
      </c>
    </row>
    <row r="252" spans="5:19" x14ac:dyDescent="0.35">
      <c r="E252" s="461" t="s">
        <v>773</v>
      </c>
      <c r="F252" s="461" t="s">
        <v>47</v>
      </c>
      <c r="G252" s="461" t="s">
        <v>277</v>
      </c>
      <c r="H252">
        <v>483</v>
      </c>
      <c r="I252">
        <v>1205</v>
      </c>
      <c r="J252">
        <v>1688</v>
      </c>
      <c r="K252">
        <v>500</v>
      </c>
      <c r="L252">
        <v>377</v>
      </c>
      <c r="M252">
        <v>877</v>
      </c>
      <c r="N252">
        <v>45630</v>
      </c>
      <c r="O252">
        <v>3.6989999999999998</v>
      </c>
      <c r="P252">
        <v>1.9220000000000002</v>
      </c>
      <c r="Q252">
        <v>42932</v>
      </c>
      <c r="R252">
        <v>3.9319999999999999</v>
      </c>
      <c r="S252">
        <v>2.0430000000000001</v>
      </c>
    </row>
    <row r="253" spans="5:19" x14ac:dyDescent="0.35">
      <c r="E253" s="461" t="s">
        <v>773</v>
      </c>
      <c r="F253" s="461" t="s">
        <v>48</v>
      </c>
      <c r="G253" s="461" t="s">
        <v>272</v>
      </c>
      <c r="H253">
        <v>67</v>
      </c>
      <c r="I253">
        <v>235</v>
      </c>
      <c r="J253">
        <v>302</v>
      </c>
      <c r="K253">
        <v>69</v>
      </c>
      <c r="L253">
        <v>42</v>
      </c>
      <c r="M253">
        <v>111</v>
      </c>
      <c r="N253">
        <v>14734</v>
      </c>
      <c r="O253">
        <v>2.0499999999999998</v>
      </c>
      <c r="P253">
        <v>0.753</v>
      </c>
      <c r="Q253">
        <v>12833</v>
      </c>
      <c r="R253">
        <v>2.3529999999999998</v>
      </c>
      <c r="S253">
        <v>0.86499999999999999</v>
      </c>
    </row>
    <row r="254" spans="5:19" x14ac:dyDescent="0.35">
      <c r="E254" s="461" t="s">
        <v>773</v>
      </c>
      <c r="F254" s="461" t="s">
        <v>49</v>
      </c>
      <c r="G254" s="461" t="s">
        <v>278</v>
      </c>
      <c r="H254">
        <v>716</v>
      </c>
      <c r="I254">
        <v>969</v>
      </c>
      <c r="J254">
        <v>1685</v>
      </c>
      <c r="K254">
        <v>784</v>
      </c>
      <c r="L254">
        <v>366</v>
      </c>
      <c r="M254">
        <v>1150</v>
      </c>
      <c r="N254">
        <v>68496</v>
      </c>
      <c r="O254">
        <v>2.46</v>
      </c>
      <c r="P254">
        <v>1.679</v>
      </c>
      <c r="Q254">
        <v>64140</v>
      </c>
      <c r="R254">
        <v>2.6269999999999998</v>
      </c>
      <c r="S254">
        <v>1.7930000000000001</v>
      </c>
    </row>
    <row r="255" spans="5:19" x14ac:dyDescent="0.35">
      <c r="E255" s="461" t="s">
        <v>773</v>
      </c>
      <c r="F255" s="461" t="s">
        <v>50</v>
      </c>
      <c r="G255" s="461" t="s">
        <v>295</v>
      </c>
      <c r="H255">
        <v>1328</v>
      </c>
      <c r="I255">
        <v>2916</v>
      </c>
      <c r="J255">
        <v>4244</v>
      </c>
      <c r="K255">
        <v>1742</v>
      </c>
      <c r="L255">
        <v>411</v>
      </c>
      <c r="M255">
        <v>2153</v>
      </c>
      <c r="N255">
        <v>156694</v>
      </c>
      <c r="O255">
        <v>2.7080000000000002</v>
      </c>
      <c r="P255">
        <v>1.3740000000000001</v>
      </c>
      <c r="Q255">
        <v>152443</v>
      </c>
      <c r="R255">
        <v>2.7839999999999998</v>
      </c>
      <c r="S255">
        <v>1.4119999999999999</v>
      </c>
    </row>
    <row r="256" spans="5:19" x14ac:dyDescent="0.35">
      <c r="E256" s="461" t="s">
        <v>773</v>
      </c>
      <c r="F256" s="461" t="s">
        <v>51</v>
      </c>
      <c r="G256" s="461" t="s">
        <v>279</v>
      </c>
      <c r="H256">
        <v>122</v>
      </c>
      <c r="I256">
        <v>237</v>
      </c>
      <c r="J256">
        <v>359</v>
      </c>
      <c r="K256">
        <v>127</v>
      </c>
      <c r="L256">
        <v>84</v>
      </c>
      <c r="M256">
        <v>211</v>
      </c>
      <c r="N256">
        <v>11322</v>
      </c>
      <c r="O256">
        <v>3.1709999999999998</v>
      </c>
      <c r="P256">
        <v>1.8639999999999999</v>
      </c>
      <c r="Q256">
        <v>10589</v>
      </c>
      <c r="R256">
        <v>3.39</v>
      </c>
      <c r="S256">
        <v>1.9929999999999999</v>
      </c>
    </row>
    <row r="257" spans="5:19" x14ac:dyDescent="0.35">
      <c r="E257" s="461" t="s">
        <v>773</v>
      </c>
      <c r="F257" s="461" t="s">
        <v>52</v>
      </c>
      <c r="G257" s="461" t="s">
        <v>280</v>
      </c>
      <c r="H257">
        <v>389</v>
      </c>
      <c r="I257">
        <v>1165</v>
      </c>
      <c r="J257">
        <v>1554</v>
      </c>
      <c r="K257">
        <v>403</v>
      </c>
      <c r="L257">
        <v>198</v>
      </c>
      <c r="M257">
        <v>601</v>
      </c>
      <c r="N257">
        <v>73267</v>
      </c>
      <c r="O257">
        <v>2.121</v>
      </c>
      <c r="P257">
        <v>0.82</v>
      </c>
      <c r="Q257">
        <v>69003</v>
      </c>
      <c r="R257">
        <v>2.2519999999999998</v>
      </c>
      <c r="S257">
        <v>0.871</v>
      </c>
    </row>
    <row r="258" spans="5:19" x14ac:dyDescent="0.35">
      <c r="E258" s="461" t="s">
        <v>773</v>
      </c>
      <c r="F258" s="461" t="s">
        <v>53</v>
      </c>
      <c r="G258" s="461" t="s">
        <v>290</v>
      </c>
      <c r="H258">
        <v>774</v>
      </c>
      <c r="I258">
        <v>1023</v>
      </c>
      <c r="J258">
        <v>1797</v>
      </c>
      <c r="K258">
        <v>786</v>
      </c>
      <c r="L258">
        <v>396</v>
      </c>
      <c r="M258">
        <v>1182</v>
      </c>
      <c r="N258">
        <v>88086</v>
      </c>
      <c r="O258">
        <v>2.04</v>
      </c>
      <c r="P258">
        <v>1.3420000000000001</v>
      </c>
      <c r="Q258">
        <v>86683</v>
      </c>
      <c r="R258">
        <v>2.073</v>
      </c>
      <c r="S258">
        <v>1.3639999999999999</v>
      </c>
    </row>
    <row r="259" spans="5:19" x14ac:dyDescent="0.35">
      <c r="E259" s="461" t="s">
        <v>773</v>
      </c>
      <c r="F259" s="461" t="s">
        <v>54</v>
      </c>
      <c r="G259" s="461" t="s">
        <v>281</v>
      </c>
      <c r="H259">
        <v>869</v>
      </c>
      <c r="I259">
        <v>1387</v>
      </c>
      <c r="J259">
        <v>2256</v>
      </c>
      <c r="K259">
        <v>798</v>
      </c>
      <c r="L259">
        <v>632</v>
      </c>
      <c r="M259">
        <v>1430</v>
      </c>
      <c r="N259">
        <v>58671</v>
      </c>
      <c r="O259">
        <v>3.8449999999999998</v>
      </c>
      <c r="P259">
        <v>2.4369999999999998</v>
      </c>
      <c r="Q259">
        <v>54715</v>
      </c>
      <c r="R259">
        <v>4.1230000000000002</v>
      </c>
      <c r="S259">
        <v>2.6139999999999999</v>
      </c>
    </row>
    <row r="260" spans="5:19" x14ac:dyDescent="0.35">
      <c r="E260" s="461" t="s">
        <v>773</v>
      </c>
      <c r="F260" s="461" t="s">
        <v>55</v>
      </c>
      <c r="G260" s="461" t="s">
        <v>282</v>
      </c>
      <c r="H260">
        <v>156</v>
      </c>
      <c r="I260">
        <v>407</v>
      </c>
      <c r="J260">
        <v>563</v>
      </c>
      <c r="K260">
        <v>141</v>
      </c>
      <c r="L260">
        <v>112</v>
      </c>
      <c r="M260">
        <v>253</v>
      </c>
      <c r="N260">
        <v>11305</v>
      </c>
      <c r="O260">
        <v>4.9800000000000004</v>
      </c>
      <c r="P260">
        <v>2.238</v>
      </c>
      <c r="Q260">
        <v>10439</v>
      </c>
      <c r="R260">
        <v>5.3929999999999998</v>
      </c>
      <c r="S260">
        <v>2.4239999999999999</v>
      </c>
    </row>
    <row r="261" spans="5:19" x14ac:dyDescent="0.35">
      <c r="E261" s="461" t="s">
        <v>773</v>
      </c>
      <c r="F261" s="461" t="s">
        <v>56</v>
      </c>
      <c r="G261" s="461" t="s">
        <v>283</v>
      </c>
      <c r="H261">
        <v>413</v>
      </c>
      <c r="I261">
        <v>588</v>
      </c>
      <c r="J261">
        <v>1001</v>
      </c>
      <c r="K261">
        <v>525</v>
      </c>
      <c r="L261">
        <v>185</v>
      </c>
      <c r="M261">
        <v>710</v>
      </c>
      <c r="N261">
        <v>55668</v>
      </c>
      <c r="O261">
        <v>1.798</v>
      </c>
      <c r="P261">
        <v>1.2749999999999999</v>
      </c>
      <c r="Q261">
        <v>52588</v>
      </c>
      <c r="R261">
        <v>1.903</v>
      </c>
      <c r="S261">
        <v>1.35</v>
      </c>
    </row>
    <row r="262" spans="5:19" x14ac:dyDescent="0.35">
      <c r="E262" s="461" t="s">
        <v>773</v>
      </c>
      <c r="F262" s="461" t="s">
        <v>57</v>
      </c>
      <c r="G262" s="461" t="s">
        <v>284</v>
      </c>
      <c r="H262">
        <v>1364</v>
      </c>
      <c r="I262">
        <v>2345</v>
      </c>
      <c r="J262">
        <v>3709</v>
      </c>
      <c r="K262">
        <v>1628</v>
      </c>
      <c r="L262">
        <v>551</v>
      </c>
      <c r="M262">
        <v>2179</v>
      </c>
      <c r="N262">
        <v>152998</v>
      </c>
      <c r="O262">
        <v>2.4239999999999999</v>
      </c>
      <c r="P262">
        <v>1.4239999999999999</v>
      </c>
      <c r="Q262">
        <v>147434</v>
      </c>
      <c r="R262">
        <v>2.516</v>
      </c>
      <c r="S262">
        <v>1.478</v>
      </c>
    </row>
    <row r="263" spans="5:19" x14ac:dyDescent="0.35">
      <c r="E263" s="461" t="s">
        <v>773</v>
      </c>
      <c r="F263" s="461" t="s">
        <v>58</v>
      </c>
      <c r="G263" s="461" t="s">
        <v>285</v>
      </c>
      <c r="H263">
        <v>311</v>
      </c>
      <c r="I263">
        <v>590</v>
      </c>
      <c r="J263">
        <v>901</v>
      </c>
      <c r="K263">
        <v>360</v>
      </c>
      <c r="L263">
        <v>153</v>
      </c>
      <c r="M263">
        <v>513</v>
      </c>
      <c r="N263">
        <v>41638</v>
      </c>
      <c r="O263">
        <v>2.1640000000000001</v>
      </c>
      <c r="P263">
        <v>1.232</v>
      </c>
      <c r="Q263">
        <v>39654</v>
      </c>
      <c r="R263">
        <v>2.2720000000000002</v>
      </c>
      <c r="S263">
        <v>1.294</v>
      </c>
    </row>
    <row r="264" spans="5:19" x14ac:dyDescent="0.35">
      <c r="E264" s="461" t="s">
        <v>773</v>
      </c>
      <c r="F264" s="461" t="s">
        <v>59</v>
      </c>
      <c r="G264" s="461" t="s">
        <v>291</v>
      </c>
      <c r="H264">
        <v>468</v>
      </c>
      <c r="I264">
        <v>931</v>
      </c>
      <c r="J264">
        <v>1399</v>
      </c>
      <c r="K264">
        <v>550</v>
      </c>
      <c r="L264">
        <v>172</v>
      </c>
      <c r="M264">
        <v>722</v>
      </c>
      <c r="N264">
        <v>45357</v>
      </c>
      <c r="O264">
        <v>3.0840000000000001</v>
      </c>
      <c r="P264">
        <v>1.5920000000000001</v>
      </c>
      <c r="Q264">
        <v>43030</v>
      </c>
      <c r="R264">
        <v>3.2509999999999999</v>
      </c>
      <c r="S264">
        <v>1.6779999999999999</v>
      </c>
    </row>
    <row r="265" spans="5:19" x14ac:dyDescent="0.35">
      <c r="E265" s="461" t="s">
        <v>773</v>
      </c>
      <c r="F265" s="461" t="s">
        <v>60</v>
      </c>
      <c r="G265" s="461" t="s">
        <v>292</v>
      </c>
      <c r="H265">
        <v>658</v>
      </c>
      <c r="I265">
        <v>1193</v>
      </c>
      <c r="J265">
        <v>1851</v>
      </c>
      <c r="K265">
        <v>631</v>
      </c>
      <c r="L265">
        <v>327</v>
      </c>
      <c r="M265">
        <v>958</v>
      </c>
      <c r="N265">
        <v>80911</v>
      </c>
      <c r="O265">
        <v>2.2879999999999998</v>
      </c>
      <c r="P265">
        <v>1.1839999999999999</v>
      </c>
      <c r="Q265">
        <v>78966</v>
      </c>
      <c r="R265">
        <v>2.3439999999999999</v>
      </c>
      <c r="S265">
        <v>1.2130000000000001</v>
      </c>
    </row>
    <row r="266" spans="5:19" x14ac:dyDescent="0.35">
      <c r="E266" s="461" t="s">
        <v>951</v>
      </c>
      <c r="F266" s="461" t="s">
        <v>31</v>
      </c>
      <c r="G266" s="461" t="s">
        <v>286</v>
      </c>
      <c r="H266">
        <v>130</v>
      </c>
      <c r="I266">
        <v>411</v>
      </c>
      <c r="J266">
        <v>541</v>
      </c>
      <c r="K266">
        <v>135</v>
      </c>
      <c r="L266">
        <v>54</v>
      </c>
      <c r="M266">
        <v>189</v>
      </c>
      <c r="N266">
        <v>120980</v>
      </c>
      <c r="O266">
        <v>0.44700000000000001</v>
      </c>
      <c r="P266">
        <v>0.156</v>
      </c>
      <c r="Q266">
        <v>108893</v>
      </c>
      <c r="R266">
        <v>0.497</v>
      </c>
      <c r="S266">
        <v>0.17399999999999999</v>
      </c>
    </row>
    <row r="267" spans="5:19" x14ac:dyDescent="0.35">
      <c r="E267" s="461" t="s">
        <v>951</v>
      </c>
      <c r="F267" s="461" t="s">
        <v>32</v>
      </c>
      <c r="G267" s="461" t="s">
        <v>287</v>
      </c>
      <c r="H267">
        <v>126</v>
      </c>
      <c r="I267">
        <v>311</v>
      </c>
      <c r="J267">
        <v>437</v>
      </c>
      <c r="K267">
        <v>147</v>
      </c>
      <c r="L267">
        <v>76</v>
      </c>
      <c r="M267">
        <v>223</v>
      </c>
      <c r="N267">
        <v>119854</v>
      </c>
      <c r="O267">
        <v>0.36499999999999999</v>
      </c>
      <c r="P267">
        <v>0.186</v>
      </c>
      <c r="Q267">
        <v>112713</v>
      </c>
      <c r="R267">
        <v>0.38800000000000001</v>
      </c>
      <c r="S267">
        <v>0.19800000000000001</v>
      </c>
    </row>
    <row r="268" spans="5:19" x14ac:dyDescent="0.35">
      <c r="E268" s="461" t="s">
        <v>951</v>
      </c>
      <c r="F268" s="461" t="s">
        <v>33</v>
      </c>
      <c r="G268" s="461" t="s">
        <v>293</v>
      </c>
      <c r="H268">
        <v>201</v>
      </c>
      <c r="I268">
        <v>519</v>
      </c>
      <c r="J268">
        <v>720</v>
      </c>
      <c r="K268">
        <v>177</v>
      </c>
      <c r="L268">
        <v>115</v>
      </c>
      <c r="M268">
        <v>292</v>
      </c>
      <c r="N268">
        <v>57206</v>
      </c>
      <c r="O268">
        <v>1.2589999999999999</v>
      </c>
      <c r="P268">
        <v>0.51</v>
      </c>
      <c r="Q268">
        <v>54480</v>
      </c>
      <c r="R268">
        <v>1.3220000000000001</v>
      </c>
      <c r="S268">
        <v>0.53600000000000003</v>
      </c>
    </row>
    <row r="269" spans="5:19" x14ac:dyDescent="0.35">
      <c r="E269" s="461" t="s">
        <v>951</v>
      </c>
      <c r="F269" s="461" t="s">
        <v>34</v>
      </c>
      <c r="G269" s="461" t="s">
        <v>288</v>
      </c>
      <c r="H269">
        <v>166</v>
      </c>
      <c r="I269">
        <v>320</v>
      </c>
      <c r="J269">
        <v>486</v>
      </c>
      <c r="K269">
        <v>154</v>
      </c>
      <c r="L269">
        <v>117</v>
      </c>
      <c r="M269">
        <v>271</v>
      </c>
      <c r="N269">
        <v>48199</v>
      </c>
      <c r="O269">
        <v>1.008</v>
      </c>
      <c r="P269">
        <v>0.56200000000000006</v>
      </c>
      <c r="Q269">
        <v>41839</v>
      </c>
      <c r="R269">
        <v>1.1619999999999999</v>
      </c>
      <c r="S269">
        <v>0.64800000000000002</v>
      </c>
    </row>
    <row r="270" spans="5:19" x14ac:dyDescent="0.35">
      <c r="E270" s="461" t="s">
        <v>951</v>
      </c>
      <c r="F270" s="461" t="s">
        <v>245</v>
      </c>
      <c r="G270" s="461" t="s">
        <v>289</v>
      </c>
      <c r="H270">
        <v>680</v>
      </c>
      <c r="I270">
        <v>756</v>
      </c>
      <c r="J270">
        <v>1436</v>
      </c>
      <c r="K270">
        <v>700</v>
      </c>
      <c r="L270">
        <v>310</v>
      </c>
      <c r="M270">
        <v>1010</v>
      </c>
      <c r="N270">
        <v>254929</v>
      </c>
      <c r="O270">
        <v>0.56299999999999994</v>
      </c>
      <c r="P270">
        <v>0.39600000000000002</v>
      </c>
      <c r="Q270">
        <v>239364</v>
      </c>
      <c r="R270">
        <v>0.6</v>
      </c>
      <c r="S270">
        <v>0.42199999999999999</v>
      </c>
    </row>
    <row r="271" spans="5:19" x14ac:dyDescent="0.35">
      <c r="E271" s="461" t="s">
        <v>951</v>
      </c>
      <c r="F271" s="461" t="s">
        <v>35</v>
      </c>
      <c r="G271" s="461" t="s">
        <v>267</v>
      </c>
      <c r="H271">
        <v>63</v>
      </c>
      <c r="I271">
        <v>108</v>
      </c>
      <c r="J271">
        <v>171</v>
      </c>
      <c r="K271">
        <v>94</v>
      </c>
      <c r="L271">
        <v>28</v>
      </c>
      <c r="M271">
        <v>122</v>
      </c>
      <c r="N271">
        <v>24838</v>
      </c>
      <c r="O271">
        <v>0.68799999999999994</v>
      </c>
      <c r="P271">
        <v>0.49099999999999999</v>
      </c>
      <c r="Q271">
        <v>24066</v>
      </c>
      <c r="R271">
        <v>0.71099999999999997</v>
      </c>
      <c r="S271">
        <v>0.50700000000000001</v>
      </c>
    </row>
    <row r="272" spans="5:19" x14ac:dyDescent="0.35">
      <c r="E272" s="461" t="s">
        <v>951</v>
      </c>
      <c r="F272" s="461" t="s">
        <v>36</v>
      </c>
      <c r="G272" s="461" t="s">
        <v>268</v>
      </c>
      <c r="H272">
        <v>142</v>
      </c>
      <c r="I272">
        <v>231</v>
      </c>
      <c r="J272">
        <v>373</v>
      </c>
      <c r="K272">
        <v>124</v>
      </c>
      <c r="L272">
        <v>82</v>
      </c>
      <c r="M272">
        <v>206</v>
      </c>
      <c r="N272">
        <v>75298</v>
      </c>
      <c r="O272">
        <v>0.495</v>
      </c>
      <c r="P272">
        <v>0.27400000000000002</v>
      </c>
      <c r="Q272">
        <v>69957</v>
      </c>
      <c r="R272">
        <v>0.53300000000000003</v>
      </c>
      <c r="S272">
        <v>0.29399999999999998</v>
      </c>
    </row>
    <row r="273" spans="5:19" x14ac:dyDescent="0.35">
      <c r="E273" s="461" t="s">
        <v>951</v>
      </c>
      <c r="F273" s="461" t="s">
        <v>37</v>
      </c>
      <c r="G273" s="461" t="s">
        <v>294</v>
      </c>
      <c r="H273">
        <v>289</v>
      </c>
      <c r="I273">
        <v>641</v>
      </c>
      <c r="J273">
        <v>930</v>
      </c>
      <c r="K273">
        <v>284</v>
      </c>
      <c r="L273">
        <v>166</v>
      </c>
      <c r="M273">
        <v>450</v>
      </c>
      <c r="N273">
        <v>75027</v>
      </c>
      <c r="O273">
        <v>1.24</v>
      </c>
      <c r="P273">
        <v>0.6</v>
      </c>
      <c r="Q273">
        <v>70689</v>
      </c>
      <c r="R273">
        <v>1.3160000000000001</v>
      </c>
      <c r="S273">
        <v>0.63700000000000001</v>
      </c>
    </row>
    <row r="274" spans="5:19" x14ac:dyDescent="0.35">
      <c r="E274" s="461" t="s">
        <v>951</v>
      </c>
      <c r="F274" s="461" t="s">
        <v>38</v>
      </c>
      <c r="G274" s="461" t="s">
        <v>269</v>
      </c>
      <c r="H274">
        <v>172</v>
      </c>
      <c r="I274">
        <v>316</v>
      </c>
      <c r="J274">
        <v>488</v>
      </c>
      <c r="K274">
        <v>222</v>
      </c>
      <c r="L274">
        <v>77</v>
      </c>
      <c r="M274">
        <v>299</v>
      </c>
      <c r="N274">
        <v>58821</v>
      </c>
      <c r="O274">
        <v>0.83</v>
      </c>
      <c r="P274">
        <v>0.50800000000000001</v>
      </c>
      <c r="Q274">
        <v>55564</v>
      </c>
      <c r="R274">
        <v>0.878</v>
      </c>
      <c r="S274">
        <v>0.53800000000000003</v>
      </c>
    </row>
    <row r="275" spans="5:19" x14ac:dyDescent="0.35">
      <c r="E275" s="461" t="s">
        <v>951</v>
      </c>
      <c r="F275" s="461" t="s">
        <v>39</v>
      </c>
      <c r="G275" s="461" t="s">
        <v>296</v>
      </c>
      <c r="H275">
        <v>229</v>
      </c>
      <c r="I275">
        <v>178</v>
      </c>
      <c r="J275">
        <v>407</v>
      </c>
      <c r="K275">
        <v>238</v>
      </c>
      <c r="L275">
        <v>133</v>
      </c>
      <c r="M275">
        <v>371</v>
      </c>
      <c r="N275">
        <v>47251</v>
      </c>
      <c r="O275">
        <v>0.86099999999999999</v>
      </c>
      <c r="P275">
        <v>0.78500000000000003</v>
      </c>
      <c r="Q275">
        <v>46563</v>
      </c>
      <c r="R275">
        <v>0.874</v>
      </c>
      <c r="S275">
        <v>0.79700000000000004</v>
      </c>
    </row>
    <row r="276" spans="5:19" x14ac:dyDescent="0.35">
      <c r="E276" s="461" t="s">
        <v>951</v>
      </c>
      <c r="F276" s="461" t="s">
        <v>40</v>
      </c>
      <c r="G276" s="461" t="s">
        <v>270</v>
      </c>
      <c r="H276">
        <v>125</v>
      </c>
      <c r="I276">
        <v>156</v>
      </c>
      <c r="J276">
        <v>281</v>
      </c>
      <c r="K276">
        <v>163</v>
      </c>
      <c r="L276">
        <v>64</v>
      </c>
      <c r="M276">
        <v>227</v>
      </c>
      <c r="N276">
        <v>49642</v>
      </c>
      <c r="O276">
        <v>0.56599999999999995</v>
      </c>
      <c r="P276">
        <v>0.45700000000000002</v>
      </c>
      <c r="Q276">
        <v>47482</v>
      </c>
      <c r="R276">
        <v>0.59199999999999997</v>
      </c>
      <c r="S276">
        <v>0.47799999999999998</v>
      </c>
    </row>
    <row r="277" spans="5:19" x14ac:dyDescent="0.35">
      <c r="E277" s="461" t="s">
        <v>951</v>
      </c>
      <c r="F277" s="461" t="s">
        <v>41</v>
      </c>
      <c r="G277" s="461" t="s">
        <v>271</v>
      </c>
      <c r="H277">
        <v>205</v>
      </c>
      <c r="I277">
        <v>173</v>
      </c>
      <c r="J277">
        <v>378</v>
      </c>
      <c r="K277">
        <v>222</v>
      </c>
      <c r="L277">
        <v>101</v>
      </c>
      <c r="M277">
        <v>323</v>
      </c>
      <c r="N277">
        <v>39453</v>
      </c>
      <c r="O277">
        <v>0.95799999999999996</v>
      </c>
      <c r="P277">
        <v>0.81899999999999995</v>
      </c>
      <c r="Q277">
        <v>39586</v>
      </c>
      <c r="R277">
        <v>0.95499999999999996</v>
      </c>
      <c r="S277">
        <v>0.81599999999999995</v>
      </c>
    </row>
    <row r="278" spans="5:19" x14ac:dyDescent="0.35">
      <c r="E278" s="461" t="s">
        <v>951</v>
      </c>
      <c r="F278" s="461" t="s">
        <v>42</v>
      </c>
      <c r="G278" s="461" t="s">
        <v>273</v>
      </c>
      <c r="H278">
        <v>158</v>
      </c>
      <c r="I278">
        <v>298</v>
      </c>
      <c r="J278">
        <v>456</v>
      </c>
      <c r="K278">
        <v>181</v>
      </c>
      <c r="L278">
        <v>71</v>
      </c>
      <c r="M278">
        <v>252</v>
      </c>
      <c r="N278">
        <v>75595</v>
      </c>
      <c r="O278">
        <v>0.60299999999999998</v>
      </c>
      <c r="P278">
        <v>0.33300000000000002</v>
      </c>
      <c r="Q278">
        <v>72994</v>
      </c>
      <c r="R278">
        <v>0.625</v>
      </c>
      <c r="S278">
        <v>0.34499999999999997</v>
      </c>
    </row>
    <row r="279" spans="5:19" x14ac:dyDescent="0.35">
      <c r="E279" s="461" t="s">
        <v>951</v>
      </c>
      <c r="F279" s="461" t="s">
        <v>43</v>
      </c>
      <c r="G279" s="461" t="s">
        <v>380</v>
      </c>
      <c r="H279">
        <v>580</v>
      </c>
      <c r="I279">
        <v>722</v>
      </c>
      <c r="J279">
        <v>1302</v>
      </c>
      <c r="K279">
        <v>654</v>
      </c>
      <c r="L279">
        <v>327</v>
      </c>
      <c r="M279">
        <v>981</v>
      </c>
      <c r="N279">
        <v>179232</v>
      </c>
      <c r="O279">
        <v>0.72599999999999998</v>
      </c>
      <c r="P279">
        <v>0.54700000000000004</v>
      </c>
      <c r="Q279">
        <v>169886</v>
      </c>
      <c r="R279">
        <v>0.76600000000000001</v>
      </c>
      <c r="S279">
        <v>0.57699999999999996</v>
      </c>
    </row>
    <row r="280" spans="5:19" x14ac:dyDescent="0.35">
      <c r="E280" s="461" t="s">
        <v>951</v>
      </c>
      <c r="F280" s="461" t="s">
        <v>114</v>
      </c>
      <c r="G280" s="461" t="s">
        <v>297</v>
      </c>
      <c r="H280">
        <v>771</v>
      </c>
      <c r="I280">
        <v>1323</v>
      </c>
      <c r="J280">
        <v>2094</v>
      </c>
      <c r="K280">
        <v>906</v>
      </c>
      <c r="L280">
        <v>243</v>
      </c>
      <c r="M280">
        <v>1149</v>
      </c>
      <c r="N280">
        <v>317193</v>
      </c>
      <c r="O280">
        <v>0.66</v>
      </c>
      <c r="P280">
        <v>0.36199999999999999</v>
      </c>
      <c r="Q280">
        <v>295761</v>
      </c>
      <c r="R280">
        <v>0.70799999999999996</v>
      </c>
      <c r="S280">
        <v>0.38800000000000001</v>
      </c>
    </row>
    <row r="281" spans="5:19" x14ac:dyDescent="0.35">
      <c r="E281" s="461" t="s">
        <v>951</v>
      </c>
      <c r="F281" s="461" t="s">
        <v>44</v>
      </c>
      <c r="G281" s="461" t="s">
        <v>274</v>
      </c>
      <c r="H281">
        <v>164</v>
      </c>
      <c r="I281">
        <v>632</v>
      </c>
      <c r="J281">
        <v>796</v>
      </c>
      <c r="K281">
        <v>167</v>
      </c>
      <c r="L281">
        <v>167</v>
      </c>
      <c r="M281">
        <v>334</v>
      </c>
      <c r="N281">
        <v>119918</v>
      </c>
      <c r="O281">
        <v>0.66400000000000003</v>
      </c>
      <c r="P281">
        <v>0.27900000000000003</v>
      </c>
      <c r="Q281">
        <v>110084</v>
      </c>
      <c r="R281">
        <v>0.72299999999999998</v>
      </c>
      <c r="S281">
        <v>0.30299999999999999</v>
      </c>
    </row>
    <row r="282" spans="5:19" x14ac:dyDescent="0.35">
      <c r="E282" s="461" t="s">
        <v>951</v>
      </c>
      <c r="F282" s="461" t="s">
        <v>45</v>
      </c>
      <c r="G282" s="461" t="s">
        <v>275</v>
      </c>
      <c r="H282">
        <v>293</v>
      </c>
      <c r="I282">
        <v>200</v>
      </c>
      <c r="J282">
        <v>493</v>
      </c>
      <c r="K282">
        <v>339</v>
      </c>
      <c r="L282">
        <v>130</v>
      </c>
      <c r="M282">
        <v>469</v>
      </c>
      <c r="N282">
        <v>39107</v>
      </c>
      <c r="O282">
        <v>1.2610000000000001</v>
      </c>
      <c r="P282">
        <v>1.1990000000000001</v>
      </c>
      <c r="Q282">
        <v>37646</v>
      </c>
      <c r="R282">
        <v>1.31</v>
      </c>
      <c r="S282">
        <v>1.246</v>
      </c>
    </row>
    <row r="283" spans="5:19" x14ac:dyDescent="0.35">
      <c r="E283" s="461" t="s">
        <v>951</v>
      </c>
      <c r="F283" s="461" t="s">
        <v>46</v>
      </c>
      <c r="G283" s="461" t="s">
        <v>276</v>
      </c>
      <c r="H283">
        <v>104</v>
      </c>
      <c r="I283">
        <v>201</v>
      </c>
      <c r="J283">
        <v>305</v>
      </c>
      <c r="K283">
        <v>115</v>
      </c>
      <c r="L283">
        <v>58</v>
      </c>
      <c r="M283">
        <v>173</v>
      </c>
      <c r="N283">
        <v>41657</v>
      </c>
      <c r="O283">
        <v>0.73199999999999998</v>
      </c>
      <c r="P283">
        <v>0.41499999999999998</v>
      </c>
      <c r="Q283">
        <v>40137</v>
      </c>
      <c r="R283">
        <v>0.76</v>
      </c>
      <c r="S283">
        <v>0.43099999999999999</v>
      </c>
    </row>
    <row r="284" spans="5:19" x14ac:dyDescent="0.35">
      <c r="E284" s="461" t="s">
        <v>951</v>
      </c>
      <c r="F284" s="461" t="s">
        <v>47</v>
      </c>
      <c r="G284" s="461" t="s">
        <v>277</v>
      </c>
      <c r="H284">
        <v>86</v>
      </c>
      <c r="I284">
        <v>260</v>
      </c>
      <c r="J284">
        <v>346</v>
      </c>
      <c r="K284">
        <v>97</v>
      </c>
      <c r="L284">
        <v>61</v>
      </c>
      <c r="M284">
        <v>158</v>
      </c>
      <c r="N284">
        <v>45838</v>
      </c>
      <c r="O284">
        <v>0.755</v>
      </c>
      <c r="P284">
        <v>0.34499999999999997</v>
      </c>
      <c r="Q284">
        <v>43175</v>
      </c>
      <c r="R284">
        <v>0.80100000000000005</v>
      </c>
      <c r="S284">
        <v>0.36599999999999999</v>
      </c>
    </row>
    <row r="285" spans="5:19" x14ac:dyDescent="0.35">
      <c r="E285" s="461" t="s">
        <v>951</v>
      </c>
      <c r="F285" s="461" t="s">
        <v>48</v>
      </c>
      <c r="G285" s="461" t="s">
        <v>272</v>
      </c>
      <c r="H285">
        <v>23</v>
      </c>
      <c r="I285">
        <v>34</v>
      </c>
      <c r="J285">
        <v>57</v>
      </c>
      <c r="K285">
        <v>26</v>
      </c>
      <c r="L285">
        <v>12</v>
      </c>
      <c r="M285">
        <v>38</v>
      </c>
      <c r="N285">
        <v>14764</v>
      </c>
      <c r="O285">
        <v>0.38600000000000001</v>
      </c>
      <c r="P285">
        <v>0.25700000000000001</v>
      </c>
      <c r="Q285">
        <v>12849</v>
      </c>
      <c r="R285">
        <v>0.44400000000000001</v>
      </c>
      <c r="S285">
        <v>0.29599999999999999</v>
      </c>
    </row>
    <row r="286" spans="5:19" x14ac:dyDescent="0.35">
      <c r="E286" s="461" t="s">
        <v>951</v>
      </c>
      <c r="F286" s="461" t="s">
        <v>49</v>
      </c>
      <c r="G286" s="461" t="s">
        <v>278</v>
      </c>
      <c r="H286">
        <v>230</v>
      </c>
      <c r="I286">
        <v>322</v>
      </c>
      <c r="J286">
        <v>552</v>
      </c>
      <c r="K286">
        <v>255</v>
      </c>
      <c r="L286">
        <v>150</v>
      </c>
      <c r="M286">
        <v>405</v>
      </c>
      <c r="N286">
        <v>68843</v>
      </c>
      <c r="O286">
        <v>0.80200000000000005</v>
      </c>
      <c r="P286">
        <v>0.58799999999999997</v>
      </c>
      <c r="Q286">
        <v>64415</v>
      </c>
      <c r="R286">
        <v>0.85699999999999998</v>
      </c>
      <c r="S286">
        <v>0.629</v>
      </c>
    </row>
    <row r="287" spans="5:19" x14ac:dyDescent="0.35">
      <c r="E287" s="461" t="s">
        <v>951</v>
      </c>
      <c r="F287" s="461" t="s">
        <v>50</v>
      </c>
      <c r="G287" s="461" t="s">
        <v>295</v>
      </c>
      <c r="H287">
        <v>678</v>
      </c>
      <c r="I287">
        <v>1190</v>
      </c>
      <c r="J287">
        <v>1868</v>
      </c>
      <c r="K287">
        <v>858</v>
      </c>
      <c r="L287">
        <v>263</v>
      </c>
      <c r="M287">
        <v>1121</v>
      </c>
      <c r="N287">
        <v>157625</v>
      </c>
      <c r="O287">
        <v>1.1850000000000001</v>
      </c>
      <c r="P287">
        <v>0.71099999999999997</v>
      </c>
      <c r="Q287">
        <v>152910</v>
      </c>
      <c r="R287">
        <v>1.222</v>
      </c>
      <c r="S287">
        <v>0.73299999999999998</v>
      </c>
    </row>
    <row r="288" spans="5:19" x14ac:dyDescent="0.35">
      <c r="E288" s="461" t="s">
        <v>951</v>
      </c>
      <c r="F288" s="461" t="s">
        <v>51</v>
      </c>
      <c r="G288" s="461" t="s">
        <v>279</v>
      </c>
      <c r="H288">
        <v>35</v>
      </c>
      <c r="I288">
        <v>35</v>
      </c>
      <c r="J288">
        <v>70</v>
      </c>
      <c r="K288">
        <v>45</v>
      </c>
      <c r="L288">
        <v>39</v>
      </c>
      <c r="M288">
        <v>84</v>
      </c>
      <c r="N288">
        <v>11391</v>
      </c>
      <c r="O288">
        <v>0.61499999999999999</v>
      </c>
      <c r="P288">
        <v>0.73699999999999999</v>
      </c>
      <c r="Q288">
        <v>10635</v>
      </c>
      <c r="R288">
        <v>0.65800000000000003</v>
      </c>
      <c r="S288">
        <v>0.79</v>
      </c>
    </row>
    <row r="289" spans="5:19" x14ac:dyDescent="0.35">
      <c r="E289" s="461" t="s">
        <v>951</v>
      </c>
      <c r="F289" s="461" t="s">
        <v>52</v>
      </c>
      <c r="G289" s="461" t="s">
        <v>280</v>
      </c>
      <c r="H289">
        <v>166</v>
      </c>
      <c r="I289">
        <v>376</v>
      </c>
      <c r="J289">
        <v>542</v>
      </c>
      <c r="K289">
        <v>186</v>
      </c>
      <c r="L289">
        <v>102</v>
      </c>
      <c r="M289">
        <v>288</v>
      </c>
      <c r="N289">
        <v>73775</v>
      </c>
      <c r="O289">
        <v>0.73499999999999999</v>
      </c>
      <c r="P289">
        <v>0.39</v>
      </c>
      <c r="Q289">
        <v>69432</v>
      </c>
      <c r="R289">
        <v>0.78100000000000003</v>
      </c>
      <c r="S289">
        <v>0.41499999999999998</v>
      </c>
    </row>
    <row r="290" spans="5:19" x14ac:dyDescent="0.35">
      <c r="E290" s="461" t="s">
        <v>951</v>
      </c>
      <c r="F290" s="461" t="s">
        <v>53</v>
      </c>
      <c r="G290" s="461" t="s">
        <v>290</v>
      </c>
      <c r="H290">
        <v>335</v>
      </c>
      <c r="I290">
        <v>353</v>
      </c>
      <c r="J290">
        <v>688</v>
      </c>
      <c r="K290">
        <v>425</v>
      </c>
      <c r="L290">
        <v>126</v>
      </c>
      <c r="M290">
        <v>551</v>
      </c>
      <c r="N290">
        <v>88624</v>
      </c>
      <c r="O290">
        <v>0.77600000000000002</v>
      </c>
      <c r="P290">
        <v>0.622</v>
      </c>
      <c r="Q290">
        <v>87241</v>
      </c>
      <c r="R290">
        <v>0.78900000000000003</v>
      </c>
      <c r="S290">
        <v>0.63200000000000001</v>
      </c>
    </row>
    <row r="291" spans="5:19" x14ac:dyDescent="0.35">
      <c r="E291" s="461" t="s">
        <v>951</v>
      </c>
      <c r="F291" s="461" t="s">
        <v>54</v>
      </c>
      <c r="G291" s="461" t="s">
        <v>281</v>
      </c>
      <c r="H291">
        <v>268</v>
      </c>
      <c r="I291">
        <v>381</v>
      </c>
      <c r="J291">
        <v>649</v>
      </c>
      <c r="K291">
        <v>253</v>
      </c>
      <c r="L291">
        <v>195</v>
      </c>
      <c r="M291">
        <v>448</v>
      </c>
      <c r="N291">
        <v>58814</v>
      </c>
      <c r="O291">
        <v>1.103</v>
      </c>
      <c r="P291">
        <v>0.76200000000000001</v>
      </c>
      <c r="Q291">
        <v>54796</v>
      </c>
      <c r="R291">
        <v>1.1839999999999999</v>
      </c>
      <c r="S291">
        <v>0.81799999999999995</v>
      </c>
    </row>
    <row r="292" spans="5:19" x14ac:dyDescent="0.35">
      <c r="E292" s="461" t="s">
        <v>951</v>
      </c>
      <c r="F292" s="461" t="s">
        <v>55</v>
      </c>
      <c r="G292" s="461" t="s">
        <v>282</v>
      </c>
      <c r="H292">
        <v>17</v>
      </c>
      <c r="I292">
        <v>123</v>
      </c>
      <c r="J292">
        <v>140</v>
      </c>
      <c r="K292">
        <v>8</v>
      </c>
      <c r="L292">
        <v>26</v>
      </c>
      <c r="M292">
        <v>34</v>
      </c>
      <c r="N292">
        <v>11374</v>
      </c>
      <c r="O292">
        <v>1.2310000000000001</v>
      </c>
      <c r="P292">
        <v>0.29899999999999999</v>
      </c>
      <c r="Q292">
        <v>10461</v>
      </c>
      <c r="R292">
        <v>1.3380000000000001</v>
      </c>
      <c r="S292">
        <v>0.32500000000000001</v>
      </c>
    </row>
    <row r="293" spans="5:19" x14ac:dyDescent="0.35">
      <c r="E293" s="461" t="s">
        <v>951</v>
      </c>
      <c r="F293" s="461" t="s">
        <v>56</v>
      </c>
      <c r="G293" s="461" t="s">
        <v>283</v>
      </c>
      <c r="H293">
        <v>131</v>
      </c>
      <c r="I293">
        <v>270</v>
      </c>
      <c r="J293">
        <v>401</v>
      </c>
      <c r="K293">
        <v>197</v>
      </c>
      <c r="L293">
        <v>56</v>
      </c>
      <c r="M293">
        <v>253</v>
      </c>
      <c r="N293">
        <v>55793</v>
      </c>
      <c r="O293">
        <v>0.71899999999999997</v>
      </c>
      <c r="P293">
        <v>0.45300000000000001</v>
      </c>
      <c r="Q293">
        <v>52571</v>
      </c>
      <c r="R293">
        <v>0.76300000000000001</v>
      </c>
      <c r="S293">
        <v>0.48099999999999998</v>
      </c>
    </row>
    <row r="294" spans="5:19" x14ac:dyDescent="0.35">
      <c r="E294" s="461" t="s">
        <v>951</v>
      </c>
      <c r="F294" s="461" t="s">
        <v>57</v>
      </c>
      <c r="G294" s="461" t="s">
        <v>284</v>
      </c>
      <c r="H294">
        <v>580</v>
      </c>
      <c r="I294">
        <v>758</v>
      </c>
      <c r="J294">
        <v>1338</v>
      </c>
      <c r="K294">
        <v>746</v>
      </c>
      <c r="L294">
        <v>234</v>
      </c>
      <c r="M294">
        <v>980</v>
      </c>
      <c r="N294">
        <v>153863</v>
      </c>
      <c r="O294">
        <v>0.87</v>
      </c>
      <c r="P294">
        <v>0.63700000000000001</v>
      </c>
      <c r="Q294">
        <v>148483</v>
      </c>
      <c r="R294">
        <v>0.90100000000000002</v>
      </c>
      <c r="S294">
        <v>0.66</v>
      </c>
    </row>
    <row r="295" spans="5:19" x14ac:dyDescent="0.35">
      <c r="E295" s="461" t="s">
        <v>951</v>
      </c>
      <c r="F295" s="461" t="s">
        <v>58</v>
      </c>
      <c r="G295" s="461" t="s">
        <v>285</v>
      </c>
      <c r="H295">
        <v>63</v>
      </c>
      <c r="I295">
        <v>108</v>
      </c>
      <c r="J295">
        <v>171</v>
      </c>
      <c r="K295">
        <v>76</v>
      </c>
      <c r="L295">
        <v>44</v>
      </c>
      <c r="M295">
        <v>120</v>
      </c>
      <c r="N295">
        <v>41950</v>
      </c>
      <c r="O295">
        <v>0.40799999999999997</v>
      </c>
      <c r="P295">
        <v>0.28599999999999998</v>
      </c>
      <c r="Q295">
        <v>39896</v>
      </c>
      <c r="R295">
        <v>0.42899999999999999</v>
      </c>
      <c r="S295">
        <v>0.30099999999999999</v>
      </c>
    </row>
    <row r="296" spans="5:19" x14ac:dyDescent="0.35">
      <c r="E296" s="461" t="s">
        <v>951</v>
      </c>
      <c r="F296" s="461" t="s">
        <v>59</v>
      </c>
      <c r="G296" s="461" t="s">
        <v>291</v>
      </c>
      <c r="H296">
        <v>221</v>
      </c>
      <c r="I296">
        <v>356</v>
      </c>
      <c r="J296">
        <v>577</v>
      </c>
      <c r="K296">
        <v>269</v>
      </c>
      <c r="L296">
        <v>66</v>
      </c>
      <c r="M296">
        <v>335</v>
      </c>
      <c r="N296">
        <v>45148</v>
      </c>
      <c r="O296">
        <v>1.278</v>
      </c>
      <c r="P296">
        <v>0.74199999999999999</v>
      </c>
      <c r="Q296">
        <v>43164</v>
      </c>
      <c r="R296">
        <v>1.337</v>
      </c>
      <c r="S296">
        <v>0.77600000000000002</v>
      </c>
    </row>
    <row r="297" spans="5:19" x14ac:dyDescent="0.35">
      <c r="E297" s="461" t="s">
        <v>951</v>
      </c>
      <c r="F297" s="461" t="s">
        <v>60</v>
      </c>
      <c r="G297" s="461" t="s">
        <v>292</v>
      </c>
      <c r="H297">
        <v>272</v>
      </c>
      <c r="I297">
        <v>410</v>
      </c>
      <c r="J297">
        <v>682</v>
      </c>
      <c r="K297">
        <v>260</v>
      </c>
      <c r="L297">
        <v>158</v>
      </c>
      <c r="M297">
        <v>418</v>
      </c>
      <c r="N297">
        <v>81723</v>
      </c>
      <c r="O297">
        <v>0.83499999999999996</v>
      </c>
      <c r="P297">
        <v>0.51100000000000001</v>
      </c>
      <c r="Q297">
        <v>79892</v>
      </c>
      <c r="R297">
        <v>0.85399999999999998</v>
      </c>
      <c r="S297">
        <v>0.52300000000000002</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249977111117893"/>
    <pageSetUpPr fitToPage="1"/>
  </sheetPr>
  <dimension ref="A1:K46"/>
  <sheetViews>
    <sheetView showGridLines="0" workbookViewId="0">
      <pane ySplit="2" topLeftCell="A3" activePane="bottomLeft" state="frozen"/>
      <selection pane="bottomLeft"/>
    </sheetView>
  </sheetViews>
  <sheetFormatPr defaultRowHeight="14.5" x14ac:dyDescent="0.35"/>
  <cols>
    <col min="1" max="1" width="18.453125" customWidth="1"/>
    <col min="2" max="2" width="26.453125" customWidth="1"/>
    <col min="3" max="3" width="15.54296875" customWidth="1"/>
    <col min="4" max="4" width="11.54296875" customWidth="1"/>
    <col min="5" max="5" width="7.453125" customWidth="1"/>
    <col min="6" max="6" width="10.1796875" customWidth="1"/>
    <col min="7" max="7" width="11" customWidth="1"/>
    <col min="8" max="8" width="13.7265625" customWidth="1"/>
  </cols>
  <sheetData>
    <row r="1" spans="1:11" ht="15.5" x14ac:dyDescent="0.35">
      <c r="A1" s="629" t="s">
        <v>531</v>
      </c>
    </row>
    <row r="2" spans="1:11" x14ac:dyDescent="0.35">
      <c r="A2" s="601" t="s">
        <v>509</v>
      </c>
    </row>
    <row r="3" spans="1:11" x14ac:dyDescent="0.35">
      <c r="A3" s="28"/>
    </row>
    <row r="4" spans="1:11" ht="15.75" customHeight="1" x14ac:dyDescent="0.35">
      <c r="A4" s="536" t="s">
        <v>596</v>
      </c>
      <c r="B4" s="612"/>
      <c r="C4" s="612"/>
      <c r="D4" s="612"/>
      <c r="E4" s="612"/>
      <c r="F4" s="612"/>
      <c r="G4" s="612"/>
      <c r="H4" s="612"/>
      <c r="I4" s="612"/>
      <c r="J4" s="612"/>
      <c r="K4" s="612"/>
    </row>
    <row r="5" spans="1:11" ht="15.5" x14ac:dyDescent="0.35">
      <c r="A5" t="s">
        <v>320</v>
      </c>
      <c r="B5" t="s">
        <v>709</v>
      </c>
      <c r="C5" s="612"/>
      <c r="D5" s="612"/>
      <c r="E5" s="612"/>
      <c r="F5" s="612"/>
      <c r="G5" s="612"/>
      <c r="H5" s="612"/>
      <c r="I5" s="612"/>
      <c r="J5" s="612"/>
      <c r="K5" s="612"/>
    </row>
    <row r="6" spans="1:11" ht="15.5" x14ac:dyDescent="0.35">
      <c r="A6" t="s">
        <v>321</v>
      </c>
      <c r="B6" t="s">
        <v>323</v>
      </c>
      <c r="C6" s="612"/>
      <c r="D6" s="612"/>
      <c r="E6" s="612"/>
      <c r="F6" s="612"/>
      <c r="G6" s="612"/>
      <c r="H6" s="612"/>
      <c r="I6" s="612"/>
      <c r="J6" s="612"/>
      <c r="K6" s="612"/>
    </row>
    <row r="7" spans="1:11" ht="15.5" x14ac:dyDescent="0.35">
      <c r="A7" t="s">
        <v>322</v>
      </c>
      <c r="B7" t="s">
        <v>532</v>
      </c>
      <c r="C7" s="612"/>
      <c r="D7" s="612"/>
      <c r="E7" s="612"/>
      <c r="F7" s="612"/>
      <c r="G7" s="612"/>
      <c r="H7" s="612"/>
      <c r="I7" s="612"/>
      <c r="J7" s="612"/>
      <c r="K7" s="612"/>
    </row>
    <row r="9" spans="1:11" ht="39.5" x14ac:dyDescent="0.35">
      <c r="A9" s="92" t="s">
        <v>449</v>
      </c>
      <c r="B9" s="92" t="s">
        <v>113</v>
      </c>
      <c r="C9" s="262" t="s">
        <v>127</v>
      </c>
      <c r="D9" s="262" t="s">
        <v>128</v>
      </c>
      <c r="E9" s="490" t="s">
        <v>125</v>
      </c>
      <c r="F9" s="262" t="s">
        <v>421</v>
      </c>
      <c r="G9" s="262" t="s">
        <v>422</v>
      </c>
      <c r="H9" s="490" t="s">
        <v>129</v>
      </c>
    </row>
    <row r="10" spans="1:11" ht="19.5" customHeight="1" x14ac:dyDescent="0.35">
      <c r="A10" t="s">
        <v>286</v>
      </c>
      <c r="B10" s="470" t="s">
        <v>31</v>
      </c>
      <c r="C10" s="87">
        <f>HFSVLApivot!B4</f>
        <v>130</v>
      </c>
      <c r="D10" s="87">
        <f>HFSVLApivot!C4</f>
        <v>411</v>
      </c>
      <c r="E10" s="767">
        <f>HFSVLApivot!D4</f>
        <v>541</v>
      </c>
      <c r="F10" s="87">
        <f>HFSVLApivot!E4</f>
        <v>135</v>
      </c>
      <c r="G10" s="87">
        <f>HFSVLApivot!F4</f>
        <v>54</v>
      </c>
      <c r="H10" s="1109">
        <f>HFSVLApivot!G4</f>
        <v>189</v>
      </c>
      <c r="I10" s="542"/>
    </row>
    <row r="11" spans="1:11" x14ac:dyDescent="0.35">
      <c r="A11" t="s">
        <v>287</v>
      </c>
      <c r="B11" s="61" t="s">
        <v>32</v>
      </c>
      <c r="C11" s="87">
        <f>HFSVLApivot!B5</f>
        <v>126</v>
      </c>
      <c r="D11" s="87">
        <f>HFSVLApivot!C5</f>
        <v>311</v>
      </c>
      <c r="E11" s="491">
        <f>HFSVLApivot!D5</f>
        <v>437</v>
      </c>
      <c r="F11" s="87">
        <f>HFSVLApivot!E5</f>
        <v>147</v>
      </c>
      <c r="G11" s="87">
        <f>HFSVLApivot!F5</f>
        <v>76</v>
      </c>
      <c r="H11" s="1110">
        <f>HFSVLApivot!G5</f>
        <v>223</v>
      </c>
      <c r="I11" s="542"/>
    </row>
    <row r="12" spans="1:11" x14ac:dyDescent="0.35">
      <c r="A12" t="s">
        <v>293</v>
      </c>
      <c r="B12" s="61" t="s">
        <v>33</v>
      </c>
      <c r="C12" s="87">
        <f>HFSVLApivot!B6</f>
        <v>201</v>
      </c>
      <c r="D12" s="87">
        <f>HFSVLApivot!C6</f>
        <v>519</v>
      </c>
      <c r="E12" s="491">
        <f>HFSVLApivot!D6</f>
        <v>720</v>
      </c>
      <c r="F12" s="87">
        <f>HFSVLApivot!E6</f>
        <v>177</v>
      </c>
      <c r="G12" s="87">
        <f>HFSVLApivot!F6</f>
        <v>115</v>
      </c>
      <c r="H12" s="1110">
        <f>HFSVLApivot!G6</f>
        <v>292</v>
      </c>
    </row>
    <row r="13" spans="1:11" x14ac:dyDescent="0.35">
      <c r="A13" t="s">
        <v>288</v>
      </c>
      <c r="B13" s="61" t="s">
        <v>34</v>
      </c>
      <c r="C13" s="87">
        <f>HFSVLApivot!B7</f>
        <v>166</v>
      </c>
      <c r="D13" s="87">
        <f>HFSVLApivot!C7</f>
        <v>320</v>
      </c>
      <c r="E13" s="491">
        <f>HFSVLApivot!D7</f>
        <v>486</v>
      </c>
      <c r="F13" s="87">
        <f>HFSVLApivot!E7</f>
        <v>154</v>
      </c>
      <c r="G13" s="87">
        <f>HFSVLApivot!F7</f>
        <v>117</v>
      </c>
      <c r="H13" s="1110">
        <f>HFSVLApivot!G7</f>
        <v>271</v>
      </c>
    </row>
    <row r="14" spans="1:11" x14ac:dyDescent="0.35">
      <c r="A14" t="s">
        <v>289</v>
      </c>
      <c r="B14" s="61" t="s">
        <v>245</v>
      </c>
      <c r="C14" s="87">
        <f>HFSVLApivot!B8</f>
        <v>680</v>
      </c>
      <c r="D14" s="87">
        <f>HFSVLApivot!C8</f>
        <v>756</v>
      </c>
      <c r="E14" s="491">
        <f>HFSVLApivot!D8</f>
        <v>1436</v>
      </c>
      <c r="F14" s="87">
        <f>HFSVLApivot!E8</f>
        <v>700</v>
      </c>
      <c r="G14" s="87">
        <f>HFSVLApivot!F8</f>
        <v>310</v>
      </c>
      <c r="H14" s="1110">
        <f>HFSVLApivot!G8</f>
        <v>1010</v>
      </c>
    </row>
    <row r="15" spans="1:11" x14ac:dyDescent="0.35">
      <c r="A15" t="s">
        <v>267</v>
      </c>
      <c r="B15" s="61" t="s">
        <v>35</v>
      </c>
      <c r="C15" s="87">
        <f>HFSVLApivot!B9</f>
        <v>63</v>
      </c>
      <c r="D15" s="87">
        <f>HFSVLApivot!C9</f>
        <v>108</v>
      </c>
      <c r="E15" s="491">
        <f>HFSVLApivot!D9</f>
        <v>171</v>
      </c>
      <c r="F15" s="87">
        <f>HFSVLApivot!E9</f>
        <v>94</v>
      </c>
      <c r="G15" s="87">
        <f>HFSVLApivot!F9</f>
        <v>28</v>
      </c>
      <c r="H15" s="1110">
        <f>HFSVLApivot!G9</f>
        <v>122</v>
      </c>
    </row>
    <row r="16" spans="1:11" x14ac:dyDescent="0.35">
      <c r="A16" t="s">
        <v>268</v>
      </c>
      <c r="B16" s="61" t="s">
        <v>36</v>
      </c>
      <c r="C16" s="87">
        <f>HFSVLApivot!B10</f>
        <v>142</v>
      </c>
      <c r="D16" s="87">
        <f>HFSVLApivot!C10</f>
        <v>231</v>
      </c>
      <c r="E16" s="491">
        <f>HFSVLApivot!D10</f>
        <v>373</v>
      </c>
      <c r="F16" s="87">
        <f>HFSVLApivot!E10</f>
        <v>124</v>
      </c>
      <c r="G16" s="87">
        <f>HFSVLApivot!F10</f>
        <v>82</v>
      </c>
      <c r="H16" s="1110">
        <f>HFSVLApivot!G10</f>
        <v>206</v>
      </c>
    </row>
    <row r="17" spans="1:8" x14ac:dyDescent="0.35">
      <c r="A17" t="s">
        <v>294</v>
      </c>
      <c r="B17" s="61" t="s">
        <v>37</v>
      </c>
      <c r="C17" s="87">
        <f>HFSVLApivot!B11</f>
        <v>289</v>
      </c>
      <c r="D17" s="87">
        <f>HFSVLApivot!C11</f>
        <v>641</v>
      </c>
      <c r="E17" s="491">
        <f>HFSVLApivot!D11</f>
        <v>930</v>
      </c>
      <c r="F17" s="87">
        <f>HFSVLApivot!E11</f>
        <v>284</v>
      </c>
      <c r="G17" s="87">
        <f>HFSVLApivot!F11</f>
        <v>166</v>
      </c>
      <c r="H17" s="1110">
        <f>HFSVLApivot!G11</f>
        <v>450</v>
      </c>
    </row>
    <row r="18" spans="1:8" x14ac:dyDescent="0.35">
      <c r="A18" t="s">
        <v>269</v>
      </c>
      <c r="B18" s="61" t="s">
        <v>38</v>
      </c>
      <c r="C18" s="87">
        <f>HFSVLApivot!B12</f>
        <v>172</v>
      </c>
      <c r="D18" s="87">
        <f>HFSVLApivot!C12</f>
        <v>316</v>
      </c>
      <c r="E18" s="491">
        <f>HFSVLApivot!D12</f>
        <v>488</v>
      </c>
      <c r="F18" s="87">
        <f>HFSVLApivot!E12</f>
        <v>222</v>
      </c>
      <c r="G18" s="87">
        <f>HFSVLApivot!F12</f>
        <v>77</v>
      </c>
      <c r="H18" s="1110">
        <f>HFSVLApivot!G12</f>
        <v>299</v>
      </c>
    </row>
    <row r="19" spans="1:8" x14ac:dyDescent="0.35">
      <c r="A19" t="s">
        <v>296</v>
      </c>
      <c r="B19" s="61" t="s">
        <v>39</v>
      </c>
      <c r="C19" s="87">
        <f>HFSVLApivot!B13</f>
        <v>229</v>
      </c>
      <c r="D19" s="87">
        <f>HFSVLApivot!C13</f>
        <v>178</v>
      </c>
      <c r="E19" s="491">
        <f>HFSVLApivot!D13</f>
        <v>407</v>
      </c>
      <c r="F19" s="87">
        <f>HFSVLApivot!E13</f>
        <v>238</v>
      </c>
      <c r="G19" s="87">
        <f>HFSVLApivot!F13</f>
        <v>133</v>
      </c>
      <c r="H19" s="1110">
        <f>HFSVLApivot!G13</f>
        <v>371</v>
      </c>
    </row>
    <row r="20" spans="1:8" x14ac:dyDescent="0.35">
      <c r="A20" t="s">
        <v>270</v>
      </c>
      <c r="B20" s="61" t="s">
        <v>40</v>
      </c>
      <c r="C20" s="87">
        <f>HFSVLApivot!B14</f>
        <v>125</v>
      </c>
      <c r="D20" s="87">
        <f>HFSVLApivot!C14</f>
        <v>156</v>
      </c>
      <c r="E20" s="491">
        <f>HFSVLApivot!D14</f>
        <v>281</v>
      </c>
      <c r="F20" s="87">
        <f>HFSVLApivot!E14</f>
        <v>163</v>
      </c>
      <c r="G20" s="87">
        <f>HFSVLApivot!F14</f>
        <v>64</v>
      </c>
      <c r="H20" s="1110">
        <f>HFSVLApivot!G14</f>
        <v>227</v>
      </c>
    </row>
    <row r="21" spans="1:8" x14ac:dyDescent="0.35">
      <c r="A21" t="s">
        <v>271</v>
      </c>
      <c r="B21" s="61" t="s">
        <v>41</v>
      </c>
      <c r="C21" s="87">
        <f>HFSVLApivot!B15</f>
        <v>205</v>
      </c>
      <c r="D21" s="87">
        <f>HFSVLApivot!C15</f>
        <v>173</v>
      </c>
      <c r="E21" s="491">
        <f>HFSVLApivot!D15</f>
        <v>378</v>
      </c>
      <c r="F21" s="87">
        <f>HFSVLApivot!E15</f>
        <v>222</v>
      </c>
      <c r="G21" s="87">
        <f>HFSVLApivot!F15</f>
        <v>101</v>
      </c>
      <c r="H21" s="1110">
        <f>HFSVLApivot!G15</f>
        <v>323</v>
      </c>
    </row>
    <row r="22" spans="1:8" x14ac:dyDescent="0.35">
      <c r="A22" t="s">
        <v>273</v>
      </c>
      <c r="B22" s="61" t="s">
        <v>42</v>
      </c>
      <c r="C22" s="87">
        <f>HFSVLApivot!B16</f>
        <v>158</v>
      </c>
      <c r="D22" s="87">
        <f>HFSVLApivot!C16</f>
        <v>298</v>
      </c>
      <c r="E22" s="491">
        <f>HFSVLApivot!D16</f>
        <v>456</v>
      </c>
      <c r="F22" s="87">
        <f>HFSVLApivot!E16</f>
        <v>181</v>
      </c>
      <c r="G22" s="87">
        <f>HFSVLApivot!F16</f>
        <v>71</v>
      </c>
      <c r="H22" s="1110">
        <f>HFSVLApivot!G16</f>
        <v>252</v>
      </c>
    </row>
    <row r="23" spans="1:8" x14ac:dyDescent="0.35">
      <c r="A23" t="s">
        <v>380</v>
      </c>
      <c r="B23" s="61" t="s">
        <v>43</v>
      </c>
      <c r="C23" s="87">
        <f>HFSVLApivot!B17</f>
        <v>580</v>
      </c>
      <c r="D23" s="87">
        <f>HFSVLApivot!C17</f>
        <v>722</v>
      </c>
      <c r="E23" s="491">
        <f>HFSVLApivot!D17</f>
        <v>1302</v>
      </c>
      <c r="F23" s="87">
        <f>HFSVLApivot!E17</f>
        <v>654</v>
      </c>
      <c r="G23" s="87">
        <f>HFSVLApivot!F17</f>
        <v>327</v>
      </c>
      <c r="H23" s="1110">
        <f>HFSVLApivot!G17</f>
        <v>981</v>
      </c>
    </row>
    <row r="24" spans="1:8" x14ac:dyDescent="0.35">
      <c r="A24" t="s">
        <v>297</v>
      </c>
      <c r="B24" s="61" t="s">
        <v>114</v>
      </c>
      <c r="C24" s="87">
        <f>HFSVLApivot!B18</f>
        <v>771</v>
      </c>
      <c r="D24" s="87">
        <f>HFSVLApivot!C18</f>
        <v>1323</v>
      </c>
      <c r="E24" s="491">
        <f>HFSVLApivot!D18</f>
        <v>2094</v>
      </c>
      <c r="F24" s="87">
        <f>HFSVLApivot!E18</f>
        <v>906</v>
      </c>
      <c r="G24" s="87">
        <f>HFSVLApivot!F18</f>
        <v>243</v>
      </c>
      <c r="H24" s="1110">
        <f>HFSVLApivot!G18</f>
        <v>1149</v>
      </c>
    </row>
    <row r="25" spans="1:8" x14ac:dyDescent="0.35">
      <c r="A25" t="s">
        <v>274</v>
      </c>
      <c r="B25" s="61" t="s">
        <v>44</v>
      </c>
      <c r="C25" s="87">
        <f>HFSVLApivot!B19</f>
        <v>164</v>
      </c>
      <c r="D25" s="87">
        <f>HFSVLApivot!C19</f>
        <v>632</v>
      </c>
      <c r="E25" s="491">
        <f>HFSVLApivot!D19</f>
        <v>796</v>
      </c>
      <c r="F25" s="87">
        <f>HFSVLApivot!E19</f>
        <v>167</v>
      </c>
      <c r="G25" s="87">
        <f>HFSVLApivot!F19</f>
        <v>167</v>
      </c>
      <c r="H25" s="1110">
        <f>HFSVLApivot!G19</f>
        <v>334</v>
      </c>
    </row>
    <row r="26" spans="1:8" x14ac:dyDescent="0.35">
      <c r="A26" t="s">
        <v>275</v>
      </c>
      <c r="B26" s="61" t="s">
        <v>45</v>
      </c>
      <c r="C26" s="87">
        <f>HFSVLApivot!B20</f>
        <v>293</v>
      </c>
      <c r="D26" s="87">
        <f>HFSVLApivot!C20</f>
        <v>200</v>
      </c>
      <c r="E26" s="491">
        <f>HFSVLApivot!D20</f>
        <v>493</v>
      </c>
      <c r="F26" s="87">
        <f>HFSVLApivot!E20</f>
        <v>339</v>
      </c>
      <c r="G26" s="87">
        <f>HFSVLApivot!F20</f>
        <v>130</v>
      </c>
      <c r="H26" s="1110">
        <f>HFSVLApivot!G20</f>
        <v>469</v>
      </c>
    </row>
    <row r="27" spans="1:8" x14ac:dyDescent="0.35">
      <c r="A27" t="s">
        <v>276</v>
      </c>
      <c r="B27" s="61" t="s">
        <v>46</v>
      </c>
      <c r="C27" s="87">
        <f>HFSVLApivot!B21</f>
        <v>104</v>
      </c>
      <c r="D27" s="87">
        <f>HFSVLApivot!C21</f>
        <v>201</v>
      </c>
      <c r="E27" s="491">
        <f>HFSVLApivot!D21</f>
        <v>305</v>
      </c>
      <c r="F27" s="87">
        <f>HFSVLApivot!E21</f>
        <v>115</v>
      </c>
      <c r="G27" s="87">
        <f>HFSVLApivot!F21</f>
        <v>58</v>
      </c>
      <c r="H27" s="1110">
        <f>HFSVLApivot!G21</f>
        <v>173</v>
      </c>
    </row>
    <row r="28" spans="1:8" x14ac:dyDescent="0.35">
      <c r="A28" t="s">
        <v>277</v>
      </c>
      <c r="B28" s="61" t="s">
        <v>47</v>
      </c>
      <c r="C28" s="87">
        <f>HFSVLApivot!B22</f>
        <v>86</v>
      </c>
      <c r="D28" s="87">
        <f>HFSVLApivot!C22</f>
        <v>260</v>
      </c>
      <c r="E28" s="491">
        <f>HFSVLApivot!D22</f>
        <v>346</v>
      </c>
      <c r="F28" s="87">
        <f>HFSVLApivot!E22</f>
        <v>97</v>
      </c>
      <c r="G28" s="87">
        <f>HFSVLApivot!F22</f>
        <v>61</v>
      </c>
      <c r="H28" s="1110">
        <f>HFSVLApivot!G22</f>
        <v>158</v>
      </c>
    </row>
    <row r="29" spans="1:8" x14ac:dyDescent="0.35">
      <c r="A29" t="s">
        <v>272</v>
      </c>
      <c r="B29" s="61" t="s">
        <v>48</v>
      </c>
      <c r="C29" s="87">
        <f>HFSVLApivot!B23</f>
        <v>23</v>
      </c>
      <c r="D29" s="87">
        <f>HFSVLApivot!C23</f>
        <v>34</v>
      </c>
      <c r="E29" s="491">
        <f>HFSVLApivot!D23</f>
        <v>57</v>
      </c>
      <c r="F29" s="87">
        <f>HFSVLApivot!E23</f>
        <v>26</v>
      </c>
      <c r="G29" s="87">
        <f>HFSVLApivot!F23</f>
        <v>12</v>
      </c>
      <c r="H29" s="1110">
        <f>HFSVLApivot!G23</f>
        <v>38</v>
      </c>
    </row>
    <row r="30" spans="1:8" x14ac:dyDescent="0.35">
      <c r="A30" t="s">
        <v>278</v>
      </c>
      <c r="B30" s="61" t="s">
        <v>49</v>
      </c>
      <c r="C30" s="87">
        <f>HFSVLApivot!B24</f>
        <v>230</v>
      </c>
      <c r="D30" s="87">
        <f>HFSVLApivot!C24</f>
        <v>322</v>
      </c>
      <c r="E30" s="491">
        <f>HFSVLApivot!D24</f>
        <v>552</v>
      </c>
      <c r="F30" s="87">
        <f>HFSVLApivot!E24</f>
        <v>255</v>
      </c>
      <c r="G30" s="87">
        <f>HFSVLApivot!F24</f>
        <v>150</v>
      </c>
      <c r="H30" s="1110">
        <f>HFSVLApivot!G24</f>
        <v>405</v>
      </c>
    </row>
    <row r="31" spans="1:8" x14ac:dyDescent="0.35">
      <c r="A31" t="s">
        <v>295</v>
      </c>
      <c r="B31" s="61" t="s">
        <v>50</v>
      </c>
      <c r="C31" s="87">
        <f>HFSVLApivot!B25</f>
        <v>678</v>
      </c>
      <c r="D31" s="87">
        <f>HFSVLApivot!C25</f>
        <v>1190</v>
      </c>
      <c r="E31" s="491">
        <f>HFSVLApivot!D25</f>
        <v>1868</v>
      </c>
      <c r="F31" s="87">
        <f>HFSVLApivot!E25</f>
        <v>858</v>
      </c>
      <c r="G31" s="87">
        <f>HFSVLApivot!F25</f>
        <v>263</v>
      </c>
      <c r="H31" s="1110">
        <f>HFSVLApivot!G25</f>
        <v>1121</v>
      </c>
    </row>
    <row r="32" spans="1:8" x14ac:dyDescent="0.35">
      <c r="A32" t="s">
        <v>279</v>
      </c>
      <c r="B32" s="61" t="s">
        <v>51</v>
      </c>
      <c r="C32" s="87">
        <f>HFSVLApivot!B26</f>
        <v>35</v>
      </c>
      <c r="D32" s="87">
        <f>HFSVLApivot!C26</f>
        <v>35</v>
      </c>
      <c r="E32" s="491">
        <f>HFSVLApivot!D26</f>
        <v>70</v>
      </c>
      <c r="F32" s="87">
        <f>HFSVLApivot!E26</f>
        <v>45</v>
      </c>
      <c r="G32" s="87">
        <f>HFSVLApivot!F26</f>
        <v>39</v>
      </c>
      <c r="H32" s="1110">
        <f>HFSVLApivot!G26</f>
        <v>84</v>
      </c>
    </row>
    <row r="33" spans="1:8" x14ac:dyDescent="0.35">
      <c r="A33" t="s">
        <v>280</v>
      </c>
      <c r="B33" s="61" t="s">
        <v>52</v>
      </c>
      <c r="C33" s="87">
        <f>HFSVLApivot!B27</f>
        <v>166</v>
      </c>
      <c r="D33" s="87">
        <f>HFSVLApivot!C27</f>
        <v>376</v>
      </c>
      <c r="E33" s="491">
        <f>HFSVLApivot!D27</f>
        <v>542</v>
      </c>
      <c r="F33" s="87">
        <f>HFSVLApivot!E27</f>
        <v>186</v>
      </c>
      <c r="G33" s="87">
        <f>HFSVLApivot!F27</f>
        <v>102</v>
      </c>
      <c r="H33" s="1110">
        <f>HFSVLApivot!G27</f>
        <v>288</v>
      </c>
    </row>
    <row r="34" spans="1:8" x14ac:dyDescent="0.35">
      <c r="A34" t="s">
        <v>290</v>
      </c>
      <c r="B34" s="61" t="s">
        <v>53</v>
      </c>
      <c r="C34" s="87">
        <f>HFSVLApivot!B28</f>
        <v>335</v>
      </c>
      <c r="D34" s="87">
        <f>HFSVLApivot!C28</f>
        <v>353</v>
      </c>
      <c r="E34" s="491">
        <f>HFSVLApivot!D28</f>
        <v>688</v>
      </c>
      <c r="F34" s="87">
        <f>HFSVLApivot!E28</f>
        <v>425</v>
      </c>
      <c r="G34" s="87">
        <f>HFSVLApivot!F28</f>
        <v>126</v>
      </c>
      <c r="H34" s="1110">
        <f>HFSVLApivot!G28</f>
        <v>551</v>
      </c>
    </row>
    <row r="35" spans="1:8" x14ac:dyDescent="0.35">
      <c r="A35" t="s">
        <v>281</v>
      </c>
      <c r="B35" s="61" t="s">
        <v>54</v>
      </c>
      <c r="C35" s="87">
        <f>HFSVLApivot!B29</f>
        <v>268</v>
      </c>
      <c r="D35" s="87">
        <f>HFSVLApivot!C29</f>
        <v>381</v>
      </c>
      <c r="E35" s="491">
        <f>HFSVLApivot!D29</f>
        <v>649</v>
      </c>
      <c r="F35" s="87">
        <f>HFSVLApivot!E29</f>
        <v>253</v>
      </c>
      <c r="G35" s="87">
        <f>HFSVLApivot!F29</f>
        <v>195</v>
      </c>
      <c r="H35" s="1110">
        <f>HFSVLApivot!G29</f>
        <v>448</v>
      </c>
    </row>
    <row r="36" spans="1:8" x14ac:dyDescent="0.35">
      <c r="A36" t="s">
        <v>282</v>
      </c>
      <c r="B36" s="61" t="s">
        <v>55</v>
      </c>
      <c r="C36" s="87">
        <f>HFSVLApivot!B30</f>
        <v>17</v>
      </c>
      <c r="D36" s="87">
        <f>HFSVLApivot!C30</f>
        <v>123</v>
      </c>
      <c r="E36" s="491">
        <f>HFSVLApivot!D30</f>
        <v>140</v>
      </c>
      <c r="F36" s="87">
        <f>HFSVLApivot!E30</f>
        <v>8</v>
      </c>
      <c r="G36" s="87">
        <f>HFSVLApivot!F30</f>
        <v>26</v>
      </c>
      <c r="H36" s="1110">
        <f>HFSVLApivot!G30</f>
        <v>34</v>
      </c>
    </row>
    <row r="37" spans="1:8" x14ac:dyDescent="0.35">
      <c r="A37" t="s">
        <v>283</v>
      </c>
      <c r="B37" s="61" t="s">
        <v>56</v>
      </c>
      <c r="C37" s="87">
        <f>HFSVLApivot!B31</f>
        <v>131</v>
      </c>
      <c r="D37" s="87">
        <f>HFSVLApivot!C31</f>
        <v>270</v>
      </c>
      <c r="E37" s="491">
        <f>HFSVLApivot!D31</f>
        <v>401</v>
      </c>
      <c r="F37" s="87">
        <f>HFSVLApivot!E31</f>
        <v>197</v>
      </c>
      <c r="G37" s="87">
        <f>HFSVLApivot!F31</f>
        <v>56</v>
      </c>
      <c r="H37" s="1110">
        <f>HFSVLApivot!G31</f>
        <v>253</v>
      </c>
    </row>
    <row r="38" spans="1:8" x14ac:dyDescent="0.35">
      <c r="A38" t="s">
        <v>284</v>
      </c>
      <c r="B38" s="61" t="s">
        <v>57</v>
      </c>
      <c r="C38" s="87">
        <f>HFSVLApivot!B32</f>
        <v>580</v>
      </c>
      <c r="D38" s="87">
        <f>HFSVLApivot!C32</f>
        <v>758</v>
      </c>
      <c r="E38" s="491">
        <f>HFSVLApivot!D32</f>
        <v>1338</v>
      </c>
      <c r="F38" s="87">
        <f>HFSVLApivot!E32</f>
        <v>746</v>
      </c>
      <c r="G38" s="87">
        <f>HFSVLApivot!F32</f>
        <v>234</v>
      </c>
      <c r="H38" s="1110">
        <f>HFSVLApivot!G32</f>
        <v>980</v>
      </c>
    </row>
    <row r="39" spans="1:8" x14ac:dyDescent="0.35">
      <c r="A39" t="s">
        <v>285</v>
      </c>
      <c r="B39" s="61" t="s">
        <v>58</v>
      </c>
      <c r="C39" s="87">
        <f>HFSVLApivot!B33</f>
        <v>63</v>
      </c>
      <c r="D39" s="87">
        <f>HFSVLApivot!C33</f>
        <v>108</v>
      </c>
      <c r="E39" s="491">
        <f>HFSVLApivot!D33</f>
        <v>171</v>
      </c>
      <c r="F39" s="87">
        <f>HFSVLApivot!E33</f>
        <v>76</v>
      </c>
      <c r="G39" s="87">
        <f>HFSVLApivot!F33</f>
        <v>44</v>
      </c>
      <c r="H39" s="1110">
        <f>HFSVLApivot!G33</f>
        <v>120</v>
      </c>
    </row>
    <row r="40" spans="1:8" x14ac:dyDescent="0.35">
      <c r="A40" t="s">
        <v>291</v>
      </c>
      <c r="B40" s="61" t="s">
        <v>59</v>
      </c>
      <c r="C40" s="87">
        <f>HFSVLApivot!B34</f>
        <v>221</v>
      </c>
      <c r="D40" s="87">
        <f>HFSVLApivot!C34</f>
        <v>356</v>
      </c>
      <c r="E40" s="491">
        <f>HFSVLApivot!D34</f>
        <v>577</v>
      </c>
      <c r="F40" s="87">
        <f>HFSVLApivot!E34</f>
        <v>269</v>
      </c>
      <c r="G40" s="87">
        <f>HFSVLApivot!F34</f>
        <v>66</v>
      </c>
      <c r="H40" s="1110">
        <f>HFSVLApivot!G34</f>
        <v>335</v>
      </c>
    </row>
    <row r="41" spans="1:8" x14ac:dyDescent="0.35">
      <c r="A41" t="s">
        <v>292</v>
      </c>
      <c r="B41" s="61" t="s">
        <v>60</v>
      </c>
      <c r="C41" s="87">
        <f>HFSVLApivot!B35</f>
        <v>272</v>
      </c>
      <c r="D41" s="87">
        <f>HFSVLApivot!C35</f>
        <v>410</v>
      </c>
      <c r="E41" s="768">
        <f>HFSVLApivot!D35</f>
        <v>682</v>
      </c>
      <c r="F41" s="87">
        <f>HFSVLApivot!E35</f>
        <v>260</v>
      </c>
      <c r="G41" s="87">
        <f>HFSVLApivot!F35</f>
        <v>158</v>
      </c>
      <c r="H41" s="1111">
        <f>HFSVLApivot!G35</f>
        <v>418</v>
      </c>
    </row>
    <row r="42" spans="1:8" ht="18.75" customHeight="1" thickBot="1" x14ac:dyDescent="0.4">
      <c r="A42" s="38"/>
      <c r="B42" s="38" t="s">
        <v>734</v>
      </c>
      <c r="C42" s="182">
        <f>SUM(C10:C41)</f>
        <v>7703</v>
      </c>
      <c r="D42" s="182">
        <f t="shared" ref="D42:H42" si="0">SUM(D10:D41)</f>
        <v>12472</v>
      </c>
      <c r="E42" s="182">
        <f>SUM(E10:E41)</f>
        <v>20175</v>
      </c>
      <c r="F42" s="182">
        <f t="shared" si="0"/>
        <v>8723</v>
      </c>
      <c r="G42" s="182">
        <f t="shared" si="0"/>
        <v>3851</v>
      </c>
      <c r="H42" s="1112">
        <f t="shared" si="0"/>
        <v>12574</v>
      </c>
    </row>
    <row r="43" spans="1:8" x14ac:dyDescent="0.35">
      <c r="B43" s="12"/>
      <c r="C43" s="54"/>
      <c r="D43" s="54"/>
      <c r="E43" s="73"/>
    </row>
    <row r="44" spans="1:8" x14ac:dyDescent="0.35">
      <c r="A44" s="359" t="s">
        <v>8</v>
      </c>
    </row>
    <row r="45" spans="1:8" ht="30.75" customHeight="1" x14ac:dyDescent="0.35">
      <c r="A45" s="1159" t="s">
        <v>744</v>
      </c>
      <c r="B45" s="1159"/>
      <c r="C45" s="1159"/>
      <c r="D45" s="1159"/>
      <c r="E45" s="1159"/>
      <c r="F45" s="1159"/>
      <c r="G45" s="1159"/>
      <c r="H45" s="1159"/>
    </row>
    <row r="46" spans="1:8" x14ac:dyDescent="0.35">
      <c r="A46" t="s">
        <v>950</v>
      </c>
    </row>
  </sheetData>
  <sheetProtection algorithmName="SHA-512" hashValue="TTlwwrQ944Dn6HuHq0I/+IG9pc2R2/umC7+3rEyga++xJr+BhmyO/F5CnJnoYsL2hhVQ1bcqU/QGEmlQcgmv+A==" saltValue="xott7JQj5vh8ZuQn5TZmbA==" spinCount="100000" sheet="1" scenarios="1" formatCells="0" formatColumns="0" formatRows="0" sort="0" autoFilter="0" pivotTables="0"/>
  <mergeCells count="1">
    <mergeCell ref="A45:H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249977111117893"/>
  </sheetPr>
  <dimension ref="A1:H47"/>
  <sheetViews>
    <sheetView showGridLines="0" workbookViewId="0">
      <pane ySplit="2" topLeftCell="A3" activePane="bottomLeft" state="frozen"/>
      <selection pane="bottomLeft"/>
    </sheetView>
  </sheetViews>
  <sheetFormatPr defaultRowHeight="14.5" x14ac:dyDescent="0.35"/>
  <cols>
    <col min="1" max="1" width="19.26953125" customWidth="1"/>
    <col min="2" max="2" width="22.54296875" bestFit="1" customWidth="1"/>
    <col min="3" max="6" width="14.1796875" customWidth="1"/>
  </cols>
  <sheetData>
    <row r="1" spans="1:6" ht="15.5" x14ac:dyDescent="0.35">
      <c r="A1" s="629" t="s">
        <v>531</v>
      </c>
    </row>
    <row r="2" spans="1:6" x14ac:dyDescent="0.35">
      <c r="A2" s="601" t="s">
        <v>509</v>
      </c>
    </row>
    <row r="4" spans="1:6" ht="15.5" x14ac:dyDescent="0.35">
      <c r="A4" s="536" t="s">
        <v>621</v>
      </c>
      <c r="B4" s="612"/>
    </row>
    <row r="5" spans="1:6" x14ac:dyDescent="0.35">
      <c r="A5" t="s">
        <v>320</v>
      </c>
      <c r="B5" t="s">
        <v>710</v>
      </c>
    </row>
    <row r="6" spans="1:6" x14ac:dyDescent="0.35">
      <c r="A6" t="s">
        <v>321</v>
      </c>
      <c r="B6" t="s">
        <v>323</v>
      </c>
    </row>
    <row r="7" spans="1:6" x14ac:dyDescent="0.35">
      <c r="A7" t="s">
        <v>322</v>
      </c>
      <c r="B7" t="s">
        <v>532</v>
      </c>
    </row>
    <row r="9" spans="1:6" ht="15" customHeight="1" x14ac:dyDescent="0.35">
      <c r="B9" s="263"/>
      <c r="C9" s="346"/>
      <c r="D9" s="372" t="s">
        <v>7</v>
      </c>
      <c r="E9" s="1209" t="s">
        <v>130</v>
      </c>
      <c r="F9" s="1209"/>
    </row>
    <row r="10" spans="1:6" ht="39.5" x14ac:dyDescent="0.35">
      <c r="A10" s="92" t="s">
        <v>449</v>
      </c>
      <c r="B10" s="92" t="s">
        <v>113</v>
      </c>
      <c r="C10" s="262" t="s">
        <v>131</v>
      </c>
      <c r="D10" s="262" t="s">
        <v>132</v>
      </c>
      <c r="E10" s="649" t="s">
        <v>131</v>
      </c>
      <c r="F10" s="650" t="s">
        <v>133</v>
      </c>
    </row>
    <row r="11" spans="1:6" ht="20.25" customHeight="1" x14ac:dyDescent="0.35">
      <c r="A11" t="s">
        <v>286</v>
      </c>
      <c r="B11" s="61" t="s">
        <v>31</v>
      </c>
      <c r="C11" s="492">
        <f>'HFSVs LA'!C10/'HFSVs LA'!E10*100</f>
        <v>24.029574861367838</v>
      </c>
      <c r="D11" s="492">
        <f>100-C11</f>
        <v>75.970425138632166</v>
      </c>
      <c r="E11" s="648">
        <f>'HFSVs LA'!H10/'HFSVs LA'!C10</f>
        <v>1.4538461538461538</v>
      </c>
      <c r="F11" s="451">
        <f>'HFSVs LA'!H10/'HFSVs LA'!E10</f>
        <v>0.34935304990757854</v>
      </c>
    </row>
    <row r="12" spans="1:6" x14ac:dyDescent="0.35">
      <c r="A12" t="s">
        <v>287</v>
      </c>
      <c r="B12" s="61" t="s">
        <v>32</v>
      </c>
      <c r="C12" s="492">
        <f>'HFSVs LA'!C11/'HFSVs LA'!E11*100</f>
        <v>28.832951945080094</v>
      </c>
      <c r="D12" s="492">
        <f t="shared" ref="D12:D42" si="0">100-C12</f>
        <v>71.167048054919903</v>
      </c>
      <c r="E12" s="648">
        <f>'HFSVs LA'!H11/'HFSVs LA'!C11</f>
        <v>1.7698412698412698</v>
      </c>
      <c r="F12" s="451">
        <f>'HFSVs LA'!H11/'HFSVs LA'!E11</f>
        <v>0.51029748283752863</v>
      </c>
    </row>
    <row r="13" spans="1:6" x14ac:dyDescent="0.35">
      <c r="A13" t="s">
        <v>293</v>
      </c>
      <c r="B13" s="61" t="s">
        <v>33</v>
      </c>
      <c r="C13" s="492">
        <f>'HFSVs LA'!C12/'HFSVs LA'!E12*100</f>
        <v>27.916666666666668</v>
      </c>
      <c r="D13" s="492">
        <f t="shared" si="0"/>
        <v>72.083333333333329</v>
      </c>
      <c r="E13" s="648">
        <f>'HFSVs LA'!H12/'HFSVs LA'!C12</f>
        <v>1.4527363184079602</v>
      </c>
      <c r="F13" s="451">
        <f>'HFSVs LA'!H12/'HFSVs LA'!E12</f>
        <v>0.40555555555555556</v>
      </c>
    </row>
    <row r="14" spans="1:6" x14ac:dyDescent="0.35">
      <c r="A14" t="s">
        <v>288</v>
      </c>
      <c r="B14" s="61" t="s">
        <v>34</v>
      </c>
      <c r="C14" s="492">
        <f>'HFSVs LA'!C13/'HFSVs LA'!E13*100</f>
        <v>34.156378600823047</v>
      </c>
      <c r="D14" s="492">
        <f t="shared" si="0"/>
        <v>65.843621399176953</v>
      </c>
      <c r="E14" s="648">
        <f>'HFSVs LA'!H13/'HFSVs LA'!C13</f>
        <v>1.6325301204819278</v>
      </c>
      <c r="F14" s="451">
        <f>'HFSVs LA'!H13/'HFSVs LA'!E13</f>
        <v>0.5576131687242798</v>
      </c>
    </row>
    <row r="15" spans="1:6" x14ac:dyDescent="0.35">
      <c r="A15" t="s">
        <v>289</v>
      </c>
      <c r="B15" s="61" t="s">
        <v>245</v>
      </c>
      <c r="C15" s="492">
        <f>'HFSVs LA'!C14/'HFSVs LA'!E14*100</f>
        <v>47.353760445682454</v>
      </c>
      <c r="D15" s="492">
        <f t="shared" si="0"/>
        <v>52.646239554317546</v>
      </c>
      <c r="E15" s="648">
        <f>'HFSVs LA'!H14/'HFSVs LA'!C14</f>
        <v>1.4852941176470589</v>
      </c>
      <c r="F15" s="451">
        <f>'HFSVs LA'!H14/'HFSVs LA'!E14</f>
        <v>0.70334261838440115</v>
      </c>
    </row>
    <row r="16" spans="1:6" x14ac:dyDescent="0.35">
      <c r="A16" t="s">
        <v>267</v>
      </c>
      <c r="B16" s="61" t="s">
        <v>35</v>
      </c>
      <c r="C16" s="492">
        <f>'HFSVs LA'!C15/'HFSVs LA'!E15*100</f>
        <v>36.84210526315789</v>
      </c>
      <c r="D16" s="492">
        <f t="shared" si="0"/>
        <v>63.15789473684211</v>
      </c>
      <c r="E16" s="648">
        <f>'HFSVs LA'!H15/'HFSVs LA'!C15</f>
        <v>1.9365079365079365</v>
      </c>
      <c r="F16" s="451">
        <f>'HFSVs LA'!H15/'HFSVs LA'!E15</f>
        <v>0.71345029239766078</v>
      </c>
    </row>
    <row r="17" spans="1:6" x14ac:dyDescent="0.35">
      <c r="A17" t="s">
        <v>268</v>
      </c>
      <c r="B17" s="61" t="s">
        <v>36</v>
      </c>
      <c r="C17" s="492">
        <f>'HFSVs LA'!C16/'HFSVs LA'!E16*100</f>
        <v>38.069705093833775</v>
      </c>
      <c r="D17" s="492">
        <f t="shared" si="0"/>
        <v>61.930294906166225</v>
      </c>
      <c r="E17" s="648">
        <f>'HFSVs LA'!H16/'HFSVs LA'!C16</f>
        <v>1.4507042253521127</v>
      </c>
      <c r="F17" s="451">
        <f>'HFSVs LA'!H16/'HFSVs LA'!E16</f>
        <v>0.55227882037533516</v>
      </c>
    </row>
    <row r="18" spans="1:6" x14ac:dyDescent="0.35">
      <c r="A18" t="s">
        <v>294</v>
      </c>
      <c r="B18" s="61" t="s">
        <v>37</v>
      </c>
      <c r="C18" s="492">
        <f>'HFSVs LA'!C17/'HFSVs LA'!E17*100</f>
        <v>31.0752688172043</v>
      </c>
      <c r="D18" s="492">
        <f t="shared" si="0"/>
        <v>68.924731182795696</v>
      </c>
      <c r="E18" s="648">
        <f>'HFSVs LA'!H17/'HFSVs LA'!C17</f>
        <v>1.5570934256055364</v>
      </c>
      <c r="F18" s="451">
        <f>'HFSVs LA'!H17/'HFSVs LA'!E17</f>
        <v>0.4838709677419355</v>
      </c>
    </row>
    <row r="19" spans="1:6" x14ac:dyDescent="0.35">
      <c r="A19" t="s">
        <v>269</v>
      </c>
      <c r="B19" s="61" t="s">
        <v>38</v>
      </c>
      <c r="C19" s="492">
        <f>'HFSVs LA'!C18/'HFSVs LA'!E18*100</f>
        <v>35.245901639344261</v>
      </c>
      <c r="D19" s="492">
        <f t="shared" si="0"/>
        <v>64.754098360655746</v>
      </c>
      <c r="E19" s="648">
        <f>'HFSVs LA'!H18/'HFSVs LA'!C18</f>
        <v>1.7383720930232558</v>
      </c>
      <c r="F19" s="451">
        <f>'HFSVs LA'!H18/'HFSVs LA'!E18</f>
        <v>0.61270491803278693</v>
      </c>
    </row>
    <row r="20" spans="1:6" x14ac:dyDescent="0.35">
      <c r="A20" t="s">
        <v>296</v>
      </c>
      <c r="B20" s="61" t="s">
        <v>39</v>
      </c>
      <c r="C20" s="492">
        <f>'HFSVs LA'!C19/'HFSVs LA'!E19*100</f>
        <v>56.265356265356267</v>
      </c>
      <c r="D20" s="492">
        <f t="shared" si="0"/>
        <v>43.734643734643733</v>
      </c>
      <c r="E20" s="648">
        <f>'HFSVs LA'!H19/'HFSVs LA'!C19</f>
        <v>1.6200873362445414</v>
      </c>
      <c r="F20" s="451">
        <f>'HFSVs LA'!H19/'HFSVs LA'!E19</f>
        <v>0.91154791154791159</v>
      </c>
    </row>
    <row r="21" spans="1:6" x14ac:dyDescent="0.35">
      <c r="A21" t="s">
        <v>270</v>
      </c>
      <c r="B21" s="61" t="s">
        <v>40</v>
      </c>
      <c r="C21" s="492">
        <f>'HFSVs LA'!C20/'HFSVs LA'!E20*100</f>
        <v>44.483985765124558</v>
      </c>
      <c r="D21" s="492">
        <f t="shared" si="0"/>
        <v>55.516014234875442</v>
      </c>
      <c r="E21" s="648">
        <f>'HFSVs LA'!H20/'HFSVs LA'!C20</f>
        <v>1.8160000000000001</v>
      </c>
      <c r="F21" s="451">
        <f>'HFSVs LA'!H20/'HFSVs LA'!E20</f>
        <v>0.80782918149466187</v>
      </c>
    </row>
    <row r="22" spans="1:6" x14ac:dyDescent="0.35">
      <c r="A22" t="s">
        <v>271</v>
      </c>
      <c r="B22" s="61" t="s">
        <v>41</v>
      </c>
      <c r="C22" s="492">
        <f>'HFSVs LA'!C21/'HFSVs LA'!E21*100</f>
        <v>54.232804232804234</v>
      </c>
      <c r="D22" s="492">
        <f t="shared" si="0"/>
        <v>45.767195767195766</v>
      </c>
      <c r="E22" s="648">
        <f>'HFSVs LA'!H21/'HFSVs LA'!C21</f>
        <v>1.575609756097561</v>
      </c>
      <c r="F22" s="451">
        <f>'HFSVs LA'!H21/'HFSVs LA'!E21</f>
        <v>0.85449735449735453</v>
      </c>
    </row>
    <row r="23" spans="1:6" x14ac:dyDescent="0.35">
      <c r="A23" t="s">
        <v>273</v>
      </c>
      <c r="B23" s="61" t="s">
        <v>42</v>
      </c>
      <c r="C23" s="492">
        <f>'HFSVs LA'!C22/'HFSVs LA'!E22*100</f>
        <v>34.649122807017548</v>
      </c>
      <c r="D23" s="492">
        <f t="shared" si="0"/>
        <v>65.350877192982452</v>
      </c>
      <c r="E23" s="648">
        <f>'HFSVs LA'!H22/'HFSVs LA'!C22</f>
        <v>1.5949367088607596</v>
      </c>
      <c r="F23" s="451">
        <f>'HFSVs LA'!H22/'HFSVs LA'!E22</f>
        <v>0.55263157894736847</v>
      </c>
    </row>
    <row r="24" spans="1:6" x14ac:dyDescent="0.35">
      <c r="A24" t="s">
        <v>380</v>
      </c>
      <c r="B24" s="61" t="s">
        <v>43</v>
      </c>
      <c r="C24" s="492">
        <f>'HFSVs LA'!C23/'HFSVs LA'!E23*100</f>
        <v>44.546850998463903</v>
      </c>
      <c r="D24" s="492">
        <f t="shared" si="0"/>
        <v>55.453149001536097</v>
      </c>
      <c r="E24" s="648">
        <f>'HFSVs LA'!H23/'HFSVs LA'!C23</f>
        <v>1.6913793103448276</v>
      </c>
      <c r="F24" s="451">
        <f>'HFSVs LA'!H23/'HFSVs LA'!E23</f>
        <v>0.75345622119815669</v>
      </c>
    </row>
    <row r="25" spans="1:6" x14ac:dyDescent="0.35">
      <c r="A25" t="s">
        <v>297</v>
      </c>
      <c r="B25" s="61" t="s">
        <v>114</v>
      </c>
      <c r="C25" s="492">
        <f>'HFSVs LA'!C24/'HFSVs LA'!E24*100</f>
        <v>36.819484240687679</v>
      </c>
      <c r="D25" s="492">
        <f t="shared" si="0"/>
        <v>63.180515759312321</v>
      </c>
      <c r="E25" s="648">
        <f>'HFSVs LA'!H24/'HFSVs LA'!C24</f>
        <v>1.4902723735408561</v>
      </c>
      <c r="F25" s="451">
        <f>'HFSVs LA'!H24/'HFSVs LA'!E24</f>
        <v>0.54871060171919772</v>
      </c>
    </row>
    <row r="26" spans="1:6" x14ac:dyDescent="0.35">
      <c r="A26" t="s">
        <v>274</v>
      </c>
      <c r="B26" s="61" t="s">
        <v>44</v>
      </c>
      <c r="C26" s="492">
        <f>'HFSVs LA'!C25/'HFSVs LA'!E25*100</f>
        <v>20.603015075376884</v>
      </c>
      <c r="D26" s="492">
        <f t="shared" si="0"/>
        <v>79.396984924623112</v>
      </c>
      <c r="E26" s="648">
        <f>'HFSVs LA'!H25/'HFSVs LA'!C25</f>
        <v>2.0365853658536586</v>
      </c>
      <c r="F26" s="451">
        <f>'HFSVs LA'!H25/'HFSVs LA'!E25</f>
        <v>0.41959798994974873</v>
      </c>
    </row>
    <row r="27" spans="1:6" x14ac:dyDescent="0.35">
      <c r="A27" t="s">
        <v>275</v>
      </c>
      <c r="B27" s="61" t="s">
        <v>45</v>
      </c>
      <c r="C27" s="492">
        <f>'HFSVs LA'!C26/'HFSVs LA'!E26*100</f>
        <v>59.43204868154158</v>
      </c>
      <c r="D27" s="492">
        <f t="shared" si="0"/>
        <v>40.56795131845842</v>
      </c>
      <c r="E27" s="648">
        <f>'HFSVs LA'!H26/'HFSVs LA'!C26</f>
        <v>1.6006825938566553</v>
      </c>
      <c r="F27" s="451">
        <f>'HFSVs LA'!H26/'HFSVs LA'!E26</f>
        <v>0.9513184584178499</v>
      </c>
    </row>
    <row r="28" spans="1:6" x14ac:dyDescent="0.35">
      <c r="A28" t="s">
        <v>276</v>
      </c>
      <c r="B28" s="61" t="s">
        <v>46</v>
      </c>
      <c r="C28" s="492">
        <f>'HFSVs LA'!C27/'HFSVs LA'!E27*100</f>
        <v>34.0983606557377</v>
      </c>
      <c r="D28" s="492">
        <f t="shared" si="0"/>
        <v>65.901639344262293</v>
      </c>
      <c r="E28" s="648">
        <f>'HFSVs LA'!H27/'HFSVs LA'!C27</f>
        <v>1.6634615384615385</v>
      </c>
      <c r="F28" s="451">
        <f>'HFSVs LA'!H27/'HFSVs LA'!E27</f>
        <v>0.56721311475409841</v>
      </c>
    </row>
    <row r="29" spans="1:6" x14ac:dyDescent="0.35">
      <c r="A29" t="s">
        <v>277</v>
      </c>
      <c r="B29" s="61" t="s">
        <v>47</v>
      </c>
      <c r="C29" s="492">
        <f>'HFSVs LA'!C28/'HFSVs LA'!E28*100</f>
        <v>24.855491329479769</v>
      </c>
      <c r="D29" s="492">
        <f t="shared" si="0"/>
        <v>75.144508670520224</v>
      </c>
      <c r="E29" s="648">
        <f>'HFSVs LA'!H28/'HFSVs LA'!C28</f>
        <v>1.8372093023255813</v>
      </c>
      <c r="F29" s="451">
        <f>'HFSVs LA'!H28/'HFSVs LA'!E28</f>
        <v>0.45664739884393063</v>
      </c>
    </row>
    <row r="30" spans="1:6" x14ac:dyDescent="0.35">
      <c r="A30" t="s">
        <v>272</v>
      </c>
      <c r="B30" s="61" t="s">
        <v>48</v>
      </c>
      <c r="C30" s="492">
        <f>'HFSVs LA'!C29/'HFSVs LA'!E29*100</f>
        <v>40.350877192982452</v>
      </c>
      <c r="D30" s="492">
        <f t="shared" si="0"/>
        <v>59.649122807017548</v>
      </c>
      <c r="E30" s="648">
        <f>'HFSVs LA'!H29/'HFSVs LA'!C29</f>
        <v>1.6521739130434783</v>
      </c>
      <c r="F30" s="451">
        <f>'HFSVs LA'!H29/'HFSVs LA'!E29</f>
        <v>0.66666666666666663</v>
      </c>
    </row>
    <row r="31" spans="1:6" x14ac:dyDescent="0.35">
      <c r="A31" t="s">
        <v>278</v>
      </c>
      <c r="B31" s="61" t="s">
        <v>49</v>
      </c>
      <c r="C31" s="492">
        <f>'HFSVs LA'!C30/'HFSVs LA'!E30*100</f>
        <v>41.666666666666671</v>
      </c>
      <c r="D31" s="492">
        <f t="shared" si="0"/>
        <v>58.333333333333329</v>
      </c>
      <c r="E31" s="648">
        <f>'HFSVs LA'!H30/'HFSVs LA'!C30</f>
        <v>1.7608695652173914</v>
      </c>
      <c r="F31" s="451">
        <f>'HFSVs LA'!H30/'HFSVs LA'!E30</f>
        <v>0.73369565217391308</v>
      </c>
    </row>
    <row r="32" spans="1:6" x14ac:dyDescent="0.35">
      <c r="A32" t="s">
        <v>295</v>
      </c>
      <c r="B32" s="61" t="s">
        <v>50</v>
      </c>
      <c r="C32" s="492">
        <f>'HFSVs LA'!C31/'HFSVs LA'!E31*100</f>
        <v>36.295503211991438</v>
      </c>
      <c r="D32" s="492">
        <f t="shared" si="0"/>
        <v>63.704496788008562</v>
      </c>
      <c r="E32" s="648">
        <f>'HFSVs LA'!H31/'HFSVs LA'!C31</f>
        <v>1.6533923303834808</v>
      </c>
      <c r="F32" s="451">
        <f>'HFSVs LA'!H31/'HFSVs LA'!E31</f>
        <v>0.6001070663811563</v>
      </c>
    </row>
    <row r="33" spans="1:8" x14ac:dyDescent="0.35">
      <c r="A33" t="s">
        <v>279</v>
      </c>
      <c r="B33" s="61" t="s">
        <v>51</v>
      </c>
      <c r="C33" s="492">
        <f>'HFSVs LA'!C32/'HFSVs LA'!E32*100</f>
        <v>50</v>
      </c>
      <c r="D33" s="492">
        <f t="shared" si="0"/>
        <v>50</v>
      </c>
      <c r="E33" s="648">
        <f>'HFSVs LA'!H32/'HFSVs LA'!C32</f>
        <v>2.4</v>
      </c>
      <c r="F33" s="451">
        <f>'HFSVs LA'!H32/'HFSVs LA'!E32</f>
        <v>1.2</v>
      </c>
    </row>
    <row r="34" spans="1:8" x14ac:dyDescent="0.35">
      <c r="A34" t="s">
        <v>280</v>
      </c>
      <c r="B34" s="61" t="s">
        <v>52</v>
      </c>
      <c r="C34" s="492">
        <f>'HFSVs LA'!C33/'HFSVs LA'!E33*100</f>
        <v>30.627306273062732</v>
      </c>
      <c r="D34" s="492">
        <f t="shared" si="0"/>
        <v>69.372693726937271</v>
      </c>
      <c r="E34" s="648">
        <f>'HFSVs LA'!H33/'HFSVs LA'!C33</f>
        <v>1.7349397590361446</v>
      </c>
      <c r="F34" s="451">
        <f>'HFSVs LA'!H33/'HFSVs LA'!E33</f>
        <v>0.53136531365313655</v>
      </c>
    </row>
    <row r="35" spans="1:8" x14ac:dyDescent="0.35">
      <c r="A35" t="s">
        <v>290</v>
      </c>
      <c r="B35" s="61" t="s">
        <v>53</v>
      </c>
      <c r="C35" s="492">
        <f>'HFSVs LA'!C34/'HFSVs LA'!E34*100</f>
        <v>48.691860465116278</v>
      </c>
      <c r="D35" s="492">
        <f t="shared" si="0"/>
        <v>51.308139534883722</v>
      </c>
      <c r="E35" s="648">
        <f>'HFSVs LA'!H34/'HFSVs LA'!C34</f>
        <v>1.6447761194029851</v>
      </c>
      <c r="F35" s="451">
        <f>'HFSVs LA'!H34/'HFSVs LA'!E34</f>
        <v>0.80087209302325579</v>
      </c>
    </row>
    <row r="36" spans="1:8" x14ac:dyDescent="0.35">
      <c r="A36" t="s">
        <v>281</v>
      </c>
      <c r="B36" s="61" t="s">
        <v>54</v>
      </c>
      <c r="C36" s="492">
        <f>'HFSVs LA'!C35/'HFSVs LA'!E35*100</f>
        <v>41.294298921417564</v>
      </c>
      <c r="D36" s="492">
        <f t="shared" si="0"/>
        <v>58.705701078582436</v>
      </c>
      <c r="E36" s="648">
        <f>'HFSVs LA'!H35/'HFSVs LA'!C35</f>
        <v>1.6716417910447761</v>
      </c>
      <c r="F36" s="451">
        <f>'HFSVs LA'!H35/'HFSVs LA'!E35</f>
        <v>0.6902927580893683</v>
      </c>
    </row>
    <row r="37" spans="1:8" x14ac:dyDescent="0.35">
      <c r="A37" t="s">
        <v>282</v>
      </c>
      <c r="B37" s="61" t="s">
        <v>55</v>
      </c>
      <c r="C37" s="492">
        <f>'HFSVs LA'!C36/'HFSVs LA'!E36*100</f>
        <v>12.142857142857142</v>
      </c>
      <c r="D37" s="492">
        <f t="shared" si="0"/>
        <v>87.857142857142861</v>
      </c>
      <c r="E37" s="648">
        <f>'HFSVs LA'!H36/'HFSVs LA'!C36</f>
        <v>2</v>
      </c>
      <c r="F37" s="451">
        <f>'HFSVs LA'!H36/'HFSVs LA'!E36</f>
        <v>0.24285714285714285</v>
      </c>
    </row>
    <row r="38" spans="1:8" x14ac:dyDescent="0.35">
      <c r="A38" t="s">
        <v>283</v>
      </c>
      <c r="B38" s="61" t="s">
        <v>56</v>
      </c>
      <c r="C38" s="492">
        <f>'HFSVs LA'!C37/'HFSVs LA'!E37*100</f>
        <v>32.668329177057359</v>
      </c>
      <c r="D38" s="492">
        <f t="shared" si="0"/>
        <v>67.331670822942641</v>
      </c>
      <c r="E38" s="648">
        <f>'HFSVs LA'!H37/'HFSVs LA'!C37</f>
        <v>1.9312977099236641</v>
      </c>
      <c r="F38" s="451">
        <f>'HFSVs LA'!H37/'HFSVs LA'!E37</f>
        <v>0.63092269326683292</v>
      </c>
    </row>
    <row r="39" spans="1:8" x14ac:dyDescent="0.35">
      <c r="A39" t="s">
        <v>284</v>
      </c>
      <c r="B39" s="61" t="s">
        <v>57</v>
      </c>
      <c r="C39" s="492">
        <f>'HFSVs LA'!C38/'HFSVs LA'!E38*100</f>
        <v>43.348281016442449</v>
      </c>
      <c r="D39" s="492">
        <f t="shared" si="0"/>
        <v>56.651718983557551</v>
      </c>
      <c r="E39" s="648">
        <f>'HFSVs LA'!H38/'HFSVs LA'!C38</f>
        <v>1.6896551724137931</v>
      </c>
      <c r="F39" s="451">
        <f>'HFSVs LA'!H38/'HFSVs LA'!E38</f>
        <v>0.73243647234678622</v>
      </c>
    </row>
    <row r="40" spans="1:8" x14ac:dyDescent="0.35">
      <c r="A40" t="s">
        <v>285</v>
      </c>
      <c r="B40" s="61" t="s">
        <v>58</v>
      </c>
      <c r="C40" s="492">
        <f>'HFSVs LA'!C39/'HFSVs LA'!E39*100</f>
        <v>36.84210526315789</v>
      </c>
      <c r="D40" s="492">
        <f t="shared" si="0"/>
        <v>63.15789473684211</v>
      </c>
      <c r="E40" s="648">
        <f>'HFSVs LA'!H39/'HFSVs LA'!C39</f>
        <v>1.9047619047619047</v>
      </c>
      <c r="F40" s="451">
        <f>'HFSVs LA'!H39/'HFSVs LA'!E39</f>
        <v>0.70175438596491224</v>
      </c>
    </row>
    <row r="41" spans="1:8" x14ac:dyDescent="0.35">
      <c r="A41" t="s">
        <v>291</v>
      </c>
      <c r="B41" s="61" t="s">
        <v>59</v>
      </c>
      <c r="C41" s="492">
        <f>'HFSVs LA'!C40/'HFSVs LA'!E40*100</f>
        <v>38.301559792027732</v>
      </c>
      <c r="D41" s="492">
        <f t="shared" si="0"/>
        <v>61.698440207972268</v>
      </c>
      <c r="E41" s="648">
        <f>'HFSVs LA'!H40/'HFSVs LA'!C40</f>
        <v>1.5158371040723981</v>
      </c>
      <c r="F41" s="451">
        <f>'HFSVs LA'!H40/'HFSVs LA'!E40</f>
        <v>0.58058925476603118</v>
      </c>
    </row>
    <row r="42" spans="1:8" x14ac:dyDescent="0.35">
      <c r="A42" t="s">
        <v>292</v>
      </c>
      <c r="B42" s="61" t="s">
        <v>60</v>
      </c>
      <c r="C42" s="492">
        <f>'HFSVs LA'!C41/'HFSVs LA'!E41*100</f>
        <v>39.882697947214076</v>
      </c>
      <c r="D42" s="492">
        <f t="shared" si="0"/>
        <v>60.117302052785924</v>
      </c>
      <c r="E42" s="648">
        <f>'HFSVs LA'!H41/'HFSVs LA'!C41</f>
        <v>1.536764705882353</v>
      </c>
      <c r="F42" s="451">
        <f>'HFSVs LA'!H41/'HFSVs LA'!E41</f>
        <v>0.61290322580645162</v>
      </c>
    </row>
    <row r="43" spans="1:8" ht="20.25" customHeight="1" thickBot="1" x14ac:dyDescent="0.4">
      <c r="A43" s="38"/>
      <c r="B43" s="38" t="s">
        <v>734</v>
      </c>
      <c r="C43" s="321">
        <f>'HFSVs LA'!C42/'HFSVs LA'!E42*100</f>
        <v>38.180916976456011</v>
      </c>
      <c r="D43" s="321">
        <f t="shared" ref="D43" si="1">100-C43</f>
        <v>61.819083023543989</v>
      </c>
      <c r="E43" s="651">
        <f>'HFSVs LA'!H42/'HFSVs LA'!C42</f>
        <v>1.6323510320654291</v>
      </c>
      <c r="F43" s="267">
        <f>'HFSVs LA'!H42/'HFSVs LA'!E42</f>
        <v>0.62324659231722424</v>
      </c>
    </row>
    <row r="44" spans="1:8" x14ac:dyDescent="0.35">
      <c r="B44" s="12"/>
      <c r="C44" s="319"/>
      <c r="D44" s="319"/>
      <c r="E44" s="268"/>
      <c r="F44" s="15"/>
    </row>
    <row r="45" spans="1:8" x14ac:dyDescent="0.35">
      <c r="A45" s="359" t="s">
        <v>8</v>
      </c>
      <c r="B45" s="411"/>
    </row>
    <row r="46" spans="1:8" x14ac:dyDescent="0.35">
      <c r="A46" t="s">
        <v>746</v>
      </c>
      <c r="B46" s="248"/>
      <c r="C46" s="248"/>
      <c r="D46" s="632"/>
      <c r="E46" s="633"/>
      <c r="F46" s="633"/>
      <c r="G46" s="28"/>
      <c r="H46" s="439"/>
    </row>
    <row r="47" spans="1:8" x14ac:dyDescent="0.35">
      <c r="B47" s="382"/>
    </row>
  </sheetData>
  <sheetProtection algorithmName="SHA-512" hashValue="4732+d6huV4Ih9L807oxMo99DbkCYMKlzIqnPpYaad/knSbCa+6YeMBpwwEtTDOLSNWGIG8sNd76QNvfLdlPuw==" saltValue="2pWlSK9oXqnY3ZeCah//rw==" spinCount="100000" sheet="1" scenarios="1" formatCells="0" formatColumns="0" formatRows="0" sort="0" autoFilter="0" pivotTables="0"/>
  <mergeCells count="1">
    <mergeCell ref="E9:F9"/>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249977111117893"/>
    <pageSetUpPr fitToPage="1"/>
  </sheetPr>
  <dimension ref="A1:K47"/>
  <sheetViews>
    <sheetView showGridLines="0" workbookViewId="0">
      <pane ySplit="2" topLeftCell="A3" activePane="bottomLeft" state="frozen"/>
      <selection pane="bottomLeft"/>
    </sheetView>
  </sheetViews>
  <sheetFormatPr defaultRowHeight="14.5" x14ac:dyDescent="0.35"/>
  <cols>
    <col min="1" max="1" width="19.6328125" customWidth="1"/>
    <col min="2" max="2" width="22.26953125" customWidth="1"/>
    <col min="3" max="3" width="13" customWidth="1"/>
    <col min="4" max="6" width="11" customWidth="1"/>
    <col min="7" max="7" width="14.1796875" customWidth="1"/>
  </cols>
  <sheetData>
    <row r="1" spans="1:7" ht="15.5" x14ac:dyDescent="0.35">
      <c r="A1" s="629" t="s">
        <v>531</v>
      </c>
    </row>
    <row r="2" spans="1:7" x14ac:dyDescent="0.35">
      <c r="A2" s="601" t="s">
        <v>509</v>
      </c>
    </row>
    <row r="3" spans="1:7" x14ac:dyDescent="0.35">
      <c r="A3" s="28"/>
    </row>
    <row r="4" spans="1:7" ht="15.5" x14ac:dyDescent="0.35">
      <c r="A4" s="536" t="s">
        <v>622</v>
      </c>
      <c r="B4" s="612"/>
    </row>
    <row r="5" spans="1:7" x14ac:dyDescent="0.35">
      <c r="A5" t="s">
        <v>320</v>
      </c>
      <c r="B5" t="s">
        <v>711</v>
      </c>
    </row>
    <row r="6" spans="1:7" x14ac:dyDescent="0.35">
      <c r="A6" t="s">
        <v>321</v>
      </c>
      <c r="B6" t="s">
        <v>323</v>
      </c>
    </row>
    <row r="7" spans="1:7" x14ac:dyDescent="0.35">
      <c r="A7" t="s">
        <v>322</v>
      </c>
      <c r="B7" t="s">
        <v>532</v>
      </c>
    </row>
    <row r="9" spans="1:7" x14ac:dyDescent="0.35">
      <c r="B9" s="25"/>
      <c r="C9" s="264"/>
      <c r="D9" s="264"/>
      <c r="E9" s="266" t="s">
        <v>550</v>
      </c>
      <c r="F9" s="266"/>
      <c r="G9" s="655" t="s">
        <v>6</v>
      </c>
    </row>
    <row r="10" spans="1:7" ht="39.5" x14ac:dyDescent="0.35">
      <c r="A10" s="92" t="s">
        <v>449</v>
      </c>
      <c r="B10" s="92" t="s">
        <v>113</v>
      </c>
      <c r="C10" s="241" t="s">
        <v>119</v>
      </c>
      <c r="D10" s="193" t="s">
        <v>124</v>
      </c>
      <c r="E10" s="647" t="s">
        <v>552</v>
      </c>
      <c r="F10" s="658" t="s">
        <v>551</v>
      </c>
      <c r="G10" s="656" t="s">
        <v>423</v>
      </c>
    </row>
    <row r="11" spans="1:7" ht="21" customHeight="1" x14ac:dyDescent="0.35">
      <c r="A11" t="s">
        <v>286</v>
      </c>
      <c r="B11" s="61" t="s">
        <v>31</v>
      </c>
      <c r="C11" s="370">
        <f>hfsvla!B4/hfsvla!K4*100</f>
        <v>0.1193832477753391</v>
      </c>
      <c r="D11" s="761">
        <f>hfsvla!C4/hfsvla!K4*100</f>
        <v>0.37743472950511048</v>
      </c>
      <c r="E11" s="765">
        <f>hfsvla!D4/hfsvla!K4*100</f>
        <v>0.49681797728044963</v>
      </c>
      <c r="F11" s="761">
        <f>hfsvla!M4</f>
        <v>0.17399999999999999</v>
      </c>
      <c r="G11" s="763">
        <f>hfsvla!K4</f>
        <v>108893</v>
      </c>
    </row>
    <row r="12" spans="1:7" x14ac:dyDescent="0.35">
      <c r="A12" t="s">
        <v>287</v>
      </c>
      <c r="B12" s="61" t="s">
        <v>32</v>
      </c>
      <c r="C12" s="371">
        <f>hfsvla!B5/hfsvla!K5*100</f>
        <v>0.11178834739559768</v>
      </c>
      <c r="D12" s="764">
        <f>hfsvla!C5/hfsvla!K5*100</f>
        <v>0.27592203206373711</v>
      </c>
      <c r="E12" s="766">
        <f>hfsvla!D5/hfsvla!K5*100</f>
        <v>0.38771037945933473</v>
      </c>
      <c r="F12" s="764">
        <f>hfsvla!M5</f>
        <v>0.19800000000000001</v>
      </c>
      <c r="G12" s="762">
        <f>hfsvla!K5</f>
        <v>112713</v>
      </c>
    </row>
    <row r="13" spans="1:7" x14ac:dyDescent="0.35">
      <c r="A13" t="s">
        <v>293</v>
      </c>
      <c r="B13" s="61" t="s">
        <v>33</v>
      </c>
      <c r="C13" s="371">
        <f>hfsvla!B6/hfsvla!K6*100</f>
        <v>0.36894273127753302</v>
      </c>
      <c r="D13" s="764">
        <f>hfsvla!C6/hfsvla!K6*100</f>
        <v>0.95264317180616742</v>
      </c>
      <c r="E13" s="766">
        <f>hfsvla!D6/hfsvla!K6*100</f>
        <v>1.3215859030837005</v>
      </c>
      <c r="F13" s="764">
        <f>hfsvla!M6</f>
        <v>0.53600000000000003</v>
      </c>
      <c r="G13" s="762">
        <f>hfsvla!K6</f>
        <v>54480</v>
      </c>
    </row>
    <row r="14" spans="1:7" x14ac:dyDescent="0.35">
      <c r="A14" t="s">
        <v>288</v>
      </c>
      <c r="B14" s="61" t="s">
        <v>34</v>
      </c>
      <c r="C14" s="371">
        <f>hfsvla!B7/hfsvla!K7*100</f>
        <v>0.3967590047563278</v>
      </c>
      <c r="D14" s="764">
        <f>hfsvla!C7/hfsvla!K7*100</f>
        <v>0.76483663567484883</v>
      </c>
      <c r="E14" s="766">
        <f>hfsvla!D7/hfsvla!K7*100</f>
        <v>1.1615956404311767</v>
      </c>
      <c r="F14" s="764">
        <f>hfsvla!M7</f>
        <v>0.64800000000000002</v>
      </c>
      <c r="G14" s="762">
        <f>hfsvla!K7</f>
        <v>41839</v>
      </c>
    </row>
    <row r="15" spans="1:7" x14ac:dyDescent="0.35">
      <c r="A15" t="s">
        <v>289</v>
      </c>
      <c r="B15" s="61" t="s">
        <v>245</v>
      </c>
      <c r="C15" s="371">
        <f>hfsvla!B8/hfsvla!K8*100</f>
        <v>0.28408616166173695</v>
      </c>
      <c r="D15" s="764">
        <f>hfsvla!C8/hfsvla!K8*100</f>
        <v>0.31583696796510752</v>
      </c>
      <c r="E15" s="766">
        <f>hfsvla!D8/hfsvla!K8*100</f>
        <v>0.59992312962684446</v>
      </c>
      <c r="F15" s="764">
        <f>hfsvla!M8</f>
        <v>0.42199999999999999</v>
      </c>
      <c r="G15" s="762">
        <f>hfsvla!K8</f>
        <v>239364</v>
      </c>
    </row>
    <row r="16" spans="1:7" x14ac:dyDescent="0.35">
      <c r="A16" t="s">
        <v>267</v>
      </c>
      <c r="B16" s="61" t="s">
        <v>35</v>
      </c>
      <c r="C16" s="371">
        <f>hfsvla!B9/hfsvla!K9*100</f>
        <v>0.26178010471204188</v>
      </c>
      <c r="D16" s="764">
        <f>hfsvla!C9/hfsvla!K9*100</f>
        <v>0.44876589379207177</v>
      </c>
      <c r="E16" s="766">
        <f>hfsvla!D9/hfsvla!K9*100</f>
        <v>0.71054599850411371</v>
      </c>
      <c r="F16" s="764">
        <f>hfsvla!M9</f>
        <v>0.50700000000000001</v>
      </c>
      <c r="G16" s="762">
        <f>hfsvla!K9</f>
        <v>24066</v>
      </c>
    </row>
    <row r="17" spans="1:7" x14ac:dyDescent="0.35">
      <c r="A17" t="s">
        <v>268</v>
      </c>
      <c r="B17" s="61" t="s">
        <v>36</v>
      </c>
      <c r="C17" s="371">
        <f>hfsvla!B10/hfsvla!K10*100</f>
        <v>0.2029818316966136</v>
      </c>
      <c r="D17" s="764">
        <f>hfsvla!C10/hfsvla!K10*100</f>
        <v>0.33020283888674473</v>
      </c>
      <c r="E17" s="766">
        <f>hfsvla!D10/hfsvla!K10*100</f>
        <v>0.53318467058335839</v>
      </c>
      <c r="F17" s="764">
        <f>hfsvla!M10</f>
        <v>0.29399999999999998</v>
      </c>
      <c r="G17" s="762">
        <f>hfsvla!K10</f>
        <v>69957</v>
      </c>
    </row>
    <row r="18" spans="1:7" x14ac:dyDescent="0.35">
      <c r="A18" t="s">
        <v>294</v>
      </c>
      <c r="B18" s="61" t="s">
        <v>37</v>
      </c>
      <c r="C18" s="371">
        <f>hfsvla!B11/hfsvla!K11*100</f>
        <v>0.40883305747711807</v>
      </c>
      <c r="D18" s="764">
        <f>hfsvla!C11/hfsvla!K11*100</f>
        <v>0.90678889218973258</v>
      </c>
      <c r="E18" s="766">
        <f>hfsvla!D11/hfsvla!K11*100</f>
        <v>1.3156219496668504</v>
      </c>
      <c r="F18" s="764">
        <f>hfsvla!M11</f>
        <v>0.63700000000000001</v>
      </c>
      <c r="G18" s="762">
        <f>hfsvla!K11</f>
        <v>70689</v>
      </c>
    </row>
    <row r="19" spans="1:7" x14ac:dyDescent="0.35">
      <c r="A19" t="s">
        <v>269</v>
      </c>
      <c r="B19" s="61" t="s">
        <v>38</v>
      </c>
      <c r="C19" s="371">
        <f>hfsvla!B12/hfsvla!K12*100</f>
        <v>0.30955294795191135</v>
      </c>
      <c r="D19" s="764">
        <f>hfsvla!C12/hfsvla!K12*100</f>
        <v>0.56871355553955794</v>
      </c>
      <c r="E19" s="766">
        <f>hfsvla!D12/hfsvla!K12*100</f>
        <v>0.87826650349146929</v>
      </c>
      <c r="F19" s="764">
        <f>hfsvla!M12</f>
        <v>0.53800000000000003</v>
      </c>
      <c r="G19" s="762">
        <f>hfsvla!K12</f>
        <v>55564</v>
      </c>
    </row>
    <row r="20" spans="1:7" x14ac:dyDescent="0.35">
      <c r="A20" t="s">
        <v>296</v>
      </c>
      <c r="B20" s="61" t="s">
        <v>39</v>
      </c>
      <c r="C20" s="371">
        <f>hfsvla!B13/hfsvla!K13*100</f>
        <v>0.49180679939007366</v>
      </c>
      <c r="D20" s="764">
        <f>hfsvla!C13/hfsvla!K13*100</f>
        <v>0.38227777419839787</v>
      </c>
      <c r="E20" s="766">
        <f>hfsvla!D13/hfsvla!K13*100</f>
        <v>0.87408457358847147</v>
      </c>
      <c r="F20" s="764">
        <f>hfsvla!M13</f>
        <v>0.79700000000000004</v>
      </c>
      <c r="G20" s="762">
        <f>hfsvla!K13</f>
        <v>46563</v>
      </c>
    </row>
    <row r="21" spans="1:7" x14ac:dyDescent="0.35">
      <c r="A21" t="s">
        <v>270</v>
      </c>
      <c r="B21" s="61" t="s">
        <v>40</v>
      </c>
      <c r="C21" s="371">
        <f>hfsvla!B14/hfsvla!K14*100</f>
        <v>0.26325765553262287</v>
      </c>
      <c r="D21" s="764">
        <f>hfsvla!C14/hfsvla!K14*100</f>
        <v>0.32854555410471337</v>
      </c>
      <c r="E21" s="766">
        <f>hfsvla!D14/hfsvla!K14*100</f>
        <v>0.59180320963733624</v>
      </c>
      <c r="F21" s="764">
        <f>hfsvla!M14</f>
        <v>0.47799999999999998</v>
      </c>
      <c r="G21" s="762">
        <f>hfsvla!K14</f>
        <v>47482</v>
      </c>
    </row>
    <row r="22" spans="1:7" x14ac:dyDescent="0.35">
      <c r="A22" t="s">
        <v>271</v>
      </c>
      <c r="B22" s="61" t="s">
        <v>41</v>
      </c>
      <c r="C22" s="371">
        <f>hfsvla!B15/hfsvla!K15*100</f>
        <v>0.51785984944172181</v>
      </c>
      <c r="D22" s="764">
        <f>hfsvla!C15/hfsvla!K15*100</f>
        <v>0.43702319001667256</v>
      </c>
      <c r="E22" s="766">
        <f>hfsvla!D15/hfsvla!K15*100</f>
        <v>0.95488303945839426</v>
      </c>
      <c r="F22" s="764">
        <f>hfsvla!M15</f>
        <v>0.81599999999999995</v>
      </c>
      <c r="G22" s="762">
        <f>hfsvla!K15</f>
        <v>39586</v>
      </c>
    </row>
    <row r="23" spans="1:7" x14ac:dyDescent="0.35">
      <c r="A23" t="s">
        <v>273</v>
      </c>
      <c r="B23" s="61" t="s">
        <v>42</v>
      </c>
      <c r="C23" s="371">
        <f>hfsvla!B16/hfsvla!K16*100</f>
        <v>0.21645614708058197</v>
      </c>
      <c r="D23" s="764">
        <f>hfsvla!C16/hfsvla!K16*100</f>
        <v>0.4082527331013508</v>
      </c>
      <c r="E23" s="766">
        <f>hfsvla!D16/hfsvla!K16*100</f>
        <v>0.62470888018193271</v>
      </c>
      <c r="F23" s="764">
        <f>hfsvla!M16</f>
        <v>0.34499999999999997</v>
      </c>
      <c r="G23" s="762">
        <f>hfsvla!K16</f>
        <v>72994</v>
      </c>
    </row>
    <row r="24" spans="1:7" x14ac:dyDescent="0.35">
      <c r="A24" t="s">
        <v>380</v>
      </c>
      <c r="B24" s="61" t="s">
        <v>43</v>
      </c>
      <c r="C24" s="371">
        <f>hfsvla!B17/hfsvla!K17*100</f>
        <v>0.34140541304168681</v>
      </c>
      <c r="D24" s="764">
        <f>hfsvla!C17/hfsvla!K17*100</f>
        <v>0.42499087623465148</v>
      </c>
      <c r="E24" s="766">
        <f>hfsvla!D17/hfsvla!K17*100</f>
        <v>0.76639628927633818</v>
      </c>
      <c r="F24" s="764">
        <f>hfsvla!M17</f>
        <v>0.57699999999999996</v>
      </c>
      <c r="G24" s="762">
        <f>hfsvla!K17</f>
        <v>169886</v>
      </c>
    </row>
    <row r="25" spans="1:7" x14ac:dyDescent="0.35">
      <c r="A25" t="s">
        <v>297</v>
      </c>
      <c r="B25" s="61" t="s">
        <v>114</v>
      </c>
      <c r="C25" s="371">
        <f>hfsvla!B18/hfsvla!K18*100</f>
        <v>0.26068345725095599</v>
      </c>
      <c r="D25" s="764">
        <f>hfsvla!C18/hfsvla!K18*100</f>
        <v>0.44732064065241872</v>
      </c>
      <c r="E25" s="766">
        <f>hfsvla!D18/hfsvla!K18*100</f>
        <v>0.70800409790337471</v>
      </c>
      <c r="F25" s="764">
        <f>hfsvla!M18</f>
        <v>0.38800000000000001</v>
      </c>
      <c r="G25" s="762">
        <f>hfsvla!K18</f>
        <v>295761</v>
      </c>
    </row>
    <row r="26" spans="1:7" x14ac:dyDescent="0.35">
      <c r="A26" t="s">
        <v>274</v>
      </c>
      <c r="B26" s="61" t="s">
        <v>44</v>
      </c>
      <c r="C26" s="371">
        <f>hfsvla!B19/hfsvla!K19*100</f>
        <v>0.14897714472584572</v>
      </c>
      <c r="D26" s="764">
        <f>hfsvla!C19/hfsvla!K19*100</f>
        <v>0.57410704552886882</v>
      </c>
      <c r="E26" s="766">
        <f>hfsvla!D19/hfsvla!K19*100</f>
        <v>0.7230841902547146</v>
      </c>
      <c r="F26" s="764">
        <f>hfsvla!M19</f>
        <v>0.30299999999999999</v>
      </c>
      <c r="G26" s="762">
        <f>hfsvla!K19</f>
        <v>110084</v>
      </c>
    </row>
    <row r="27" spans="1:7" x14ac:dyDescent="0.35">
      <c r="A27" t="s">
        <v>275</v>
      </c>
      <c r="B27" s="61" t="s">
        <v>45</v>
      </c>
      <c r="C27" s="371">
        <f>hfsvla!B20/hfsvla!K20*100</f>
        <v>0.77830313977580623</v>
      </c>
      <c r="D27" s="764">
        <f>hfsvla!C20/hfsvla!K20*100</f>
        <v>0.53126494182648887</v>
      </c>
      <c r="E27" s="766">
        <f>hfsvla!D20/hfsvla!K20*100</f>
        <v>1.309568081602295</v>
      </c>
      <c r="F27" s="764">
        <f>hfsvla!M20</f>
        <v>1.246</v>
      </c>
      <c r="G27" s="762">
        <f>hfsvla!K20</f>
        <v>37646</v>
      </c>
    </row>
    <row r="28" spans="1:7" x14ac:dyDescent="0.35">
      <c r="A28" t="s">
        <v>276</v>
      </c>
      <c r="B28" s="61" t="s">
        <v>46</v>
      </c>
      <c r="C28" s="371">
        <f>hfsvla!B21/hfsvla!K21*100</f>
        <v>0.25911253955203428</v>
      </c>
      <c r="D28" s="764">
        <f>hfsvla!C21/hfsvla!K21*100</f>
        <v>0.5007848120188354</v>
      </c>
      <c r="E28" s="766">
        <f>hfsvla!D21/hfsvla!K21*100</f>
        <v>0.75989735157086968</v>
      </c>
      <c r="F28" s="764">
        <f>hfsvla!M21</f>
        <v>0.43099999999999999</v>
      </c>
      <c r="G28" s="762">
        <f>hfsvla!K21</f>
        <v>40137</v>
      </c>
    </row>
    <row r="29" spans="1:7" x14ac:dyDescent="0.35">
      <c r="A29" t="s">
        <v>277</v>
      </c>
      <c r="B29" s="61" t="s">
        <v>47</v>
      </c>
      <c r="C29" s="371">
        <f>hfsvla!B22/hfsvla!K22*100</f>
        <v>0.19918934568616095</v>
      </c>
      <c r="D29" s="764">
        <f>hfsvla!C22/hfsvla!K22*100</f>
        <v>0.60220034742327733</v>
      </c>
      <c r="E29" s="766">
        <f>hfsvla!D22/hfsvla!K22*100</f>
        <v>0.80138969310943831</v>
      </c>
      <c r="F29" s="764">
        <f>hfsvla!M22</f>
        <v>0.36599999999999999</v>
      </c>
      <c r="G29" s="762">
        <f>hfsvla!K22</f>
        <v>43175</v>
      </c>
    </row>
    <row r="30" spans="1:7" x14ac:dyDescent="0.35">
      <c r="A30" t="s">
        <v>272</v>
      </c>
      <c r="B30" s="61" t="s">
        <v>48</v>
      </c>
      <c r="C30" s="371">
        <f>hfsvla!B23/hfsvla!K23*100</f>
        <v>0.17900225698497937</v>
      </c>
      <c r="D30" s="764">
        <f>hfsvla!C23/hfsvla!K23*100</f>
        <v>0.26461203206475215</v>
      </c>
      <c r="E30" s="766">
        <f>hfsvla!D23/hfsvla!K23*100</f>
        <v>0.44361428904973155</v>
      </c>
      <c r="F30" s="764">
        <f>hfsvla!M23</f>
        <v>0.29599999999999999</v>
      </c>
      <c r="G30" s="762">
        <f>hfsvla!K23</f>
        <v>12849</v>
      </c>
    </row>
    <row r="31" spans="1:7" x14ac:dyDescent="0.35">
      <c r="A31" t="s">
        <v>278</v>
      </c>
      <c r="B31" s="61" t="s">
        <v>49</v>
      </c>
      <c r="C31" s="371">
        <f>hfsvla!B24/hfsvla!K24*100</f>
        <v>0.35705969106574553</v>
      </c>
      <c r="D31" s="764">
        <f>hfsvla!C24/hfsvla!K24*100</f>
        <v>0.49988356749204382</v>
      </c>
      <c r="E31" s="766">
        <f>hfsvla!D24/hfsvla!K24*100</f>
        <v>0.85694325855778941</v>
      </c>
      <c r="F31" s="764">
        <f>hfsvla!M24</f>
        <v>0.629</v>
      </c>
      <c r="G31" s="762">
        <f>hfsvla!K24</f>
        <v>64415</v>
      </c>
    </row>
    <row r="32" spans="1:7" x14ac:dyDescent="0.35">
      <c r="A32" t="s">
        <v>295</v>
      </c>
      <c r="B32" s="61" t="s">
        <v>50</v>
      </c>
      <c r="C32" s="371">
        <f>hfsvla!B25/hfsvla!K25*100</f>
        <v>0.44339807730037273</v>
      </c>
      <c r="D32" s="764">
        <f>hfsvla!C25/hfsvla!K25*100</f>
        <v>0.77823556340330913</v>
      </c>
      <c r="E32" s="766">
        <f>hfsvla!D25/hfsvla!K25*100</f>
        <v>1.2216336407036819</v>
      </c>
      <c r="F32" s="764">
        <f>hfsvla!M25</f>
        <v>0.73299999999999998</v>
      </c>
      <c r="G32" s="762">
        <f>hfsvla!K25</f>
        <v>152910</v>
      </c>
    </row>
    <row r="33" spans="1:11" x14ac:dyDescent="0.35">
      <c r="A33" t="s">
        <v>279</v>
      </c>
      <c r="B33" s="61" t="s">
        <v>51</v>
      </c>
      <c r="C33" s="371">
        <f>hfsvla!B26/hfsvla!K26*100</f>
        <v>0.32910202162670427</v>
      </c>
      <c r="D33" s="764">
        <f>hfsvla!C26/hfsvla!K26*100</f>
        <v>0.32910202162670427</v>
      </c>
      <c r="E33" s="766">
        <f>hfsvla!D26/hfsvla!K26*100</f>
        <v>0.65820404325340853</v>
      </c>
      <c r="F33" s="764">
        <f>hfsvla!M26</f>
        <v>0.79</v>
      </c>
      <c r="G33" s="762">
        <f>hfsvla!K26</f>
        <v>10635</v>
      </c>
    </row>
    <row r="34" spans="1:11" x14ac:dyDescent="0.35">
      <c r="A34" t="s">
        <v>280</v>
      </c>
      <c r="B34" s="61" t="s">
        <v>52</v>
      </c>
      <c r="C34" s="371">
        <f>hfsvla!B27/hfsvla!K27*100</f>
        <v>0.23908284364558127</v>
      </c>
      <c r="D34" s="764">
        <f>hfsvla!C27/hfsvla!K27*100</f>
        <v>0.5415370434381841</v>
      </c>
      <c r="E34" s="766">
        <f>hfsvla!D27/hfsvla!K27*100</f>
        <v>0.7806198870837654</v>
      </c>
      <c r="F34" s="764">
        <f>hfsvla!M27</f>
        <v>0.41499999999999998</v>
      </c>
      <c r="G34" s="762">
        <f>hfsvla!K27</f>
        <v>69432</v>
      </c>
    </row>
    <row r="35" spans="1:11" x14ac:dyDescent="0.35">
      <c r="A35" t="s">
        <v>290</v>
      </c>
      <c r="B35" s="61" t="s">
        <v>53</v>
      </c>
      <c r="C35" s="371">
        <f>hfsvla!B28/hfsvla!K28*100</f>
        <v>0.38399376439976612</v>
      </c>
      <c r="D35" s="764">
        <f>hfsvla!C28/hfsvla!K28*100</f>
        <v>0.40462626517348493</v>
      </c>
      <c r="E35" s="766">
        <f>hfsvla!D28/hfsvla!K28*100</f>
        <v>0.78862002957325106</v>
      </c>
      <c r="F35" s="764">
        <f>hfsvla!M28</f>
        <v>0.63200000000000001</v>
      </c>
      <c r="G35" s="762">
        <f>hfsvla!K28</f>
        <v>87241</v>
      </c>
    </row>
    <row r="36" spans="1:11" x14ac:dyDescent="0.35">
      <c r="A36" t="s">
        <v>281</v>
      </c>
      <c r="B36" s="61" t="s">
        <v>54</v>
      </c>
      <c r="C36" s="371">
        <f>hfsvla!B29/hfsvla!K29*100</f>
        <v>0.48908679465654425</v>
      </c>
      <c r="D36" s="764">
        <f>hfsvla!C29/hfsvla!K29*100</f>
        <v>0.69530622673187825</v>
      </c>
      <c r="E36" s="766">
        <f>hfsvla!D29/hfsvla!K29*100</f>
        <v>1.1843930213884226</v>
      </c>
      <c r="F36" s="764">
        <f>hfsvla!M29</f>
        <v>0.81799999999999995</v>
      </c>
      <c r="G36" s="762">
        <f>hfsvla!K29</f>
        <v>54796</v>
      </c>
    </row>
    <row r="37" spans="1:11" x14ac:dyDescent="0.35">
      <c r="A37" t="s">
        <v>282</v>
      </c>
      <c r="B37" s="61" t="s">
        <v>55</v>
      </c>
      <c r="C37" s="371">
        <f>hfsvla!B30/hfsvla!K30*100</f>
        <v>0.16250836440110888</v>
      </c>
      <c r="D37" s="764">
        <f>hfsvla!C30/hfsvla!K30*100</f>
        <v>1.1757958130197876</v>
      </c>
      <c r="E37" s="766">
        <f>hfsvla!D30/hfsvla!K30*100</f>
        <v>1.3383041774208966</v>
      </c>
      <c r="F37" s="764">
        <f>hfsvla!M30</f>
        <v>0.32500000000000001</v>
      </c>
      <c r="G37" s="762">
        <f>hfsvla!K30</f>
        <v>10461</v>
      </c>
    </row>
    <row r="38" spans="1:11" x14ac:dyDescent="0.35">
      <c r="A38" t="s">
        <v>283</v>
      </c>
      <c r="B38" s="61" t="s">
        <v>56</v>
      </c>
      <c r="C38" s="371">
        <f>hfsvla!B31/hfsvla!K31*100</f>
        <v>0.24918681402294041</v>
      </c>
      <c r="D38" s="764">
        <f>hfsvla!C31/hfsvla!K31*100</f>
        <v>0.51359114340606038</v>
      </c>
      <c r="E38" s="766">
        <f>hfsvla!D31/hfsvla!K31*100</f>
        <v>0.76277795742900079</v>
      </c>
      <c r="F38" s="764">
        <f>hfsvla!M31</f>
        <v>0.48099999999999998</v>
      </c>
      <c r="G38" s="762">
        <f>hfsvla!K31</f>
        <v>52571</v>
      </c>
    </row>
    <row r="39" spans="1:11" x14ac:dyDescent="0.35">
      <c r="A39" t="s">
        <v>284</v>
      </c>
      <c r="B39" s="61" t="s">
        <v>57</v>
      </c>
      <c r="C39" s="371">
        <f>hfsvla!B32/hfsvla!K32*100</f>
        <v>0.39061710768236096</v>
      </c>
      <c r="D39" s="764">
        <f>hfsvla!C32/hfsvla!K32*100</f>
        <v>0.51049615107453383</v>
      </c>
      <c r="E39" s="766">
        <f>hfsvla!D32/hfsvla!K32*100</f>
        <v>0.90111325875689463</v>
      </c>
      <c r="F39" s="764">
        <f>hfsvla!M32</f>
        <v>0.66</v>
      </c>
      <c r="G39" s="762">
        <f>hfsvla!K32</f>
        <v>148483</v>
      </c>
    </row>
    <row r="40" spans="1:11" x14ac:dyDescent="0.35">
      <c r="A40" t="s">
        <v>285</v>
      </c>
      <c r="B40" s="61" t="s">
        <v>58</v>
      </c>
      <c r="C40" s="371">
        <f>hfsvla!B33/hfsvla!K33*100</f>
        <v>0.15791056747543614</v>
      </c>
      <c r="D40" s="764">
        <f>hfsvla!C33/hfsvla!K33*100</f>
        <v>0.27070382995789055</v>
      </c>
      <c r="E40" s="766">
        <f>hfsvla!D33/hfsvla!K33*100</f>
        <v>0.42861439743332669</v>
      </c>
      <c r="F40" s="764">
        <f>hfsvla!M33</f>
        <v>0.30099999999999999</v>
      </c>
      <c r="G40" s="762">
        <f>hfsvla!K33</f>
        <v>39896</v>
      </c>
    </row>
    <row r="41" spans="1:11" x14ac:dyDescent="0.35">
      <c r="A41" t="s">
        <v>291</v>
      </c>
      <c r="B41" s="61" t="s">
        <v>59</v>
      </c>
      <c r="C41" s="371">
        <f>hfsvla!B34/hfsvla!K34*100</f>
        <v>0.51200074135853957</v>
      </c>
      <c r="D41" s="764">
        <f>hfsvla!C34/hfsvla!K34*100</f>
        <v>0.82476137522009085</v>
      </c>
      <c r="E41" s="766">
        <f>hfsvla!D34/hfsvla!K34*100</f>
        <v>1.3367621165786303</v>
      </c>
      <c r="F41" s="764">
        <f>hfsvla!M34</f>
        <v>0.77600000000000002</v>
      </c>
      <c r="G41" s="762">
        <f>hfsvla!K34</f>
        <v>43164</v>
      </c>
    </row>
    <row r="42" spans="1:11" x14ac:dyDescent="0.35">
      <c r="A42" t="s">
        <v>292</v>
      </c>
      <c r="B42" s="487" t="s">
        <v>60</v>
      </c>
      <c r="C42" s="1053">
        <f>hfsvla!B35/hfsvla!K35*100</f>
        <v>0.34045962048765832</v>
      </c>
      <c r="D42" s="1054">
        <f>hfsvla!C35/hfsvla!K35*100</f>
        <v>0.51319281029389674</v>
      </c>
      <c r="E42" s="1055">
        <f>hfsvla!D35/hfsvla!K35*100</f>
        <v>0.85365243078155506</v>
      </c>
      <c r="F42" s="1054">
        <f>hfsvla!M35</f>
        <v>0.52300000000000002</v>
      </c>
      <c r="G42" s="762">
        <f>hfsvla!K35</f>
        <v>79892</v>
      </c>
    </row>
    <row r="43" spans="1:11" ht="19.5" customHeight="1" thickBot="1" x14ac:dyDescent="0.4">
      <c r="A43" s="38"/>
      <c r="B43" s="31" t="s">
        <v>734</v>
      </c>
      <c r="C43" s="1056">
        <f>hfsvla!B36/hfsvla!K36*100</f>
        <v>0.30718321407037102</v>
      </c>
      <c r="D43" s="1057">
        <f>hfsvla!C36/hfsvla!K36*100</f>
        <v>0.49736324106006319</v>
      </c>
      <c r="E43" s="1052">
        <f>hfsvla!D36/hfsvla!K36*100</f>
        <v>0.80454645513043432</v>
      </c>
      <c r="F43" s="1052">
        <f>GETPIVOTDATA("Sum of TotalAlarms",hfsvla!F36)/G43*100</f>
        <v>0.50143083652094578</v>
      </c>
      <c r="G43" s="657">
        <f>SUM(G11:G42)</f>
        <v>2507624</v>
      </c>
    </row>
    <row r="44" spans="1:11" x14ac:dyDescent="0.35">
      <c r="B44" s="12"/>
      <c r="C44" s="268"/>
      <c r="D44" s="268"/>
      <c r="E44" s="269"/>
      <c r="F44" s="269"/>
      <c r="G44" s="73"/>
    </row>
    <row r="45" spans="1:11" x14ac:dyDescent="0.35">
      <c r="A45" s="392" t="s">
        <v>8</v>
      </c>
      <c r="B45" s="395"/>
      <c r="C45" s="395"/>
      <c r="D45" s="395"/>
      <c r="E45" s="395"/>
      <c r="F45" s="395"/>
      <c r="H45" s="382"/>
      <c r="I45" s="382"/>
      <c r="J45" s="382"/>
      <c r="K45" s="382"/>
    </row>
    <row r="46" spans="1:11" x14ac:dyDescent="0.35">
      <c r="A46" s="631" t="s">
        <v>747</v>
      </c>
      <c r="B46" s="501"/>
      <c r="C46" s="501"/>
      <c r="D46" s="501"/>
      <c r="E46" s="501"/>
      <c r="F46" s="501"/>
      <c r="G46" s="501"/>
      <c r="H46" s="439"/>
      <c r="I46" s="452"/>
      <c r="J46" s="452"/>
      <c r="K46" s="452"/>
    </row>
    <row r="47" spans="1:11" x14ac:dyDescent="0.35">
      <c r="A47" s="601" t="s">
        <v>748</v>
      </c>
      <c r="B47" s="430"/>
      <c r="C47" s="683"/>
      <c r="D47" s="683"/>
      <c r="E47" s="683"/>
      <c r="F47" s="683"/>
      <c r="G47" s="432"/>
      <c r="H47" s="439"/>
      <c r="I47" s="382"/>
      <c r="J47" s="382"/>
      <c r="K47" s="382"/>
    </row>
  </sheetData>
  <sheetProtection algorithmName="SHA-512" hashValue="gsuVf3cbJ2Z7CaADBpNRy6YnJig0iT13rehRRpJHDkmDwvb6auc3QDAcKbrbl17H1CtJnzZL2X1EeBogEzwxLw==" saltValue="GPCL5gwfgFSGj5NQk83OCw==" spinCount="100000" sheet="1" scenarios="1" formatCells="0" formatColumns="0" formatRows="0" sort="0" autoFilter="0" pivotTables="0"/>
  <hyperlinks>
    <hyperlink ref="A2" location="'Table of Contents'!A1" display="Back to Table of Contents"/>
    <hyperlink ref="A46:G46" r:id="rId1" display="https://www.nrscotland.gov.uk/statistics-and-data/statistics/statistics-by-theme/households/household-estimates/2016/list-of-tables"/>
    <hyperlink ref="A47" r:id="rId2"/>
  </hyperlinks>
  <pageMargins left="0.70866141732283472" right="0.70866141732283472" top="0.74803149606299213" bottom="0.74803149606299213" header="0.31496062992125984" footer="0.31496062992125984"/>
  <pageSetup paperSize="9" orientation="portrait" r:id="rId3"/>
  <drawing r:id="rId4"/>
  <extLst>
    <ext xmlns:x14="http://schemas.microsoft.com/office/spreadsheetml/2009/9/main" uri="{A8765BA9-456A-4dab-B4F3-ACF838C121DE}">
      <x14:slicerList>
        <x14:slicer r:id="rId5"/>
      </x14:slicerList>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609"/>
      <c r="C2" s="609"/>
    </row>
    <row r="4" spans="1:8" ht="15.5" x14ac:dyDescent="0.35">
      <c r="A4" s="1170" t="s">
        <v>553</v>
      </c>
      <c r="B4" s="1170"/>
      <c r="C4" s="1170"/>
      <c r="D4" s="1170"/>
      <c r="E4" s="1170"/>
      <c r="F4" s="1170"/>
      <c r="G4" s="1170"/>
      <c r="H4" s="1170"/>
    </row>
    <row r="5" spans="1:8" x14ac:dyDescent="0.35">
      <c r="A5" s="686" t="s">
        <v>723</v>
      </c>
    </row>
    <row r="6" spans="1:8" x14ac:dyDescent="0.35">
      <c r="A6" s="686" t="s">
        <v>666</v>
      </c>
    </row>
  </sheetData>
  <sheetProtection algorithmName="SHA-512" hashValue="AXhHTbskHdhWv82W3X8LdXNvmIjsvT9QduY6qcuvr/krRCvdgDUIzATvBPjH8yd2nAHiLfWPh3rWLPiwDsPqrQ==" saltValue="Y22O86dYRptrTZ0HVXzbpA=="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609"/>
      <c r="C2" s="609"/>
    </row>
    <row r="4" spans="1:8" ht="15.5" x14ac:dyDescent="0.35">
      <c r="A4" s="1170" t="s">
        <v>424</v>
      </c>
      <c r="B4" s="1170"/>
      <c r="C4" s="1170"/>
      <c r="D4" s="1170"/>
      <c r="E4" s="1170"/>
      <c r="F4" s="1170"/>
      <c r="G4" s="1170"/>
      <c r="H4" s="1170"/>
    </row>
    <row r="5" spans="1:8" x14ac:dyDescent="0.35">
      <c r="A5" s="686" t="s">
        <v>723</v>
      </c>
    </row>
    <row r="6" spans="1:8" x14ac:dyDescent="0.35">
      <c r="A6" s="686" t="s">
        <v>667</v>
      </c>
    </row>
  </sheetData>
  <sheetProtection algorithmName="SHA-512" hashValue="5odnvHMZVR0ooQg4SC7x1CJTBpbgGQD6iUcNFVZbPpHR5+hK5/16G2nlBnCPwzNePb+kCfam4FYTk79FrjCk2Q==" saltValue="Bh9/vwf4/Eq7nPO0M2Nl0Q=="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609"/>
      <c r="C2" s="609"/>
    </row>
    <row r="4" spans="1:8" ht="15.5" x14ac:dyDescent="0.35">
      <c r="A4" s="1170" t="s">
        <v>555</v>
      </c>
      <c r="B4" s="1170"/>
      <c r="C4" s="1170"/>
      <c r="D4" s="1170"/>
      <c r="E4" s="1170"/>
      <c r="F4" s="1170"/>
      <c r="G4" s="1170"/>
      <c r="H4" s="1170"/>
    </row>
    <row r="5" spans="1:8" x14ac:dyDescent="0.35">
      <c r="A5" s="686" t="s">
        <v>723</v>
      </c>
    </row>
    <row r="6" spans="1:8" x14ac:dyDescent="0.35">
      <c r="A6" s="686" t="s">
        <v>669</v>
      </c>
    </row>
  </sheetData>
  <sheetProtection algorithmName="SHA-512" hashValue="PvISazKbSOu/azw1HSVwhEWzAsTQXm5wypZ6bLEbz7ny0LROyhtq3hNjlUuxRt0cQg5IlF634GShrzPE+TSwPA==" saltValue="0Sp/nYWuHs8rkDQB0D3vxQ=="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ColWidth="9.1796875" defaultRowHeight="14.5" x14ac:dyDescent="0.35"/>
  <cols>
    <col min="1" max="16384" width="9.1796875" style="302"/>
  </cols>
  <sheetData>
    <row r="1" spans="1:8" ht="15.5" x14ac:dyDescent="0.35">
      <c r="A1" s="629" t="s">
        <v>554</v>
      </c>
      <c r="B1" s="629"/>
      <c r="C1" s="629"/>
    </row>
    <row r="2" spans="1:8" ht="15.5" x14ac:dyDescent="0.35">
      <c r="A2" s="735" t="s">
        <v>509</v>
      </c>
      <c r="B2" s="742"/>
      <c r="C2" s="742"/>
    </row>
    <row r="4" spans="1:8" ht="15.5" x14ac:dyDescent="0.35">
      <c r="A4" s="1178" t="s">
        <v>784</v>
      </c>
      <c r="B4" s="1178"/>
      <c r="C4" s="1178"/>
      <c r="D4" s="1178"/>
      <c r="E4" s="1178"/>
      <c r="F4" s="1178"/>
      <c r="G4" s="1178"/>
      <c r="H4" s="1178"/>
    </row>
    <row r="5" spans="1:8" x14ac:dyDescent="0.35">
      <c r="A5" s="746" t="s">
        <v>723</v>
      </c>
    </row>
    <row r="6" spans="1:8" x14ac:dyDescent="0.35">
      <c r="A6" s="746" t="s">
        <v>927</v>
      </c>
    </row>
  </sheetData>
  <sheetProtection algorithmName="SHA-512" hashValue="NL5N7NDxdMoIu9eRUJ0ERvGJyPcEsgPo0hGa8cP5AuGchW/8l2F0L+VEZg9Ji5yzQs03RgdOQxsQaRJlqdH8zw==" saltValue="oZ/zEHp5e7l0husyuBKrcw=="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7"/>
  <sheetViews>
    <sheetView showGridLines="0" workbookViewId="0"/>
  </sheetViews>
  <sheetFormatPr defaultColWidth="9.1796875" defaultRowHeight="14.5" x14ac:dyDescent="0.35"/>
  <cols>
    <col min="1" max="16384" width="9.1796875" style="302"/>
  </cols>
  <sheetData>
    <row r="1" spans="1:8" ht="15.5" x14ac:dyDescent="0.35">
      <c r="A1" s="629" t="s">
        <v>554</v>
      </c>
      <c r="B1" s="629"/>
      <c r="C1" s="629"/>
    </row>
    <row r="2" spans="1:8" ht="15.5" x14ac:dyDescent="0.35">
      <c r="A2" s="735" t="s">
        <v>509</v>
      </c>
      <c r="B2" s="742"/>
      <c r="C2" s="742"/>
    </row>
    <row r="4" spans="1:8" ht="15.75" customHeight="1" x14ac:dyDescent="0.35">
      <c r="A4" s="536" t="s">
        <v>928</v>
      </c>
      <c r="B4" s="536"/>
      <c r="C4" s="536"/>
      <c r="D4" s="536"/>
      <c r="E4" s="536"/>
      <c r="F4" s="536"/>
      <c r="G4" s="536"/>
      <c r="H4" s="536"/>
    </row>
    <row r="5" spans="1:8" x14ac:dyDescent="0.35">
      <c r="A5" s="746" t="s">
        <v>723</v>
      </c>
    </row>
    <row r="6" spans="1:8" x14ac:dyDescent="0.35">
      <c r="A6" s="746" t="s">
        <v>930</v>
      </c>
    </row>
    <row r="7" spans="1:8" x14ac:dyDescent="0.35">
      <c r="A7" s="746"/>
    </row>
  </sheetData>
  <sheetProtection algorithmName="SHA-512" hashValue="PPrOgT03FZDP3utphAw3gNXeRe9/WE+kRAdNtOBVpkxPrRUZQBPsF5vm+NIux1ponmsYZQdhJNOZPUx9Gp5YVQ==" saltValue="gGHPOJ3kfRaBOHkgMMkVQQ=="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48"/>
  <sheetViews>
    <sheetView showGridLines="0" workbookViewId="0">
      <pane ySplit="2" topLeftCell="A3" activePane="bottomLeft" state="frozen"/>
      <selection pane="bottomLeft" sqref="A1:C1"/>
    </sheetView>
  </sheetViews>
  <sheetFormatPr defaultRowHeight="14.5" x14ac:dyDescent="0.35"/>
  <cols>
    <col min="1" max="1" width="18.54296875" customWidth="1"/>
    <col min="2" max="2" width="23.1796875" customWidth="1"/>
    <col min="3" max="9" width="14" customWidth="1"/>
  </cols>
  <sheetData>
    <row r="1" spans="1:9" ht="15.5" x14ac:dyDescent="0.35">
      <c r="A1" s="1160" t="s">
        <v>521</v>
      </c>
      <c r="B1" s="1160"/>
      <c r="C1" s="1160"/>
    </row>
    <row r="2" spans="1:9" ht="15.5" x14ac:dyDescent="0.35">
      <c r="A2" s="601" t="s">
        <v>509</v>
      </c>
      <c r="B2" s="603"/>
      <c r="C2" s="603"/>
    </row>
    <row r="3" spans="1:9" ht="15.5" x14ac:dyDescent="0.35">
      <c r="D3" s="209"/>
      <c r="E3" s="209"/>
      <c r="F3" s="209"/>
    </row>
    <row r="4" spans="1:9" ht="15.5" x14ac:dyDescent="0.35">
      <c r="A4" s="1161" t="s">
        <v>522</v>
      </c>
      <c r="B4" s="1161"/>
      <c r="C4" s="1161"/>
      <c r="D4" s="1161"/>
      <c r="E4" s="1161"/>
      <c r="F4" s="1161"/>
    </row>
    <row r="5" spans="1:9" ht="15.5" x14ac:dyDescent="0.35">
      <c r="A5" t="s">
        <v>320</v>
      </c>
      <c r="B5" t="s">
        <v>639</v>
      </c>
      <c r="C5" s="606"/>
      <c r="D5" s="606"/>
      <c r="E5" s="606"/>
      <c r="F5" s="606"/>
    </row>
    <row r="6" spans="1:9" ht="15.5" x14ac:dyDescent="0.35">
      <c r="A6" t="s">
        <v>321</v>
      </c>
      <c r="B6" t="s">
        <v>323</v>
      </c>
      <c r="C6" s="606"/>
      <c r="D6" s="606"/>
      <c r="E6" s="606"/>
      <c r="F6" s="606"/>
    </row>
    <row r="7" spans="1:9" ht="15.5" x14ac:dyDescent="0.35">
      <c r="A7" t="s">
        <v>322</v>
      </c>
      <c r="B7" t="s">
        <v>324</v>
      </c>
      <c r="C7" s="606"/>
      <c r="D7" s="606"/>
      <c r="E7" s="606"/>
      <c r="F7" s="606"/>
    </row>
    <row r="8" spans="1:9" ht="15.5" x14ac:dyDescent="0.35">
      <c r="C8" s="710"/>
      <c r="D8" s="710"/>
      <c r="E8" s="710"/>
      <c r="F8" s="710"/>
    </row>
    <row r="9" spans="1:9" ht="15.5" x14ac:dyDescent="0.35">
      <c r="A9" s="606"/>
      <c r="B9" s="606"/>
      <c r="C9" s="606"/>
      <c r="D9" s="606"/>
      <c r="F9" s="606"/>
    </row>
    <row r="10" spans="1:9" ht="15.5" x14ac:dyDescent="0.35">
      <c r="A10" s="203" t="s">
        <v>1</v>
      </c>
      <c r="B10" s="920" t="str">
        <f>PrimaryCrewingAreaPivot!B1</f>
        <v>2020-21</v>
      </c>
      <c r="C10" s="214"/>
      <c r="D10" s="214"/>
      <c r="E10" s="214"/>
      <c r="F10" s="445" t="s">
        <v>6</v>
      </c>
      <c r="G10" s="214"/>
      <c r="H10" s="214"/>
      <c r="I10" s="624" t="s">
        <v>7</v>
      </c>
    </row>
    <row r="11" spans="1:9" s="563" customFormat="1" ht="26.5" x14ac:dyDescent="0.35">
      <c r="A11" s="622" t="s">
        <v>449</v>
      </c>
      <c r="B11" s="622" t="s">
        <v>30</v>
      </c>
      <c r="C11" s="225" t="s">
        <v>112</v>
      </c>
      <c r="D11" s="225" t="s">
        <v>28</v>
      </c>
      <c r="E11" s="225" t="s">
        <v>29</v>
      </c>
      <c r="F11" s="623" t="s">
        <v>26</v>
      </c>
      <c r="G11" s="625" t="s">
        <v>112</v>
      </c>
      <c r="H11" s="623" t="s">
        <v>28</v>
      </c>
      <c r="I11" s="623" t="s">
        <v>29</v>
      </c>
    </row>
    <row r="12" spans="1:9" ht="18" customHeight="1" x14ac:dyDescent="0.35">
      <c r="A12" s="469" t="s">
        <v>286</v>
      </c>
      <c r="B12" s="470" t="s">
        <v>31</v>
      </c>
      <c r="C12" s="58">
        <f>PrimaryCrewingAreaPivot!B4</f>
        <v>3</v>
      </c>
      <c r="D12" s="58">
        <f>PrimaryCrewingAreaPivot!C4</f>
        <v>1</v>
      </c>
      <c r="E12" s="58">
        <f>PrimaryCrewingAreaPivot!D4</f>
        <v>0</v>
      </c>
      <c r="F12" s="216">
        <f t="shared" ref="F12:F43" si="0">SUM(C12:E12)</f>
        <v>4</v>
      </c>
      <c r="G12" s="626">
        <f t="shared" ref="G12:G44" si="1">C12/$F12</f>
        <v>0.75</v>
      </c>
      <c r="H12" s="314">
        <f t="shared" ref="H12:H44" si="2">D12/$F12</f>
        <v>0.25</v>
      </c>
      <c r="I12" s="314">
        <f t="shared" ref="I12:I44" si="3">E12/$F12</f>
        <v>0</v>
      </c>
    </row>
    <row r="13" spans="1:9" x14ac:dyDescent="0.35">
      <c r="A13" s="103" t="s">
        <v>287</v>
      </c>
      <c r="B13" s="61" t="s">
        <v>32</v>
      </c>
      <c r="C13" s="58">
        <f>PrimaryCrewingAreaPivot!B5</f>
        <v>1</v>
      </c>
      <c r="D13" s="58">
        <f>PrimaryCrewingAreaPivot!C5</f>
        <v>23</v>
      </c>
      <c r="E13" s="58">
        <f>PrimaryCrewingAreaPivot!D5</f>
        <v>0</v>
      </c>
      <c r="F13" s="102">
        <f t="shared" si="0"/>
        <v>24</v>
      </c>
      <c r="G13" s="626">
        <f t="shared" si="1"/>
        <v>4.1666666666666664E-2</v>
      </c>
      <c r="H13" s="314">
        <f t="shared" si="2"/>
        <v>0.95833333333333337</v>
      </c>
      <c r="I13" s="314">
        <f t="shared" si="3"/>
        <v>0</v>
      </c>
    </row>
    <row r="14" spans="1:9" x14ac:dyDescent="0.35">
      <c r="A14" s="103" t="s">
        <v>293</v>
      </c>
      <c r="B14" s="61" t="s">
        <v>33</v>
      </c>
      <c r="C14" s="58">
        <f>PrimaryCrewingAreaPivot!B6</f>
        <v>1</v>
      </c>
      <c r="D14" s="58">
        <f>PrimaryCrewingAreaPivot!C6</f>
        <v>5</v>
      </c>
      <c r="E14" s="58">
        <f>PrimaryCrewingAreaPivot!D6</f>
        <v>0</v>
      </c>
      <c r="F14" s="102">
        <f t="shared" si="0"/>
        <v>6</v>
      </c>
      <c r="G14" s="626">
        <f t="shared" si="1"/>
        <v>0.16666666666666666</v>
      </c>
      <c r="H14" s="314">
        <f t="shared" si="2"/>
        <v>0.83333333333333337</v>
      </c>
      <c r="I14" s="314">
        <f t="shared" si="3"/>
        <v>0</v>
      </c>
    </row>
    <row r="15" spans="1:9" x14ac:dyDescent="0.35">
      <c r="A15" s="103" t="s">
        <v>288</v>
      </c>
      <c r="B15" s="61" t="s">
        <v>34</v>
      </c>
      <c r="C15" s="58">
        <f>PrimaryCrewingAreaPivot!B7</f>
        <v>2</v>
      </c>
      <c r="D15" s="58">
        <f>PrimaryCrewingAreaPivot!C7</f>
        <v>12</v>
      </c>
      <c r="E15" s="58">
        <f>PrimaryCrewingAreaPivot!D7</f>
        <v>25</v>
      </c>
      <c r="F15" s="102">
        <f t="shared" si="0"/>
        <v>39</v>
      </c>
      <c r="G15" s="626">
        <f t="shared" si="1"/>
        <v>5.128205128205128E-2</v>
      </c>
      <c r="H15" s="314">
        <f t="shared" si="2"/>
        <v>0.30769230769230771</v>
      </c>
      <c r="I15" s="314">
        <f t="shared" si="3"/>
        <v>0.64102564102564108</v>
      </c>
    </row>
    <row r="16" spans="1:9" x14ac:dyDescent="0.35">
      <c r="A16" s="103" t="s">
        <v>289</v>
      </c>
      <c r="B16" s="61" t="s">
        <v>245</v>
      </c>
      <c r="C16" s="58">
        <f>PrimaryCrewingAreaPivot!B8</f>
        <v>7</v>
      </c>
      <c r="D16" s="58">
        <f>PrimaryCrewingAreaPivot!C8</f>
        <v>1</v>
      </c>
      <c r="E16" s="58">
        <f>PrimaryCrewingAreaPivot!D8</f>
        <v>0</v>
      </c>
      <c r="F16" s="102">
        <f t="shared" si="0"/>
        <v>8</v>
      </c>
      <c r="G16" s="626">
        <f t="shared" si="1"/>
        <v>0.875</v>
      </c>
      <c r="H16" s="314">
        <f t="shared" si="2"/>
        <v>0.125</v>
      </c>
      <c r="I16" s="314">
        <f t="shared" si="3"/>
        <v>0</v>
      </c>
    </row>
    <row r="17" spans="1:9" x14ac:dyDescent="0.35">
      <c r="A17" s="103" t="s">
        <v>267</v>
      </c>
      <c r="B17" s="61" t="s">
        <v>35</v>
      </c>
      <c r="C17" s="58">
        <f>PrimaryCrewingAreaPivot!B9</f>
        <v>1</v>
      </c>
      <c r="D17" s="58">
        <f>PrimaryCrewingAreaPivot!C9</f>
        <v>1</v>
      </c>
      <c r="E17" s="58">
        <f>PrimaryCrewingAreaPivot!D9</f>
        <v>0</v>
      </c>
      <c r="F17" s="102">
        <f t="shared" si="0"/>
        <v>2</v>
      </c>
      <c r="G17" s="626">
        <f t="shared" si="1"/>
        <v>0.5</v>
      </c>
      <c r="H17" s="314">
        <f t="shared" si="2"/>
        <v>0.5</v>
      </c>
      <c r="I17" s="314">
        <f t="shared" si="3"/>
        <v>0</v>
      </c>
    </row>
    <row r="18" spans="1:9" x14ac:dyDescent="0.35">
      <c r="A18" s="103" t="s">
        <v>268</v>
      </c>
      <c r="B18" s="61" t="s">
        <v>36</v>
      </c>
      <c r="C18" s="58">
        <f>PrimaryCrewingAreaPivot!B10</f>
        <v>1</v>
      </c>
      <c r="D18" s="58">
        <f>PrimaryCrewingAreaPivot!C10</f>
        <v>15</v>
      </c>
      <c r="E18" s="58">
        <f>PrimaryCrewingAreaPivot!D10</f>
        <v>1</v>
      </c>
      <c r="F18" s="102">
        <f t="shared" si="0"/>
        <v>17</v>
      </c>
      <c r="G18" s="626">
        <f t="shared" si="1"/>
        <v>5.8823529411764705E-2</v>
      </c>
      <c r="H18" s="314">
        <f t="shared" si="2"/>
        <v>0.88235294117647056</v>
      </c>
      <c r="I18" s="314">
        <f t="shared" si="3"/>
        <v>5.8823529411764705E-2</v>
      </c>
    </row>
    <row r="19" spans="1:9" x14ac:dyDescent="0.35">
      <c r="A19" s="103" t="s">
        <v>294</v>
      </c>
      <c r="B19" s="61" t="s">
        <v>37</v>
      </c>
      <c r="C19" s="58">
        <f>PrimaryCrewingAreaPivot!B11</f>
        <v>4</v>
      </c>
      <c r="D19" s="58">
        <f>PrimaryCrewingAreaPivot!C11</f>
        <v>0</v>
      </c>
      <c r="E19" s="58">
        <f>PrimaryCrewingAreaPivot!D11</f>
        <v>0</v>
      </c>
      <c r="F19" s="102">
        <f t="shared" si="0"/>
        <v>4</v>
      </c>
      <c r="G19" s="626">
        <f t="shared" si="1"/>
        <v>1</v>
      </c>
      <c r="H19" s="314">
        <f t="shared" si="2"/>
        <v>0</v>
      </c>
      <c r="I19" s="314">
        <f t="shared" si="3"/>
        <v>0</v>
      </c>
    </row>
    <row r="20" spans="1:9" x14ac:dyDescent="0.35">
      <c r="A20" s="103" t="s">
        <v>269</v>
      </c>
      <c r="B20" s="61" t="s">
        <v>38</v>
      </c>
      <c r="C20" s="58">
        <f>PrimaryCrewingAreaPivot!B12</f>
        <v>1</v>
      </c>
      <c r="D20" s="58">
        <f>PrimaryCrewingAreaPivot!C12</f>
        <v>7</v>
      </c>
      <c r="E20" s="58">
        <f>PrimaryCrewingAreaPivot!D12</f>
        <v>0</v>
      </c>
      <c r="F20" s="102">
        <f t="shared" si="0"/>
        <v>8</v>
      </c>
      <c r="G20" s="626">
        <f t="shared" si="1"/>
        <v>0.125</v>
      </c>
      <c r="H20" s="314">
        <f t="shared" si="2"/>
        <v>0.875</v>
      </c>
      <c r="I20" s="314">
        <f t="shared" si="3"/>
        <v>0</v>
      </c>
    </row>
    <row r="21" spans="1:9" x14ac:dyDescent="0.35">
      <c r="A21" s="103" t="s">
        <v>296</v>
      </c>
      <c r="B21" s="61" t="s">
        <v>39</v>
      </c>
      <c r="C21" s="58">
        <f>PrimaryCrewingAreaPivot!B13</f>
        <v>3</v>
      </c>
      <c r="D21" s="58">
        <f>PrimaryCrewingAreaPivot!C13</f>
        <v>0</v>
      </c>
      <c r="E21" s="58">
        <f>PrimaryCrewingAreaPivot!D13</f>
        <v>0</v>
      </c>
      <c r="F21" s="102">
        <f t="shared" si="0"/>
        <v>3</v>
      </c>
      <c r="G21" s="626">
        <f t="shared" si="1"/>
        <v>1</v>
      </c>
      <c r="H21" s="314">
        <f t="shared" si="2"/>
        <v>0</v>
      </c>
      <c r="I21" s="314">
        <f t="shared" si="3"/>
        <v>0</v>
      </c>
    </row>
    <row r="22" spans="1:9" x14ac:dyDescent="0.35">
      <c r="A22" s="103" t="s">
        <v>270</v>
      </c>
      <c r="B22" s="61" t="s">
        <v>40</v>
      </c>
      <c r="C22" s="58">
        <f>PrimaryCrewingAreaPivot!B14</f>
        <v>1</v>
      </c>
      <c r="D22" s="58">
        <f>PrimaryCrewingAreaPivot!C14</f>
        <v>5</v>
      </c>
      <c r="E22" s="58">
        <f>PrimaryCrewingAreaPivot!D14</f>
        <v>0</v>
      </c>
      <c r="F22" s="102">
        <f t="shared" si="0"/>
        <v>6</v>
      </c>
      <c r="G22" s="626">
        <f t="shared" si="1"/>
        <v>0.16666666666666666</v>
      </c>
      <c r="H22" s="314">
        <f t="shared" si="2"/>
        <v>0.83333333333333337</v>
      </c>
      <c r="I22" s="314">
        <f t="shared" si="3"/>
        <v>0</v>
      </c>
    </row>
    <row r="23" spans="1:9" x14ac:dyDescent="0.35">
      <c r="A23" s="103" t="s">
        <v>271</v>
      </c>
      <c r="B23" s="61" t="s">
        <v>41</v>
      </c>
      <c r="C23" s="58">
        <f>PrimaryCrewingAreaPivot!B15</f>
        <v>2</v>
      </c>
      <c r="D23" s="58">
        <f>PrimaryCrewingAreaPivot!C15</f>
        <v>0</v>
      </c>
      <c r="E23" s="58">
        <f>PrimaryCrewingAreaPivot!D15</f>
        <v>0</v>
      </c>
      <c r="F23" s="102">
        <f t="shared" si="0"/>
        <v>2</v>
      </c>
      <c r="G23" s="626">
        <f t="shared" si="1"/>
        <v>1</v>
      </c>
      <c r="H23" s="314">
        <f t="shared" si="2"/>
        <v>0</v>
      </c>
      <c r="I23" s="314">
        <f t="shared" si="3"/>
        <v>0</v>
      </c>
    </row>
    <row r="24" spans="1:9" x14ac:dyDescent="0.35">
      <c r="A24" s="103" t="s">
        <v>273</v>
      </c>
      <c r="B24" s="61" t="s">
        <v>42</v>
      </c>
      <c r="C24" s="58">
        <f>PrimaryCrewingAreaPivot!B16</f>
        <v>3</v>
      </c>
      <c r="D24" s="58">
        <f>PrimaryCrewingAreaPivot!C16</f>
        <v>2</v>
      </c>
      <c r="E24" s="58">
        <f>PrimaryCrewingAreaPivot!D16</f>
        <v>0</v>
      </c>
      <c r="F24" s="102">
        <f t="shared" si="0"/>
        <v>5</v>
      </c>
      <c r="G24" s="626">
        <f t="shared" si="1"/>
        <v>0.6</v>
      </c>
      <c r="H24" s="314">
        <f t="shared" si="2"/>
        <v>0.4</v>
      </c>
      <c r="I24" s="314">
        <f t="shared" si="3"/>
        <v>0</v>
      </c>
    </row>
    <row r="25" spans="1:9" x14ac:dyDescent="0.35">
      <c r="A25" s="103" t="s">
        <v>298</v>
      </c>
      <c r="B25" s="61" t="s">
        <v>43</v>
      </c>
      <c r="C25" s="58">
        <f>PrimaryCrewingAreaPivot!B17</f>
        <v>5</v>
      </c>
      <c r="D25" s="58">
        <f>PrimaryCrewingAreaPivot!C17</f>
        <v>8</v>
      </c>
      <c r="E25" s="58">
        <f>PrimaryCrewingAreaPivot!D17</f>
        <v>0</v>
      </c>
      <c r="F25" s="102">
        <f t="shared" si="0"/>
        <v>13</v>
      </c>
      <c r="G25" s="626">
        <f t="shared" si="1"/>
        <v>0.38461538461538464</v>
      </c>
      <c r="H25" s="314">
        <f t="shared" si="2"/>
        <v>0.61538461538461542</v>
      </c>
      <c r="I25" s="314">
        <f t="shared" si="3"/>
        <v>0</v>
      </c>
    </row>
    <row r="26" spans="1:9" x14ac:dyDescent="0.35">
      <c r="A26" s="103" t="str">
        <f>IF(A10 = "2019-20","S12000049","S12000046")</f>
        <v>S12000046</v>
      </c>
      <c r="B26" s="61" t="s">
        <v>114</v>
      </c>
      <c r="C26" s="58">
        <f>PrimaryCrewingAreaPivot!B18</f>
        <v>11</v>
      </c>
      <c r="D26" s="58">
        <f>PrimaryCrewingAreaPivot!C18</f>
        <v>0</v>
      </c>
      <c r="E26" s="58">
        <f>PrimaryCrewingAreaPivot!D18</f>
        <v>0</v>
      </c>
      <c r="F26" s="102">
        <f t="shared" si="0"/>
        <v>11</v>
      </c>
      <c r="G26" s="626">
        <f t="shared" si="1"/>
        <v>1</v>
      </c>
      <c r="H26" s="314">
        <f t="shared" si="2"/>
        <v>0</v>
      </c>
      <c r="I26" s="314">
        <f t="shared" si="3"/>
        <v>0</v>
      </c>
    </row>
    <row r="27" spans="1:9" x14ac:dyDescent="0.35">
      <c r="A27" s="103" t="s">
        <v>274</v>
      </c>
      <c r="B27" s="61" t="s">
        <v>44</v>
      </c>
      <c r="C27" s="58">
        <f>PrimaryCrewingAreaPivot!B19</f>
        <v>1</v>
      </c>
      <c r="D27" s="58">
        <f>PrimaryCrewingAreaPivot!C19</f>
        <v>51</v>
      </c>
      <c r="E27" s="58">
        <f>PrimaryCrewingAreaPivot!D19</f>
        <v>9</v>
      </c>
      <c r="F27" s="102">
        <f t="shared" si="0"/>
        <v>61</v>
      </c>
      <c r="G27" s="626">
        <f t="shared" si="1"/>
        <v>1.6393442622950821E-2</v>
      </c>
      <c r="H27" s="314">
        <f t="shared" si="2"/>
        <v>0.83606557377049184</v>
      </c>
      <c r="I27" s="314">
        <f t="shared" si="3"/>
        <v>0.14754098360655737</v>
      </c>
    </row>
    <row r="28" spans="1:9" x14ac:dyDescent="0.35">
      <c r="A28" s="103" t="s">
        <v>275</v>
      </c>
      <c r="B28" s="61" t="s">
        <v>45</v>
      </c>
      <c r="C28" s="58">
        <f>PrimaryCrewingAreaPivot!B20</f>
        <v>2</v>
      </c>
      <c r="D28" s="58">
        <f>PrimaryCrewingAreaPivot!C20</f>
        <v>1</v>
      </c>
      <c r="E28" s="58">
        <f>PrimaryCrewingAreaPivot!D20</f>
        <v>0</v>
      </c>
      <c r="F28" s="102">
        <f t="shared" si="0"/>
        <v>3</v>
      </c>
      <c r="G28" s="626">
        <f t="shared" si="1"/>
        <v>0.66666666666666663</v>
      </c>
      <c r="H28" s="314">
        <f t="shared" si="2"/>
        <v>0.33333333333333331</v>
      </c>
      <c r="I28" s="314">
        <f t="shared" si="3"/>
        <v>0</v>
      </c>
    </row>
    <row r="29" spans="1:9" x14ac:dyDescent="0.35">
      <c r="A29" s="103" t="s">
        <v>276</v>
      </c>
      <c r="B29" s="61" t="s">
        <v>46</v>
      </c>
      <c r="C29" s="58">
        <f>PrimaryCrewingAreaPivot!B21</f>
        <v>1</v>
      </c>
      <c r="D29" s="58">
        <f>PrimaryCrewingAreaPivot!C21</f>
        <v>1</v>
      </c>
      <c r="E29" s="58">
        <f>PrimaryCrewingAreaPivot!D21</f>
        <v>0</v>
      </c>
      <c r="F29" s="102">
        <f t="shared" si="0"/>
        <v>2</v>
      </c>
      <c r="G29" s="626">
        <f t="shared" si="1"/>
        <v>0.5</v>
      </c>
      <c r="H29" s="314">
        <f t="shared" si="2"/>
        <v>0.5</v>
      </c>
      <c r="I29" s="314">
        <f t="shared" si="3"/>
        <v>0</v>
      </c>
    </row>
    <row r="30" spans="1:9" x14ac:dyDescent="0.35">
      <c r="A30" s="103" t="s">
        <v>277</v>
      </c>
      <c r="B30" s="61" t="s">
        <v>47</v>
      </c>
      <c r="C30" s="58">
        <f>PrimaryCrewingAreaPivot!B22</f>
        <v>1</v>
      </c>
      <c r="D30" s="58">
        <f>PrimaryCrewingAreaPivot!C22</f>
        <v>10</v>
      </c>
      <c r="E30" s="58">
        <f>PrimaryCrewingAreaPivot!D22</f>
        <v>1</v>
      </c>
      <c r="F30" s="102">
        <f t="shared" si="0"/>
        <v>12</v>
      </c>
      <c r="G30" s="626">
        <f t="shared" si="1"/>
        <v>8.3333333333333329E-2</v>
      </c>
      <c r="H30" s="314">
        <f t="shared" si="2"/>
        <v>0.83333333333333337</v>
      </c>
      <c r="I30" s="314">
        <f t="shared" si="3"/>
        <v>8.3333333333333329E-2</v>
      </c>
    </row>
    <row r="31" spans="1:9" x14ac:dyDescent="0.35">
      <c r="A31" s="103" t="s">
        <v>272</v>
      </c>
      <c r="B31" s="61" t="s">
        <v>48</v>
      </c>
      <c r="C31" s="58">
        <f>PrimaryCrewingAreaPivot!B23</f>
        <v>0</v>
      </c>
      <c r="D31" s="58">
        <f>PrimaryCrewingAreaPivot!C23</f>
        <v>14</v>
      </c>
      <c r="E31" s="58">
        <f>PrimaryCrewingAreaPivot!D23</f>
        <v>0</v>
      </c>
      <c r="F31" s="102">
        <f t="shared" si="0"/>
        <v>14</v>
      </c>
      <c r="G31" s="626">
        <f t="shared" si="1"/>
        <v>0</v>
      </c>
      <c r="H31" s="314">
        <f t="shared" si="2"/>
        <v>1</v>
      </c>
      <c r="I31" s="314">
        <f t="shared" si="3"/>
        <v>0</v>
      </c>
    </row>
    <row r="32" spans="1:9" x14ac:dyDescent="0.35">
      <c r="A32" s="103" t="s">
        <v>278</v>
      </c>
      <c r="B32" s="61" t="s">
        <v>49</v>
      </c>
      <c r="C32" s="58">
        <f>PrimaryCrewingAreaPivot!B24</f>
        <v>3</v>
      </c>
      <c r="D32" s="58">
        <f>PrimaryCrewingAreaPivot!C24</f>
        <v>8</v>
      </c>
      <c r="E32" s="58">
        <f>PrimaryCrewingAreaPivot!D24</f>
        <v>3</v>
      </c>
      <c r="F32" s="102">
        <f t="shared" si="0"/>
        <v>14</v>
      </c>
      <c r="G32" s="626">
        <f t="shared" si="1"/>
        <v>0.21428571428571427</v>
      </c>
      <c r="H32" s="314">
        <f t="shared" si="2"/>
        <v>0.5714285714285714</v>
      </c>
      <c r="I32" s="314">
        <f t="shared" si="3"/>
        <v>0.21428571428571427</v>
      </c>
    </row>
    <row r="33" spans="1:9" x14ac:dyDescent="0.35">
      <c r="A33" s="103" t="str">
        <f>IF(A10="2019-20","S12000040","S12000044")</f>
        <v>S12000044</v>
      </c>
      <c r="B33" s="61" t="s">
        <v>50</v>
      </c>
      <c r="C33" s="58">
        <f>PrimaryCrewingAreaPivot!B25</f>
        <v>4</v>
      </c>
      <c r="D33" s="58">
        <f>PrimaryCrewingAreaPivot!C25</f>
        <v>3</v>
      </c>
      <c r="E33" s="58">
        <f>PrimaryCrewingAreaPivot!D25</f>
        <v>0</v>
      </c>
      <c r="F33" s="102">
        <f t="shared" si="0"/>
        <v>7</v>
      </c>
      <c r="G33" s="626">
        <f t="shared" si="1"/>
        <v>0.5714285714285714</v>
      </c>
      <c r="H33" s="314">
        <f t="shared" si="2"/>
        <v>0.42857142857142855</v>
      </c>
      <c r="I33" s="314">
        <f t="shared" si="3"/>
        <v>0</v>
      </c>
    </row>
    <row r="34" spans="1:9" x14ac:dyDescent="0.35">
      <c r="A34" s="103" t="s">
        <v>279</v>
      </c>
      <c r="B34" s="61" t="s">
        <v>51</v>
      </c>
      <c r="C34" s="58">
        <f>PrimaryCrewingAreaPivot!B26</f>
        <v>0</v>
      </c>
      <c r="D34" s="58">
        <f>PrimaryCrewingAreaPivot!C26</f>
        <v>12</v>
      </c>
      <c r="E34" s="58">
        <f>PrimaryCrewingAreaPivot!D26</f>
        <v>0</v>
      </c>
      <c r="F34" s="102">
        <f t="shared" si="0"/>
        <v>12</v>
      </c>
      <c r="G34" s="626">
        <f t="shared" si="1"/>
        <v>0</v>
      </c>
      <c r="H34" s="314">
        <f t="shared" si="2"/>
        <v>1</v>
      </c>
      <c r="I34" s="314">
        <f t="shared" si="3"/>
        <v>0</v>
      </c>
    </row>
    <row r="35" spans="1:9" x14ac:dyDescent="0.35">
      <c r="A35" s="103" t="s">
        <v>280</v>
      </c>
      <c r="B35" s="61" t="s">
        <v>52</v>
      </c>
      <c r="C35" s="58">
        <f>PrimaryCrewingAreaPivot!B27</f>
        <v>1</v>
      </c>
      <c r="D35" s="58">
        <f>PrimaryCrewingAreaPivot!C27</f>
        <v>10</v>
      </c>
      <c r="E35" s="58">
        <f>PrimaryCrewingAreaPivot!D27</f>
        <v>3</v>
      </c>
      <c r="F35" s="102">
        <f t="shared" si="0"/>
        <v>14</v>
      </c>
      <c r="G35" s="626">
        <f t="shared" si="1"/>
        <v>7.1428571428571425E-2</v>
      </c>
      <c r="H35" s="314">
        <f t="shared" si="2"/>
        <v>0.7142857142857143</v>
      </c>
      <c r="I35" s="314">
        <f t="shared" si="3"/>
        <v>0.21428571428571427</v>
      </c>
    </row>
    <row r="36" spans="1:9" x14ac:dyDescent="0.35">
      <c r="A36" s="103" t="s">
        <v>290</v>
      </c>
      <c r="B36" s="61" t="s">
        <v>53</v>
      </c>
      <c r="C36" s="58">
        <f>PrimaryCrewingAreaPivot!B28</f>
        <v>3</v>
      </c>
      <c r="D36" s="58">
        <f>PrimaryCrewingAreaPivot!C28</f>
        <v>0</v>
      </c>
      <c r="E36" s="58">
        <f>PrimaryCrewingAreaPivot!D28</f>
        <v>0</v>
      </c>
      <c r="F36" s="102">
        <f t="shared" si="0"/>
        <v>3</v>
      </c>
      <c r="G36" s="626">
        <f t="shared" si="1"/>
        <v>1</v>
      </c>
      <c r="H36" s="314">
        <f t="shared" si="2"/>
        <v>0</v>
      </c>
      <c r="I36" s="314">
        <f t="shared" si="3"/>
        <v>0</v>
      </c>
    </row>
    <row r="37" spans="1:9" x14ac:dyDescent="0.35">
      <c r="A37" s="103" t="s">
        <v>281</v>
      </c>
      <c r="B37" s="61" t="s">
        <v>54</v>
      </c>
      <c r="C37" s="58">
        <f>PrimaryCrewingAreaPivot!B29</f>
        <v>2</v>
      </c>
      <c r="D37" s="58">
        <f>PrimaryCrewingAreaPivot!C29</f>
        <v>11</v>
      </c>
      <c r="E37" s="58">
        <f>PrimaryCrewingAreaPivot!D29</f>
        <v>0</v>
      </c>
      <c r="F37" s="102">
        <f t="shared" si="0"/>
        <v>13</v>
      </c>
      <c r="G37" s="626">
        <f t="shared" si="1"/>
        <v>0.15384615384615385</v>
      </c>
      <c r="H37" s="314">
        <f t="shared" si="2"/>
        <v>0.84615384615384615</v>
      </c>
      <c r="I37" s="314">
        <f t="shared" si="3"/>
        <v>0</v>
      </c>
    </row>
    <row r="38" spans="1:9" x14ac:dyDescent="0.35">
      <c r="A38" s="103" t="s">
        <v>282</v>
      </c>
      <c r="B38" s="61" t="s">
        <v>55</v>
      </c>
      <c r="C38" s="58">
        <f>PrimaryCrewingAreaPivot!B30</f>
        <v>0</v>
      </c>
      <c r="D38" s="58">
        <f>PrimaryCrewingAreaPivot!C30</f>
        <v>14</v>
      </c>
      <c r="E38" s="58">
        <f>PrimaryCrewingAreaPivot!D30</f>
        <v>0</v>
      </c>
      <c r="F38" s="102">
        <f t="shared" si="0"/>
        <v>14</v>
      </c>
      <c r="G38" s="626">
        <f t="shared" si="1"/>
        <v>0</v>
      </c>
      <c r="H38" s="314">
        <f t="shared" si="2"/>
        <v>1</v>
      </c>
      <c r="I38" s="314">
        <f t="shared" si="3"/>
        <v>0</v>
      </c>
    </row>
    <row r="39" spans="1:9" x14ac:dyDescent="0.35">
      <c r="A39" s="103" t="s">
        <v>283</v>
      </c>
      <c r="B39" s="61" t="s">
        <v>56</v>
      </c>
      <c r="C39" s="58">
        <f>PrimaryCrewingAreaPivot!B31</f>
        <v>1</v>
      </c>
      <c r="D39" s="58">
        <f>PrimaryCrewingAreaPivot!C31</f>
        <v>4</v>
      </c>
      <c r="E39" s="58">
        <f>PrimaryCrewingAreaPivot!D31</f>
        <v>0</v>
      </c>
      <c r="F39" s="102">
        <f t="shared" si="0"/>
        <v>5</v>
      </c>
      <c r="G39" s="626">
        <f t="shared" si="1"/>
        <v>0.2</v>
      </c>
      <c r="H39" s="314">
        <f t="shared" si="2"/>
        <v>0.8</v>
      </c>
      <c r="I39" s="314">
        <f t="shared" si="3"/>
        <v>0</v>
      </c>
    </row>
    <row r="40" spans="1:9" x14ac:dyDescent="0.35">
      <c r="A40" s="103" t="s">
        <v>284</v>
      </c>
      <c r="B40" s="61" t="s">
        <v>57</v>
      </c>
      <c r="C40" s="58">
        <f>PrimaryCrewingAreaPivot!B32</f>
        <v>4</v>
      </c>
      <c r="D40" s="58">
        <f>PrimaryCrewingAreaPivot!C32</f>
        <v>7</v>
      </c>
      <c r="E40" s="58">
        <f>PrimaryCrewingAreaPivot!D32</f>
        <v>1</v>
      </c>
      <c r="F40" s="102">
        <f t="shared" si="0"/>
        <v>12</v>
      </c>
      <c r="G40" s="626">
        <f t="shared" si="1"/>
        <v>0.33333333333333331</v>
      </c>
      <c r="H40" s="314">
        <f t="shared" si="2"/>
        <v>0.58333333333333337</v>
      </c>
      <c r="I40" s="314">
        <f t="shared" si="3"/>
        <v>8.3333333333333329E-2</v>
      </c>
    </row>
    <row r="41" spans="1:9" x14ac:dyDescent="0.35">
      <c r="A41" s="103" t="s">
        <v>285</v>
      </c>
      <c r="B41" s="61" t="s">
        <v>58</v>
      </c>
      <c r="C41" s="58">
        <f>PrimaryCrewingAreaPivot!B33</f>
        <v>1</v>
      </c>
      <c r="D41" s="58">
        <f>PrimaryCrewingAreaPivot!C33</f>
        <v>9</v>
      </c>
      <c r="E41" s="58">
        <f>PrimaryCrewingAreaPivot!D33</f>
        <v>0</v>
      </c>
      <c r="F41" s="102">
        <f t="shared" si="0"/>
        <v>10</v>
      </c>
      <c r="G41" s="626">
        <f t="shared" si="1"/>
        <v>0.1</v>
      </c>
      <c r="H41" s="314">
        <f t="shared" si="2"/>
        <v>0.9</v>
      </c>
      <c r="I41" s="314">
        <f t="shared" si="3"/>
        <v>0</v>
      </c>
    </row>
    <row r="42" spans="1:9" x14ac:dyDescent="0.35">
      <c r="A42" s="103" t="s">
        <v>291</v>
      </c>
      <c r="B42" s="61" t="s">
        <v>59</v>
      </c>
      <c r="C42" s="58">
        <f>PrimaryCrewingAreaPivot!B34</f>
        <v>2</v>
      </c>
      <c r="D42" s="58">
        <f>PrimaryCrewingAreaPivot!C34</f>
        <v>1</v>
      </c>
      <c r="E42" s="58">
        <f>PrimaryCrewingAreaPivot!D34</f>
        <v>0</v>
      </c>
      <c r="F42" s="102">
        <f t="shared" si="0"/>
        <v>3</v>
      </c>
      <c r="G42" s="626">
        <f t="shared" si="1"/>
        <v>0.66666666666666663</v>
      </c>
      <c r="H42" s="314">
        <f t="shared" si="2"/>
        <v>0.33333333333333331</v>
      </c>
      <c r="I42" s="314">
        <f t="shared" si="3"/>
        <v>0</v>
      </c>
    </row>
    <row r="43" spans="1:9" ht="15.75" customHeight="1" x14ac:dyDescent="0.35">
      <c r="A43" s="103" t="s">
        <v>292</v>
      </c>
      <c r="B43" s="61" t="s">
        <v>60</v>
      </c>
      <c r="C43" s="58">
        <f>PrimaryCrewingAreaPivot!B35</f>
        <v>2</v>
      </c>
      <c r="D43" s="58">
        <f>PrimaryCrewingAreaPivot!C35</f>
        <v>4</v>
      </c>
      <c r="E43" s="58">
        <f>PrimaryCrewingAreaPivot!D35</f>
        <v>0</v>
      </c>
      <c r="F43" s="102">
        <f t="shared" si="0"/>
        <v>6</v>
      </c>
      <c r="G43" s="626">
        <f t="shared" si="1"/>
        <v>0.33333333333333331</v>
      </c>
      <c r="H43" s="314">
        <f t="shared" si="2"/>
        <v>0.66666666666666663</v>
      </c>
      <c r="I43" s="314">
        <f t="shared" si="3"/>
        <v>0</v>
      </c>
    </row>
    <row r="44" spans="1:9" ht="21" customHeight="1" thickBot="1" x14ac:dyDescent="0.4">
      <c r="A44" s="38"/>
      <c r="B44" s="38" t="s">
        <v>734</v>
      </c>
      <c r="C44" s="82">
        <f>SUM(C12:C43)</f>
        <v>74</v>
      </c>
      <c r="D44" s="82">
        <f>SUM(D12:D43)</f>
        <v>240</v>
      </c>
      <c r="E44" s="82">
        <f>SUM(E12:E43)</f>
        <v>43</v>
      </c>
      <c r="F44" s="82">
        <f>SUM(F12:F43)</f>
        <v>357</v>
      </c>
      <c r="G44" s="627">
        <f t="shared" si="1"/>
        <v>0.20728291316526612</v>
      </c>
      <c r="H44" s="315">
        <f t="shared" si="2"/>
        <v>0.67226890756302526</v>
      </c>
      <c r="I44" s="315">
        <f t="shared" si="3"/>
        <v>0.12044817927170869</v>
      </c>
    </row>
    <row r="45" spans="1:9" x14ac:dyDescent="0.35">
      <c r="A45" s="217"/>
      <c r="B45" s="218"/>
      <c r="C45" s="218"/>
      <c r="D45" s="218"/>
      <c r="E45" s="218"/>
      <c r="F45" s="215"/>
      <c r="G45" s="316"/>
      <c r="H45" s="316"/>
      <c r="I45" s="215"/>
    </row>
    <row r="46" spans="1:9" x14ac:dyDescent="0.35">
      <c r="A46" s="414" t="s">
        <v>8</v>
      </c>
      <c r="B46" s="415"/>
      <c r="C46" s="415"/>
      <c r="D46" s="415"/>
      <c r="E46" s="415"/>
      <c r="F46" s="417"/>
      <c r="G46" s="418"/>
      <c r="H46" s="418"/>
      <c r="I46" s="416"/>
    </row>
    <row r="47" spans="1:9" ht="30" customHeight="1" x14ac:dyDescent="0.35">
      <c r="A47" s="1162" t="s">
        <v>722</v>
      </c>
      <c r="B47" s="1162"/>
      <c r="C47" s="1162"/>
      <c r="D47" s="1162"/>
      <c r="E47" s="1162"/>
      <c r="F47" s="1162"/>
      <c r="G47" s="1162"/>
      <c r="H47" s="1162"/>
      <c r="I47" s="1162"/>
    </row>
    <row r="48" spans="1:9" ht="30" customHeight="1" x14ac:dyDescent="0.35">
      <c r="A48" s="1163" t="s">
        <v>829</v>
      </c>
      <c r="B48" s="1163"/>
      <c r="C48" s="1163"/>
      <c r="D48" s="1163"/>
      <c r="E48" s="1163"/>
      <c r="F48" s="1163"/>
      <c r="G48" s="1163"/>
      <c r="H48" s="1163"/>
    </row>
  </sheetData>
  <sheetProtection algorithmName="SHA-512" hashValue="pQ0ylXjcuA35IzLxz6Y7xtvyZkQNhrp8FE6y0r3Abv4CBp+0uzpeHgfiMp0srXsEsOpMUeNZXTYcmtuP95B4Vg==" saltValue="n9epJLNIEh7hVhA6sGQVzg==" spinCount="100000" sheet="1" scenarios="1" formatCells="0" formatColumns="0" formatRows="0" sort="0" autoFilter="0" pivotTables="0"/>
  <mergeCells count="4">
    <mergeCell ref="A1:C1"/>
    <mergeCell ref="A4:F4"/>
    <mergeCell ref="A47:I47"/>
    <mergeCell ref="A48:H48"/>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sheetViews>
  <sheetFormatPr defaultColWidth="9.1796875" defaultRowHeight="14.5" x14ac:dyDescent="0.35"/>
  <cols>
    <col min="1" max="16384" width="9.1796875" style="302"/>
  </cols>
  <sheetData>
    <row r="1" spans="1:8" ht="15.5" x14ac:dyDescent="0.35">
      <c r="A1" s="629" t="s">
        <v>554</v>
      </c>
      <c r="B1" s="629"/>
      <c r="C1" s="629"/>
    </row>
    <row r="2" spans="1:8" ht="15.5" x14ac:dyDescent="0.35">
      <c r="A2" s="735" t="s">
        <v>509</v>
      </c>
      <c r="B2" s="742"/>
      <c r="C2" s="742"/>
    </row>
    <row r="4" spans="1:8" ht="15.5" x14ac:dyDescent="0.35">
      <c r="A4" s="536" t="s">
        <v>921</v>
      </c>
      <c r="B4" s="536"/>
      <c r="C4" s="536"/>
      <c r="D4" s="536"/>
      <c r="E4" s="536"/>
      <c r="F4" s="536"/>
      <c r="G4" s="536"/>
      <c r="H4" s="536"/>
    </row>
    <row r="5" spans="1:8" x14ac:dyDescent="0.35">
      <c r="A5" s="746" t="s">
        <v>723</v>
      </c>
    </row>
    <row r="6" spans="1:8" x14ac:dyDescent="0.35">
      <c r="A6" s="746" t="s">
        <v>929</v>
      </c>
    </row>
  </sheetData>
  <sheetProtection algorithmName="SHA-512" hashValue="7aNIjgGoY3d/pZRxigAN2nH76FXWlJkxKCnGDUiOObYny4Vj74GE+0wEry4zxfZDGg+93uL2v5knshkERB09wg==" saltValue="S+6xiqigK+m9PKzfoG3dpg=="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sheetViews>
  <sheetFormatPr defaultColWidth="9.1796875" defaultRowHeight="14.5" x14ac:dyDescent="0.35"/>
  <cols>
    <col min="1" max="16384" width="9.1796875" style="302"/>
  </cols>
  <sheetData>
    <row r="1" spans="1:8" ht="15.5" x14ac:dyDescent="0.35">
      <c r="A1" s="629" t="s">
        <v>554</v>
      </c>
      <c r="B1" s="629"/>
      <c r="C1" s="629"/>
    </row>
    <row r="2" spans="1:8" ht="15.5" x14ac:dyDescent="0.35">
      <c r="A2" s="735" t="s">
        <v>509</v>
      </c>
      <c r="B2" s="742"/>
      <c r="C2" s="742"/>
    </row>
    <row r="4" spans="1:8" ht="15.75" customHeight="1" x14ac:dyDescent="0.35">
      <c r="A4" s="536" t="s">
        <v>921</v>
      </c>
      <c r="B4" s="536"/>
      <c r="C4" s="536"/>
      <c r="D4" s="536"/>
      <c r="E4" s="536"/>
      <c r="F4" s="536"/>
      <c r="G4" s="536"/>
      <c r="H4" s="536"/>
    </row>
    <row r="5" spans="1:8" x14ac:dyDescent="0.35">
      <c r="A5" s="746" t="s">
        <v>723</v>
      </c>
    </row>
    <row r="6" spans="1:8" x14ac:dyDescent="0.35">
      <c r="A6" s="746" t="s">
        <v>931</v>
      </c>
    </row>
  </sheetData>
  <sheetProtection algorithmName="SHA-512" hashValue="tRYCUHI8EYhqDVsbC0X+8WaAdjHprPEbBVk6Yt3avsGtywdM+3asMW9Ni9PuDt1C/UYdIY7trZPZJsogRKgN7Q==" saltValue="agNVZ+lpQnGpE8hcalMXa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sheetViews>
  <sheetFormatPr defaultColWidth="9.1796875" defaultRowHeight="14.5" x14ac:dyDescent="0.35"/>
  <cols>
    <col min="1" max="16384" width="9.1796875" style="302"/>
  </cols>
  <sheetData>
    <row r="1" spans="1:8" ht="15.5" x14ac:dyDescent="0.35">
      <c r="A1" s="629" t="s">
        <v>554</v>
      </c>
      <c r="B1" s="629"/>
      <c r="C1" s="629"/>
    </row>
    <row r="2" spans="1:8" ht="15.5" x14ac:dyDescent="0.35">
      <c r="A2" s="735" t="s">
        <v>509</v>
      </c>
      <c r="B2" s="742"/>
      <c r="C2" s="742"/>
    </row>
    <row r="4" spans="1:8" ht="15.75" customHeight="1" x14ac:dyDescent="0.35">
      <c r="A4" s="536" t="s">
        <v>923</v>
      </c>
      <c r="B4" s="536"/>
      <c r="C4" s="536"/>
      <c r="D4" s="536"/>
      <c r="E4" s="536"/>
      <c r="F4" s="536"/>
      <c r="G4" s="536"/>
      <c r="H4" s="536"/>
    </row>
    <row r="5" spans="1:8" x14ac:dyDescent="0.35">
      <c r="A5" s="746" t="s">
        <v>723</v>
      </c>
    </row>
    <row r="6" spans="1:8" x14ac:dyDescent="0.35">
      <c r="A6" s="746" t="s">
        <v>938</v>
      </c>
    </row>
  </sheetData>
  <sheetProtection algorithmName="SHA-512" hashValue="z10K1B9/am4XrpBg+w33F47/FOeDQNkuCi9eqJLC7B3PaKlfSl8xFTc4lbJ87p1750WWHDSLgQBWI/hA8gc7FQ==" saltValue="tqZBtz3BSBMCbW36nORXu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609"/>
      <c r="C2" s="609"/>
    </row>
    <row r="4" spans="1:8" ht="15.5" x14ac:dyDescent="0.35">
      <c r="A4" s="1170" t="s">
        <v>556</v>
      </c>
      <c r="B4" s="1170"/>
      <c r="C4" s="1170"/>
      <c r="D4" s="1170"/>
      <c r="E4" s="1170"/>
      <c r="F4" s="1170"/>
      <c r="G4" s="1170"/>
      <c r="H4" s="1170"/>
    </row>
    <row r="5" spans="1:8" x14ac:dyDescent="0.35">
      <c r="A5" s="686" t="s">
        <v>723</v>
      </c>
    </row>
    <row r="6" spans="1:8" x14ac:dyDescent="0.35">
      <c r="A6" s="686" t="s">
        <v>668</v>
      </c>
    </row>
  </sheetData>
  <sheetProtection algorithmName="SHA-512" hashValue="nh4ZHTBsopJsj0h9P/qURbf+FbxqDGs2sLHcMAnojrzxy9tauwXf1Hp8HiTK1Xy2ElbsdCe57v7onBVcBEl0nw==" saltValue="rHpt29vu+oy1bVe+k4Qi8Q=="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32"/>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609"/>
      <c r="C2" s="609"/>
    </row>
    <row r="4" spans="1:8" ht="15.5" x14ac:dyDescent="0.35">
      <c r="A4" s="1170" t="s">
        <v>557</v>
      </c>
      <c r="B4" s="1170"/>
      <c r="C4" s="1170"/>
      <c r="D4" s="1170"/>
      <c r="E4" s="1170"/>
      <c r="F4" s="1170"/>
      <c r="G4" s="1170"/>
      <c r="H4" s="1170"/>
    </row>
    <row r="5" spans="1:8" x14ac:dyDescent="0.35">
      <c r="A5" s="686" t="s">
        <v>723</v>
      </c>
    </row>
    <row r="6" spans="1:8" x14ac:dyDescent="0.35">
      <c r="A6" s="686" t="s">
        <v>670</v>
      </c>
    </row>
    <row r="32" spans="1:1" x14ac:dyDescent="0.35">
      <c r="A32" s="359"/>
    </row>
  </sheetData>
  <sheetProtection algorithmName="SHA-512" hashValue="te5yYAzsbs/MdrmEolgsA5Uq1HfQHqhlSpz22g1jltET7gTzyqd8rg2y/+iF+PMcwse0n7yODAgaw9k0GHyYCw==" saltValue="faqmINTbQjN1ReUq4Qj0mg=="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742"/>
      <c r="C2" s="742"/>
    </row>
    <row r="4" spans="1:8" ht="15.75" customHeight="1" x14ac:dyDescent="0.35">
      <c r="A4" s="630" t="s">
        <v>942</v>
      </c>
      <c r="B4" s="630"/>
      <c r="C4" s="630"/>
      <c r="D4" s="630"/>
      <c r="E4" s="630"/>
      <c r="F4" s="630"/>
      <c r="G4" s="630"/>
      <c r="H4" s="630"/>
    </row>
    <row r="5" spans="1:8" x14ac:dyDescent="0.35">
      <c r="A5" s="686" t="s">
        <v>723</v>
      </c>
    </row>
    <row r="6" spans="1:8" x14ac:dyDescent="0.35">
      <c r="A6" s="686" t="s">
        <v>939</v>
      </c>
    </row>
  </sheetData>
  <sheetProtection algorithmName="SHA-512" hashValue="N9bRCBOcoIzBzkQ3TDa/36BFlHu7eyxGVhAfvYOYsNP88wZXr42/tZbDasZWClDk2ZJwCrb25aDQoAPsBfvImQ==" saltValue="9+HjOH6tVJFmNztbLQ9Bx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742"/>
      <c r="C2" s="742"/>
    </row>
    <row r="4" spans="1:8" ht="15.75" customHeight="1" x14ac:dyDescent="0.35">
      <c r="A4" s="630" t="s">
        <v>941</v>
      </c>
      <c r="B4" s="630"/>
      <c r="C4" s="630"/>
      <c r="D4" s="630"/>
      <c r="E4" s="630"/>
      <c r="F4" s="630"/>
      <c r="G4" s="630"/>
      <c r="H4" s="630"/>
    </row>
    <row r="5" spans="1:8" x14ac:dyDescent="0.35">
      <c r="A5" s="686" t="s">
        <v>723</v>
      </c>
    </row>
    <row r="6" spans="1:8" x14ac:dyDescent="0.35">
      <c r="A6" s="686" t="s">
        <v>940</v>
      </c>
    </row>
  </sheetData>
  <sheetProtection algorithmName="SHA-512" hashValue="TZCoTkI2D4RMo8dpyvJTqwpx0d3evW9GoPJWaY1zseglB4HKWxq400Vc4u8Zcp7+n54j2uXiOTQUKD6bjH9b6w==" saltValue="On9e4ztFJ7pHmO1CjYTrO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554</v>
      </c>
      <c r="B1" s="629"/>
      <c r="C1" s="629"/>
    </row>
    <row r="2" spans="1:8" ht="15.5" x14ac:dyDescent="0.35">
      <c r="A2" s="601" t="s">
        <v>509</v>
      </c>
      <c r="B2" s="742"/>
      <c r="C2" s="742"/>
    </row>
    <row r="4" spans="1:8" ht="15.75" customHeight="1" x14ac:dyDescent="0.35">
      <c r="A4" s="630" t="s">
        <v>943</v>
      </c>
      <c r="B4" s="630"/>
      <c r="C4" s="630"/>
      <c r="D4" s="630"/>
      <c r="E4" s="630"/>
      <c r="F4" s="630"/>
      <c r="G4" s="630"/>
      <c r="H4" s="630"/>
    </row>
    <row r="5" spans="1:8" x14ac:dyDescent="0.35">
      <c r="A5" s="686" t="s">
        <v>723</v>
      </c>
    </row>
    <row r="6" spans="1:8" x14ac:dyDescent="0.35">
      <c r="A6" s="686" t="s">
        <v>944</v>
      </c>
    </row>
  </sheetData>
  <sheetProtection algorithmName="SHA-512" hashValue="kAArZGSPb+S9DmbPnaQy6sD9SqIfdwLjUyD8zy8XcG35QCLEkp5FkILoJIEvKINHuUXctNwaWZZHZJYJ6IfrXw==" saltValue="ggPJAojqmZ0HI+EQqh3pFA==" spinCount="100000" sheet="1" scenarios="1" formatCells="0" formatColumns="0" formatRows="0" sort="0" autoFilter="0" pivotTables="0"/>
  <hyperlinks>
    <hyperlink ref="A2" location="'Table of Contents'!A1" display="Back to Table of Contents"/>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39997558519241921"/>
    <pageSetUpPr fitToPage="1"/>
  </sheetPr>
  <dimension ref="A1:N52"/>
  <sheetViews>
    <sheetView showGridLines="0" workbookViewId="0">
      <pane ySplit="2" topLeftCell="A3" activePane="bottomLeft" state="frozen"/>
      <selection pane="bottomLeft"/>
    </sheetView>
  </sheetViews>
  <sheetFormatPr defaultRowHeight="14.5" x14ac:dyDescent="0.35"/>
  <cols>
    <col min="1" max="1" width="21.1796875" customWidth="1"/>
    <col min="2" max="2" width="16.54296875" customWidth="1"/>
    <col min="3" max="3" width="18.54296875" customWidth="1"/>
    <col min="4" max="4" width="17.453125" customWidth="1"/>
    <col min="5" max="5" width="16.90625" bestFit="1" customWidth="1"/>
    <col min="6" max="6" width="24.90625" customWidth="1"/>
    <col min="7" max="7" width="11.7265625" customWidth="1"/>
    <col min="8" max="8" width="8.453125" customWidth="1"/>
  </cols>
  <sheetData>
    <row r="1" spans="1:11" ht="15.5" x14ac:dyDescent="0.35">
      <c r="A1" s="629" t="s">
        <v>559</v>
      </c>
    </row>
    <row r="2" spans="1:11" x14ac:dyDescent="0.35">
      <c r="A2" s="601" t="s">
        <v>509</v>
      </c>
    </row>
    <row r="3" spans="1:11" x14ac:dyDescent="0.35">
      <c r="A3" s="28"/>
    </row>
    <row r="4" spans="1:11" ht="15.5" x14ac:dyDescent="0.35">
      <c r="A4" s="1200" t="s">
        <v>558</v>
      </c>
      <c r="B4" s="1200"/>
      <c r="C4" s="1200"/>
      <c r="D4" s="1200"/>
      <c r="E4" s="1200"/>
      <c r="F4" s="1200"/>
      <c r="G4" s="1200"/>
      <c r="H4" s="1200"/>
      <c r="I4" s="1200"/>
      <c r="J4" s="1200"/>
      <c r="K4" s="1200"/>
    </row>
    <row r="5" spans="1:11" ht="15.5" x14ac:dyDescent="0.35">
      <c r="A5" t="s">
        <v>320</v>
      </c>
      <c r="B5" t="s">
        <v>712</v>
      </c>
      <c r="C5" s="612"/>
      <c r="D5" s="612"/>
      <c r="E5" s="612"/>
      <c r="F5" s="612"/>
      <c r="G5" s="612"/>
      <c r="H5" s="612"/>
      <c r="I5" s="612"/>
      <c r="J5" s="612"/>
      <c r="K5" s="612"/>
    </row>
    <row r="6" spans="1:11" ht="15.75" customHeight="1" x14ac:dyDescent="0.35">
      <c r="A6" t="s">
        <v>321</v>
      </c>
      <c r="B6" t="s">
        <v>323</v>
      </c>
      <c r="C6" s="612"/>
      <c r="D6" s="612"/>
      <c r="E6" s="612"/>
      <c r="F6" s="612"/>
      <c r="G6" s="612"/>
      <c r="H6" s="612"/>
      <c r="I6" s="612"/>
      <c r="J6" s="612"/>
      <c r="K6" s="612"/>
    </row>
    <row r="7" spans="1:11" ht="15.5" x14ac:dyDescent="0.35">
      <c r="A7" t="s">
        <v>322</v>
      </c>
      <c r="B7" t="s">
        <v>324</v>
      </c>
      <c r="C7" s="612"/>
      <c r="D7" s="612"/>
      <c r="E7" s="612"/>
      <c r="F7" s="612"/>
      <c r="G7" s="612"/>
      <c r="H7" s="612"/>
      <c r="I7" s="612"/>
      <c r="J7" s="612"/>
      <c r="K7" s="612"/>
    </row>
    <row r="8" spans="1:11" ht="15.5" x14ac:dyDescent="0.35">
      <c r="B8" s="542"/>
      <c r="C8" s="612"/>
      <c r="D8" s="612"/>
      <c r="E8" s="612"/>
      <c r="F8" s="612"/>
      <c r="K8" s="612"/>
    </row>
    <row r="9" spans="1:11" ht="37" customHeight="1" x14ac:dyDescent="0.35">
      <c r="A9" s="1149" t="s">
        <v>1</v>
      </c>
      <c r="B9" s="1150" t="s">
        <v>159</v>
      </c>
      <c r="C9" s="1150" t="s">
        <v>978</v>
      </c>
      <c r="D9" s="1150" t="s">
        <v>979</v>
      </c>
      <c r="E9" s="1150" t="s">
        <v>182</v>
      </c>
      <c r="F9" s="1150" t="s">
        <v>792</v>
      </c>
      <c r="G9" s="1151" t="s">
        <v>26</v>
      </c>
    </row>
    <row r="10" spans="1:11" x14ac:dyDescent="0.35">
      <c r="A10" s="783" t="s">
        <v>193</v>
      </c>
      <c r="B10" s="789">
        <v>8206</v>
      </c>
      <c r="C10" s="789">
        <v>0</v>
      </c>
      <c r="D10" s="789">
        <v>1648</v>
      </c>
      <c r="E10" s="789">
        <v>2038</v>
      </c>
      <c r="F10" s="789">
        <v>0</v>
      </c>
      <c r="G10" s="902">
        <f>SUM(pp_PPED_Workflows[[#This Row],[Audits]:[Fire Engineering Consultation]])</f>
        <v>11892</v>
      </c>
    </row>
    <row r="11" spans="1:11" x14ac:dyDescent="0.35">
      <c r="A11" s="783" t="s">
        <v>192</v>
      </c>
      <c r="B11" s="789">
        <v>9834</v>
      </c>
      <c r="C11" s="789">
        <v>0</v>
      </c>
      <c r="D11" s="796">
        <v>2373</v>
      </c>
      <c r="E11" s="789">
        <v>3501</v>
      </c>
      <c r="F11" s="789">
        <v>0</v>
      </c>
      <c r="G11" s="902">
        <f>SUM(pp_PPED_Workflows[[#This Row],[Audits]:[Fire Engineering Consultation]])</f>
        <v>15708</v>
      </c>
    </row>
    <row r="12" spans="1:11" x14ac:dyDescent="0.35">
      <c r="A12" s="783" t="s">
        <v>258</v>
      </c>
      <c r="B12" s="789">
        <v>8939</v>
      </c>
      <c r="C12" s="789">
        <v>0</v>
      </c>
      <c r="D12" s="789">
        <v>1461</v>
      </c>
      <c r="E12" s="789">
        <v>2582</v>
      </c>
      <c r="F12" s="789">
        <v>0</v>
      </c>
      <c r="G12" s="902">
        <f>SUM(pp_PPED_Workflows[[#This Row],[Audits]:[Fire Engineering Consultation]])</f>
        <v>12982</v>
      </c>
    </row>
    <row r="13" spans="1:11" x14ac:dyDescent="0.35">
      <c r="A13" s="783" t="s">
        <v>242</v>
      </c>
      <c r="B13" s="789">
        <v>7635</v>
      </c>
      <c r="C13" s="789">
        <v>0</v>
      </c>
      <c r="D13" s="789">
        <v>2592</v>
      </c>
      <c r="E13" s="789">
        <v>3241</v>
      </c>
      <c r="F13" s="789">
        <v>0</v>
      </c>
      <c r="G13" s="902">
        <f>SUM(pp_PPED_Workflows[[#This Row],[Audits]:[Fire Engineering Consultation]])</f>
        <v>13468</v>
      </c>
    </row>
    <row r="14" spans="1:11" x14ac:dyDescent="0.35">
      <c r="A14" s="783" t="s">
        <v>241</v>
      </c>
      <c r="B14" s="789">
        <v>7872</v>
      </c>
      <c r="C14" s="789">
        <v>0</v>
      </c>
      <c r="D14" s="789">
        <v>1973</v>
      </c>
      <c r="E14" s="789">
        <v>2746</v>
      </c>
      <c r="F14" s="789">
        <v>0</v>
      </c>
      <c r="G14" s="902">
        <f>SUM(pp_PPED_Workflows[[#This Row],[Audits]:[Fire Engineering Consultation]])</f>
        <v>12591</v>
      </c>
    </row>
    <row r="15" spans="1:11" x14ac:dyDescent="0.35">
      <c r="A15" s="783" t="s">
        <v>773</v>
      </c>
      <c r="B15" s="789">
        <v>7261</v>
      </c>
      <c r="C15" s="789">
        <v>202</v>
      </c>
      <c r="D15" s="789">
        <v>918</v>
      </c>
      <c r="E15" s="789">
        <v>2460</v>
      </c>
      <c r="F15" s="789">
        <v>324</v>
      </c>
      <c r="G15" s="902">
        <f>SUM(pp_PPED_Workflows[[#This Row],[Audits]:[Fire Engineering Consultation]])</f>
        <v>11165</v>
      </c>
    </row>
    <row r="16" spans="1:11" ht="15" thickBot="1" x14ac:dyDescent="0.4">
      <c r="A16" s="785" t="s">
        <v>951</v>
      </c>
      <c r="B16" s="797">
        <v>3292</v>
      </c>
      <c r="C16" s="797">
        <v>192</v>
      </c>
      <c r="D16" s="797">
        <v>603</v>
      </c>
      <c r="E16" s="797">
        <v>2502</v>
      </c>
      <c r="F16" s="797">
        <v>163</v>
      </c>
      <c r="G16" s="1058">
        <f>SUM(pp_PPED_Workflows[[#This Row],[Audits]:[Fire Engineering Consultation]])</f>
        <v>6752</v>
      </c>
    </row>
    <row r="17" spans="1:14" x14ac:dyDescent="0.35">
      <c r="A17" s="397"/>
      <c r="B17" s="28"/>
      <c r="C17" s="260"/>
      <c r="D17" s="28"/>
      <c r="E17" s="28"/>
      <c r="F17" s="28"/>
    </row>
    <row r="18" spans="1:14" x14ac:dyDescent="0.35">
      <c r="A18" s="398" t="s">
        <v>8</v>
      </c>
      <c r="B18" s="28"/>
      <c r="C18" s="28"/>
      <c r="D18" s="28"/>
      <c r="E18" s="28"/>
    </row>
    <row r="19" spans="1:14" ht="45.75" customHeight="1" x14ac:dyDescent="0.35">
      <c r="A19" s="1210" t="s">
        <v>17474</v>
      </c>
      <c r="B19" s="1210"/>
      <c r="C19" s="1210"/>
      <c r="D19" s="1210"/>
      <c r="E19" s="1210"/>
      <c r="F19" s="1210"/>
      <c r="G19" s="1210"/>
      <c r="H19" s="1210"/>
    </row>
    <row r="20" spans="1:14" ht="30" customHeight="1" x14ac:dyDescent="0.35">
      <c r="A20" s="1191" t="s">
        <v>892</v>
      </c>
      <c r="B20" s="1191"/>
      <c r="C20" s="1191"/>
      <c r="D20" s="1191"/>
      <c r="E20" s="1191"/>
      <c r="F20" s="1191"/>
      <c r="G20" s="1191"/>
      <c r="H20" s="1191"/>
      <c r="K20" s="612"/>
      <c r="L20" s="612"/>
      <c r="M20" s="612"/>
      <c r="N20" s="612"/>
    </row>
    <row r="21" spans="1:14" ht="30" customHeight="1" x14ac:dyDescent="0.35">
      <c r="A21" s="1191" t="s">
        <v>227</v>
      </c>
      <c r="B21" s="1191"/>
      <c r="C21" s="1191"/>
      <c r="D21" s="1191"/>
      <c r="E21" s="1191"/>
      <c r="F21" s="1191"/>
      <c r="G21" s="1191"/>
      <c r="H21" s="1191"/>
      <c r="K21" s="25"/>
      <c r="L21" s="274"/>
      <c r="M21" s="274"/>
    </row>
    <row r="22" spans="1:14" ht="30" customHeight="1" x14ac:dyDescent="0.35">
      <c r="A22" s="1163" t="s">
        <v>893</v>
      </c>
      <c r="B22" s="1163"/>
      <c r="C22" s="1163"/>
      <c r="D22" s="1163"/>
      <c r="E22" s="1163"/>
      <c r="F22" s="1163"/>
      <c r="G22" s="1163"/>
      <c r="H22" s="1163"/>
    </row>
    <row r="23" spans="1:14" x14ac:dyDescent="0.35">
      <c r="A23" s="1163"/>
      <c r="B23" s="1163"/>
      <c r="C23" s="1163"/>
      <c r="D23" s="1163"/>
      <c r="E23" s="1163"/>
      <c r="F23" s="1163"/>
      <c r="G23" s="1163"/>
      <c r="H23" s="1163"/>
    </row>
    <row r="24" spans="1:14" ht="15.75" customHeight="1" x14ac:dyDescent="0.35"/>
    <row r="26" spans="1:14" ht="15.75" customHeight="1" x14ac:dyDescent="0.35"/>
    <row r="51" spans="1:8" ht="30" customHeight="1" x14ac:dyDescent="0.35"/>
    <row r="52" spans="1:8" x14ac:dyDescent="0.35">
      <c r="A52" s="419"/>
      <c r="B52" s="382"/>
      <c r="C52" s="430"/>
      <c r="D52" s="431"/>
      <c r="E52" s="431"/>
      <c r="F52" s="431"/>
      <c r="G52" s="431"/>
      <c r="H52" s="431"/>
    </row>
  </sheetData>
  <sheetProtection algorithmName="SHA-512" hashValue="rRHldW0FwLiXJLkC0EpvRs5365ddu6jhV/f7rzxfMBUp6whqpTuPLX5bZyCsTg9epbBX8Z4QWZkQh0RrJ3OBDQ==" saltValue="mFnR6TXMBreHGCb/2umoYw==" spinCount="100000" sheet="1" scenarios="1" formatCells="0" formatColumns="0" formatRows="0" sort="0" autoFilter="0" pivotTables="0"/>
  <mergeCells count="6">
    <mergeCell ref="A4:K4"/>
    <mergeCell ref="A23:H23"/>
    <mergeCell ref="A20:H20"/>
    <mergeCell ref="A21:H21"/>
    <mergeCell ref="A22:H22"/>
    <mergeCell ref="A19:H1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tableParts count="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32"/>
  <sheetViews>
    <sheetView showGridLines="0" workbookViewId="0">
      <pane ySplit="2" topLeftCell="A3" activePane="bottomLeft" state="frozen"/>
      <selection pane="bottomLeft"/>
    </sheetView>
  </sheetViews>
  <sheetFormatPr defaultRowHeight="14.5" x14ac:dyDescent="0.35"/>
  <cols>
    <col min="1" max="1" width="27.6328125" bestFit="1" customWidth="1"/>
    <col min="2" max="13" width="9.7265625" bestFit="1" customWidth="1"/>
  </cols>
  <sheetData>
    <row r="1" spans="1:13" ht="15.5" x14ac:dyDescent="0.35">
      <c r="A1" s="629" t="s">
        <v>559</v>
      </c>
    </row>
    <row r="2" spans="1:13" x14ac:dyDescent="0.35">
      <c r="A2" s="601" t="s">
        <v>509</v>
      </c>
    </row>
    <row r="3" spans="1:13" x14ac:dyDescent="0.35">
      <c r="A3" s="28"/>
    </row>
    <row r="4" spans="1:13" ht="15.5" x14ac:dyDescent="0.35">
      <c r="A4" s="1200" t="s">
        <v>560</v>
      </c>
      <c r="B4" s="1200"/>
      <c r="C4" s="1200"/>
      <c r="D4" s="1200"/>
      <c r="E4" s="1200"/>
      <c r="F4" s="1200"/>
      <c r="G4" s="1200"/>
      <c r="H4" s="1200"/>
      <c r="I4" s="1200"/>
      <c r="J4" s="1200"/>
      <c r="K4" s="1200"/>
    </row>
    <row r="5" spans="1:13" ht="15.5" x14ac:dyDescent="0.35">
      <c r="A5" t="s">
        <v>320</v>
      </c>
      <c r="B5" t="s">
        <v>713</v>
      </c>
      <c r="C5" s="612"/>
      <c r="D5" s="612"/>
      <c r="E5" s="612"/>
      <c r="F5" s="612"/>
      <c r="G5" s="612"/>
      <c r="H5" s="612"/>
      <c r="I5" s="612"/>
      <c r="J5" s="612"/>
      <c r="K5" s="612"/>
    </row>
    <row r="6" spans="1:13" ht="15.5" x14ac:dyDescent="0.35">
      <c r="A6" t="s">
        <v>321</v>
      </c>
      <c r="B6" t="s">
        <v>323</v>
      </c>
      <c r="C6" s="612"/>
      <c r="D6" s="612"/>
      <c r="E6" s="612"/>
      <c r="F6" s="612"/>
      <c r="G6" s="612"/>
      <c r="H6" s="612"/>
      <c r="I6" s="612"/>
      <c r="J6" s="612"/>
      <c r="K6" s="612"/>
    </row>
    <row r="7" spans="1:13" ht="15.5" x14ac:dyDescent="0.35">
      <c r="A7" t="s">
        <v>322</v>
      </c>
      <c r="B7" t="s">
        <v>324</v>
      </c>
      <c r="C7" s="612"/>
      <c r="D7" s="612"/>
      <c r="E7" s="612"/>
      <c r="F7" s="612"/>
      <c r="G7" s="612"/>
      <c r="H7" s="612"/>
      <c r="I7" s="612"/>
      <c r="J7" s="612"/>
      <c r="K7" s="612"/>
    </row>
    <row r="9" spans="1:13" x14ac:dyDescent="0.35">
      <c r="A9" s="784" t="s">
        <v>134</v>
      </c>
      <c r="B9" s="784" t="s">
        <v>980</v>
      </c>
      <c r="C9" s="784" t="s">
        <v>961</v>
      </c>
      <c r="D9" s="784" t="s">
        <v>308</v>
      </c>
      <c r="E9" s="784" t="s">
        <v>195</v>
      </c>
      <c r="F9" s="784" t="s">
        <v>194</v>
      </c>
      <c r="G9" s="784" t="s">
        <v>193</v>
      </c>
      <c r="H9" s="784" t="s">
        <v>192</v>
      </c>
      <c r="I9" s="784" t="s">
        <v>258</v>
      </c>
      <c r="J9" s="784" t="s">
        <v>242</v>
      </c>
      <c r="K9" s="784" t="s">
        <v>241</v>
      </c>
      <c r="L9" s="784" t="s">
        <v>773</v>
      </c>
      <c r="M9" s="784" t="s">
        <v>951</v>
      </c>
    </row>
    <row r="10" spans="1:13" x14ac:dyDescent="0.35">
      <c r="A10" s="783" t="s">
        <v>135</v>
      </c>
      <c r="B10" s="789">
        <v>136</v>
      </c>
      <c r="C10" s="789">
        <v>236</v>
      </c>
      <c r="D10" s="789">
        <v>197</v>
      </c>
      <c r="E10" s="789">
        <v>217</v>
      </c>
      <c r="F10" s="1030"/>
      <c r="G10" s="789">
        <v>334</v>
      </c>
      <c r="H10" s="789">
        <v>451</v>
      </c>
      <c r="I10" s="789">
        <v>396</v>
      </c>
      <c r="J10" s="789">
        <v>367</v>
      </c>
      <c r="K10" s="789">
        <v>471</v>
      </c>
      <c r="L10" s="789">
        <v>298</v>
      </c>
      <c r="M10" s="789">
        <v>220</v>
      </c>
    </row>
    <row r="11" spans="1:13" x14ac:dyDescent="0.35">
      <c r="A11" s="783" t="s">
        <v>136</v>
      </c>
      <c r="B11" s="789">
        <v>972</v>
      </c>
      <c r="C11" s="789">
        <v>1212</v>
      </c>
      <c r="D11" s="789">
        <v>1286</v>
      </c>
      <c r="E11" s="789">
        <v>1454</v>
      </c>
      <c r="F11" s="1030"/>
      <c r="G11" s="789">
        <v>1506</v>
      </c>
      <c r="H11" s="789">
        <v>1760</v>
      </c>
      <c r="I11" s="789">
        <v>1719</v>
      </c>
      <c r="J11" s="789">
        <v>1653</v>
      </c>
      <c r="K11" s="789">
        <v>1775</v>
      </c>
      <c r="L11" s="789">
        <v>1486</v>
      </c>
      <c r="M11" s="789">
        <v>1342</v>
      </c>
    </row>
    <row r="12" spans="1:13" x14ac:dyDescent="0.35">
      <c r="A12" s="783" t="s">
        <v>152</v>
      </c>
      <c r="B12" s="958">
        <v>0</v>
      </c>
      <c r="C12" s="958">
        <v>0</v>
      </c>
      <c r="D12" s="958">
        <v>0</v>
      </c>
      <c r="E12" s="958">
        <v>0</v>
      </c>
      <c r="F12" s="1059"/>
      <c r="G12" s="789">
        <v>1947</v>
      </c>
      <c r="H12" s="789">
        <v>3062</v>
      </c>
      <c r="I12" s="789">
        <v>2650</v>
      </c>
      <c r="J12" s="789">
        <v>2077</v>
      </c>
      <c r="K12" s="789">
        <v>1862</v>
      </c>
      <c r="L12" s="789">
        <v>1951</v>
      </c>
      <c r="M12" s="789">
        <v>809</v>
      </c>
    </row>
    <row r="13" spans="1:13" x14ac:dyDescent="0.35">
      <c r="A13" s="783" t="s">
        <v>137</v>
      </c>
      <c r="B13" s="789">
        <v>137</v>
      </c>
      <c r="C13" s="789">
        <v>126</v>
      </c>
      <c r="D13" s="789">
        <v>138</v>
      </c>
      <c r="E13" s="789">
        <v>296</v>
      </c>
      <c r="F13" s="1030"/>
      <c r="G13" s="789">
        <v>138</v>
      </c>
      <c r="H13" s="789">
        <v>119</v>
      </c>
      <c r="I13" s="789">
        <v>128</v>
      </c>
      <c r="J13" s="789">
        <v>104</v>
      </c>
      <c r="K13" s="789">
        <v>88</v>
      </c>
      <c r="L13" s="789">
        <v>71</v>
      </c>
      <c r="M13" s="789">
        <v>37</v>
      </c>
    </row>
    <row r="14" spans="1:13" x14ac:dyDescent="0.35">
      <c r="A14" s="783" t="s">
        <v>138</v>
      </c>
      <c r="B14" s="789">
        <v>1117</v>
      </c>
      <c r="C14" s="789">
        <v>1077</v>
      </c>
      <c r="D14" s="789">
        <v>1081</v>
      </c>
      <c r="E14" s="789">
        <v>1761</v>
      </c>
      <c r="F14" s="1030"/>
      <c r="G14" s="789">
        <v>1109</v>
      </c>
      <c r="H14" s="789">
        <v>1263</v>
      </c>
      <c r="I14" s="789">
        <v>1138</v>
      </c>
      <c r="J14" s="789">
        <v>1167</v>
      </c>
      <c r="K14" s="789">
        <v>1030</v>
      </c>
      <c r="L14" s="789">
        <v>1081</v>
      </c>
      <c r="M14" s="789">
        <v>230</v>
      </c>
    </row>
    <row r="15" spans="1:13" x14ac:dyDescent="0.35">
      <c r="A15" s="783" t="s">
        <v>139</v>
      </c>
      <c r="B15" s="789">
        <v>284</v>
      </c>
      <c r="C15" s="789">
        <v>395</v>
      </c>
      <c r="D15" s="789">
        <v>430</v>
      </c>
      <c r="E15" s="789">
        <v>415</v>
      </c>
      <c r="F15" s="1030"/>
      <c r="G15" s="789">
        <v>251</v>
      </c>
      <c r="H15" s="789">
        <v>351</v>
      </c>
      <c r="I15" s="789">
        <v>371</v>
      </c>
      <c r="J15" s="789">
        <v>408</v>
      </c>
      <c r="K15" s="789">
        <v>323</v>
      </c>
      <c r="L15" s="789">
        <v>470</v>
      </c>
      <c r="M15" s="789">
        <v>115</v>
      </c>
    </row>
    <row r="16" spans="1:13" x14ac:dyDescent="0.35">
      <c r="A16" s="783" t="s">
        <v>140</v>
      </c>
      <c r="B16" s="789">
        <v>48</v>
      </c>
      <c r="C16" s="789">
        <v>49</v>
      </c>
      <c r="D16" s="789">
        <v>49</v>
      </c>
      <c r="E16" s="789">
        <v>62</v>
      </c>
      <c r="F16" s="1030"/>
      <c r="G16" s="789">
        <v>28</v>
      </c>
      <c r="H16" s="789">
        <v>36</v>
      </c>
      <c r="I16" s="789">
        <v>21</v>
      </c>
      <c r="J16" s="789">
        <v>37</v>
      </c>
      <c r="K16" s="789">
        <v>31</v>
      </c>
      <c r="L16" s="789">
        <v>25</v>
      </c>
      <c r="M16" s="789">
        <v>10</v>
      </c>
    </row>
    <row r="17" spans="1:13" x14ac:dyDescent="0.35">
      <c r="A17" s="783" t="s">
        <v>141</v>
      </c>
      <c r="B17" s="789">
        <v>68</v>
      </c>
      <c r="C17" s="789">
        <v>74</v>
      </c>
      <c r="D17" s="789">
        <v>77</v>
      </c>
      <c r="E17" s="789">
        <v>58</v>
      </c>
      <c r="F17" s="1030"/>
      <c r="G17" s="789">
        <v>68</v>
      </c>
      <c r="H17" s="789">
        <v>49</v>
      </c>
      <c r="I17" s="789">
        <v>66</v>
      </c>
      <c r="J17" s="789">
        <v>59</v>
      </c>
      <c r="K17" s="789">
        <v>60</v>
      </c>
      <c r="L17" s="789">
        <v>39</v>
      </c>
      <c r="M17" s="789">
        <v>6</v>
      </c>
    </row>
    <row r="18" spans="1:13" x14ac:dyDescent="0.35">
      <c r="A18" s="783" t="s">
        <v>142</v>
      </c>
      <c r="B18" s="789">
        <v>794</v>
      </c>
      <c r="C18" s="789">
        <v>1016</v>
      </c>
      <c r="D18" s="789">
        <v>1014</v>
      </c>
      <c r="E18" s="789">
        <v>670</v>
      </c>
      <c r="F18" s="1030"/>
      <c r="G18" s="789">
        <v>596</v>
      </c>
      <c r="H18" s="789">
        <v>494</v>
      </c>
      <c r="I18" s="789">
        <v>482</v>
      </c>
      <c r="J18" s="789">
        <v>332</v>
      </c>
      <c r="K18" s="789">
        <v>374</v>
      </c>
      <c r="L18" s="789">
        <v>289</v>
      </c>
      <c r="M18" s="789">
        <v>73</v>
      </c>
    </row>
    <row r="19" spans="1:13" x14ac:dyDescent="0.35">
      <c r="A19" s="783" t="s">
        <v>143</v>
      </c>
      <c r="B19" s="789">
        <v>433</v>
      </c>
      <c r="C19" s="789">
        <v>264</v>
      </c>
      <c r="D19" s="789">
        <v>291</v>
      </c>
      <c r="E19" s="789">
        <v>231</v>
      </c>
      <c r="F19" s="1030"/>
      <c r="G19" s="789">
        <v>260</v>
      </c>
      <c r="H19" s="789">
        <v>228</v>
      </c>
      <c r="I19" s="789">
        <v>363</v>
      </c>
      <c r="J19" s="789">
        <v>268</v>
      </c>
      <c r="K19" s="789">
        <v>470</v>
      </c>
      <c r="L19" s="789">
        <v>271</v>
      </c>
      <c r="M19" s="789">
        <v>67</v>
      </c>
    </row>
    <row r="20" spans="1:13" x14ac:dyDescent="0.35">
      <c r="A20" s="783" t="s">
        <v>144</v>
      </c>
      <c r="B20" s="789">
        <v>1038</v>
      </c>
      <c r="C20" s="789">
        <v>1082</v>
      </c>
      <c r="D20" s="789">
        <v>1619</v>
      </c>
      <c r="E20" s="789">
        <v>1294</v>
      </c>
      <c r="F20" s="1030"/>
      <c r="G20" s="789">
        <v>683</v>
      </c>
      <c r="H20" s="789">
        <v>639</v>
      </c>
      <c r="I20" s="789">
        <v>523</v>
      </c>
      <c r="J20" s="789">
        <v>362</v>
      </c>
      <c r="K20" s="789">
        <v>382</v>
      </c>
      <c r="L20" s="789">
        <v>358</v>
      </c>
      <c r="M20" s="789">
        <v>125</v>
      </c>
    </row>
    <row r="21" spans="1:13" x14ac:dyDescent="0.35">
      <c r="A21" s="783" t="s">
        <v>145</v>
      </c>
      <c r="B21" s="789">
        <v>287</v>
      </c>
      <c r="C21" s="789">
        <v>328</v>
      </c>
      <c r="D21" s="789">
        <v>260</v>
      </c>
      <c r="E21" s="789">
        <v>399</v>
      </c>
      <c r="F21" s="1030"/>
      <c r="G21" s="789">
        <v>356</v>
      </c>
      <c r="H21" s="789">
        <v>320</v>
      </c>
      <c r="I21" s="789">
        <v>235</v>
      </c>
      <c r="J21" s="789">
        <v>240</v>
      </c>
      <c r="K21" s="789">
        <v>283</v>
      </c>
      <c r="L21" s="789">
        <v>279</v>
      </c>
      <c r="M21" s="789">
        <v>62</v>
      </c>
    </row>
    <row r="22" spans="1:13" x14ac:dyDescent="0.35">
      <c r="A22" s="783" t="s">
        <v>146</v>
      </c>
      <c r="B22" s="789">
        <v>282</v>
      </c>
      <c r="C22" s="789">
        <v>304</v>
      </c>
      <c r="D22" s="789">
        <v>288</v>
      </c>
      <c r="E22" s="789">
        <v>408</v>
      </c>
      <c r="F22" s="1030"/>
      <c r="G22" s="789">
        <v>412</v>
      </c>
      <c r="H22" s="789">
        <v>485</v>
      </c>
      <c r="I22" s="789">
        <v>329</v>
      </c>
      <c r="J22" s="789">
        <v>228</v>
      </c>
      <c r="K22" s="789">
        <v>267</v>
      </c>
      <c r="L22" s="789">
        <v>241</v>
      </c>
      <c r="M22" s="789">
        <v>84</v>
      </c>
    </row>
    <row r="23" spans="1:13" x14ac:dyDescent="0.35">
      <c r="A23" s="783" t="s">
        <v>147</v>
      </c>
      <c r="B23" s="789">
        <v>311</v>
      </c>
      <c r="C23" s="789">
        <v>405</v>
      </c>
      <c r="D23" s="789">
        <v>483</v>
      </c>
      <c r="E23" s="789">
        <v>389</v>
      </c>
      <c r="F23" s="1030"/>
      <c r="G23" s="789">
        <v>344</v>
      </c>
      <c r="H23" s="789">
        <v>379</v>
      </c>
      <c r="I23" s="789">
        <v>275</v>
      </c>
      <c r="J23" s="789">
        <v>220</v>
      </c>
      <c r="K23" s="789">
        <v>267</v>
      </c>
      <c r="L23" s="789">
        <v>285</v>
      </c>
      <c r="M23" s="789">
        <v>62</v>
      </c>
    </row>
    <row r="24" spans="1:13" x14ac:dyDescent="0.35">
      <c r="A24" s="783" t="s">
        <v>981</v>
      </c>
      <c r="B24" s="789">
        <v>154</v>
      </c>
      <c r="C24" s="789">
        <v>176</v>
      </c>
      <c r="D24" s="789">
        <v>342</v>
      </c>
      <c r="E24" s="789">
        <v>340</v>
      </c>
      <c r="F24" s="1030"/>
      <c r="G24" s="789">
        <v>174</v>
      </c>
      <c r="H24" s="789">
        <v>198</v>
      </c>
      <c r="I24" s="789">
        <v>243</v>
      </c>
      <c r="J24" s="789">
        <v>113</v>
      </c>
      <c r="K24" s="789">
        <v>189</v>
      </c>
      <c r="L24" s="789">
        <v>117</v>
      </c>
      <c r="M24" s="789">
        <v>50</v>
      </c>
    </row>
    <row r="25" spans="1:13" s="554" customFormat="1" ht="20" customHeight="1" thickBot="1" x14ac:dyDescent="0.4">
      <c r="A25" s="1062" t="s">
        <v>149</v>
      </c>
      <c r="B25" s="1063">
        <f>SUM(pp_PPED_Audits[2009-10])</f>
        <v>6061</v>
      </c>
      <c r="C25" s="1063">
        <f>SUM(pp_PPED_Audits[2010-11])</f>
        <v>6744</v>
      </c>
      <c r="D25" s="1063">
        <f>SUM(pp_PPED_Audits[2011-12])</f>
        <v>7555</v>
      </c>
      <c r="E25" s="1063">
        <f>SUM(pp_PPED_Audits[2012-13])</f>
        <v>7994</v>
      </c>
      <c r="F25" s="1064">
        <f>SUM(pp_PPED_Audits[2013-14])</f>
        <v>0</v>
      </c>
      <c r="G25" s="1063">
        <f>SUM(pp_PPED_Audits[2014-15], -G12)</f>
        <v>6259</v>
      </c>
      <c r="H25" s="1063">
        <f>SUM(pp_PPED_Audits[2015-16], -H12)</f>
        <v>6772</v>
      </c>
      <c r="I25" s="1063">
        <f>SUM(pp_PPED_Audits[2016-17], -I12)</f>
        <v>6289</v>
      </c>
      <c r="J25" s="1063">
        <f>SUM(pp_PPED_Audits[2017-18], -J12)</f>
        <v>5558</v>
      </c>
      <c r="K25" s="1063">
        <f>SUM(pp_PPED_Audits[2018-19], -K12)</f>
        <v>6010</v>
      </c>
      <c r="L25" s="1063">
        <f>SUM(pp_PPED_Audits[2019-20], -L12)</f>
        <v>5310</v>
      </c>
      <c r="M25" s="1063">
        <f>SUM(pp_PPED_Audits[2020-21], -M12)</f>
        <v>2483</v>
      </c>
    </row>
    <row r="26" spans="1:13" x14ac:dyDescent="0.35">
      <c r="A26" s="279"/>
      <c r="B26" s="161"/>
      <c r="C26" s="161"/>
      <c r="D26" s="161"/>
      <c r="E26" s="170"/>
      <c r="F26" s="136"/>
      <c r="G26" s="280"/>
      <c r="H26" s="280"/>
    </row>
    <row r="27" spans="1:13" ht="21" customHeight="1" thickBot="1" x14ac:dyDescent="0.4">
      <c r="A27" s="277" t="s">
        <v>150</v>
      </c>
      <c r="B27" s="1060" t="s">
        <v>563</v>
      </c>
      <c r="C27" s="1060" t="s">
        <v>563</v>
      </c>
      <c r="D27" s="1060" t="s">
        <v>563</v>
      </c>
      <c r="E27" s="1060" t="s">
        <v>563</v>
      </c>
      <c r="F27" s="1061" t="s">
        <v>563</v>
      </c>
      <c r="G27" s="278">
        <f>SUM(pp_PPED_Audits[2014-15])</f>
        <v>8206</v>
      </c>
      <c r="H27" s="278">
        <f>SUM(pp_PPED_Audits[2015-16])</f>
        <v>9834</v>
      </c>
      <c r="I27" s="278">
        <f>SUM(pp_PPED_Audits[2016-17])</f>
        <v>8939</v>
      </c>
      <c r="J27" s="278">
        <f>SUM(pp_PPED_Audits[2017-18])</f>
        <v>7635</v>
      </c>
      <c r="K27" s="278">
        <f>SUM(pp_PPED_Audits[2018-19])</f>
        <v>7872</v>
      </c>
      <c r="L27" s="278">
        <f>SUM(pp_PPED_Audits[2019-20])</f>
        <v>7261</v>
      </c>
      <c r="M27" s="278">
        <f>SUM(pp_PPED_Audits[2020-21])</f>
        <v>3292</v>
      </c>
    </row>
    <row r="28" spans="1:13" x14ac:dyDescent="0.35">
      <c r="A28" s="28"/>
      <c r="B28" s="28"/>
      <c r="C28" s="28"/>
      <c r="D28" s="28"/>
      <c r="E28" s="28"/>
      <c r="F28" s="28"/>
      <c r="G28" s="28"/>
      <c r="H28" s="28"/>
    </row>
    <row r="29" spans="1:13" x14ac:dyDescent="0.35">
      <c r="A29" s="398" t="s">
        <v>8</v>
      </c>
      <c r="B29" s="397"/>
      <c r="C29" s="397"/>
      <c r="D29" s="397"/>
      <c r="E29" s="397"/>
      <c r="F29" s="397"/>
      <c r="G29" s="397"/>
      <c r="H29" s="397"/>
    </row>
    <row r="30" spans="1:13" ht="17" customHeight="1" x14ac:dyDescent="0.35">
      <c r="A30" s="397" t="s">
        <v>206</v>
      </c>
      <c r="B30" s="397"/>
      <c r="C30" s="397"/>
      <c r="D30" s="397"/>
      <c r="E30" s="397"/>
      <c r="F30" s="397"/>
      <c r="G30" s="397"/>
      <c r="H30" s="397"/>
    </row>
    <row r="31" spans="1:13" ht="30" customHeight="1" x14ac:dyDescent="0.35">
      <c r="A31" s="1163" t="s">
        <v>893</v>
      </c>
      <c r="B31" s="1163"/>
      <c r="C31" s="1163"/>
      <c r="D31" s="1163"/>
      <c r="E31" s="1163"/>
      <c r="F31" s="1163"/>
      <c r="G31" s="1163"/>
      <c r="H31" s="1163"/>
      <c r="I31" s="1163"/>
      <c r="J31" s="1163"/>
      <c r="K31" s="1163"/>
      <c r="L31" s="1163"/>
    </row>
    <row r="32" spans="1:13" x14ac:dyDescent="0.35">
      <c r="A32" s="1211" t="s">
        <v>999</v>
      </c>
      <c r="B32" s="1211"/>
      <c r="C32" s="1211"/>
      <c r="D32" s="1211"/>
      <c r="E32" s="1211"/>
      <c r="F32" s="1211"/>
      <c r="G32" s="1211"/>
      <c r="H32" s="1211"/>
      <c r="I32" s="1211"/>
      <c r="J32" s="1211"/>
    </row>
  </sheetData>
  <sheetProtection algorithmName="SHA-512" hashValue="YDKmI7Vsle7XdxF8OPP763nAiKFoIhFFRJrudWOJBJilfViaU25jIobS3BJ1fiYX34DWhZNBMY8VdD9CST5G+g==" saltValue="dzf4Kc38qXlKKABVJP4cWg==" spinCount="100000" sheet="1" scenarios="1" formatCells="0" formatColumns="0" formatRows="0" sort="0" autoFilter="0" pivotTables="0"/>
  <mergeCells count="3">
    <mergeCell ref="A32:J32"/>
    <mergeCell ref="A4:K4"/>
    <mergeCell ref="A31:L31"/>
  </mergeCells>
  <hyperlinks>
    <hyperlink ref="A2" location="'Table of Contents'!A1" display="Back to Table of Contents"/>
  </hyperlinks>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21"/>
  <sheetViews>
    <sheetView showGridLines="0" workbookViewId="0">
      <pane ySplit="2" topLeftCell="A3" activePane="bottomLeft" state="frozen"/>
      <selection pane="bottomLeft" sqref="A1:C1"/>
    </sheetView>
  </sheetViews>
  <sheetFormatPr defaultRowHeight="14.5" x14ac:dyDescent="0.35"/>
  <cols>
    <col min="1" max="1" width="17.1796875" customWidth="1"/>
    <col min="2" max="2" width="14.453125" style="721" customWidth="1"/>
    <col min="3" max="3" width="11.453125" style="721" customWidth="1"/>
    <col min="4" max="4" width="14.453125" style="721" customWidth="1"/>
    <col min="5" max="5" width="14.1796875" style="721" customWidth="1"/>
    <col min="6" max="6" width="14.453125" style="721" customWidth="1"/>
  </cols>
  <sheetData>
    <row r="1" spans="1:6" ht="15.5" x14ac:dyDescent="0.35">
      <c r="A1" s="1160" t="s">
        <v>521</v>
      </c>
      <c r="B1" s="1160"/>
      <c r="C1" s="1160"/>
    </row>
    <row r="2" spans="1:6" ht="15.5" x14ac:dyDescent="0.35">
      <c r="A2" s="601" t="s">
        <v>509</v>
      </c>
      <c r="B2" s="722"/>
      <c r="C2" s="722"/>
    </row>
    <row r="4" spans="1:6" ht="15.5" x14ac:dyDescent="0.35">
      <c r="A4" s="1161" t="s">
        <v>821</v>
      </c>
      <c r="B4" s="1161"/>
      <c r="C4" s="1161"/>
      <c r="D4" s="1161"/>
      <c r="E4" s="1161"/>
      <c r="F4" s="1161"/>
    </row>
    <row r="5" spans="1:6" ht="15.5" x14ac:dyDescent="0.35">
      <c r="A5" t="s">
        <v>830</v>
      </c>
      <c r="B5" s="702"/>
      <c r="C5" s="702"/>
      <c r="D5" s="702"/>
      <c r="E5" s="702"/>
      <c r="F5" s="702"/>
    </row>
    <row r="6" spans="1:6" x14ac:dyDescent="0.35">
      <c r="A6" t="s">
        <v>320</v>
      </c>
      <c r="B6" s="302" t="s">
        <v>842</v>
      </c>
    </row>
    <row r="7" spans="1:6" x14ac:dyDescent="0.35">
      <c r="A7" t="s">
        <v>321</v>
      </c>
      <c r="B7" s="460" t="s">
        <v>323</v>
      </c>
    </row>
    <row r="8" spans="1:6" x14ac:dyDescent="0.35">
      <c r="A8" t="s">
        <v>322</v>
      </c>
      <c r="B8" s="460" t="s">
        <v>324</v>
      </c>
    </row>
    <row r="9" spans="1:6" ht="15.5" x14ac:dyDescent="0.35">
      <c r="A9" s="711"/>
    </row>
    <row r="10" spans="1:6" x14ac:dyDescent="0.35">
      <c r="A10" s="727" t="s">
        <v>1</v>
      </c>
      <c r="B10" s="728" t="s">
        <v>112</v>
      </c>
      <c r="C10" s="729" t="s">
        <v>793</v>
      </c>
      <c r="D10" s="729" t="s">
        <v>185</v>
      </c>
      <c r="E10" s="730" t="s">
        <v>29</v>
      </c>
      <c r="F10" s="730" t="s">
        <v>26</v>
      </c>
    </row>
    <row r="11" spans="1:6" x14ac:dyDescent="0.35">
      <c r="A11" s="724" t="s">
        <v>258</v>
      </c>
      <c r="B11" s="725">
        <v>116</v>
      </c>
      <c r="C11" s="725">
        <v>1</v>
      </c>
      <c r="D11" s="725">
        <v>311</v>
      </c>
      <c r="E11" s="725">
        <v>43</v>
      </c>
      <c r="F11" s="726">
        <f>SUM(B11:E11)</f>
        <v>471</v>
      </c>
    </row>
    <row r="12" spans="1:6" x14ac:dyDescent="0.35">
      <c r="A12" s="724" t="s">
        <v>242</v>
      </c>
      <c r="B12" s="725">
        <v>116</v>
      </c>
      <c r="C12" s="725">
        <v>1</v>
      </c>
      <c r="D12" s="725">
        <v>311</v>
      </c>
      <c r="E12" s="725">
        <v>43</v>
      </c>
      <c r="F12" s="726">
        <f t="shared" ref="F12:F15" si="0">SUM(B12:E12)</f>
        <v>471</v>
      </c>
    </row>
    <row r="13" spans="1:6" x14ac:dyDescent="0.35">
      <c r="A13" s="724" t="s">
        <v>241</v>
      </c>
      <c r="B13" s="725">
        <v>116</v>
      </c>
      <c r="C13" s="725">
        <v>1</v>
      </c>
      <c r="D13" s="725">
        <v>311</v>
      </c>
      <c r="E13" s="725">
        <v>43</v>
      </c>
      <c r="F13" s="726">
        <f t="shared" si="0"/>
        <v>471</v>
      </c>
    </row>
    <row r="14" spans="1:6" x14ac:dyDescent="0.35">
      <c r="A14" s="724" t="s">
        <v>773</v>
      </c>
      <c r="B14" s="725">
        <v>116</v>
      </c>
      <c r="C14" s="725">
        <v>1</v>
      </c>
      <c r="D14" s="725">
        <v>311</v>
      </c>
      <c r="E14" s="725">
        <v>43</v>
      </c>
      <c r="F14" s="726">
        <f t="shared" ref="F14" si="1">SUM(B14:E14)</f>
        <v>471</v>
      </c>
    </row>
    <row r="15" spans="1:6" ht="15" thickBot="1" x14ac:dyDescent="0.4">
      <c r="A15" s="206" t="s">
        <v>951</v>
      </c>
      <c r="B15" s="213">
        <v>116</v>
      </c>
      <c r="C15" s="213">
        <v>1</v>
      </c>
      <c r="D15" s="213">
        <v>311</v>
      </c>
      <c r="E15" s="213">
        <v>43</v>
      </c>
      <c r="F15" s="720">
        <f t="shared" si="0"/>
        <v>471</v>
      </c>
    </row>
    <row r="17" spans="1:8" x14ac:dyDescent="0.35">
      <c r="A17" s="398" t="s">
        <v>8</v>
      </c>
      <c r="B17" s="723"/>
      <c r="C17" s="723"/>
      <c r="D17" s="723"/>
      <c r="E17" s="723"/>
      <c r="F17" s="723"/>
      <c r="G17" s="359"/>
      <c r="H17" s="359"/>
    </row>
    <row r="18" spans="1:8" ht="15" customHeight="1" x14ac:dyDescent="0.35">
      <c r="A18" s="382" t="s">
        <v>832</v>
      </c>
      <c r="B18" s="723"/>
      <c r="C18" s="723"/>
      <c r="D18" s="723"/>
      <c r="E18" s="723"/>
      <c r="F18" s="723"/>
      <c r="G18" s="359"/>
      <c r="H18" s="359"/>
    </row>
    <row r="19" spans="1:8" ht="15" customHeight="1" x14ac:dyDescent="0.35">
      <c r="A19" s="382" t="s">
        <v>831</v>
      </c>
      <c r="B19" s="723"/>
      <c r="C19" s="723"/>
      <c r="D19" s="723"/>
      <c r="E19" s="723"/>
      <c r="F19" s="723"/>
      <c r="G19" s="359"/>
      <c r="H19" s="359"/>
    </row>
    <row r="20" spans="1:8" x14ac:dyDescent="0.35">
      <c r="A20" t="s">
        <v>833</v>
      </c>
      <c r="B20"/>
      <c r="C20"/>
      <c r="D20"/>
      <c r="E20"/>
      <c r="F20"/>
    </row>
    <row r="21" spans="1:8" x14ac:dyDescent="0.35">
      <c r="A21" t="s">
        <v>834</v>
      </c>
    </row>
  </sheetData>
  <sheetProtection algorithmName="SHA-512" hashValue="bYE18IwV3mzfm2VYi4huy5W3rI2XK+eHat36Gp/HP5wgeNXDDK+UZE78dfLTtbBjW86qv/QMqJ0i7lWjC5N/Rg==" saltValue="JNrxp7GpX38duDtREFo0MQ==" spinCount="100000" sheet="1" scenarios="1" formatCells="0" formatColumns="0" formatRows="0" sort="0" autoFilter="0" pivotTables="0"/>
  <mergeCells count="2">
    <mergeCell ref="A1:C1"/>
    <mergeCell ref="A4:F4"/>
  </mergeCells>
  <hyperlinks>
    <hyperlink ref="A2" location="'Table of Contents'!A1" display="Back to Table of Contents"/>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36"/>
  <sheetViews>
    <sheetView topLeftCell="A4" workbookViewId="0">
      <selection activeCell="C21" sqref="C21"/>
    </sheetView>
  </sheetViews>
  <sheetFormatPr defaultRowHeight="14.5" x14ac:dyDescent="0.35"/>
  <cols>
    <col min="1" max="1" width="20.36328125" bestFit="1" customWidth="1"/>
    <col min="2" max="2" width="21.26953125" bestFit="1" customWidth="1"/>
    <col min="3" max="3" width="16.453125" bestFit="1" customWidth="1"/>
    <col min="4" max="4" width="11.453125" bestFit="1" customWidth="1"/>
    <col min="5" max="5" width="12.453125" bestFit="1" customWidth="1"/>
    <col min="6" max="6" width="11.6328125" bestFit="1" customWidth="1"/>
    <col min="7" max="7" width="34.08984375" bestFit="1" customWidth="1"/>
    <col min="8" max="8" width="22.453125" bestFit="1" customWidth="1"/>
    <col min="9" max="9" width="19.36328125" bestFit="1" customWidth="1"/>
    <col min="10" max="10" width="22.453125" bestFit="1" customWidth="1"/>
    <col min="11" max="11" width="12.54296875" bestFit="1" customWidth="1"/>
    <col min="12" max="12" width="11.26953125" bestFit="1" customWidth="1"/>
    <col min="13" max="13" width="27.36328125" bestFit="1" customWidth="1"/>
    <col min="14" max="14" width="26" bestFit="1" customWidth="1"/>
    <col min="15" max="15" width="12" bestFit="1" customWidth="1"/>
    <col min="16" max="16" width="21.7265625" bestFit="1" customWidth="1"/>
  </cols>
  <sheetData>
    <row r="1" spans="1:16" x14ac:dyDescent="0.35">
      <c r="A1" s="459" t="s">
        <v>1</v>
      </c>
      <c r="B1" t="s">
        <v>951</v>
      </c>
    </row>
    <row r="3" spans="1:16" x14ac:dyDescent="0.35">
      <c r="A3" s="459" t="s">
        <v>234</v>
      </c>
      <c r="B3" t="s">
        <v>366</v>
      </c>
      <c r="C3" t="s">
        <v>367</v>
      </c>
      <c r="D3" t="s">
        <v>368</v>
      </c>
      <c r="E3" t="s">
        <v>369</v>
      </c>
      <c r="F3" t="s">
        <v>370</v>
      </c>
      <c r="G3" t="s">
        <v>371</v>
      </c>
      <c r="H3" t="s">
        <v>372</v>
      </c>
      <c r="I3" t="s">
        <v>373</v>
      </c>
      <c r="J3" t="s">
        <v>374</v>
      </c>
      <c r="K3" t="s">
        <v>375</v>
      </c>
      <c r="L3" t="s">
        <v>376</v>
      </c>
      <c r="M3" t="s">
        <v>984</v>
      </c>
      <c r="N3" t="s">
        <v>377</v>
      </c>
      <c r="O3" t="s">
        <v>378</v>
      </c>
      <c r="P3" t="s">
        <v>379</v>
      </c>
    </row>
    <row r="4" spans="1:16" x14ac:dyDescent="0.35">
      <c r="A4" s="1000" t="s">
        <v>31</v>
      </c>
      <c r="B4" s="461">
        <v>17</v>
      </c>
      <c r="C4" s="461">
        <v>72</v>
      </c>
      <c r="D4" s="461">
        <v>71</v>
      </c>
      <c r="E4" s="461"/>
      <c r="F4" s="461">
        <v>2</v>
      </c>
      <c r="G4" s="461">
        <v>5</v>
      </c>
      <c r="H4" s="461">
        <v>1</v>
      </c>
      <c r="I4" s="461"/>
      <c r="J4" s="461">
        <v>1</v>
      </c>
      <c r="K4" s="461">
        <v>1</v>
      </c>
      <c r="L4" s="461">
        <v>3</v>
      </c>
      <c r="M4" s="461"/>
      <c r="N4" s="461">
        <v>2</v>
      </c>
      <c r="O4" s="461">
        <v>3</v>
      </c>
      <c r="P4" s="461">
        <v>3</v>
      </c>
    </row>
    <row r="5" spans="1:16" x14ac:dyDescent="0.35">
      <c r="A5" s="1000" t="s">
        <v>32</v>
      </c>
      <c r="B5" s="461">
        <v>8</v>
      </c>
      <c r="C5" s="461">
        <v>27</v>
      </c>
      <c r="D5" s="461">
        <v>6</v>
      </c>
      <c r="E5" s="461"/>
      <c r="F5" s="461">
        <v>7</v>
      </c>
      <c r="G5" s="461">
        <v>19</v>
      </c>
      <c r="H5" s="461"/>
      <c r="I5" s="461"/>
      <c r="J5" s="461">
        <v>4</v>
      </c>
      <c r="K5" s="461">
        <v>1</v>
      </c>
      <c r="L5" s="461">
        <v>1</v>
      </c>
      <c r="M5" s="461">
        <v>3</v>
      </c>
      <c r="N5" s="461">
        <v>4</v>
      </c>
      <c r="O5" s="461"/>
      <c r="P5" s="461">
        <v>1</v>
      </c>
    </row>
    <row r="6" spans="1:16" x14ac:dyDescent="0.35">
      <c r="A6" s="1000" t="s">
        <v>33</v>
      </c>
      <c r="B6" s="461">
        <v>7</v>
      </c>
      <c r="C6" s="461">
        <v>42</v>
      </c>
      <c r="D6" s="461">
        <v>3</v>
      </c>
      <c r="E6" s="461"/>
      <c r="F6" s="461"/>
      <c r="G6" s="461">
        <v>3</v>
      </c>
      <c r="H6" s="461"/>
      <c r="I6" s="461"/>
      <c r="J6" s="461"/>
      <c r="K6" s="461"/>
      <c r="L6" s="461">
        <v>3</v>
      </c>
      <c r="M6" s="461">
        <v>1</v>
      </c>
      <c r="N6" s="461"/>
      <c r="O6" s="461"/>
      <c r="P6" s="461"/>
    </row>
    <row r="7" spans="1:16" x14ac:dyDescent="0.35">
      <c r="A7" s="1000" t="s">
        <v>34</v>
      </c>
      <c r="B7" s="461"/>
      <c r="C7" s="461">
        <v>7</v>
      </c>
      <c r="D7" s="461">
        <v>15</v>
      </c>
      <c r="E7" s="461">
        <v>6</v>
      </c>
      <c r="F7" s="461">
        <v>68</v>
      </c>
      <c r="G7" s="461">
        <v>9</v>
      </c>
      <c r="H7" s="461">
        <v>2</v>
      </c>
      <c r="I7" s="461"/>
      <c r="J7" s="461"/>
      <c r="K7" s="461">
        <v>2</v>
      </c>
      <c r="L7" s="461">
        <v>1</v>
      </c>
      <c r="M7" s="461">
        <v>4</v>
      </c>
      <c r="N7" s="461">
        <v>2</v>
      </c>
      <c r="O7" s="461">
        <v>1</v>
      </c>
      <c r="P7" s="461">
        <v>2</v>
      </c>
    </row>
    <row r="8" spans="1:16" x14ac:dyDescent="0.35">
      <c r="A8" s="1000" t="s">
        <v>245</v>
      </c>
      <c r="B8" s="461">
        <v>22</v>
      </c>
      <c r="C8" s="461">
        <v>90</v>
      </c>
      <c r="D8" s="461">
        <v>175</v>
      </c>
      <c r="E8" s="461">
        <v>3</v>
      </c>
      <c r="F8" s="461">
        <v>10</v>
      </c>
      <c r="G8" s="461">
        <v>11</v>
      </c>
      <c r="H8" s="461"/>
      <c r="I8" s="461">
        <v>2</v>
      </c>
      <c r="J8" s="461">
        <v>20</v>
      </c>
      <c r="K8" s="461">
        <v>5</v>
      </c>
      <c r="L8" s="461">
        <v>8</v>
      </c>
      <c r="M8" s="461">
        <v>8</v>
      </c>
      <c r="N8" s="461">
        <v>2</v>
      </c>
      <c r="O8" s="461">
        <v>6</v>
      </c>
      <c r="P8" s="461"/>
    </row>
    <row r="9" spans="1:16" x14ac:dyDescent="0.35">
      <c r="A9" s="1000" t="s">
        <v>35</v>
      </c>
      <c r="B9" s="461">
        <v>2</v>
      </c>
      <c r="C9" s="461">
        <v>19</v>
      </c>
      <c r="D9" s="461"/>
      <c r="E9" s="461">
        <v>4</v>
      </c>
      <c r="F9" s="461"/>
      <c r="G9" s="461"/>
      <c r="H9" s="461"/>
      <c r="I9" s="461"/>
      <c r="J9" s="461">
        <v>1</v>
      </c>
      <c r="K9" s="461">
        <v>2</v>
      </c>
      <c r="L9" s="461">
        <v>1</v>
      </c>
      <c r="M9" s="461">
        <v>3</v>
      </c>
      <c r="N9" s="461">
        <v>2</v>
      </c>
      <c r="O9" s="461">
        <v>1</v>
      </c>
      <c r="P9" s="461"/>
    </row>
    <row r="10" spans="1:16" x14ac:dyDescent="0.35">
      <c r="A10" s="1000" t="s">
        <v>36</v>
      </c>
      <c r="B10" s="461">
        <v>8</v>
      </c>
      <c r="C10" s="461">
        <v>69</v>
      </c>
      <c r="D10" s="461">
        <v>34</v>
      </c>
      <c r="E10" s="461"/>
      <c r="F10" s="461">
        <v>3</v>
      </c>
      <c r="G10" s="461">
        <v>1</v>
      </c>
      <c r="H10" s="461"/>
      <c r="I10" s="461"/>
      <c r="J10" s="461">
        <v>1</v>
      </c>
      <c r="K10" s="461">
        <v>1</v>
      </c>
      <c r="L10" s="461">
        <v>4</v>
      </c>
      <c r="M10" s="461">
        <v>2</v>
      </c>
      <c r="N10" s="461"/>
      <c r="O10" s="461">
        <v>1</v>
      </c>
      <c r="P10" s="461"/>
    </row>
    <row r="11" spans="1:16" x14ac:dyDescent="0.35">
      <c r="A11" s="1000" t="s">
        <v>37</v>
      </c>
      <c r="B11" s="461">
        <v>14</v>
      </c>
      <c r="C11" s="461">
        <v>34</v>
      </c>
      <c r="D11" s="461">
        <v>70</v>
      </c>
      <c r="E11" s="461">
        <v>1</v>
      </c>
      <c r="F11" s="461">
        <v>16</v>
      </c>
      <c r="G11" s="461">
        <v>5</v>
      </c>
      <c r="H11" s="461"/>
      <c r="I11" s="461"/>
      <c r="J11" s="461">
        <v>3</v>
      </c>
      <c r="K11" s="461">
        <v>4</v>
      </c>
      <c r="L11" s="461">
        <v>2</v>
      </c>
      <c r="M11" s="461">
        <v>1</v>
      </c>
      <c r="N11" s="461">
        <v>2</v>
      </c>
      <c r="O11" s="461">
        <v>2</v>
      </c>
      <c r="P11" s="461">
        <v>1</v>
      </c>
    </row>
    <row r="12" spans="1:16" x14ac:dyDescent="0.35">
      <c r="A12" s="1000" t="s">
        <v>38</v>
      </c>
      <c r="B12" s="461">
        <v>8</v>
      </c>
      <c r="C12" s="461">
        <v>50</v>
      </c>
      <c r="D12" s="461">
        <v>2</v>
      </c>
      <c r="E12" s="461"/>
      <c r="F12" s="461">
        <v>1</v>
      </c>
      <c r="G12" s="461">
        <v>3</v>
      </c>
      <c r="H12" s="461"/>
      <c r="I12" s="461"/>
      <c r="J12" s="461">
        <v>3</v>
      </c>
      <c r="K12" s="461"/>
      <c r="L12" s="461">
        <v>2</v>
      </c>
      <c r="M12" s="461"/>
      <c r="N12" s="461"/>
      <c r="O12" s="461"/>
      <c r="P12" s="461"/>
    </row>
    <row r="13" spans="1:16" x14ac:dyDescent="0.35">
      <c r="A13" s="1000" t="s">
        <v>39</v>
      </c>
      <c r="B13" s="461">
        <v>2</v>
      </c>
      <c r="C13" s="461">
        <v>22</v>
      </c>
      <c r="D13" s="461">
        <v>13</v>
      </c>
      <c r="E13" s="461"/>
      <c r="F13" s="461">
        <v>3</v>
      </c>
      <c r="G13" s="461">
        <v>1</v>
      </c>
      <c r="H13" s="461"/>
      <c r="I13" s="461"/>
      <c r="J13" s="461">
        <v>1</v>
      </c>
      <c r="K13" s="461"/>
      <c r="L13" s="461">
        <v>3</v>
      </c>
      <c r="M13" s="461"/>
      <c r="N13" s="461"/>
      <c r="O13" s="461"/>
      <c r="P13" s="461"/>
    </row>
    <row r="14" spans="1:16" x14ac:dyDescent="0.35">
      <c r="A14" s="1000" t="s">
        <v>40</v>
      </c>
      <c r="B14" s="461">
        <v>3</v>
      </c>
      <c r="C14" s="461">
        <v>23</v>
      </c>
      <c r="D14" s="461">
        <v>5</v>
      </c>
      <c r="E14" s="461"/>
      <c r="F14" s="461">
        <v>2</v>
      </c>
      <c r="G14" s="461"/>
      <c r="H14" s="461"/>
      <c r="I14" s="461"/>
      <c r="J14" s="461">
        <v>3</v>
      </c>
      <c r="K14" s="461">
        <v>2</v>
      </c>
      <c r="L14" s="461">
        <v>1</v>
      </c>
      <c r="M14" s="461">
        <v>3</v>
      </c>
      <c r="N14" s="461">
        <v>2</v>
      </c>
      <c r="O14" s="461"/>
      <c r="P14" s="461">
        <v>1</v>
      </c>
    </row>
    <row r="15" spans="1:16" x14ac:dyDescent="0.35">
      <c r="A15" s="1000" t="s">
        <v>41</v>
      </c>
      <c r="B15" s="461"/>
      <c r="C15" s="461">
        <v>13</v>
      </c>
      <c r="D15" s="461">
        <v>1</v>
      </c>
      <c r="E15" s="461"/>
      <c r="F15" s="461"/>
      <c r="G15" s="461"/>
      <c r="H15" s="461"/>
      <c r="I15" s="461"/>
      <c r="J15" s="461"/>
      <c r="K15" s="461">
        <v>2</v>
      </c>
      <c r="L15" s="461">
        <v>2</v>
      </c>
      <c r="M15" s="461"/>
      <c r="N15" s="461"/>
      <c r="O15" s="461"/>
      <c r="P15" s="461">
        <v>1</v>
      </c>
    </row>
    <row r="16" spans="1:16" x14ac:dyDescent="0.35">
      <c r="A16" s="1000" t="s">
        <v>42</v>
      </c>
      <c r="B16" s="461">
        <v>7</v>
      </c>
      <c r="C16" s="461">
        <v>39</v>
      </c>
      <c r="D16" s="461"/>
      <c r="E16" s="461"/>
      <c r="F16" s="461"/>
      <c r="G16" s="461"/>
      <c r="H16" s="461">
        <v>1</v>
      </c>
      <c r="I16" s="461"/>
      <c r="J16" s="461">
        <v>1</v>
      </c>
      <c r="K16" s="461">
        <v>3</v>
      </c>
      <c r="L16" s="461">
        <v>2</v>
      </c>
      <c r="M16" s="461">
        <v>3</v>
      </c>
      <c r="N16" s="461">
        <v>4</v>
      </c>
      <c r="O16" s="461">
        <v>1</v>
      </c>
      <c r="P16" s="461">
        <v>1</v>
      </c>
    </row>
    <row r="17" spans="1:16" x14ac:dyDescent="0.35">
      <c r="A17" s="1000" t="s">
        <v>43</v>
      </c>
      <c r="B17" s="461">
        <v>2</v>
      </c>
      <c r="C17" s="461">
        <v>123</v>
      </c>
      <c r="D17" s="461">
        <v>80</v>
      </c>
      <c r="E17" s="461">
        <v>2</v>
      </c>
      <c r="F17" s="461">
        <v>2</v>
      </c>
      <c r="G17" s="461">
        <v>8</v>
      </c>
      <c r="H17" s="461"/>
      <c r="I17" s="461">
        <v>1</v>
      </c>
      <c r="J17" s="461">
        <v>2</v>
      </c>
      <c r="K17" s="461">
        <v>3</v>
      </c>
      <c r="L17" s="461">
        <v>7</v>
      </c>
      <c r="M17" s="461">
        <v>6</v>
      </c>
      <c r="N17" s="461">
        <v>13</v>
      </c>
      <c r="O17" s="461">
        <v>3</v>
      </c>
      <c r="P17" s="461"/>
    </row>
    <row r="18" spans="1:16" x14ac:dyDescent="0.35">
      <c r="A18" s="1000" t="s">
        <v>114</v>
      </c>
      <c r="B18" s="461">
        <v>10</v>
      </c>
      <c r="C18" s="461">
        <v>108</v>
      </c>
      <c r="D18" s="461">
        <v>222</v>
      </c>
      <c r="E18" s="461">
        <v>6</v>
      </c>
      <c r="F18" s="461">
        <v>30</v>
      </c>
      <c r="G18" s="461">
        <v>4</v>
      </c>
      <c r="H18" s="461">
        <v>5</v>
      </c>
      <c r="I18" s="461">
        <v>1</v>
      </c>
      <c r="J18" s="461">
        <v>10</v>
      </c>
      <c r="K18" s="461">
        <v>7</v>
      </c>
      <c r="L18" s="461">
        <v>30</v>
      </c>
      <c r="M18" s="461">
        <v>11</v>
      </c>
      <c r="N18" s="461">
        <v>7</v>
      </c>
      <c r="O18" s="461">
        <v>5</v>
      </c>
      <c r="P18" s="461">
        <v>14</v>
      </c>
    </row>
    <row r="19" spans="1:16" x14ac:dyDescent="0.35">
      <c r="A19" s="1000" t="s">
        <v>44</v>
      </c>
      <c r="B19" s="461">
        <v>18</v>
      </c>
      <c r="C19" s="461">
        <v>56</v>
      </c>
      <c r="D19" s="461">
        <v>16</v>
      </c>
      <c r="E19" s="461"/>
      <c r="F19" s="461">
        <v>13</v>
      </c>
      <c r="G19" s="461">
        <v>2</v>
      </c>
      <c r="H19" s="461"/>
      <c r="I19" s="461">
        <v>1</v>
      </c>
      <c r="J19" s="461">
        <v>1</v>
      </c>
      <c r="K19" s="461">
        <v>1</v>
      </c>
      <c r="L19" s="461">
        <v>2</v>
      </c>
      <c r="M19" s="461">
        <v>2</v>
      </c>
      <c r="N19" s="461">
        <v>4</v>
      </c>
      <c r="O19" s="461">
        <v>2</v>
      </c>
      <c r="P19" s="461">
        <v>2</v>
      </c>
    </row>
    <row r="20" spans="1:16" x14ac:dyDescent="0.35">
      <c r="A20" s="1000" t="s">
        <v>45</v>
      </c>
      <c r="B20" s="461"/>
      <c r="C20" s="461">
        <v>20</v>
      </c>
      <c r="D20" s="461">
        <v>4</v>
      </c>
      <c r="E20" s="461"/>
      <c r="F20" s="461">
        <v>1</v>
      </c>
      <c r="G20" s="461"/>
      <c r="H20" s="461"/>
      <c r="I20" s="461"/>
      <c r="J20" s="461">
        <v>1</v>
      </c>
      <c r="K20" s="461"/>
      <c r="L20" s="461"/>
      <c r="M20" s="461">
        <v>1</v>
      </c>
      <c r="N20" s="461"/>
      <c r="O20" s="461"/>
      <c r="P20" s="461"/>
    </row>
    <row r="21" spans="1:16" x14ac:dyDescent="0.35">
      <c r="A21" s="1000" t="s">
        <v>46</v>
      </c>
      <c r="B21" s="461">
        <v>3</v>
      </c>
      <c r="C21" s="461">
        <v>20</v>
      </c>
      <c r="D21" s="461">
        <v>4</v>
      </c>
      <c r="E21" s="461"/>
      <c r="F21" s="461"/>
      <c r="G21" s="461"/>
      <c r="H21" s="461"/>
      <c r="I21" s="461"/>
      <c r="J21" s="461">
        <v>4</v>
      </c>
      <c r="K21" s="461"/>
      <c r="L21" s="461">
        <v>1</v>
      </c>
      <c r="M21" s="461">
        <v>2</v>
      </c>
      <c r="N21" s="461">
        <v>1</v>
      </c>
      <c r="O21" s="461"/>
      <c r="P21" s="461">
        <v>2</v>
      </c>
    </row>
    <row r="22" spans="1:16" x14ac:dyDescent="0.35">
      <c r="A22" s="1000" t="s">
        <v>47</v>
      </c>
      <c r="B22" s="461">
        <v>3</v>
      </c>
      <c r="C22" s="461">
        <v>6</v>
      </c>
      <c r="D22" s="461">
        <v>2</v>
      </c>
      <c r="E22" s="461"/>
      <c r="F22" s="461">
        <v>5</v>
      </c>
      <c r="G22" s="461">
        <v>12</v>
      </c>
      <c r="H22" s="461"/>
      <c r="I22" s="461"/>
      <c r="J22" s="461"/>
      <c r="K22" s="461">
        <v>4</v>
      </c>
      <c r="L22" s="461">
        <v>3</v>
      </c>
      <c r="M22" s="461"/>
      <c r="N22" s="461">
        <v>6</v>
      </c>
      <c r="O22" s="461"/>
      <c r="P22" s="461">
        <v>1</v>
      </c>
    </row>
    <row r="23" spans="1:16" x14ac:dyDescent="0.35">
      <c r="A23" s="1000" t="s">
        <v>48</v>
      </c>
      <c r="B23" s="461">
        <v>2</v>
      </c>
      <c r="C23" s="461">
        <v>9</v>
      </c>
      <c r="D23" s="461"/>
      <c r="E23" s="461"/>
      <c r="F23" s="461"/>
      <c r="G23" s="461"/>
      <c r="H23" s="461"/>
      <c r="I23" s="461"/>
      <c r="J23" s="461"/>
      <c r="K23" s="461"/>
      <c r="L23" s="461"/>
      <c r="M23" s="461"/>
      <c r="N23" s="461"/>
      <c r="O23" s="461"/>
      <c r="P23" s="461"/>
    </row>
    <row r="24" spans="1:16" x14ac:dyDescent="0.35">
      <c r="A24" s="1000" t="s">
        <v>49</v>
      </c>
      <c r="B24" s="461"/>
      <c r="C24" s="461">
        <v>66</v>
      </c>
      <c r="D24" s="461"/>
      <c r="E24" s="461"/>
      <c r="F24" s="461">
        <v>10</v>
      </c>
      <c r="G24" s="461">
        <v>2</v>
      </c>
      <c r="H24" s="461"/>
      <c r="I24" s="461"/>
      <c r="J24" s="461">
        <v>2</v>
      </c>
      <c r="K24" s="461"/>
      <c r="L24" s="461">
        <v>6</v>
      </c>
      <c r="M24" s="461">
        <v>1</v>
      </c>
      <c r="N24" s="461">
        <v>1</v>
      </c>
      <c r="O24" s="461"/>
      <c r="P24" s="461">
        <v>1</v>
      </c>
    </row>
    <row r="25" spans="1:16" x14ac:dyDescent="0.35">
      <c r="A25" s="1000" t="s">
        <v>50</v>
      </c>
      <c r="B25" s="461">
        <v>3</v>
      </c>
      <c r="C25" s="461">
        <v>41</v>
      </c>
      <c r="D25" s="461">
        <v>3</v>
      </c>
      <c r="E25" s="461">
        <v>1</v>
      </c>
      <c r="F25" s="461">
        <v>14</v>
      </c>
      <c r="G25" s="461">
        <v>1</v>
      </c>
      <c r="H25" s="461"/>
      <c r="I25" s="461"/>
      <c r="J25" s="461">
        <v>1</v>
      </c>
      <c r="K25" s="461">
        <v>2</v>
      </c>
      <c r="L25" s="461">
        <v>8</v>
      </c>
      <c r="M25" s="461">
        <v>4</v>
      </c>
      <c r="N25" s="461">
        <v>10</v>
      </c>
      <c r="O25" s="461">
        <v>26</v>
      </c>
      <c r="P25" s="461">
        <v>3</v>
      </c>
    </row>
    <row r="26" spans="1:16" x14ac:dyDescent="0.35">
      <c r="A26" s="1000" t="s">
        <v>51</v>
      </c>
      <c r="B26" s="461">
        <v>1</v>
      </c>
      <c r="C26" s="461">
        <v>5</v>
      </c>
      <c r="D26" s="461"/>
      <c r="E26" s="461">
        <v>1</v>
      </c>
      <c r="F26" s="461">
        <v>2</v>
      </c>
      <c r="G26" s="461"/>
      <c r="H26" s="461"/>
      <c r="I26" s="461"/>
      <c r="J26" s="461"/>
      <c r="K26" s="461"/>
      <c r="L26" s="461"/>
      <c r="M26" s="461"/>
      <c r="N26" s="461"/>
      <c r="O26" s="461"/>
      <c r="P26" s="461"/>
    </row>
    <row r="27" spans="1:16" x14ac:dyDescent="0.35">
      <c r="A27" s="1000" t="s">
        <v>52</v>
      </c>
      <c r="B27" s="461">
        <v>36</v>
      </c>
      <c r="C27" s="461">
        <v>68</v>
      </c>
      <c r="D27" s="461">
        <v>7</v>
      </c>
      <c r="E27" s="461">
        <v>9</v>
      </c>
      <c r="F27" s="461">
        <v>2</v>
      </c>
      <c r="G27" s="461">
        <v>15</v>
      </c>
      <c r="H27" s="461"/>
      <c r="I27" s="461"/>
      <c r="J27" s="461">
        <v>2</v>
      </c>
      <c r="K27" s="461">
        <v>2</v>
      </c>
      <c r="L27" s="461">
        <v>7</v>
      </c>
      <c r="M27" s="461">
        <v>1</v>
      </c>
      <c r="N27" s="461"/>
      <c r="O27" s="461">
        <v>3</v>
      </c>
      <c r="P27" s="461"/>
    </row>
    <row r="28" spans="1:16" x14ac:dyDescent="0.35">
      <c r="A28" s="1000" t="s">
        <v>53</v>
      </c>
      <c r="B28" s="461">
        <v>2</v>
      </c>
      <c r="C28" s="461">
        <v>38</v>
      </c>
      <c r="D28" s="461">
        <v>7</v>
      </c>
      <c r="E28" s="461"/>
      <c r="F28" s="461">
        <v>8</v>
      </c>
      <c r="G28" s="461">
        <v>3</v>
      </c>
      <c r="H28" s="461">
        <v>1</v>
      </c>
      <c r="I28" s="461"/>
      <c r="J28" s="461">
        <v>3</v>
      </c>
      <c r="K28" s="461">
        <v>4</v>
      </c>
      <c r="L28" s="461">
        <v>2</v>
      </c>
      <c r="M28" s="461">
        <v>1</v>
      </c>
      <c r="N28" s="461">
        <v>1</v>
      </c>
      <c r="O28" s="461"/>
      <c r="P28" s="461">
        <v>2</v>
      </c>
    </row>
    <row r="29" spans="1:16" x14ac:dyDescent="0.35">
      <c r="A29" s="1000" t="s">
        <v>54</v>
      </c>
      <c r="B29" s="461">
        <v>16</v>
      </c>
      <c r="C29" s="461">
        <v>34</v>
      </c>
      <c r="D29" s="461">
        <v>5</v>
      </c>
      <c r="E29" s="461"/>
      <c r="F29" s="461">
        <v>3</v>
      </c>
      <c r="G29" s="461"/>
      <c r="H29" s="461"/>
      <c r="I29" s="461"/>
      <c r="J29" s="461">
        <v>1</v>
      </c>
      <c r="K29" s="461">
        <v>2</v>
      </c>
      <c r="L29" s="461">
        <v>2</v>
      </c>
      <c r="M29" s="461"/>
      <c r="N29" s="461">
        <v>1</v>
      </c>
      <c r="O29" s="461"/>
      <c r="P29" s="461">
        <v>2</v>
      </c>
    </row>
    <row r="30" spans="1:16" x14ac:dyDescent="0.35">
      <c r="A30" s="1000" t="s">
        <v>55</v>
      </c>
      <c r="B30" s="461"/>
      <c r="C30" s="461">
        <v>8</v>
      </c>
      <c r="D30" s="461">
        <v>1</v>
      </c>
      <c r="E30" s="461"/>
      <c r="F30" s="461">
        <v>1</v>
      </c>
      <c r="G30" s="461"/>
      <c r="H30" s="461"/>
      <c r="I30" s="461"/>
      <c r="J30" s="461"/>
      <c r="K30" s="461"/>
      <c r="L30" s="461"/>
      <c r="M30" s="461"/>
      <c r="N30" s="461"/>
      <c r="O30" s="461"/>
      <c r="P30" s="461"/>
    </row>
    <row r="31" spans="1:16" x14ac:dyDescent="0.35">
      <c r="A31" s="1000" t="s">
        <v>56</v>
      </c>
      <c r="B31" s="461">
        <v>6</v>
      </c>
      <c r="C31" s="461">
        <v>47</v>
      </c>
      <c r="D31" s="461">
        <v>17</v>
      </c>
      <c r="E31" s="461">
        <v>2</v>
      </c>
      <c r="F31" s="461">
        <v>15</v>
      </c>
      <c r="G31" s="461">
        <v>9</v>
      </c>
      <c r="H31" s="461"/>
      <c r="I31" s="461"/>
      <c r="J31" s="461">
        <v>3</v>
      </c>
      <c r="K31" s="461">
        <v>7</v>
      </c>
      <c r="L31" s="461">
        <v>10</v>
      </c>
      <c r="M31" s="461"/>
      <c r="N31" s="461">
        <v>1</v>
      </c>
      <c r="O31" s="461"/>
      <c r="P31" s="461">
        <v>5</v>
      </c>
    </row>
    <row r="32" spans="1:16" x14ac:dyDescent="0.35">
      <c r="A32" s="1000" t="s">
        <v>57</v>
      </c>
      <c r="B32" s="461">
        <v>9</v>
      </c>
      <c r="C32" s="461">
        <v>83</v>
      </c>
      <c r="D32" s="461">
        <v>23</v>
      </c>
      <c r="E32" s="461"/>
      <c r="F32" s="461">
        <v>7</v>
      </c>
      <c r="G32" s="461"/>
      <c r="H32" s="461"/>
      <c r="I32" s="461"/>
      <c r="J32" s="461">
        <v>1</v>
      </c>
      <c r="K32" s="461">
        <v>1</v>
      </c>
      <c r="L32" s="461">
        <v>5</v>
      </c>
      <c r="M32" s="461">
        <v>1</v>
      </c>
      <c r="N32" s="461">
        <v>6</v>
      </c>
      <c r="O32" s="461">
        <v>5</v>
      </c>
      <c r="P32" s="461">
        <v>5</v>
      </c>
    </row>
    <row r="33" spans="1:16" x14ac:dyDescent="0.35">
      <c r="A33" s="1000" t="s">
        <v>58</v>
      </c>
      <c r="B33" s="461">
        <v>1</v>
      </c>
      <c r="C33" s="461">
        <v>49</v>
      </c>
      <c r="D33" s="461">
        <v>13</v>
      </c>
      <c r="E33" s="461">
        <v>2</v>
      </c>
      <c r="F33" s="461">
        <v>2</v>
      </c>
      <c r="G33" s="461">
        <v>2</v>
      </c>
      <c r="H33" s="461"/>
      <c r="I33" s="461"/>
      <c r="J33" s="461">
        <v>2</v>
      </c>
      <c r="K33" s="461">
        <v>2</v>
      </c>
      <c r="L33" s="461">
        <v>4</v>
      </c>
      <c r="M33" s="461">
        <v>1</v>
      </c>
      <c r="N33" s="461">
        <v>1</v>
      </c>
      <c r="O33" s="461"/>
      <c r="P33" s="461">
        <v>1</v>
      </c>
    </row>
    <row r="34" spans="1:16" x14ac:dyDescent="0.35">
      <c r="A34" s="1000" t="s">
        <v>59</v>
      </c>
      <c r="B34" s="461">
        <v>1</v>
      </c>
      <c r="C34" s="461">
        <v>8</v>
      </c>
      <c r="D34" s="461">
        <v>5</v>
      </c>
      <c r="E34" s="461"/>
      <c r="F34" s="461">
        <v>2</v>
      </c>
      <c r="G34" s="461"/>
      <c r="H34" s="461"/>
      <c r="I34" s="461">
        <v>1</v>
      </c>
      <c r="J34" s="461">
        <v>1</v>
      </c>
      <c r="K34" s="461">
        <v>7</v>
      </c>
      <c r="L34" s="461"/>
      <c r="M34" s="461">
        <v>1</v>
      </c>
      <c r="N34" s="461"/>
      <c r="O34" s="461">
        <v>1</v>
      </c>
      <c r="P34" s="461">
        <v>1</v>
      </c>
    </row>
    <row r="35" spans="1:16" x14ac:dyDescent="0.35">
      <c r="A35" s="1000" t="s">
        <v>60</v>
      </c>
      <c r="B35" s="461">
        <v>9</v>
      </c>
      <c r="C35" s="461">
        <v>46</v>
      </c>
      <c r="D35" s="461">
        <v>5</v>
      </c>
      <c r="E35" s="461"/>
      <c r="F35" s="461">
        <v>1</v>
      </c>
      <c r="G35" s="461"/>
      <c r="H35" s="461"/>
      <c r="I35" s="461"/>
      <c r="J35" s="461">
        <v>1</v>
      </c>
      <c r="K35" s="461">
        <v>2</v>
      </c>
      <c r="L35" s="461">
        <v>5</v>
      </c>
      <c r="M35" s="461">
        <v>2</v>
      </c>
      <c r="N35" s="461">
        <v>12</v>
      </c>
      <c r="O35" s="461">
        <v>2</v>
      </c>
      <c r="P35" s="461">
        <v>1</v>
      </c>
    </row>
    <row r="36" spans="1:16" x14ac:dyDescent="0.35">
      <c r="A36" s="1000" t="s">
        <v>239</v>
      </c>
      <c r="B36" s="461">
        <v>220</v>
      </c>
      <c r="C36" s="461">
        <v>1342</v>
      </c>
      <c r="D36" s="461">
        <v>809</v>
      </c>
      <c r="E36" s="461">
        <v>37</v>
      </c>
      <c r="F36" s="461">
        <v>230</v>
      </c>
      <c r="G36" s="461">
        <v>115</v>
      </c>
      <c r="H36" s="461">
        <v>10</v>
      </c>
      <c r="I36" s="461">
        <v>6</v>
      </c>
      <c r="J36" s="461">
        <v>73</v>
      </c>
      <c r="K36" s="461">
        <v>67</v>
      </c>
      <c r="L36" s="461">
        <v>125</v>
      </c>
      <c r="M36" s="461">
        <v>62</v>
      </c>
      <c r="N36" s="461">
        <v>84</v>
      </c>
      <c r="O36" s="461">
        <v>62</v>
      </c>
      <c r="P36" s="461">
        <v>50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R229"/>
  <sheetViews>
    <sheetView topLeftCell="A24" workbookViewId="0">
      <selection activeCell="E155" sqref="E155"/>
    </sheetView>
  </sheetViews>
  <sheetFormatPr defaultRowHeight="14.5" x14ac:dyDescent="0.35"/>
  <cols>
    <col min="1" max="1" width="7.453125" bestFit="1" customWidth="1"/>
    <col min="2" max="2" width="20.36328125" bestFit="1" customWidth="1"/>
    <col min="3" max="3" width="9.81640625" bestFit="1" customWidth="1"/>
    <col min="4" max="4" width="17.08984375" bestFit="1" customWidth="1"/>
    <col min="5" max="5" width="12.36328125" bestFit="1" customWidth="1"/>
    <col min="6" max="6" width="7.453125" bestFit="1" customWidth="1"/>
    <col min="7" max="7" width="8.453125" bestFit="1" customWidth="1"/>
    <col min="8" max="8" width="7.6328125" bestFit="1" customWidth="1"/>
    <col min="9" max="9" width="29.90625" bestFit="1" customWidth="1"/>
    <col min="10" max="10" width="18.26953125" bestFit="1" customWidth="1"/>
    <col min="11" max="11" width="15.26953125" bestFit="1" customWidth="1"/>
    <col min="12" max="12" width="18.26953125" bestFit="1" customWidth="1"/>
    <col min="13" max="13" width="8.54296875" bestFit="1" customWidth="1"/>
    <col min="14" max="14" width="7.26953125" bestFit="1" customWidth="1"/>
    <col min="15" max="15" width="23.1796875" bestFit="1" customWidth="1"/>
    <col min="16" max="16" width="21.81640625" bestFit="1" customWidth="1"/>
    <col min="17" max="17" width="8" bestFit="1" customWidth="1"/>
    <col min="18" max="18" width="17.54296875" bestFit="1" customWidth="1"/>
  </cols>
  <sheetData>
    <row r="1" spans="1:18" x14ac:dyDescent="0.35">
      <c r="A1" s="461" t="s">
        <v>1</v>
      </c>
      <c r="B1" s="461" t="s">
        <v>113</v>
      </c>
      <c r="C1" s="461" t="s">
        <v>449</v>
      </c>
      <c r="D1" s="461" t="s">
        <v>135</v>
      </c>
      <c r="E1" s="461" t="s">
        <v>136</v>
      </c>
      <c r="F1" s="461" t="s">
        <v>152</v>
      </c>
      <c r="G1" s="461" t="s">
        <v>137</v>
      </c>
      <c r="H1" s="461" t="s">
        <v>138</v>
      </c>
      <c r="I1" s="461" t="s">
        <v>139</v>
      </c>
      <c r="J1" s="461" t="s">
        <v>140</v>
      </c>
      <c r="K1" s="461" t="s">
        <v>141</v>
      </c>
      <c r="L1" s="461" t="s">
        <v>142</v>
      </c>
      <c r="M1" s="461" t="s">
        <v>143</v>
      </c>
      <c r="N1" s="461" t="s">
        <v>144</v>
      </c>
      <c r="O1" s="461" t="s">
        <v>982</v>
      </c>
      <c r="P1" s="461" t="s">
        <v>146</v>
      </c>
      <c r="Q1" s="461" t="s">
        <v>147</v>
      </c>
      <c r="R1" s="461" t="s">
        <v>981</v>
      </c>
    </row>
    <row r="2" spans="1:18" hidden="1" x14ac:dyDescent="0.35">
      <c r="A2" s="461" t="s">
        <v>193</v>
      </c>
      <c r="B2" s="461" t="s">
        <v>36</v>
      </c>
      <c r="C2" s="461" t="s">
        <v>268</v>
      </c>
      <c r="D2" s="461">
        <v>7</v>
      </c>
      <c r="E2" s="461">
        <v>38</v>
      </c>
      <c r="F2" s="461">
        <v>29</v>
      </c>
      <c r="G2" s="461">
        <v>3</v>
      </c>
      <c r="H2" s="461">
        <v>58</v>
      </c>
      <c r="I2" s="461">
        <v>1</v>
      </c>
      <c r="J2" s="461">
        <v>1</v>
      </c>
      <c r="K2" s="461">
        <v>2</v>
      </c>
      <c r="L2" s="461">
        <v>12</v>
      </c>
      <c r="M2" s="461">
        <v>1</v>
      </c>
      <c r="N2" s="461">
        <v>21</v>
      </c>
      <c r="O2" s="461">
        <v>17</v>
      </c>
      <c r="P2" s="461">
        <v>12</v>
      </c>
      <c r="Q2" s="461">
        <v>9</v>
      </c>
      <c r="R2" s="461">
        <v>2</v>
      </c>
    </row>
    <row r="3" spans="1:18" hidden="1" x14ac:dyDescent="0.35">
      <c r="A3" s="461" t="s">
        <v>193</v>
      </c>
      <c r="B3" s="461" t="s">
        <v>44</v>
      </c>
      <c r="C3" s="461" t="s">
        <v>274</v>
      </c>
      <c r="D3" s="461">
        <v>12</v>
      </c>
      <c r="E3" s="461">
        <v>83</v>
      </c>
      <c r="F3" s="461">
        <v>59</v>
      </c>
      <c r="G3" s="461">
        <v>10</v>
      </c>
      <c r="H3" s="461">
        <v>92</v>
      </c>
      <c r="I3" s="461">
        <v>5</v>
      </c>
      <c r="J3" s="461"/>
      <c r="K3" s="461"/>
      <c r="L3" s="461">
        <v>5</v>
      </c>
      <c r="M3" s="461"/>
      <c r="N3" s="461">
        <v>3</v>
      </c>
      <c r="O3" s="461"/>
      <c r="P3" s="461">
        <v>5</v>
      </c>
      <c r="Q3" s="461"/>
      <c r="R3" s="461">
        <v>2</v>
      </c>
    </row>
    <row r="4" spans="1:18" hidden="1" x14ac:dyDescent="0.35">
      <c r="A4" s="461" t="s">
        <v>193</v>
      </c>
      <c r="B4" s="461" t="s">
        <v>47</v>
      </c>
      <c r="C4" s="461" t="s">
        <v>277</v>
      </c>
      <c r="D4" s="461"/>
      <c r="E4" s="461">
        <v>15</v>
      </c>
      <c r="F4" s="461">
        <v>14</v>
      </c>
      <c r="G4" s="461"/>
      <c r="H4" s="461">
        <v>46</v>
      </c>
      <c r="I4" s="461">
        <v>8</v>
      </c>
      <c r="J4" s="461"/>
      <c r="K4" s="461">
        <v>1</v>
      </c>
      <c r="L4" s="461">
        <v>4</v>
      </c>
      <c r="M4" s="461"/>
      <c r="N4" s="461">
        <v>1</v>
      </c>
      <c r="O4" s="461">
        <v>6</v>
      </c>
      <c r="P4" s="461">
        <v>16</v>
      </c>
      <c r="Q4" s="461">
        <v>3</v>
      </c>
      <c r="R4" s="461"/>
    </row>
    <row r="5" spans="1:18" hidden="1" x14ac:dyDescent="0.35">
      <c r="A5" s="461" t="s">
        <v>193</v>
      </c>
      <c r="B5" s="461" t="s">
        <v>57</v>
      </c>
      <c r="C5" s="461" t="s">
        <v>284</v>
      </c>
      <c r="D5" s="461">
        <v>10</v>
      </c>
      <c r="E5" s="461">
        <v>110</v>
      </c>
      <c r="F5" s="461">
        <v>69</v>
      </c>
      <c r="G5" s="461"/>
      <c r="H5" s="461">
        <v>36</v>
      </c>
      <c r="I5" s="461">
        <v>3</v>
      </c>
      <c r="J5" s="461"/>
      <c r="K5" s="461">
        <v>1</v>
      </c>
      <c r="L5" s="461">
        <v>12</v>
      </c>
      <c r="M5" s="461">
        <v>7</v>
      </c>
      <c r="N5" s="461">
        <v>15</v>
      </c>
      <c r="O5" s="461">
        <v>9</v>
      </c>
      <c r="P5" s="461">
        <v>5</v>
      </c>
      <c r="Q5" s="461">
        <v>7</v>
      </c>
      <c r="R5" s="461">
        <v>2</v>
      </c>
    </row>
    <row r="6" spans="1:18" hidden="1" x14ac:dyDescent="0.35">
      <c r="A6" s="461" t="s">
        <v>192</v>
      </c>
      <c r="B6" s="461" t="s">
        <v>245</v>
      </c>
      <c r="C6" s="461" t="s">
        <v>289</v>
      </c>
      <c r="D6" s="461">
        <v>35</v>
      </c>
      <c r="E6" s="461">
        <v>123</v>
      </c>
      <c r="F6" s="461">
        <v>178</v>
      </c>
      <c r="G6" s="461">
        <v>33</v>
      </c>
      <c r="H6" s="461">
        <v>141</v>
      </c>
      <c r="I6" s="461">
        <v>29</v>
      </c>
      <c r="J6" s="461">
        <v>4</v>
      </c>
      <c r="K6" s="461">
        <v>5</v>
      </c>
      <c r="L6" s="461">
        <v>80</v>
      </c>
      <c r="M6" s="461">
        <v>20</v>
      </c>
      <c r="N6" s="461">
        <v>74</v>
      </c>
      <c r="O6" s="461">
        <v>65</v>
      </c>
      <c r="P6" s="461">
        <v>7</v>
      </c>
      <c r="Q6" s="461">
        <v>52</v>
      </c>
      <c r="R6" s="461">
        <v>11</v>
      </c>
    </row>
    <row r="7" spans="1:18" hidden="1" x14ac:dyDescent="0.35">
      <c r="A7" s="461" t="s">
        <v>192</v>
      </c>
      <c r="B7" s="461" t="s">
        <v>38</v>
      </c>
      <c r="C7" s="461" t="s">
        <v>269</v>
      </c>
      <c r="D7" s="461">
        <v>8</v>
      </c>
      <c r="E7" s="461">
        <v>57</v>
      </c>
      <c r="F7" s="461">
        <v>3</v>
      </c>
      <c r="G7" s="461"/>
      <c r="H7" s="461">
        <v>28</v>
      </c>
      <c r="I7" s="461">
        <v>2</v>
      </c>
      <c r="J7" s="461"/>
      <c r="K7" s="461">
        <v>1</v>
      </c>
      <c r="L7" s="461">
        <v>6</v>
      </c>
      <c r="M7" s="461">
        <v>3</v>
      </c>
      <c r="N7" s="461">
        <v>16</v>
      </c>
      <c r="O7" s="461">
        <v>3</v>
      </c>
      <c r="P7" s="461">
        <v>3</v>
      </c>
      <c r="Q7" s="461">
        <v>12</v>
      </c>
      <c r="R7" s="461">
        <v>1</v>
      </c>
    </row>
    <row r="8" spans="1:18" hidden="1" x14ac:dyDescent="0.35">
      <c r="A8" s="461" t="s">
        <v>192</v>
      </c>
      <c r="B8" s="461" t="s">
        <v>53</v>
      </c>
      <c r="C8" s="461" t="s">
        <v>290</v>
      </c>
      <c r="D8" s="461">
        <v>1</v>
      </c>
      <c r="E8" s="461">
        <v>45</v>
      </c>
      <c r="F8" s="461">
        <v>70</v>
      </c>
      <c r="G8" s="461"/>
      <c r="H8" s="461">
        <v>27</v>
      </c>
      <c r="I8" s="461"/>
      <c r="J8" s="461">
        <v>1</v>
      </c>
      <c r="K8" s="461"/>
      <c r="L8" s="461">
        <v>10</v>
      </c>
      <c r="M8" s="461">
        <v>4</v>
      </c>
      <c r="N8" s="461">
        <v>32</v>
      </c>
      <c r="O8" s="461">
        <v>7</v>
      </c>
      <c r="P8" s="461">
        <v>23</v>
      </c>
      <c r="Q8" s="461">
        <v>7</v>
      </c>
      <c r="R8" s="461">
        <v>11</v>
      </c>
    </row>
    <row r="9" spans="1:18" hidden="1" x14ac:dyDescent="0.35">
      <c r="A9" s="461" t="s">
        <v>258</v>
      </c>
      <c r="B9" s="461" t="s">
        <v>40</v>
      </c>
      <c r="C9" s="461" t="s">
        <v>270</v>
      </c>
      <c r="D9" s="461">
        <v>8</v>
      </c>
      <c r="E9" s="461">
        <v>27</v>
      </c>
      <c r="F9" s="461">
        <v>12</v>
      </c>
      <c r="G9" s="461">
        <v>9</v>
      </c>
      <c r="H9" s="461">
        <v>13</v>
      </c>
      <c r="I9" s="461">
        <v>5</v>
      </c>
      <c r="J9" s="461"/>
      <c r="K9" s="461">
        <v>1</v>
      </c>
      <c r="L9" s="461">
        <v>9</v>
      </c>
      <c r="M9" s="461">
        <v>20</v>
      </c>
      <c r="N9" s="461">
        <v>8</v>
      </c>
      <c r="O9" s="461">
        <v>11</v>
      </c>
      <c r="P9" s="461">
        <v>3</v>
      </c>
      <c r="Q9" s="461">
        <v>8</v>
      </c>
      <c r="R9" s="461">
        <v>5</v>
      </c>
    </row>
    <row r="10" spans="1:18" hidden="1" x14ac:dyDescent="0.35">
      <c r="A10" s="461" t="s">
        <v>258</v>
      </c>
      <c r="B10" s="461" t="s">
        <v>114</v>
      </c>
      <c r="C10" s="461" t="s">
        <v>297</v>
      </c>
      <c r="D10" s="461">
        <v>47</v>
      </c>
      <c r="E10" s="461">
        <v>148</v>
      </c>
      <c r="F10" s="461">
        <v>958</v>
      </c>
      <c r="G10" s="461">
        <v>19</v>
      </c>
      <c r="H10" s="461">
        <v>99</v>
      </c>
      <c r="I10" s="461">
        <v>6</v>
      </c>
      <c r="J10" s="461">
        <v>3</v>
      </c>
      <c r="K10" s="461">
        <v>7</v>
      </c>
      <c r="L10" s="461">
        <v>84</v>
      </c>
      <c r="M10" s="461">
        <v>45</v>
      </c>
      <c r="N10" s="461">
        <v>52</v>
      </c>
      <c r="O10" s="461">
        <v>24</v>
      </c>
      <c r="P10" s="461">
        <v>18</v>
      </c>
      <c r="Q10" s="461">
        <v>27</v>
      </c>
      <c r="R10" s="461">
        <v>25</v>
      </c>
    </row>
    <row r="11" spans="1:18" hidden="1" x14ac:dyDescent="0.35">
      <c r="A11" s="461" t="s">
        <v>242</v>
      </c>
      <c r="B11" s="461" t="s">
        <v>245</v>
      </c>
      <c r="C11" s="461" t="s">
        <v>289</v>
      </c>
      <c r="D11" s="461">
        <v>45</v>
      </c>
      <c r="E11" s="461">
        <v>134</v>
      </c>
      <c r="F11" s="461">
        <v>183</v>
      </c>
      <c r="G11" s="461">
        <v>17</v>
      </c>
      <c r="H11" s="461">
        <v>115</v>
      </c>
      <c r="I11" s="461">
        <v>58</v>
      </c>
      <c r="J11" s="461">
        <v>6</v>
      </c>
      <c r="K11" s="461">
        <v>3</v>
      </c>
      <c r="L11" s="461">
        <v>55</v>
      </c>
      <c r="M11" s="461">
        <v>18</v>
      </c>
      <c r="N11" s="461">
        <v>27</v>
      </c>
      <c r="O11" s="461">
        <v>47</v>
      </c>
      <c r="P11" s="461">
        <v>4</v>
      </c>
      <c r="Q11" s="461">
        <v>22</v>
      </c>
      <c r="R11" s="461">
        <v>10</v>
      </c>
    </row>
    <row r="12" spans="1:18" hidden="1" x14ac:dyDescent="0.35">
      <c r="A12" s="461" t="s">
        <v>242</v>
      </c>
      <c r="B12" s="461" t="s">
        <v>43</v>
      </c>
      <c r="C12" s="461" t="s">
        <v>380</v>
      </c>
      <c r="D12">
        <v>13</v>
      </c>
      <c r="E12">
        <v>138</v>
      </c>
      <c r="F12">
        <v>175</v>
      </c>
      <c r="G12">
        <v>2</v>
      </c>
      <c r="H12">
        <v>69</v>
      </c>
      <c r="I12">
        <v>7</v>
      </c>
      <c r="K12">
        <v>2</v>
      </c>
      <c r="L12">
        <v>8</v>
      </c>
      <c r="M12">
        <v>5</v>
      </c>
      <c r="N12">
        <v>11</v>
      </c>
      <c r="O12">
        <v>9</v>
      </c>
      <c r="P12">
        <v>10</v>
      </c>
      <c r="Q12">
        <v>10</v>
      </c>
      <c r="R12">
        <v>5</v>
      </c>
    </row>
    <row r="13" spans="1:18" hidden="1" x14ac:dyDescent="0.35">
      <c r="A13" s="461" t="s">
        <v>242</v>
      </c>
      <c r="B13" s="461" t="s">
        <v>54</v>
      </c>
      <c r="C13" s="461" t="s">
        <v>281</v>
      </c>
      <c r="D13">
        <v>17</v>
      </c>
      <c r="E13">
        <v>36</v>
      </c>
      <c r="F13">
        <v>17</v>
      </c>
      <c r="H13">
        <v>60</v>
      </c>
      <c r="I13">
        <v>13</v>
      </c>
      <c r="J13">
        <v>3</v>
      </c>
      <c r="K13">
        <v>2</v>
      </c>
      <c r="L13">
        <v>20</v>
      </c>
      <c r="M13">
        <v>15</v>
      </c>
      <c r="N13">
        <v>21</v>
      </c>
      <c r="O13">
        <v>5</v>
      </c>
      <c r="P13">
        <v>9</v>
      </c>
      <c r="Q13">
        <v>9</v>
      </c>
      <c r="R13">
        <v>4</v>
      </c>
    </row>
    <row r="14" spans="1:18" hidden="1" x14ac:dyDescent="0.35">
      <c r="A14" s="461" t="s">
        <v>242</v>
      </c>
      <c r="B14" s="461" t="s">
        <v>58</v>
      </c>
      <c r="C14" s="461" t="s">
        <v>285</v>
      </c>
      <c r="D14">
        <v>2</v>
      </c>
      <c r="E14">
        <v>45</v>
      </c>
      <c r="F14">
        <v>56</v>
      </c>
      <c r="G14">
        <v>5</v>
      </c>
      <c r="H14">
        <v>41</v>
      </c>
      <c r="I14">
        <v>31</v>
      </c>
      <c r="J14">
        <v>2</v>
      </c>
      <c r="K14">
        <v>2</v>
      </c>
      <c r="L14">
        <v>11</v>
      </c>
      <c r="M14">
        <v>15</v>
      </c>
      <c r="N14">
        <v>2</v>
      </c>
      <c r="O14">
        <v>7</v>
      </c>
      <c r="P14">
        <v>2</v>
      </c>
      <c r="Q14">
        <v>2</v>
      </c>
      <c r="R14">
        <v>1</v>
      </c>
    </row>
    <row r="15" spans="1:18" hidden="1" x14ac:dyDescent="0.35">
      <c r="A15" s="461" t="s">
        <v>241</v>
      </c>
      <c r="B15" s="461" t="s">
        <v>31</v>
      </c>
      <c r="C15" s="461" t="s">
        <v>286</v>
      </c>
      <c r="D15">
        <v>22</v>
      </c>
      <c r="E15">
        <v>113</v>
      </c>
      <c r="F15">
        <v>136</v>
      </c>
      <c r="G15">
        <v>2</v>
      </c>
      <c r="H15">
        <v>32</v>
      </c>
      <c r="I15">
        <v>1</v>
      </c>
      <c r="J15">
        <v>5</v>
      </c>
      <c r="K15">
        <v>2</v>
      </c>
      <c r="L15">
        <v>5</v>
      </c>
      <c r="M15">
        <v>9</v>
      </c>
      <c r="N15">
        <v>10</v>
      </c>
      <c r="O15">
        <v>6</v>
      </c>
      <c r="P15">
        <v>7</v>
      </c>
      <c r="Q15">
        <v>6</v>
      </c>
      <c r="R15">
        <v>8</v>
      </c>
    </row>
    <row r="16" spans="1:18" hidden="1" x14ac:dyDescent="0.35">
      <c r="A16" s="461" t="s">
        <v>241</v>
      </c>
      <c r="B16" s="461" t="s">
        <v>52</v>
      </c>
      <c r="C16" s="461" t="s">
        <v>280</v>
      </c>
      <c r="D16">
        <v>69</v>
      </c>
      <c r="E16">
        <v>86</v>
      </c>
      <c r="F16">
        <v>18</v>
      </c>
      <c r="G16">
        <v>7</v>
      </c>
      <c r="H16">
        <v>48</v>
      </c>
      <c r="I16">
        <v>30</v>
      </c>
      <c r="K16">
        <v>1</v>
      </c>
      <c r="L16">
        <v>5</v>
      </c>
      <c r="M16">
        <v>2</v>
      </c>
      <c r="N16">
        <v>8</v>
      </c>
      <c r="O16">
        <v>5</v>
      </c>
      <c r="P16">
        <v>7</v>
      </c>
      <c r="Q16">
        <v>3</v>
      </c>
      <c r="R16">
        <v>4</v>
      </c>
    </row>
    <row r="17" spans="1:18" hidden="1" x14ac:dyDescent="0.35">
      <c r="A17" s="461" t="s">
        <v>773</v>
      </c>
      <c r="B17" s="461" t="s">
        <v>47</v>
      </c>
      <c r="C17" s="461" t="s">
        <v>277</v>
      </c>
      <c r="D17">
        <v>4</v>
      </c>
      <c r="E17">
        <v>21</v>
      </c>
      <c r="F17">
        <v>6</v>
      </c>
      <c r="G17">
        <v>1</v>
      </c>
      <c r="H17">
        <v>20</v>
      </c>
      <c r="I17">
        <v>23</v>
      </c>
      <c r="J17">
        <v>1</v>
      </c>
      <c r="K17">
        <v>1</v>
      </c>
      <c r="M17">
        <v>7</v>
      </c>
      <c r="N17">
        <v>7</v>
      </c>
      <c r="O17">
        <v>4</v>
      </c>
      <c r="P17">
        <v>4</v>
      </c>
      <c r="Q17">
        <v>1</v>
      </c>
    </row>
    <row r="18" spans="1:18" hidden="1" x14ac:dyDescent="0.35">
      <c r="A18" s="461" t="s">
        <v>773</v>
      </c>
      <c r="B18" s="461" t="s">
        <v>48</v>
      </c>
      <c r="C18" s="461" t="s">
        <v>272</v>
      </c>
    </row>
    <row r="19" spans="1:18" hidden="1" x14ac:dyDescent="0.35">
      <c r="A19" s="461" t="s">
        <v>773</v>
      </c>
      <c r="B19" s="461" t="s">
        <v>49</v>
      </c>
      <c r="C19" s="461" t="s">
        <v>278</v>
      </c>
      <c r="D19">
        <v>3</v>
      </c>
      <c r="E19">
        <v>62</v>
      </c>
      <c r="F19">
        <v>8</v>
      </c>
      <c r="G19">
        <v>7</v>
      </c>
      <c r="H19">
        <v>8</v>
      </c>
      <c r="I19">
        <v>11</v>
      </c>
      <c r="J19">
        <v>5</v>
      </c>
      <c r="K19">
        <v>1</v>
      </c>
      <c r="L19">
        <v>8</v>
      </c>
      <c r="M19">
        <v>2</v>
      </c>
      <c r="N19">
        <v>14</v>
      </c>
      <c r="O19">
        <v>7</v>
      </c>
      <c r="P19">
        <v>4</v>
      </c>
      <c r="Q19">
        <v>3</v>
      </c>
      <c r="R19">
        <v>5</v>
      </c>
    </row>
    <row r="20" spans="1:18" hidden="1" x14ac:dyDescent="0.35">
      <c r="A20" s="461" t="s">
        <v>773</v>
      </c>
      <c r="B20" s="461" t="s">
        <v>60</v>
      </c>
      <c r="C20" s="461" t="s">
        <v>292</v>
      </c>
      <c r="D20">
        <v>5</v>
      </c>
      <c r="E20">
        <v>45</v>
      </c>
      <c r="F20">
        <v>26</v>
      </c>
      <c r="H20">
        <v>10</v>
      </c>
      <c r="I20">
        <v>2</v>
      </c>
      <c r="J20">
        <v>1</v>
      </c>
      <c r="K20">
        <v>1</v>
      </c>
      <c r="L20">
        <v>9</v>
      </c>
      <c r="M20">
        <v>11</v>
      </c>
      <c r="N20">
        <v>17</v>
      </c>
      <c r="O20">
        <v>22</v>
      </c>
      <c r="P20">
        <v>17</v>
      </c>
      <c r="Q20">
        <v>5</v>
      </c>
      <c r="R20">
        <v>3</v>
      </c>
    </row>
    <row r="21" spans="1:18" x14ac:dyDescent="0.35">
      <c r="A21" s="461" t="s">
        <v>951</v>
      </c>
      <c r="B21" s="461" t="s">
        <v>31</v>
      </c>
      <c r="C21" s="461" t="s">
        <v>286</v>
      </c>
      <c r="D21">
        <v>17</v>
      </c>
      <c r="E21">
        <v>72</v>
      </c>
      <c r="F21">
        <v>71</v>
      </c>
      <c r="H21">
        <v>2</v>
      </c>
      <c r="I21">
        <v>5</v>
      </c>
      <c r="J21">
        <v>1</v>
      </c>
      <c r="L21">
        <v>1</v>
      </c>
      <c r="M21">
        <v>1</v>
      </c>
      <c r="N21">
        <v>3</v>
      </c>
      <c r="P21">
        <v>2</v>
      </c>
      <c r="Q21">
        <v>3</v>
      </c>
      <c r="R21">
        <v>3</v>
      </c>
    </row>
    <row r="22" spans="1:18" x14ac:dyDescent="0.35">
      <c r="A22" s="461" t="s">
        <v>951</v>
      </c>
      <c r="B22" s="461" t="s">
        <v>33</v>
      </c>
      <c r="C22" s="461" t="s">
        <v>293</v>
      </c>
      <c r="D22">
        <v>7</v>
      </c>
      <c r="E22">
        <v>42</v>
      </c>
      <c r="F22">
        <v>3</v>
      </c>
      <c r="I22">
        <v>3</v>
      </c>
      <c r="N22">
        <v>3</v>
      </c>
      <c r="O22">
        <v>1</v>
      </c>
    </row>
    <row r="23" spans="1:18" x14ac:dyDescent="0.35">
      <c r="A23" s="461" t="s">
        <v>951</v>
      </c>
      <c r="B23" s="461" t="s">
        <v>38</v>
      </c>
      <c r="C23" s="461" t="s">
        <v>269</v>
      </c>
      <c r="D23">
        <v>8</v>
      </c>
      <c r="E23">
        <v>50</v>
      </c>
      <c r="F23">
        <v>2</v>
      </c>
      <c r="H23">
        <v>1</v>
      </c>
      <c r="I23">
        <v>3</v>
      </c>
      <c r="L23">
        <v>3</v>
      </c>
      <c r="N23">
        <v>2</v>
      </c>
    </row>
    <row r="24" spans="1:18" x14ac:dyDescent="0.35">
      <c r="A24" s="461" t="s">
        <v>951</v>
      </c>
      <c r="B24" s="461" t="s">
        <v>52</v>
      </c>
      <c r="C24" s="461" t="s">
        <v>983</v>
      </c>
      <c r="D24">
        <v>36</v>
      </c>
      <c r="E24">
        <v>65</v>
      </c>
      <c r="F24">
        <v>7</v>
      </c>
      <c r="G24">
        <v>9</v>
      </c>
      <c r="H24">
        <v>2</v>
      </c>
      <c r="I24">
        <v>15</v>
      </c>
      <c r="L24">
        <v>2</v>
      </c>
      <c r="M24">
        <v>1</v>
      </c>
      <c r="N24">
        <v>7</v>
      </c>
      <c r="O24">
        <v>1</v>
      </c>
      <c r="Q24">
        <v>3</v>
      </c>
    </row>
    <row r="25" spans="1:18" hidden="1" x14ac:dyDescent="0.35">
      <c r="A25" s="461" t="s">
        <v>193</v>
      </c>
      <c r="B25" s="461" t="s">
        <v>39</v>
      </c>
      <c r="C25" s="461" t="s">
        <v>296</v>
      </c>
      <c r="D25">
        <v>5</v>
      </c>
      <c r="E25">
        <v>18</v>
      </c>
      <c r="F25">
        <v>1</v>
      </c>
      <c r="H25">
        <v>5</v>
      </c>
      <c r="I25">
        <v>1</v>
      </c>
      <c r="K25">
        <v>1</v>
      </c>
      <c r="L25">
        <v>2</v>
      </c>
      <c r="M25">
        <v>2</v>
      </c>
      <c r="N25">
        <v>6</v>
      </c>
      <c r="O25">
        <v>2</v>
      </c>
      <c r="P25">
        <v>4</v>
      </c>
      <c r="Q25">
        <v>4</v>
      </c>
      <c r="R25">
        <v>3</v>
      </c>
    </row>
    <row r="26" spans="1:18" hidden="1" x14ac:dyDescent="0.35">
      <c r="A26" s="461" t="s">
        <v>193</v>
      </c>
      <c r="B26" s="461" t="s">
        <v>46</v>
      </c>
      <c r="C26" s="461" t="s">
        <v>276</v>
      </c>
      <c r="D26">
        <v>3</v>
      </c>
      <c r="E26">
        <v>18</v>
      </c>
      <c r="F26">
        <v>35</v>
      </c>
      <c r="G26">
        <v>5</v>
      </c>
      <c r="H26">
        <v>2</v>
      </c>
      <c r="I26">
        <v>2</v>
      </c>
      <c r="J26">
        <v>1</v>
      </c>
      <c r="L26">
        <v>4</v>
      </c>
      <c r="M26">
        <v>14</v>
      </c>
      <c r="N26">
        <v>38</v>
      </c>
      <c r="P26">
        <v>1</v>
      </c>
      <c r="Q26">
        <v>1</v>
      </c>
      <c r="R26">
        <v>2</v>
      </c>
    </row>
    <row r="27" spans="1:18" hidden="1" x14ac:dyDescent="0.35">
      <c r="A27" s="461" t="s">
        <v>193</v>
      </c>
      <c r="B27" s="461" t="s">
        <v>49</v>
      </c>
      <c r="C27" s="461" t="s">
        <v>278</v>
      </c>
      <c r="D27">
        <v>7</v>
      </c>
      <c r="E27">
        <v>58</v>
      </c>
      <c r="F27">
        <v>2</v>
      </c>
      <c r="G27">
        <v>1</v>
      </c>
      <c r="H27">
        <v>6</v>
      </c>
      <c r="I27">
        <v>1</v>
      </c>
      <c r="K27">
        <v>1</v>
      </c>
      <c r="L27">
        <v>1</v>
      </c>
      <c r="M27">
        <v>2</v>
      </c>
      <c r="N27">
        <v>11</v>
      </c>
      <c r="O27">
        <v>9</v>
      </c>
      <c r="P27">
        <v>1</v>
      </c>
      <c r="Q27">
        <v>6</v>
      </c>
      <c r="R27">
        <v>3</v>
      </c>
    </row>
    <row r="28" spans="1:18" hidden="1" x14ac:dyDescent="0.35">
      <c r="A28" s="461" t="s">
        <v>193</v>
      </c>
      <c r="B28" s="461" t="s">
        <v>53</v>
      </c>
      <c r="C28" s="461" t="s">
        <v>290</v>
      </c>
      <c r="D28">
        <v>1</v>
      </c>
      <c r="E28">
        <v>51</v>
      </c>
      <c r="F28">
        <v>16</v>
      </c>
      <c r="H28">
        <v>21</v>
      </c>
      <c r="L28">
        <v>31</v>
      </c>
      <c r="M28">
        <v>12</v>
      </c>
      <c r="N28">
        <v>37</v>
      </c>
      <c r="O28">
        <v>10</v>
      </c>
      <c r="P28">
        <v>10</v>
      </c>
      <c r="Q28">
        <v>17</v>
      </c>
      <c r="R28">
        <v>9</v>
      </c>
    </row>
    <row r="29" spans="1:18" hidden="1" x14ac:dyDescent="0.35">
      <c r="A29" s="461" t="s">
        <v>193</v>
      </c>
      <c r="B29" s="461" t="s">
        <v>54</v>
      </c>
      <c r="C29" s="461" t="s">
        <v>281</v>
      </c>
      <c r="D29">
        <v>17</v>
      </c>
      <c r="E29">
        <v>34</v>
      </c>
      <c r="F29">
        <v>22</v>
      </c>
      <c r="G29">
        <v>2</v>
      </c>
      <c r="H29">
        <v>85</v>
      </c>
      <c r="I29">
        <v>41</v>
      </c>
      <c r="K29">
        <v>2</v>
      </c>
      <c r="L29">
        <v>21</v>
      </c>
      <c r="M29">
        <v>8</v>
      </c>
      <c r="N29">
        <v>117</v>
      </c>
      <c r="O29">
        <v>11</v>
      </c>
      <c r="P29">
        <v>7</v>
      </c>
      <c r="Q29">
        <v>7</v>
      </c>
      <c r="R29">
        <v>7</v>
      </c>
    </row>
    <row r="30" spans="1:18" hidden="1" x14ac:dyDescent="0.35">
      <c r="A30" s="461" t="s">
        <v>192</v>
      </c>
      <c r="B30" s="461" t="s">
        <v>31</v>
      </c>
      <c r="C30" s="461" t="s">
        <v>286</v>
      </c>
      <c r="D30">
        <v>23</v>
      </c>
      <c r="E30">
        <v>41</v>
      </c>
      <c r="F30">
        <v>192</v>
      </c>
      <c r="G30">
        <v>2</v>
      </c>
      <c r="H30">
        <v>25</v>
      </c>
      <c r="I30">
        <v>2</v>
      </c>
      <c r="J30">
        <v>5</v>
      </c>
      <c r="L30">
        <v>10</v>
      </c>
      <c r="M30">
        <v>1</v>
      </c>
      <c r="N30">
        <v>1</v>
      </c>
      <c r="O30">
        <v>7</v>
      </c>
      <c r="Q30">
        <v>1</v>
      </c>
      <c r="R30">
        <v>5</v>
      </c>
    </row>
    <row r="31" spans="1:18" hidden="1" x14ac:dyDescent="0.35">
      <c r="A31" s="461" t="s">
        <v>192</v>
      </c>
      <c r="B31" s="461" t="s">
        <v>32</v>
      </c>
      <c r="C31" s="461" t="s">
        <v>287</v>
      </c>
      <c r="D31">
        <v>13</v>
      </c>
      <c r="E31">
        <v>109</v>
      </c>
      <c r="F31">
        <v>44</v>
      </c>
      <c r="G31">
        <v>2</v>
      </c>
      <c r="H31">
        <v>106</v>
      </c>
      <c r="I31">
        <v>38</v>
      </c>
      <c r="L31">
        <v>24</v>
      </c>
      <c r="M31">
        <v>3</v>
      </c>
      <c r="O31">
        <v>8</v>
      </c>
      <c r="P31">
        <v>15</v>
      </c>
      <c r="Q31">
        <v>5</v>
      </c>
      <c r="R31">
        <v>6</v>
      </c>
    </row>
    <row r="32" spans="1:18" hidden="1" x14ac:dyDescent="0.35">
      <c r="A32" s="461" t="s">
        <v>192</v>
      </c>
      <c r="B32" s="461" t="s">
        <v>40</v>
      </c>
      <c r="C32" s="461" t="s">
        <v>270</v>
      </c>
      <c r="D32">
        <v>8</v>
      </c>
      <c r="E32">
        <v>27</v>
      </c>
      <c r="F32">
        <v>13</v>
      </c>
      <c r="G32">
        <v>9</v>
      </c>
      <c r="H32">
        <v>32</v>
      </c>
      <c r="I32">
        <v>22</v>
      </c>
      <c r="J32">
        <v>1</v>
      </c>
      <c r="K32">
        <v>5</v>
      </c>
      <c r="L32">
        <v>8</v>
      </c>
      <c r="M32">
        <v>3</v>
      </c>
      <c r="N32">
        <v>9</v>
      </c>
      <c r="O32">
        <v>7</v>
      </c>
      <c r="P32">
        <v>3</v>
      </c>
      <c r="Q32">
        <v>4</v>
      </c>
      <c r="R32">
        <v>5</v>
      </c>
    </row>
    <row r="33" spans="1:18" hidden="1" x14ac:dyDescent="0.35">
      <c r="A33" s="461" t="s">
        <v>192</v>
      </c>
      <c r="B33" s="461" t="s">
        <v>41</v>
      </c>
      <c r="C33" s="461" t="s">
        <v>271</v>
      </c>
      <c r="D33">
        <v>1</v>
      </c>
      <c r="E33">
        <v>10</v>
      </c>
      <c r="H33">
        <v>5</v>
      </c>
      <c r="I33">
        <v>1</v>
      </c>
      <c r="J33">
        <v>1</v>
      </c>
      <c r="L33">
        <v>4</v>
      </c>
      <c r="M33">
        <v>4</v>
      </c>
      <c r="N33">
        <v>18</v>
      </c>
      <c r="O33">
        <v>1</v>
      </c>
      <c r="Q33">
        <v>9</v>
      </c>
      <c r="R33">
        <v>3</v>
      </c>
    </row>
    <row r="34" spans="1:18" hidden="1" x14ac:dyDescent="0.35">
      <c r="A34" s="461" t="s">
        <v>192</v>
      </c>
      <c r="B34" s="461" t="s">
        <v>44</v>
      </c>
      <c r="C34" s="461" t="s">
        <v>274</v>
      </c>
      <c r="D34">
        <v>17</v>
      </c>
      <c r="E34">
        <v>91</v>
      </c>
      <c r="F34">
        <v>76</v>
      </c>
      <c r="G34">
        <v>6</v>
      </c>
      <c r="H34">
        <v>115</v>
      </c>
      <c r="I34">
        <v>7</v>
      </c>
      <c r="J34">
        <v>2</v>
      </c>
      <c r="K34">
        <v>1</v>
      </c>
      <c r="L34">
        <v>8</v>
      </c>
      <c r="N34">
        <v>5</v>
      </c>
      <c r="O34">
        <v>2</v>
      </c>
      <c r="P34">
        <v>2</v>
      </c>
      <c r="Q34">
        <v>1</v>
      </c>
      <c r="R34">
        <v>3</v>
      </c>
    </row>
    <row r="35" spans="1:18" hidden="1" x14ac:dyDescent="0.35">
      <c r="A35" s="461" t="s">
        <v>192</v>
      </c>
      <c r="B35" s="461" t="s">
        <v>45</v>
      </c>
      <c r="C35" s="461" t="s">
        <v>275</v>
      </c>
      <c r="D35">
        <v>6</v>
      </c>
      <c r="E35">
        <v>21</v>
      </c>
      <c r="F35">
        <v>6</v>
      </c>
      <c r="I35">
        <v>2</v>
      </c>
      <c r="J35">
        <v>1</v>
      </c>
      <c r="L35">
        <v>1</v>
      </c>
      <c r="M35">
        <v>3</v>
      </c>
      <c r="N35">
        <v>8</v>
      </c>
      <c r="O35">
        <v>5</v>
      </c>
      <c r="P35">
        <v>2</v>
      </c>
      <c r="Q35">
        <v>4</v>
      </c>
      <c r="R35">
        <v>4</v>
      </c>
    </row>
    <row r="36" spans="1:18" hidden="1" x14ac:dyDescent="0.35">
      <c r="A36" s="461" t="s">
        <v>192</v>
      </c>
      <c r="B36" s="461" t="s">
        <v>50</v>
      </c>
      <c r="C36" s="461" t="s">
        <v>295</v>
      </c>
      <c r="D36">
        <v>12</v>
      </c>
      <c r="E36">
        <v>87</v>
      </c>
      <c r="F36">
        <v>30</v>
      </c>
      <c r="H36">
        <v>38</v>
      </c>
      <c r="I36">
        <v>5</v>
      </c>
      <c r="J36">
        <v>2</v>
      </c>
      <c r="K36">
        <v>6</v>
      </c>
      <c r="L36">
        <v>23</v>
      </c>
      <c r="M36">
        <v>15</v>
      </c>
      <c r="N36">
        <v>118</v>
      </c>
      <c r="O36">
        <v>18</v>
      </c>
      <c r="P36">
        <v>36</v>
      </c>
      <c r="Q36">
        <v>113</v>
      </c>
      <c r="R36">
        <v>51</v>
      </c>
    </row>
    <row r="37" spans="1:18" hidden="1" x14ac:dyDescent="0.35">
      <c r="A37" s="461" t="s">
        <v>192</v>
      </c>
      <c r="B37" s="461" t="s">
        <v>55</v>
      </c>
      <c r="C37" s="461" t="s">
        <v>282</v>
      </c>
      <c r="E37">
        <v>10</v>
      </c>
      <c r="F37">
        <v>6</v>
      </c>
      <c r="G37">
        <v>1</v>
      </c>
      <c r="H37">
        <v>4</v>
      </c>
      <c r="I37">
        <v>1</v>
      </c>
      <c r="L37">
        <v>1</v>
      </c>
      <c r="O37">
        <v>1</v>
      </c>
    </row>
    <row r="38" spans="1:18" hidden="1" x14ac:dyDescent="0.35">
      <c r="A38" s="461" t="s">
        <v>192</v>
      </c>
      <c r="B38" s="461" t="s">
        <v>60</v>
      </c>
      <c r="C38" s="461" t="s">
        <v>292</v>
      </c>
      <c r="D38">
        <v>7</v>
      </c>
      <c r="E38">
        <v>47</v>
      </c>
      <c r="F38">
        <v>4</v>
      </c>
      <c r="G38">
        <v>1</v>
      </c>
      <c r="H38">
        <v>33</v>
      </c>
      <c r="I38">
        <v>13</v>
      </c>
      <c r="K38">
        <v>2</v>
      </c>
      <c r="L38">
        <v>8</v>
      </c>
      <c r="M38">
        <v>6</v>
      </c>
      <c r="N38">
        <v>6</v>
      </c>
      <c r="O38">
        <v>7</v>
      </c>
      <c r="P38">
        <v>25</v>
      </c>
      <c r="Q38">
        <v>15</v>
      </c>
      <c r="R38">
        <v>2</v>
      </c>
    </row>
    <row r="39" spans="1:18" hidden="1" x14ac:dyDescent="0.35">
      <c r="A39" s="461" t="s">
        <v>258</v>
      </c>
      <c r="B39" s="461" t="s">
        <v>34</v>
      </c>
      <c r="C39" s="461" t="s">
        <v>288</v>
      </c>
      <c r="D39">
        <v>6</v>
      </c>
      <c r="E39">
        <v>29</v>
      </c>
      <c r="F39">
        <v>32</v>
      </c>
      <c r="G39">
        <v>15</v>
      </c>
      <c r="H39">
        <v>146</v>
      </c>
      <c r="I39">
        <v>41</v>
      </c>
      <c r="K39">
        <v>4</v>
      </c>
      <c r="L39">
        <v>11</v>
      </c>
      <c r="M39">
        <v>6</v>
      </c>
      <c r="N39">
        <v>15</v>
      </c>
      <c r="O39">
        <v>6</v>
      </c>
      <c r="P39">
        <v>8</v>
      </c>
      <c r="Q39">
        <v>9</v>
      </c>
      <c r="R39">
        <v>3</v>
      </c>
    </row>
    <row r="40" spans="1:18" hidden="1" x14ac:dyDescent="0.35">
      <c r="A40" s="461" t="s">
        <v>258</v>
      </c>
      <c r="B40" s="461" t="s">
        <v>37</v>
      </c>
      <c r="C40" s="461" t="s">
        <v>294</v>
      </c>
      <c r="D40">
        <v>3</v>
      </c>
      <c r="E40">
        <v>37</v>
      </c>
      <c r="F40">
        <v>570</v>
      </c>
      <c r="G40">
        <v>1</v>
      </c>
      <c r="H40">
        <v>28</v>
      </c>
      <c r="J40">
        <v>1</v>
      </c>
      <c r="L40">
        <v>5</v>
      </c>
      <c r="M40">
        <v>2</v>
      </c>
      <c r="N40">
        <v>2</v>
      </c>
      <c r="O40">
        <v>4</v>
      </c>
      <c r="P40">
        <v>3</v>
      </c>
    </row>
    <row r="41" spans="1:18" hidden="1" x14ac:dyDescent="0.35">
      <c r="A41" s="461" t="s">
        <v>258</v>
      </c>
      <c r="B41" s="461" t="s">
        <v>39</v>
      </c>
      <c r="C41" s="461" t="s">
        <v>296</v>
      </c>
      <c r="D41">
        <v>11</v>
      </c>
      <c r="E41">
        <v>28</v>
      </c>
      <c r="F41">
        <v>19</v>
      </c>
      <c r="H41">
        <v>6</v>
      </c>
      <c r="I41">
        <v>2</v>
      </c>
      <c r="L41">
        <v>1</v>
      </c>
      <c r="M41">
        <v>4</v>
      </c>
      <c r="N41">
        <v>1</v>
      </c>
      <c r="O41">
        <v>2</v>
      </c>
      <c r="P41">
        <v>1</v>
      </c>
      <c r="Q41">
        <v>1</v>
      </c>
      <c r="R41">
        <v>5</v>
      </c>
    </row>
    <row r="42" spans="1:18" hidden="1" x14ac:dyDescent="0.35">
      <c r="A42" s="461" t="s">
        <v>258</v>
      </c>
      <c r="B42" s="461" t="s">
        <v>47</v>
      </c>
      <c r="C42" s="461" t="s">
        <v>277</v>
      </c>
      <c r="D42">
        <v>8</v>
      </c>
      <c r="E42">
        <v>31</v>
      </c>
      <c r="F42">
        <v>4</v>
      </c>
      <c r="G42">
        <v>1</v>
      </c>
      <c r="H42">
        <v>28</v>
      </c>
      <c r="I42">
        <v>15</v>
      </c>
      <c r="K42">
        <v>1</v>
      </c>
      <c r="L42">
        <v>7</v>
      </c>
      <c r="M42">
        <v>20</v>
      </c>
      <c r="N42">
        <v>3</v>
      </c>
      <c r="O42">
        <v>3</v>
      </c>
      <c r="P42">
        <v>19</v>
      </c>
      <c r="Q42">
        <v>2</v>
      </c>
    </row>
    <row r="43" spans="1:18" hidden="1" x14ac:dyDescent="0.35">
      <c r="A43" s="461" t="s">
        <v>258</v>
      </c>
      <c r="B43" s="461" t="s">
        <v>55</v>
      </c>
      <c r="C43" s="461" t="s">
        <v>282</v>
      </c>
      <c r="D43">
        <v>1</v>
      </c>
      <c r="E43">
        <v>11</v>
      </c>
      <c r="G43">
        <v>1</v>
      </c>
      <c r="H43">
        <v>3</v>
      </c>
    </row>
    <row r="44" spans="1:18" hidden="1" x14ac:dyDescent="0.35">
      <c r="A44" s="461" t="s">
        <v>242</v>
      </c>
      <c r="B44" s="461" t="s">
        <v>47</v>
      </c>
      <c r="C44" s="461" t="s">
        <v>277</v>
      </c>
      <c r="D44">
        <v>10</v>
      </c>
      <c r="E44">
        <v>42</v>
      </c>
      <c r="F44">
        <v>15</v>
      </c>
      <c r="G44">
        <v>2</v>
      </c>
      <c r="H44">
        <v>45</v>
      </c>
      <c r="I44">
        <v>44</v>
      </c>
      <c r="J44">
        <v>2</v>
      </c>
      <c r="L44">
        <v>3</v>
      </c>
      <c r="M44">
        <v>21</v>
      </c>
      <c r="N44">
        <v>5</v>
      </c>
      <c r="O44">
        <v>3</v>
      </c>
      <c r="P44">
        <v>14</v>
      </c>
      <c r="Q44">
        <v>9</v>
      </c>
      <c r="R44">
        <v>1</v>
      </c>
    </row>
    <row r="45" spans="1:18" hidden="1" x14ac:dyDescent="0.35">
      <c r="A45" s="461" t="s">
        <v>242</v>
      </c>
      <c r="B45" s="461" t="s">
        <v>51</v>
      </c>
      <c r="C45" s="461" t="s">
        <v>279</v>
      </c>
      <c r="E45">
        <v>9</v>
      </c>
      <c r="H45">
        <v>3</v>
      </c>
      <c r="P45">
        <v>1</v>
      </c>
    </row>
    <row r="46" spans="1:18" hidden="1" x14ac:dyDescent="0.35">
      <c r="A46" s="461" t="s">
        <v>242</v>
      </c>
      <c r="B46" s="461" t="s">
        <v>59</v>
      </c>
      <c r="C46" s="461" t="s">
        <v>291</v>
      </c>
      <c r="D46">
        <v>4</v>
      </c>
      <c r="E46">
        <v>18</v>
      </c>
      <c r="F46">
        <v>21</v>
      </c>
      <c r="H46">
        <v>16</v>
      </c>
      <c r="I46">
        <v>2</v>
      </c>
      <c r="K46">
        <v>1</v>
      </c>
      <c r="L46">
        <v>6</v>
      </c>
      <c r="M46">
        <v>7</v>
      </c>
      <c r="N46">
        <v>10</v>
      </c>
      <c r="O46">
        <v>2</v>
      </c>
      <c r="P46">
        <v>10</v>
      </c>
      <c r="Q46">
        <v>11</v>
      </c>
      <c r="R46">
        <v>1</v>
      </c>
    </row>
    <row r="47" spans="1:18" hidden="1" x14ac:dyDescent="0.35">
      <c r="A47" s="461" t="s">
        <v>242</v>
      </c>
      <c r="B47" s="461" t="s">
        <v>60</v>
      </c>
      <c r="C47" s="461" t="s">
        <v>292</v>
      </c>
      <c r="D47">
        <v>5</v>
      </c>
      <c r="E47">
        <v>56</v>
      </c>
      <c r="F47">
        <v>3</v>
      </c>
      <c r="G47">
        <v>1</v>
      </c>
      <c r="H47">
        <v>8</v>
      </c>
      <c r="K47">
        <v>3</v>
      </c>
      <c r="L47">
        <v>14</v>
      </c>
      <c r="M47">
        <v>16</v>
      </c>
      <c r="N47">
        <v>21</v>
      </c>
      <c r="O47">
        <v>15</v>
      </c>
      <c r="P47">
        <v>14</v>
      </c>
      <c r="Q47">
        <v>5</v>
      </c>
      <c r="R47">
        <v>3</v>
      </c>
    </row>
    <row r="48" spans="1:18" hidden="1" x14ac:dyDescent="0.35">
      <c r="A48" s="461" t="s">
        <v>241</v>
      </c>
      <c r="B48" s="461" t="s">
        <v>33</v>
      </c>
      <c r="C48" s="461" t="s">
        <v>293</v>
      </c>
      <c r="D48">
        <v>6</v>
      </c>
      <c r="E48">
        <v>39</v>
      </c>
      <c r="F48">
        <v>6</v>
      </c>
      <c r="H48">
        <v>14</v>
      </c>
      <c r="I48">
        <v>6</v>
      </c>
      <c r="J48">
        <v>1</v>
      </c>
      <c r="K48">
        <v>5</v>
      </c>
      <c r="L48">
        <v>17</v>
      </c>
      <c r="M48">
        <v>4</v>
      </c>
      <c r="N48">
        <v>3</v>
      </c>
      <c r="O48">
        <v>13</v>
      </c>
      <c r="P48">
        <v>2</v>
      </c>
      <c r="Q48">
        <v>3</v>
      </c>
      <c r="R48">
        <v>7</v>
      </c>
    </row>
    <row r="49" spans="1:18" hidden="1" x14ac:dyDescent="0.35">
      <c r="A49" s="461" t="s">
        <v>241</v>
      </c>
      <c r="B49" s="461" t="s">
        <v>41</v>
      </c>
      <c r="C49" s="461" t="s">
        <v>271</v>
      </c>
      <c r="D49">
        <v>1</v>
      </c>
      <c r="E49">
        <v>15</v>
      </c>
      <c r="H49">
        <v>6</v>
      </c>
      <c r="I49">
        <v>1</v>
      </c>
      <c r="J49">
        <v>1</v>
      </c>
      <c r="K49">
        <v>1</v>
      </c>
      <c r="L49">
        <v>2</v>
      </c>
      <c r="M49">
        <v>2</v>
      </c>
      <c r="N49">
        <v>1</v>
      </c>
      <c r="O49">
        <v>3</v>
      </c>
      <c r="P49">
        <v>2</v>
      </c>
      <c r="R49">
        <v>1</v>
      </c>
    </row>
    <row r="50" spans="1:18" hidden="1" x14ac:dyDescent="0.35">
      <c r="A50" s="461" t="s">
        <v>241</v>
      </c>
      <c r="B50" s="461" t="s">
        <v>46</v>
      </c>
      <c r="C50" s="461" t="s">
        <v>276</v>
      </c>
      <c r="D50">
        <v>3</v>
      </c>
      <c r="E50">
        <v>19</v>
      </c>
      <c r="F50">
        <v>17</v>
      </c>
      <c r="G50">
        <v>2</v>
      </c>
      <c r="H50">
        <v>13</v>
      </c>
      <c r="I50">
        <v>2</v>
      </c>
      <c r="J50">
        <v>2</v>
      </c>
      <c r="K50">
        <v>2</v>
      </c>
      <c r="L50">
        <v>20</v>
      </c>
      <c r="M50">
        <v>12</v>
      </c>
      <c r="N50">
        <v>22</v>
      </c>
      <c r="O50">
        <v>3</v>
      </c>
      <c r="P50">
        <v>6</v>
      </c>
      <c r="Q50">
        <v>4</v>
      </c>
      <c r="R50">
        <v>11</v>
      </c>
    </row>
    <row r="51" spans="1:18" hidden="1" x14ac:dyDescent="0.35">
      <c r="A51" s="461" t="s">
        <v>241</v>
      </c>
      <c r="B51" s="461" t="s">
        <v>50</v>
      </c>
      <c r="C51" s="461" t="s">
        <v>295</v>
      </c>
      <c r="D51">
        <v>9</v>
      </c>
      <c r="E51">
        <v>58</v>
      </c>
      <c r="F51">
        <v>24</v>
      </c>
      <c r="H51">
        <v>29</v>
      </c>
      <c r="I51">
        <v>3</v>
      </c>
      <c r="K51">
        <v>1</v>
      </c>
      <c r="L51">
        <v>24</v>
      </c>
      <c r="M51">
        <v>17</v>
      </c>
      <c r="N51">
        <v>41</v>
      </c>
      <c r="O51">
        <v>28</v>
      </c>
      <c r="P51">
        <v>17</v>
      </c>
      <c r="Q51">
        <v>35</v>
      </c>
      <c r="R51">
        <v>21</v>
      </c>
    </row>
    <row r="52" spans="1:18" hidden="1" x14ac:dyDescent="0.35">
      <c r="A52" s="461" t="s">
        <v>193</v>
      </c>
      <c r="B52" s="461" t="s">
        <v>35</v>
      </c>
      <c r="C52" s="461" t="s">
        <v>267</v>
      </c>
      <c r="E52">
        <v>22</v>
      </c>
      <c r="F52">
        <v>2</v>
      </c>
      <c r="H52">
        <v>5</v>
      </c>
      <c r="I52">
        <v>4</v>
      </c>
      <c r="L52">
        <v>1</v>
      </c>
      <c r="M52">
        <v>3</v>
      </c>
      <c r="N52">
        <v>2</v>
      </c>
      <c r="O52">
        <v>1</v>
      </c>
      <c r="P52">
        <v>1</v>
      </c>
      <c r="Q52">
        <v>3</v>
      </c>
    </row>
    <row r="53" spans="1:18" hidden="1" x14ac:dyDescent="0.35">
      <c r="A53" s="461" t="s">
        <v>193</v>
      </c>
      <c r="B53" s="461" t="s">
        <v>114</v>
      </c>
      <c r="C53" s="461" t="s">
        <v>297</v>
      </c>
      <c r="D53">
        <v>41</v>
      </c>
      <c r="E53">
        <v>102</v>
      </c>
      <c r="F53">
        <v>475</v>
      </c>
      <c r="G53">
        <v>15</v>
      </c>
      <c r="H53">
        <v>83</v>
      </c>
      <c r="I53">
        <v>1</v>
      </c>
      <c r="J53">
        <v>11</v>
      </c>
      <c r="K53">
        <v>6</v>
      </c>
      <c r="L53">
        <v>98</v>
      </c>
      <c r="M53">
        <v>27</v>
      </c>
      <c r="N53">
        <v>93</v>
      </c>
      <c r="O53">
        <v>31</v>
      </c>
      <c r="P53">
        <v>54</v>
      </c>
      <c r="Q53">
        <v>63</v>
      </c>
      <c r="R53">
        <v>22</v>
      </c>
    </row>
    <row r="54" spans="1:18" hidden="1" x14ac:dyDescent="0.35">
      <c r="A54" s="461" t="s">
        <v>192</v>
      </c>
      <c r="B54" s="461" t="s">
        <v>54</v>
      </c>
      <c r="C54" s="461" t="s">
        <v>281</v>
      </c>
      <c r="D54">
        <v>16</v>
      </c>
      <c r="E54">
        <v>39</v>
      </c>
      <c r="F54">
        <v>37</v>
      </c>
      <c r="G54">
        <v>1</v>
      </c>
      <c r="H54">
        <v>55</v>
      </c>
      <c r="I54">
        <v>35</v>
      </c>
      <c r="K54">
        <v>6</v>
      </c>
      <c r="L54">
        <v>20</v>
      </c>
      <c r="M54">
        <v>16</v>
      </c>
      <c r="N54">
        <v>20</v>
      </c>
      <c r="O54">
        <v>12</v>
      </c>
      <c r="P54">
        <v>10</v>
      </c>
      <c r="Q54">
        <v>13</v>
      </c>
      <c r="R54">
        <v>10</v>
      </c>
    </row>
    <row r="55" spans="1:18" hidden="1" x14ac:dyDescent="0.35">
      <c r="A55" s="461" t="s">
        <v>258</v>
      </c>
      <c r="B55" s="461" t="s">
        <v>33</v>
      </c>
      <c r="C55" s="461" t="s">
        <v>293</v>
      </c>
      <c r="D55">
        <v>1</v>
      </c>
      <c r="E55">
        <v>35</v>
      </c>
      <c r="F55">
        <v>9</v>
      </c>
      <c r="H55">
        <v>12</v>
      </c>
      <c r="I55">
        <v>11</v>
      </c>
      <c r="L55">
        <v>8</v>
      </c>
      <c r="M55">
        <v>1</v>
      </c>
      <c r="N55">
        <v>6</v>
      </c>
      <c r="O55">
        <v>7</v>
      </c>
      <c r="P55">
        <v>2</v>
      </c>
      <c r="Q55">
        <v>2</v>
      </c>
      <c r="R55">
        <v>5</v>
      </c>
    </row>
    <row r="56" spans="1:18" hidden="1" x14ac:dyDescent="0.35">
      <c r="A56" s="461" t="s">
        <v>258</v>
      </c>
      <c r="B56" s="461" t="s">
        <v>49</v>
      </c>
      <c r="C56" s="461" t="s">
        <v>278</v>
      </c>
      <c r="D56">
        <v>5</v>
      </c>
      <c r="E56">
        <v>72</v>
      </c>
      <c r="F56">
        <v>6</v>
      </c>
      <c r="G56">
        <v>3</v>
      </c>
      <c r="H56">
        <v>20</v>
      </c>
      <c r="I56">
        <v>47</v>
      </c>
      <c r="K56">
        <v>1</v>
      </c>
      <c r="L56">
        <v>9</v>
      </c>
      <c r="M56">
        <v>9</v>
      </c>
      <c r="N56">
        <v>11</v>
      </c>
      <c r="O56">
        <v>16</v>
      </c>
      <c r="P56">
        <v>22</v>
      </c>
      <c r="Q56">
        <v>5</v>
      </c>
      <c r="R56">
        <v>4</v>
      </c>
    </row>
    <row r="57" spans="1:18" hidden="1" x14ac:dyDescent="0.35">
      <c r="A57" s="461" t="s">
        <v>258</v>
      </c>
      <c r="B57" s="461" t="s">
        <v>54</v>
      </c>
      <c r="C57" s="461" t="s">
        <v>281</v>
      </c>
      <c r="D57">
        <v>18</v>
      </c>
      <c r="E57">
        <v>32</v>
      </c>
      <c r="F57">
        <v>39</v>
      </c>
      <c r="H57">
        <v>53</v>
      </c>
      <c r="I57">
        <v>26</v>
      </c>
      <c r="J57">
        <v>1</v>
      </c>
      <c r="K57">
        <v>6</v>
      </c>
      <c r="L57">
        <v>29</v>
      </c>
      <c r="M57">
        <v>19</v>
      </c>
      <c r="N57">
        <v>31</v>
      </c>
      <c r="O57">
        <v>8</v>
      </c>
      <c r="P57">
        <v>9</v>
      </c>
      <c r="Q57">
        <v>11</v>
      </c>
      <c r="R57">
        <v>3</v>
      </c>
    </row>
    <row r="58" spans="1:18" hidden="1" x14ac:dyDescent="0.35">
      <c r="A58" s="461" t="s">
        <v>242</v>
      </c>
      <c r="B58" s="461" t="s">
        <v>39</v>
      </c>
      <c r="C58" s="461" t="s">
        <v>296</v>
      </c>
      <c r="D58">
        <v>1</v>
      </c>
      <c r="E58">
        <v>32</v>
      </c>
      <c r="F58">
        <v>22</v>
      </c>
      <c r="H58">
        <v>7</v>
      </c>
      <c r="I58">
        <v>1</v>
      </c>
      <c r="K58">
        <v>3</v>
      </c>
      <c r="L58">
        <v>4</v>
      </c>
      <c r="M58">
        <v>4</v>
      </c>
      <c r="N58">
        <v>6</v>
      </c>
      <c r="O58">
        <v>5</v>
      </c>
      <c r="P58">
        <v>1</v>
      </c>
      <c r="Q58">
        <v>3</v>
      </c>
      <c r="R58">
        <v>3</v>
      </c>
    </row>
    <row r="59" spans="1:18" hidden="1" x14ac:dyDescent="0.35">
      <c r="A59" s="461" t="s">
        <v>242</v>
      </c>
      <c r="B59" s="461" t="s">
        <v>41</v>
      </c>
      <c r="C59" s="461" t="s">
        <v>271</v>
      </c>
      <c r="D59">
        <v>1</v>
      </c>
      <c r="E59">
        <v>16</v>
      </c>
      <c r="F59">
        <v>2</v>
      </c>
      <c r="H59">
        <v>8</v>
      </c>
      <c r="M59">
        <v>1</v>
      </c>
      <c r="N59">
        <v>1</v>
      </c>
      <c r="P59">
        <v>1</v>
      </c>
    </row>
    <row r="60" spans="1:18" hidden="1" x14ac:dyDescent="0.35">
      <c r="A60" s="461" t="s">
        <v>242</v>
      </c>
      <c r="B60" s="461" t="s">
        <v>44</v>
      </c>
      <c r="C60" s="461" t="s">
        <v>274</v>
      </c>
      <c r="D60">
        <v>12</v>
      </c>
      <c r="E60">
        <v>79</v>
      </c>
      <c r="F60">
        <v>60</v>
      </c>
      <c r="G60">
        <v>27</v>
      </c>
      <c r="H60">
        <v>82</v>
      </c>
      <c r="I60">
        <v>10</v>
      </c>
      <c r="K60">
        <v>1</v>
      </c>
      <c r="L60">
        <v>4</v>
      </c>
      <c r="M60">
        <v>2</v>
      </c>
      <c r="N60">
        <v>1</v>
      </c>
      <c r="O60">
        <v>4</v>
      </c>
      <c r="P60">
        <v>2</v>
      </c>
      <c r="R60">
        <v>2</v>
      </c>
    </row>
    <row r="61" spans="1:18" hidden="1" x14ac:dyDescent="0.35">
      <c r="A61" s="461" t="s">
        <v>242</v>
      </c>
      <c r="B61" s="461" t="s">
        <v>48</v>
      </c>
      <c r="C61" s="461" t="s">
        <v>272</v>
      </c>
      <c r="D61">
        <v>4</v>
      </c>
      <c r="E61">
        <v>11</v>
      </c>
      <c r="H61">
        <v>5</v>
      </c>
      <c r="I61">
        <v>2</v>
      </c>
      <c r="N61">
        <v>1</v>
      </c>
    </row>
    <row r="62" spans="1:18" hidden="1" x14ac:dyDescent="0.35">
      <c r="A62" s="461" t="s">
        <v>242</v>
      </c>
      <c r="B62" s="461" t="s">
        <v>53</v>
      </c>
      <c r="C62" s="461" t="s">
        <v>290</v>
      </c>
      <c r="D62">
        <v>3</v>
      </c>
      <c r="E62">
        <v>56</v>
      </c>
      <c r="F62">
        <v>6</v>
      </c>
      <c r="H62">
        <v>16</v>
      </c>
      <c r="J62">
        <v>2</v>
      </c>
      <c r="L62">
        <v>4</v>
      </c>
      <c r="M62">
        <v>1</v>
      </c>
      <c r="N62">
        <v>1</v>
      </c>
      <c r="P62">
        <v>1</v>
      </c>
      <c r="Q62">
        <v>1</v>
      </c>
    </row>
    <row r="63" spans="1:18" hidden="1" x14ac:dyDescent="0.35">
      <c r="A63" s="461" t="s">
        <v>241</v>
      </c>
      <c r="B63" s="461" t="s">
        <v>245</v>
      </c>
      <c r="C63" s="461" t="s">
        <v>289</v>
      </c>
      <c r="D63">
        <v>66</v>
      </c>
      <c r="E63">
        <v>120</v>
      </c>
      <c r="F63">
        <v>142</v>
      </c>
      <c r="G63">
        <v>21</v>
      </c>
      <c r="H63">
        <v>112</v>
      </c>
      <c r="I63">
        <v>23</v>
      </c>
      <c r="J63">
        <v>2</v>
      </c>
      <c r="K63">
        <v>5</v>
      </c>
      <c r="L63">
        <v>85</v>
      </c>
      <c r="M63">
        <v>16</v>
      </c>
      <c r="N63">
        <v>26</v>
      </c>
      <c r="O63">
        <v>40</v>
      </c>
      <c r="P63">
        <v>7</v>
      </c>
      <c r="Q63">
        <v>41</v>
      </c>
      <c r="R63">
        <v>8</v>
      </c>
    </row>
    <row r="64" spans="1:18" hidden="1" x14ac:dyDescent="0.35">
      <c r="A64" s="461" t="s">
        <v>241</v>
      </c>
      <c r="B64" s="461" t="s">
        <v>38</v>
      </c>
      <c r="C64" s="461" t="s">
        <v>269</v>
      </c>
      <c r="D64">
        <v>3</v>
      </c>
      <c r="E64">
        <v>57</v>
      </c>
      <c r="F64">
        <v>7</v>
      </c>
      <c r="H64">
        <v>24</v>
      </c>
      <c r="I64">
        <v>8</v>
      </c>
      <c r="L64">
        <v>9</v>
      </c>
      <c r="M64">
        <v>8</v>
      </c>
      <c r="N64">
        <v>11</v>
      </c>
      <c r="O64">
        <v>6</v>
      </c>
      <c r="P64">
        <v>7</v>
      </c>
      <c r="Q64">
        <v>3</v>
      </c>
      <c r="R64">
        <v>2</v>
      </c>
    </row>
    <row r="65" spans="1:18" hidden="1" x14ac:dyDescent="0.35">
      <c r="A65" s="461" t="s">
        <v>241</v>
      </c>
      <c r="B65" s="461" t="s">
        <v>57</v>
      </c>
      <c r="C65" s="461" t="s">
        <v>284</v>
      </c>
      <c r="D65">
        <v>26</v>
      </c>
      <c r="E65">
        <v>98</v>
      </c>
      <c r="F65">
        <v>52</v>
      </c>
      <c r="H65">
        <v>31</v>
      </c>
      <c r="I65">
        <v>2</v>
      </c>
      <c r="L65">
        <v>5</v>
      </c>
      <c r="M65">
        <v>1</v>
      </c>
      <c r="N65">
        <v>8</v>
      </c>
      <c r="O65">
        <v>10</v>
      </c>
      <c r="P65">
        <v>6</v>
      </c>
      <c r="Q65">
        <v>9</v>
      </c>
      <c r="R65">
        <v>4</v>
      </c>
    </row>
    <row r="66" spans="1:18" hidden="1" x14ac:dyDescent="0.35">
      <c r="A66" s="461" t="s">
        <v>773</v>
      </c>
      <c r="B66" s="461" t="s">
        <v>31</v>
      </c>
      <c r="C66" s="461" t="s">
        <v>286</v>
      </c>
      <c r="D66">
        <v>15</v>
      </c>
      <c r="E66">
        <v>70</v>
      </c>
      <c r="F66">
        <v>231</v>
      </c>
      <c r="H66">
        <v>44</v>
      </c>
      <c r="I66">
        <v>17</v>
      </c>
      <c r="J66">
        <v>2</v>
      </c>
      <c r="K66">
        <v>1</v>
      </c>
      <c r="L66">
        <v>7</v>
      </c>
      <c r="M66">
        <v>6</v>
      </c>
      <c r="N66">
        <v>13</v>
      </c>
      <c r="O66">
        <v>9</v>
      </c>
      <c r="P66">
        <v>8</v>
      </c>
      <c r="Q66">
        <v>6</v>
      </c>
      <c r="R66">
        <v>4</v>
      </c>
    </row>
    <row r="67" spans="1:18" hidden="1" x14ac:dyDescent="0.35">
      <c r="A67" s="461" t="s">
        <v>773</v>
      </c>
      <c r="B67" s="461" t="s">
        <v>33</v>
      </c>
      <c r="C67" s="461" t="s">
        <v>293</v>
      </c>
      <c r="D67">
        <v>7</v>
      </c>
      <c r="E67">
        <v>38</v>
      </c>
      <c r="F67">
        <v>7</v>
      </c>
      <c r="H67">
        <v>2</v>
      </c>
      <c r="I67">
        <v>6</v>
      </c>
      <c r="K67">
        <v>7</v>
      </c>
      <c r="L67">
        <v>10</v>
      </c>
      <c r="M67">
        <v>8</v>
      </c>
      <c r="N67">
        <v>10</v>
      </c>
      <c r="O67">
        <v>9</v>
      </c>
      <c r="P67">
        <v>8</v>
      </c>
      <c r="Q67">
        <v>2</v>
      </c>
      <c r="R67">
        <v>9</v>
      </c>
    </row>
    <row r="68" spans="1:18" hidden="1" x14ac:dyDescent="0.35">
      <c r="A68" s="461" t="s">
        <v>773</v>
      </c>
      <c r="B68" s="461" t="s">
        <v>59</v>
      </c>
      <c r="C68" s="461" t="s">
        <v>291</v>
      </c>
      <c r="D68">
        <v>6</v>
      </c>
      <c r="E68">
        <v>19</v>
      </c>
      <c r="F68">
        <v>21</v>
      </c>
      <c r="H68">
        <v>20</v>
      </c>
      <c r="I68">
        <v>3</v>
      </c>
      <c r="K68">
        <v>2</v>
      </c>
      <c r="L68">
        <v>12</v>
      </c>
      <c r="M68">
        <v>1</v>
      </c>
      <c r="N68">
        <v>13</v>
      </c>
      <c r="O68">
        <v>7</v>
      </c>
      <c r="P68">
        <v>15</v>
      </c>
      <c r="Q68">
        <v>5</v>
      </c>
      <c r="R68">
        <v>4</v>
      </c>
    </row>
    <row r="69" spans="1:18" x14ac:dyDescent="0.35">
      <c r="A69" s="461" t="s">
        <v>951</v>
      </c>
      <c r="B69" s="461" t="s">
        <v>245</v>
      </c>
      <c r="C69" s="461" t="s">
        <v>289</v>
      </c>
      <c r="D69">
        <v>22</v>
      </c>
      <c r="E69">
        <v>90</v>
      </c>
      <c r="F69">
        <v>175</v>
      </c>
      <c r="G69">
        <v>3</v>
      </c>
      <c r="H69">
        <v>10</v>
      </c>
      <c r="I69">
        <v>11</v>
      </c>
      <c r="K69">
        <v>2</v>
      </c>
      <c r="L69">
        <v>20</v>
      </c>
      <c r="M69">
        <v>5</v>
      </c>
      <c r="N69">
        <v>8</v>
      </c>
      <c r="O69">
        <v>8</v>
      </c>
      <c r="P69">
        <v>2</v>
      </c>
      <c r="Q69">
        <v>6</v>
      </c>
    </row>
    <row r="70" spans="1:18" x14ac:dyDescent="0.35">
      <c r="A70" s="461" t="s">
        <v>951</v>
      </c>
      <c r="B70" s="461" t="s">
        <v>40</v>
      </c>
      <c r="C70" s="461" t="s">
        <v>270</v>
      </c>
      <c r="D70">
        <v>3</v>
      </c>
      <c r="E70">
        <v>23</v>
      </c>
      <c r="F70">
        <v>5</v>
      </c>
      <c r="H70">
        <v>2</v>
      </c>
      <c r="L70">
        <v>3</v>
      </c>
      <c r="M70">
        <v>2</v>
      </c>
      <c r="N70">
        <v>1</v>
      </c>
      <c r="O70">
        <v>3</v>
      </c>
      <c r="P70">
        <v>2</v>
      </c>
      <c r="R70">
        <v>1</v>
      </c>
    </row>
    <row r="71" spans="1:18" x14ac:dyDescent="0.35">
      <c r="A71" s="461" t="s">
        <v>951</v>
      </c>
      <c r="B71" s="461" t="s">
        <v>41</v>
      </c>
      <c r="C71" s="461" t="s">
        <v>271</v>
      </c>
      <c r="E71">
        <v>13</v>
      </c>
      <c r="F71">
        <v>1</v>
      </c>
      <c r="M71">
        <v>2</v>
      </c>
      <c r="N71">
        <v>2</v>
      </c>
      <c r="R71">
        <v>1</v>
      </c>
    </row>
    <row r="72" spans="1:18" hidden="1" x14ac:dyDescent="0.35">
      <c r="A72" s="461" t="s">
        <v>193</v>
      </c>
      <c r="B72" s="461" t="s">
        <v>38</v>
      </c>
      <c r="C72" s="461" t="s">
        <v>269</v>
      </c>
      <c r="D72">
        <v>10</v>
      </c>
      <c r="E72">
        <v>30</v>
      </c>
      <c r="F72">
        <v>19</v>
      </c>
      <c r="H72">
        <v>22</v>
      </c>
      <c r="L72">
        <v>11</v>
      </c>
      <c r="M72">
        <v>5</v>
      </c>
      <c r="N72">
        <v>21</v>
      </c>
      <c r="O72">
        <v>11</v>
      </c>
      <c r="P72">
        <v>13</v>
      </c>
      <c r="Q72">
        <v>7</v>
      </c>
      <c r="R72">
        <v>4</v>
      </c>
    </row>
    <row r="73" spans="1:18" hidden="1" x14ac:dyDescent="0.35">
      <c r="A73" s="461" t="s">
        <v>193</v>
      </c>
      <c r="B73" s="461" t="s">
        <v>50</v>
      </c>
      <c r="C73" s="461" t="s">
        <v>295</v>
      </c>
      <c r="D73">
        <v>7</v>
      </c>
      <c r="E73">
        <v>39</v>
      </c>
      <c r="F73">
        <v>55</v>
      </c>
      <c r="H73">
        <v>20</v>
      </c>
      <c r="I73">
        <v>2</v>
      </c>
      <c r="K73">
        <v>5</v>
      </c>
      <c r="L73">
        <v>35</v>
      </c>
      <c r="M73">
        <v>3</v>
      </c>
      <c r="N73">
        <v>42</v>
      </c>
      <c r="O73">
        <v>9</v>
      </c>
      <c r="P73">
        <v>26</v>
      </c>
      <c r="Q73">
        <v>42</v>
      </c>
      <c r="R73">
        <v>16</v>
      </c>
    </row>
    <row r="74" spans="1:18" hidden="1" x14ac:dyDescent="0.35">
      <c r="A74" s="461" t="s">
        <v>192</v>
      </c>
      <c r="B74" s="461" t="s">
        <v>34</v>
      </c>
      <c r="C74" s="461" t="s">
        <v>288</v>
      </c>
      <c r="D74">
        <v>11</v>
      </c>
      <c r="E74">
        <v>32</v>
      </c>
      <c r="F74">
        <v>19</v>
      </c>
      <c r="G74">
        <v>12</v>
      </c>
      <c r="H74">
        <v>176</v>
      </c>
      <c r="I74">
        <v>30</v>
      </c>
      <c r="J74">
        <v>1</v>
      </c>
      <c r="K74">
        <v>2</v>
      </c>
      <c r="L74">
        <v>3</v>
      </c>
      <c r="M74">
        <v>10</v>
      </c>
      <c r="N74">
        <v>18</v>
      </c>
      <c r="O74">
        <v>6</v>
      </c>
      <c r="P74">
        <v>11</v>
      </c>
      <c r="Q74">
        <v>6</v>
      </c>
      <c r="R74">
        <v>4</v>
      </c>
    </row>
    <row r="75" spans="1:18" hidden="1" x14ac:dyDescent="0.35">
      <c r="A75" s="461" t="s">
        <v>192</v>
      </c>
      <c r="B75" s="461" t="s">
        <v>46</v>
      </c>
      <c r="C75" s="461" t="s">
        <v>276</v>
      </c>
      <c r="D75">
        <v>3</v>
      </c>
      <c r="E75">
        <v>16</v>
      </c>
      <c r="F75">
        <v>23</v>
      </c>
      <c r="G75">
        <v>3</v>
      </c>
      <c r="H75">
        <v>6</v>
      </c>
      <c r="I75">
        <v>1</v>
      </c>
      <c r="K75">
        <v>1</v>
      </c>
      <c r="L75">
        <v>6</v>
      </c>
      <c r="M75">
        <v>12</v>
      </c>
      <c r="N75">
        <v>16</v>
      </c>
      <c r="O75">
        <v>4</v>
      </c>
      <c r="P75">
        <v>4</v>
      </c>
      <c r="Q75">
        <v>1</v>
      </c>
      <c r="R75">
        <v>2</v>
      </c>
    </row>
    <row r="76" spans="1:18" hidden="1" x14ac:dyDescent="0.35">
      <c r="A76" s="461" t="s">
        <v>192</v>
      </c>
      <c r="B76" s="461" t="s">
        <v>48</v>
      </c>
      <c r="C76" s="461" t="s">
        <v>272</v>
      </c>
      <c r="D76">
        <v>1</v>
      </c>
      <c r="E76">
        <v>4</v>
      </c>
      <c r="G76">
        <v>2</v>
      </c>
      <c r="H76">
        <v>1</v>
      </c>
      <c r="N76">
        <v>1</v>
      </c>
    </row>
    <row r="77" spans="1:18" hidden="1" x14ac:dyDescent="0.35">
      <c r="A77" s="461" t="s">
        <v>192</v>
      </c>
      <c r="B77" s="461" t="s">
        <v>56</v>
      </c>
      <c r="C77" s="461" t="s">
        <v>283</v>
      </c>
      <c r="D77">
        <v>19</v>
      </c>
      <c r="E77">
        <v>58</v>
      </c>
      <c r="F77">
        <v>29</v>
      </c>
      <c r="G77">
        <v>3</v>
      </c>
      <c r="H77">
        <v>48</v>
      </c>
      <c r="I77">
        <v>15</v>
      </c>
      <c r="L77">
        <v>15</v>
      </c>
      <c r="M77">
        <v>4</v>
      </c>
      <c r="N77">
        <v>26</v>
      </c>
      <c r="O77">
        <v>9</v>
      </c>
      <c r="P77">
        <v>45</v>
      </c>
      <c r="Q77">
        <v>9</v>
      </c>
      <c r="R77">
        <v>8</v>
      </c>
    </row>
    <row r="78" spans="1:18" hidden="1" x14ac:dyDescent="0.35">
      <c r="A78" s="461" t="s">
        <v>258</v>
      </c>
      <c r="B78" s="461" t="s">
        <v>31</v>
      </c>
      <c r="C78" s="461" t="s">
        <v>286</v>
      </c>
      <c r="D78">
        <v>21</v>
      </c>
      <c r="E78">
        <v>103</v>
      </c>
      <c r="F78">
        <v>219</v>
      </c>
      <c r="G78">
        <v>2</v>
      </c>
      <c r="H78">
        <v>50</v>
      </c>
      <c r="I78">
        <v>4</v>
      </c>
      <c r="K78">
        <v>1</v>
      </c>
      <c r="L78">
        <v>10</v>
      </c>
      <c r="M78">
        <v>4</v>
      </c>
      <c r="N78">
        <v>6</v>
      </c>
      <c r="O78">
        <v>6</v>
      </c>
      <c r="P78">
        <v>2</v>
      </c>
      <c r="Q78">
        <v>5</v>
      </c>
      <c r="R78">
        <v>2</v>
      </c>
    </row>
    <row r="79" spans="1:18" hidden="1" x14ac:dyDescent="0.35">
      <c r="A79" s="461" t="s">
        <v>258</v>
      </c>
      <c r="B79" s="461" t="s">
        <v>44</v>
      </c>
      <c r="C79" s="461" t="s">
        <v>274</v>
      </c>
      <c r="D79">
        <v>18</v>
      </c>
      <c r="E79">
        <v>93</v>
      </c>
      <c r="F79">
        <v>47</v>
      </c>
      <c r="G79">
        <v>10</v>
      </c>
      <c r="H79">
        <v>67</v>
      </c>
      <c r="I79">
        <v>9</v>
      </c>
      <c r="L79">
        <v>8</v>
      </c>
      <c r="M79">
        <v>1</v>
      </c>
      <c r="N79">
        <v>8</v>
      </c>
      <c r="O79">
        <v>1</v>
      </c>
      <c r="P79">
        <v>4</v>
      </c>
      <c r="Q79">
        <v>1</v>
      </c>
      <c r="R79">
        <v>1</v>
      </c>
    </row>
    <row r="80" spans="1:18" hidden="1" x14ac:dyDescent="0.35">
      <c r="A80" s="461" t="s">
        <v>258</v>
      </c>
      <c r="B80" s="461" t="s">
        <v>48</v>
      </c>
      <c r="C80" s="461" t="s">
        <v>272</v>
      </c>
      <c r="D80">
        <v>2</v>
      </c>
      <c r="E80">
        <v>7</v>
      </c>
      <c r="F80">
        <v>2</v>
      </c>
      <c r="G80">
        <v>1</v>
      </c>
      <c r="H80">
        <v>8</v>
      </c>
      <c r="I80">
        <v>1</v>
      </c>
    </row>
    <row r="81" spans="1:18" hidden="1" x14ac:dyDescent="0.35">
      <c r="A81" s="461" t="s">
        <v>258</v>
      </c>
      <c r="B81" s="461" t="s">
        <v>60</v>
      </c>
      <c r="C81" s="461" t="s">
        <v>292</v>
      </c>
      <c r="D81">
        <v>10</v>
      </c>
      <c r="E81">
        <v>47</v>
      </c>
      <c r="F81">
        <v>2</v>
      </c>
      <c r="G81">
        <v>1</v>
      </c>
      <c r="H81">
        <v>16</v>
      </c>
      <c r="I81">
        <v>1</v>
      </c>
      <c r="J81">
        <v>2</v>
      </c>
      <c r="K81">
        <v>4</v>
      </c>
      <c r="L81">
        <v>22</v>
      </c>
      <c r="M81">
        <v>15</v>
      </c>
      <c r="N81">
        <v>12</v>
      </c>
      <c r="O81">
        <v>11</v>
      </c>
      <c r="P81">
        <v>18</v>
      </c>
      <c r="Q81">
        <v>11</v>
      </c>
      <c r="R81">
        <v>5</v>
      </c>
    </row>
    <row r="82" spans="1:18" hidden="1" x14ac:dyDescent="0.35">
      <c r="A82" s="461" t="s">
        <v>242</v>
      </c>
      <c r="B82" s="461" t="s">
        <v>36</v>
      </c>
      <c r="C82" s="461" t="s">
        <v>268</v>
      </c>
      <c r="D82">
        <v>18</v>
      </c>
      <c r="E82">
        <v>88</v>
      </c>
      <c r="F82">
        <v>39</v>
      </c>
      <c r="G82">
        <v>8</v>
      </c>
      <c r="H82">
        <v>86</v>
      </c>
      <c r="I82">
        <v>7</v>
      </c>
      <c r="K82">
        <v>12</v>
      </c>
      <c r="L82">
        <v>15</v>
      </c>
      <c r="M82">
        <v>10</v>
      </c>
      <c r="N82">
        <v>35</v>
      </c>
      <c r="O82">
        <v>15</v>
      </c>
      <c r="P82">
        <v>30</v>
      </c>
      <c r="Q82">
        <v>9</v>
      </c>
      <c r="R82">
        <v>7</v>
      </c>
    </row>
    <row r="83" spans="1:18" hidden="1" x14ac:dyDescent="0.35">
      <c r="A83" s="461" t="s">
        <v>242</v>
      </c>
      <c r="B83" s="461" t="s">
        <v>45</v>
      </c>
      <c r="C83" s="461" t="s">
        <v>275</v>
      </c>
      <c r="E83">
        <v>35</v>
      </c>
      <c r="F83">
        <v>10</v>
      </c>
      <c r="H83">
        <v>6</v>
      </c>
      <c r="I83">
        <v>1</v>
      </c>
      <c r="J83">
        <v>1</v>
      </c>
      <c r="K83">
        <v>1</v>
      </c>
      <c r="L83">
        <v>3</v>
      </c>
      <c r="M83">
        <v>1</v>
      </c>
      <c r="N83">
        <v>1</v>
      </c>
      <c r="O83">
        <v>1</v>
      </c>
      <c r="P83">
        <v>3</v>
      </c>
      <c r="Q83">
        <v>1</v>
      </c>
      <c r="R83">
        <v>1</v>
      </c>
    </row>
    <row r="84" spans="1:18" hidden="1" x14ac:dyDescent="0.35">
      <c r="A84" s="461" t="s">
        <v>242</v>
      </c>
      <c r="B84" s="461" t="s">
        <v>49</v>
      </c>
      <c r="C84" s="461" t="s">
        <v>278</v>
      </c>
      <c r="D84">
        <v>2</v>
      </c>
      <c r="E84">
        <v>40</v>
      </c>
      <c r="F84">
        <v>3</v>
      </c>
      <c r="H84">
        <v>29</v>
      </c>
      <c r="I84">
        <v>4</v>
      </c>
      <c r="J84">
        <v>1</v>
      </c>
      <c r="L84">
        <v>7</v>
      </c>
      <c r="M84">
        <v>1</v>
      </c>
      <c r="N84">
        <v>8</v>
      </c>
      <c r="O84">
        <v>2</v>
      </c>
      <c r="P84">
        <v>1</v>
      </c>
      <c r="Q84">
        <v>3</v>
      </c>
      <c r="R84">
        <v>1</v>
      </c>
    </row>
    <row r="85" spans="1:18" hidden="1" x14ac:dyDescent="0.35">
      <c r="A85" s="461" t="s">
        <v>242</v>
      </c>
      <c r="B85" s="461" t="s">
        <v>50</v>
      </c>
      <c r="C85" s="461" t="s">
        <v>295</v>
      </c>
      <c r="D85">
        <v>10</v>
      </c>
      <c r="E85">
        <v>59</v>
      </c>
      <c r="F85">
        <v>24</v>
      </c>
      <c r="H85">
        <v>27</v>
      </c>
      <c r="I85">
        <v>5</v>
      </c>
      <c r="K85">
        <v>4</v>
      </c>
      <c r="L85">
        <v>26</v>
      </c>
      <c r="M85">
        <v>6</v>
      </c>
      <c r="N85">
        <v>81</v>
      </c>
      <c r="O85">
        <v>18</v>
      </c>
      <c r="P85">
        <v>24</v>
      </c>
      <c r="Q85">
        <v>40</v>
      </c>
      <c r="R85">
        <v>27</v>
      </c>
    </row>
    <row r="86" spans="1:18" hidden="1" x14ac:dyDescent="0.35">
      <c r="A86" s="461" t="s">
        <v>242</v>
      </c>
      <c r="B86" s="461" t="s">
        <v>52</v>
      </c>
      <c r="C86" s="461" t="s">
        <v>280</v>
      </c>
      <c r="D86">
        <v>58</v>
      </c>
      <c r="E86">
        <v>80</v>
      </c>
      <c r="F86">
        <v>6</v>
      </c>
      <c r="G86">
        <v>9</v>
      </c>
      <c r="H86">
        <v>70</v>
      </c>
      <c r="I86">
        <v>36</v>
      </c>
      <c r="K86">
        <v>1</v>
      </c>
      <c r="L86">
        <v>4</v>
      </c>
      <c r="M86">
        <v>2</v>
      </c>
      <c r="N86">
        <v>5</v>
      </c>
      <c r="O86">
        <v>14</v>
      </c>
      <c r="P86">
        <v>3</v>
      </c>
      <c r="Q86">
        <v>4</v>
      </c>
      <c r="R86">
        <v>1</v>
      </c>
    </row>
    <row r="87" spans="1:18" hidden="1" x14ac:dyDescent="0.35">
      <c r="A87" s="461" t="s">
        <v>241</v>
      </c>
      <c r="B87" s="461" t="s">
        <v>32</v>
      </c>
      <c r="C87" s="461" t="s">
        <v>287</v>
      </c>
      <c r="D87">
        <v>26</v>
      </c>
      <c r="E87">
        <v>88</v>
      </c>
      <c r="F87">
        <v>48</v>
      </c>
      <c r="G87">
        <v>7</v>
      </c>
      <c r="H87">
        <v>73</v>
      </c>
      <c r="I87">
        <v>48</v>
      </c>
      <c r="J87">
        <v>3</v>
      </c>
      <c r="K87">
        <v>3</v>
      </c>
      <c r="L87">
        <v>13</v>
      </c>
      <c r="M87">
        <v>8</v>
      </c>
      <c r="N87">
        <v>13</v>
      </c>
      <c r="O87">
        <v>4</v>
      </c>
      <c r="P87">
        <v>21</v>
      </c>
      <c r="Q87">
        <v>13</v>
      </c>
      <c r="R87">
        <v>5</v>
      </c>
    </row>
    <row r="88" spans="1:18" hidden="1" x14ac:dyDescent="0.35">
      <c r="A88" s="461" t="s">
        <v>773</v>
      </c>
      <c r="B88" s="461" t="s">
        <v>35</v>
      </c>
      <c r="C88" s="461" t="s">
        <v>267</v>
      </c>
      <c r="D88">
        <v>4</v>
      </c>
      <c r="E88">
        <v>22</v>
      </c>
      <c r="F88">
        <v>3</v>
      </c>
      <c r="M88">
        <v>8</v>
      </c>
      <c r="N88">
        <v>1</v>
      </c>
      <c r="O88">
        <v>4</v>
      </c>
      <c r="P88">
        <v>3</v>
      </c>
      <c r="Q88">
        <v>4</v>
      </c>
    </row>
    <row r="89" spans="1:18" hidden="1" x14ac:dyDescent="0.35">
      <c r="A89" s="461" t="s">
        <v>773</v>
      </c>
      <c r="B89" s="461" t="s">
        <v>37</v>
      </c>
      <c r="C89" s="461" t="s">
        <v>294</v>
      </c>
      <c r="D89">
        <v>3</v>
      </c>
      <c r="E89">
        <v>35</v>
      </c>
      <c r="F89">
        <v>336</v>
      </c>
      <c r="G89">
        <v>1</v>
      </c>
      <c r="H89">
        <v>17</v>
      </c>
      <c r="I89">
        <v>1</v>
      </c>
      <c r="K89">
        <v>2</v>
      </c>
      <c r="L89">
        <v>12</v>
      </c>
      <c r="M89">
        <v>1</v>
      </c>
      <c r="N89">
        <v>4</v>
      </c>
      <c r="O89">
        <v>7</v>
      </c>
      <c r="P89">
        <v>4</v>
      </c>
      <c r="R89">
        <v>1</v>
      </c>
    </row>
    <row r="90" spans="1:18" hidden="1" x14ac:dyDescent="0.35">
      <c r="A90" s="461" t="s">
        <v>773</v>
      </c>
      <c r="B90" s="461" t="s">
        <v>114</v>
      </c>
      <c r="C90" s="461" t="s">
        <v>297</v>
      </c>
      <c r="D90">
        <v>25</v>
      </c>
      <c r="E90">
        <v>86</v>
      </c>
      <c r="F90">
        <v>646</v>
      </c>
      <c r="G90">
        <v>6</v>
      </c>
      <c r="H90">
        <v>74</v>
      </c>
      <c r="I90">
        <v>5</v>
      </c>
      <c r="J90">
        <v>4</v>
      </c>
      <c r="K90">
        <v>3</v>
      </c>
      <c r="L90">
        <v>42</v>
      </c>
      <c r="M90">
        <v>17</v>
      </c>
      <c r="N90">
        <v>58</v>
      </c>
      <c r="O90">
        <v>23</v>
      </c>
      <c r="P90">
        <v>10</v>
      </c>
      <c r="Q90">
        <v>27</v>
      </c>
      <c r="R90">
        <v>12</v>
      </c>
    </row>
    <row r="91" spans="1:18" hidden="1" x14ac:dyDescent="0.35">
      <c r="A91" s="461" t="s">
        <v>773</v>
      </c>
      <c r="B91" s="461" t="s">
        <v>54</v>
      </c>
      <c r="C91" s="461" t="s">
        <v>281</v>
      </c>
      <c r="D91">
        <v>18</v>
      </c>
      <c r="E91">
        <v>32</v>
      </c>
      <c r="F91">
        <v>16</v>
      </c>
      <c r="H91">
        <v>8</v>
      </c>
      <c r="I91">
        <v>2</v>
      </c>
      <c r="L91">
        <v>4</v>
      </c>
      <c r="M91">
        <v>11</v>
      </c>
      <c r="N91">
        <v>1</v>
      </c>
      <c r="O91">
        <v>6</v>
      </c>
      <c r="P91">
        <v>5</v>
      </c>
      <c r="R91">
        <v>1</v>
      </c>
    </row>
    <row r="92" spans="1:18" x14ac:dyDescent="0.35">
      <c r="A92" s="461" t="s">
        <v>951</v>
      </c>
      <c r="B92" s="461" t="s">
        <v>36</v>
      </c>
      <c r="C92" s="461" t="s">
        <v>268</v>
      </c>
      <c r="D92">
        <v>8</v>
      </c>
      <c r="E92">
        <v>69</v>
      </c>
      <c r="F92">
        <v>34</v>
      </c>
      <c r="H92">
        <v>3</v>
      </c>
      <c r="I92">
        <v>1</v>
      </c>
      <c r="L92">
        <v>1</v>
      </c>
      <c r="M92">
        <v>1</v>
      </c>
      <c r="N92">
        <v>4</v>
      </c>
      <c r="O92">
        <v>2</v>
      </c>
      <c r="Q92">
        <v>1</v>
      </c>
    </row>
    <row r="93" spans="1:18" x14ac:dyDescent="0.35">
      <c r="A93" s="461" t="s">
        <v>951</v>
      </c>
      <c r="B93" s="461" t="s">
        <v>114</v>
      </c>
      <c r="C93" s="461" t="s">
        <v>959</v>
      </c>
      <c r="D93">
        <v>10</v>
      </c>
      <c r="E93">
        <v>108</v>
      </c>
      <c r="F93">
        <v>222</v>
      </c>
      <c r="G93">
        <v>6</v>
      </c>
      <c r="H93">
        <v>30</v>
      </c>
      <c r="I93">
        <v>4</v>
      </c>
      <c r="J93">
        <v>5</v>
      </c>
      <c r="K93">
        <v>1</v>
      </c>
      <c r="L93">
        <v>10</v>
      </c>
      <c r="M93">
        <v>7</v>
      </c>
      <c r="N93">
        <v>30</v>
      </c>
      <c r="O93">
        <v>11</v>
      </c>
      <c r="P93">
        <v>7</v>
      </c>
      <c r="Q93">
        <v>5</v>
      </c>
      <c r="R93">
        <v>14</v>
      </c>
    </row>
    <row r="94" spans="1:18" x14ac:dyDescent="0.35">
      <c r="A94" s="461" t="s">
        <v>951</v>
      </c>
      <c r="B94" s="461" t="s">
        <v>44</v>
      </c>
      <c r="C94" s="461" t="s">
        <v>274</v>
      </c>
      <c r="D94">
        <v>18</v>
      </c>
      <c r="E94">
        <v>56</v>
      </c>
      <c r="F94">
        <v>16</v>
      </c>
      <c r="H94">
        <v>13</v>
      </c>
      <c r="I94">
        <v>2</v>
      </c>
      <c r="K94">
        <v>1</v>
      </c>
      <c r="L94">
        <v>1</v>
      </c>
      <c r="M94">
        <v>1</v>
      </c>
      <c r="N94">
        <v>2</v>
      </c>
      <c r="O94">
        <v>2</v>
      </c>
      <c r="P94">
        <v>4</v>
      </c>
      <c r="Q94">
        <v>2</v>
      </c>
      <c r="R94">
        <v>2</v>
      </c>
    </row>
    <row r="95" spans="1:18" x14ac:dyDescent="0.35">
      <c r="A95" s="461" t="s">
        <v>951</v>
      </c>
      <c r="B95" s="461" t="s">
        <v>49</v>
      </c>
      <c r="C95" s="461" t="s">
        <v>278</v>
      </c>
      <c r="E95">
        <v>66</v>
      </c>
      <c r="H95">
        <v>10</v>
      </c>
      <c r="I95">
        <v>2</v>
      </c>
      <c r="L95">
        <v>2</v>
      </c>
      <c r="N95">
        <v>6</v>
      </c>
      <c r="O95">
        <v>1</v>
      </c>
      <c r="P95">
        <v>1</v>
      </c>
      <c r="R95">
        <v>1</v>
      </c>
    </row>
    <row r="96" spans="1:18" x14ac:dyDescent="0.35">
      <c r="A96" s="461" t="s">
        <v>951</v>
      </c>
      <c r="B96" s="461" t="s">
        <v>52</v>
      </c>
      <c r="C96" s="461" t="s">
        <v>280</v>
      </c>
      <c r="E96">
        <v>3</v>
      </c>
      <c r="M96">
        <v>1</v>
      </c>
    </row>
    <row r="97" spans="1:18" x14ac:dyDescent="0.35">
      <c r="A97" s="461" t="s">
        <v>951</v>
      </c>
      <c r="B97" s="461" t="s">
        <v>54</v>
      </c>
      <c r="C97" s="461" t="s">
        <v>281</v>
      </c>
      <c r="D97">
        <v>16</v>
      </c>
      <c r="E97">
        <v>34</v>
      </c>
      <c r="F97">
        <v>5</v>
      </c>
      <c r="H97">
        <v>3</v>
      </c>
      <c r="L97">
        <v>1</v>
      </c>
      <c r="M97">
        <v>2</v>
      </c>
      <c r="N97">
        <v>2</v>
      </c>
      <c r="P97">
        <v>1</v>
      </c>
      <c r="R97">
        <v>2</v>
      </c>
    </row>
    <row r="98" spans="1:18" x14ac:dyDescent="0.35">
      <c r="A98" s="461" t="s">
        <v>951</v>
      </c>
      <c r="B98" s="461" t="s">
        <v>57</v>
      </c>
      <c r="C98" s="461" t="s">
        <v>284</v>
      </c>
      <c r="D98">
        <v>9</v>
      </c>
      <c r="E98">
        <v>83</v>
      </c>
      <c r="F98">
        <v>23</v>
      </c>
      <c r="H98">
        <v>7</v>
      </c>
      <c r="L98">
        <v>1</v>
      </c>
      <c r="M98">
        <v>1</v>
      </c>
      <c r="N98">
        <v>5</v>
      </c>
      <c r="O98">
        <v>1</v>
      </c>
      <c r="P98">
        <v>6</v>
      </c>
      <c r="Q98">
        <v>5</v>
      </c>
      <c r="R98">
        <v>5</v>
      </c>
    </row>
    <row r="99" spans="1:18" hidden="1" x14ac:dyDescent="0.35">
      <c r="A99" s="461" t="s">
        <v>193</v>
      </c>
      <c r="B99" s="461" t="s">
        <v>31</v>
      </c>
      <c r="C99" s="461" t="s">
        <v>286</v>
      </c>
      <c r="D99">
        <v>4</v>
      </c>
      <c r="E99">
        <v>71</v>
      </c>
      <c r="F99">
        <v>164</v>
      </c>
      <c r="G99">
        <v>2</v>
      </c>
      <c r="H99">
        <v>72</v>
      </c>
      <c r="I99">
        <v>3</v>
      </c>
      <c r="J99">
        <v>4</v>
      </c>
      <c r="L99">
        <v>27</v>
      </c>
      <c r="M99">
        <v>1</v>
      </c>
      <c r="N99">
        <v>6</v>
      </c>
      <c r="O99">
        <v>6</v>
      </c>
      <c r="P99">
        <v>1</v>
      </c>
      <c r="Q99">
        <v>2</v>
      </c>
      <c r="R99">
        <v>6</v>
      </c>
    </row>
    <row r="100" spans="1:18" hidden="1" x14ac:dyDescent="0.35">
      <c r="A100" s="461" t="s">
        <v>193</v>
      </c>
      <c r="B100" s="461" t="s">
        <v>245</v>
      </c>
      <c r="C100" s="461" t="s">
        <v>289</v>
      </c>
      <c r="D100">
        <v>40</v>
      </c>
      <c r="E100">
        <v>127</v>
      </c>
      <c r="F100">
        <v>134</v>
      </c>
      <c r="G100">
        <v>69</v>
      </c>
      <c r="H100">
        <v>105</v>
      </c>
      <c r="I100">
        <v>42</v>
      </c>
      <c r="J100">
        <v>3</v>
      </c>
      <c r="K100">
        <v>7</v>
      </c>
      <c r="L100">
        <v>127</v>
      </c>
      <c r="M100">
        <v>28</v>
      </c>
      <c r="N100">
        <v>89</v>
      </c>
      <c r="O100">
        <v>108</v>
      </c>
      <c r="P100">
        <v>15</v>
      </c>
      <c r="Q100">
        <v>43</v>
      </c>
      <c r="R100">
        <v>19</v>
      </c>
    </row>
    <row r="101" spans="1:18" hidden="1" x14ac:dyDescent="0.35">
      <c r="A101" s="461" t="s">
        <v>193</v>
      </c>
      <c r="B101" s="461" t="s">
        <v>37</v>
      </c>
      <c r="C101" s="461" t="s">
        <v>294</v>
      </c>
      <c r="D101">
        <v>37</v>
      </c>
      <c r="E101">
        <v>40</v>
      </c>
      <c r="F101">
        <v>315</v>
      </c>
      <c r="G101">
        <v>1</v>
      </c>
      <c r="H101">
        <v>34</v>
      </c>
      <c r="I101">
        <v>2</v>
      </c>
      <c r="L101">
        <v>23</v>
      </c>
      <c r="M101">
        <v>1</v>
      </c>
      <c r="N101">
        <v>3</v>
      </c>
      <c r="O101">
        <v>3</v>
      </c>
      <c r="Q101">
        <v>1</v>
      </c>
    </row>
    <row r="102" spans="1:18" hidden="1" x14ac:dyDescent="0.35">
      <c r="A102" s="461" t="s">
        <v>193</v>
      </c>
      <c r="B102" s="461" t="s">
        <v>41</v>
      </c>
      <c r="C102" s="461" t="s">
        <v>271</v>
      </c>
      <c r="D102">
        <v>1</v>
      </c>
      <c r="E102">
        <v>14</v>
      </c>
      <c r="F102">
        <v>14</v>
      </c>
      <c r="H102">
        <v>7</v>
      </c>
      <c r="I102">
        <v>2</v>
      </c>
      <c r="J102">
        <v>1</v>
      </c>
      <c r="K102">
        <v>3</v>
      </c>
      <c r="L102">
        <v>18</v>
      </c>
      <c r="M102">
        <v>7</v>
      </c>
      <c r="N102">
        <v>25</v>
      </c>
      <c r="O102">
        <v>8</v>
      </c>
      <c r="Q102">
        <v>11</v>
      </c>
      <c r="R102">
        <v>8</v>
      </c>
    </row>
    <row r="103" spans="1:18" hidden="1" x14ac:dyDescent="0.35">
      <c r="A103" s="461" t="s">
        <v>193</v>
      </c>
      <c r="B103" s="461" t="s">
        <v>43</v>
      </c>
      <c r="C103" s="461" t="s">
        <v>380</v>
      </c>
      <c r="D103">
        <v>13</v>
      </c>
      <c r="E103">
        <v>118</v>
      </c>
      <c r="F103">
        <v>222</v>
      </c>
      <c r="G103">
        <v>1</v>
      </c>
      <c r="H103">
        <v>57</v>
      </c>
      <c r="I103">
        <v>3</v>
      </c>
      <c r="J103">
        <v>2</v>
      </c>
      <c r="K103">
        <v>4</v>
      </c>
      <c r="L103">
        <v>11</v>
      </c>
      <c r="M103">
        <v>3</v>
      </c>
      <c r="N103">
        <v>13</v>
      </c>
      <c r="O103">
        <v>22</v>
      </c>
      <c r="P103">
        <v>14</v>
      </c>
      <c r="Q103">
        <v>10</v>
      </c>
      <c r="R103">
        <v>5</v>
      </c>
    </row>
    <row r="104" spans="1:18" hidden="1" x14ac:dyDescent="0.35">
      <c r="A104" s="461" t="s">
        <v>192</v>
      </c>
      <c r="B104" s="461" t="s">
        <v>43</v>
      </c>
      <c r="C104" s="461" t="s">
        <v>380</v>
      </c>
      <c r="D104">
        <v>18</v>
      </c>
      <c r="E104">
        <v>137</v>
      </c>
      <c r="F104">
        <v>272</v>
      </c>
      <c r="G104">
        <v>1</v>
      </c>
      <c r="H104">
        <v>61</v>
      </c>
      <c r="I104">
        <v>6</v>
      </c>
      <c r="J104">
        <v>2</v>
      </c>
      <c r="K104">
        <v>4</v>
      </c>
      <c r="L104">
        <v>9</v>
      </c>
      <c r="M104">
        <v>12</v>
      </c>
      <c r="N104">
        <v>31</v>
      </c>
      <c r="O104">
        <v>18</v>
      </c>
      <c r="P104">
        <v>23</v>
      </c>
      <c r="Q104">
        <v>12</v>
      </c>
      <c r="R104">
        <v>12</v>
      </c>
    </row>
    <row r="105" spans="1:18" hidden="1" x14ac:dyDescent="0.35">
      <c r="A105" s="461" t="s">
        <v>192</v>
      </c>
      <c r="B105" s="461" t="s">
        <v>47</v>
      </c>
      <c r="C105" s="461" t="s">
        <v>277</v>
      </c>
      <c r="D105">
        <v>11</v>
      </c>
      <c r="E105">
        <v>38</v>
      </c>
      <c r="F105">
        <v>13</v>
      </c>
      <c r="G105">
        <v>4</v>
      </c>
      <c r="H105">
        <v>38</v>
      </c>
      <c r="I105">
        <v>28</v>
      </c>
      <c r="K105">
        <v>2</v>
      </c>
      <c r="L105">
        <v>2</v>
      </c>
      <c r="M105">
        <v>2</v>
      </c>
      <c r="N105">
        <v>2</v>
      </c>
      <c r="O105">
        <v>3</v>
      </c>
      <c r="P105">
        <v>43</v>
      </c>
      <c r="Q105">
        <v>7</v>
      </c>
    </row>
    <row r="106" spans="1:18" hidden="1" x14ac:dyDescent="0.35">
      <c r="A106" s="461" t="s">
        <v>192</v>
      </c>
      <c r="B106" s="461" t="s">
        <v>49</v>
      </c>
      <c r="C106" s="461" t="s">
        <v>278</v>
      </c>
      <c r="D106">
        <v>5</v>
      </c>
      <c r="E106">
        <v>72</v>
      </c>
      <c r="F106">
        <v>6</v>
      </c>
      <c r="G106">
        <v>4</v>
      </c>
      <c r="H106">
        <v>36</v>
      </c>
      <c r="I106">
        <v>30</v>
      </c>
      <c r="K106">
        <v>1</v>
      </c>
      <c r="L106">
        <v>4</v>
      </c>
      <c r="M106">
        <v>5</v>
      </c>
      <c r="N106">
        <v>39</v>
      </c>
      <c r="O106">
        <v>13</v>
      </c>
      <c r="P106">
        <v>34</v>
      </c>
      <c r="Q106">
        <v>4</v>
      </c>
      <c r="R106">
        <v>10</v>
      </c>
    </row>
    <row r="107" spans="1:18" hidden="1" x14ac:dyDescent="0.35">
      <c r="A107" s="461" t="s">
        <v>192</v>
      </c>
      <c r="B107" s="461" t="s">
        <v>51</v>
      </c>
      <c r="C107" s="461" t="s">
        <v>279</v>
      </c>
      <c r="D107">
        <v>1</v>
      </c>
      <c r="E107">
        <v>14</v>
      </c>
      <c r="F107">
        <v>6</v>
      </c>
      <c r="G107">
        <v>1</v>
      </c>
      <c r="H107">
        <v>9</v>
      </c>
      <c r="I107">
        <v>1</v>
      </c>
    </row>
    <row r="108" spans="1:18" hidden="1" x14ac:dyDescent="0.35">
      <c r="A108" s="461" t="s">
        <v>192</v>
      </c>
      <c r="B108" s="461" t="s">
        <v>59</v>
      </c>
      <c r="C108" s="461" t="s">
        <v>291</v>
      </c>
      <c r="D108">
        <v>7</v>
      </c>
      <c r="E108">
        <v>26</v>
      </c>
      <c r="F108">
        <v>19</v>
      </c>
      <c r="H108">
        <v>17</v>
      </c>
      <c r="I108">
        <v>2</v>
      </c>
      <c r="J108">
        <v>1</v>
      </c>
      <c r="L108">
        <v>3</v>
      </c>
      <c r="M108">
        <v>5</v>
      </c>
      <c r="N108">
        <v>7</v>
      </c>
      <c r="O108">
        <v>7</v>
      </c>
      <c r="P108">
        <v>117</v>
      </c>
      <c r="Q108">
        <v>9</v>
      </c>
    </row>
    <row r="109" spans="1:18" hidden="1" x14ac:dyDescent="0.35">
      <c r="A109" s="461" t="s">
        <v>258</v>
      </c>
      <c r="B109" s="461" t="s">
        <v>32</v>
      </c>
      <c r="C109" s="461" t="s">
        <v>287</v>
      </c>
      <c r="D109">
        <v>25</v>
      </c>
      <c r="E109">
        <v>89</v>
      </c>
      <c r="F109">
        <v>41</v>
      </c>
      <c r="G109">
        <v>2</v>
      </c>
      <c r="H109">
        <v>59</v>
      </c>
      <c r="I109">
        <v>54</v>
      </c>
      <c r="L109">
        <v>12</v>
      </c>
      <c r="M109">
        <v>62</v>
      </c>
      <c r="N109">
        <v>2</v>
      </c>
      <c r="O109">
        <v>3</v>
      </c>
      <c r="P109">
        <v>8</v>
      </c>
      <c r="Q109">
        <v>2</v>
      </c>
      <c r="R109">
        <v>3</v>
      </c>
    </row>
    <row r="110" spans="1:18" hidden="1" x14ac:dyDescent="0.35">
      <c r="A110" s="461" t="s">
        <v>258</v>
      </c>
      <c r="B110" s="461" t="s">
        <v>35</v>
      </c>
      <c r="C110" s="461" t="s">
        <v>267</v>
      </c>
      <c r="D110">
        <v>15</v>
      </c>
      <c r="E110">
        <v>19</v>
      </c>
      <c r="F110">
        <v>2</v>
      </c>
      <c r="G110">
        <v>2</v>
      </c>
      <c r="H110">
        <v>2</v>
      </c>
      <c r="I110">
        <v>1</v>
      </c>
      <c r="L110">
        <v>2</v>
      </c>
      <c r="M110">
        <v>10</v>
      </c>
      <c r="N110">
        <v>6</v>
      </c>
      <c r="O110">
        <v>3</v>
      </c>
      <c r="Q110">
        <v>6</v>
      </c>
    </row>
    <row r="111" spans="1:18" hidden="1" x14ac:dyDescent="0.35">
      <c r="A111" s="461" t="s">
        <v>258</v>
      </c>
      <c r="B111" s="461" t="s">
        <v>36</v>
      </c>
      <c r="C111" s="461" t="s">
        <v>268</v>
      </c>
      <c r="D111">
        <v>11</v>
      </c>
      <c r="E111">
        <v>76</v>
      </c>
      <c r="F111">
        <v>44</v>
      </c>
      <c r="G111">
        <v>6</v>
      </c>
      <c r="H111">
        <v>110</v>
      </c>
      <c r="I111">
        <v>10</v>
      </c>
      <c r="J111">
        <v>2</v>
      </c>
      <c r="K111">
        <v>7</v>
      </c>
      <c r="L111">
        <v>5</v>
      </c>
      <c r="M111">
        <v>18</v>
      </c>
      <c r="N111">
        <v>18</v>
      </c>
      <c r="O111">
        <v>8</v>
      </c>
      <c r="P111">
        <v>22</v>
      </c>
      <c r="Q111">
        <v>19</v>
      </c>
      <c r="R111">
        <v>7</v>
      </c>
    </row>
    <row r="112" spans="1:18" hidden="1" x14ac:dyDescent="0.35">
      <c r="A112" s="461" t="s">
        <v>258</v>
      </c>
      <c r="B112" s="461" t="s">
        <v>38</v>
      </c>
      <c r="C112" s="461" t="s">
        <v>269</v>
      </c>
      <c r="D112">
        <v>6</v>
      </c>
      <c r="E112">
        <v>46</v>
      </c>
      <c r="F112">
        <v>9</v>
      </c>
      <c r="H112">
        <v>24</v>
      </c>
      <c r="I112">
        <v>9</v>
      </c>
      <c r="K112">
        <v>2</v>
      </c>
      <c r="L112">
        <v>4</v>
      </c>
      <c r="M112">
        <v>2</v>
      </c>
      <c r="N112">
        <v>23</v>
      </c>
      <c r="O112">
        <v>7</v>
      </c>
      <c r="P112">
        <v>22</v>
      </c>
      <c r="Q112">
        <v>6</v>
      </c>
      <c r="R112">
        <v>4</v>
      </c>
    </row>
    <row r="113" spans="1:18" hidden="1" x14ac:dyDescent="0.35">
      <c r="A113" s="461" t="s">
        <v>258</v>
      </c>
      <c r="B113" s="461" t="s">
        <v>56</v>
      </c>
      <c r="C113" s="461" t="s">
        <v>283</v>
      </c>
      <c r="D113">
        <v>19</v>
      </c>
      <c r="E113">
        <v>51</v>
      </c>
      <c r="F113">
        <v>32</v>
      </c>
      <c r="G113">
        <v>6</v>
      </c>
      <c r="H113">
        <v>59</v>
      </c>
      <c r="I113">
        <v>34</v>
      </c>
      <c r="K113">
        <v>4</v>
      </c>
      <c r="L113">
        <v>15</v>
      </c>
      <c r="M113">
        <v>4</v>
      </c>
      <c r="N113">
        <v>22</v>
      </c>
      <c r="O113">
        <v>12</v>
      </c>
      <c r="P113">
        <v>9</v>
      </c>
      <c r="Q113">
        <v>9</v>
      </c>
      <c r="R113">
        <v>34</v>
      </c>
    </row>
    <row r="114" spans="1:18" hidden="1" x14ac:dyDescent="0.35">
      <c r="A114" s="461" t="s">
        <v>242</v>
      </c>
      <c r="B114" s="461" t="s">
        <v>31</v>
      </c>
      <c r="C114" s="461" t="s">
        <v>286</v>
      </c>
      <c r="D114">
        <v>13</v>
      </c>
      <c r="E114">
        <v>46</v>
      </c>
      <c r="F114">
        <v>170</v>
      </c>
      <c r="G114">
        <v>1</v>
      </c>
      <c r="H114">
        <v>35</v>
      </c>
      <c r="I114">
        <v>1</v>
      </c>
      <c r="J114">
        <v>3</v>
      </c>
      <c r="K114">
        <v>1</v>
      </c>
      <c r="L114">
        <v>9</v>
      </c>
      <c r="M114">
        <v>3</v>
      </c>
      <c r="N114">
        <v>12</v>
      </c>
      <c r="O114">
        <v>6</v>
      </c>
      <c r="P114">
        <v>6</v>
      </c>
      <c r="Q114">
        <v>5</v>
      </c>
      <c r="R114">
        <v>4</v>
      </c>
    </row>
    <row r="115" spans="1:18" hidden="1" x14ac:dyDescent="0.35">
      <c r="A115" s="461" t="s">
        <v>242</v>
      </c>
      <c r="B115" s="461" t="s">
        <v>32</v>
      </c>
      <c r="C115" s="461" t="s">
        <v>287</v>
      </c>
      <c r="D115">
        <v>15</v>
      </c>
      <c r="E115">
        <v>92</v>
      </c>
      <c r="F115">
        <v>39</v>
      </c>
      <c r="H115">
        <v>72</v>
      </c>
      <c r="I115">
        <v>52</v>
      </c>
      <c r="J115">
        <v>1</v>
      </c>
      <c r="K115">
        <v>6</v>
      </c>
      <c r="L115">
        <v>10</v>
      </c>
      <c r="M115">
        <v>8</v>
      </c>
      <c r="N115">
        <v>10</v>
      </c>
      <c r="O115">
        <v>8</v>
      </c>
      <c r="P115">
        <v>15</v>
      </c>
      <c r="Q115">
        <v>11</v>
      </c>
      <c r="R115">
        <v>5</v>
      </c>
    </row>
    <row r="116" spans="1:18" hidden="1" x14ac:dyDescent="0.35">
      <c r="A116" s="461" t="s">
        <v>242</v>
      </c>
      <c r="B116" s="461" t="s">
        <v>55</v>
      </c>
      <c r="C116" s="461" t="s">
        <v>282</v>
      </c>
      <c r="D116">
        <v>1</v>
      </c>
      <c r="E116">
        <v>16</v>
      </c>
      <c r="F116">
        <v>3</v>
      </c>
      <c r="L116">
        <v>1</v>
      </c>
      <c r="M116">
        <v>1</v>
      </c>
      <c r="N116">
        <v>1</v>
      </c>
    </row>
    <row r="117" spans="1:18" hidden="1" x14ac:dyDescent="0.35">
      <c r="A117" s="461" t="s">
        <v>241</v>
      </c>
      <c r="B117" s="461" t="s">
        <v>37</v>
      </c>
      <c r="C117" s="461" t="s">
        <v>294</v>
      </c>
      <c r="D117">
        <v>14</v>
      </c>
      <c r="E117">
        <v>39</v>
      </c>
      <c r="F117">
        <v>280</v>
      </c>
      <c r="G117">
        <v>2</v>
      </c>
      <c r="H117">
        <v>15</v>
      </c>
      <c r="L117">
        <v>10</v>
      </c>
      <c r="M117">
        <v>6</v>
      </c>
      <c r="N117">
        <v>5</v>
      </c>
      <c r="O117">
        <v>4</v>
      </c>
      <c r="P117">
        <v>1</v>
      </c>
      <c r="Q117">
        <v>1</v>
      </c>
      <c r="R117">
        <v>4</v>
      </c>
    </row>
    <row r="118" spans="1:18" hidden="1" x14ac:dyDescent="0.35">
      <c r="A118" s="461" t="s">
        <v>773</v>
      </c>
      <c r="B118" s="461" t="s">
        <v>32</v>
      </c>
      <c r="C118" s="461" t="s">
        <v>287</v>
      </c>
      <c r="D118">
        <v>15</v>
      </c>
      <c r="E118">
        <v>81</v>
      </c>
      <c r="F118">
        <v>20</v>
      </c>
      <c r="G118">
        <v>5</v>
      </c>
      <c r="H118">
        <v>44</v>
      </c>
      <c r="I118">
        <v>47</v>
      </c>
      <c r="K118">
        <v>3</v>
      </c>
      <c r="L118">
        <v>8</v>
      </c>
      <c r="M118">
        <v>30</v>
      </c>
      <c r="N118">
        <v>34</v>
      </c>
      <c r="O118">
        <v>9</v>
      </c>
      <c r="P118">
        <v>19</v>
      </c>
      <c r="Q118">
        <v>17</v>
      </c>
      <c r="R118">
        <v>19</v>
      </c>
    </row>
    <row r="119" spans="1:18" hidden="1" x14ac:dyDescent="0.35">
      <c r="A119" s="461" t="s">
        <v>773</v>
      </c>
      <c r="B119" s="461" t="s">
        <v>41</v>
      </c>
      <c r="C119" s="461" t="s">
        <v>271</v>
      </c>
      <c r="E119">
        <v>7</v>
      </c>
      <c r="F119">
        <v>2</v>
      </c>
      <c r="H119">
        <v>6</v>
      </c>
      <c r="I119">
        <v>2</v>
      </c>
      <c r="M119">
        <v>5</v>
      </c>
      <c r="O119">
        <v>3</v>
      </c>
      <c r="P119">
        <v>1</v>
      </c>
      <c r="Q119">
        <v>2</v>
      </c>
    </row>
    <row r="120" spans="1:18" hidden="1" x14ac:dyDescent="0.35">
      <c r="A120" s="461" t="s">
        <v>773</v>
      </c>
      <c r="B120" s="461" t="s">
        <v>52</v>
      </c>
      <c r="C120" s="461" t="s">
        <v>280</v>
      </c>
      <c r="D120">
        <v>36</v>
      </c>
      <c r="E120">
        <v>71</v>
      </c>
      <c r="F120">
        <v>10</v>
      </c>
      <c r="G120">
        <v>2</v>
      </c>
      <c r="H120">
        <v>67</v>
      </c>
      <c r="I120">
        <v>33</v>
      </c>
      <c r="L120">
        <v>6</v>
      </c>
      <c r="M120">
        <v>6</v>
      </c>
      <c r="N120">
        <v>6</v>
      </c>
      <c r="O120">
        <v>6</v>
      </c>
      <c r="P120">
        <v>2</v>
      </c>
      <c r="Q120">
        <v>1</v>
      </c>
      <c r="R120">
        <v>2</v>
      </c>
    </row>
    <row r="121" spans="1:18" hidden="1" x14ac:dyDescent="0.35">
      <c r="A121" s="461" t="s">
        <v>773</v>
      </c>
      <c r="B121" s="461" t="s">
        <v>53</v>
      </c>
      <c r="C121" s="461" t="s">
        <v>290</v>
      </c>
      <c r="D121">
        <v>1</v>
      </c>
      <c r="E121">
        <v>48</v>
      </c>
      <c r="F121">
        <v>5</v>
      </c>
      <c r="H121">
        <v>24</v>
      </c>
      <c r="I121">
        <v>20</v>
      </c>
      <c r="J121">
        <v>1</v>
      </c>
      <c r="L121">
        <v>9</v>
      </c>
      <c r="M121">
        <v>7</v>
      </c>
      <c r="N121">
        <v>11</v>
      </c>
      <c r="O121">
        <v>10</v>
      </c>
      <c r="P121">
        <v>5</v>
      </c>
      <c r="Q121">
        <v>3</v>
      </c>
      <c r="R121">
        <v>5</v>
      </c>
    </row>
    <row r="122" spans="1:18" hidden="1" x14ac:dyDescent="0.35">
      <c r="A122" s="461" t="s">
        <v>773</v>
      </c>
      <c r="B122" s="461" t="s">
        <v>55</v>
      </c>
      <c r="C122" s="461" t="s">
        <v>282</v>
      </c>
      <c r="E122">
        <v>11</v>
      </c>
    </row>
    <row r="123" spans="1:18" hidden="1" x14ac:dyDescent="0.35">
      <c r="A123" s="461" t="s">
        <v>773</v>
      </c>
      <c r="B123" s="461" t="s">
        <v>57</v>
      </c>
      <c r="C123" s="461" t="s">
        <v>284</v>
      </c>
      <c r="D123">
        <v>15</v>
      </c>
      <c r="E123">
        <v>61</v>
      </c>
      <c r="F123">
        <v>45</v>
      </c>
      <c r="H123">
        <v>3</v>
      </c>
      <c r="I123">
        <v>2</v>
      </c>
      <c r="K123">
        <v>1</v>
      </c>
      <c r="L123">
        <v>5</v>
      </c>
      <c r="M123">
        <v>1</v>
      </c>
      <c r="N123">
        <v>13</v>
      </c>
      <c r="O123">
        <v>1</v>
      </c>
      <c r="P123">
        <v>5</v>
      </c>
      <c r="Q123">
        <v>3</v>
      </c>
      <c r="R123">
        <v>4</v>
      </c>
    </row>
    <row r="124" spans="1:18" x14ac:dyDescent="0.35">
      <c r="A124" s="461" t="s">
        <v>951</v>
      </c>
      <c r="B124" s="461" t="s">
        <v>35</v>
      </c>
      <c r="C124" s="461" t="s">
        <v>267</v>
      </c>
      <c r="D124">
        <v>2</v>
      </c>
      <c r="E124">
        <v>19</v>
      </c>
      <c r="G124">
        <v>4</v>
      </c>
      <c r="L124">
        <v>1</v>
      </c>
      <c r="M124">
        <v>2</v>
      </c>
      <c r="N124">
        <v>1</v>
      </c>
      <c r="O124">
        <v>3</v>
      </c>
      <c r="P124">
        <v>2</v>
      </c>
      <c r="Q124">
        <v>1</v>
      </c>
    </row>
    <row r="125" spans="1:18" x14ac:dyDescent="0.35">
      <c r="A125" s="461" t="s">
        <v>951</v>
      </c>
      <c r="B125" s="461" t="s">
        <v>42</v>
      </c>
      <c r="C125" s="461" t="s">
        <v>273</v>
      </c>
      <c r="D125">
        <v>7</v>
      </c>
      <c r="E125">
        <v>39</v>
      </c>
      <c r="J125">
        <v>1</v>
      </c>
      <c r="L125">
        <v>1</v>
      </c>
      <c r="M125">
        <v>3</v>
      </c>
      <c r="N125">
        <v>2</v>
      </c>
      <c r="O125">
        <v>3</v>
      </c>
      <c r="P125">
        <v>4</v>
      </c>
      <c r="Q125">
        <v>1</v>
      </c>
      <c r="R125">
        <v>1</v>
      </c>
    </row>
    <row r="126" spans="1:18" x14ac:dyDescent="0.35">
      <c r="A126" s="461" t="s">
        <v>951</v>
      </c>
      <c r="B126" s="461" t="s">
        <v>47</v>
      </c>
      <c r="C126" s="461" t="s">
        <v>277</v>
      </c>
      <c r="D126">
        <v>3</v>
      </c>
      <c r="E126">
        <v>6</v>
      </c>
      <c r="F126">
        <v>2</v>
      </c>
      <c r="H126">
        <v>5</v>
      </c>
      <c r="I126">
        <v>12</v>
      </c>
      <c r="M126">
        <v>4</v>
      </c>
      <c r="N126">
        <v>3</v>
      </c>
      <c r="P126">
        <v>6</v>
      </c>
      <c r="R126">
        <v>1</v>
      </c>
    </row>
    <row r="127" spans="1:18" hidden="1" x14ac:dyDescent="0.35">
      <c r="A127" s="461" t="s">
        <v>193</v>
      </c>
      <c r="B127" s="461" t="s">
        <v>40</v>
      </c>
      <c r="C127" s="461" t="s">
        <v>270</v>
      </c>
      <c r="D127">
        <v>8</v>
      </c>
      <c r="E127">
        <v>22</v>
      </c>
      <c r="F127">
        <v>24</v>
      </c>
      <c r="G127">
        <v>7</v>
      </c>
      <c r="H127">
        <v>6</v>
      </c>
      <c r="I127">
        <v>2</v>
      </c>
      <c r="J127">
        <v>1</v>
      </c>
      <c r="K127">
        <v>1</v>
      </c>
      <c r="L127">
        <v>4</v>
      </c>
      <c r="M127">
        <v>5</v>
      </c>
      <c r="N127">
        <v>6</v>
      </c>
      <c r="O127">
        <v>12</v>
      </c>
      <c r="P127">
        <v>3</v>
      </c>
      <c r="Q127">
        <v>1</v>
      </c>
    </row>
    <row r="128" spans="1:18" hidden="1" x14ac:dyDescent="0.35">
      <c r="A128" s="461" t="s">
        <v>193</v>
      </c>
      <c r="B128" s="461" t="s">
        <v>45</v>
      </c>
      <c r="C128" s="461" t="s">
        <v>275</v>
      </c>
      <c r="D128">
        <v>2</v>
      </c>
      <c r="E128">
        <v>40</v>
      </c>
      <c r="F128">
        <v>9</v>
      </c>
      <c r="H128">
        <v>4</v>
      </c>
      <c r="J128">
        <v>1</v>
      </c>
      <c r="K128">
        <v>3</v>
      </c>
      <c r="L128">
        <v>7</v>
      </c>
      <c r="M128">
        <v>13</v>
      </c>
      <c r="N128">
        <v>21</v>
      </c>
      <c r="O128">
        <v>9</v>
      </c>
      <c r="P128">
        <v>7</v>
      </c>
      <c r="Q128">
        <v>24</v>
      </c>
      <c r="R128">
        <v>7</v>
      </c>
    </row>
    <row r="129" spans="1:18" hidden="1" x14ac:dyDescent="0.35">
      <c r="A129" s="461" t="s">
        <v>192</v>
      </c>
      <c r="B129" s="461" t="s">
        <v>35</v>
      </c>
      <c r="C129" s="461" t="s">
        <v>267</v>
      </c>
      <c r="D129">
        <v>12</v>
      </c>
      <c r="E129">
        <v>22</v>
      </c>
      <c r="F129">
        <v>3</v>
      </c>
      <c r="H129">
        <v>2</v>
      </c>
      <c r="I129">
        <v>2</v>
      </c>
      <c r="K129">
        <v>1</v>
      </c>
      <c r="O129">
        <v>2</v>
      </c>
      <c r="P129">
        <v>2</v>
      </c>
      <c r="Q129">
        <v>5</v>
      </c>
    </row>
    <row r="130" spans="1:18" hidden="1" x14ac:dyDescent="0.35">
      <c r="A130" s="461" t="s">
        <v>192</v>
      </c>
      <c r="B130" s="461" t="s">
        <v>37</v>
      </c>
      <c r="C130" s="461" t="s">
        <v>294</v>
      </c>
      <c r="D130">
        <v>19</v>
      </c>
      <c r="E130">
        <v>38</v>
      </c>
      <c r="F130">
        <v>489</v>
      </c>
      <c r="H130">
        <v>3</v>
      </c>
      <c r="K130">
        <v>1</v>
      </c>
      <c r="L130">
        <v>21</v>
      </c>
      <c r="M130">
        <v>2</v>
      </c>
      <c r="N130">
        <v>7</v>
      </c>
      <c r="O130">
        <v>13</v>
      </c>
      <c r="P130">
        <v>1</v>
      </c>
      <c r="Q130">
        <v>1</v>
      </c>
      <c r="R130">
        <v>3</v>
      </c>
    </row>
    <row r="131" spans="1:18" hidden="1" x14ac:dyDescent="0.35">
      <c r="A131" s="461" t="s">
        <v>192</v>
      </c>
      <c r="B131" s="461" t="s">
        <v>39</v>
      </c>
      <c r="C131" s="461" t="s">
        <v>296</v>
      </c>
      <c r="D131">
        <v>7</v>
      </c>
      <c r="E131">
        <v>29</v>
      </c>
      <c r="F131">
        <v>24</v>
      </c>
      <c r="H131">
        <v>5</v>
      </c>
      <c r="I131">
        <v>1</v>
      </c>
      <c r="L131">
        <v>2</v>
      </c>
      <c r="M131">
        <v>5</v>
      </c>
      <c r="N131">
        <v>2</v>
      </c>
      <c r="O131">
        <v>3</v>
      </c>
      <c r="P131">
        <v>7</v>
      </c>
      <c r="Q131">
        <v>5</v>
      </c>
      <c r="R131">
        <v>5</v>
      </c>
    </row>
    <row r="132" spans="1:18" hidden="1" x14ac:dyDescent="0.35">
      <c r="A132" s="461" t="s">
        <v>258</v>
      </c>
      <c r="B132" s="461" t="s">
        <v>41</v>
      </c>
      <c r="C132" s="461" t="s">
        <v>271</v>
      </c>
      <c r="D132">
        <v>1</v>
      </c>
      <c r="E132">
        <v>20</v>
      </c>
      <c r="F132">
        <v>9</v>
      </c>
      <c r="H132">
        <v>8</v>
      </c>
      <c r="I132">
        <v>4</v>
      </c>
      <c r="K132">
        <v>2</v>
      </c>
      <c r="L132">
        <v>4</v>
      </c>
      <c r="M132">
        <v>2</v>
      </c>
      <c r="N132">
        <v>10</v>
      </c>
      <c r="O132">
        <v>2</v>
      </c>
      <c r="Q132">
        <v>14</v>
      </c>
      <c r="R132">
        <v>4</v>
      </c>
    </row>
    <row r="133" spans="1:18" hidden="1" x14ac:dyDescent="0.35">
      <c r="A133" s="461" t="s">
        <v>258</v>
      </c>
      <c r="B133" s="461" t="s">
        <v>45</v>
      </c>
      <c r="C133" s="461" t="s">
        <v>275</v>
      </c>
      <c r="D133">
        <v>1</v>
      </c>
      <c r="E133">
        <v>37</v>
      </c>
      <c r="F133">
        <v>7</v>
      </c>
      <c r="H133">
        <v>3</v>
      </c>
      <c r="I133">
        <v>2</v>
      </c>
      <c r="K133">
        <v>3</v>
      </c>
      <c r="L133">
        <v>11</v>
      </c>
      <c r="M133">
        <v>3</v>
      </c>
      <c r="N133">
        <v>27</v>
      </c>
      <c r="O133">
        <v>4</v>
      </c>
      <c r="P133">
        <v>9</v>
      </c>
      <c r="Q133">
        <v>4</v>
      </c>
      <c r="R133">
        <v>4</v>
      </c>
    </row>
    <row r="134" spans="1:18" hidden="1" x14ac:dyDescent="0.35">
      <c r="A134" s="461" t="s">
        <v>258</v>
      </c>
      <c r="B134" s="461" t="s">
        <v>50</v>
      </c>
      <c r="C134" s="461" t="s">
        <v>295</v>
      </c>
      <c r="D134">
        <v>6</v>
      </c>
      <c r="E134">
        <v>55</v>
      </c>
      <c r="F134">
        <v>22</v>
      </c>
      <c r="H134">
        <v>29</v>
      </c>
      <c r="I134">
        <v>2</v>
      </c>
      <c r="J134">
        <v>2</v>
      </c>
      <c r="L134">
        <v>48</v>
      </c>
      <c r="M134">
        <v>16</v>
      </c>
      <c r="N134">
        <v>86</v>
      </c>
      <c r="O134">
        <v>22</v>
      </c>
      <c r="P134">
        <v>58</v>
      </c>
      <c r="Q134">
        <v>61</v>
      </c>
      <c r="R134">
        <v>89</v>
      </c>
    </row>
    <row r="135" spans="1:18" hidden="1" x14ac:dyDescent="0.35">
      <c r="A135" s="461" t="s">
        <v>258</v>
      </c>
      <c r="B135" s="461" t="s">
        <v>52</v>
      </c>
      <c r="C135" s="461" t="s">
        <v>280</v>
      </c>
      <c r="D135">
        <v>57</v>
      </c>
      <c r="E135">
        <v>81</v>
      </c>
      <c r="F135">
        <v>30</v>
      </c>
      <c r="G135">
        <v>4</v>
      </c>
      <c r="H135">
        <v>34</v>
      </c>
      <c r="I135">
        <v>39</v>
      </c>
      <c r="K135">
        <v>2</v>
      </c>
      <c r="L135">
        <v>15</v>
      </c>
      <c r="M135">
        <v>4</v>
      </c>
      <c r="N135">
        <v>3</v>
      </c>
      <c r="O135">
        <v>8</v>
      </c>
      <c r="P135">
        <v>2</v>
      </c>
      <c r="Q135">
        <v>5</v>
      </c>
      <c r="R135">
        <v>3</v>
      </c>
    </row>
    <row r="136" spans="1:18" hidden="1" x14ac:dyDescent="0.35">
      <c r="A136" s="461" t="s">
        <v>258</v>
      </c>
      <c r="B136" s="461" t="s">
        <v>57</v>
      </c>
      <c r="C136" s="461" t="s">
        <v>284</v>
      </c>
      <c r="D136">
        <v>12</v>
      </c>
      <c r="E136">
        <v>102</v>
      </c>
      <c r="F136">
        <v>36</v>
      </c>
      <c r="G136">
        <v>1</v>
      </c>
      <c r="H136">
        <v>26</v>
      </c>
      <c r="I136">
        <v>2</v>
      </c>
      <c r="J136">
        <v>1</v>
      </c>
      <c r="K136">
        <v>5</v>
      </c>
      <c r="L136">
        <v>4</v>
      </c>
      <c r="M136">
        <v>4</v>
      </c>
      <c r="N136">
        <v>22</v>
      </c>
      <c r="O136">
        <v>9</v>
      </c>
      <c r="P136">
        <v>12</v>
      </c>
      <c r="Q136">
        <v>6</v>
      </c>
      <c r="R136">
        <v>9</v>
      </c>
    </row>
    <row r="137" spans="1:18" hidden="1" x14ac:dyDescent="0.35">
      <c r="A137" s="461" t="s">
        <v>242</v>
      </c>
      <c r="B137" s="461" t="s">
        <v>33</v>
      </c>
      <c r="C137" s="461" t="s">
        <v>293</v>
      </c>
      <c r="D137">
        <v>15</v>
      </c>
      <c r="E137">
        <v>35</v>
      </c>
      <c r="F137">
        <v>4</v>
      </c>
      <c r="G137">
        <v>1</v>
      </c>
      <c r="H137">
        <v>19</v>
      </c>
      <c r="I137">
        <v>16</v>
      </c>
      <c r="K137">
        <v>2</v>
      </c>
      <c r="L137">
        <v>12</v>
      </c>
      <c r="N137">
        <v>3</v>
      </c>
      <c r="O137">
        <v>7</v>
      </c>
      <c r="P137">
        <v>3</v>
      </c>
      <c r="R137">
        <v>2</v>
      </c>
    </row>
    <row r="138" spans="1:18" hidden="1" x14ac:dyDescent="0.35">
      <c r="A138" s="461" t="s">
        <v>242</v>
      </c>
      <c r="B138" s="461" t="s">
        <v>35</v>
      </c>
      <c r="C138" s="461" t="s">
        <v>267</v>
      </c>
      <c r="D138">
        <v>1</v>
      </c>
      <c r="E138">
        <v>19</v>
      </c>
      <c r="F138">
        <v>5</v>
      </c>
      <c r="H138">
        <v>6</v>
      </c>
      <c r="I138">
        <v>1</v>
      </c>
      <c r="J138">
        <v>1</v>
      </c>
      <c r="L138">
        <v>1</v>
      </c>
      <c r="M138">
        <v>23</v>
      </c>
      <c r="N138">
        <v>1</v>
      </c>
      <c r="O138">
        <v>1</v>
      </c>
      <c r="P138">
        <v>3</v>
      </c>
      <c r="Q138">
        <v>2</v>
      </c>
    </row>
    <row r="139" spans="1:18" hidden="1" x14ac:dyDescent="0.35">
      <c r="A139" s="461" t="s">
        <v>242</v>
      </c>
      <c r="B139" s="461" t="s">
        <v>37</v>
      </c>
      <c r="C139" s="461" t="s">
        <v>294</v>
      </c>
      <c r="D139">
        <v>9</v>
      </c>
      <c r="E139">
        <v>36</v>
      </c>
      <c r="F139">
        <v>195</v>
      </c>
      <c r="G139">
        <v>1</v>
      </c>
      <c r="H139">
        <v>41</v>
      </c>
      <c r="I139">
        <v>4</v>
      </c>
      <c r="J139">
        <v>2</v>
      </c>
      <c r="K139">
        <v>1</v>
      </c>
      <c r="L139">
        <v>5</v>
      </c>
      <c r="M139">
        <v>1</v>
      </c>
      <c r="N139">
        <v>5</v>
      </c>
      <c r="O139">
        <v>2</v>
      </c>
      <c r="P139">
        <v>2</v>
      </c>
      <c r="Q139">
        <v>2</v>
      </c>
    </row>
    <row r="140" spans="1:18" hidden="1" x14ac:dyDescent="0.35">
      <c r="A140" s="461" t="s">
        <v>242</v>
      </c>
      <c r="B140" s="461" t="s">
        <v>40</v>
      </c>
      <c r="C140" s="461" t="s">
        <v>270</v>
      </c>
      <c r="D140">
        <v>5</v>
      </c>
      <c r="E140">
        <v>28</v>
      </c>
      <c r="F140">
        <v>12</v>
      </c>
      <c r="G140">
        <v>2</v>
      </c>
      <c r="H140">
        <v>11</v>
      </c>
      <c r="I140">
        <v>21</v>
      </c>
      <c r="K140">
        <v>1</v>
      </c>
      <c r="L140">
        <v>11</v>
      </c>
      <c r="M140">
        <v>13</v>
      </c>
      <c r="N140">
        <v>2</v>
      </c>
      <c r="O140">
        <v>16</v>
      </c>
      <c r="P140">
        <v>10</v>
      </c>
      <c r="Q140">
        <v>8</v>
      </c>
      <c r="R140">
        <v>4</v>
      </c>
    </row>
    <row r="141" spans="1:18" hidden="1" x14ac:dyDescent="0.35">
      <c r="A141" s="461" t="s">
        <v>241</v>
      </c>
      <c r="B141" s="461" t="s">
        <v>35</v>
      </c>
      <c r="C141" s="461" t="s">
        <v>267</v>
      </c>
      <c r="D141">
        <v>5</v>
      </c>
      <c r="E141">
        <v>22</v>
      </c>
      <c r="F141">
        <v>8</v>
      </c>
      <c r="G141">
        <v>2</v>
      </c>
      <c r="H141">
        <v>3</v>
      </c>
      <c r="I141">
        <v>2</v>
      </c>
      <c r="L141">
        <v>1</v>
      </c>
      <c r="M141">
        <v>17</v>
      </c>
      <c r="O141">
        <v>1</v>
      </c>
      <c r="P141">
        <v>7</v>
      </c>
      <c r="Q141">
        <v>2</v>
      </c>
    </row>
    <row r="142" spans="1:18" hidden="1" x14ac:dyDescent="0.35">
      <c r="A142" s="461" t="s">
        <v>241</v>
      </c>
      <c r="B142" s="461" t="s">
        <v>43</v>
      </c>
      <c r="C142" s="461" t="s">
        <v>380</v>
      </c>
      <c r="D142">
        <v>29</v>
      </c>
      <c r="E142">
        <v>135</v>
      </c>
      <c r="F142">
        <v>214</v>
      </c>
      <c r="H142">
        <v>85</v>
      </c>
      <c r="I142">
        <v>10</v>
      </c>
      <c r="K142">
        <v>4</v>
      </c>
      <c r="L142">
        <v>12</v>
      </c>
      <c r="M142">
        <v>122</v>
      </c>
      <c r="N142">
        <v>9</v>
      </c>
      <c r="O142">
        <v>12</v>
      </c>
      <c r="P142">
        <v>10</v>
      </c>
      <c r="Q142">
        <v>5</v>
      </c>
      <c r="R142">
        <v>10</v>
      </c>
    </row>
    <row r="143" spans="1:18" hidden="1" x14ac:dyDescent="0.35">
      <c r="A143" s="461" t="s">
        <v>241</v>
      </c>
      <c r="B143" s="461" t="s">
        <v>44</v>
      </c>
      <c r="C143" s="461" t="s">
        <v>274</v>
      </c>
      <c r="D143">
        <v>15</v>
      </c>
      <c r="E143">
        <v>81</v>
      </c>
      <c r="F143">
        <v>45</v>
      </c>
      <c r="G143">
        <v>2</v>
      </c>
      <c r="H143">
        <v>25</v>
      </c>
      <c r="I143">
        <v>3</v>
      </c>
      <c r="K143">
        <v>1</v>
      </c>
      <c r="L143">
        <v>5</v>
      </c>
      <c r="M143">
        <v>4</v>
      </c>
      <c r="N143">
        <v>4</v>
      </c>
      <c r="O143">
        <v>3</v>
      </c>
      <c r="P143">
        <v>4</v>
      </c>
      <c r="Q143">
        <v>3</v>
      </c>
      <c r="R143">
        <v>1</v>
      </c>
    </row>
    <row r="144" spans="1:18" hidden="1" x14ac:dyDescent="0.35">
      <c r="A144" s="461" t="s">
        <v>241</v>
      </c>
      <c r="B144" s="461" t="s">
        <v>49</v>
      </c>
      <c r="C144" s="461" t="s">
        <v>278</v>
      </c>
      <c r="D144">
        <v>2</v>
      </c>
      <c r="E144">
        <v>100</v>
      </c>
      <c r="F144">
        <v>9</v>
      </c>
      <c r="G144">
        <v>2</v>
      </c>
      <c r="H144">
        <v>31</v>
      </c>
      <c r="I144">
        <v>19</v>
      </c>
      <c r="J144">
        <v>1</v>
      </c>
      <c r="L144">
        <v>3</v>
      </c>
      <c r="M144">
        <v>4</v>
      </c>
      <c r="N144">
        <v>23</v>
      </c>
      <c r="O144">
        <v>3</v>
      </c>
      <c r="P144">
        <v>27</v>
      </c>
      <c r="Q144">
        <v>7</v>
      </c>
      <c r="R144">
        <v>13</v>
      </c>
    </row>
    <row r="145" spans="1:18" hidden="1" x14ac:dyDescent="0.35">
      <c r="A145" s="461" t="s">
        <v>241</v>
      </c>
      <c r="B145" s="461" t="s">
        <v>51</v>
      </c>
      <c r="C145" s="461" t="s">
        <v>279</v>
      </c>
      <c r="E145">
        <v>3</v>
      </c>
      <c r="H145">
        <v>5</v>
      </c>
      <c r="R145">
        <v>1</v>
      </c>
    </row>
    <row r="146" spans="1:18" hidden="1" x14ac:dyDescent="0.35">
      <c r="A146" s="461" t="s">
        <v>773</v>
      </c>
      <c r="B146" s="461" t="s">
        <v>36</v>
      </c>
      <c r="C146" s="461" t="s">
        <v>268</v>
      </c>
      <c r="D146">
        <v>7</v>
      </c>
      <c r="E146">
        <v>61</v>
      </c>
      <c r="F146">
        <v>21</v>
      </c>
      <c r="G146">
        <v>6</v>
      </c>
      <c r="H146">
        <v>90</v>
      </c>
      <c r="I146">
        <v>67</v>
      </c>
      <c r="K146">
        <v>4</v>
      </c>
      <c r="L146">
        <v>12</v>
      </c>
      <c r="M146">
        <v>23</v>
      </c>
      <c r="N146">
        <v>20</v>
      </c>
      <c r="O146">
        <v>44</v>
      </c>
      <c r="P146">
        <v>43</v>
      </c>
      <c r="Q146">
        <v>30</v>
      </c>
      <c r="R146">
        <v>7</v>
      </c>
    </row>
    <row r="147" spans="1:18" hidden="1" x14ac:dyDescent="0.35">
      <c r="A147" s="461" t="s">
        <v>773</v>
      </c>
      <c r="B147" s="461" t="s">
        <v>114</v>
      </c>
      <c r="C147" s="461" t="s">
        <v>959</v>
      </c>
      <c r="R147">
        <v>1</v>
      </c>
    </row>
    <row r="148" spans="1:18" hidden="1" x14ac:dyDescent="0.35">
      <c r="A148" s="461" t="s">
        <v>773</v>
      </c>
      <c r="B148" s="461" t="s">
        <v>44</v>
      </c>
      <c r="C148" s="461" t="s">
        <v>274</v>
      </c>
      <c r="D148">
        <v>20</v>
      </c>
      <c r="E148">
        <v>95</v>
      </c>
      <c r="F148">
        <v>65</v>
      </c>
      <c r="G148">
        <v>15</v>
      </c>
      <c r="H148">
        <v>236</v>
      </c>
      <c r="I148">
        <v>33</v>
      </c>
      <c r="J148">
        <v>1</v>
      </c>
      <c r="L148">
        <v>11</v>
      </c>
      <c r="M148">
        <v>1</v>
      </c>
      <c r="N148">
        <v>8</v>
      </c>
      <c r="O148">
        <v>3</v>
      </c>
      <c r="P148">
        <v>1</v>
      </c>
      <c r="Q148">
        <v>3</v>
      </c>
      <c r="R148">
        <v>1</v>
      </c>
    </row>
    <row r="149" spans="1:18" hidden="1" x14ac:dyDescent="0.35">
      <c r="A149" s="461" t="s">
        <v>773</v>
      </c>
      <c r="B149" s="461" t="s">
        <v>51</v>
      </c>
      <c r="C149" s="461" t="s">
        <v>279</v>
      </c>
      <c r="D149">
        <v>1</v>
      </c>
      <c r="E149">
        <v>12</v>
      </c>
      <c r="H149">
        <v>9</v>
      </c>
      <c r="I149">
        <v>1</v>
      </c>
    </row>
    <row r="150" spans="1:18" x14ac:dyDescent="0.35">
      <c r="A150" s="461" t="s">
        <v>951</v>
      </c>
      <c r="B150" s="461" t="s">
        <v>34</v>
      </c>
      <c r="C150" s="461" t="s">
        <v>288</v>
      </c>
      <c r="E150">
        <v>7</v>
      </c>
      <c r="F150">
        <v>15</v>
      </c>
      <c r="G150">
        <v>6</v>
      </c>
      <c r="H150">
        <v>68</v>
      </c>
      <c r="I150">
        <v>9</v>
      </c>
      <c r="J150">
        <v>2</v>
      </c>
      <c r="M150">
        <v>2</v>
      </c>
      <c r="N150">
        <v>1</v>
      </c>
      <c r="O150">
        <v>4</v>
      </c>
      <c r="P150">
        <v>2</v>
      </c>
      <c r="Q150">
        <v>1</v>
      </c>
      <c r="R150">
        <v>2</v>
      </c>
    </row>
    <row r="151" spans="1:18" x14ac:dyDescent="0.35">
      <c r="A151" s="461" t="s">
        <v>951</v>
      </c>
      <c r="B151" s="461" t="s">
        <v>39</v>
      </c>
      <c r="C151" s="461" t="s">
        <v>296</v>
      </c>
      <c r="D151">
        <v>2</v>
      </c>
      <c r="E151">
        <v>22</v>
      </c>
      <c r="F151">
        <v>13</v>
      </c>
      <c r="H151">
        <v>3</v>
      </c>
      <c r="I151">
        <v>1</v>
      </c>
      <c r="L151">
        <v>1</v>
      </c>
      <c r="N151">
        <v>3</v>
      </c>
    </row>
    <row r="152" spans="1:18" x14ac:dyDescent="0.35">
      <c r="A152" s="461" t="s">
        <v>951</v>
      </c>
      <c r="B152" s="461" t="s">
        <v>43</v>
      </c>
      <c r="C152" s="461" t="s">
        <v>380</v>
      </c>
      <c r="E152">
        <v>3</v>
      </c>
      <c r="F152">
        <v>4</v>
      </c>
      <c r="M152">
        <v>1</v>
      </c>
    </row>
    <row r="153" spans="1:18" x14ac:dyDescent="0.35">
      <c r="A153" s="461" t="s">
        <v>951</v>
      </c>
      <c r="B153" s="461" t="s">
        <v>45</v>
      </c>
      <c r="C153" s="461" t="s">
        <v>275</v>
      </c>
      <c r="E153">
        <v>20</v>
      </c>
      <c r="F153">
        <v>4</v>
      </c>
      <c r="H153">
        <v>1</v>
      </c>
      <c r="L153">
        <v>1</v>
      </c>
      <c r="O153">
        <v>1</v>
      </c>
    </row>
    <row r="154" spans="1:18" x14ac:dyDescent="0.35">
      <c r="A154" s="461" t="s">
        <v>951</v>
      </c>
      <c r="B154" s="461" t="s">
        <v>48</v>
      </c>
      <c r="C154" s="461" t="s">
        <v>272</v>
      </c>
      <c r="D154">
        <v>2</v>
      </c>
      <c r="E154">
        <v>9</v>
      </c>
    </row>
    <row r="155" spans="1:18" x14ac:dyDescent="0.35">
      <c r="A155" s="461" t="s">
        <v>951</v>
      </c>
      <c r="B155" s="461" t="s">
        <v>50</v>
      </c>
      <c r="C155" s="461" t="s">
        <v>960</v>
      </c>
      <c r="D155">
        <v>3</v>
      </c>
      <c r="E155">
        <v>40</v>
      </c>
      <c r="F155">
        <v>3</v>
      </c>
      <c r="G155">
        <v>1</v>
      </c>
      <c r="H155">
        <v>13</v>
      </c>
      <c r="I155">
        <v>1</v>
      </c>
      <c r="L155">
        <v>1</v>
      </c>
      <c r="M155">
        <v>2</v>
      </c>
      <c r="N155">
        <v>8</v>
      </c>
      <c r="O155">
        <v>4</v>
      </c>
      <c r="P155">
        <v>10</v>
      </c>
      <c r="Q155">
        <v>26</v>
      </c>
      <c r="R155">
        <v>3</v>
      </c>
    </row>
    <row r="156" spans="1:18" hidden="1" x14ac:dyDescent="0.35">
      <c r="A156" s="461" t="s">
        <v>193</v>
      </c>
      <c r="B156" s="461" t="s">
        <v>32</v>
      </c>
      <c r="C156" s="461" t="s">
        <v>287</v>
      </c>
      <c r="D156">
        <v>11</v>
      </c>
      <c r="E156">
        <v>79</v>
      </c>
      <c r="F156">
        <v>48</v>
      </c>
      <c r="H156">
        <v>59</v>
      </c>
      <c r="I156">
        <v>28</v>
      </c>
      <c r="L156">
        <v>14</v>
      </c>
      <c r="M156">
        <v>16</v>
      </c>
      <c r="N156">
        <v>1</v>
      </c>
      <c r="O156">
        <v>1</v>
      </c>
      <c r="P156">
        <v>2</v>
      </c>
      <c r="Q156">
        <v>6</v>
      </c>
      <c r="R156">
        <v>2</v>
      </c>
    </row>
    <row r="157" spans="1:18" hidden="1" x14ac:dyDescent="0.35">
      <c r="A157" s="461" t="s">
        <v>193</v>
      </c>
      <c r="B157" s="461" t="s">
        <v>33</v>
      </c>
      <c r="C157" s="461" t="s">
        <v>293</v>
      </c>
      <c r="D157">
        <v>13</v>
      </c>
      <c r="E157">
        <v>38</v>
      </c>
      <c r="F157">
        <v>6</v>
      </c>
      <c r="G157">
        <v>1</v>
      </c>
      <c r="H157">
        <v>27</v>
      </c>
      <c r="I157">
        <v>9</v>
      </c>
      <c r="K157">
        <v>2</v>
      </c>
      <c r="L157">
        <v>34</v>
      </c>
      <c r="M157">
        <v>4</v>
      </c>
      <c r="N157">
        <v>5</v>
      </c>
      <c r="O157">
        <v>20</v>
      </c>
      <c r="P157">
        <v>25</v>
      </c>
      <c r="Q157">
        <v>13</v>
      </c>
      <c r="R157">
        <v>9</v>
      </c>
    </row>
    <row r="158" spans="1:18" hidden="1" x14ac:dyDescent="0.35">
      <c r="A158" s="461" t="s">
        <v>193</v>
      </c>
      <c r="B158" s="461" t="s">
        <v>34</v>
      </c>
      <c r="C158" s="461" t="s">
        <v>288</v>
      </c>
      <c r="D158">
        <v>5</v>
      </c>
      <c r="E158">
        <v>27</v>
      </c>
      <c r="F158">
        <v>2</v>
      </c>
      <c r="G158">
        <v>5</v>
      </c>
      <c r="H158">
        <v>101</v>
      </c>
      <c r="I158">
        <v>24</v>
      </c>
      <c r="J158">
        <v>2</v>
      </c>
      <c r="K158">
        <v>2</v>
      </c>
      <c r="L158">
        <v>9</v>
      </c>
      <c r="M158">
        <v>36</v>
      </c>
      <c r="N158">
        <v>13</v>
      </c>
      <c r="O158">
        <v>2</v>
      </c>
      <c r="P158">
        <v>3</v>
      </c>
      <c r="Q158">
        <v>4</v>
      </c>
      <c r="R158">
        <v>18</v>
      </c>
    </row>
    <row r="159" spans="1:18" hidden="1" x14ac:dyDescent="0.35">
      <c r="A159" s="461" t="s">
        <v>193</v>
      </c>
      <c r="B159" s="461" t="s">
        <v>48</v>
      </c>
      <c r="C159" s="461" t="s">
        <v>272</v>
      </c>
      <c r="D159">
        <v>2</v>
      </c>
      <c r="E159">
        <v>6</v>
      </c>
      <c r="F159">
        <v>7</v>
      </c>
      <c r="H159">
        <v>2</v>
      </c>
      <c r="M159">
        <v>1</v>
      </c>
      <c r="Q159">
        <v>1</v>
      </c>
    </row>
    <row r="160" spans="1:18" hidden="1" x14ac:dyDescent="0.35">
      <c r="A160" s="461" t="s">
        <v>193</v>
      </c>
      <c r="B160" s="461" t="s">
        <v>52</v>
      </c>
      <c r="C160" s="461" t="s">
        <v>280</v>
      </c>
      <c r="D160">
        <v>49</v>
      </c>
      <c r="E160">
        <v>85</v>
      </c>
      <c r="F160">
        <v>32</v>
      </c>
      <c r="G160">
        <v>1</v>
      </c>
      <c r="H160">
        <v>18</v>
      </c>
      <c r="I160">
        <v>30</v>
      </c>
      <c r="K160">
        <v>1</v>
      </c>
      <c r="L160">
        <v>4</v>
      </c>
      <c r="M160">
        <v>3</v>
      </c>
      <c r="N160">
        <v>5</v>
      </c>
      <c r="O160">
        <v>4</v>
      </c>
      <c r="P160">
        <v>3</v>
      </c>
      <c r="Q160">
        <v>11</v>
      </c>
      <c r="R160">
        <v>1</v>
      </c>
    </row>
    <row r="161" spans="1:18" hidden="1" x14ac:dyDescent="0.35">
      <c r="A161" s="461" t="s">
        <v>193</v>
      </c>
      <c r="B161" s="461" t="s">
        <v>55</v>
      </c>
      <c r="C161" s="461" t="s">
        <v>282</v>
      </c>
      <c r="D161">
        <v>1</v>
      </c>
      <c r="E161">
        <v>14</v>
      </c>
      <c r="F161">
        <v>6</v>
      </c>
      <c r="G161">
        <v>2</v>
      </c>
      <c r="H161">
        <v>8</v>
      </c>
      <c r="Q161">
        <v>1</v>
      </c>
    </row>
    <row r="162" spans="1:18" hidden="1" x14ac:dyDescent="0.35">
      <c r="A162" s="461" t="s">
        <v>193</v>
      </c>
      <c r="B162" s="461" t="s">
        <v>56</v>
      </c>
      <c r="C162" s="461" t="s">
        <v>283</v>
      </c>
      <c r="D162">
        <v>3</v>
      </c>
      <c r="E162">
        <v>46</v>
      </c>
      <c r="F162">
        <v>23</v>
      </c>
      <c r="G162">
        <v>5</v>
      </c>
      <c r="H162">
        <v>39</v>
      </c>
      <c r="I162">
        <v>14</v>
      </c>
      <c r="J162">
        <v>1</v>
      </c>
      <c r="K162">
        <v>1</v>
      </c>
      <c r="L162">
        <v>16</v>
      </c>
      <c r="M162">
        <v>10</v>
      </c>
      <c r="N162">
        <v>36</v>
      </c>
      <c r="O162">
        <v>8</v>
      </c>
      <c r="P162">
        <v>20</v>
      </c>
      <c r="Q162">
        <v>15</v>
      </c>
      <c r="R162">
        <v>10</v>
      </c>
    </row>
    <row r="163" spans="1:18" hidden="1" x14ac:dyDescent="0.35">
      <c r="A163" s="461" t="s">
        <v>193</v>
      </c>
      <c r="B163" s="461" t="s">
        <v>60</v>
      </c>
      <c r="C163" s="461" t="s">
        <v>292</v>
      </c>
      <c r="D163">
        <v>9</v>
      </c>
      <c r="E163">
        <v>45</v>
      </c>
      <c r="F163">
        <v>13</v>
      </c>
      <c r="G163">
        <v>4</v>
      </c>
      <c r="H163">
        <v>5</v>
      </c>
      <c r="I163">
        <v>1</v>
      </c>
      <c r="K163">
        <v>16</v>
      </c>
      <c r="L163">
        <v>34</v>
      </c>
      <c r="M163">
        <v>21</v>
      </c>
      <c r="N163">
        <v>30</v>
      </c>
      <c r="O163">
        <v>15</v>
      </c>
      <c r="P163">
        <v>29</v>
      </c>
      <c r="Q163">
        <v>13</v>
      </c>
      <c r="R163">
        <v>3</v>
      </c>
    </row>
    <row r="164" spans="1:18" hidden="1" x14ac:dyDescent="0.35">
      <c r="A164" s="461" t="s">
        <v>192</v>
      </c>
      <c r="B164" s="461" t="s">
        <v>33</v>
      </c>
      <c r="C164" s="461" t="s">
        <v>293</v>
      </c>
      <c r="D164">
        <v>8</v>
      </c>
      <c r="E164">
        <v>36</v>
      </c>
      <c r="F164">
        <v>4</v>
      </c>
      <c r="H164">
        <v>12</v>
      </c>
      <c r="I164">
        <v>27</v>
      </c>
      <c r="L164">
        <v>39</v>
      </c>
      <c r="M164">
        <v>7</v>
      </c>
      <c r="N164">
        <v>3</v>
      </c>
      <c r="O164">
        <v>19</v>
      </c>
      <c r="P164">
        <v>8</v>
      </c>
      <c r="Q164">
        <v>8</v>
      </c>
      <c r="R164">
        <v>3</v>
      </c>
    </row>
    <row r="165" spans="1:18" hidden="1" x14ac:dyDescent="0.35">
      <c r="A165" s="461" t="s">
        <v>192</v>
      </c>
      <c r="B165" s="461" t="s">
        <v>36</v>
      </c>
      <c r="C165" s="461" t="s">
        <v>268</v>
      </c>
      <c r="D165">
        <v>10</v>
      </c>
      <c r="E165">
        <v>91</v>
      </c>
      <c r="F165">
        <v>27</v>
      </c>
      <c r="G165">
        <v>3</v>
      </c>
      <c r="H165">
        <v>82</v>
      </c>
      <c r="I165">
        <v>7</v>
      </c>
      <c r="J165">
        <v>1</v>
      </c>
      <c r="K165">
        <v>1</v>
      </c>
      <c r="L165">
        <v>9</v>
      </c>
      <c r="M165">
        <v>11</v>
      </c>
      <c r="N165">
        <v>10</v>
      </c>
      <c r="O165">
        <v>15</v>
      </c>
      <c r="P165">
        <v>19</v>
      </c>
      <c r="Q165">
        <v>7</v>
      </c>
      <c r="R165">
        <v>3</v>
      </c>
    </row>
    <row r="166" spans="1:18" hidden="1" x14ac:dyDescent="0.35">
      <c r="A166" s="461" t="s">
        <v>192</v>
      </c>
      <c r="B166" s="461" t="s">
        <v>42</v>
      </c>
      <c r="C166" s="461" t="s">
        <v>273</v>
      </c>
      <c r="D166">
        <v>10</v>
      </c>
      <c r="E166">
        <v>45</v>
      </c>
      <c r="F166">
        <v>8</v>
      </c>
      <c r="G166">
        <v>1</v>
      </c>
      <c r="H166">
        <v>18</v>
      </c>
      <c r="I166">
        <v>5</v>
      </c>
      <c r="J166">
        <v>2</v>
      </c>
      <c r="K166">
        <v>4</v>
      </c>
      <c r="L166">
        <v>17</v>
      </c>
      <c r="M166">
        <v>6</v>
      </c>
      <c r="N166">
        <v>16</v>
      </c>
      <c r="O166">
        <v>7</v>
      </c>
      <c r="P166">
        <v>10</v>
      </c>
      <c r="Q166">
        <v>8</v>
      </c>
      <c r="R166">
        <v>3</v>
      </c>
    </row>
    <row r="167" spans="1:18" hidden="1" x14ac:dyDescent="0.35">
      <c r="A167" s="461" t="s">
        <v>192</v>
      </c>
      <c r="B167" s="461" t="s">
        <v>52</v>
      </c>
      <c r="C167" s="461" t="s">
        <v>280</v>
      </c>
      <c r="D167">
        <v>65</v>
      </c>
      <c r="E167">
        <v>88</v>
      </c>
      <c r="F167">
        <v>38</v>
      </c>
      <c r="H167">
        <v>11</v>
      </c>
      <c r="I167">
        <v>27</v>
      </c>
      <c r="L167">
        <v>13</v>
      </c>
      <c r="M167">
        <v>2</v>
      </c>
      <c r="N167">
        <v>1</v>
      </c>
      <c r="O167">
        <v>13</v>
      </c>
      <c r="P167">
        <v>6</v>
      </c>
      <c r="Q167">
        <v>3</v>
      </c>
      <c r="R167">
        <v>3</v>
      </c>
    </row>
    <row r="168" spans="1:18" hidden="1" x14ac:dyDescent="0.35">
      <c r="A168" s="461" t="s">
        <v>192</v>
      </c>
      <c r="B168" s="461" t="s">
        <v>57</v>
      </c>
      <c r="C168" s="461" t="s">
        <v>284</v>
      </c>
      <c r="D168">
        <v>15</v>
      </c>
      <c r="E168">
        <v>102</v>
      </c>
      <c r="F168">
        <v>59</v>
      </c>
      <c r="H168">
        <v>25</v>
      </c>
      <c r="I168">
        <v>3</v>
      </c>
      <c r="K168">
        <v>1</v>
      </c>
      <c r="L168">
        <v>6</v>
      </c>
      <c r="M168">
        <v>3</v>
      </c>
      <c r="N168">
        <v>5</v>
      </c>
      <c r="O168">
        <v>8</v>
      </c>
      <c r="P168">
        <v>4</v>
      </c>
      <c r="Q168">
        <v>16</v>
      </c>
      <c r="R168">
        <v>3</v>
      </c>
    </row>
    <row r="169" spans="1:18" hidden="1" x14ac:dyDescent="0.35">
      <c r="A169" s="461" t="s">
        <v>258</v>
      </c>
      <c r="B169" s="461" t="s">
        <v>245</v>
      </c>
      <c r="C169" s="461" t="s">
        <v>289</v>
      </c>
      <c r="D169">
        <v>27</v>
      </c>
      <c r="E169">
        <v>110</v>
      </c>
      <c r="F169">
        <v>211</v>
      </c>
      <c r="G169">
        <v>30</v>
      </c>
      <c r="H169">
        <v>110</v>
      </c>
      <c r="I169">
        <v>22</v>
      </c>
      <c r="J169">
        <v>2</v>
      </c>
      <c r="K169">
        <v>5</v>
      </c>
      <c r="L169">
        <v>109</v>
      </c>
      <c r="M169">
        <v>24</v>
      </c>
      <c r="N169">
        <v>79</v>
      </c>
      <c r="O169">
        <v>27</v>
      </c>
      <c r="P169">
        <v>1</v>
      </c>
      <c r="Q169">
        <v>22</v>
      </c>
      <c r="R169">
        <v>4</v>
      </c>
    </row>
    <row r="170" spans="1:18" hidden="1" x14ac:dyDescent="0.35">
      <c r="A170" s="461" t="s">
        <v>258</v>
      </c>
      <c r="B170" s="461" t="s">
        <v>43</v>
      </c>
      <c r="C170" s="461" t="s">
        <v>380</v>
      </c>
      <c r="D170">
        <v>24</v>
      </c>
      <c r="E170">
        <v>132</v>
      </c>
      <c r="F170">
        <v>202</v>
      </c>
      <c r="H170">
        <v>31</v>
      </c>
      <c r="I170">
        <v>5</v>
      </c>
      <c r="J170">
        <v>6</v>
      </c>
      <c r="K170">
        <v>2</v>
      </c>
      <c r="L170">
        <v>14</v>
      </c>
      <c r="M170">
        <v>7</v>
      </c>
      <c r="N170">
        <v>15</v>
      </c>
      <c r="O170">
        <v>17</v>
      </c>
      <c r="P170">
        <v>11</v>
      </c>
      <c r="Q170">
        <v>9</v>
      </c>
      <c r="R170">
        <v>7</v>
      </c>
    </row>
    <row r="171" spans="1:18" hidden="1" x14ac:dyDescent="0.35">
      <c r="A171" s="461" t="s">
        <v>258</v>
      </c>
      <c r="B171" s="461" t="s">
        <v>51</v>
      </c>
      <c r="C171" s="461" t="s">
        <v>279</v>
      </c>
      <c r="D171">
        <v>1</v>
      </c>
      <c r="E171">
        <v>9</v>
      </c>
      <c r="F171">
        <v>2</v>
      </c>
      <c r="G171">
        <v>6</v>
      </c>
      <c r="H171">
        <v>10</v>
      </c>
      <c r="I171">
        <v>1</v>
      </c>
    </row>
    <row r="172" spans="1:18" hidden="1" x14ac:dyDescent="0.35">
      <c r="A172" s="461" t="s">
        <v>258</v>
      </c>
      <c r="B172" s="461" t="s">
        <v>53</v>
      </c>
      <c r="C172" s="461" t="s">
        <v>290</v>
      </c>
      <c r="D172">
        <v>1</v>
      </c>
      <c r="E172">
        <v>56</v>
      </c>
      <c r="F172">
        <v>8</v>
      </c>
      <c r="H172">
        <v>22</v>
      </c>
      <c r="K172">
        <v>2</v>
      </c>
      <c r="L172">
        <v>16</v>
      </c>
      <c r="M172">
        <v>2</v>
      </c>
      <c r="N172">
        <v>25</v>
      </c>
      <c r="O172">
        <v>6</v>
      </c>
      <c r="P172">
        <v>13</v>
      </c>
      <c r="Q172">
        <v>9</v>
      </c>
      <c r="R172">
        <v>9</v>
      </c>
    </row>
    <row r="173" spans="1:18" hidden="1" x14ac:dyDescent="0.35">
      <c r="A173" s="461" t="s">
        <v>258</v>
      </c>
      <c r="B173" s="461" t="s">
        <v>58</v>
      </c>
      <c r="C173" s="461" t="s">
        <v>285</v>
      </c>
      <c r="D173">
        <v>16</v>
      </c>
      <c r="E173">
        <v>46</v>
      </c>
      <c r="F173">
        <v>33</v>
      </c>
      <c r="G173">
        <v>4</v>
      </c>
      <c r="H173">
        <v>22</v>
      </c>
      <c r="I173">
        <v>10</v>
      </c>
      <c r="L173">
        <v>5</v>
      </c>
      <c r="M173">
        <v>3</v>
      </c>
      <c r="N173">
        <v>6</v>
      </c>
      <c r="O173">
        <v>3</v>
      </c>
      <c r="P173">
        <v>3</v>
      </c>
      <c r="Q173">
        <v>4</v>
      </c>
      <c r="R173">
        <v>5</v>
      </c>
    </row>
    <row r="174" spans="1:18" hidden="1" x14ac:dyDescent="0.35">
      <c r="A174" s="461" t="s">
        <v>258</v>
      </c>
      <c r="B174" s="461" t="s">
        <v>59</v>
      </c>
      <c r="C174" s="461" t="s">
        <v>291</v>
      </c>
      <c r="D174">
        <v>4</v>
      </c>
      <c r="E174">
        <v>24</v>
      </c>
      <c r="F174">
        <v>13</v>
      </c>
      <c r="H174">
        <v>17</v>
      </c>
      <c r="I174">
        <v>6</v>
      </c>
      <c r="K174">
        <v>2</v>
      </c>
      <c r="L174">
        <v>3</v>
      </c>
      <c r="M174">
        <v>3</v>
      </c>
      <c r="N174">
        <v>8</v>
      </c>
      <c r="O174">
        <v>3</v>
      </c>
      <c r="P174">
        <v>31</v>
      </c>
      <c r="Q174">
        <v>5</v>
      </c>
      <c r="R174">
        <v>2</v>
      </c>
    </row>
    <row r="175" spans="1:18" hidden="1" x14ac:dyDescent="0.35">
      <c r="A175" s="461" t="s">
        <v>242</v>
      </c>
      <c r="B175" s="461" t="s">
        <v>114</v>
      </c>
      <c r="C175" s="461" t="s">
        <v>297</v>
      </c>
      <c r="D175">
        <v>41</v>
      </c>
      <c r="E175">
        <v>109</v>
      </c>
      <c r="F175">
        <v>831</v>
      </c>
      <c r="G175">
        <v>15</v>
      </c>
      <c r="H175">
        <v>81</v>
      </c>
      <c r="I175">
        <v>4</v>
      </c>
      <c r="J175">
        <v>6</v>
      </c>
      <c r="K175">
        <v>5</v>
      </c>
      <c r="L175">
        <v>25</v>
      </c>
      <c r="M175">
        <v>11</v>
      </c>
      <c r="N175">
        <v>28</v>
      </c>
      <c r="O175">
        <v>9</v>
      </c>
      <c r="P175">
        <v>5</v>
      </c>
      <c r="Q175">
        <v>14</v>
      </c>
      <c r="R175">
        <v>3</v>
      </c>
    </row>
    <row r="176" spans="1:18" hidden="1" x14ac:dyDescent="0.35">
      <c r="A176" s="461" t="s">
        <v>242</v>
      </c>
      <c r="B176" s="461" t="s">
        <v>57</v>
      </c>
      <c r="C176" s="461" t="s">
        <v>284</v>
      </c>
      <c r="D176">
        <v>24</v>
      </c>
      <c r="E176">
        <v>115</v>
      </c>
      <c r="F176">
        <v>74</v>
      </c>
      <c r="G176">
        <v>3</v>
      </c>
      <c r="H176">
        <v>37</v>
      </c>
      <c r="I176">
        <v>4</v>
      </c>
      <c r="J176">
        <v>2</v>
      </c>
      <c r="K176">
        <v>1</v>
      </c>
      <c r="L176">
        <v>14</v>
      </c>
      <c r="M176">
        <v>9</v>
      </c>
      <c r="N176">
        <v>14</v>
      </c>
      <c r="O176">
        <v>8</v>
      </c>
      <c r="P176">
        <v>16</v>
      </c>
      <c r="Q176">
        <v>7</v>
      </c>
      <c r="R176">
        <v>5</v>
      </c>
    </row>
    <row r="177" spans="1:18" hidden="1" x14ac:dyDescent="0.35">
      <c r="A177" s="461" t="s">
        <v>241</v>
      </c>
      <c r="B177" s="461" t="s">
        <v>114</v>
      </c>
      <c r="C177" s="461" t="s">
        <v>297</v>
      </c>
      <c r="D177">
        <v>68</v>
      </c>
      <c r="E177">
        <v>127</v>
      </c>
      <c r="F177">
        <v>602</v>
      </c>
      <c r="G177">
        <v>13</v>
      </c>
      <c r="H177">
        <v>102</v>
      </c>
      <c r="I177">
        <v>1</v>
      </c>
      <c r="J177">
        <v>7</v>
      </c>
      <c r="K177">
        <v>2</v>
      </c>
      <c r="L177">
        <v>51</v>
      </c>
      <c r="M177">
        <v>18</v>
      </c>
      <c r="N177">
        <v>57</v>
      </c>
      <c r="O177">
        <v>26</v>
      </c>
      <c r="P177">
        <v>10</v>
      </c>
      <c r="Q177">
        <v>24</v>
      </c>
      <c r="R177">
        <v>18</v>
      </c>
    </row>
    <row r="178" spans="1:18" hidden="1" x14ac:dyDescent="0.35">
      <c r="A178" s="461" t="s">
        <v>241</v>
      </c>
      <c r="B178" s="461" t="s">
        <v>54</v>
      </c>
      <c r="C178" s="461" t="s">
        <v>281</v>
      </c>
      <c r="D178">
        <v>15</v>
      </c>
      <c r="E178">
        <v>36</v>
      </c>
      <c r="F178">
        <v>31</v>
      </c>
      <c r="G178">
        <v>1</v>
      </c>
      <c r="H178">
        <v>44</v>
      </c>
      <c r="I178">
        <v>23</v>
      </c>
      <c r="L178">
        <v>11</v>
      </c>
      <c r="M178">
        <v>15</v>
      </c>
      <c r="N178">
        <v>11</v>
      </c>
      <c r="O178">
        <v>16</v>
      </c>
      <c r="P178">
        <v>9</v>
      </c>
      <c r="Q178">
        <v>3</v>
      </c>
      <c r="R178">
        <v>4</v>
      </c>
    </row>
    <row r="179" spans="1:18" hidden="1" x14ac:dyDescent="0.35">
      <c r="A179" s="461" t="s">
        <v>241</v>
      </c>
      <c r="B179" s="461" t="s">
        <v>56</v>
      </c>
      <c r="C179" s="461" t="s">
        <v>283</v>
      </c>
      <c r="D179">
        <v>8</v>
      </c>
      <c r="E179">
        <v>56</v>
      </c>
      <c r="F179">
        <v>28</v>
      </c>
      <c r="G179">
        <v>3</v>
      </c>
      <c r="H179">
        <v>38</v>
      </c>
      <c r="I179">
        <v>7</v>
      </c>
      <c r="K179">
        <v>2</v>
      </c>
      <c r="L179">
        <v>11</v>
      </c>
      <c r="M179">
        <v>19</v>
      </c>
      <c r="N179">
        <v>13</v>
      </c>
      <c r="O179">
        <v>6</v>
      </c>
      <c r="P179">
        <v>17</v>
      </c>
      <c r="Q179">
        <v>11</v>
      </c>
      <c r="R179">
        <v>10</v>
      </c>
    </row>
    <row r="180" spans="1:18" hidden="1" x14ac:dyDescent="0.35">
      <c r="A180" s="461" t="s">
        <v>241</v>
      </c>
      <c r="B180" s="461" t="s">
        <v>60</v>
      </c>
      <c r="C180" s="461" t="s">
        <v>292</v>
      </c>
      <c r="D180">
        <v>11</v>
      </c>
      <c r="E180">
        <v>60</v>
      </c>
      <c r="F180">
        <v>9</v>
      </c>
      <c r="H180">
        <v>15</v>
      </c>
      <c r="I180">
        <v>1</v>
      </c>
      <c r="K180">
        <v>8</v>
      </c>
      <c r="L180">
        <v>8</v>
      </c>
      <c r="M180">
        <v>28</v>
      </c>
      <c r="N180">
        <v>19</v>
      </c>
      <c r="O180">
        <v>17</v>
      </c>
      <c r="P180">
        <v>21</v>
      </c>
      <c r="Q180">
        <v>11</v>
      </c>
      <c r="R180">
        <v>5</v>
      </c>
    </row>
    <row r="181" spans="1:18" hidden="1" x14ac:dyDescent="0.35">
      <c r="A181" s="461" t="s">
        <v>773</v>
      </c>
      <c r="B181" s="461" t="s">
        <v>34</v>
      </c>
      <c r="C181" s="461" t="s">
        <v>288</v>
      </c>
      <c r="D181">
        <v>7</v>
      </c>
      <c r="E181">
        <v>28</v>
      </c>
      <c r="F181">
        <v>38</v>
      </c>
      <c r="G181">
        <v>8</v>
      </c>
      <c r="H181">
        <v>107</v>
      </c>
      <c r="I181">
        <v>49</v>
      </c>
      <c r="J181">
        <v>2</v>
      </c>
      <c r="K181">
        <v>3</v>
      </c>
      <c r="L181">
        <v>5</v>
      </c>
      <c r="M181">
        <v>7</v>
      </c>
      <c r="N181">
        <v>8</v>
      </c>
      <c r="O181">
        <v>5</v>
      </c>
      <c r="P181">
        <v>7</v>
      </c>
      <c r="Q181">
        <v>6</v>
      </c>
      <c r="R181">
        <v>2</v>
      </c>
    </row>
    <row r="182" spans="1:18" hidden="1" x14ac:dyDescent="0.35">
      <c r="A182" s="461" t="s">
        <v>773</v>
      </c>
      <c r="B182" s="461" t="s">
        <v>46</v>
      </c>
      <c r="C182" s="461" t="s">
        <v>276</v>
      </c>
      <c r="D182">
        <v>3</v>
      </c>
      <c r="E182">
        <v>18</v>
      </c>
      <c r="F182">
        <v>8</v>
      </c>
      <c r="H182">
        <v>5</v>
      </c>
      <c r="I182">
        <v>1</v>
      </c>
      <c r="L182">
        <v>6</v>
      </c>
      <c r="M182">
        <v>12</v>
      </c>
      <c r="N182">
        <v>5</v>
      </c>
      <c r="O182">
        <v>8</v>
      </c>
      <c r="Q182">
        <v>4</v>
      </c>
    </row>
    <row r="183" spans="1:18" hidden="1" x14ac:dyDescent="0.35">
      <c r="A183" s="461" t="s">
        <v>193</v>
      </c>
      <c r="B183" s="461" t="s">
        <v>42</v>
      </c>
      <c r="C183" s="461" t="s">
        <v>273</v>
      </c>
      <c r="D183">
        <v>12</v>
      </c>
      <c r="E183">
        <v>52</v>
      </c>
      <c r="F183">
        <v>15</v>
      </c>
      <c r="G183">
        <v>1</v>
      </c>
      <c r="H183">
        <v>20</v>
      </c>
      <c r="I183">
        <v>2</v>
      </c>
      <c r="K183">
        <v>7</v>
      </c>
      <c r="L183">
        <v>27</v>
      </c>
      <c r="M183">
        <v>23</v>
      </c>
      <c r="N183">
        <v>17</v>
      </c>
      <c r="O183">
        <v>17</v>
      </c>
      <c r="P183">
        <v>30</v>
      </c>
      <c r="Q183">
        <v>10</v>
      </c>
      <c r="R183">
        <v>10</v>
      </c>
    </row>
    <row r="184" spans="1:18" hidden="1" x14ac:dyDescent="0.35">
      <c r="A184" s="461" t="s">
        <v>193</v>
      </c>
      <c r="B184" s="461" t="s">
        <v>51</v>
      </c>
      <c r="C184" s="461" t="s">
        <v>279</v>
      </c>
      <c r="D184">
        <v>1</v>
      </c>
      <c r="E184">
        <v>10</v>
      </c>
      <c r="F184">
        <v>1</v>
      </c>
      <c r="H184">
        <v>4</v>
      </c>
    </row>
    <row r="185" spans="1:18" hidden="1" x14ac:dyDescent="0.35">
      <c r="A185" s="461" t="s">
        <v>193</v>
      </c>
      <c r="B185" s="461" t="s">
        <v>58</v>
      </c>
      <c r="C185" s="461" t="s">
        <v>285</v>
      </c>
      <c r="D185">
        <v>1</v>
      </c>
      <c r="E185">
        <v>39</v>
      </c>
      <c r="F185">
        <v>105</v>
      </c>
      <c r="G185">
        <v>3</v>
      </c>
      <c r="H185">
        <v>43</v>
      </c>
      <c r="I185">
        <v>19</v>
      </c>
      <c r="K185">
        <v>1</v>
      </c>
      <c r="L185">
        <v>2</v>
      </c>
      <c r="M185">
        <v>1</v>
      </c>
      <c r="P185">
        <v>1</v>
      </c>
      <c r="Q185">
        <v>2</v>
      </c>
    </row>
    <row r="186" spans="1:18" hidden="1" x14ac:dyDescent="0.35">
      <c r="A186" s="461" t="s">
        <v>193</v>
      </c>
      <c r="B186" s="461" t="s">
        <v>59</v>
      </c>
      <c r="C186" s="461" t="s">
        <v>291</v>
      </c>
      <c r="D186">
        <v>2</v>
      </c>
      <c r="E186">
        <v>15</v>
      </c>
      <c r="F186">
        <v>9</v>
      </c>
      <c r="H186">
        <v>17</v>
      </c>
      <c r="I186">
        <v>1</v>
      </c>
      <c r="K186">
        <v>1</v>
      </c>
      <c r="L186">
        <v>2</v>
      </c>
      <c r="M186">
        <v>3</v>
      </c>
      <c r="N186">
        <v>6</v>
      </c>
      <c r="O186">
        <v>5</v>
      </c>
      <c r="P186">
        <v>104</v>
      </c>
      <c r="Q186">
        <v>7</v>
      </c>
      <c r="R186">
        <v>4</v>
      </c>
    </row>
    <row r="187" spans="1:18" hidden="1" x14ac:dyDescent="0.35">
      <c r="A187" s="461" t="s">
        <v>192</v>
      </c>
      <c r="B187" s="461" t="s">
        <v>114</v>
      </c>
      <c r="C187" s="461" t="s">
        <v>297</v>
      </c>
      <c r="D187">
        <v>69</v>
      </c>
      <c r="E187">
        <v>165</v>
      </c>
      <c r="F187">
        <v>1115</v>
      </c>
      <c r="G187">
        <v>27</v>
      </c>
      <c r="H187">
        <v>88</v>
      </c>
      <c r="I187">
        <v>6</v>
      </c>
      <c r="J187">
        <v>12</v>
      </c>
      <c r="K187">
        <v>5</v>
      </c>
      <c r="L187">
        <v>139</v>
      </c>
      <c r="M187">
        <v>61</v>
      </c>
      <c r="N187">
        <v>147</v>
      </c>
      <c r="O187">
        <v>33</v>
      </c>
      <c r="P187">
        <v>24</v>
      </c>
      <c r="Q187">
        <v>41</v>
      </c>
      <c r="R187">
        <v>24</v>
      </c>
    </row>
    <row r="188" spans="1:18" hidden="1" x14ac:dyDescent="0.35">
      <c r="A188" s="461" t="s">
        <v>192</v>
      </c>
      <c r="B188" s="461" t="s">
        <v>58</v>
      </c>
      <c r="C188" s="461" t="s">
        <v>285</v>
      </c>
      <c r="D188">
        <v>13</v>
      </c>
      <c r="E188">
        <v>40</v>
      </c>
      <c r="F188">
        <v>249</v>
      </c>
      <c r="G188">
        <v>3</v>
      </c>
      <c r="H188">
        <v>16</v>
      </c>
      <c r="I188">
        <v>3</v>
      </c>
      <c r="L188">
        <v>3</v>
      </c>
      <c r="M188">
        <v>3</v>
      </c>
      <c r="N188">
        <v>1</v>
      </c>
      <c r="O188">
        <v>4</v>
      </c>
      <c r="P188">
        <v>1</v>
      </c>
      <c r="Q188">
        <v>1</v>
      </c>
      <c r="R188">
        <v>3</v>
      </c>
    </row>
    <row r="189" spans="1:18" hidden="1" x14ac:dyDescent="0.35">
      <c r="A189" s="461" t="s">
        <v>258</v>
      </c>
      <c r="B189" s="461" t="s">
        <v>42</v>
      </c>
      <c r="C189" s="461" t="s">
        <v>273</v>
      </c>
      <c r="D189">
        <v>8</v>
      </c>
      <c r="E189">
        <v>47</v>
      </c>
      <c r="F189">
        <v>9</v>
      </c>
      <c r="G189">
        <v>1</v>
      </c>
      <c r="H189">
        <v>13</v>
      </c>
      <c r="I189">
        <v>2</v>
      </c>
      <c r="J189">
        <v>1</v>
      </c>
      <c r="K189">
        <v>5</v>
      </c>
      <c r="L189">
        <v>9</v>
      </c>
      <c r="M189">
        <v>22</v>
      </c>
      <c r="N189">
        <v>13</v>
      </c>
      <c r="O189">
        <v>2</v>
      </c>
      <c r="P189">
        <v>16</v>
      </c>
      <c r="Q189">
        <v>12</v>
      </c>
    </row>
    <row r="190" spans="1:18" hidden="1" x14ac:dyDescent="0.35">
      <c r="A190" s="461" t="s">
        <v>258</v>
      </c>
      <c r="B190" s="461" t="s">
        <v>46</v>
      </c>
      <c r="C190" s="461" t="s">
        <v>276</v>
      </c>
      <c r="D190">
        <v>3</v>
      </c>
      <c r="E190">
        <v>19</v>
      </c>
      <c r="F190">
        <v>21</v>
      </c>
      <c r="G190">
        <v>3</v>
      </c>
      <c r="H190">
        <v>10</v>
      </c>
      <c r="L190">
        <v>3</v>
      </c>
      <c r="M190">
        <v>31</v>
      </c>
      <c r="N190">
        <v>3</v>
      </c>
      <c r="P190">
        <v>3</v>
      </c>
      <c r="R190">
        <v>1</v>
      </c>
    </row>
    <row r="191" spans="1:18" hidden="1" x14ac:dyDescent="0.35">
      <c r="A191" s="461" t="s">
        <v>242</v>
      </c>
      <c r="B191" s="461" t="s">
        <v>34</v>
      </c>
      <c r="C191" s="461" t="s">
        <v>288</v>
      </c>
      <c r="D191">
        <v>5</v>
      </c>
      <c r="E191">
        <v>22</v>
      </c>
      <c r="F191">
        <v>25</v>
      </c>
      <c r="G191">
        <v>4</v>
      </c>
      <c r="H191">
        <v>62</v>
      </c>
      <c r="I191">
        <v>38</v>
      </c>
      <c r="L191">
        <v>4</v>
      </c>
      <c r="M191">
        <v>4</v>
      </c>
      <c r="N191">
        <v>5</v>
      </c>
      <c r="O191">
        <v>5</v>
      </c>
      <c r="P191">
        <v>3</v>
      </c>
      <c r="Q191">
        <v>3</v>
      </c>
      <c r="R191">
        <v>5</v>
      </c>
    </row>
    <row r="192" spans="1:18" hidden="1" x14ac:dyDescent="0.35">
      <c r="A192" s="461" t="s">
        <v>242</v>
      </c>
      <c r="B192" s="461" t="s">
        <v>38</v>
      </c>
      <c r="C192" s="461" t="s">
        <v>269</v>
      </c>
      <c r="D192">
        <v>5</v>
      </c>
      <c r="E192">
        <v>59</v>
      </c>
      <c r="F192">
        <v>8</v>
      </c>
      <c r="H192">
        <v>25</v>
      </c>
      <c r="I192">
        <v>7</v>
      </c>
      <c r="J192">
        <v>2</v>
      </c>
      <c r="L192">
        <v>4</v>
      </c>
      <c r="M192">
        <v>15</v>
      </c>
      <c r="N192">
        <v>9</v>
      </c>
      <c r="O192">
        <v>7</v>
      </c>
      <c r="P192">
        <v>10</v>
      </c>
      <c r="Q192">
        <v>12</v>
      </c>
      <c r="R192">
        <v>2</v>
      </c>
    </row>
    <row r="193" spans="1:18" hidden="1" x14ac:dyDescent="0.35">
      <c r="A193" s="461" t="s">
        <v>242</v>
      </c>
      <c r="B193" s="461" t="s">
        <v>42</v>
      </c>
      <c r="C193" s="461" t="s">
        <v>273</v>
      </c>
      <c r="D193">
        <v>14</v>
      </c>
      <c r="E193">
        <v>41</v>
      </c>
      <c r="F193">
        <v>5</v>
      </c>
      <c r="G193">
        <v>1</v>
      </c>
      <c r="H193">
        <v>13</v>
      </c>
      <c r="K193">
        <v>4</v>
      </c>
      <c r="L193">
        <v>11</v>
      </c>
      <c r="M193">
        <v>25</v>
      </c>
      <c r="N193">
        <v>11</v>
      </c>
      <c r="O193">
        <v>7</v>
      </c>
      <c r="P193">
        <v>18</v>
      </c>
      <c r="Q193">
        <v>6</v>
      </c>
      <c r="R193">
        <v>3</v>
      </c>
    </row>
    <row r="194" spans="1:18" hidden="1" x14ac:dyDescent="0.35">
      <c r="A194" s="461" t="s">
        <v>242</v>
      </c>
      <c r="B194" s="461" t="s">
        <v>46</v>
      </c>
      <c r="C194" s="461" t="s">
        <v>276</v>
      </c>
      <c r="D194">
        <v>3</v>
      </c>
      <c r="E194">
        <v>16</v>
      </c>
      <c r="F194">
        <v>32</v>
      </c>
      <c r="G194">
        <v>3</v>
      </c>
      <c r="H194">
        <v>5</v>
      </c>
      <c r="I194">
        <v>1</v>
      </c>
      <c r="J194">
        <v>2</v>
      </c>
      <c r="K194">
        <v>3</v>
      </c>
      <c r="L194">
        <v>11</v>
      </c>
      <c r="M194">
        <v>2</v>
      </c>
      <c r="N194">
        <v>4</v>
      </c>
      <c r="O194">
        <v>3</v>
      </c>
      <c r="P194">
        <v>4</v>
      </c>
      <c r="Q194">
        <v>2</v>
      </c>
      <c r="R194">
        <v>4</v>
      </c>
    </row>
    <row r="195" spans="1:18" hidden="1" x14ac:dyDescent="0.35">
      <c r="A195" s="461" t="s">
        <v>242</v>
      </c>
      <c r="B195" s="461" t="s">
        <v>56</v>
      </c>
      <c r="C195" s="461" t="s">
        <v>283</v>
      </c>
      <c r="D195">
        <v>11</v>
      </c>
      <c r="E195">
        <v>45</v>
      </c>
      <c r="F195">
        <v>32</v>
      </c>
      <c r="G195">
        <v>2</v>
      </c>
      <c r="H195">
        <v>67</v>
      </c>
      <c r="I195">
        <v>38</v>
      </c>
      <c r="J195">
        <v>1</v>
      </c>
      <c r="L195">
        <v>30</v>
      </c>
      <c r="M195">
        <v>28</v>
      </c>
      <c r="N195">
        <v>20</v>
      </c>
      <c r="O195">
        <v>14</v>
      </c>
      <c r="P195">
        <v>3</v>
      </c>
      <c r="Q195">
        <v>19</v>
      </c>
      <c r="R195">
        <v>9</v>
      </c>
    </row>
    <row r="196" spans="1:18" hidden="1" x14ac:dyDescent="0.35">
      <c r="A196" s="461" t="s">
        <v>241</v>
      </c>
      <c r="B196" s="461" t="s">
        <v>34</v>
      </c>
      <c r="C196" s="461" t="s">
        <v>288</v>
      </c>
      <c r="D196">
        <v>3</v>
      </c>
      <c r="E196">
        <v>35</v>
      </c>
      <c r="F196">
        <v>34</v>
      </c>
      <c r="G196">
        <v>4</v>
      </c>
      <c r="H196">
        <v>60</v>
      </c>
      <c r="I196">
        <v>40</v>
      </c>
      <c r="J196">
        <v>1</v>
      </c>
      <c r="L196">
        <v>5</v>
      </c>
      <c r="M196">
        <v>2</v>
      </c>
      <c r="N196">
        <v>12</v>
      </c>
      <c r="O196">
        <v>5</v>
      </c>
      <c r="P196">
        <v>8</v>
      </c>
      <c r="Q196">
        <v>5</v>
      </c>
      <c r="R196">
        <v>6</v>
      </c>
    </row>
    <row r="197" spans="1:18" hidden="1" x14ac:dyDescent="0.35">
      <c r="A197" s="461" t="s">
        <v>241</v>
      </c>
      <c r="B197" s="461" t="s">
        <v>36</v>
      </c>
      <c r="C197" s="461" t="s">
        <v>268</v>
      </c>
      <c r="D197">
        <v>12</v>
      </c>
      <c r="E197">
        <v>77</v>
      </c>
      <c r="F197">
        <v>32</v>
      </c>
      <c r="G197">
        <v>7</v>
      </c>
      <c r="H197">
        <v>86</v>
      </c>
      <c r="I197">
        <v>16</v>
      </c>
      <c r="J197">
        <v>5</v>
      </c>
      <c r="K197">
        <v>10</v>
      </c>
      <c r="L197">
        <v>17</v>
      </c>
      <c r="M197">
        <v>55</v>
      </c>
      <c r="N197">
        <v>30</v>
      </c>
      <c r="O197">
        <v>29</v>
      </c>
      <c r="P197">
        <v>17</v>
      </c>
      <c r="Q197">
        <v>34</v>
      </c>
      <c r="R197">
        <v>13</v>
      </c>
    </row>
    <row r="198" spans="1:18" hidden="1" x14ac:dyDescent="0.35">
      <c r="A198" s="461" t="s">
        <v>241</v>
      </c>
      <c r="B198" s="461" t="s">
        <v>39</v>
      </c>
      <c r="C198" s="461" t="s">
        <v>296</v>
      </c>
      <c r="D198">
        <v>2</v>
      </c>
      <c r="E198">
        <v>26</v>
      </c>
      <c r="F198">
        <v>19</v>
      </c>
      <c r="H198">
        <v>5</v>
      </c>
      <c r="I198">
        <v>1</v>
      </c>
      <c r="J198">
        <v>2</v>
      </c>
      <c r="L198">
        <v>7</v>
      </c>
      <c r="M198">
        <v>4</v>
      </c>
      <c r="N198">
        <v>12</v>
      </c>
      <c r="O198">
        <v>4</v>
      </c>
      <c r="Q198">
        <v>2</v>
      </c>
    </row>
    <row r="199" spans="1:18" hidden="1" x14ac:dyDescent="0.35">
      <c r="A199" s="461" t="s">
        <v>241</v>
      </c>
      <c r="B199" s="461" t="s">
        <v>40</v>
      </c>
      <c r="C199" s="461" t="s">
        <v>270</v>
      </c>
      <c r="D199">
        <v>7</v>
      </c>
      <c r="E199">
        <v>29</v>
      </c>
      <c r="F199">
        <v>6</v>
      </c>
      <c r="G199">
        <v>9</v>
      </c>
      <c r="H199">
        <v>30</v>
      </c>
      <c r="I199">
        <v>11</v>
      </c>
      <c r="K199">
        <v>1</v>
      </c>
      <c r="L199">
        <v>7</v>
      </c>
      <c r="M199">
        <v>16</v>
      </c>
      <c r="N199">
        <v>4</v>
      </c>
      <c r="O199">
        <v>13</v>
      </c>
      <c r="P199">
        <v>5</v>
      </c>
      <c r="Q199">
        <v>9</v>
      </c>
      <c r="R199">
        <v>2</v>
      </c>
    </row>
    <row r="200" spans="1:18" hidden="1" x14ac:dyDescent="0.35">
      <c r="A200" s="461" t="s">
        <v>241</v>
      </c>
      <c r="B200" s="461" t="s">
        <v>42</v>
      </c>
      <c r="C200" s="461" t="s">
        <v>273</v>
      </c>
      <c r="D200">
        <v>24</v>
      </c>
      <c r="E200">
        <v>46</v>
      </c>
      <c r="F200">
        <v>5</v>
      </c>
      <c r="G200">
        <v>1</v>
      </c>
      <c r="H200">
        <v>11</v>
      </c>
      <c r="I200">
        <v>18</v>
      </c>
      <c r="K200">
        <v>6</v>
      </c>
      <c r="L200">
        <v>19</v>
      </c>
      <c r="M200">
        <v>26</v>
      </c>
      <c r="N200">
        <v>8</v>
      </c>
      <c r="O200">
        <v>9</v>
      </c>
      <c r="P200">
        <v>13</v>
      </c>
      <c r="Q200">
        <v>10</v>
      </c>
      <c r="R200">
        <v>5</v>
      </c>
    </row>
    <row r="201" spans="1:18" hidden="1" x14ac:dyDescent="0.35">
      <c r="A201" s="461" t="s">
        <v>241</v>
      </c>
      <c r="B201" s="461" t="s">
        <v>45</v>
      </c>
      <c r="C201" s="461" t="s">
        <v>275</v>
      </c>
      <c r="D201">
        <v>2</v>
      </c>
      <c r="E201">
        <v>35</v>
      </c>
      <c r="F201">
        <v>7</v>
      </c>
      <c r="H201">
        <v>6</v>
      </c>
      <c r="J201">
        <v>1</v>
      </c>
      <c r="L201">
        <v>3</v>
      </c>
      <c r="M201">
        <v>10</v>
      </c>
      <c r="N201">
        <v>3</v>
      </c>
      <c r="O201">
        <v>3</v>
      </c>
      <c r="P201">
        <v>2</v>
      </c>
      <c r="Q201">
        <v>2</v>
      </c>
      <c r="R201">
        <v>4</v>
      </c>
    </row>
    <row r="202" spans="1:18" hidden="1" x14ac:dyDescent="0.35">
      <c r="A202" s="461" t="s">
        <v>241</v>
      </c>
      <c r="B202" s="461" t="s">
        <v>47</v>
      </c>
      <c r="C202" s="461" t="s">
        <v>277</v>
      </c>
      <c r="D202">
        <v>8</v>
      </c>
      <c r="E202">
        <v>31</v>
      </c>
      <c r="F202">
        <v>9</v>
      </c>
      <c r="G202">
        <v>1</v>
      </c>
      <c r="H202">
        <v>11</v>
      </c>
      <c r="I202">
        <v>28</v>
      </c>
      <c r="K202">
        <v>1</v>
      </c>
      <c r="L202">
        <v>4</v>
      </c>
      <c r="M202">
        <v>3</v>
      </c>
      <c r="N202">
        <v>14</v>
      </c>
      <c r="O202">
        <v>2</v>
      </c>
      <c r="P202">
        <v>7</v>
      </c>
      <c r="Q202">
        <v>8</v>
      </c>
      <c r="R202">
        <v>3</v>
      </c>
    </row>
    <row r="203" spans="1:18" hidden="1" x14ac:dyDescent="0.35">
      <c r="A203" s="461" t="s">
        <v>241</v>
      </c>
      <c r="B203" s="461" t="s">
        <v>48</v>
      </c>
      <c r="C203" s="461" t="s">
        <v>272</v>
      </c>
      <c r="D203">
        <v>2</v>
      </c>
      <c r="E203">
        <v>6</v>
      </c>
      <c r="H203">
        <v>8</v>
      </c>
      <c r="L203">
        <v>1</v>
      </c>
      <c r="M203">
        <v>1</v>
      </c>
      <c r="P203">
        <v>2</v>
      </c>
      <c r="Q203">
        <v>1</v>
      </c>
    </row>
    <row r="204" spans="1:18" hidden="1" x14ac:dyDescent="0.35">
      <c r="A204" s="461" t="s">
        <v>241</v>
      </c>
      <c r="B204" s="461" t="s">
        <v>53</v>
      </c>
      <c r="C204" s="461" t="s">
        <v>290</v>
      </c>
      <c r="D204">
        <v>1</v>
      </c>
      <c r="E204">
        <v>58</v>
      </c>
      <c r="F204">
        <v>17</v>
      </c>
      <c r="H204">
        <v>20</v>
      </c>
      <c r="I204">
        <v>14</v>
      </c>
      <c r="K204">
        <v>3</v>
      </c>
      <c r="L204">
        <v>10</v>
      </c>
      <c r="M204">
        <v>4</v>
      </c>
      <c r="N204">
        <v>5</v>
      </c>
      <c r="O204">
        <v>5</v>
      </c>
      <c r="P204">
        <v>16</v>
      </c>
      <c r="Q204">
        <v>6</v>
      </c>
      <c r="R204">
        <v>10</v>
      </c>
    </row>
    <row r="205" spans="1:18" hidden="1" x14ac:dyDescent="0.35">
      <c r="A205" s="461" t="s">
        <v>241</v>
      </c>
      <c r="B205" s="461" t="s">
        <v>55</v>
      </c>
      <c r="C205" s="461" t="s">
        <v>282</v>
      </c>
      <c r="E205">
        <v>8</v>
      </c>
      <c r="F205">
        <v>3</v>
      </c>
      <c r="H205">
        <v>2</v>
      </c>
      <c r="K205">
        <v>1</v>
      </c>
      <c r="L205">
        <v>1</v>
      </c>
      <c r="R205">
        <v>1</v>
      </c>
    </row>
    <row r="206" spans="1:18" hidden="1" x14ac:dyDescent="0.35">
      <c r="A206" s="461" t="s">
        <v>241</v>
      </c>
      <c r="B206" s="461" t="s">
        <v>59</v>
      </c>
      <c r="C206" s="461" t="s">
        <v>291</v>
      </c>
      <c r="D206">
        <v>5</v>
      </c>
      <c r="E206">
        <v>16</v>
      </c>
      <c r="F206">
        <v>17</v>
      </c>
      <c r="H206">
        <v>13</v>
      </c>
      <c r="I206">
        <v>1</v>
      </c>
      <c r="L206">
        <v>2</v>
      </c>
      <c r="M206">
        <v>1</v>
      </c>
      <c r="N206">
        <v>6</v>
      </c>
      <c r="O206">
        <v>3</v>
      </c>
      <c r="P206">
        <v>6</v>
      </c>
      <c r="Q206">
        <v>4</v>
      </c>
      <c r="R206">
        <v>5</v>
      </c>
    </row>
    <row r="207" spans="1:18" hidden="1" x14ac:dyDescent="0.35">
      <c r="A207" s="461" t="s">
        <v>773</v>
      </c>
      <c r="B207" s="461" t="s">
        <v>39</v>
      </c>
      <c r="C207" s="461" t="s">
        <v>296</v>
      </c>
      <c r="D207">
        <v>4</v>
      </c>
      <c r="E207">
        <v>32</v>
      </c>
      <c r="F207">
        <v>29</v>
      </c>
      <c r="H207">
        <v>6</v>
      </c>
      <c r="I207">
        <v>1</v>
      </c>
      <c r="K207">
        <v>1</v>
      </c>
      <c r="L207">
        <v>8</v>
      </c>
      <c r="M207">
        <v>8</v>
      </c>
      <c r="N207">
        <v>6</v>
      </c>
      <c r="O207">
        <v>1</v>
      </c>
      <c r="Q207">
        <v>4</v>
      </c>
      <c r="R207">
        <v>1</v>
      </c>
    </row>
    <row r="208" spans="1:18" hidden="1" x14ac:dyDescent="0.35">
      <c r="A208" s="461" t="s">
        <v>773</v>
      </c>
      <c r="B208" s="461" t="s">
        <v>45</v>
      </c>
      <c r="C208" s="461" t="s">
        <v>275</v>
      </c>
      <c r="D208">
        <v>2</v>
      </c>
      <c r="E208">
        <v>34</v>
      </c>
      <c r="F208">
        <v>8</v>
      </c>
      <c r="H208">
        <v>3</v>
      </c>
      <c r="I208">
        <v>1</v>
      </c>
      <c r="M208">
        <v>1</v>
      </c>
      <c r="N208">
        <v>1</v>
      </c>
      <c r="O208">
        <v>3</v>
      </c>
      <c r="Q208">
        <v>1</v>
      </c>
    </row>
    <row r="209" spans="1:18" hidden="1" x14ac:dyDescent="0.35">
      <c r="A209" s="461" t="s">
        <v>773</v>
      </c>
      <c r="B209" s="461" t="s">
        <v>50</v>
      </c>
      <c r="C209" s="461" t="s">
        <v>295</v>
      </c>
      <c r="D209">
        <v>12</v>
      </c>
      <c r="E209">
        <v>50</v>
      </c>
      <c r="F209">
        <v>11</v>
      </c>
      <c r="G209">
        <v>2</v>
      </c>
      <c r="H209">
        <v>26</v>
      </c>
      <c r="I209">
        <v>3</v>
      </c>
      <c r="K209">
        <v>1</v>
      </c>
      <c r="L209">
        <v>11</v>
      </c>
      <c r="M209">
        <v>13</v>
      </c>
      <c r="N209">
        <v>25</v>
      </c>
      <c r="O209">
        <v>11</v>
      </c>
      <c r="P209">
        <v>29</v>
      </c>
      <c r="Q209">
        <v>92</v>
      </c>
      <c r="R209">
        <v>20</v>
      </c>
    </row>
    <row r="210" spans="1:18" hidden="1" x14ac:dyDescent="0.35">
      <c r="A210" s="461" t="s">
        <v>773</v>
      </c>
      <c r="B210" s="461" t="s">
        <v>56</v>
      </c>
      <c r="C210" s="461" t="s">
        <v>283</v>
      </c>
      <c r="D210">
        <v>7</v>
      </c>
      <c r="E210">
        <v>44</v>
      </c>
      <c r="F210">
        <v>31</v>
      </c>
      <c r="G210">
        <v>2</v>
      </c>
      <c r="H210">
        <v>40</v>
      </c>
      <c r="I210">
        <v>20</v>
      </c>
      <c r="J210">
        <v>2</v>
      </c>
      <c r="L210">
        <v>7</v>
      </c>
      <c r="M210">
        <v>7</v>
      </c>
      <c r="N210">
        <v>10</v>
      </c>
      <c r="O210">
        <v>10</v>
      </c>
      <c r="P210">
        <v>25</v>
      </c>
      <c r="Q210">
        <v>13</v>
      </c>
      <c r="R210">
        <v>7</v>
      </c>
    </row>
    <row r="211" spans="1:18" x14ac:dyDescent="0.35">
      <c r="A211" s="461" t="s">
        <v>951</v>
      </c>
      <c r="B211" s="461" t="s">
        <v>60</v>
      </c>
      <c r="C211" s="461" t="s">
        <v>292</v>
      </c>
      <c r="D211">
        <v>9</v>
      </c>
      <c r="E211">
        <v>46</v>
      </c>
      <c r="F211">
        <v>5</v>
      </c>
      <c r="H211">
        <v>1</v>
      </c>
      <c r="L211">
        <v>1</v>
      </c>
      <c r="M211">
        <v>2</v>
      </c>
      <c r="N211">
        <v>5</v>
      </c>
      <c r="O211">
        <v>2</v>
      </c>
      <c r="P211">
        <v>12</v>
      </c>
      <c r="Q211">
        <v>2</v>
      </c>
      <c r="R211">
        <v>1</v>
      </c>
    </row>
    <row r="212" spans="1:18" x14ac:dyDescent="0.35">
      <c r="A212" s="461" t="s">
        <v>951</v>
      </c>
      <c r="B212" s="461" t="s">
        <v>51</v>
      </c>
      <c r="C212" s="461" t="s">
        <v>279</v>
      </c>
      <c r="D212">
        <v>1</v>
      </c>
      <c r="E212">
        <v>5</v>
      </c>
      <c r="G212">
        <v>1</v>
      </c>
      <c r="H212">
        <v>2</v>
      </c>
    </row>
    <row r="213" spans="1:18" x14ac:dyDescent="0.35">
      <c r="A213" s="461" t="s">
        <v>951</v>
      </c>
      <c r="B213" s="461" t="s">
        <v>53</v>
      </c>
      <c r="C213" s="461" t="s">
        <v>290</v>
      </c>
      <c r="D213">
        <v>2</v>
      </c>
      <c r="E213">
        <v>38</v>
      </c>
      <c r="F213">
        <v>7</v>
      </c>
      <c r="H213">
        <v>8</v>
      </c>
      <c r="I213">
        <v>3</v>
      </c>
      <c r="J213">
        <v>1</v>
      </c>
      <c r="L213">
        <v>3</v>
      </c>
      <c r="M213">
        <v>4</v>
      </c>
      <c r="N213">
        <v>2</v>
      </c>
      <c r="O213">
        <v>1</v>
      </c>
      <c r="P213">
        <v>1</v>
      </c>
      <c r="R213">
        <v>2</v>
      </c>
    </row>
    <row r="214" spans="1:18" x14ac:dyDescent="0.35">
      <c r="A214" s="461" t="s">
        <v>951</v>
      </c>
      <c r="B214" s="461" t="s">
        <v>56</v>
      </c>
      <c r="C214" s="461" t="s">
        <v>283</v>
      </c>
      <c r="D214">
        <v>6</v>
      </c>
      <c r="E214">
        <v>47</v>
      </c>
      <c r="F214">
        <v>17</v>
      </c>
      <c r="G214">
        <v>2</v>
      </c>
      <c r="H214">
        <v>15</v>
      </c>
      <c r="I214">
        <v>9</v>
      </c>
      <c r="L214">
        <v>3</v>
      </c>
      <c r="M214">
        <v>7</v>
      </c>
      <c r="N214">
        <v>10</v>
      </c>
      <c r="P214">
        <v>1</v>
      </c>
      <c r="R214">
        <v>5</v>
      </c>
    </row>
    <row r="215" spans="1:18" x14ac:dyDescent="0.35">
      <c r="A215" s="461" t="s">
        <v>951</v>
      </c>
      <c r="B215" s="461" t="s">
        <v>46</v>
      </c>
      <c r="C215" s="461" t="s">
        <v>276</v>
      </c>
      <c r="D215">
        <v>3</v>
      </c>
      <c r="E215">
        <v>20</v>
      </c>
      <c r="F215">
        <v>4</v>
      </c>
      <c r="L215">
        <v>4</v>
      </c>
      <c r="N215">
        <v>1</v>
      </c>
      <c r="O215">
        <v>2</v>
      </c>
      <c r="P215">
        <v>1</v>
      </c>
      <c r="R215">
        <v>2</v>
      </c>
    </row>
    <row r="216" spans="1:18" x14ac:dyDescent="0.35">
      <c r="A216" s="461" t="s">
        <v>951</v>
      </c>
      <c r="B216" s="461" t="s">
        <v>50</v>
      </c>
      <c r="C216" s="461" t="s">
        <v>295</v>
      </c>
      <c r="E216">
        <v>1</v>
      </c>
      <c r="H216">
        <v>1</v>
      </c>
    </row>
    <row r="217" spans="1:18" x14ac:dyDescent="0.35">
      <c r="A217" s="461" t="s">
        <v>951</v>
      </c>
      <c r="B217" s="461" t="s">
        <v>58</v>
      </c>
      <c r="C217" s="461" t="s">
        <v>285</v>
      </c>
      <c r="D217">
        <v>1</v>
      </c>
      <c r="E217">
        <v>49</v>
      </c>
      <c r="F217">
        <v>13</v>
      </c>
      <c r="G217">
        <v>2</v>
      </c>
      <c r="H217">
        <v>2</v>
      </c>
      <c r="I217">
        <v>2</v>
      </c>
      <c r="L217">
        <v>2</v>
      </c>
      <c r="M217">
        <v>2</v>
      </c>
      <c r="N217">
        <v>4</v>
      </c>
      <c r="O217">
        <v>1</v>
      </c>
      <c r="P217">
        <v>1</v>
      </c>
      <c r="R217">
        <v>1</v>
      </c>
    </row>
    <row r="218" spans="1:18" x14ac:dyDescent="0.35">
      <c r="A218" s="461" t="s">
        <v>951</v>
      </c>
      <c r="B218" s="461" t="s">
        <v>59</v>
      </c>
      <c r="C218" s="461" t="s">
        <v>291</v>
      </c>
      <c r="D218">
        <v>1</v>
      </c>
      <c r="E218">
        <v>8</v>
      </c>
      <c r="F218">
        <v>5</v>
      </c>
      <c r="H218">
        <v>2</v>
      </c>
      <c r="K218">
        <v>1</v>
      </c>
      <c r="L218">
        <v>1</v>
      </c>
      <c r="M218">
        <v>7</v>
      </c>
      <c r="O218">
        <v>1</v>
      </c>
      <c r="Q218">
        <v>1</v>
      </c>
      <c r="R218">
        <v>1</v>
      </c>
    </row>
    <row r="219" spans="1:18" hidden="1" x14ac:dyDescent="0.35">
      <c r="A219" s="461" t="s">
        <v>773</v>
      </c>
      <c r="B219" s="461" t="s">
        <v>58</v>
      </c>
      <c r="C219" s="461" t="s">
        <v>285</v>
      </c>
      <c r="D219">
        <v>5</v>
      </c>
      <c r="E219">
        <v>46</v>
      </c>
      <c r="F219">
        <v>87</v>
      </c>
      <c r="G219">
        <v>3</v>
      </c>
      <c r="H219">
        <v>25</v>
      </c>
      <c r="I219">
        <v>6</v>
      </c>
      <c r="L219">
        <v>3</v>
      </c>
      <c r="M219">
        <v>10</v>
      </c>
      <c r="N219">
        <v>6</v>
      </c>
      <c r="O219">
        <v>3</v>
      </c>
      <c r="P219">
        <v>3</v>
      </c>
      <c r="Q219">
        <v>4</v>
      </c>
    </row>
    <row r="220" spans="1:18" x14ac:dyDescent="0.35">
      <c r="A220" s="461" t="s">
        <v>951</v>
      </c>
      <c r="B220" s="461" t="s">
        <v>37</v>
      </c>
      <c r="C220" s="461" t="s">
        <v>294</v>
      </c>
      <c r="D220">
        <v>14</v>
      </c>
      <c r="E220">
        <v>34</v>
      </c>
      <c r="F220">
        <v>70</v>
      </c>
      <c r="G220">
        <v>1</v>
      </c>
      <c r="H220">
        <v>16</v>
      </c>
      <c r="I220">
        <v>5</v>
      </c>
      <c r="L220">
        <v>3</v>
      </c>
      <c r="M220">
        <v>4</v>
      </c>
      <c r="N220">
        <v>2</v>
      </c>
      <c r="O220">
        <v>1</v>
      </c>
      <c r="P220">
        <v>2</v>
      </c>
      <c r="Q220">
        <v>2</v>
      </c>
      <c r="R220">
        <v>1</v>
      </c>
    </row>
    <row r="221" spans="1:18" x14ac:dyDescent="0.35">
      <c r="A221" s="461" t="s">
        <v>951</v>
      </c>
      <c r="B221" s="461" t="s">
        <v>43</v>
      </c>
      <c r="C221" s="461" t="s">
        <v>298</v>
      </c>
      <c r="D221">
        <v>2</v>
      </c>
      <c r="E221">
        <v>120</v>
      </c>
      <c r="F221">
        <v>76</v>
      </c>
      <c r="G221">
        <v>2</v>
      </c>
      <c r="H221">
        <v>2</v>
      </c>
      <c r="I221">
        <v>8</v>
      </c>
      <c r="K221">
        <v>1</v>
      </c>
      <c r="L221">
        <v>2</v>
      </c>
      <c r="M221">
        <v>2</v>
      </c>
      <c r="N221">
        <v>7</v>
      </c>
      <c r="O221">
        <v>6</v>
      </c>
      <c r="P221">
        <v>13</v>
      </c>
      <c r="Q221">
        <v>3</v>
      </c>
    </row>
    <row r="222" spans="1:18" hidden="1" x14ac:dyDescent="0.35">
      <c r="A222" s="461" t="s">
        <v>241</v>
      </c>
      <c r="B222" s="461" t="s">
        <v>58</v>
      </c>
      <c r="C222" s="461" t="s">
        <v>285</v>
      </c>
      <c r="D222">
        <v>7</v>
      </c>
      <c r="E222">
        <v>56</v>
      </c>
      <c r="F222">
        <v>37</v>
      </c>
      <c r="G222">
        <v>2</v>
      </c>
      <c r="H222">
        <v>33</v>
      </c>
      <c r="I222">
        <v>4</v>
      </c>
      <c r="K222">
        <v>1</v>
      </c>
      <c r="L222">
        <v>1</v>
      </c>
      <c r="M222">
        <v>36</v>
      </c>
      <c r="N222">
        <v>4</v>
      </c>
      <c r="O222">
        <v>4</v>
      </c>
      <c r="P222">
        <v>3</v>
      </c>
      <c r="Q222">
        <v>2</v>
      </c>
      <c r="R222">
        <v>3</v>
      </c>
    </row>
    <row r="223" spans="1:18" hidden="1" x14ac:dyDescent="0.35">
      <c r="A223" s="461" t="s">
        <v>773</v>
      </c>
      <c r="B223" s="461" t="s">
        <v>245</v>
      </c>
      <c r="C223" s="461" t="s">
        <v>289</v>
      </c>
      <c r="D223">
        <v>44</v>
      </c>
      <c r="E223">
        <v>107</v>
      </c>
      <c r="F223">
        <v>91</v>
      </c>
      <c r="G223">
        <v>11</v>
      </c>
      <c r="H223">
        <v>97</v>
      </c>
      <c r="I223">
        <v>84</v>
      </c>
      <c r="J223">
        <v>4</v>
      </c>
      <c r="K223">
        <v>2</v>
      </c>
      <c r="L223">
        <v>52</v>
      </c>
      <c r="M223">
        <v>28</v>
      </c>
      <c r="N223">
        <v>42</v>
      </c>
      <c r="O223">
        <v>31</v>
      </c>
      <c r="P223">
        <v>7</v>
      </c>
      <c r="Q223">
        <v>45</v>
      </c>
      <c r="R223">
        <v>3</v>
      </c>
    </row>
    <row r="224" spans="1:18" hidden="1" x14ac:dyDescent="0.35">
      <c r="A224" s="461" t="s">
        <v>773</v>
      </c>
      <c r="B224" s="461" t="s">
        <v>38</v>
      </c>
      <c r="C224" s="461" t="s">
        <v>269</v>
      </c>
      <c r="D224">
        <v>2</v>
      </c>
      <c r="E224">
        <v>54</v>
      </c>
      <c r="F224">
        <v>8</v>
      </c>
      <c r="H224">
        <v>13</v>
      </c>
      <c r="I224">
        <v>11</v>
      </c>
      <c r="L224">
        <v>3</v>
      </c>
      <c r="M224">
        <v>10</v>
      </c>
      <c r="N224">
        <v>6</v>
      </c>
      <c r="O224">
        <v>3</v>
      </c>
    </row>
    <row r="225" spans="1:18" hidden="1" x14ac:dyDescent="0.35">
      <c r="A225" s="461" t="s">
        <v>773</v>
      </c>
      <c r="B225" s="461" t="s">
        <v>40</v>
      </c>
      <c r="C225" s="461" t="s">
        <v>270</v>
      </c>
      <c r="D225">
        <v>5</v>
      </c>
      <c r="E225">
        <v>23</v>
      </c>
      <c r="F225">
        <v>12</v>
      </c>
      <c r="H225">
        <v>4</v>
      </c>
      <c r="I225">
        <v>2</v>
      </c>
      <c r="K225">
        <v>1</v>
      </c>
      <c r="L225">
        <v>10</v>
      </c>
      <c r="M225">
        <v>8</v>
      </c>
      <c r="N225">
        <v>2</v>
      </c>
      <c r="O225">
        <v>7</v>
      </c>
      <c r="P225">
        <v>1</v>
      </c>
      <c r="Q225">
        <v>1</v>
      </c>
      <c r="R225">
        <v>2</v>
      </c>
    </row>
    <row r="226" spans="1:18" hidden="1" x14ac:dyDescent="0.35">
      <c r="A226" s="461" t="s">
        <v>773</v>
      </c>
      <c r="B226" s="461" t="s">
        <v>42</v>
      </c>
      <c r="C226" s="461" t="s">
        <v>273</v>
      </c>
      <c r="D226">
        <v>9</v>
      </c>
      <c r="E226">
        <v>41</v>
      </c>
      <c r="F226">
        <v>4</v>
      </c>
      <c r="G226">
        <v>1</v>
      </c>
      <c r="H226">
        <v>19</v>
      </c>
      <c r="J226">
        <v>1</v>
      </c>
      <c r="K226">
        <v>5</v>
      </c>
      <c r="L226">
        <v>22</v>
      </c>
      <c r="M226">
        <v>12</v>
      </c>
      <c r="N226">
        <v>13</v>
      </c>
      <c r="O226">
        <v>14</v>
      </c>
      <c r="P226">
        <v>8</v>
      </c>
      <c r="Q226">
        <v>1</v>
      </c>
    </row>
    <row r="227" spans="1:18" hidden="1" x14ac:dyDescent="0.35">
      <c r="A227" s="461" t="s">
        <v>773</v>
      </c>
      <c r="B227" s="461" t="s">
        <v>43</v>
      </c>
      <c r="C227" s="461" t="s">
        <v>380</v>
      </c>
      <c r="D227">
        <v>13</v>
      </c>
      <c r="E227">
        <v>132</v>
      </c>
      <c r="F227">
        <v>156</v>
      </c>
      <c r="G227">
        <v>1</v>
      </c>
      <c r="H227">
        <v>54</v>
      </c>
      <c r="I227">
        <v>17</v>
      </c>
      <c r="J227">
        <v>1</v>
      </c>
      <c r="L227">
        <v>7</v>
      </c>
      <c r="M227">
        <v>10</v>
      </c>
      <c r="N227">
        <v>4</v>
      </c>
      <c r="O227">
        <v>9</v>
      </c>
      <c r="P227">
        <v>7</v>
      </c>
      <c r="Q227">
        <v>2</v>
      </c>
      <c r="R227">
        <v>4</v>
      </c>
    </row>
    <row r="228" spans="1:18" x14ac:dyDescent="0.35">
      <c r="A228" s="461" t="s">
        <v>951</v>
      </c>
      <c r="B228" s="461" t="s">
        <v>32</v>
      </c>
      <c r="C228" s="461" t="s">
        <v>287</v>
      </c>
      <c r="D228">
        <v>8</v>
      </c>
      <c r="E228">
        <v>27</v>
      </c>
      <c r="F228">
        <v>6</v>
      </c>
      <c r="H228">
        <v>7</v>
      </c>
      <c r="I228">
        <v>19</v>
      </c>
      <c r="L228">
        <v>4</v>
      </c>
      <c r="M228">
        <v>1</v>
      </c>
      <c r="N228">
        <v>1</v>
      </c>
      <c r="O228">
        <v>3</v>
      </c>
      <c r="P228">
        <v>4</v>
      </c>
      <c r="R228">
        <v>1</v>
      </c>
    </row>
    <row r="229" spans="1:18" x14ac:dyDescent="0.35">
      <c r="A229" s="461" t="s">
        <v>951</v>
      </c>
      <c r="B229" s="461" t="s">
        <v>55</v>
      </c>
      <c r="C229" s="461" t="s">
        <v>282</v>
      </c>
      <c r="E229">
        <v>8</v>
      </c>
      <c r="F229">
        <v>1</v>
      </c>
      <c r="H229">
        <v>1</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39997558519241921"/>
    <pageSetUpPr fitToPage="1"/>
  </sheetPr>
  <dimension ref="A1:S45"/>
  <sheetViews>
    <sheetView showGridLines="0" zoomScaleNormal="100" workbookViewId="0">
      <pane ySplit="2" topLeftCell="A3" activePane="bottomLeft" state="frozen"/>
      <selection pane="bottomLeft"/>
    </sheetView>
  </sheetViews>
  <sheetFormatPr defaultRowHeight="14.5" x14ac:dyDescent="0.35"/>
  <cols>
    <col min="1" max="1" width="18.6328125" customWidth="1"/>
    <col min="2" max="2" width="21.26953125" customWidth="1"/>
    <col min="3" max="3" width="9.81640625" customWidth="1"/>
    <col min="4" max="4" width="7.54296875" bestFit="1" customWidth="1"/>
    <col min="5" max="5" width="8" customWidth="1"/>
    <col min="6" max="7" width="7.26953125" customWidth="1"/>
    <col min="8" max="8" width="10.453125" customWidth="1"/>
    <col min="9" max="9" width="11.26953125" customWidth="1"/>
    <col min="10" max="10" width="9.453125" customWidth="1"/>
    <col min="11" max="11" width="11" customWidth="1"/>
    <col min="12" max="12" width="8.26953125" customWidth="1"/>
    <col min="13" max="13" width="7" customWidth="1"/>
    <col min="14" max="14" width="12.7265625" customWidth="1"/>
    <col min="15" max="15" width="12.54296875" customWidth="1"/>
    <col min="16" max="16" width="7.1796875" bestFit="1" customWidth="1"/>
    <col min="17" max="17" width="11.26953125" bestFit="1" customWidth="1"/>
    <col min="18" max="18" width="8.81640625" customWidth="1"/>
    <col min="19" max="19" width="15.453125" bestFit="1" customWidth="1"/>
  </cols>
  <sheetData>
    <row r="1" spans="1:19" ht="15.5" x14ac:dyDescent="0.35">
      <c r="A1" s="629" t="s">
        <v>559</v>
      </c>
    </row>
    <row r="2" spans="1:19" x14ac:dyDescent="0.35">
      <c r="A2" s="601" t="s">
        <v>509</v>
      </c>
    </row>
    <row r="3" spans="1:19" x14ac:dyDescent="0.35">
      <c r="A3" s="28"/>
    </row>
    <row r="4" spans="1:19" ht="15.5" x14ac:dyDescent="0.35">
      <c r="A4" s="1200" t="s">
        <v>599</v>
      </c>
      <c r="B4" s="1200"/>
      <c r="C4" s="1200"/>
      <c r="D4" s="1200"/>
      <c r="E4" s="1200"/>
      <c r="F4" s="1200"/>
      <c r="G4" s="1200"/>
      <c r="H4" s="1200"/>
      <c r="I4" s="1200"/>
      <c r="J4" s="1200"/>
      <c r="K4" s="1200"/>
    </row>
    <row r="5" spans="1:19" ht="15.5" x14ac:dyDescent="0.35">
      <c r="A5" t="s">
        <v>320</v>
      </c>
      <c r="B5" t="s">
        <v>714</v>
      </c>
      <c r="C5" s="612"/>
      <c r="D5" s="612"/>
      <c r="E5" s="612"/>
      <c r="F5" s="612"/>
      <c r="G5" s="612"/>
      <c r="H5" s="612"/>
      <c r="I5" s="612"/>
      <c r="J5" s="612"/>
      <c r="K5" s="612"/>
    </row>
    <row r="6" spans="1:19" ht="15.5" x14ac:dyDescent="0.35">
      <c r="A6" t="s">
        <v>321</v>
      </c>
      <c r="B6" t="s">
        <v>323</v>
      </c>
      <c r="C6" s="612"/>
      <c r="D6" s="612"/>
      <c r="E6" s="612"/>
      <c r="F6" s="612"/>
      <c r="G6" s="612"/>
      <c r="H6" s="612"/>
      <c r="I6" s="612"/>
      <c r="J6" s="612"/>
      <c r="K6" s="612"/>
    </row>
    <row r="7" spans="1:19" ht="15.5" x14ac:dyDescent="0.35">
      <c r="A7" t="s">
        <v>322</v>
      </c>
      <c r="B7" t="s">
        <v>324</v>
      </c>
      <c r="C7" s="612"/>
      <c r="D7" s="612"/>
      <c r="E7" s="612"/>
      <c r="F7" s="612"/>
      <c r="G7" s="612"/>
      <c r="H7" s="612"/>
      <c r="I7" s="612"/>
      <c r="J7" s="612"/>
      <c r="K7" s="612"/>
    </row>
    <row r="8" spans="1:19" ht="18.5" x14ac:dyDescent="0.45">
      <c r="F8" s="712"/>
      <c r="G8" s="747"/>
    </row>
    <row r="9" spans="1:19" ht="56.5" x14ac:dyDescent="0.35">
      <c r="A9" s="281" t="s">
        <v>449</v>
      </c>
      <c r="B9" s="281" t="s">
        <v>113</v>
      </c>
      <c r="C9" s="282" t="s">
        <v>151</v>
      </c>
      <c r="D9" s="282" t="s">
        <v>136</v>
      </c>
      <c r="E9" s="282" t="s">
        <v>152</v>
      </c>
      <c r="F9" s="282" t="s">
        <v>137</v>
      </c>
      <c r="G9" s="282" t="s">
        <v>138</v>
      </c>
      <c r="H9" s="282" t="s">
        <v>153</v>
      </c>
      <c r="I9" s="282" t="s">
        <v>140</v>
      </c>
      <c r="J9" s="282" t="s">
        <v>141</v>
      </c>
      <c r="K9" s="282" t="s">
        <v>142</v>
      </c>
      <c r="L9" s="282" t="s">
        <v>143</v>
      </c>
      <c r="M9" s="282" t="s">
        <v>144</v>
      </c>
      <c r="N9" s="282" t="s">
        <v>561</v>
      </c>
      <c r="O9" s="282" t="s">
        <v>146</v>
      </c>
      <c r="P9" s="282" t="s">
        <v>147</v>
      </c>
      <c r="Q9" s="282" t="s">
        <v>148</v>
      </c>
      <c r="R9" s="476" t="s">
        <v>154</v>
      </c>
      <c r="S9" s="282" t="s">
        <v>149</v>
      </c>
    </row>
    <row r="10" spans="1:19" ht="19" customHeight="1" x14ac:dyDescent="0.35">
      <c r="A10" s="462" t="s">
        <v>286</v>
      </c>
      <c r="B10" s="660" t="s">
        <v>31</v>
      </c>
      <c r="C10" s="112">
        <f>auditlapivot!B4</f>
        <v>17</v>
      </c>
      <c r="D10" s="112">
        <f>auditlapivot!C4</f>
        <v>72</v>
      </c>
      <c r="E10" s="112">
        <f>auditlapivot!D4</f>
        <v>71</v>
      </c>
      <c r="F10" s="112">
        <f>auditlapivot!E4</f>
        <v>0</v>
      </c>
      <c r="G10" s="112">
        <f>auditlapivot!F4</f>
        <v>2</v>
      </c>
      <c r="H10" s="112">
        <f>auditlapivot!G4</f>
        <v>5</v>
      </c>
      <c r="I10" s="112">
        <f>auditlapivot!H4</f>
        <v>1</v>
      </c>
      <c r="J10" s="112">
        <f>auditlapivot!I4</f>
        <v>0</v>
      </c>
      <c r="K10" s="112">
        <f>auditlapivot!J4</f>
        <v>1</v>
      </c>
      <c r="L10" s="112">
        <f>auditlapivot!K4</f>
        <v>1</v>
      </c>
      <c r="M10" s="112">
        <f>auditlapivot!L4</f>
        <v>3</v>
      </c>
      <c r="N10" s="112">
        <f>auditlapivot!M4</f>
        <v>0</v>
      </c>
      <c r="O10" s="112">
        <f>auditlapivot!N4</f>
        <v>2</v>
      </c>
      <c r="P10" s="112">
        <f>auditlapivot!O4</f>
        <v>3</v>
      </c>
      <c r="Q10" s="112">
        <f>auditlapivot!P4</f>
        <v>3</v>
      </c>
      <c r="R10" s="477">
        <f>SUM(C10:Q10)</f>
        <v>181</v>
      </c>
      <c r="S10" s="102">
        <f>R10-E10</f>
        <v>110</v>
      </c>
    </row>
    <row r="11" spans="1:19" x14ac:dyDescent="0.35">
      <c r="A11" s="462" t="s">
        <v>287</v>
      </c>
      <c r="B11" s="660" t="s">
        <v>32</v>
      </c>
      <c r="C11" s="112">
        <f>auditlapivot!B5</f>
        <v>8</v>
      </c>
      <c r="D11" s="112">
        <f>auditlapivot!C5</f>
        <v>27</v>
      </c>
      <c r="E11" s="112">
        <f>auditlapivot!D5</f>
        <v>6</v>
      </c>
      <c r="F11" s="112">
        <f>auditlapivot!E5</f>
        <v>0</v>
      </c>
      <c r="G11" s="112">
        <f>auditlapivot!F5</f>
        <v>7</v>
      </c>
      <c r="H11" s="112">
        <f>auditlapivot!G5</f>
        <v>19</v>
      </c>
      <c r="I11" s="112">
        <f>auditlapivot!H5</f>
        <v>0</v>
      </c>
      <c r="J11" s="112">
        <f>auditlapivot!I5</f>
        <v>0</v>
      </c>
      <c r="K11" s="112">
        <f>auditlapivot!J5</f>
        <v>4</v>
      </c>
      <c r="L11" s="112">
        <f>auditlapivot!K5</f>
        <v>1</v>
      </c>
      <c r="M11" s="112">
        <f>auditlapivot!L5</f>
        <v>1</v>
      </c>
      <c r="N11" s="112">
        <f>auditlapivot!M5</f>
        <v>3</v>
      </c>
      <c r="O11" s="112">
        <f>auditlapivot!N5</f>
        <v>4</v>
      </c>
      <c r="P11" s="112">
        <f>auditlapivot!O5</f>
        <v>0</v>
      </c>
      <c r="Q11" s="112">
        <f>auditlapivot!P5</f>
        <v>1</v>
      </c>
      <c r="R11" s="477">
        <f t="shared" ref="R11:R41" si="0">SUM(C11:Q11)</f>
        <v>81</v>
      </c>
      <c r="S11" s="102">
        <f t="shared" ref="S11:S41" si="1">R11-E11</f>
        <v>75</v>
      </c>
    </row>
    <row r="12" spans="1:19" x14ac:dyDescent="0.35">
      <c r="A12" s="462" t="s">
        <v>293</v>
      </c>
      <c r="B12" s="660" t="s">
        <v>33</v>
      </c>
      <c r="C12" s="112">
        <f>auditlapivot!B6</f>
        <v>7</v>
      </c>
      <c r="D12" s="112">
        <f>auditlapivot!C6</f>
        <v>42</v>
      </c>
      <c r="E12" s="112">
        <f>auditlapivot!D6</f>
        <v>3</v>
      </c>
      <c r="F12" s="112">
        <f>auditlapivot!E6</f>
        <v>0</v>
      </c>
      <c r="G12" s="112">
        <f>auditlapivot!F6</f>
        <v>0</v>
      </c>
      <c r="H12" s="112">
        <f>auditlapivot!G6</f>
        <v>3</v>
      </c>
      <c r="I12" s="112">
        <f>auditlapivot!H6</f>
        <v>0</v>
      </c>
      <c r="J12" s="112">
        <f>auditlapivot!I6</f>
        <v>0</v>
      </c>
      <c r="K12" s="112">
        <f>auditlapivot!J6</f>
        <v>0</v>
      </c>
      <c r="L12" s="112">
        <f>auditlapivot!K6</f>
        <v>0</v>
      </c>
      <c r="M12" s="112">
        <f>auditlapivot!L6</f>
        <v>3</v>
      </c>
      <c r="N12" s="112">
        <f>auditlapivot!M6</f>
        <v>1</v>
      </c>
      <c r="O12" s="112">
        <f>auditlapivot!N6</f>
        <v>0</v>
      </c>
      <c r="P12" s="112">
        <f>auditlapivot!O6</f>
        <v>0</v>
      </c>
      <c r="Q12" s="112">
        <f>auditlapivot!P6</f>
        <v>0</v>
      </c>
      <c r="R12" s="477">
        <f t="shared" si="0"/>
        <v>59</v>
      </c>
      <c r="S12" s="102">
        <f t="shared" si="1"/>
        <v>56</v>
      </c>
    </row>
    <row r="13" spans="1:19" x14ac:dyDescent="0.35">
      <c r="A13" s="462" t="s">
        <v>288</v>
      </c>
      <c r="B13" s="660" t="s">
        <v>34</v>
      </c>
      <c r="C13" s="112">
        <f>auditlapivot!B7</f>
        <v>0</v>
      </c>
      <c r="D13" s="112">
        <f>auditlapivot!C7</f>
        <v>7</v>
      </c>
      <c r="E13" s="112">
        <f>auditlapivot!D7</f>
        <v>15</v>
      </c>
      <c r="F13" s="112">
        <f>auditlapivot!E7</f>
        <v>6</v>
      </c>
      <c r="G13" s="112">
        <f>auditlapivot!F7</f>
        <v>68</v>
      </c>
      <c r="H13" s="112">
        <f>auditlapivot!G7</f>
        <v>9</v>
      </c>
      <c r="I13" s="112">
        <f>auditlapivot!H7</f>
        <v>2</v>
      </c>
      <c r="J13" s="112">
        <f>auditlapivot!I7</f>
        <v>0</v>
      </c>
      <c r="K13" s="112">
        <f>auditlapivot!J7</f>
        <v>0</v>
      </c>
      <c r="L13" s="112">
        <f>auditlapivot!K7</f>
        <v>2</v>
      </c>
      <c r="M13" s="112">
        <f>auditlapivot!L7</f>
        <v>1</v>
      </c>
      <c r="N13" s="112">
        <f>auditlapivot!M7</f>
        <v>4</v>
      </c>
      <c r="O13" s="112">
        <f>auditlapivot!N7</f>
        <v>2</v>
      </c>
      <c r="P13" s="112">
        <f>auditlapivot!O7</f>
        <v>1</v>
      </c>
      <c r="Q13" s="112">
        <f>auditlapivot!P7</f>
        <v>2</v>
      </c>
      <c r="R13" s="477">
        <f t="shared" si="0"/>
        <v>119</v>
      </c>
      <c r="S13" s="102">
        <f t="shared" si="1"/>
        <v>104</v>
      </c>
    </row>
    <row r="14" spans="1:19" x14ac:dyDescent="0.35">
      <c r="A14" s="462" t="s">
        <v>289</v>
      </c>
      <c r="B14" s="660" t="s">
        <v>245</v>
      </c>
      <c r="C14" s="112">
        <f>auditlapivot!B8</f>
        <v>22</v>
      </c>
      <c r="D14" s="112">
        <f>auditlapivot!C8</f>
        <v>90</v>
      </c>
      <c r="E14" s="112">
        <f>auditlapivot!D8</f>
        <v>175</v>
      </c>
      <c r="F14" s="112">
        <f>auditlapivot!E8</f>
        <v>3</v>
      </c>
      <c r="G14" s="112">
        <f>auditlapivot!F8</f>
        <v>10</v>
      </c>
      <c r="H14" s="112">
        <f>auditlapivot!G8</f>
        <v>11</v>
      </c>
      <c r="I14" s="112">
        <f>auditlapivot!H8</f>
        <v>0</v>
      </c>
      <c r="J14" s="112">
        <f>auditlapivot!I8</f>
        <v>2</v>
      </c>
      <c r="K14" s="112">
        <f>auditlapivot!J8</f>
        <v>20</v>
      </c>
      <c r="L14" s="112">
        <f>auditlapivot!K8</f>
        <v>5</v>
      </c>
      <c r="M14" s="112">
        <f>auditlapivot!L8</f>
        <v>8</v>
      </c>
      <c r="N14" s="112">
        <f>auditlapivot!M8</f>
        <v>8</v>
      </c>
      <c r="O14" s="112">
        <f>auditlapivot!N8</f>
        <v>2</v>
      </c>
      <c r="P14" s="112">
        <f>auditlapivot!O8</f>
        <v>6</v>
      </c>
      <c r="Q14" s="112">
        <f>auditlapivot!P8</f>
        <v>0</v>
      </c>
      <c r="R14" s="477">
        <f t="shared" si="0"/>
        <v>362</v>
      </c>
      <c r="S14" s="102">
        <f t="shared" si="1"/>
        <v>187</v>
      </c>
    </row>
    <row r="15" spans="1:19" x14ac:dyDescent="0.35">
      <c r="A15" s="462" t="s">
        <v>267</v>
      </c>
      <c r="B15" s="660" t="s">
        <v>35</v>
      </c>
      <c r="C15" s="112">
        <f>auditlapivot!B9</f>
        <v>2</v>
      </c>
      <c r="D15" s="112">
        <f>auditlapivot!C9</f>
        <v>19</v>
      </c>
      <c r="E15" s="112">
        <f>auditlapivot!D9</f>
        <v>0</v>
      </c>
      <c r="F15" s="112">
        <f>auditlapivot!E9</f>
        <v>4</v>
      </c>
      <c r="G15" s="112">
        <f>auditlapivot!F9</f>
        <v>0</v>
      </c>
      <c r="H15" s="112">
        <f>auditlapivot!G9</f>
        <v>0</v>
      </c>
      <c r="I15" s="112">
        <f>auditlapivot!H9</f>
        <v>0</v>
      </c>
      <c r="J15" s="112">
        <f>auditlapivot!I9</f>
        <v>0</v>
      </c>
      <c r="K15" s="112">
        <f>auditlapivot!J9</f>
        <v>1</v>
      </c>
      <c r="L15" s="112">
        <f>auditlapivot!K9</f>
        <v>2</v>
      </c>
      <c r="M15" s="112">
        <f>auditlapivot!L9</f>
        <v>1</v>
      </c>
      <c r="N15" s="112">
        <f>auditlapivot!M9</f>
        <v>3</v>
      </c>
      <c r="O15" s="112">
        <f>auditlapivot!N9</f>
        <v>2</v>
      </c>
      <c r="P15" s="112">
        <f>auditlapivot!O9</f>
        <v>1</v>
      </c>
      <c r="Q15" s="112">
        <f>auditlapivot!P9</f>
        <v>0</v>
      </c>
      <c r="R15" s="477">
        <f t="shared" si="0"/>
        <v>35</v>
      </c>
      <c r="S15" s="102">
        <f t="shared" si="1"/>
        <v>35</v>
      </c>
    </row>
    <row r="16" spans="1:19" x14ac:dyDescent="0.35">
      <c r="A16" s="462" t="s">
        <v>268</v>
      </c>
      <c r="B16" s="660" t="s">
        <v>36</v>
      </c>
      <c r="C16" s="112">
        <f>auditlapivot!B10</f>
        <v>8</v>
      </c>
      <c r="D16" s="112">
        <f>auditlapivot!C10</f>
        <v>69</v>
      </c>
      <c r="E16" s="112">
        <f>auditlapivot!D10</f>
        <v>34</v>
      </c>
      <c r="F16" s="112">
        <f>auditlapivot!E10</f>
        <v>0</v>
      </c>
      <c r="G16" s="112">
        <f>auditlapivot!F10</f>
        <v>3</v>
      </c>
      <c r="H16" s="112">
        <f>auditlapivot!G10</f>
        <v>1</v>
      </c>
      <c r="I16" s="112">
        <f>auditlapivot!H10</f>
        <v>0</v>
      </c>
      <c r="J16" s="112">
        <f>auditlapivot!I10</f>
        <v>0</v>
      </c>
      <c r="K16" s="112">
        <f>auditlapivot!J10</f>
        <v>1</v>
      </c>
      <c r="L16" s="112">
        <f>auditlapivot!K10</f>
        <v>1</v>
      </c>
      <c r="M16" s="112">
        <f>auditlapivot!L10</f>
        <v>4</v>
      </c>
      <c r="N16" s="112">
        <f>auditlapivot!M10</f>
        <v>2</v>
      </c>
      <c r="O16" s="112">
        <f>auditlapivot!N10</f>
        <v>0</v>
      </c>
      <c r="P16" s="112">
        <f>auditlapivot!O10</f>
        <v>1</v>
      </c>
      <c r="Q16" s="112">
        <f>auditlapivot!P10</f>
        <v>0</v>
      </c>
      <c r="R16" s="477">
        <f t="shared" si="0"/>
        <v>124</v>
      </c>
      <c r="S16" s="102">
        <f t="shared" si="1"/>
        <v>90</v>
      </c>
    </row>
    <row r="17" spans="1:19" x14ac:dyDescent="0.35">
      <c r="A17" s="462" t="s">
        <v>294</v>
      </c>
      <c r="B17" s="660" t="s">
        <v>37</v>
      </c>
      <c r="C17" s="112">
        <f>auditlapivot!B11</f>
        <v>14</v>
      </c>
      <c r="D17" s="112">
        <f>auditlapivot!C11</f>
        <v>34</v>
      </c>
      <c r="E17" s="112">
        <f>auditlapivot!D11</f>
        <v>70</v>
      </c>
      <c r="F17" s="112">
        <f>auditlapivot!E11</f>
        <v>1</v>
      </c>
      <c r="G17" s="112">
        <f>auditlapivot!F11</f>
        <v>16</v>
      </c>
      <c r="H17" s="112">
        <f>auditlapivot!G11</f>
        <v>5</v>
      </c>
      <c r="I17" s="112">
        <f>auditlapivot!H11</f>
        <v>0</v>
      </c>
      <c r="J17" s="112">
        <f>auditlapivot!I11</f>
        <v>0</v>
      </c>
      <c r="K17" s="112">
        <f>auditlapivot!J11</f>
        <v>3</v>
      </c>
      <c r="L17" s="112">
        <f>auditlapivot!K11</f>
        <v>4</v>
      </c>
      <c r="M17" s="112">
        <f>auditlapivot!L11</f>
        <v>2</v>
      </c>
      <c r="N17" s="112">
        <f>auditlapivot!M11</f>
        <v>1</v>
      </c>
      <c r="O17" s="112">
        <f>auditlapivot!N11</f>
        <v>2</v>
      </c>
      <c r="P17" s="112">
        <f>auditlapivot!O11</f>
        <v>2</v>
      </c>
      <c r="Q17" s="112">
        <f>auditlapivot!P11</f>
        <v>1</v>
      </c>
      <c r="R17" s="477">
        <f t="shared" si="0"/>
        <v>155</v>
      </c>
      <c r="S17" s="102">
        <f t="shared" si="1"/>
        <v>85</v>
      </c>
    </row>
    <row r="18" spans="1:19" x14ac:dyDescent="0.35">
      <c r="A18" s="462" t="s">
        <v>269</v>
      </c>
      <c r="B18" s="660" t="s">
        <v>38</v>
      </c>
      <c r="C18" s="112">
        <f>auditlapivot!B12</f>
        <v>8</v>
      </c>
      <c r="D18" s="112">
        <f>auditlapivot!C12</f>
        <v>50</v>
      </c>
      <c r="E18" s="112">
        <f>auditlapivot!D12</f>
        <v>2</v>
      </c>
      <c r="F18" s="112">
        <f>auditlapivot!E12</f>
        <v>0</v>
      </c>
      <c r="G18" s="112">
        <f>auditlapivot!F12</f>
        <v>1</v>
      </c>
      <c r="H18" s="112">
        <f>auditlapivot!G12</f>
        <v>3</v>
      </c>
      <c r="I18" s="112">
        <f>auditlapivot!H12</f>
        <v>0</v>
      </c>
      <c r="J18" s="112">
        <f>auditlapivot!I12</f>
        <v>0</v>
      </c>
      <c r="K18" s="112">
        <f>auditlapivot!J12</f>
        <v>3</v>
      </c>
      <c r="L18" s="112">
        <f>auditlapivot!K12</f>
        <v>0</v>
      </c>
      <c r="M18" s="112">
        <f>auditlapivot!L12</f>
        <v>2</v>
      </c>
      <c r="N18" s="112">
        <f>auditlapivot!M12</f>
        <v>0</v>
      </c>
      <c r="O18" s="112">
        <f>auditlapivot!N12</f>
        <v>0</v>
      </c>
      <c r="P18" s="112">
        <f>auditlapivot!O12</f>
        <v>0</v>
      </c>
      <c r="Q18" s="112">
        <f>auditlapivot!P12</f>
        <v>0</v>
      </c>
      <c r="R18" s="477">
        <f t="shared" si="0"/>
        <v>69</v>
      </c>
      <c r="S18" s="102">
        <f t="shared" si="1"/>
        <v>67</v>
      </c>
    </row>
    <row r="19" spans="1:19" x14ac:dyDescent="0.35">
      <c r="A19" s="462" t="s">
        <v>296</v>
      </c>
      <c r="B19" s="660" t="s">
        <v>39</v>
      </c>
      <c r="C19" s="112">
        <f>auditlapivot!B13</f>
        <v>2</v>
      </c>
      <c r="D19" s="112">
        <f>auditlapivot!C13</f>
        <v>22</v>
      </c>
      <c r="E19" s="112">
        <f>auditlapivot!D13</f>
        <v>13</v>
      </c>
      <c r="F19" s="112">
        <f>auditlapivot!E13</f>
        <v>0</v>
      </c>
      <c r="G19" s="112">
        <f>auditlapivot!F13</f>
        <v>3</v>
      </c>
      <c r="H19" s="112">
        <f>auditlapivot!G13</f>
        <v>1</v>
      </c>
      <c r="I19" s="112">
        <f>auditlapivot!H13</f>
        <v>0</v>
      </c>
      <c r="J19" s="112">
        <f>auditlapivot!I13</f>
        <v>0</v>
      </c>
      <c r="K19" s="112">
        <f>auditlapivot!J13</f>
        <v>1</v>
      </c>
      <c r="L19" s="112">
        <f>auditlapivot!K13</f>
        <v>0</v>
      </c>
      <c r="M19" s="112">
        <f>auditlapivot!L13</f>
        <v>3</v>
      </c>
      <c r="N19" s="112">
        <f>auditlapivot!M13</f>
        <v>0</v>
      </c>
      <c r="O19" s="112">
        <f>auditlapivot!N13</f>
        <v>0</v>
      </c>
      <c r="P19" s="112">
        <f>auditlapivot!O13</f>
        <v>0</v>
      </c>
      <c r="Q19" s="112">
        <f>auditlapivot!P13</f>
        <v>0</v>
      </c>
      <c r="R19" s="477">
        <f t="shared" si="0"/>
        <v>45</v>
      </c>
      <c r="S19" s="102">
        <f t="shared" si="1"/>
        <v>32</v>
      </c>
    </row>
    <row r="20" spans="1:19" x14ac:dyDescent="0.35">
      <c r="A20" s="462" t="s">
        <v>270</v>
      </c>
      <c r="B20" s="660" t="s">
        <v>40</v>
      </c>
      <c r="C20" s="112">
        <f>auditlapivot!B14</f>
        <v>3</v>
      </c>
      <c r="D20" s="112">
        <f>auditlapivot!C14</f>
        <v>23</v>
      </c>
      <c r="E20" s="112">
        <f>auditlapivot!D14</f>
        <v>5</v>
      </c>
      <c r="F20" s="112">
        <f>auditlapivot!E14</f>
        <v>0</v>
      </c>
      <c r="G20" s="112">
        <f>auditlapivot!F14</f>
        <v>2</v>
      </c>
      <c r="H20" s="112">
        <f>auditlapivot!G14</f>
        <v>0</v>
      </c>
      <c r="I20" s="112">
        <f>auditlapivot!H14</f>
        <v>0</v>
      </c>
      <c r="J20" s="112">
        <f>auditlapivot!I14</f>
        <v>0</v>
      </c>
      <c r="K20" s="112">
        <f>auditlapivot!J14</f>
        <v>3</v>
      </c>
      <c r="L20" s="112">
        <f>auditlapivot!K14</f>
        <v>2</v>
      </c>
      <c r="M20" s="112">
        <f>auditlapivot!L14</f>
        <v>1</v>
      </c>
      <c r="N20" s="112">
        <f>auditlapivot!M14</f>
        <v>3</v>
      </c>
      <c r="O20" s="112">
        <f>auditlapivot!N14</f>
        <v>2</v>
      </c>
      <c r="P20" s="112">
        <f>auditlapivot!O14</f>
        <v>0</v>
      </c>
      <c r="Q20" s="112">
        <f>auditlapivot!P14</f>
        <v>1</v>
      </c>
      <c r="R20" s="477">
        <f t="shared" si="0"/>
        <v>45</v>
      </c>
      <c r="S20" s="102">
        <f t="shared" si="1"/>
        <v>40</v>
      </c>
    </row>
    <row r="21" spans="1:19" x14ac:dyDescent="0.35">
      <c r="A21" s="462" t="s">
        <v>271</v>
      </c>
      <c r="B21" s="660" t="s">
        <v>41</v>
      </c>
      <c r="C21" s="112">
        <f>auditlapivot!B15</f>
        <v>0</v>
      </c>
      <c r="D21" s="112">
        <f>auditlapivot!C15</f>
        <v>13</v>
      </c>
      <c r="E21" s="112">
        <f>auditlapivot!D15</f>
        <v>1</v>
      </c>
      <c r="F21" s="112">
        <f>auditlapivot!E15</f>
        <v>0</v>
      </c>
      <c r="G21" s="112">
        <f>auditlapivot!F15</f>
        <v>0</v>
      </c>
      <c r="H21" s="112">
        <f>auditlapivot!G15</f>
        <v>0</v>
      </c>
      <c r="I21" s="112">
        <f>auditlapivot!H15</f>
        <v>0</v>
      </c>
      <c r="J21" s="112">
        <f>auditlapivot!I15</f>
        <v>0</v>
      </c>
      <c r="K21" s="112">
        <f>auditlapivot!J15</f>
        <v>0</v>
      </c>
      <c r="L21" s="112">
        <f>auditlapivot!K15</f>
        <v>2</v>
      </c>
      <c r="M21" s="112">
        <f>auditlapivot!L15</f>
        <v>2</v>
      </c>
      <c r="N21" s="112">
        <f>auditlapivot!M15</f>
        <v>0</v>
      </c>
      <c r="O21" s="112">
        <f>auditlapivot!N15</f>
        <v>0</v>
      </c>
      <c r="P21" s="112">
        <f>auditlapivot!O15</f>
        <v>0</v>
      </c>
      <c r="Q21" s="112">
        <f>auditlapivot!P15</f>
        <v>1</v>
      </c>
      <c r="R21" s="477">
        <f t="shared" si="0"/>
        <v>19</v>
      </c>
      <c r="S21" s="102">
        <f t="shared" si="1"/>
        <v>18</v>
      </c>
    </row>
    <row r="22" spans="1:19" x14ac:dyDescent="0.35">
      <c r="A22" s="462" t="s">
        <v>273</v>
      </c>
      <c r="B22" s="660" t="s">
        <v>42</v>
      </c>
      <c r="C22" s="112">
        <f>auditlapivot!B16</f>
        <v>7</v>
      </c>
      <c r="D22" s="112">
        <f>auditlapivot!C16</f>
        <v>39</v>
      </c>
      <c r="E22" s="112">
        <f>auditlapivot!D16</f>
        <v>0</v>
      </c>
      <c r="F22" s="112">
        <f>auditlapivot!E16</f>
        <v>0</v>
      </c>
      <c r="G22" s="112">
        <f>auditlapivot!F16</f>
        <v>0</v>
      </c>
      <c r="H22" s="112">
        <f>auditlapivot!G16</f>
        <v>0</v>
      </c>
      <c r="I22" s="112">
        <f>auditlapivot!H16</f>
        <v>1</v>
      </c>
      <c r="J22" s="112">
        <f>auditlapivot!I16</f>
        <v>0</v>
      </c>
      <c r="K22" s="112">
        <f>auditlapivot!J16</f>
        <v>1</v>
      </c>
      <c r="L22" s="112">
        <f>auditlapivot!K16</f>
        <v>3</v>
      </c>
      <c r="M22" s="112">
        <f>auditlapivot!L16</f>
        <v>2</v>
      </c>
      <c r="N22" s="112">
        <f>auditlapivot!M16</f>
        <v>3</v>
      </c>
      <c r="O22" s="112">
        <f>auditlapivot!N16</f>
        <v>4</v>
      </c>
      <c r="P22" s="112">
        <f>auditlapivot!O16</f>
        <v>1</v>
      </c>
      <c r="Q22" s="112">
        <f>auditlapivot!P16</f>
        <v>1</v>
      </c>
      <c r="R22" s="477">
        <f t="shared" si="0"/>
        <v>62</v>
      </c>
      <c r="S22" s="102">
        <f t="shared" si="1"/>
        <v>62</v>
      </c>
    </row>
    <row r="23" spans="1:19" x14ac:dyDescent="0.35">
      <c r="A23" s="462" t="s">
        <v>380</v>
      </c>
      <c r="B23" s="660" t="s">
        <v>43</v>
      </c>
      <c r="C23" s="112">
        <f>auditlapivot!B17</f>
        <v>2</v>
      </c>
      <c r="D23" s="112">
        <f>auditlapivot!C17</f>
        <v>123</v>
      </c>
      <c r="E23" s="112">
        <f>auditlapivot!D17</f>
        <v>80</v>
      </c>
      <c r="F23" s="112">
        <f>auditlapivot!E17</f>
        <v>2</v>
      </c>
      <c r="G23" s="112">
        <f>auditlapivot!F17</f>
        <v>2</v>
      </c>
      <c r="H23" s="112">
        <f>auditlapivot!G17</f>
        <v>8</v>
      </c>
      <c r="I23" s="112">
        <f>auditlapivot!H17</f>
        <v>0</v>
      </c>
      <c r="J23" s="112">
        <f>auditlapivot!I17</f>
        <v>1</v>
      </c>
      <c r="K23" s="112">
        <f>auditlapivot!J17</f>
        <v>2</v>
      </c>
      <c r="L23" s="112">
        <f>auditlapivot!K17</f>
        <v>3</v>
      </c>
      <c r="M23" s="112">
        <f>auditlapivot!L17</f>
        <v>7</v>
      </c>
      <c r="N23" s="112">
        <f>auditlapivot!M17</f>
        <v>6</v>
      </c>
      <c r="O23" s="112">
        <f>auditlapivot!N17</f>
        <v>13</v>
      </c>
      <c r="P23" s="112">
        <f>auditlapivot!O17</f>
        <v>3</v>
      </c>
      <c r="Q23" s="112">
        <f>auditlapivot!P17</f>
        <v>0</v>
      </c>
      <c r="R23" s="477">
        <f t="shared" si="0"/>
        <v>252</v>
      </c>
      <c r="S23" s="102">
        <f t="shared" si="1"/>
        <v>172</v>
      </c>
    </row>
    <row r="24" spans="1:19" x14ac:dyDescent="0.35">
      <c r="A24" s="462" t="s">
        <v>297</v>
      </c>
      <c r="B24" s="660" t="s">
        <v>114</v>
      </c>
      <c r="C24" s="112">
        <f>auditlapivot!B18</f>
        <v>10</v>
      </c>
      <c r="D24" s="112">
        <f>auditlapivot!C18</f>
        <v>108</v>
      </c>
      <c r="E24" s="112">
        <f>auditlapivot!D18</f>
        <v>222</v>
      </c>
      <c r="F24" s="112">
        <f>auditlapivot!E18</f>
        <v>6</v>
      </c>
      <c r="G24" s="112">
        <f>auditlapivot!F18</f>
        <v>30</v>
      </c>
      <c r="H24" s="112">
        <f>auditlapivot!G18</f>
        <v>4</v>
      </c>
      <c r="I24" s="112">
        <f>auditlapivot!H18</f>
        <v>5</v>
      </c>
      <c r="J24" s="112">
        <f>auditlapivot!I18</f>
        <v>1</v>
      </c>
      <c r="K24" s="112">
        <f>auditlapivot!J18</f>
        <v>10</v>
      </c>
      <c r="L24" s="112">
        <f>auditlapivot!K18</f>
        <v>7</v>
      </c>
      <c r="M24" s="112">
        <f>auditlapivot!L18</f>
        <v>30</v>
      </c>
      <c r="N24" s="112">
        <f>auditlapivot!M18</f>
        <v>11</v>
      </c>
      <c r="O24" s="112">
        <f>auditlapivot!N18</f>
        <v>7</v>
      </c>
      <c r="P24" s="112">
        <f>auditlapivot!O18</f>
        <v>5</v>
      </c>
      <c r="Q24" s="112">
        <f>auditlapivot!P18</f>
        <v>14</v>
      </c>
      <c r="R24" s="477">
        <f t="shared" si="0"/>
        <v>470</v>
      </c>
      <c r="S24" s="102">
        <f t="shared" si="1"/>
        <v>248</v>
      </c>
    </row>
    <row r="25" spans="1:19" x14ac:dyDescent="0.35">
      <c r="A25" s="462" t="s">
        <v>274</v>
      </c>
      <c r="B25" s="660" t="s">
        <v>44</v>
      </c>
      <c r="C25" s="112">
        <f>auditlapivot!B19</f>
        <v>18</v>
      </c>
      <c r="D25" s="112">
        <f>auditlapivot!C19</f>
        <v>56</v>
      </c>
      <c r="E25" s="112">
        <f>auditlapivot!D19</f>
        <v>16</v>
      </c>
      <c r="F25" s="112">
        <f>auditlapivot!E19</f>
        <v>0</v>
      </c>
      <c r="G25" s="112">
        <f>auditlapivot!F19</f>
        <v>13</v>
      </c>
      <c r="H25" s="112">
        <f>auditlapivot!G19</f>
        <v>2</v>
      </c>
      <c r="I25" s="112">
        <f>auditlapivot!H19</f>
        <v>0</v>
      </c>
      <c r="J25" s="112">
        <f>auditlapivot!I19</f>
        <v>1</v>
      </c>
      <c r="K25" s="112">
        <f>auditlapivot!J19</f>
        <v>1</v>
      </c>
      <c r="L25" s="112">
        <f>auditlapivot!K19</f>
        <v>1</v>
      </c>
      <c r="M25" s="112">
        <f>auditlapivot!L19</f>
        <v>2</v>
      </c>
      <c r="N25" s="112">
        <f>auditlapivot!M19</f>
        <v>2</v>
      </c>
      <c r="O25" s="112">
        <f>auditlapivot!N19</f>
        <v>4</v>
      </c>
      <c r="P25" s="112">
        <f>auditlapivot!O19</f>
        <v>2</v>
      </c>
      <c r="Q25" s="112">
        <f>auditlapivot!P19</f>
        <v>2</v>
      </c>
      <c r="R25" s="477">
        <f t="shared" si="0"/>
        <v>120</v>
      </c>
      <c r="S25" s="102">
        <f t="shared" si="1"/>
        <v>104</v>
      </c>
    </row>
    <row r="26" spans="1:19" x14ac:dyDescent="0.35">
      <c r="A26" s="462" t="s">
        <v>275</v>
      </c>
      <c r="B26" s="660" t="s">
        <v>45</v>
      </c>
      <c r="C26" s="112">
        <f>auditlapivot!B20</f>
        <v>0</v>
      </c>
      <c r="D26" s="112">
        <f>auditlapivot!C20</f>
        <v>20</v>
      </c>
      <c r="E26" s="112">
        <f>auditlapivot!D20</f>
        <v>4</v>
      </c>
      <c r="F26" s="112">
        <f>auditlapivot!E20</f>
        <v>0</v>
      </c>
      <c r="G26" s="112">
        <f>auditlapivot!F20</f>
        <v>1</v>
      </c>
      <c r="H26" s="112">
        <f>auditlapivot!G20</f>
        <v>0</v>
      </c>
      <c r="I26" s="112">
        <f>auditlapivot!H20</f>
        <v>0</v>
      </c>
      <c r="J26" s="112">
        <f>auditlapivot!I20</f>
        <v>0</v>
      </c>
      <c r="K26" s="112">
        <f>auditlapivot!J20</f>
        <v>1</v>
      </c>
      <c r="L26" s="112">
        <f>auditlapivot!K20</f>
        <v>0</v>
      </c>
      <c r="M26" s="112">
        <f>auditlapivot!L20</f>
        <v>0</v>
      </c>
      <c r="N26" s="112">
        <f>auditlapivot!M20</f>
        <v>1</v>
      </c>
      <c r="O26" s="112">
        <f>auditlapivot!N20</f>
        <v>0</v>
      </c>
      <c r="P26" s="112">
        <f>auditlapivot!O20</f>
        <v>0</v>
      </c>
      <c r="Q26" s="112">
        <f>auditlapivot!P20</f>
        <v>0</v>
      </c>
      <c r="R26" s="477">
        <f t="shared" si="0"/>
        <v>27</v>
      </c>
      <c r="S26" s="102">
        <f t="shared" si="1"/>
        <v>23</v>
      </c>
    </row>
    <row r="27" spans="1:19" x14ac:dyDescent="0.35">
      <c r="A27" s="462" t="s">
        <v>276</v>
      </c>
      <c r="B27" s="660" t="s">
        <v>46</v>
      </c>
      <c r="C27" s="112">
        <f>auditlapivot!B21</f>
        <v>3</v>
      </c>
      <c r="D27" s="112">
        <f>auditlapivot!C21</f>
        <v>20</v>
      </c>
      <c r="E27" s="112">
        <f>auditlapivot!D21</f>
        <v>4</v>
      </c>
      <c r="F27" s="112">
        <f>auditlapivot!E21</f>
        <v>0</v>
      </c>
      <c r="G27" s="112">
        <f>auditlapivot!F21</f>
        <v>0</v>
      </c>
      <c r="H27" s="112">
        <f>auditlapivot!G21</f>
        <v>0</v>
      </c>
      <c r="I27" s="112">
        <f>auditlapivot!H21</f>
        <v>0</v>
      </c>
      <c r="J27" s="112">
        <f>auditlapivot!I21</f>
        <v>0</v>
      </c>
      <c r="K27" s="112">
        <f>auditlapivot!J21</f>
        <v>4</v>
      </c>
      <c r="L27" s="112">
        <f>auditlapivot!K21</f>
        <v>0</v>
      </c>
      <c r="M27" s="112">
        <f>auditlapivot!L21</f>
        <v>1</v>
      </c>
      <c r="N27" s="112">
        <f>auditlapivot!M21</f>
        <v>2</v>
      </c>
      <c r="O27" s="112">
        <f>auditlapivot!N21</f>
        <v>1</v>
      </c>
      <c r="P27" s="112">
        <f>auditlapivot!O21</f>
        <v>0</v>
      </c>
      <c r="Q27" s="112">
        <f>auditlapivot!P21</f>
        <v>2</v>
      </c>
      <c r="R27" s="477">
        <f t="shared" si="0"/>
        <v>37</v>
      </c>
      <c r="S27" s="102">
        <f t="shared" si="1"/>
        <v>33</v>
      </c>
    </row>
    <row r="28" spans="1:19" x14ac:dyDescent="0.35">
      <c r="A28" s="462" t="s">
        <v>277</v>
      </c>
      <c r="B28" s="660" t="s">
        <v>47</v>
      </c>
      <c r="C28" s="112">
        <f>auditlapivot!B22</f>
        <v>3</v>
      </c>
      <c r="D28" s="112">
        <f>auditlapivot!C22</f>
        <v>6</v>
      </c>
      <c r="E28" s="112">
        <f>auditlapivot!D22</f>
        <v>2</v>
      </c>
      <c r="F28" s="112">
        <f>auditlapivot!E22</f>
        <v>0</v>
      </c>
      <c r="G28" s="112">
        <f>auditlapivot!F22</f>
        <v>5</v>
      </c>
      <c r="H28" s="112">
        <f>auditlapivot!G22</f>
        <v>12</v>
      </c>
      <c r="I28" s="112">
        <f>auditlapivot!H22</f>
        <v>0</v>
      </c>
      <c r="J28" s="112">
        <f>auditlapivot!I22</f>
        <v>0</v>
      </c>
      <c r="K28" s="112">
        <f>auditlapivot!J22</f>
        <v>0</v>
      </c>
      <c r="L28" s="112">
        <f>auditlapivot!K22</f>
        <v>4</v>
      </c>
      <c r="M28" s="112">
        <f>auditlapivot!L22</f>
        <v>3</v>
      </c>
      <c r="N28" s="112">
        <f>auditlapivot!M22</f>
        <v>0</v>
      </c>
      <c r="O28" s="112">
        <f>auditlapivot!N22</f>
        <v>6</v>
      </c>
      <c r="P28" s="112">
        <f>auditlapivot!O22</f>
        <v>0</v>
      </c>
      <c r="Q28" s="112">
        <f>auditlapivot!P22</f>
        <v>1</v>
      </c>
      <c r="R28" s="477">
        <f t="shared" si="0"/>
        <v>42</v>
      </c>
      <c r="S28" s="102">
        <f t="shared" si="1"/>
        <v>40</v>
      </c>
    </row>
    <row r="29" spans="1:19" x14ac:dyDescent="0.35">
      <c r="A29" s="462" t="s">
        <v>272</v>
      </c>
      <c r="B29" s="660" t="s">
        <v>48</v>
      </c>
      <c r="C29" s="112">
        <f>auditlapivot!B23</f>
        <v>2</v>
      </c>
      <c r="D29" s="112">
        <f>auditlapivot!C23</f>
        <v>9</v>
      </c>
      <c r="E29" s="112">
        <f>auditlapivot!D23</f>
        <v>0</v>
      </c>
      <c r="F29" s="112">
        <f>auditlapivot!E23</f>
        <v>0</v>
      </c>
      <c r="G29" s="112">
        <f>auditlapivot!F23</f>
        <v>0</v>
      </c>
      <c r="H29" s="112">
        <f>auditlapivot!G23</f>
        <v>0</v>
      </c>
      <c r="I29" s="112">
        <f>auditlapivot!H23</f>
        <v>0</v>
      </c>
      <c r="J29" s="112">
        <f>auditlapivot!I23</f>
        <v>0</v>
      </c>
      <c r="K29" s="112">
        <f>auditlapivot!J23</f>
        <v>0</v>
      </c>
      <c r="L29" s="112">
        <f>auditlapivot!K23</f>
        <v>0</v>
      </c>
      <c r="M29" s="112">
        <f>auditlapivot!L23</f>
        <v>0</v>
      </c>
      <c r="N29" s="112">
        <f>auditlapivot!M23</f>
        <v>0</v>
      </c>
      <c r="O29" s="112">
        <f>auditlapivot!N23</f>
        <v>0</v>
      </c>
      <c r="P29" s="112">
        <f>auditlapivot!O23</f>
        <v>0</v>
      </c>
      <c r="Q29" s="112">
        <f>auditlapivot!P23</f>
        <v>0</v>
      </c>
      <c r="R29" s="477">
        <f t="shared" si="0"/>
        <v>11</v>
      </c>
      <c r="S29" s="102">
        <f t="shared" si="1"/>
        <v>11</v>
      </c>
    </row>
    <row r="30" spans="1:19" x14ac:dyDescent="0.35">
      <c r="A30" s="462" t="s">
        <v>278</v>
      </c>
      <c r="B30" s="660" t="s">
        <v>49</v>
      </c>
      <c r="C30" s="112">
        <f>auditlapivot!B24</f>
        <v>0</v>
      </c>
      <c r="D30" s="112">
        <f>auditlapivot!C24</f>
        <v>66</v>
      </c>
      <c r="E30" s="112">
        <f>auditlapivot!D24</f>
        <v>0</v>
      </c>
      <c r="F30" s="112">
        <f>auditlapivot!E24</f>
        <v>0</v>
      </c>
      <c r="G30" s="112">
        <f>auditlapivot!F24</f>
        <v>10</v>
      </c>
      <c r="H30" s="112">
        <f>auditlapivot!G24</f>
        <v>2</v>
      </c>
      <c r="I30" s="112">
        <f>auditlapivot!H24</f>
        <v>0</v>
      </c>
      <c r="J30" s="112">
        <f>auditlapivot!I24</f>
        <v>0</v>
      </c>
      <c r="K30" s="112">
        <f>auditlapivot!J24</f>
        <v>2</v>
      </c>
      <c r="L30" s="112">
        <f>auditlapivot!K24</f>
        <v>0</v>
      </c>
      <c r="M30" s="112">
        <f>auditlapivot!L24</f>
        <v>6</v>
      </c>
      <c r="N30" s="112">
        <f>auditlapivot!M24</f>
        <v>1</v>
      </c>
      <c r="O30" s="112">
        <f>auditlapivot!N24</f>
        <v>1</v>
      </c>
      <c r="P30" s="112">
        <f>auditlapivot!O24</f>
        <v>0</v>
      </c>
      <c r="Q30" s="112">
        <f>auditlapivot!P24</f>
        <v>1</v>
      </c>
      <c r="R30" s="477">
        <f t="shared" si="0"/>
        <v>89</v>
      </c>
      <c r="S30" s="102">
        <f t="shared" si="1"/>
        <v>89</v>
      </c>
    </row>
    <row r="31" spans="1:19" x14ac:dyDescent="0.35">
      <c r="A31" s="462" t="s">
        <v>295</v>
      </c>
      <c r="B31" s="660" t="s">
        <v>50</v>
      </c>
      <c r="C31" s="112">
        <f>auditlapivot!B25</f>
        <v>3</v>
      </c>
      <c r="D31" s="112">
        <f>auditlapivot!C25</f>
        <v>41</v>
      </c>
      <c r="E31" s="112">
        <f>auditlapivot!D25</f>
        <v>3</v>
      </c>
      <c r="F31" s="112">
        <f>auditlapivot!E25</f>
        <v>1</v>
      </c>
      <c r="G31" s="112">
        <f>auditlapivot!F25</f>
        <v>14</v>
      </c>
      <c r="H31" s="112">
        <f>auditlapivot!G25</f>
        <v>1</v>
      </c>
      <c r="I31" s="112">
        <f>auditlapivot!H25</f>
        <v>0</v>
      </c>
      <c r="J31" s="112">
        <f>auditlapivot!I25</f>
        <v>0</v>
      </c>
      <c r="K31" s="112">
        <f>auditlapivot!J25</f>
        <v>1</v>
      </c>
      <c r="L31" s="112">
        <f>auditlapivot!K25</f>
        <v>2</v>
      </c>
      <c r="M31" s="112">
        <f>auditlapivot!L25</f>
        <v>8</v>
      </c>
      <c r="N31" s="112">
        <f>auditlapivot!M25</f>
        <v>4</v>
      </c>
      <c r="O31" s="112">
        <f>auditlapivot!N25</f>
        <v>10</v>
      </c>
      <c r="P31" s="112">
        <f>auditlapivot!O25</f>
        <v>26</v>
      </c>
      <c r="Q31" s="112">
        <f>auditlapivot!P25</f>
        <v>3</v>
      </c>
      <c r="R31" s="477">
        <f t="shared" si="0"/>
        <v>117</v>
      </c>
      <c r="S31" s="102">
        <f t="shared" si="1"/>
        <v>114</v>
      </c>
    </row>
    <row r="32" spans="1:19" x14ac:dyDescent="0.35">
      <c r="A32" s="462" t="s">
        <v>279</v>
      </c>
      <c r="B32" s="660" t="s">
        <v>51</v>
      </c>
      <c r="C32" s="112">
        <f>auditlapivot!B26</f>
        <v>1</v>
      </c>
      <c r="D32" s="112">
        <f>auditlapivot!C26</f>
        <v>5</v>
      </c>
      <c r="E32" s="112">
        <f>auditlapivot!D26</f>
        <v>0</v>
      </c>
      <c r="F32" s="112">
        <f>auditlapivot!E26</f>
        <v>1</v>
      </c>
      <c r="G32" s="112">
        <f>auditlapivot!F26</f>
        <v>2</v>
      </c>
      <c r="H32" s="112">
        <f>auditlapivot!G26</f>
        <v>0</v>
      </c>
      <c r="I32" s="112">
        <f>auditlapivot!H26</f>
        <v>0</v>
      </c>
      <c r="J32" s="112">
        <f>auditlapivot!I26</f>
        <v>0</v>
      </c>
      <c r="K32" s="112">
        <f>auditlapivot!J26</f>
        <v>0</v>
      </c>
      <c r="L32" s="112">
        <f>auditlapivot!K26</f>
        <v>0</v>
      </c>
      <c r="M32" s="112">
        <f>auditlapivot!L26</f>
        <v>0</v>
      </c>
      <c r="N32" s="112">
        <f>auditlapivot!M26</f>
        <v>0</v>
      </c>
      <c r="O32" s="112">
        <f>auditlapivot!N26</f>
        <v>0</v>
      </c>
      <c r="P32" s="112">
        <f>auditlapivot!O26</f>
        <v>0</v>
      </c>
      <c r="Q32" s="112">
        <f>auditlapivot!P26</f>
        <v>0</v>
      </c>
      <c r="R32" s="477">
        <f t="shared" si="0"/>
        <v>9</v>
      </c>
      <c r="S32" s="102">
        <f t="shared" si="1"/>
        <v>9</v>
      </c>
    </row>
    <row r="33" spans="1:19" x14ac:dyDescent="0.35">
      <c r="A33" s="462" t="s">
        <v>280</v>
      </c>
      <c r="B33" s="660" t="s">
        <v>52</v>
      </c>
      <c r="C33" s="112">
        <f>auditlapivot!B27</f>
        <v>36</v>
      </c>
      <c r="D33" s="112">
        <f>auditlapivot!C27</f>
        <v>68</v>
      </c>
      <c r="E33" s="112">
        <f>auditlapivot!D27</f>
        <v>7</v>
      </c>
      <c r="F33" s="112">
        <f>auditlapivot!E27</f>
        <v>9</v>
      </c>
      <c r="G33" s="112">
        <f>auditlapivot!F27</f>
        <v>2</v>
      </c>
      <c r="H33" s="112">
        <f>auditlapivot!G27</f>
        <v>15</v>
      </c>
      <c r="I33" s="112">
        <f>auditlapivot!H27</f>
        <v>0</v>
      </c>
      <c r="J33" s="112">
        <f>auditlapivot!I27</f>
        <v>0</v>
      </c>
      <c r="K33" s="112">
        <f>auditlapivot!J27</f>
        <v>2</v>
      </c>
      <c r="L33" s="112">
        <f>auditlapivot!K27</f>
        <v>2</v>
      </c>
      <c r="M33" s="112">
        <f>auditlapivot!L27</f>
        <v>7</v>
      </c>
      <c r="N33" s="112">
        <f>auditlapivot!M27</f>
        <v>1</v>
      </c>
      <c r="O33" s="112">
        <f>auditlapivot!N27</f>
        <v>0</v>
      </c>
      <c r="P33" s="112">
        <f>auditlapivot!O27</f>
        <v>3</v>
      </c>
      <c r="Q33" s="112">
        <f>auditlapivot!P27</f>
        <v>0</v>
      </c>
      <c r="R33" s="477">
        <f t="shared" si="0"/>
        <v>152</v>
      </c>
      <c r="S33" s="102">
        <f t="shared" si="1"/>
        <v>145</v>
      </c>
    </row>
    <row r="34" spans="1:19" x14ac:dyDescent="0.35">
      <c r="A34" s="462" t="s">
        <v>290</v>
      </c>
      <c r="B34" s="660" t="s">
        <v>53</v>
      </c>
      <c r="C34" s="112">
        <f>auditlapivot!B28</f>
        <v>2</v>
      </c>
      <c r="D34" s="112">
        <f>auditlapivot!C28</f>
        <v>38</v>
      </c>
      <c r="E34" s="112">
        <f>auditlapivot!D28</f>
        <v>7</v>
      </c>
      <c r="F34" s="112">
        <f>auditlapivot!E28</f>
        <v>0</v>
      </c>
      <c r="G34" s="112">
        <f>auditlapivot!F28</f>
        <v>8</v>
      </c>
      <c r="H34" s="112">
        <f>auditlapivot!G28</f>
        <v>3</v>
      </c>
      <c r="I34" s="112">
        <f>auditlapivot!H28</f>
        <v>1</v>
      </c>
      <c r="J34" s="112">
        <f>auditlapivot!I28</f>
        <v>0</v>
      </c>
      <c r="K34" s="112">
        <f>auditlapivot!J28</f>
        <v>3</v>
      </c>
      <c r="L34" s="112">
        <f>auditlapivot!K28</f>
        <v>4</v>
      </c>
      <c r="M34" s="112">
        <f>auditlapivot!L28</f>
        <v>2</v>
      </c>
      <c r="N34" s="112">
        <f>auditlapivot!M28</f>
        <v>1</v>
      </c>
      <c r="O34" s="112">
        <f>auditlapivot!N28</f>
        <v>1</v>
      </c>
      <c r="P34" s="112">
        <f>auditlapivot!O28</f>
        <v>0</v>
      </c>
      <c r="Q34" s="112">
        <f>auditlapivot!P28</f>
        <v>2</v>
      </c>
      <c r="R34" s="477">
        <f t="shared" si="0"/>
        <v>72</v>
      </c>
      <c r="S34" s="102">
        <f t="shared" si="1"/>
        <v>65</v>
      </c>
    </row>
    <row r="35" spans="1:19" x14ac:dyDescent="0.35">
      <c r="A35" s="462" t="s">
        <v>281</v>
      </c>
      <c r="B35" s="660" t="s">
        <v>54</v>
      </c>
      <c r="C35" s="112">
        <f>auditlapivot!B29</f>
        <v>16</v>
      </c>
      <c r="D35" s="112">
        <f>auditlapivot!C29</f>
        <v>34</v>
      </c>
      <c r="E35" s="112">
        <f>auditlapivot!D29</f>
        <v>5</v>
      </c>
      <c r="F35" s="112">
        <f>auditlapivot!E29</f>
        <v>0</v>
      </c>
      <c r="G35" s="112">
        <f>auditlapivot!F29</f>
        <v>3</v>
      </c>
      <c r="H35" s="112">
        <f>auditlapivot!G29</f>
        <v>0</v>
      </c>
      <c r="I35" s="112">
        <f>auditlapivot!H29</f>
        <v>0</v>
      </c>
      <c r="J35" s="112">
        <f>auditlapivot!I29</f>
        <v>0</v>
      </c>
      <c r="K35" s="112">
        <f>auditlapivot!J29</f>
        <v>1</v>
      </c>
      <c r="L35" s="112">
        <f>auditlapivot!K29</f>
        <v>2</v>
      </c>
      <c r="M35" s="112">
        <f>auditlapivot!L29</f>
        <v>2</v>
      </c>
      <c r="N35" s="112">
        <f>auditlapivot!M29</f>
        <v>0</v>
      </c>
      <c r="O35" s="112">
        <f>auditlapivot!N29</f>
        <v>1</v>
      </c>
      <c r="P35" s="112">
        <f>auditlapivot!O29</f>
        <v>0</v>
      </c>
      <c r="Q35" s="112">
        <f>auditlapivot!P29</f>
        <v>2</v>
      </c>
      <c r="R35" s="477">
        <f t="shared" si="0"/>
        <v>66</v>
      </c>
      <c r="S35" s="102">
        <f t="shared" si="1"/>
        <v>61</v>
      </c>
    </row>
    <row r="36" spans="1:19" x14ac:dyDescent="0.35">
      <c r="A36" s="462" t="s">
        <v>282</v>
      </c>
      <c r="B36" s="660" t="s">
        <v>55</v>
      </c>
      <c r="C36" s="112">
        <f>auditlapivot!B30</f>
        <v>0</v>
      </c>
      <c r="D36" s="112">
        <f>auditlapivot!C30</f>
        <v>8</v>
      </c>
      <c r="E36" s="112">
        <f>auditlapivot!D30</f>
        <v>1</v>
      </c>
      <c r="F36" s="112">
        <f>auditlapivot!E30</f>
        <v>0</v>
      </c>
      <c r="G36" s="112">
        <f>auditlapivot!F30</f>
        <v>1</v>
      </c>
      <c r="H36" s="112">
        <f>auditlapivot!G30</f>
        <v>0</v>
      </c>
      <c r="I36" s="112">
        <f>auditlapivot!H30</f>
        <v>0</v>
      </c>
      <c r="J36" s="112">
        <f>auditlapivot!I30</f>
        <v>0</v>
      </c>
      <c r="K36" s="112">
        <f>auditlapivot!J30</f>
        <v>0</v>
      </c>
      <c r="L36" s="112">
        <f>auditlapivot!K30</f>
        <v>0</v>
      </c>
      <c r="M36" s="112">
        <f>auditlapivot!L30</f>
        <v>0</v>
      </c>
      <c r="N36" s="112">
        <f>auditlapivot!M30</f>
        <v>0</v>
      </c>
      <c r="O36" s="112">
        <f>auditlapivot!N30</f>
        <v>0</v>
      </c>
      <c r="P36" s="112">
        <f>auditlapivot!O30</f>
        <v>0</v>
      </c>
      <c r="Q36" s="112">
        <f>auditlapivot!P30</f>
        <v>0</v>
      </c>
      <c r="R36" s="477">
        <f t="shared" si="0"/>
        <v>10</v>
      </c>
      <c r="S36" s="102">
        <f t="shared" si="1"/>
        <v>9</v>
      </c>
    </row>
    <row r="37" spans="1:19" x14ac:dyDescent="0.35">
      <c r="A37" s="462" t="s">
        <v>283</v>
      </c>
      <c r="B37" s="660" t="s">
        <v>56</v>
      </c>
      <c r="C37" s="112">
        <f>auditlapivot!B31</f>
        <v>6</v>
      </c>
      <c r="D37" s="112">
        <f>auditlapivot!C31</f>
        <v>47</v>
      </c>
      <c r="E37" s="112">
        <f>auditlapivot!D31</f>
        <v>17</v>
      </c>
      <c r="F37" s="112">
        <f>auditlapivot!E31</f>
        <v>2</v>
      </c>
      <c r="G37" s="112">
        <f>auditlapivot!F31</f>
        <v>15</v>
      </c>
      <c r="H37" s="112">
        <f>auditlapivot!G31</f>
        <v>9</v>
      </c>
      <c r="I37" s="112">
        <f>auditlapivot!H31</f>
        <v>0</v>
      </c>
      <c r="J37" s="112">
        <f>auditlapivot!I31</f>
        <v>0</v>
      </c>
      <c r="K37" s="112">
        <f>auditlapivot!J31</f>
        <v>3</v>
      </c>
      <c r="L37" s="112">
        <f>auditlapivot!K31</f>
        <v>7</v>
      </c>
      <c r="M37" s="112">
        <f>auditlapivot!L31</f>
        <v>10</v>
      </c>
      <c r="N37" s="112">
        <f>auditlapivot!M31</f>
        <v>0</v>
      </c>
      <c r="O37" s="112">
        <f>auditlapivot!N31</f>
        <v>1</v>
      </c>
      <c r="P37" s="112">
        <f>auditlapivot!O31</f>
        <v>0</v>
      </c>
      <c r="Q37" s="112">
        <f>auditlapivot!P31</f>
        <v>5</v>
      </c>
      <c r="R37" s="477">
        <f t="shared" si="0"/>
        <v>122</v>
      </c>
      <c r="S37" s="102">
        <f t="shared" si="1"/>
        <v>105</v>
      </c>
    </row>
    <row r="38" spans="1:19" x14ac:dyDescent="0.35">
      <c r="A38" s="462" t="s">
        <v>284</v>
      </c>
      <c r="B38" s="660" t="s">
        <v>57</v>
      </c>
      <c r="C38" s="112">
        <f>auditlapivot!B32</f>
        <v>9</v>
      </c>
      <c r="D38" s="112">
        <f>auditlapivot!C32</f>
        <v>83</v>
      </c>
      <c r="E38" s="112">
        <f>auditlapivot!D32</f>
        <v>23</v>
      </c>
      <c r="F38" s="112">
        <f>auditlapivot!E32</f>
        <v>0</v>
      </c>
      <c r="G38" s="112">
        <f>auditlapivot!F32</f>
        <v>7</v>
      </c>
      <c r="H38" s="112">
        <f>auditlapivot!G32</f>
        <v>0</v>
      </c>
      <c r="I38" s="112">
        <f>auditlapivot!H32</f>
        <v>0</v>
      </c>
      <c r="J38" s="112">
        <f>auditlapivot!I32</f>
        <v>0</v>
      </c>
      <c r="K38" s="112">
        <f>auditlapivot!J32</f>
        <v>1</v>
      </c>
      <c r="L38" s="112">
        <f>auditlapivot!K32</f>
        <v>1</v>
      </c>
      <c r="M38" s="112">
        <f>auditlapivot!L32</f>
        <v>5</v>
      </c>
      <c r="N38" s="112">
        <f>auditlapivot!M32</f>
        <v>1</v>
      </c>
      <c r="O38" s="112">
        <f>auditlapivot!N32</f>
        <v>6</v>
      </c>
      <c r="P38" s="112">
        <f>auditlapivot!O32</f>
        <v>5</v>
      </c>
      <c r="Q38" s="112">
        <f>auditlapivot!P32</f>
        <v>5</v>
      </c>
      <c r="R38" s="477">
        <f t="shared" si="0"/>
        <v>146</v>
      </c>
      <c r="S38" s="102">
        <f t="shared" si="1"/>
        <v>123</v>
      </c>
    </row>
    <row r="39" spans="1:19" x14ac:dyDescent="0.35">
      <c r="A39" s="462" t="s">
        <v>285</v>
      </c>
      <c r="B39" s="660" t="s">
        <v>58</v>
      </c>
      <c r="C39" s="112">
        <f>auditlapivot!B33</f>
        <v>1</v>
      </c>
      <c r="D39" s="112">
        <f>auditlapivot!C33</f>
        <v>49</v>
      </c>
      <c r="E39" s="112">
        <f>auditlapivot!D33</f>
        <v>13</v>
      </c>
      <c r="F39" s="112">
        <f>auditlapivot!E33</f>
        <v>2</v>
      </c>
      <c r="G39" s="112">
        <f>auditlapivot!F33</f>
        <v>2</v>
      </c>
      <c r="H39" s="112">
        <f>auditlapivot!G33</f>
        <v>2</v>
      </c>
      <c r="I39" s="112">
        <f>auditlapivot!H33</f>
        <v>0</v>
      </c>
      <c r="J39" s="112">
        <f>auditlapivot!I33</f>
        <v>0</v>
      </c>
      <c r="K39" s="112">
        <f>auditlapivot!J33</f>
        <v>2</v>
      </c>
      <c r="L39" s="112">
        <f>auditlapivot!K33</f>
        <v>2</v>
      </c>
      <c r="M39" s="112">
        <f>auditlapivot!L33</f>
        <v>4</v>
      </c>
      <c r="N39" s="112">
        <f>auditlapivot!M33</f>
        <v>1</v>
      </c>
      <c r="O39" s="112">
        <f>auditlapivot!N33</f>
        <v>1</v>
      </c>
      <c r="P39" s="112">
        <f>auditlapivot!O33</f>
        <v>0</v>
      </c>
      <c r="Q39" s="112">
        <f>auditlapivot!P33</f>
        <v>1</v>
      </c>
      <c r="R39" s="477">
        <f t="shared" si="0"/>
        <v>80</v>
      </c>
      <c r="S39" s="102">
        <f t="shared" si="1"/>
        <v>67</v>
      </c>
    </row>
    <row r="40" spans="1:19" x14ac:dyDescent="0.35">
      <c r="A40" s="462" t="s">
        <v>291</v>
      </c>
      <c r="B40" s="660" t="s">
        <v>59</v>
      </c>
      <c r="C40" s="112">
        <f>auditlapivot!B34</f>
        <v>1</v>
      </c>
      <c r="D40" s="112">
        <f>auditlapivot!C34</f>
        <v>8</v>
      </c>
      <c r="E40" s="112">
        <f>auditlapivot!D34</f>
        <v>5</v>
      </c>
      <c r="F40" s="112">
        <f>auditlapivot!E34</f>
        <v>0</v>
      </c>
      <c r="G40" s="112">
        <f>auditlapivot!F34</f>
        <v>2</v>
      </c>
      <c r="H40" s="112">
        <f>auditlapivot!G34</f>
        <v>0</v>
      </c>
      <c r="I40" s="112">
        <f>auditlapivot!H34</f>
        <v>0</v>
      </c>
      <c r="J40" s="112">
        <f>auditlapivot!I34</f>
        <v>1</v>
      </c>
      <c r="K40" s="112">
        <f>auditlapivot!J34</f>
        <v>1</v>
      </c>
      <c r="L40" s="112">
        <f>auditlapivot!K34</f>
        <v>7</v>
      </c>
      <c r="M40" s="112">
        <f>auditlapivot!L34</f>
        <v>0</v>
      </c>
      <c r="N40" s="112">
        <f>auditlapivot!M34</f>
        <v>1</v>
      </c>
      <c r="O40" s="112">
        <f>auditlapivot!N34</f>
        <v>0</v>
      </c>
      <c r="P40" s="112">
        <f>auditlapivot!O34</f>
        <v>1</v>
      </c>
      <c r="Q40" s="112">
        <f>auditlapivot!P34</f>
        <v>1</v>
      </c>
      <c r="R40" s="477">
        <f t="shared" si="0"/>
        <v>28</v>
      </c>
      <c r="S40" s="102">
        <f t="shared" si="1"/>
        <v>23</v>
      </c>
    </row>
    <row r="41" spans="1:19" x14ac:dyDescent="0.35">
      <c r="A41" s="462" t="s">
        <v>292</v>
      </c>
      <c r="B41" s="661" t="s">
        <v>60</v>
      </c>
      <c r="C41" s="112">
        <f>auditlapivot!B35</f>
        <v>9</v>
      </c>
      <c r="D41" s="112">
        <f>auditlapivot!C35</f>
        <v>46</v>
      </c>
      <c r="E41" s="112">
        <f>auditlapivot!D35</f>
        <v>5</v>
      </c>
      <c r="F41" s="112">
        <f>auditlapivot!E35</f>
        <v>0</v>
      </c>
      <c r="G41" s="112">
        <f>auditlapivot!F35</f>
        <v>1</v>
      </c>
      <c r="H41" s="112">
        <f>auditlapivot!G35</f>
        <v>0</v>
      </c>
      <c r="I41" s="112">
        <f>auditlapivot!H35</f>
        <v>0</v>
      </c>
      <c r="J41" s="112">
        <f>auditlapivot!I35</f>
        <v>0</v>
      </c>
      <c r="K41" s="112">
        <f>auditlapivot!J35</f>
        <v>1</v>
      </c>
      <c r="L41" s="112">
        <f>auditlapivot!K35</f>
        <v>2</v>
      </c>
      <c r="M41" s="112">
        <f>auditlapivot!L35</f>
        <v>5</v>
      </c>
      <c r="N41" s="112">
        <f>auditlapivot!M35</f>
        <v>2</v>
      </c>
      <c r="O41" s="112">
        <f>auditlapivot!N35</f>
        <v>12</v>
      </c>
      <c r="P41" s="112">
        <f>auditlapivot!O35</f>
        <v>2</v>
      </c>
      <c r="Q41" s="112">
        <f>auditlapivot!P35</f>
        <v>1</v>
      </c>
      <c r="R41" s="477">
        <f t="shared" si="0"/>
        <v>86</v>
      </c>
      <c r="S41" s="102">
        <f t="shared" si="1"/>
        <v>81</v>
      </c>
    </row>
    <row r="42" spans="1:19" ht="21.5" customHeight="1" thickBot="1" x14ac:dyDescent="0.4">
      <c r="A42" s="239"/>
      <c r="B42" s="1147" t="s">
        <v>734</v>
      </c>
      <c r="C42" s="283">
        <f>SUM(C10:C41)</f>
        <v>220</v>
      </c>
      <c r="D42" s="283">
        <f t="shared" ref="D42:O42" si="2">SUM(D10:D41)</f>
        <v>1342</v>
      </c>
      <c r="E42" s="283">
        <f t="shared" si="2"/>
        <v>809</v>
      </c>
      <c r="F42" s="283">
        <f t="shared" si="2"/>
        <v>37</v>
      </c>
      <c r="G42" s="283">
        <f t="shared" si="2"/>
        <v>230</v>
      </c>
      <c r="H42" s="283">
        <f t="shared" si="2"/>
        <v>115</v>
      </c>
      <c r="I42" s="283">
        <f t="shared" si="2"/>
        <v>10</v>
      </c>
      <c r="J42" s="283">
        <f t="shared" si="2"/>
        <v>6</v>
      </c>
      <c r="K42" s="283">
        <f t="shared" si="2"/>
        <v>73</v>
      </c>
      <c r="L42" s="283">
        <f t="shared" si="2"/>
        <v>67</v>
      </c>
      <c r="M42" s="283">
        <f t="shared" si="2"/>
        <v>125</v>
      </c>
      <c r="N42" s="283">
        <f t="shared" si="2"/>
        <v>62</v>
      </c>
      <c r="O42" s="283">
        <f t="shared" si="2"/>
        <v>84</v>
      </c>
      <c r="P42" s="283">
        <f>SUM(P10:P41)</f>
        <v>62</v>
      </c>
      <c r="Q42" s="283">
        <f>SUM(Q10:Q41)</f>
        <v>50</v>
      </c>
      <c r="R42" s="478">
        <f>SUM(R10:R41)</f>
        <v>3292</v>
      </c>
      <c r="S42" s="283">
        <f>SUM(S10:S41)</f>
        <v>2483</v>
      </c>
    </row>
    <row r="43" spans="1:19" x14ac:dyDescent="0.35">
      <c r="B43" s="15"/>
      <c r="C43" s="15"/>
      <c r="D43" s="15"/>
      <c r="E43" s="15"/>
      <c r="F43" s="15"/>
      <c r="G43" s="15"/>
      <c r="H43" s="15"/>
      <c r="I43" s="15"/>
      <c r="J43" s="15"/>
      <c r="K43" s="15"/>
      <c r="L43" s="15"/>
      <c r="M43" s="15"/>
      <c r="N43" s="15"/>
      <c r="O43" s="15"/>
      <c r="P43" s="15"/>
      <c r="Q43" s="15"/>
      <c r="R43" s="15"/>
      <c r="S43" s="15"/>
    </row>
    <row r="44" spans="1:19" x14ac:dyDescent="0.35">
      <c r="A44" s="675" t="s">
        <v>8</v>
      </c>
      <c r="B44" s="1212"/>
      <c r="C44" s="1212"/>
      <c r="D44" s="1212"/>
      <c r="E44" s="1212"/>
      <c r="F44" s="1212"/>
      <c r="G44" s="1212"/>
      <c r="H44" s="1212"/>
      <c r="I44" s="1212"/>
      <c r="J44" s="1212"/>
      <c r="K44" s="1212"/>
      <c r="L44" s="1212"/>
      <c r="M44" s="1212"/>
      <c r="N44" s="1212"/>
      <c r="O44" s="1212"/>
      <c r="P44" s="1212"/>
      <c r="Q44" s="1212"/>
      <c r="R44" s="1212"/>
      <c r="S44" s="1212"/>
    </row>
    <row r="45" spans="1:19" x14ac:dyDescent="0.35">
      <c r="A45" t="s">
        <v>562</v>
      </c>
      <c r="B45" s="407"/>
      <c r="C45" s="407"/>
      <c r="D45" s="407"/>
      <c r="E45" s="407"/>
      <c r="F45" s="407"/>
      <c r="G45" s="407"/>
      <c r="H45" s="407"/>
      <c r="I45" s="407"/>
      <c r="J45" s="407"/>
      <c r="K45" s="407"/>
      <c r="L45" s="407"/>
      <c r="M45" s="407"/>
      <c r="N45" s="407"/>
      <c r="O45" s="407"/>
      <c r="P45" s="407"/>
      <c r="Q45" s="407"/>
      <c r="R45" s="407"/>
      <c r="S45" s="407"/>
    </row>
  </sheetData>
  <sheetProtection algorithmName="SHA-512" hashValue="uz1FPSDD19fiNfyGdxAdVKwqAXTAyybTmde5sy26W9GhNjriKLt21D3W+0o6rhOncwOWjl+7GbJ6bhzQjt8EzA==" saltValue="f6XtJzipFZ7o8Hihi+P14g==" spinCount="100000" sheet="1" scenarios="1" formatCells="0" formatColumns="0" formatRows="0" sort="0" autoFilter="0" pivotTables="0"/>
  <mergeCells count="2">
    <mergeCell ref="B44:S44"/>
    <mergeCell ref="A4:K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9" orientation="landscape" r:id="rId1"/>
  <drawing r:id="rId2"/>
  <extLst>
    <ext xmlns:x14="http://schemas.microsoft.com/office/spreadsheetml/2009/9/main" uri="{A8765BA9-456A-4dab-B4F3-ACF838C121DE}">
      <x14:slicerList>
        <x14:slicer r:id="rId3"/>
      </x14:slicerList>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19"/>
  <sheetViews>
    <sheetView workbookViewId="0">
      <selection activeCell="D9" sqref="D9"/>
    </sheetView>
  </sheetViews>
  <sheetFormatPr defaultRowHeight="14.5" x14ac:dyDescent="0.35"/>
  <cols>
    <col min="1" max="1" width="12.36328125" bestFit="1" customWidth="1"/>
    <col min="2" max="2" width="13.1796875" bestFit="1" customWidth="1"/>
    <col min="3" max="3" width="14.36328125" bestFit="1" customWidth="1"/>
    <col min="4" max="4" width="13.08984375" bestFit="1" customWidth="1"/>
    <col min="5" max="5" width="14.26953125" bestFit="1" customWidth="1"/>
    <col min="6" max="6" width="23" bestFit="1" customWidth="1"/>
    <col min="7" max="7" width="24.1796875" bestFit="1" customWidth="1"/>
    <col min="8" max="8" width="21.54296875" bestFit="1" customWidth="1"/>
    <col min="9" max="10" width="22.7265625" bestFit="1" customWidth="1"/>
    <col min="11" max="16" width="3.81640625" bestFit="1" customWidth="1"/>
    <col min="17" max="17" width="14.36328125" bestFit="1" customWidth="1"/>
    <col min="18" max="19" width="1.90625" bestFit="1" customWidth="1"/>
    <col min="20" max="20" width="1.81640625" bestFit="1" customWidth="1"/>
    <col min="21" max="21" width="1.7265625" bestFit="1" customWidth="1"/>
    <col min="22" max="22" width="2.08984375" bestFit="1" customWidth="1"/>
    <col min="23" max="23" width="1.453125" bestFit="1" customWidth="1"/>
    <col min="24" max="24" width="1.90625" bestFit="1" customWidth="1"/>
    <col min="25" max="25" width="1.6328125" bestFit="1" customWidth="1"/>
    <col min="26" max="26" width="2.54296875" bestFit="1" customWidth="1"/>
    <col min="27" max="27" width="2.08984375" bestFit="1" customWidth="1"/>
    <col min="28" max="29" width="1.90625" bestFit="1" customWidth="1"/>
    <col min="30" max="30" width="1.7265625" bestFit="1" customWidth="1"/>
    <col min="31" max="31" width="1.81640625" bestFit="1" customWidth="1"/>
    <col min="32" max="32" width="13.08984375" bestFit="1" customWidth="1"/>
    <col min="33" max="33" width="2.81640625" bestFit="1" customWidth="1"/>
    <col min="34" max="34" width="3.81640625" bestFit="1" customWidth="1"/>
    <col min="35" max="35" width="1.81640625" bestFit="1" customWidth="1"/>
    <col min="36" max="37" width="2.81640625" bestFit="1" customWidth="1"/>
    <col min="38" max="38" width="1.453125" bestFit="1" customWidth="1"/>
    <col min="39" max="39" width="1.90625" bestFit="1" customWidth="1"/>
    <col min="40" max="40" width="2.81640625" bestFit="1" customWidth="1"/>
    <col min="41" max="41" width="2.54296875" bestFit="1" customWidth="1"/>
    <col min="42" max="42" width="2.08984375" bestFit="1" customWidth="1"/>
    <col min="43" max="44" width="1.90625" bestFit="1" customWidth="1"/>
    <col min="45" max="46" width="1.81640625" bestFit="1" customWidth="1"/>
    <col min="47" max="47" width="14.26953125" bestFit="1" customWidth="1"/>
    <col min="48" max="49" width="1.90625" bestFit="1" customWidth="1"/>
    <col min="50" max="50" width="1.81640625" bestFit="1" customWidth="1"/>
    <col min="51" max="51" width="1.7265625" bestFit="1" customWidth="1"/>
    <col min="52" max="52" width="2.08984375" bestFit="1" customWidth="1"/>
    <col min="53" max="53" width="1.453125" bestFit="1" customWidth="1"/>
    <col min="54" max="54" width="1.90625" bestFit="1" customWidth="1"/>
    <col min="55" max="55" width="1.6328125" bestFit="1" customWidth="1"/>
    <col min="56" max="56" width="2.54296875" bestFit="1" customWidth="1"/>
    <col min="57" max="57" width="2.08984375" bestFit="1" customWidth="1"/>
    <col min="58" max="59" width="1.90625" bestFit="1" customWidth="1"/>
    <col min="60" max="60" width="1.7265625" bestFit="1" customWidth="1"/>
    <col min="61" max="61" width="1.81640625" bestFit="1" customWidth="1"/>
    <col min="62" max="62" width="23" bestFit="1" customWidth="1"/>
    <col min="63" max="64" width="1.90625" bestFit="1" customWidth="1"/>
    <col min="65" max="65" width="1.81640625" bestFit="1" customWidth="1"/>
    <col min="66" max="66" width="1.7265625" bestFit="1" customWidth="1"/>
    <col min="67" max="67" width="2.08984375" bestFit="1" customWidth="1"/>
    <col min="68" max="68" width="1.453125" bestFit="1" customWidth="1"/>
    <col min="69" max="69" width="1.90625" bestFit="1" customWidth="1"/>
    <col min="70" max="70" width="1.6328125" bestFit="1" customWidth="1"/>
    <col min="71" max="71" width="2.54296875" bestFit="1" customWidth="1"/>
    <col min="72" max="72" width="2.08984375" bestFit="1" customWidth="1"/>
    <col min="73" max="74" width="1.90625" bestFit="1" customWidth="1"/>
    <col min="75" max="75" width="1.7265625" bestFit="1" customWidth="1"/>
    <col min="76" max="76" width="1.81640625" bestFit="1" customWidth="1"/>
    <col min="77" max="77" width="24.1796875" bestFit="1" customWidth="1"/>
    <col min="78" max="79" width="1.90625" bestFit="1" customWidth="1"/>
    <col min="80" max="80" width="1.81640625" bestFit="1" customWidth="1"/>
    <col min="81" max="81" width="1.7265625" bestFit="1" customWidth="1"/>
    <col min="82" max="82" width="2.08984375" bestFit="1" customWidth="1"/>
    <col min="83" max="83" width="1.453125" bestFit="1" customWidth="1"/>
    <col min="84" max="84" width="1.90625" bestFit="1" customWidth="1"/>
    <col min="85" max="85" width="1.6328125" bestFit="1" customWidth="1"/>
    <col min="86" max="86" width="2.54296875" bestFit="1" customWidth="1"/>
    <col min="87" max="87" width="2.08984375" bestFit="1" customWidth="1"/>
    <col min="88" max="89" width="1.90625" bestFit="1" customWidth="1"/>
    <col min="90" max="90" width="1.7265625" bestFit="1" customWidth="1"/>
    <col min="91" max="91" width="1.81640625" bestFit="1" customWidth="1"/>
    <col min="92" max="92" width="21.54296875" bestFit="1" customWidth="1"/>
    <col min="93" max="94" width="1.90625" bestFit="1" customWidth="1"/>
    <col min="95" max="95" width="1.81640625" bestFit="1" customWidth="1"/>
    <col min="96" max="96" width="1.7265625" bestFit="1" customWidth="1"/>
    <col min="97" max="97" width="2.08984375" bestFit="1" customWidth="1"/>
    <col min="98" max="98" width="1.453125" bestFit="1" customWidth="1"/>
    <col min="99" max="99" width="1.90625" bestFit="1" customWidth="1"/>
    <col min="100" max="100" width="1.81640625" bestFit="1" customWidth="1"/>
    <col min="101" max="101" width="2.54296875" bestFit="1" customWidth="1"/>
    <col min="102" max="102" width="2.08984375" bestFit="1" customWidth="1"/>
    <col min="103" max="104" width="1.90625" bestFit="1" customWidth="1"/>
    <col min="105" max="105" width="1.7265625" bestFit="1" customWidth="1"/>
    <col min="106" max="106" width="1.81640625" bestFit="1" customWidth="1"/>
    <col min="107" max="107" width="22.7265625" bestFit="1" customWidth="1"/>
    <col min="108" max="109" width="1.90625" bestFit="1" customWidth="1"/>
    <col min="110" max="110" width="1.81640625" bestFit="1" customWidth="1"/>
    <col min="111" max="111" width="1.7265625" bestFit="1" customWidth="1"/>
    <col min="112" max="112" width="2.08984375" bestFit="1" customWidth="1"/>
    <col min="113" max="113" width="1.453125" bestFit="1" customWidth="1"/>
    <col min="114" max="114" width="1.90625" bestFit="1" customWidth="1"/>
    <col min="115" max="115" width="1.6328125" bestFit="1" customWidth="1"/>
    <col min="116" max="116" width="2.54296875" bestFit="1" customWidth="1"/>
    <col min="117" max="117" width="2.08984375" bestFit="1" customWidth="1"/>
    <col min="118" max="119" width="1.90625" bestFit="1" customWidth="1"/>
    <col min="120" max="120" width="1.7265625" bestFit="1" customWidth="1"/>
    <col min="121" max="121" width="1.81640625" bestFit="1" customWidth="1"/>
    <col min="122" max="122" width="18" bestFit="1" customWidth="1"/>
    <col min="123" max="123" width="19.1796875" bestFit="1" customWidth="1"/>
    <col min="124" max="124" width="17.90625" bestFit="1" customWidth="1"/>
    <col min="125" max="125" width="19.08984375" bestFit="1" customWidth="1"/>
    <col min="126" max="126" width="27.81640625" bestFit="1" customWidth="1"/>
    <col min="127" max="127" width="29" bestFit="1" customWidth="1"/>
    <col min="128" max="128" width="26.36328125" bestFit="1" customWidth="1"/>
    <col min="129" max="129" width="27.54296875" bestFit="1" customWidth="1"/>
  </cols>
  <sheetData>
    <row r="1" spans="1:9" x14ac:dyDescent="0.35">
      <c r="A1" s="459" t="s">
        <v>1</v>
      </c>
      <c r="B1" t="s">
        <v>951</v>
      </c>
    </row>
    <row r="3" spans="1:9" x14ac:dyDescent="0.35">
      <c r="A3" s="459" t="s">
        <v>234</v>
      </c>
      <c r="B3" t="s">
        <v>396</v>
      </c>
      <c r="C3" t="s">
        <v>397</v>
      </c>
      <c r="D3" t="s">
        <v>398</v>
      </c>
      <c r="E3" t="s">
        <v>399</v>
      </c>
      <c r="F3" t="s">
        <v>400</v>
      </c>
      <c r="G3" t="s">
        <v>402</v>
      </c>
      <c r="H3" t="s">
        <v>401</v>
      </c>
      <c r="I3" t="s">
        <v>403</v>
      </c>
    </row>
    <row r="4" spans="1:9" x14ac:dyDescent="0.35">
      <c r="A4" s="1000" t="s">
        <v>381</v>
      </c>
      <c r="B4" s="461">
        <v>212</v>
      </c>
      <c r="C4" s="461">
        <v>1131.5</v>
      </c>
      <c r="D4" s="461">
        <v>8</v>
      </c>
      <c r="E4" s="461">
        <v>173</v>
      </c>
      <c r="F4" s="461"/>
      <c r="G4" s="461"/>
      <c r="H4" s="461"/>
      <c r="I4" s="461"/>
    </row>
    <row r="5" spans="1:9" x14ac:dyDescent="0.35">
      <c r="A5" s="1000" t="s">
        <v>382</v>
      </c>
      <c r="B5" s="461">
        <v>1326</v>
      </c>
      <c r="C5" s="461">
        <v>7506.25</v>
      </c>
      <c r="D5" s="461">
        <v>16</v>
      </c>
      <c r="E5" s="461">
        <v>203.5</v>
      </c>
      <c r="F5" s="461"/>
      <c r="G5" s="461"/>
      <c r="H5" s="461"/>
      <c r="I5" s="461"/>
    </row>
    <row r="6" spans="1:9" x14ac:dyDescent="0.35">
      <c r="A6" s="1000" t="s">
        <v>383</v>
      </c>
      <c r="B6" s="461">
        <v>774</v>
      </c>
      <c r="C6" s="461">
        <v>2858.25</v>
      </c>
      <c r="D6" s="461">
        <v>35</v>
      </c>
      <c r="E6" s="461">
        <v>369.5</v>
      </c>
      <c r="F6" s="461">
        <v>1</v>
      </c>
      <c r="G6" s="461">
        <v>41.25</v>
      </c>
      <c r="H6" s="461"/>
      <c r="I6" s="461"/>
    </row>
    <row r="7" spans="1:9" x14ac:dyDescent="0.35">
      <c r="A7" s="1000" t="s">
        <v>384</v>
      </c>
      <c r="B7" s="461">
        <v>34</v>
      </c>
      <c r="C7" s="461">
        <v>117</v>
      </c>
      <c r="D7" s="461">
        <v>3</v>
      </c>
      <c r="E7" s="461">
        <v>48.75</v>
      </c>
      <c r="F7" s="461"/>
      <c r="G7" s="461"/>
      <c r="H7" s="461"/>
      <c r="I7" s="461"/>
    </row>
    <row r="8" spans="1:9" x14ac:dyDescent="0.35">
      <c r="A8" s="1000" t="s">
        <v>385</v>
      </c>
      <c r="B8" s="461">
        <v>206</v>
      </c>
      <c r="C8" s="461">
        <v>1195.25</v>
      </c>
      <c r="D8" s="461">
        <v>24</v>
      </c>
      <c r="E8" s="461">
        <v>285.25</v>
      </c>
      <c r="F8" s="461">
        <v>1</v>
      </c>
      <c r="G8" s="461">
        <v>54.5</v>
      </c>
      <c r="H8" s="461"/>
      <c r="I8" s="461"/>
    </row>
    <row r="9" spans="1:9" x14ac:dyDescent="0.35">
      <c r="A9" s="1000" t="s">
        <v>386</v>
      </c>
      <c r="B9" s="461">
        <v>109</v>
      </c>
      <c r="C9" s="461">
        <v>561.5</v>
      </c>
      <c r="D9" s="461">
        <v>6</v>
      </c>
      <c r="E9" s="461">
        <v>63.5</v>
      </c>
      <c r="F9" s="461">
        <v>1</v>
      </c>
      <c r="G9" s="461">
        <v>27.5</v>
      </c>
      <c r="H9" s="461"/>
      <c r="I9" s="461"/>
    </row>
    <row r="10" spans="1:9" x14ac:dyDescent="0.35">
      <c r="A10" s="1000" t="s">
        <v>387</v>
      </c>
      <c r="B10" s="461">
        <v>10</v>
      </c>
      <c r="C10" s="461">
        <v>66.5</v>
      </c>
      <c r="D10" s="461"/>
      <c r="E10" s="461"/>
      <c r="F10" s="461"/>
      <c r="G10" s="461"/>
      <c r="H10" s="461"/>
      <c r="I10" s="461"/>
    </row>
    <row r="11" spans="1:9" x14ac:dyDescent="0.35">
      <c r="A11" s="1000" t="s">
        <v>388</v>
      </c>
      <c r="B11" s="461">
        <v>6</v>
      </c>
      <c r="C11" s="461">
        <v>28</v>
      </c>
      <c r="D11" s="461"/>
      <c r="E11" s="461"/>
      <c r="F11" s="461"/>
      <c r="G11" s="461"/>
      <c r="H11" s="461"/>
      <c r="I11" s="461"/>
    </row>
    <row r="12" spans="1:9" x14ac:dyDescent="0.35">
      <c r="A12" s="1000" t="s">
        <v>389</v>
      </c>
      <c r="B12" s="461">
        <v>67</v>
      </c>
      <c r="C12" s="461">
        <v>372.75</v>
      </c>
      <c r="D12" s="461">
        <v>6</v>
      </c>
      <c r="E12" s="461">
        <v>50</v>
      </c>
      <c r="F12" s="461"/>
      <c r="G12" s="461"/>
      <c r="H12" s="461">
        <v>1</v>
      </c>
      <c r="I12" s="461"/>
    </row>
    <row r="13" spans="1:9" x14ac:dyDescent="0.35">
      <c r="A13" s="1000" t="s">
        <v>390</v>
      </c>
      <c r="B13" s="461">
        <v>66</v>
      </c>
      <c r="C13" s="461">
        <v>355.25</v>
      </c>
      <c r="D13" s="461">
        <v>1</v>
      </c>
      <c r="E13" s="461">
        <v>31.25</v>
      </c>
      <c r="F13" s="461"/>
      <c r="G13" s="461"/>
      <c r="H13" s="461"/>
      <c r="I13" s="461"/>
    </row>
    <row r="14" spans="1:9" x14ac:dyDescent="0.35">
      <c r="A14" s="1000" t="s">
        <v>391</v>
      </c>
      <c r="B14" s="461">
        <v>119</v>
      </c>
      <c r="C14" s="461">
        <v>667.5</v>
      </c>
      <c r="D14" s="461">
        <v>6</v>
      </c>
      <c r="E14" s="461">
        <v>56.25</v>
      </c>
      <c r="F14" s="461"/>
      <c r="G14" s="461"/>
      <c r="H14" s="461">
        <v>1</v>
      </c>
      <c r="I14" s="461">
        <v>4</v>
      </c>
    </row>
    <row r="15" spans="1:9" x14ac:dyDescent="0.35">
      <c r="A15" s="1000" t="s">
        <v>392</v>
      </c>
      <c r="B15" s="461">
        <v>59</v>
      </c>
      <c r="C15" s="461">
        <v>366.5</v>
      </c>
      <c r="D15" s="461">
        <v>3</v>
      </c>
      <c r="E15" s="461">
        <v>27.25</v>
      </c>
      <c r="F15" s="461"/>
      <c r="G15" s="461"/>
      <c r="H15" s="461"/>
      <c r="I15" s="461"/>
    </row>
    <row r="16" spans="1:9" x14ac:dyDescent="0.35">
      <c r="A16" s="1000" t="s">
        <v>393</v>
      </c>
      <c r="B16" s="461">
        <v>82</v>
      </c>
      <c r="C16" s="461">
        <v>493.75</v>
      </c>
      <c r="D16" s="461">
        <v>2</v>
      </c>
      <c r="E16" s="461">
        <v>11.25</v>
      </c>
      <c r="F16" s="461"/>
      <c r="G16" s="461"/>
      <c r="H16" s="461"/>
      <c r="I16" s="461"/>
    </row>
    <row r="17" spans="1:9" x14ac:dyDescent="0.35">
      <c r="A17" s="1000" t="s">
        <v>394</v>
      </c>
      <c r="B17" s="461">
        <v>62</v>
      </c>
      <c r="C17" s="461">
        <v>288.25</v>
      </c>
      <c r="D17" s="461"/>
      <c r="E17" s="461"/>
      <c r="F17" s="461"/>
      <c r="G17" s="461"/>
      <c r="H17" s="461"/>
      <c r="I17" s="461"/>
    </row>
    <row r="18" spans="1:9" x14ac:dyDescent="0.35">
      <c r="A18" s="1000" t="s">
        <v>395</v>
      </c>
      <c r="B18" s="461">
        <v>48</v>
      </c>
      <c r="C18" s="461">
        <v>270.5</v>
      </c>
      <c r="D18" s="461">
        <v>2</v>
      </c>
      <c r="E18" s="461">
        <v>19.25</v>
      </c>
      <c r="F18" s="461"/>
      <c r="G18" s="461"/>
      <c r="H18" s="461">
        <v>1</v>
      </c>
      <c r="I18" s="461">
        <v>20</v>
      </c>
    </row>
    <row r="19" spans="1:9" x14ac:dyDescent="0.35">
      <c r="A19" s="1000" t="s">
        <v>239</v>
      </c>
      <c r="B19" s="461">
        <v>3180</v>
      </c>
      <c r="C19" s="461">
        <v>16278.75</v>
      </c>
      <c r="D19" s="461">
        <v>112</v>
      </c>
      <c r="E19" s="461">
        <v>1338.75</v>
      </c>
      <c r="F19" s="461">
        <v>3</v>
      </c>
      <c r="G19" s="461">
        <v>123.25</v>
      </c>
      <c r="H19" s="461">
        <v>3</v>
      </c>
      <c r="I19" s="461">
        <v>24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106"/>
  <sheetViews>
    <sheetView topLeftCell="A50" workbookViewId="0">
      <selection activeCell="D65" sqref="D65"/>
    </sheetView>
  </sheetViews>
  <sheetFormatPr defaultRowHeight="14.5" x14ac:dyDescent="0.35"/>
  <cols>
    <col min="1" max="1" width="7.453125" bestFit="1" customWidth="1"/>
    <col min="2" max="2" width="7" bestFit="1" customWidth="1"/>
    <col min="3" max="3" width="27.453125" bestFit="1" customWidth="1"/>
    <col min="4" max="4" width="9.08984375" bestFit="1" customWidth="1"/>
    <col min="5" max="5" width="10.26953125" bestFit="1" customWidth="1"/>
    <col min="6" max="6" width="9" bestFit="1" customWidth="1"/>
    <col min="7" max="7" width="10.1796875" bestFit="1" customWidth="1"/>
    <col min="8" max="8" width="18.81640625" bestFit="1" customWidth="1"/>
    <col min="9" max="9" width="20.08984375" bestFit="1" customWidth="1"/>
    <col min="10" max="10" width="17.36328125" bestFit="1" customWidth="1"/>
    <col min="11" max="11" width="18.54296875" bestFit="1" customWidth="1"/>
  </cols>
  <sheetData>
    <row r="1" spans="1:11" x14ac:dyDescent="0.35">
      <c r="A1" s="461" t="s">
        <v>312</v>
      </c>
      <c r="B1" s="461" t="s">
        <v>994</v>
      </c>
      <c r="C1" s="461" t="s">
        <v>162</v>
      </c>
      <c r="D1" s="461" t="s">
        <v>985</v>
      </c>
      <c r="E1" s="461" t="s">
        <v>986</v>
      </c>
      <c r="F1" s="461" t="s">
        <v>987</v>
      </c>
      <c r="G1" s="461" t="s">
        <v>988</v>
      </c>
      <c r="H1" s="461" t="s">
        <v>989</v>
      </c>
      <c r="I1" s="461" t="s">
        <v>990</v>
      </c>
      <c r="J1" s="461" t="s">
        <v>991</v>
      </c>
      <c r="K1" s="461" t="s">
        <v>992</v>
      </c>
    </row>
    <row r="2" spans="1:11" x14ac:dyDescent="0.35">
      <c r="A2" s="461" t="s">
        <v>193</v>
      </c>
      <c r="B2" s="461" t="s">
        <v>381</v>
      </c>
      <c r="C2" s="461" t="s">
        <v>135</v>
      </c>
      <c r="D2" s="461">
        <v>330</v>
      </c>
      <c r="E2" s="461">
        <v>2088.25</v>
      </c>
      <c r="F2" s="461">
        <v>4</v>
      </c>
      <c r="G2" s="461">
        <v>37.5</v>
      </c>
      <c r="H2" s="461"/>
      <c r="I2" s="461"/>
      <c r="J2" s="461"/>
      <c r="K2" s="461"/>
    </row>
    <row r="3" spans="1:11" x14ac:dyDescent="0.35">
      <c r="A3" s="461" t="s">
        <v>193</v>
      </c>
      <c r="B3" s="461" t="s">
        <v>382</v>
      </c>
      <c r="C3" s="461" t="s">
        <v>136</v>
      </c>
      <c r="D3" s="461">
        <v>1456</v>
      </c>
      <c r="E3" s="461">
        <v>8821.25</v>
      </c>
      <c r="F3" s="461">
        <v>50</v>
      </c>
      <c r="G3" s="461">
        <v>482.25</v>
      </c>
      <c r="H3" s="461">
        <v>1</v>
      </c>
      <c r="I3" s="461">
        <v>31</v>
      </c>
      <c r="J3" s="461"/>
      <c r="K3" s="461"/>
    </row>
    <row r="4" spans="1:11" x14ac:dyDescent="0.35">
      <c r="A4" s="461" t="s">
        <v>193</v>
      </c>
      <c r="B4" s="461" t="s">
        <v>383</v>
      </c>
      <c r="C4" s="461" t="s">
        <v>152</v>
      </c>
      <c r="D4" s="461">
        <v>1871</v>
      </c>
      <c r="E4" s="461">
        <v>7024.75</v>
      </c>
      <c r="F4" s="461">
        <v>76</v>
      </c>
      <c r="G4" s="461">
        <v>361.75</v>
      </c>
      <c r="H4" s="461">
        <v>2</v>
      </c>
      <c r="I4" s="461">
        <v>19.25</v>
      </c>
      <c r="J4" s="461">
        <v>1</v>
      </c>
      <c r="K4" s="461">
        <v>7.5</v>
      </c>
    </row>
    <row r="5" spans="1:11" x14ac:dyDescent="0.35">
      <c r="A5" s="461" t="s">
        <v>193</v>
      </c>
      <c r="B5" s="461" t="s">
        <v>384</v>
      </c>
      <c r="C5" s="461" t="s">
        <v>137</v>
      </c>
      <c r="D5" s="461">
        <v>127</v>
      </c>
      <c r="E5" s="461">
        <v>588.75</v>
      </c>
      <c r="F5" s="461">
        <v>11</v>
      </c>
      <c r="G5" s="461">
        <v>66.25</v>
      </c>
      <c r="H5" s="461"/>
      <c r="I5" s="461"/>
      <c r="J5" s="461">
        <v>1</v>
      </c>
      <c r="K5" s="461">
        <v>5.5</v>
      </c>
    </row>
    <row r="6" spans="1:11" x14ac:dyDescent="0.35">
      <c r="A6" s="461" t="s">
        <v>193</v>
      </c>
      <c r="B6" s="461" t="s">
        <v>385</v>
      </c>
      <c r="C6" s="461" t="s">
        <v>138</v>
      </c>
      <c r="D6" s="461">
        <v>1022</v>
      </c>
      <c r="E6" s="461">
        <v>6361.5</v>
      </c>
      <c r="F6" s="461">
        <v>87</v>
      </c>
      <c r="G6" s="461">
        <v>868.25</v>
      </c>
      <c r="H6" s="461">
        <v>6</v>
      </c>
      <c r="I6" s="461">
        <v>150.5</v>
      </c>
      <c r="J6" s="461"/>
      <c r="K6" s="461"/>
    </row>
    <row r="7" spans="1:11" x14ac:dyDescent="0.35">
      <c r="A7" s="461" t="s">
        <v>193</v>
      </c>
      <c r="B7" s="461" t="s">
        <v>386</v>
      </c>
      <c r="C7" s="461" t="s">
        <v>139</v>
      </c>
      <c r="D7" s="461">
        <v>234</v>
      </c>
      <c r="E7" s="461">
        <v>1136.75</v>
      </c>
      <c r="F7" s="461">
        <v>17</v>
      </c>
      <c r="G7" s="461">
        <v>120</v>
      </c>
      <c r="H7" s="461"/>
      <c r="I7" s="461"/>
      <c r="J7" s="461"/>
      <c r="K7" s="461"/>
    </row>
    <row r="8" spans="1:11" x14ac:dyDescent="0.35">
      <c r="A8" s="461" t="s">
        <v>193</v>
      </c>
      <c r="B8" s="461" t="s">
        <v>387</v>
      </c>
      <c r="C8" s="461" t="s">
        <v>140</v>
      </c>
      <c r="D8" s="461">
        <v>27</v>
      </c>
      <c r="E8" s="461">
        <v>201</v>
      </c>
      <c r="F8" s="461">
        <v>1</v>
      </c>
      <c r="G8" s="461">
        <v>4.75</v>
      </c>
      <c r="H8" s="461"/>
      <c r="I8" s="461"/>
      <c r="J8" s="461"/>
      <c r="K8" s="461"/>
    </row>
    <row r="9" spans="1:11" x14ac:dyDescent="0.35">
      <c r="A9" s="461" t="s">
        <v>193</v>
      </c>
      <c r="B9" s="461" t="s">
        <v>388</v>
      </c>
      <c r="C9" s="461" t="s">
        <v>141</v>
      </c>
      <c r="D9" s="461">
        <v>67</v>
      </c>
      <c r="E9" s="461">
        <v>370.5</v>
      </c>
      <c r="F9" s="461">
        <v>1</v>
      </c>
      <c r="G9" s="461">
        <v>7.25</v>
      </c>
      <c r="H9" s="461"/>
      <c r="I9" s="461"/>
      <c r="J9" s="461"/>
      <c r="K9" s="461"/>
    </row>
    <row r="10" spans="1:11" x14ac:dyDescent="0.35">
      <c r="A10" s="461" t="s">
        <v>193</v>
      </c>
      <c r="B10" s="461" t="s">
        <v>389</v>
      </c>
      <c r="C10" s="461" t="s">
        <v>142</v>
      </c>
      <c r="D10" s="461">
        <v>553</v>
      </c>
      <c r="E10" s="461">
        <v>2713</v>
      </c>
      <c r="F10" s="461">
        <v>43</v>
      </c>
      <c r="G10" s="461">
        <v>383.25</v>
      </c>
      <c r="H10" s="461"/>
      <c r="I10" s="461"/>
      <c r="J10" s="461"/>
      <c r="K10" s="461"/>
    </row>
    <row r="11" spans="1:11" x14ac:dyDescent="0.35">
      <c r="A11" s="461" t="s">
        <v>193</v>
      </c>
      <c r="B11" s="461" t="s">
        <v>390</v>
      </c>
      <c r="C11" s="461" t="s">
        <v>143</v>
      </c>
      <c r="D11" s="461">
        <v>257</v>
      </c>
      <c r="E11" s="461">
        <v>1527</v>
      </c>
      <c r="F11" s="461">
        <v>3</v>
      </c>
      <c r="G11" s="461">
        <v>23.5</v>
      </c>
      <c r="H11" s="461"/>
      <c r="I11" s="461"/>
      <c r="J11" s="461"/>
      <c r="K11" s="461"/>
    </row>
    <row r="12" spans="1:11" x14ac:dyDescent="0.35">
      <c r="A12" s="461" t="s">
        <v>193</v>
      </c>
      <c r="B12" s="461" t="s">
        <v>391</v>
      </c>
      <c r="C12" s="461" t="s">
        <v>144</v>
      </c>
      <c r="D12" s="461">
        <v>644</v>
      </c>
      <c r="E12" s="461">
        <v>3222.75</v>
      </c>
      <c r="F12" s="461">
        <v>39</v>
      </c>
      <c r="G12" s="461">
        <v>284.75</v>
      </c>
      <c r="H12" s="461"/>
      <c r="I12" s="461"/>
      <c r="J12" s="461"/>
      <c r="K12" s="461"/>
    </row>
    <row r="13" spans="1:11" x14ac:dyDescent="0.35">
      <c r="A13" s="461" t="s">
        <v>193</v>
      </c>
      <c r="B13" s="461" t="s">
        <v>392</v>
      </c>
      <c r="C13" s="461" t="s">
        <v>145</v>
      </c>
      <c r="D13" s="461">
        <v>343</v>
      </c>
      <c r="E13" s="461">
        <v>1793.75</v>
      </c>
      <c r="F13" s="461">
        <v>13</v>
      </c>
      <c r="G13" s="461">
        <v>95</v>
      </c>
      <c r="H13" s="461"/>
      <c r="I13" s="461"/>
      <c r="J13" s="461">
        <v>1</v>
      </c>
      <c r="K13" s="461">
        <v>12.5</v>
      </c>
    </row>
    <row r="14" spans="1:11" x14ac:dyDescent="0.35">
      <c r="A14" s="461" t="s">
        <v>193</v>
      </c>
      <c r="B14" s="461" t="s">
        <v>393</v>
      </c>
      <c r="C14" s="461" t="s">
        <v>146</v>
      </c>
      <c r="D14" s="461">
        <v>388</v>
      </c>
      <c r="E14" s="461">
        <v>2008.75</v>
      </c>
      <c r="F14" s="461">
        <v>24</v>
      </c>
      <c r="G14" s="461">
        <v>214.75</v>
      </c>
      <c r="H14" s="461"/>
      <c r="I14" s="461"/>
      <c r="J14" s="461"/>
      <c r="K14" s="461"/>
    </row>
    <row r="15" spans="1:11" x14ac:dyDescent="0.35">
      <c r="A15" s="461" t="s">
        <v>193</v>
      </c>
      <c r="B15" s="461" t="s">
        <v>394</v>
      </c>
      <c r="C15" s="461" t="s">
        <v>147</v>
      </c>
      <c r="D15" s="461">
        <v>333</v>
      </c>
      <c r="E15" s="461">
        <v>1754.75</v>
      </c>
      <c r="F15" s="461">
        <v>11</v>
      </c>
      <c r="G15" s="461">
        <v>75</v>
      </c>
      <c r="H15" s="461">
        <v>1</v>
      </c>
      <c r="I15" s="461">
        <v>5.5</v>
      </c>
      <c r="J15" s="461"/>
      <c r="K15" s="461"/>
    </row>
    <row r="16" spans="1:11" x14ac:dyDescent="0.35">
      <c r="A16" s="461" t="s">
        <v>193</v>
      </c>
      <c r="B16" s="461" t="s">
        <v>395</v>
      </c>
      <c r="C16" s="461" t="s">
        <v>981</v>
      </c>
      <c r="D16" s="461">
        <v>164</v>
      </c>
      <c r="E16" s="461">
        <v>872.25</v>
      </c>
      <c r="F16" s="461">
        <v>10</v>
      </c>
      <c r="G16" s="461">
        <v>110.25</v>
      </c>
      <c r="H16" s="461"/>
      <c r="I16" s="461"/>
      <c r="J16" s="461"/>
      <c r="K16" s="461"/>
    </row>
    <row r="17" spans="1:11" x14ac:dyDescent="0.35">
      <c r="A17" s="461" t="s">
        <v>192</v>
      </c>
      <c r="B17" s="461" t="s">
        <v>381</v>
      </c>
      <c r="C17" s="461" t="s">
        <v>135</v>
      </c>
      <c r="D17" s="461">
        <v>409</v>
      </c>
      <c r="E17" s="461">
        <v>2440</v>
      </c>
      <c r="F17" s="461">
        <v>42</v>
      </c>
      <c r="G17" s="461">
        <v>504.75</v>
      </c>
      <c r="H17" s="461">
        <v>1</v>
      </c>
      <c r="I17" s="461">
        <v>32</v>
      </c>
      <c r="J17" s="461"/>
      <c r="K17" s="461"/>
    </row>
    <row r="18" spans="1:11" x14ac:dyDescent="0.35">
      <c r="A18" s="461" t="s">
        <v>192</v>
      </c>
      <c r="B18" s="461" t="s">
        <v>382</v>
      </c>
      <c r="C18" s="461" t="s">
        <v>136</v>
      </c>
      <c r="D18" s="461">
        <v>1667</v>
      </c>
      <c r="E18" s="461">
        <v>9716.25</v>
      </c>
      <c r="F18" s="461">
        <v>93</v>
      </c>
      <c r="G18" s="461">
        <v>978.75</v>
      </c>
      <c r="H18" s="461">
        <v>3</v>
      </c>
      <c r="I18" s="461">
        <v>76.25</v>
      </c>
      <c r="J18" s="461"/>
      <c r="K18" s="461"/>
    </row>
    <row r="19" spans="1:11" x14ac:dyDescent="0.35">
      <c r="A19" s="461" t="s">
        <v>192</v>
      </c>
      <c r="B19" s="461" t="s">
        <v>383</v>
      </c>
      <c r="C19" s="461" t="s">
        <v>152</v>
      </c>
      <c r="D19">
        <v>2916</v>
      </c>
      <c r="E19">
        <v>10285.25</v>
      </c>
      <c r="F19">
        <v>146</v>
      </c>
      <c r="G19">
        <v>902.5</v>
      </c>
      <c r="H19">
        <v>2</v>
      </c>
      <c r="I19">
        <v>14.5</v>
      </c>
      <c r="J19">
        <v>1</v>
      </c>
      <c r="K19">
        <v>3.75</v>
      </c>
    </row>
    <row r="20" spans="1:11" x14ac:dyDescent="0.35">
      <c r="A20" s="461" t="s">
        <v>192</v>
      </c>
      <c r="B20" s="461" t="s">
        <v>384</v>
      </c>
      <c r="C20" s="461" t="s">
        <v>137</v>
      </c>
      <c r="D20">
        <v>109</v>
      </c>
      <c r="E20">
        <v>654.75</v>
      </c>
      <c r="F20">
        <v>10</v>
      </c>
      <c r="G20">
        <v>118.75</v>
      </c>
      <c r="H20">
        <v>1</v>
      </c>
      <c r="I20">
        <v>26.5</v>
      </c>
    </row>
    <row r="21" spans="1:11" x14ac:dyDescent="0.35">
      <c r="A21" s="461" t="s">
        <v>192</v>
      </c>
      <c r="B21" s="461" t="s">
        <v>385</v>
      </c>
      <c r="C21" s="461" t="s">
        <v>138</v>
      </c>
      <c r="D21">
        <v>1100</v>
      </c>
      <c r="E21">
        <v>6862.25</v>
      </c>
      <c r="F21">
        <v>163</v>
      </c>
      <c r="G21">
        <v>2008.25</v>
      </c>
      <c r="H21">
        <v>14</v>
      </c>
      <c r="I21">
        <v>436.5</v>
      </c>
    </row>
    <row r="22" spans="1:11" x14ac:dyDescent="0.35">
      <c r="A22" s="461" t="s">
        <v>192</v>
      </c>
      <c r="B22" s="461" t="s">
        <v>386</v>
      </c>
      <c r="C22" s="461" t="s">
        <v>139</v>
      </c>
      <c r="D22">
        <v>317</v>
      </c>
      <c r="E22">
        <v>1475</v>
      </c>
      <c r="F22">
        <v>34</v>
      </c>
      <c r="G22">
        <v>285.75</v>
      </c>
    </row>
    <row r="23" spans="1:11" x14ac:dyDescent="0.35">
      <c r="A23" s="461" t="s">
        <v>192</v>
      </c>
      <c r="B23" s="461" t="s">
        <v>387</v>
      </c>
      <c r="C23" s="461" t="s">
        <v>140</v>
      </c>
      <c r="D23">
        <v>35</v>
      </c>
      <c r="E23">
        <v>248.75</v>
      </c>
      <c r="F23">
        <v>1</v>
      </c>
      <c r="G23">
        <v>6.5</v>
      </c>
    </row>
    <row r="24" spans="1:11" x14ac:dyDescent="0.35">
      <c r="A24" s="461" t="s">
        <v>192</v>
      </c>
      <c r="B24" s="461" t="s">
        <v>388</v>
      </c>
      <c r="C24" s="461" t="s">
        <v>141</v>
      </c>
      <c r="D24">
        <v>48</v>
      </c>
      <c r="E24">
        <v>249.5</v>
      </c>
      <c r="F24">
        <v>1</v>
      </c>
      <c r="G24">
        <v>20.25</v>
      </c>
    </row>
    <row r="25" spans="1:11" x14ac:dyDescent="0.35">
      <c r="A25" s="461" t="s">
        <v>192</v>
      </c>
      <c r="B25" s="461" t="s">
        <v>389</v>
      </c>
      <c r="C25" s="461" t="s">
        <v>142</v>
      </c>
      <c r="D25">
        <v>437</v>
      </c>
      <c r="E25">
        <v>2243.5</v>
      </c>
      <c r="F25">
        <v>57</v>
      </c>
      <c r="G25">
        <v>475.25</v>
      </c>
      <c r="H25">
        <v>2</v>
      </c>
      <c r="I25">
        <v>26.25</v>
      </c>
    </row>
    <row r="26" spans="1:11" x14ac:dyDescent="0.35">
      <c r="A26" s="461" t="s">
        <v>192</v>
      </c>
      <c r="B26" s="461" t="s">
        <v>390</v>
      </c>
      <c r="C26" s="461" t="s">
        <v>143</v>
      </c>
      <c r="D26">
        <v>216</v>
      </c>
      <c r="E26">
        <v>1257</v>
      </c>
      <c r="F26">
        <v>12</v>
      </c>
      <c r="G26">
        <v>100</v>
      </c>
      <c r="J26">
        <v>1</v>
      </c>
      <c r="K26">
        <v>2.5</v>
      </c>
    </row>
    <row r="27" spans="1:11" x14ac:dyDescent="0.35">
      <c r="A27" s="461" t="s">
        <v>192</v>
      </c>
      <c r="B27" s="461" t="s">
        <v>391</v>
      </c>
      <c r="C27" s="461" t="s">
        <v>144</v>
      </c>
      <c r="D27">
        <v>598</v>
      </c>
      <c r="E27">
        <v>3214.5</v>
      </c>
      <c r="F27">
        <v>41</v>
      </c>
      <c r="G27">
        <v>283</v>
      </c>
      <c r="J27">
        <v>1</v>
      </c>
      <c r="K27">
        <v>11.5</v>
      </c>
    </row>
    <row r="28" spans="1:11" x14ac:dyDescent="0.35">
      <c r="A28" s="461" t="s">
        <v>192</v>
      </c>
      <c r="B28" s="461" t="s">
        <v>392</v>
      </c>
      <c r="C28" s="461" t="s">
        <v>145</v>
      </c>
      <c r="D28">
        <v>303</v>
      </c>
      <c r="E28">
        <v>1550.75</v>
      </c>
      <c r="F28">
        <v>17</v>
      </c>
      <c r="G28">
        <v>153</v>
      </c>
    </row>
    <row r="29" spans="1:11" x14ac:dyDescent="0.35">
      <c r="A29" s="461" t="s">
        <v>192</v>
      </c>
      <c r="B29" s="461" t="s">
        <v>393</v>
      </c>
      <c r="C29" s="461" t="s">
        <v>146</v>
      </c>
      <c r="D29">
        <v>476</v>
      </c>
      <c r="E29">
        <v>2044.25</v>
      </c>
      <c r="F29">
        <v>9</v>
      </c>
      <c r="G29">
        <v>74.75</v>
      </c>
    </row>
    <row r="30" spans="1:11" x14ac:dyDescent="0.35">
      <c r="A30" s="461" t="s">
        <v>192</v>
      </c>
      <c r="B30" s="461" t="s">
        <v>394</v>
      </c>
      <c r="C30" s="461" t="s">
        <v>147</v>
      </c>
      <c r="D30">
        <v>364</v>
      </c>
      <c r="E30">
        <v>1734.75</v>
      </c>
      <c r="F30">
        <v>15</v>
      </c>
      <c r="G30">
        <v>95.75</v>
      </c>
    </row>
    <row r="31" spans="1:11" x14ac:dyDescent="0.35">
      <c r="A31" s="461" t="s">
        <v>192</v>
      </c>
      <c r="B31" s="461" t="s">
        <v>395</v>
      </c>
      <c r="C31" s="461" t="s">
        <v>981</v>
      </c>
      <c r="D31">
        <v>190</v>
      </c>
      <c r="E31">
        <v>988.5</v>
      </c>
      <c r="F31">
        <v>8</v>
      </c>
      <c r="G31">
        <v>62.25</v>
      </c>
      <c r="J31">
        <v>1</v>
      </c>
      <c r="K31">
        <v>5.5</v>
      </c>
    </row>
    <row r="32" spans="1:11" x14ac:dyDescent="0.35">
      <c r="A32" s="461" t="s">
        <v>258</v>
      </c>
      <c r="B32" s="461" t="s">
        <v>381</v>
      </c>
      <c r="C32" s="461" t="s">
        <v>135</v>
      </c>
      <c r="D32">
        <v>359</v>
      </c>
      <c r="E32">
        <v>1911.75</v>
      </c>
      <c r="F32">
        <v>37</v>
      </c>
      <c r="G32">
        <v>370.75</v>
      </c>
    </row>
    <row r="33" spans="1:11" x14ac:dyDescent="0.35">
      <c r="A33" s="461" t="s">
        <v>258</v>
      </c>
      <c r="B33" s="461" t="s">
        <v>382</v>
      </c>
      <c r="C33" s="461" t="s">
        <v>136</v>
      </c>
      <c r="D33">
        <v>1660</v>
      </c>
      <c r="E33">
        <v>9324.75</v>
      </c>
      <c r="F33">
        <v>59</v>
      </c>
      <c r="G33">
        <v>711.5</v>
      </c>
    </row>
    <row r="34" spans="1:11" x14ac:dyDescent="0.35">
      <c r="A34" s="461" t="s">
        <v>258</v>
      </c>
      <c r="B34" s="461" t="s">
        <v>383</v>
      </c>
      <c r="C34" s="461" t="s">
        <v>152</v>
      </c>
      <c r="D34">
        <v>2531</v>
      </c>
      <c r="E34">
        <v>8986</v>
      </c>
      <c r="F34">
        <v>119</v>
      </c>
      <c r="G34">
        <v>614</v>
      </c>
      <c r="H34">
        <v>9</v>
      </c>
      <c r="I34">
        <v>69.25</v>
      </c>
      <c r="J34">
        <v>4</v>
      </c>
      <c r="K34">
        <v>22.25</v>
      </c>
    </row>
    <row r="35" spans="1:11" x14ac:dyDescent="0.35">
      <c r="A35" s="461" t="s">
        <v>258</v>
      </c>
      <c r="B35" s="461" t="s">
        <v>384</v>
      </c>
      <c r="C35" s="461" t="s">
        <v>137</v>
      </c>
      <c r="D35">
        <v>119</v>
      </c>
      <c r="E35">
        <v>607</v>
      </c>
      <c r="F35">
        <v>9</v>
      </c>
      <c r="G35">
        <v>83.5</v>
      </c>
      <c r="H35">
        <v>1</v>
      </c>
      <c r="I35">
        <v>6.75</v>
      </c>
    </row>
    <row r="36" spans="1:11" x14ac:dyDescent="0.35">
      <c r="A36" s="461" t="s">
        <v>258</v>
      </c>
      <c r="B36" s="461" t="s">
        <v>385</v>
      </c>
      <c r="C36" s="461" t="s">
        <v>138</v>
      </c>
      <c r="D36">
        <v>990</v>
      </c>
      <c r="E36">
        <v>5995.25</v>
      </c>
      <c r="F36">
        <v>148</v>
      </c>
      <c r="G36">
        <v>1626.25</v>
      </c>
      <c r="H36">
        <v>8</v>
      </c>
      <c r="I36">
        <v>268.5</v>
      </c>
      <c r="J36">
        <v>3</v>
      </c>
      <c r="K36">
        <v>20.75</v>
      </c>
    </row>
    <row r="37" spans="1:11" x14ac:dyDescent="0.35">
      <c r="A37" s="461" t="s">
        <v>258</v>
      </c>
      <c r="B37" s="461" t="s">
        <v>386</v>
      </c>
      <c r="C37" s="461" t="s">
        <v>139</v>
      </c>
      <c r="D37">
        <v>338</v>
      </c>
      <c r="E37">
        <v>1664</v>
      </c>
      <c r="F37">
        <v>33</v>
      </c>
      <c r="G37">
        <v>287.5</v>
      </c>
      <c r="H37">
        <v>2</v>
      </c>
      <c r="I37">
        <v>39</v>
      </c>
      <c r="J37">
        <v>2</v>
      </c>
      <c r="K37">
        <v>7.25</v>
      </c>
    </row>
    <row r="38" spans="1:11" x14ac:dyDescent="0.35">
      <c r="A38" s="461" t="s">
        <v>258</v>
      </c>
      <c r="B38" s="461" t="s">
        <v>387</v>
      </c>
      <c r="C38" s="461" t="s">
        <v>140</v>
      </c>
      <c r="D38">
        <v>20</v>
      </c>
      <c r="E38">
        <v>104.5</v>
      </c>
      <c r="F38">
        <v>1</v>
      </c>
      <c r="G38">
        <v>11.5</v>
      </c>
    </row>
    <row r="39" spans="1:11" x14ac:dyDescent="0.35">
      <c r="A39" s="461" t="s">
        <v>258</v>
      </c>
      <c r="B39" s="461" t="s">
        <v>388</v>
      </c>
      <c r="C39" s="461" t="s">
        <v>141</v>
      </c>
      <c r="D39">
        <v>63</v>
      </c>
      <c r="E39">
        <v>340.5</v>
      </c>
      <c r="F39">
        <v>3</v>
      </c>
      <c r="G39">
        <v>33.25</v>
      </c>
    </row>
    <row r="40" spans="1:11" x14ac:dyDescent="0.35">
      <c r="A40" s="461" t="s">
        <v>258</v>
      </c>
      <c r="B40" s="461" t="s">
        <v>389</v>
      </c>
      <c r="C40" s="461" t="s">
        <v>142</v>
      </c>
      <c r="D40">
        <v>421</v>
      </c>
      <c r="E40">
        <v>2155.5</v>
      </c>
      <c r="F40">
        <v>61</v>
      </c>
      <c r="G40">
        <v>470.25</v>
      </c>
      <c r="H40">
        <v>1</v>
      </c>
      <c r="I40">
        <v>11.75</v>
      </c>
      <c r="J40">
        <v>1</v>
      </c>
      <c r="K40">
        <v>8.5</v>
      </c>
    </row>
    <row r="41" spans="1:11" x14ac:dyDescent="0.35">
      <c r="A41" s="461" t="s">
        <v>258</v>
      </c>
      <c r="B41" s="461" t="s">
        <v>390</v>
      </c>
      <c r="C41" s="461" t="s">
        <v>143</v>
      </c>
      <c r="D41">
        <v>350</v>
      </c>
      <c r="E41">
        <v>2174</v>
      </c>
      <c r="F41">
        <v>13</v>
      </c>
      <c r="G41">
        <v>160.75</v>
      </c>
    </row>
    <row r="42" spans="1:11" x14ac:dyDescent="0.35">
      <c r="A42" s="461" t="s">
        <v>258</v>
      </c>
      <c r="B42" s="461" t="s">
        <v>391</v>
      </c>
      <c r="C42" s="461" t="s">
        <v>144</v>
      </c>
      <c r="D42">
        <v>497</v>
      </c>
      <c r="E42">
        <v>2570.75</v>
      </c>
      <c r="F42">
        <v>26</v>
      </c>
      <c r="G42">
        <v>227.75</v>
      </c>
      <c r="J42">
        <v>2</v>
      </c>
      <c r="K42">
        <v>13.5</v>
      </c>
    </row>
    <row r="43" spans="1:11" x14ac:dyDescent="0.35">
      <c r="A43" s="461" t="s">
        <v>258</v>
      </c>
      <c r="B43" s="461" t="s">
        <v>392</v>
      </c>
      <c r="C43" s="461" t="s">
        <v>145</v>
      </c>
      <c r="D43">
        <v>221</v>
      </c>
      <c r="E43">
        <v>1244.75</v>
      </c>
      <c r="F43">
        <v>14</v>
      </c>
      <c r="G43">
        <v>103.25</v>
      </c>
    </row>
    <row r="44" spans="1:11" x14ac:dyDescent="0.35">
      <c r="A44" s="461" t="s">
        <v>258</v>
      </c>
      <c r="B44" s="461" t="s">
        <v>393</v>
      </c>
      <c r="C44" s="461" t="s">
        <v>146</v>
      </c>
      <c r="D44">
        <v>319</v>
      </c>
      <c r="E44">
        <v>1744</v>
      </c>
      <c r="F44">
        <v>10</v>
      </c>
      <c r="G44">
        <v>102.75</v>
      </c>
    </row>
    <row r="45" spans="1:11" x14ac:dyDescent="0.35">
      <c r="A45" s="461" t="s">
        <v>258</v>
      </c>
      <c r="B45" s="461" t="s">
        <v>394</v>
      </c>
      <c r="C45" s="461" t="s">
        <v>147</v>
      </c>
      <c r="D45">
        <v>264</v>
      </c>
      <c r="E45">
        <v>1213.5</v>
      </c>
      <c r="F45">
        <v>11</v>
      </c>
      <c r="G45">
        <v>97.25</v>
      </c>
    </row>
    <row r="46" spans="1:11" x14ac:dyDescent="0.35">
      <c r="A46" s="461" t="s">
        <v>258</v>
      </c>
      <c r="B46" s="461" t="s">
        <v>395</v>
      </c>
      <c r="C46" s="461" t="s">
        <v>981</v>
      </c>
      <c r="D46">
        <v>233</v>
      </c>
      <c r="E46">
        <v>1339.75</v>
      </c>
      <c r="F46">
        <v>10</v>
      </c>
      <c r="G46">
        <v>90.5</v>
      </c>
    </row>
    <row r="47" spans="1:11" x14ac:dyDescent="0.35">
      <c r="A47" s="461" t="s">
        <v>242</v>
      </c>
      <c r="B47" s="461" t="s">
        <v>381</v>
      </c>
      <c r="C47" s="461" t="s">
        <v>135</v>
      </c>
      <c r="D47">
        <v>342</v>
      </c>
      <c r="E47">
        <v>1662</v>
      </c>
      <c r="F47">
        <v>25</v>
      </c>
      <c r="G47">
        <v>274.25</v>
      </c>
    </row>
    <row r="48" spans="1:11" x14ac:dyDescent="0.35">
      <c r="A48" s="461" t="s">
        <v>242</v>
      </c>
      <c r="B48" s="461" t="s">
        <v>382</v>
      </c>
      <c r="C48" s="461" t="s">
        <v>136</v>
      </c>
      <c r="D48">
        <v>1599</v>
      </c>
      <c r="E48">
        <v>8671.5</v>
      </c>
      <c r="F48">
        <v>54</v>
      </c>
      <c r="G48">
        <v>593.75</v>
      </c>
    </row>
    <row r="49" spans="1:11" x14ac:dyDescent="0.35">
      <c r="A49" s="461" t="s">
        <v>242</v>
      </c>
      <c r="B49" s="461" t="s">
        <v>383</v>
      </c>
      <c r="C49" s="461" t="s">
        <v>152</v>
      </c>
      <c r="D49">
        <v>1986</v>
      </c>
      <c r="E49">
        <v>7167.75</v>
      </c>
      <c r="F49">
        <v>91</v>
      </c>
      <c r="G49">
        <v>794.5</v>
      </c>
      <c r="H49">
        <v>2</v>
      </c>
      <c r="I49">
        <v>51.75</v>
      </c>
      <c r="J49">
        <v>4</v>
      </c>
      <c r="K49">
        <v>16.25</v>
      </c>
    </row>
    <row r="50" spans="1:11" x14ac:dyDescent="0.35">
      <c r="A50" s="461" t="s">
        <v>242</v>
      </c>
      <c r="B50" s="461" t="s">
        <v>384</v>
      </c>
      <c r="C50" s="461" t="s">
        <v>137</v>
      </c>
      <c r="D50">
        <v>94</v>
      </c>
      <c r="E50">
        <v>573.5</v>
      </c>
      <c r="F50">
        <v>10</v>
      </c>
      <c r="G50">
        <v>114.75</v>
      </c>
      <c r="J50">
        <v>1</v>
      </c>
      <c r="K50">
        <v>2</v>
      </c>
    </row>
    <row r="51" spans="1:11" x14ac:dyDescent="0.35">
      <c r="A51" s="461" t="s">
        <v>242</v>
      </c>
      <c r="B51" s="461" t="s">
        <v>385</v>
      </c>
      <c r="C51" s="461" t="s">
        <v>138</v>
      </c>
      <c r="D51">
        <v>1018</v>
      </c>
      <c r="E51">
        <v>5856.5</v>
      </c>
      <c r="F51">
        <v>149</v>
      </c>
      <c r="G51">
        <v>1800.5</v>
      </c>
      <c r="H51">
        <v>9</v>
      </c>
      <c r="I51">
        <v>378.75</v>
      </c>
      <c r="J51">
        <v>6</v>
      </c>
      <c r="K51">
        <v>72.5</v>
      </c>
    </row>
    <row r="52" spans="1:11" x14ac:dyDescent="0.35">
      <c r="A52" s="461" t="s">
        <v>242</v>
      </c>
      <c r="B52" s="461" t="s">
        <v>386</v>
      </c>
      <c r="C52" s="461" t="s">
        <v>139</v>
      </c>
      <c r="D52">
        <v>375</v>
      </c>
      <c r="E52">
        <v>1755</v>
      </c>
      <c r="F52">
        <v>33</v>
      </c>
      <c r="G52">
        <v>257.25</v>
      </c>
      <c r="J52">
        <v>1</v>
      </c>
      <c r="K52">
        <v>7.5</v>
      </c>
    </row>
    <row r="53" spans="1:11" x14ac:dyDescent="0.35">
      <c r="A53" s="461" t="s">
        <v>242</v>
      </c>
      <c r="B53" s="461" t="s">
        <v>387</v>
      </c>
      <c r="C53" s="461" t="s">
        <v>140</v>
      </c>
      <c r="D53">
        <v>34</v>
      </c>
      <c r="E53">
        <v>183</v>
      </c>
      <c r="F53">
        <v>3</v>
      </c>
      <c r="G53">
        <v>56.5</v>
      </c>
    </row>
    <row r="54" spans="1:11" x14ac:dyDescent="0.35">
      <c r="A54" s="461" t="s">
        <v>242</v>
      </c>
      <c r="B54" s="461" t="s">
        <v>388</v>
      </c>
      <c r="C54" s="461" t="s">
        <v>141</v>
      </c>
      <c r="D54">
        <v>55</v>
      </c>
      <c r="E54">
        <v>288</v>
      </c>
      <c r="F54">
        <v>4</v>
      </c>
      <c r="G54">
        <v>35.75</v>
      </c>
    </row>
    <row r="55" spans="1:11" x14ac:dyDescent="0.35">
      <c r="A55" s="461" t="s">
        <v>242</v>
      </c>
      <c r="B55" s="461" t="s">
        <v>389</v>
      </c>
      <c r="C55" s="461" t="s">
        <v>142</v>
      </c>
      <c r="D55">
        <v>294</v>
      </c>
      <c r="E55">
        <v>1469.5</v>
      </c>
      <c r="F55">
        <v>38</v>
      </c>
      <c r="G55">
        <v>329.5</v>
      </c>
      <c r="H55">
        <v>3</v>
      </c>
      <c r="I55">
        <v>32</v>
      </c>
      <c r="J55">
        <v>3</v>
      </c>
      <c r="K55">
        <v>17.75</v>
      </c>
    </row>
    <row r="56" spans="1:11" x14ac:dyDescent="0.35">
      <c r="A56" s="461" t="s">
        <v>242</v>
      </c>
      <c r="B56" s="461" t="s">
        <v>390</v>
      </c>
      <c r="C56" s="461" t="s">
        <v>143</v>
      </c>
      <c r="D56">
        <v>255</v>
      </c>
      <c r="E56">
        <v>1437.75</v>
      </c>
      <c r="F56">
        <v>13</v>
      </c>
      <c r="G56">
        <v>146.5</v>
      </c>
    </row>
    <row r="57" spans="1:11" x14ac:dyDescent="0.35">
      <c r="A57" s="461" t="s">
        <v>242</v>
      </c>
      <c r="B57" s="461" t="s">
        <v>391</v>
      </c>
      <c r="C57" s="461" t="s">
        <v>144</v>
      </c>
      <c r="D57">
        <v>344</v>
      </c>
      <c r="E57">
        <v>1674.75</v>
      </c>
      <c r="F57">
        <v>18</v>
      </c>
      <c r="G57">
        <v>138.25</v>
      </c>
      <c r="H57">
        <v>1</v>
      </c>
      <c r="I57">
        <v>3</v>
      </c>
      <c r="J57">
        <v>2</v>
      </c>
      <c r="K57">
        <v>12.5</v>
      </c>
    </row>
    <row r="58" spans="1:11" x14ac:dyDescent="0.35">
      <c r="A58" s="461" t="s">
        <v>242</v>
      </c>
      <c r="B58" s="461" t="s">
        <v>392</v>
      </c>
      <c r="C58" s="461" t="s">
        <v>145</v>
      </c>
      <c r="D58">
        <v>225</v>
      </c>
      <c r="E58">
        <v>1105.5</v>
      </c>
      <c r="F58">
        <v>15</v>
      </c>
      <c r="G58">
        <v>122.25</v>
      </c>
    </row>
    <row r="59" spans="1:11" x14ac:dyDescent="0.35">
      <c r="A59" s="461" t="s">
        <v>242</v>
      </c>
      <c r="B59" s="461" t="s">
        <v>393</v>
      </c>
      <c r="C59" s="461" t="s">
        <v>146</v>
      </c>
      <c r="D59">
        <v>222</v>
      </c>
      <c r="E59">
        <v>1205.75</v>
      </c>
      <c r="F59">
        <v>6</v>
      </c>
      <c r="G59">
        <v>53.25</v>
      </c>
    </row>
    <row r="60" spans="1:11" x14ac:dyDescent="0.35">
      <c r="A60" s="461" t="s">
        <v>242</v>
      </c>
      <c r="B60" s="461" t="s">
        <v>394</v>
      </c>
      <c r="C60" s="461" t="s">
        <v>147</v>
      </c>
      <c r="D60">
        <v>217</v>
      </c>
      <c r="E60">
        <v>1101.5</v>
      </c>
      <c r="F60">
        <v>3</v>
      </c>
      <c r="G60">
        <v>26</v>
      </c>
    </row>
    <row r="61" spans="1:11" x14ac:dyDescent="0.35">
      <c r="A61" s="461" t="s">
        <v>242</v>
      </c>
      <c r="B61" s="461" t="s">
        <v>395</v>
      </c>
      <c r="C61" s="461" t="s">
        <v>981</v>
      </c>
      <c r="D61">
        <v>107</v>
      </c>
      <c r="E61">
        <v>536.5</v>
      </c>
      <c r="F61">
        <v>6</v>
      </c>
      <c r="G61">
        <v>39</v>
      </c>
    </row>
    <row r="62" spans="1:11" x14ac:dyDescent="0.35">
      <c r="A62" s="461" t="s">
        <v>241</v>
      </c>
      <c r="B62" s="461" t="s">
        <v>381</v>
      </c>
      <c r="C62" s="461" t="s">
        <v>135</v>
      </c>
      <c r="D62">
        <v>449</v>
      </c>
      <c r="E62">
        <v>2244.5</v>
      </c>
      <c r="F62">
        <v>22</v>
      </c>
      <c r="G62">
        <v>166.5</v>
      </c>
    </row>
    <row r="63" spans="1:11" x14ac:dyDescent="0.35">
      <c r="A63" s="461" t="s">
        <v>241</v>
      </c>
      <c r="B63" s="461" t="s">
        <v>382</v>
      </c>
      <c r="C63" s="461" t="s">
        <v>136</v>
      </c>
      <c r="D63">
        <v>1731</v>
      </c>
      <c r="E63">
        <v>9112.75</v>
      </c>
      <c r="F63">
        <v>44</v>
      </c>
      <c r="G63">
        <v>463.25</v>
      </c>
      <c r="H63">
        <v>1</v>
      </c>
      <c r="I63">
        <v>33.25</v>
      </c>
    </row>
    <row r="64" spans="1:11" x14ac:dyDescent="0.35">
      <c r="A64" s="461" t="s">
        <v>241</v>
      </c>
      <c r="B64" s="461" t="s">
        <v>383</v>
      </c>
      <c r="C64" s="461" t="s">
        <v>152</v>
      </c>
      <c r="D64">
        <v>1804</v>
      </c>
      <c r="E64">
        <v>6780</v>
      </c>
      <c r="F64">
        <v>58</v>
      </c>
      <c r="G64">
        <v>572.5</v>
      </c>
      <c r="H64">
        <v>5</v>
      </c>
      <c r="I64">
        <v>167.25</v>
      </c>
      <c r="J64">
        <v>12</v>
      </c>
      <c r="K64">
        <v>181.25</v>
      </c>
    </row>
    <row r="65" spans="1:11" x14ac:dyDescent="0.35">
      <c r="A65" s="461" t="s">
        <v>241</v>
      </c>
      <c r="B65" s="461" t="s">
        <v>384</v>
      </c>
      <c r="C65" s="461" t="s">
        <v>137</v>
      </c>
      <c r="D65">
        <v>85</v>
      </c>
      <c r="E65">
        <v>435.5</v>
      </c>
      <c r="F65">
        <v>3</v>
      </c>
      <c r="G65">
        <v>61.25</v>
      </c>
      <c r="H65">
        <v>1</v>
      </c>
      <c r="I65">
        <v>38.25</v>
      </c>
    </row>
    <row r="66" spans="1:11" x14ac:dyDescent="0.35">
      <c r="A66" s="461" t="s">
        <v>241</v>
      </c>
      <c r="B66" s="461" t="s">
        <v>385</v>
      </c>
      <c r="C66" s="461" t="s">
        <v>138</v>
      </c>
      <c r="D66">
        <v>921</v>
      </c>
      <c r="E66">
        <v>5130.75</v>
      </c>
      <c r="F66">
        <v>109</v>
      </c>
      <c r="G66">
        <v>1313.75</v>
      </c>
      <c r="H66">
        <v>5</v>
      </c>
      <c r="I66">
        <v>154</v>
      </c>
      <c r="J66">
        <v>4</v>
      </c>
      <c r="K66">
        <v>34</v>
      </c>
    </row>
    <row r="67" spans="1:11" x14ac:dyDescent="0.35">
      <c r="A67" s="461" t="s">
        <v>241</v>
      </c>
      <c r="B67" s="461" t="s">
        <v>386</v>
      </c>
      <c r="C67" s="461" t="s">
        <v>139</v>
      </c>
      <c r="D67">
        <v>301</v>
      </c>
      <c r="E67">
        <v>1377.25</v>
      </c>
      <c r="F67">
        <v>22</v>
      </c>
      <c r="G67">
        <v>192.75</v>
      </c>
    </row>
    <row r="68" spans="1:11" x14ac:dyDescent="0.35">
      <c r="A68" s="461" t="s">
        <v>241</v>
      </c>
      <c r="B68" s="461" t="s">
        <v>387</v>
      </c>
      <c r="C68" s="461" t="s">
        <v>140</v>
      </c>
      <c r="D68">
        <v>30</v>
      </c>
      <c r="E68">
        <v>199.75</v>
      </c>
      <c r="F68">
        <v>1</v>
      </c>
      <c r="G68">
        <v>11.25</v>
      </c>
    </row>
    <row r="69" spans="1:11" x14ac:dyDescent="0.35">
      <c r="A69" s="461" t="s">
        <v>241</v>
      </c>
      <c r="B69" s="461" t="s">
        <v>388</v>
      </c>
      <c r="C69" s="461" t="s">
        <v>141</v>
      </c>
      <c r="D69">
        <v>59</v>
      </c>
      <c r="E69">
        <v>321.75</v>
      </c>
      <c r="F69">
        <v>1</v>
      </c>
      <c r="G69">
        <v>14</v>
      </c>
    </row>
    <row r="70" spans="1:11" x14ac:dyDescent="0.35">
      <c r="A70" s="461" t="s">
        <v>241</v>
      </c>
      <c r="B70" s="461" t="s">
        <v>389</v>
      </c>
      <c r="C70" s="461" t="s">
        <v>142</v>
      </c>
      <c r="D70">
        <v>329</v>
      </c>
      <c r="E70">
        <v>1704</v>
      </c>
      <c r="F70">
        <v>45</v>
      </c>
      <c r="G70">
        <v>386.75</v>
      </c>
      <c r="H70">
        <v>5</v>
      </c>
      <c r="I70">
        <v>80</v>
      </c>
    </row>
    <row r="71" spans="1:11" x14ac:dyDescent="0.35">
      <c r="A71" s="461" t="s">
        <v>241</v>
      </c>
      <c r="B71" s="461" t="s">
        <v>390</v>
      </c>
      <c r="C71" s="461" t="s">
        <v>143</v>
      </c>
      <c r="D71">
        <v>457</v>
      </c>
      <c r="E71">
        <v>2188.5</v>
      </c>
      <c r="F71">
        <v>13</v>
      </c>
      <c r="G71">
        <v>156.75</v>
      </c>
    </row>
    <row r="72" spans="1:11" x14ac:dyDescent="0.35">
      <c r="A72" s="461" t="s">
        <v>241</v>
      </c>
      <c r="B72" s="461" t="s">
        <v>391</v>
      </c>
      <c r="C72" s="461" t="s">
        <v>144</v>
      </c>
      <c r="D72">
        <v>366</v>
      </c>
      <c r="E72">
        <v>1827.5</v>
      </c>
      <c r="F72">
        <v>16</v>
      </c>
      <c r="G72">
        <v>156.5</v>
      </c>
      <c r="H72">
        <v>3</v>
      </c>
      <c r="I72">
        <v>45.25</v>
      </c>
      <c r="J72">
        <v>3</v>
      </c>
      <c r="K72">
        <v>16</v>
      </c>
    </row>
    <row r="73" spans="1:11" x14ac:dyDescent="0.35">
      <c r="A73" s="461" t="s">
        <v>241</v>
      </c>
      <c r="B73" s="461" t="s">
        <v>392</v>
      </c>
      <c r="C73" s="461" t="s">
        <v>145</v>
      </c>
      <c r="D73">
        <v>273</v>
      </c>
      <c r="E73">
        <v>1407.5</v>
      </c>
      <c r="F73">
        <v>10</v>
      </c>
      <c r="G73">
        <v>106.75</v>
      </c>
      <c r="J73">
        <v>1</v>
      </c>
      <c r="K73">
        <v>6.25</v>
      </c>
    </row>
    <row r="74" spans="1:11" x14ac:dyDescent="0.35">
      <c r="A74" s="461" t="s">
        <v>241</v>
      </c>
      <c r="B74" s="461" t="s">
        <v>393</v>
      </c>
      <c r="C74" s="461" t="s">
        <v>146</v>
      </c>
      <c r="D74">
        <v>261</v>
      </c>
      <c r="E74">
        <v>1459.5</v>
      </c>
      <c r="F74">
        <v>6</v>
      </c>
      <c r="G74">
        <v>50.75</v>
      </c>
    </row>
    <row r="75" spans="1:11" x14ac:dyDescent="0.35">
      <c r="A75" s="461" t="s">
        <v>241</v>
      </c>
      <c r="B75" s="461" t="s">
        <v>394</v>
      </c>
      <c r="C75" s="461" t="s">
        <v>147</v>
      </c>
      <c r="D75">
        <v>263</v>
      </c>
      <c r="E75">
        <v>1314</v>
      </c>
      <c r="F75">
        <v>4</v>
      </c>
      <c r="G75">
        <v>38</v>
      </c>
    </row>
    <row r="76" spans="1:11" x14ac:dyDescent="0.35">
      <c r="A76" s="461" t="s">
        <v>241</v>
      </c>
      <c r="B76" s="461" t="s">
        <v>395</v>
      </c>
      <c r="C76" s="461" t="s">
        <v>981</v>
      </c>
      <c r="D76">
        <v>179</v>
      </c>
      <c r="E76">
        <v>949</v>
      </c>
      <c r="F76">
        <v>10</v>
      </c>
      <c r="G76">
        <v>68.5</v>
      </c>
      <c r="H76">
        <v>1</v>
      </c>
    </row>
    <row r="77" spans="1:11" x14ac:dyDescent="0.35">
      <c r="A77" s="461" t="s">
        <v>773</v>
      </c>
      <c r="B77" s="461" t="s">
        <v>381</v>
      </c>
      <c r="C77" s="461" t="s">
        <v>135</v>
      </c>
      <c r="D77">
        <v>294</v>
      </c>
      <c r="F77">
        <v>4</v>
      </c>
    </row>
    <row r="78" spans="1:11" x14ac:dyDescent="0.35">
      <c r="A78" s="461" t="s">
        <v>773</v>
      </c>
      <c r="B78" s="461" t="s">
        <v>382</v>
      </c>
      <c r="C78" s="461" t="s">
        <v>136</v>
      </c>
      <c r="D78">
        <v>1451</v>
      </c>
      <c r="F78">
        <v>35</v>
      </c>
    </row>
    <row r="79" spans="1:11" x14ac:dyDescent="0.35">
      <c r="A79" s="461" t="s">
        <v>773</v>
      </c>
      <c r="B79" s="461" t="s">
        <v>383</v>
      </c>
      <c r="C79" s="461" t="s">
        <v>152</v>
      </c>
      <c r="D79">
        <v>1738</v>
      </c>
      <c r="F79">
        <v>213</v>
      </c>
      <c r="H79">
        <v>1</v>
      </c>
      <c r="J79">
        <v>5</v>
      </c>
    </row>
    <row r="80" spans="1:11" x14ac:dyDescent="0.35">
      <c r="A80" s="461" t="s">
        <v>773</v>
      </c>
      <c r="B80" s="461" t="s">
        <v>384</v>
      </c>
      <c r="C80" s="461" t="s">
        <v>137</v>
      </c>
      <c r="D80">
        <v>70</v>
      </c>
      <c r="F80">
        <v>1</v>
      </c>
    </row>
    <row r="81" spans="1:10" x14ac:dyDescent="0.35">
      <c r="A81" s="461" t="s">
        <v>773</v>
      </c>
      <c r="B81" s="461" t="s">
        <v>385</v>
      </c>
      <c r="C81" s="461" t="s">
        <v>138</v>
      </c>
      <c r="D81">
        <v>1017</v>
      </c>
      <c r="F81">
        <v>64</v>
      </c>
    </row>
    <row r="82" spans="1:10" x14ac:dyDescent="0.35">
      <c r="A82" s="461" t="s">
        <v>773</v>
      </c>
      <c r="B82" s="461" t="s">
        <v>386</v>
      </c>
      <c r="C82" s="461" t="s">
        <v>139</v>
      </c>
      <c r="D82">
        <v>458</v>
      </c>
      <c r="F82">
        <v>12</v>
      </c>
      <c r="J82">
        <v>2</v>
      </c>
    </row>
    <row r="83" spans="1:10" x14ac:dyDescent="0.35">
      <c r="A83" s="461" t="s">
        <v>773</v>
      </c>
      <c r="B83" s="461" t="s">
        <v>387</v>
      </c>
      <c r="C83" s="461" t="s">
        <v>140</v>
      </c>
      <c r="D83">
        <v>25</v>
      </c>
    </row>
    <row r="84" spans="1:10" x14ac:dyDescent="0.35">
      <c r="A84" s="461" t="s">
        <v>773</v>
      </c>
      <c r="B84" s="461" t="s">
        <v>388</v>
      </c>
      <c r="C84" s="461" t="s">
        <v>141</v>
      </c>
      <c r="D84">
        <v>38</v>
      </c>
      <c r="F84">
        <v>1</v>
      </c>
    </row>
    <row r="85" spans="1:10" x14ac:dyDescent="0.35">
      <c r="A85" s="461" t="s">
        <v>773</v>
      </c>
      <c r="B85" s="461" t="s">
        <v>389</v>
      </c>
      <c r="C85" s="461" t="s">
        <v>142</v>
      </c>
      <c r="D85">
        <v>259</v>
      </c>
      <c r="F85">
        <v>30</v>
      </c>
      <c r="J85">
        <v>1</v>
      </c>
    </row>
    <row r="86" spans="1:10" x14ac:dyDescent="0.35">
      <c r="A86" s="461" t="s">
        <v>773</v>
      </c>
      <c r="B86" s="461" t="s">
        <v>390</v>
      </c>
      <c r="C86" s="461" t="s">
        <v>143</v>
      </c>
      <c r="D86">
        <v>266</v>
      </c>
      <c r="F86">
        <v>5</v>
      </c>
    </row>
    <row r="87" spans="1:10" x14ac:dyDescent="0.35">
      <c r="A87" s="461" t="s">
        <v>773</v>
      </c>
      <c r="B87" s="461" t="s">
        <v>391</v>
      </c>
      <c r="C87" s="461" t="s">
        <v>144</v>
      </c>
      <c r="D87">
        <v>350</v>
      </c>
      <c r="F87">
        <v>8</v>
      </c>
      <c r="J87">
        <v>1</v>
      </c>
    </row>
    <row r="88" spans="1:10" x14ac:dyDescent="0.35">
      <c r="A88" s="461" t="s">
        <v>773</v>
      </c>
      <c r="B88" s="461" t="s">
        <v>392</v>
      </c>
      <c r="C88" s="461" t="s">
        <v>145</v>
      </c>
      <c r="D88">
        <v>275</v>
      </c>
      <c r="F88">
        <v>4</v>
      </c>
      <c r="J88">
        <v>2</v>
      </c>
    </row>
    <row r="89" spans="1:10" x14ac:dyDescent="0.35">
      <c r="A89" s="461" t="s">
        <v>773</v>
      </c>
      <c r="B89" s="461" t="s">
        <v>393</v>
      </c>
      <c r="C89" s="461" t="s">
        <v>146</v>
      </c>
      <c r="D89">
        <v>234</v>
      </c>
      <c r="F89">
        <v>7</v>
      </c>
      <c r="J89">
        <v>1</v>
      </c>
    </row>
    <row r="90" spans="1:10" x14ac:dyDescent="0.35">
      <c r="A90" s="461" t="s">
        <v>773</v>
      </c>
      <c r="B90" s="461" t="s">
        <v>394</v>
      </c>
      <c r="C90" s="461" t="s">
        <v>147</v>
      </c>
      <c r="D90">
        <v>283</v>
      </c>
      <c r="F90">
        <v>2</v>
      </c>
    </row>
    <row r="91" spans="1:10" x14ac:dyDescent="0.35">
      <c r="A91" s="461" t="s">
        <v>773</v>
      </c>
      <c r="B91" s="461" t="s">
        <v>395</v>
      </c>
      <c r="C91" s="461" t="s">
        <v>981</v>
      </c>
      <c r="D91">
        <v>115</v>
      </c>
      <c r="F91">
        <v>2</v>
      </c>
    </row>
    <row r="92" spans="1:10" x14ac:dyDescent="0.35">
      <c r="A92" s="461" t="s">
        <v>951</v>
      </c>
      <c r="B92" s="461" t="s">
        <v>381</v>
      </c>
      <c r="C92" s="461" t="s">
        <v>135</v>
      </c>
      <c r="D92">
        <v>212</v>
      </c>
      <c r="E92">
        <v>1131.5</v>
      </c>
      <c r="F92">
        <v>8</v>
      </c>
      <c r="G92">
        <v>173</v>
      </c>
    </row>
    <row r="93" spans="1:10" x14ac:dyDescent="0.35">
      <c r="A93" s="461" t="s">
        <v>951</v>
      </c>
      <c r="B93" s="461" t="s">
        <v>382</v>
      </c>
      <c r="C93" s="461" t="s">
        <v>136</v>
      </c>
      <c r="D93">
        <v>1326</v>
      </c>
      <c r="E93">
        <v>7506.25</v>
      </c>
      <c r="F93">
        <v>16</v>
      </c>
      <c r="G93">
        <v>203.5</v>
      </c>
    </row>
    <row r="94" spans="1:10" x14ac:dyDescent="0.35">
      <c r="A94" s="461" t="s">
        <v>951</v>
      </c>
      <c r="B94" s="461" t="s">
        <v>383</v>
      </c>
      <c r="C94" s="461" t="s">
        <v>152</v>
      </c>
      <c r="D94">
        <v>774</v>
      </c>
      <c r="E94">
        <v>2858.25</v>
      </c>
      <c r="F94">
        <v>35</v>
      </c>
      <c r="G94">
        <v>369.5</v>
      </c>
      <c r="H94">
        <v>1</v>
      </c>
      <c r="I94">
        <v>41.25</v>
      </c>
    </row>
    <row r="95" spans="1:10" x14ac:dyDescent="0.35">
      <c r="A95" s="461" t="s">
        <v>951</v>
      </c>
      <c r="B95" s="461" t="s">
        <v>384</v>
      </c>
      <c r="C95" s="461" t="s">
        <v>137</v>
      </c>
      <c r="D95">
        <v>34</v>
      </c>
      <c r="E95">
        <v>117</v>
      </c>
      <c r="F95">
        <v>3</v>
      </c>
      <c r="G95">
        <v>48.75</v>
      </c>
    </row>
    <row r="96" spans="1:10" x14ac:dyDescent="0.35">
      <c r="A96" s="461" t="s">
        <v>951</v>
      </c>
      <c r="B96" s="461" t="s">
        <v>385</v>
      </c>
      <c r="C96" s="461" t="s">
        <v>138</v>
      </c>
      <c r="D96">
        <v>206</v>
      </c>
      <c r="E96">
        <v>1195.25</v>
      </c>
      <c r="F96">
        <v>24</v>
      </c>
      <c r="G96">
        <v>285.25</v>
      </c>
      <c r="H96">
        <v>1</v>
      </c>
      <c r="I96">
        <v>54.5</v>
      </c>
    </row>
    <row r="97" spans="1:11" x14ac:dyDescent="0.35">
      <c r="A97" s="461" t="s">
        <v>951</v>
      </c>
      <c r="B97" s="461" t="s">
        <v>386</v>
      </c>
      <c r="C97" s="461" t="s">
        <v>139</v>
      </c>
      <c r="D97">
        <v>109</v>
      </c>
      <c r="E97">
        <v>561.5</v>
      </c>
      <c r="F97">
        <v>6</v>
      </c>
      <c r="G97">
        <v>63.5</v>
      </c>
      <c r="H97">
        <v>1</v>
      </c>
      <c r="I97">
        <v>27.5</v>
      </c>
    </row>
    <row r="98" spans="1:11" x14ac:dyDescent="0.35">
      <c r="A98" s="461" t="s">
        <v>951</v>
      </c>
      <c r="B98" s="461" t="s">
        <v>387</v>
      </c>
      <c r="C98" s="461" t="s">
        <v>140</v>
      </c>
      <c r="D98">
        <v>10</v>
      </c>
      <c r="E98">
        <v>66.5</v>
      </c>
    </row>
    <row r="99" spans="1:11" x14ac:dyDescent="0.35">
      <c r="A99" s="461" t="s">
        <v>951</v>
      </c>
      <c r="B99" s="461" t="s">
        <v>388</v>
      </c>
      <c r="C99" s="461" t="s">
        <v>141</v>
      </c>
      <c r="D99">
        <v>6</v>
      </c>
      <c r="E99">
        <v>28</v>
      </c>
    </row>
    <row r="100" spans="1:11" x14ac:dyDescent="0.35">
      <c r="A100" s="461" t="s">
        <v>951</v>
      </c>
      <c r="B100" s="461" t="s">
        <v>389</v>
      </c>
      <c r="C100" s="461" t="s">
        <v>142</v>
      </c>
      <c r="D100">
        <v>67</v>
      </c>
      <c r="E100">
        <v>372.75</v>
      </c>
      <c r="F100">
        <v>6</v>
      </c>
      <c r="G100">
        <v>50</v>
      </c>
      <c r="J100">
        <v>1</v>
      </c>
    </row>
    <row r="101" spans="1:11" x14ac:dyDescent="0.35">
      <c r="A101" s="461" t="s">
        <v>951</v>
      </c>
      <c r="B101" s="461" t="s">
        <v>390</v>
      </c>
      <c r="C101" s="461" t="s">
        <v>143</v>
      </c>
      <c r="D101">
        <v>66</v>
      </c>
      <c r="E101">
        <v>355.25</v>
      </c>
      <c r="F101">
        <v>1</v>
      </c>
      <c r="G101">
        <v>31.25</v>
      </c>
    </row>
    <row r="102" spans="1:11" x14ac:dyDescent="0.35">
      <c r="A102" s="461" t="s">
        <v>951</v>
      </c>
      <c r="B102" s="461" t="s">
        <v>391</v>
      </c>
      <c r="C102" s="461" t="s">
        <v>144</v>
      </c>
      <c r="D102">
        <v>119</v>
      </c>
      <c r="E102">
        <v>667.5</v>
      </c>
      <c r="F102">
        <v>6</v>
      </c>
      <c r="G102">
        <v>56.25</v>
      </c>
      <c r="J102">
        <v>1</v>
      </c>
      <c r="K102">
        <v>4</v>
      </c>
    </row>
    <row r="103" spans="1:11" x14ac:dyDescent="0.35">
      <c r="A103" s="461" t="s">
        <v>951</v>
      </c>
      <c r="B103" s="461" t="s">
        <v>392</v>
      </c>
      <c r="C103" s="461" t="s">
        <v>145</v>
      </c>
      <c r="D103">
        <v>59</v>
      </c>
      <c r="E103">
        <v>366.5</v>
      </c>
      <c r="F103">
        <v>3</v>
      </c>
      <c r="G103">
        <v>27.25</v>
      </c>
    </row>
    <row r="104" spans="1:11" x14ac:dyDescent="0.35">
      <c r="A104" s="461" t="s">
        <v>951</v>
      </c>
      <c r="B104" s="461" t="s">
        <v>393</v>
      </c>
      <c r="C104" s="461" t="s">
        <v>146</v>
      </c>
      <c r="D104">
        <v>82</v>
      </c>
      <c r="E104">
        <v>493.75</v>
      </c>
      <c r="F104">
        <v>2</v>
      </c>
      <c r="G104">
        <v>11.25</v>
      </c>
    </row>
    <row r="105" spans="1:11" x14ac:dyDescent="0.35">
      <c r="A105" s="461" t="s">
        <v>951</v>
      </c>
      <c r="B105" s="461" t="s">
        <v>394</v>
      </c>
      <c r="C105" s="461" t="s">
        <v>147</v>
      </c>
      <c r="D105">
        <v>62</v>
      </c>
      <c r="E105">
        <v>288.25</v>
      </c>
    </row>
    <row r="106" spans="1:11" x14ac:dyDescent="0.35">
      <c r="A106" s="461" t="s">
        <v>951</v>
      </c>
      <c r="B106" s="461" t="s">
        <v>395</v>
      </c>
      <c r="C106" s="461" t="s">
        <v>981</v>
      </c>
      <c r="D106">
        <v>48</v>
      </c>
      <c r="E106">
        <v>270.5</v>
      </c>
      <c r="F106">
        <v>2</v>
      </c>
      <c r="G106">
        <v>19.25</v>
      </c>
      <c r="J106">
        <v>1</v>
      </c>
      <c r="K106">
        <v>20</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3" tint="0.39997558519241921"/>
    <pageSetUpPr fitToPage="1"/>
  </sheetPr>
  <dimension ref="A1:S63"/>
  <sheetViews>
    <sheetView showGridLines="0" zoomScaleNormal="100" workbookViewId="0">
      <pane ySplit="2" topLeftCell="A3" activePane="bottomLeft" state="frozen"/>
      <selection pane="bottomLeft"/>
    </sheetView>
  </sheetViews>
  <sheetFormatPr defaultRowHeight="14.5" x14ac:dyDescent="0.35"/>
  <cols>
    <col min="1" max="1" width="28.6328125" customWidth="1"/>
    <col min="2" max="2" width="9.08984375" bestFit="1" customWidth="1"/>
    <col min="3" max="3" width="10.26953125" bestFit="1" customWidth="1"/>
    <col min="4" max="4" width="9" bestFit="1" customWidth="1"/>
    <col min="5" max="5" width="10.1796875" bestFit="1" customWidth="1"/>
    <col min="6" max="6" width="8.453125" bestFit="1" customWidth="1"/>
    <col min="7" max="7" width="9.08984375" bestFit="1" customWidth="1"/>
    <col min="8" max="8" width="12.6328125" customWidth="1"/>
    <col min="9" max="9" width="13.36328125" customWidth="1"/>
    <col min="10" max="10" width="12.6328125" customWidth="1"/>
    <col min="11" max="12" width="12.26953125" customWidth="1"/>
    <col min="13" max="13" width="10.90625" customWidth="1"/>
    <col min="14" max="14" width="14.7265625" customWidth="1"/>
    <col min="15" max="16" width="13.81640625" customWidth="1"/>
    <col min="17" max="17" width="12.81640625" customWidth="1"/>
    <col min="18" max="18" width="13" customWidth="1"/>
  </cols>
  <sheetData>
    <row r="1" spans="1:17" ht="15.5" x14ac:dyDescent="0.35">
      <c r="A1" s="629" t="s">
        <v>559</v>
      </c>
    </row>
    <row r="2" spans="1:17" x14ac:dyDescent="0.35">
      <c r="A2" s="601" t="s">
        <v>509</v>
      </c>
    </row>
    <row r="3" spans="1:17" x14ac:dyDescent="0.35">
      <c r="A3" s="28"/>
    </row>
    <row r="4" spans="1:17" ht="15.75" customHeight="1" x14ac:dyDescent="0.35">
      <c r="A4" s="1186" t="s">
        <v>567</v>
      </c>
      <c r="B4" s="1186"/>
      <c r="C4" s="1186"/>
      <c r="D4" s="1186"/>
      <c r="E4" s="1186"/>
      <c r="F4" s="1186"/>
      <c r="G4" s="1186"/>
      <c r="H4" s="1186"/>
      <c r="I4" s="1186"/>
      <c r="J4" s="1186"/>
      <c r="K4" s="1186"/>
      <c r="L4" s="1186"/>
      <c r="M4" s="1186"/>
      <c r="N4" s="1186"/>
      <c r="O4" s="1186"/>
      <c r="P4" s="1186"/>
      <c r="Q4" s="1186"/>
    </row>
    <row r="5" spans="1:17" ht="15.5" x14ac:dyDescent="0.35">
      <c r="A5" t="s">
        <v>320</v>
      </c>
      <c r="B5" t="s">
        <v>715</v>
      </c>
      <c r="C5" s="612"/>
      <c r="D5" s="612"/>
      <c r="E5" s="612"/>
      <c r="F5" s="782"/>
      <c r="G5" s="782"/>
      <c r="H5" s="612"/>
      <c r="I5" s="612"/>
      <c r="J5" s="612"/>
      <c r="K5" s="612"/>
      <c r="L5" s="612"/>
      <c r="M5" s="612"/>
    </row>
    <row r="6" spans="1:17" ht="15.5" x14ac:dyDescent="0.35">
      <c r="A6" t="s">
        <v>321</v>
      </c>
      <c r="B6" t="s">
        <v>323</v>
      </c>
      <c r="C6" s="612"/>
      <c r="D6" s="612"/>
      <c r="E6" s="612"/>
      <c r="F6" s="782"/>
      <c r="G6" s="782"/>
      <c r="H6" s="612"/>
      <c r="I6" s="612"/>
      <c r="J6" s="612"/>
      <c r="K6" s="612"/>
      <c r="L6" s="612"/>
      <c r="M6" s="612"/>
    </row>
    <row r="7" spans="1:17" ht="15.5" x14ac:dyDescent="0.35">
      <c r="A7" t="s">
        <v>322</v>
      </c>
      <c r="B7" t="s">
        <v>324</v>
      </c>
      <c r="C7" s="612"/>
      <c r="D7" s="612"/>
      <c r="E7" s="612"/>
      <c r="F7" s="782"/>
      <c r="G7" s="782"/>
      <c r="H7" s="612"/>
      <c r="I7" s="612"/>
      <c r="J7" s="612"/>
      <c r="K7" s="612"/>
      <c r="L7" s="612"/>
      <c r="M7" s="612"/>
      <c r="N7" s="28"/>
      <c r="O7" s="28"/>
      <c r="P7" s="28"/>
      <c r="Q7" s="28"/>
    </row>
    <row r="9" spans="1:17" ht="31" customHeight="1" x14ac:dyDescent="0.35">
      <c r="A9" s="27"/>
      <c r="B9" s="1213" t="s">
        <v>564</v>
      </c>
      <c r="C9" s="1213"/>
      <c r="D9" s="1213" t="s">
        <v>565</v>
      </c>
      <c r="E9" s="1213"/>
      <c r="F9" s="1213" t="s">
        <v>154</v>
      </c>
      <c r="G9" s="1213"/>
      <c r="H9" s="1213" t="s">
        <v>155</v>
      </c>
      <c r="I9" s="1213"/>
      <c r="J9" s="1213" t="s">
        <v>156</v>
      </c>
      <c r="K9" s="1213"/>
      <c r="L9" s="666"/>
      <c r="M9" s="1214" t="s">
        <v>157</v>
      </c>
      <c r="N9" s="1214"/>
      <c r="O9" s="1214"/>
    </row>
    <row r="10" spans="1:17" ht="39.5" hidden="1" x14ac:dyDescent="0.35">
      <c r="A10" s="784" t="s">
        <v>312</v>
      </c>
      <c r="B10" s="784" t="s">
        <v>985</v>
      </c>
      <c r="C10" s="784" t="s">
        <v>986</v>
      </c>
      <c r="D10" s="784" t="s">
        <v>987</v>
      </c>
      <c r="E10" s="784" t="s">
        <v>988</v>
      </c>
      <c r="F10" s="784" t="s">
        <v>159</v>
      </c>
      <c r="G10" s="784" t="s">
        <v>993</v>
      </c>
      <c r="H10" s="784" t="s">
        <v>989</v>
      </c>
      <c r="I10" s="784" t="s">
        <v>990</v>
      </c>
      <c r="J10" s="784" t="s">
        <v>991</v>
      </c>
      <c r="K10" s="787" t="s">
        <v>992</v>
      </c>
      <c r="L10" s="665" t="s">
        <v>566</v>
      </c>
      <c r="M10" s="662" t="s">
        <v>564</v>
      </c>
      <c r="N10" s="285" t="s">
        <v>565</v>
      </c>
      <c r="O10" s="285" t="s">
        <v>161</v>
      </c>
      <c r="P10" s="373" t="s">
        <v>184</v>
      </c>
    </row>
    <row r="11" spans="1:17" ht="39.5" x14ac:dyDescent="0.35">
      <c r="A11" s="1113" t="s">
        <v>1</v>
      </c>
      <c r="B11" s="1113" t="s">
        <v>6</v>
      </c>
      <c r="C11" s="1113" t="s">
        <v>158</v>
      </c>
      <c r="D11" s="1113" t="s">
        <v>6</v>
      </c>
      <c r="E11" s="1113" t="s">
        <v>158</v>
      </c>
      <c r="F11" s="1113" t="s">
        <v>6</v>
      </c>
      <c r="G11" s="1113" t="s">
        <v>158</v>
      </c>
      <c r="H11" s="1113" t="s">
        <v>6</v>
      </c>
      <c r="I11" s="1113" t="s">
        <v>158</v>
      </c>
      <c r="J11" s="1113" t="s">
        <v>6</v>
      </c>
      <c r="K11" s="1113" t="s">
        <v>158</v>
      </c>
      <c r="L11" s="665" t="s">
        <v>566</v>
      </c>
      <c r="M11" s="662" t="s">
        <v>564</v>
      </c>
      <c r="N11" s="285" t="s">
        <v>565</v>
      </c>
      <c r="O11" s="285" t="s">
        <v>161</v>
      </c>
      <c r="P11" s="373" t="s">
        <v>184</v>
      </c>
    </row>
    <row r="12" spans="1:17" x14ac:dyDescent="0.35">
      <c r="A12" s="803" t="s">
        <v>980</v>
      </c>
      <c r="B12" s="863">
        <v>3797</v>
      </c>
      <c r="C12" s="863">
        <v>14034</v>
      </c>
      <c r="D12" s="863">
        <v>2264</v>
      </c>
      <c r="E12" s="863">
        <v>10793</v>
      </c>
      <c r="F12" s="864">
        <f>pp_PPED_Audits_Outcome[[#This Row],[A_Tally]]+pp_PPED_Audits_Outcome[[#This Row],[B_Tally]]</f>
        <v>6061</v>
      </c>
      <c r="G12" s="864">
        <f>pp_PPED_Audits_Outcome[[#This Row],[A_Hours]]+pp_PPED_Audits_Outcome[[#This Row],[B_Hours]]</f>
        <v>24827</v>
      </c>
      <c r="H12" s="863">
        <v>58</v>
      </c>
      <c r="I12" s="863">
        <v>300</v>
      </c>
      <c r="J12" s="863">
        <v>20</v>
      </c>
      <c r="K12" s="863">
        <v>127</v>
      </c>
      <c r="L12" s="1114">
        <f>B12/F12</f>
        <v>0.62646427982181163</v>
      </c>
      <c r="M12" s="1115">
        <f>C12/B12</f>
        <v>3.6960758493547536</v>
      </c>
      <c r="N12" s="1116">
        <f>E12/D12</f>
        <v>4.7672261484098941</v>
      </c>
      <c r="O12" s="1117">
        <f>I12/H12</f>
        <v>5.1724137931034484</v>
      </c>
      <c r="P12" s="1116">
        <f>K12/J12</f>
        <v>6.35</v>
      </c>
    </row>
    <row r="13" spans="1:17" x14ac:dyDescent="0.35">
      <c r="A13" s="803" t="s">
        <v>961</v>
      </c>
      <c r="B13" s="865">
        <v>4947</v>
      </c>
      <c r="C13" s="865">
        <v>29138</v>
      </c>
      <c r="D13" s="865">
        <v>1797</v>
      </c>
      <c r="E13" s="865">
        <v>11747</v>
      </c>
      <c r="F13" s="866">
        <f>pp_PPED_Audits_Outcome[[#This Row],[A_Tally]]+pp_PPED_Audits_Outcome[[#This Row],[B_Tally]]</f>
        <v>6744</v>
      </c>
      <c r="G13" s="866">
        <f>pp_PPED_Audits_Outcome[[#This Row],[A_Hours]]+pp_PPED_Audits_Outcome[[#This Row],[B_Hours]]</f>
        <v>40885</v>
      </c>
      <c r="H13" s="865">
        <v>55</v>
      </c>
      <c r="I13" s="865">
        <v>453</v>
      </c>
      <c r="J13" s="865">
        <v>13</v>
      </c>
      <c r="K13" s="867">
        <v>94</v>
      </c>
      <c r="L13" s="1114">
        <f t="shared" ref="L13:L23" si="0">B13/F13</f>
        <v>0.73354092526690395</v>
      </c>
      <c r="M13" s="1115">
        <f t="shared" ref="M13:M23" si="1">C13/B13</f>
        <v>5.8900343642611688</v>
      </c>
      <c r="N13" s="1117">
        <f t="shared" ref="N13:N23" si="2">E13/D13</f>
        <v>6.5370061213132997</v>
      </c>
      <c r="O13" s="1117">
        <f t="shared" ref="O13:O23" si="3">I13/H13</f>
        <v>8.2363636363636363</v>
      </c>
      <c r="P13" s="1117">
        <f t="shared" ref="P13:P23" si="4">K13/J13</f>
        <v>7.2307692307692308</v>
      </c>
    </row>
    <row r="14" spans="1:17" s="382" customFormat="1" x14ac:dyDescent="0.35">
      <c r="A14" s="804" t="s">
        <v>308</v>
      </c>
      <c r="B14" s="868">
        <v>6829</v>
      </c>
      <c r="C14" s="868">
        <v>42023</v>
      </c>
      <c r="D14" s="868">
        <v>726</v>
      </c>
      <c r="E14" s="868">
        <v>7946</v>
      </c>
      <c r="F14" s="869">
        <f>pp_PPED_Audits_Outcome[[#This Row],[A_Tally]]+pp_PPED_Audits_Outcome[[#This Row],[B_Tally]]</f>
        <v>7555</v>
      </c>
      <c r="G14" s="870">
        <f>pp_PPED_Audits_Outcome[[#This Row],[A_Hours]]+pp_PPED_Audits_Outcome[[#This Row],[B_Hours]]</f>
        <v>49969</v>
      </c>
      <c r="H14" s="868">
        <v>40</v>
      </c>
      <c r="I14" s="868">
        <v>267</v>
      </c>
      <c r="J14" s="868">
        <v>26</v>
      </c>
      <c r="K14" s="871">
        <v>144</v>
      </c>
      <c r="L14" s="1114">
        <f t="shared" si="0"/>
        <v>0.90390469887491731</v>
      </c>
      <c r="M14" s="1115">
        <f t="shared" si="1"/>
        <v>6.1536096060916678</v>
      </c>
      <c r="N14" s="1117">
        <f t="shared" si="2"/>
        <v>10.944903581267218</v>
      </c>
      <c r="O14" s="1117">
        <f t="shared" si="3"/>
        <v>6.6749999999999998</v>
      </c>
      <c r="P14" s="1117">
        <f t="shared" si="4"/>
        <v>5.5384615384615383</v>
      </c>
    </row>
    <row r="15" spans="1:17" x14ac:dyDescent="0.35">
      <c r="A15" s="783" t="s">
        <v>195</v>
      </c>
      <c r="B15" s="863">
        <v>7230</v>
      </c>
      <c r="C15" s="863">
        <v>34986</v>
      </c>
      <c r="D15" s="1122">
        <v>764</v>
      </c>
      <c r="E15" s="1122">
        <v>5742</v>
      </c>
      <c r="F15" s="864">
        <f>pp_PPED_Audits_Outcome[[#This Row],[A_Tally]]+pp_PPED_Audits_Outcome[[#This Row],[B_Tally]]</f>
        <v>7994</v>
      </c>
      <c r="G15" s="864">
        <f>pp_PPED_Audits_Outcome[[#This Row],[A_Hours]]+pp_PPED_Audits_Outcome[[#This Row],[B_Hours]]</f>
        <v>40728</v>
      </c>
      <c r="H15" s="865">
        <v>43</v>
      </c>
      <c r="I15" s="863">
        <v>251</v>
      </c>
      <c r="J15" s="1122">
        <v>22</v>
      </c>
      <c r="K15" s="1123">
        <v>100</v>
      </c>
      <c r="L15" s="1114">
        <f t="shared" si="0"/>
        <v>0.90442832124093064</v>
      </c>
      <c r="M15" s="1115">
        <f t="shared" si="1"/>
        <v>4.839004149377593</v>
      </c>
      <c r="N15" s="1117">
        <f t="shared" si="2"/>
        <v>7.5157068062827221</v>
      </c>
      <c r="O15" s="1117">
        <f t="shared" si="3"/>
        <v>5.8372093023255811</v>
      </c>
      <c r="P15" s="1117">
        <f t="shared" si="4"/>
        <v>4.5454545454545459</v>
      </c>
    </row>
    <row r="16" spans="1:17" x14ac:dyDescent="0.35">
      <c r="A16" s="783" t="s">
        <v>194</v>
      </c>
      <c r="B16" s="1122">
        <v>0</v>
      </c>
      <c r="C16" s="1122">
        <v>0</v>
      </c>
      <c r="D16" s="1122">
        <v>0</v>
      </c>
      <c r="E16" s="1122">
        <v>0</v>
      </c>
      <c r="F16" s="872">
        <f>pp_PPED_Audits_Outcome[[#This Row],[A_Tally]]+pp_PPED_Audits_Outcome[[#This Row],[B_Tally]]</f>
        <v>0</v>
      </c>
      <c r="G16" s="872">
        <f>pp_PPED_Audits_Outcome[[#This Row],[A_Hours]]+pp_PPED_Audits_Outcome[[#This Row],[B_Hours]]</f>
        <v>0</v>
      </c>
      <c r="H16" s="1124">
        <v>0</v>
      </c>
      <c r="I16" s="1122">
        <v>0</v>
      </c>
      <c r="J16" s="1122">
        <v>0</v>
      </c>
      <c r="K16" s="1122">
        <v>0</v>
      </c>
      <c r="L16" s="1114" t="s">
        <v>563</v>
      </c>
      <c r="M16" s="1118" t="s">
        <v>563</v>
      </c>
      <c r="N16" s="1119" t="s">
        <v>563</v>
      </c>
      <c r="O16" s="1119" t="s">
        <v>563</v>
      </c>
      <c r="P16" s="1119" t="s">
        <v>563</v>
      </c>
    </row>
    <row r="17" spans="1:18" x14ac:dyDescent="0.35">
      <c r="A17" s="783" t="s">
        <v>193</v>
      </c>
      <c r="B17" s="1122">
        <v>7816</v>
      </c>
      <c r="C17" s="1122">
        <v>40485</v>
      </c>
      <c r="D17" s="1122">
        <v>390</v>
      </c>
      <c r="E17" s="1122">
        <v>3134.5</v>
      </c>
      <c r="F17" s="872">
        <f>pp_PPED_Audits_Outcome[[#This Row],[A_Tally]]+pp_PPED_Audits_Outcome[[#This Row],[B_Tally]]</f>
        <v>8206</v>
      </c>
      <c r="G17" s="872">
        <f>pp_PPED_Audits_Outcome[[#This Row],[A_Hours]]+pp_PPED_Audits_Outcome[[#This Row],[B_Hours]]</f>
        <v>43619.5</v>
      </c>
      <c r="H17" s="1124">
        <v>10</v>
      </c>
      <c r="I17" s="1122">
        <v>206.25</v>
      </c>
      <c r="J17" s="1122">
        <v>3</v>
      </c>
      <c r="K17" s="1122">
        <v>25.5</v>
      </c>
      <c r="L17" s="1114">
        <f t="shared" si="0"/>
        <v>0.9524737996587862</v>
      </c>
      <c r="M17" s="1115">
        <f t="shared" si="1"/>
        <v>5.1797594677584442</v>
      </c>
      <c r="N17" s="1117">
        <f t="shared" si="2"/>
        <v>8.0371794871794879</v>
      </c>
      <c r="O17" s="1117">
        <f t="shared" si="3"/>
        <v>20.625</v>
      </c>
      <c r="P17" s="1117">
        <f t="shared" si="4"/>
        <v>8.5</v>
      </c>
    </row>
    <row r="18" spans="1:18" x14ac:dyDescent="0.35">
      <c r="A18" s="783" t="s">
        <v>192</v>
      </c>
      <c r="B18" s="1122">
        <v>9185</v>
      </c>
      <c r="C18" s="1122">
        <v>44965</v>
      </c>
      <c r="D18" s="1122">
        <v>649</v>
      </c>
      <c r="E18" s="1122">
        <v>6069.5</v>
      </c>
      <c r="F18" s="872">
        <f>pp_PPED_Audits_Outcome[[#This Row],[A_Tally]]+pp_PPED_Audits_Outcome[[#This Row],[B_Tally]]</f>
        <v>9834</v>
      </c>
      <c r="G18" s="872">
        <f>pp_PPED_Audits_Outcome[[#This Row],[A_Hours]]+pp_PPED_Audits_Outcome[[#This Row],[B_Hours]]</f>
        <v>51034.5</v>
      </c>
      <c r="H18" s="1124">
        <v>23</v>
      </c>
      <c r="I18" s="1122">
        <v>612</v>
      </c>
      <c r="J18" s="1122">
        <v>4</v>
      </c>
      <c r="K18" s="1122">
        <v>23.25</v>
      </c>
      <c r="L18" s="1114">
        <f t="shared" si="0"/>
        <v>0.93400447427293065</v>
      </c>
      <c r="M18" s="1115">
        <f t="shared" si="1"/>
        <v>4.895481763745237</v>
      </c>
      <c r="N18" s="1117">
        <f t="shared" si="2"/>
        <v>9.352080123266564</v>
      </c>
      <c r="O18" s="1117">
        <f t="shared" si="3"/>
        <v>26.608695652173914</v>
      </c>
      <c r="P18" s="1117">
        <f t="shared" si="4"/>
        <v>5.8125</v>
      </c>
    </row>
    <row r="19" spans="1:18" x14ac:dyDescent="0.35">
      <c r="A19" s="783" t="s">
        <v>258</v>
      </c>
      <c r="B19" s="1122">
        <v>8385</v>
      </c>
      <c r="C19" s="1122">
        <v>41376</v>
      </c>
      <c r="D19" s="1122">
        <v>554</v>
      </c>
      <c r="E19" s="1122">
        <v>4990.75</v>
      </c>
      <c r="F19" s="872">
        <f>pp_PPED_Audits_Outcome[[#This Row],[A_Tally]]+pp_PPED_Audits_Outcome[[#This Row],[B_Tally]]</f>
        <v>8939</v>
      </c>
      <c r="G19" s="872">
        <f>pp_PPED_Audits_Outcome[[#This Row],[A_Hours]]+pp_PPED_Audits_Outcome[[#This Row],[B_Hours]]</f>
        <v>46366.75</v>
      </c>
      <c r="H19" s="1124">
        <v>21</v>
      </c>
      <c r="I19" s="1122">
        <v>395.25</v>
      </c>
      <c r="J19" s="1122">
        <v>12</v>
      </c>
      <c r="K19" s="1122">
        <v>72.25</v>
      </c>
      <c r="L19" s="1114">
        <f t="shared" si="0"/>
        <v>0.93802438751538209</v>
      </c>
      <c r="M19" s="1115">
        <f t="shared" si="1"/>
        <v>4.9345259391771021</v>
      </c>
      <c r="N19" s="1117">
        <f t="shared" si="2"/>
        <v>9.0085740072202167</v>
      </c>
      <c r="O19" s="1117">
        <f t="shared" si="3"/>
        <v>18.821428571428573</v>
      </c>
      <c r="P19" s="1117">
        <f t="shared" si="4"/>
        <v>6.020833333333333</v>
      </c>
    </row>
    <row r="20" spans="1:18" x14ac:dyDescent="0.35">
      <c r="A20" s="783" t="s">
        <v>242</v>
      </c>
      <c r="B20" s="1122">
        <v>7167</v>
      </c>
      <c r="C20" s="1122">
        <v>34688.5</v>
      </c>
      <c r="D20" s="1122">
        <v>468</v>
      </c>
      <c r="E20" s="1122">
        <v>4782</v>
      </c>
      <c r="F20" s="872">
        <f>pp_PPED_Audits_Outcome[[#This Row],[A_Tally]]+pp_PPED_Audits_Outcome[[#This Row],[B_Tally]]</f>
        <v>7635</v>
      </c>
      <c r="G20" s="872">
        <f>pp_PPED_Audits_Outcome[[#This Row],[A_Hours]]+pp_PPED_Audits_Outcome[[#This Row],[B_Hours]]</f>
        <v>39470.5</v>
      </c>
      <c r="H20" s="1124">
        <v>15</v>
      </c>
      <c r="I20" s="1122">
        <v>465.5</v>
      </c>
      <c r="J20" s="1122">
        <v>17</v>
      </c>
      <c r="K20" s="1122">
        <v>128.5</v>
      </c>
      <c r="L20" s="1114">
        <f t="shared" si="0"/>
        <v>0.93870333988212185</v>
      </c>
      <c r="M20" s="1115">
        <f t="shared" si="1"/>
        <v>4.8400306962466866</v>
      </c>
      <c r="N20" s="1117">
        <f t="shared" si="2"/>
        <v>10.217948717948717</v>
      </c>
      <c r="O20" s="1117">
        <f t="shared" si="3"/>
        <v>31.033333333333335</v>
      </c>
      <c r="P20" s="1117">
        <f t="shared" si="4"/>
        <v>7.5588235294117645</v>
      </c>
    </row>
    <row r="21" spans="1:18" x14ac:dyDescent="0.35">
      <c r="A21" s="783" t="s">
        <v>241</v>
      </c>
      <c r="B21" s="1122">
        <v>7508</v>
      </c>
      <c r="C21" s="1122">
        <v>36452.25</v>
      </c>
      <c r="D21" s="1122">
        <v>364</v>
      </c>
      <c r="E21" s="1122">
        <v>3759.25</v>
      </c>
      <c r="F21" s="872">
        <f>pp_PPED_Audits_Outcome[[#This Row],[A_Tally]]+pp_PPED_Audits_Outcome[[#This Row],[B_Tally]]</f>
        <v>7872</v>
      </c>
      <c r="G21" s="872">
        <f>pp_PPED_Audits_Outcome[[#This Row],[A_Hours]]+pp_PPED_Audits_Outcome[[#This Row],[B_Hours]]</f>
        <v>40211.5</v>
      </c>
      <c r="H21" s="1124">
        <v>22</v>
      </c>
      <c r="I21" s="1122">
        <v>521.75</v>
      </c>
      <c r="J21" s="1122">
        <v>20</v>
      </c>
      <c r="K21" s="1122">
        <v>237.5</v>
      </c>
      <c r="L21" s="1114">
        <f t="shared" si="0"/>
        <v>0.95376016260162599</v>
      </c>
      <c r="M21" s="1115">
        <f t="shared" si="1"/>
        <v>4.8551212040490146</v>
      </c>
      <c r="N21" s="1117">
        <f t="shared" si="2"/>
        <v>10.327609890109891</v>
      </c>
      <c r="O21" s="1117">
        <f t="shared" si="3"/>
        <v>23.71590909090909</v>
      </c>
      <c r="P21" s="1117">
        <f t="shared" si="4"/>
        <v>11.875</v>
      </c>
    </row>
    <row r="22" spans="1:18" x14ac:dyDescent="0.35">
      <c r="A22" s="783" t="s">
        <v>773</v>
      </c>
      <c r="B22" s="1122">
        <v>6873</v>
      </c>
      <c r="C22" s="1124" t="s">
        <v>563</v>
      </c>
      <c r="D22" s="1122">
        <v>388</v>
      </c>
      <c r="E22" s="1124" t="s">
        <v>563</v>
      </c>
      <c r="F22" s="872">
        <f>pp_PPED_Audits_Outcome[[#This Row],[A_Tally]]+pp_PPED_Audits_Outcome[[#This Row],[B_Tally]]</f>
        <v>7261</v>
      </c>
      <c r="G22" s="873" t="s">
        <v>563</v>
      </c>
      <c r="H22" s="1124">
        <v>1</v>
      </c>
      <c r="I22" s="1124" t="s">
        <v>563</v>
      </c>
      <c r="J22" s="1122">
        <v>12</v>
      </c>
      <c r="K22" s="1124" t="s">
        <v>563</v>
      </c>
      <c r="L22" s="1114">
        <f t="shared" si="0"/>
        <v>0.94656383418261947</v>
      </c>
      <c r="M22" s="1120" t="str">
        <f>IFERROR(C22/B22, "-")</f>
        <v>-</v>
      </c>
      <c r="N22" s="1121" t="str">
        <f>IFERROR(E22/D22, "-")</f>
        <v>-</v>
      </c>
      <c r="O22" s="1121" t="str">
        <f>IFERROR(I22/H22, "-")</f>
        <v>-</v>
      </c>
      <c r="P22" s="1121" t="str">
        <f>IFERROR(K22/J22, "-")</f>
        <v>-</v>
      </c>
    </row>
    <row r="23" spans="1:18" x14ac:dyDescent="0.35">
      <c r="A23" s="783" t="s">
        <v>951</v>
      </c>
      <c r="B23" s="1122">
        <v>3180</v>
      </c>
      <c r="C23" s="1122">
        <v>16278.75</v>
      </c>
      <c r="D23" s="1122">
        <v>112</v>
      </c>
      <c r="E23" s="1122">
        <v>1338.75</v>
      </c>
      <c r="F23" s="872">
        <f>pp_PPED_Audits_Outcome[[#This Row],[A_Tally]]+pp_PPED_Audits_Outcome[[#This Row],[B_Tally]]</f>
        <v>3292</v>
      </c>
      <c r="G23" s="872">
        <f>pp_PPED_Audits_Outcome[[#This Row],[A_Hours]]+pp_PPED_Audits_Outcome[[#This Row],[B_Hours]]</f>
        <v>17617.5</v>
      </c>
      <c r="H23" s="1124">
        <v>3</v>
      </c>
      <c r="I23" s="1124">
        <v>123.25</v>
      </c>
      <c r="J23" s="1124">
        <v>3</v>
      </c>
      <c r="K23" s="1124">
        <v>24</v>
      </c>
      <c r="L23" s="1114">
        <f t="shared" si="0"/>
        <v>0.96597812879708389</v>
      </c>
      <c r="M23" s="1115">
        <f t="shared" si="1"/>
        <v>5.1191037735849054</v>
      </c>
      <c r="N23" s="1117">
        <f t="shared" si="2"/>
        <v>11.953125</v>
      </c>
      <c r="O23" s="1117">
        <f t="shared" si="3"/>
        <v>41.083333333333336</v>
      </c>
      <c r="P23" s="1117">
        <f t="shared" si="4"/>
        <v>8</v>
      </c>
    </row>
    <row r="24" spans="1:18" x14ac:dyDescent="0.35">
      <c r="A24" s="287"/>
      <c r="B24" s="123"/>
      <c r="C24" s="788"/>
      <c r="D24" s="235"/>
      <c r="E24" s="235"/>
      <c r="F24" s="235"/>
      <c r="G24" s="235"/>
      <c r="H24" s="235"/>
      <c r="I24" s="788"/>
      <c r="J24" s="235"/>
      <c r="K24" s="235"/>
      <c r="L24" s="505"/>
      <c r="M24" s="505"/>
      <c r="N24" s="235"/>
      <c r="O24" s="265"/>
      <c r="P24" s="235"/>
    </row>
    <row r="25" spans="1:18" x14ac:dyDescent="0.35">
      <c r="A25" s="413" t="s">
        <v>8</v>
      </c>
      <c r="B25" s="15"/>
      <c r="C25" s="15"/>
      <c r="D25" s="15"/>
      <c r="E25" s="15"/>
      <c r="F25" s="15"/>
      <c r="G25" s="15"/>
      <c r="H25" s="320"/>
      <c r="I25" s="320"/>
      <c r="J25" s="15"/>
      <c r="K25" s="15"/>
      <c r="L25" s="15"/>
      <c r="M25" s="15"/>
      <c r="N25" s="15"/>
      <c r="O25" s="15"/>
      <c r="P25" s="15"/>
    </row>
    <row r="26" spans="1:18" x14ac:dyDescent="0.35">
      <c r="A26" s="394" t="s">
        <v>894</v>
      </c>
      <c r="B26" s="15"/>
      <c r="C26" s="15"/>
      <c r="D26" s="15"/>
      <c r="E26" s="15"/>
      <c r="F26" s="15"/>
      <c r="G26" s="15"/>
      <c r="H26" s="320"/>
      <c r="I26" s="320"/>
      <c r="J26" s="15"/>
      <c r="K26" s="15"/>
      <c r="L26" s="15"/>
      <c r="M26" s="15"/>
      <c r="N26" s="15"/>
      <c r="O26" s="15"/>
      <c r="P26" s="15"/>
      <c r="Q26" s="542"/>
    </row>
    <row r="27" spans="1:18" x14ac:dyDescent="0.35">
      <c r="A27" s="394" t="s">
        <v>228</v>
      </c>
      <c r="B27" s="15"/>
      <c r="C27" s="15"/>
      <c r="D27" s="15"/>
      <c r="E27" s="15"/>
      <c r="F27" s="15"/>
      <c r="G27" s="15"/>
      <c r="H27" s="15"/>
      <c r="I27" s="15"/>
      <c r="J27" s="15"/>
      <c r="K27" s="15"/>
      <c r="L27" s="15"/>
      <c r="M27" s="15"/>
      <c r="N27" s="15"/>
      <c r="O27" s="15"/>
      <c r="P27" s="15"/>
      <c r="Q27" s="286"/>
      <c r="R27" s="286"/>
    </row>
    <row r="28" spans="1:18" x14ac:dyDescent="0.35">
      <c r="A28" s="1216" t="s">
        <v>766</v>
      </c>
      <c r="B28" s="1216"/>
      <c r="C28" s="1216"/>
      <c r="D28" s="1216"/>
      <c r="E28" s="1216"/>
      <c r="F28" s="1216"/>
      <c r="G28" s="1216"/>
      <c r="H28" s="1216"/>
      <c r="I28" s="1216"/>
      <c r="J28" s="798"/>
      <c r="K28" s="798"/>
      <c r="L28" s="798"/>
      <c r="M28" s="798"/>
      <c r="N28" s="798"/>
      <c r="O28" s="798"/>
      <c r="P28" s="798"/>
      <c r="Q28" s="15"/>
    </row>
    <row r="29" spans="1:18" ht="16.5" customHeight="1" x14ac:dyDescent="0.35">
      <c r="A29" s="394" t="s">
        <v>768</v>
      </c>
      <c r="B29" s="15"/>
      <c r="C29" s="15"/>
      <c r="D29" s="15"/>
      <c r="E29" s="15"/>
      <c r="F29" s="15"/>
      <c r="G29" s="15"/>
      <c r="H29" s="15"/>
      <c r="I29" s="15"/>
      <c r="J29" s="15"/>
      <c r="K29" s="15"/>
      <c r="L29" s="15"/>
      <c r="M29" s="15"/>
      <c r="N29" s="15"/>
      <c r="O29" s="15"/>
      <c r="P29" s="15"/>
      <c r="Q29" s="15"/>
    </row>
    <row r="30" spans="1:18" x14ac:dyDescent="0.35">
      <c r="A30" s="394"/>
      <c r="B30" s="15"/>
      <c r="C30" s="15"/>
      <c r="D30" s="15"/>
      <c r="E30" s="15"/>
      <c r="F30" s="15"/>
      <c r="G30" s="15"/>
      <c r="H30" s="15"/>
      <c r="I30" s="15"/>
      <c r="J30" s="15"/>
      <c r="K30" s="15"/>
      <c r="L30" s="15"/>
      <c r="M30" s="15"/>
      <c r="N30" s="15"/>
      <c r="O30" s="15"/>
      <c r="P30" s="15"/>
      <c r="Q30" s="15"/>
    </row>
    <row r="31" spans="1:18" ht="30" customHeight="1" x14ac:dyDescent="0.35">
      <c r="A31" s="15"/>
      <c r="B31" s="15"/>
      <c r="C31" s="15"/>
      <c r="D31" s="15"/>
      <c r="E31" s="15"/>
      <c r="F31" s="15"/>
      <c r="G31" s="15"/>
      <c r="H31" s="15"/>
      <c r="I31" s="15"/>
      <c r="J31" s="15"/>
      <c r="K31" s="15"/>
      <c r="L31" s="15"/>
      <c r="M31" s="15"/>
      <c r="N31" s="15"/>
      <c r="O31" s="15"/>
      <c r="P31" s="15"/>
      <c r="Q31" s="798"/>
      <c r="R31" s="798"/>
    </row>
    <row r="32" spans="1:18" ht="15.5" x14ac:dyDescent="0.35">
      <c r="A32" s="799" t="s">
        <v>568</v>
      </c>
      <c r="B32" s="799"/>
      <c r="C32" s="799"/>
      <c r="D32" s="799"/>
      <c r="E32" s="799"/>
      <c r="F32" s="799"/>
      <c r="G32" s="799"/>
      <c r="H32" s="799"/>
      <c r="I32" s="799"/>
      <c r="J32" s="799"/>
      <c r="K32" s="799"/>
      <c r="L32" s="799"/>
      <c r="M32" s="799"/>
      <c r="N32" s="799"/>
      <c r="O32" s="799"/>
      <c r="P32" s="799"/>
      <c r="Q32" s="15"/>
    </row>
    <row r="33" spans="1:17" ht="15.5" x14ac:dyDescent="0.35">
      <c r="A33" t="s">
        <v>320</v>
      </c>
      <c r="B33" t="s">
        <v>716</v>
      </c>
      <c r="C33" s="800"/>
      <c r="D33" s="800"/>
      <c r="E33" s="800"/>
      <c r="F33" s="800"/>
      <c r="G33" s="800"/>
      <c r="H33" s="800"/>
      <c r="I33" s="800"/>
      <c r="J33" s="800"/>
      <c r="K33" s="800"/>
      <c r="L33" s="800"/>
      <c r="M33" s="800"/>
      <c r="Q33" s="15"/>
    </row>
    <row r="34" spans="1:17" ht="15.5" x14ac:dyDescent="0.35">
      <c r="A34" t="s">
        <v>321</v>
      </c>
      <c r="B34" t="s">
        <v>323</v>
      </c>
      <c r="C34" s="800"/>
      <c r="D34" s="800"/>
      <c r="E34" s="800"/>
      <c r="F34" s="800"/>
      <c r="G34" s="800"/>
      <c r="H34" s="800"/>
      <c r="I34" s="800"/>
      <c r="J34" s="800"/>
      <c r="K34" s="800"/>
      <c r="L34" s="800"/>
      <c r="M34" s="800"/>
      <c r="Q34" s="15"/>
    </row>
    <row r="35" spans="1:17" ht="15.5" x14ac:dyDescent="0.35">
      <c r="A35" t="s">
        <v>322</v>
      </c>
      <c r="B35" t="s">
        <v>324</v>
      </c>
      <c r="C35" s="800"/>
      <c r="D35" s="800"/>
      <c r="E35" s="800"/>
      <c r="F35" s="800"/>
      <c r="G35" s="800"/>
      <c r="H35" s="800"/>
      <c r="I35" s="800"/>
      <c r="J35" s="800"/>
      <c r="K35" s="800"/>
      <c r="L35" s="800"/>
      <c r="M35" s="800"/>
      <c r="N35" s="28"/>
      <c r="O35" s="28"/>
      <c r="P35" s="28"/>
      <c r="Q35" s="799"/>
    </row>
    <row r="36" spans="1:17" ht="15.5" x14ac:dyDescent="0.35">
      <c r="A36" s="799"/>
      <c r="B36" s="799"/>
      <c r="C36" s="799"/>
      <c r="D36" s="799"/>
      <c r="E36" s="799"/>
      <c r="F36" s="799"/>
      <c r="G36" s="799"/>
      <c r="H36" s="799"/>
      <c r="I36" s="799"/>
      <c r="J36" s="799"/>
      <c r="K36" s="799"/>
      <c r="L36" s="799"/>
      <c r="M36" s="799"/>
      <c r="N36" s="799"/>
      <c r="O36" s="799"/>
      <c r="P36" s="799"/>
    </row>
    <row r="37" spans="1:17" x14ac:dyDescent="0.35">
      <c r="A37" s="12"/>
      <c r="B37" s="1213" t="s">
        <v>564</v>
      </c>
      <c r="C37" s="1213"/>
      <c r="D37" s="1213" t="s">
        <v>565</v>
      </c>
      <c r="E37" s="1213"/>
      <c r="F37" s="1215" t="s">
        <v>154</v>
      </c>
      <c r="G37" s="1215"/>
      <c r="H37" s="1217" t="s">
        <v>155</v>
      </c>
      <c r="I37" s="1215"/>
      <c r="J37" s="1215" t="s">
        <v>156</v>
      </c>
      <c r="K37" s="1215"/>
      <c r="L37" s="801"/>
      <c r="M37" s="801"/>
      <c r="N37" s="666"/>
      <c r="O37" s="802" t="s">
        <v>157</v>
      </c>
      <c r="P37" s="802"/>
    </row>
    <row r="38" spans="1:17" ht="39.5" customHeight="1" x14ac:dyDescent="0.35">
      <c r="A38" s="288" t="s">
        <v>162</v>
      </c>
      <c r="B38" s="289" t="s">
        <v>6</v>
      </c>
      <c r="C38" s="289" t="s">
        <v>158</v>
      </c>
      <c r="D38" s="289" t="s">
        <v>6</v>
      </c>
      <c r="E38" s="289" t="s">
        <v>158</v>
      </c>
      <c r="F38" s="290" t="s">
        <v>159</v>
      </c>
      <c r="G38" s="3" t="s">
        <v>158</v>
      </c>
      <c r="H38" s="664" t="s">
        <v>6</v>
      </c>
      <c r="I38" s="289" t="s">
        <v>158</v>
      </c>
      <c r="J38" s="289" t="s">
        <v>6</v>
      </c>
      <c r="K38" s="289" t="s">
        <v>158</v>
      </c>
      <c r="L38" s="663" t="s">
        <v>160</v>
      </c>
      <c r="M38" s="662" t="s">
        <v>564</v>
      </c>
      <c r="N38" s="285" t="s">
        <v>565</v>
      </c>
      <c r="O38" s="285" t="s">
        <v>161</v>
      </c>
      <c r="P38" s="373" t="s">
        <v>184</v>
      </c>
      <c r="Q38" s="28"/>
    </row>
    <row r="39" spans="1:17" x14ac:dyDescent="0.35">
      <c r="A39" s="1125" t="s">
        <v>135</v>
      </c>
      <c r="B39" s="1126">
        <f>auditsoutcomepremisespivot!B4</f>
        <v>212</v>
      </c>
      <c r="C39" s="1126">
        <f>auditsoutcomepremisespivot!C4</f>
        <v>1131.5</v>
      </c>
      <c r="D39" s="1126">
        <f>auditsoutcomepremisespivot!D4</f>
        <v>8</v>
      </c>
      <c r="E39" s="1126">
        <f>auditsoutcomepremisespivot!E4</f>
        <v>173</v>
      </c>
      <c r="F39" s="1127">
        <f t="shared" ref="F39:F53" si="5">B39+D39</f>
        <v>220</v>
      </c>
      <c r="G39" s="1127">
        <f t="shared" ref="G39:G53" si="6">E39+C39</f>
        <v>1304.5</v>
      </c>
      <c r="H39" s="1128">
        <f>auditsoutcomepremisespivot!F4</f>
        <v>0</v>
      </c>
      <c r="I39" s="1129">
        <f>auditsoutcomepremisespivot!G4</f>
        <v>0</v>
      </c>
      <c r="J39" s="1129">
        <f>auditsoutcomepremisespivot!H4</f>
        <v>0</v>
      </c>
      <c r="K39" s="1126">
        <f>auditsoutcomepremisespivot!I4</f>
        <v>0</v>
      </c>
      <c r="L39" s="1130">
        <f>B39/F39</f>
        <v>0.96363636363636362</v>
      </c>
      <c r="M39" s="1131">
        <f t="shared" ref="M39:M54" si="7">C39/B39</f>
        <v>5.3372641509433958</v>
      </c>
      <c r="N39" s="1132">
        <f t="shared" ref="N39:N44" si="8">E39/D39</f>
        <v>21.625</v>
      </c>
      <c r="O39" s="1132">
        <f>IF(H39=0, 0, I39/H39)</f>
        <v>0</v>
      </c>
      <c r="P39" s="1133" t="str">
        <f>IFERROR(K39/J39, "-")</f>
        <v>-</v>
      </c>
    </row>
    <row r="40" spans="1:17" ht="16.5" customHeight="1" x14ac:dyDescent="0.35">
      <c r="A40" s="1125" t="s">
        <v>136</v>
      </c>
      <c r="B40" s="1126">
        <f>auditsoutcomepremisespivot!B5</f>
        <v>1326</v>
      </c>
      <c r="C40" s="1126">
        <f>auditsoutcomepremisespivot!C5</f>
        <v>7506.25</v>
      </c>
      <c r="D40" s="1126">
        <f>auditsoutcomepremisespivot!D5</f>
        <v>16</v>
      </c>
      <c r="E40" s="1126">
        <f>auditsoutcomepremisespivot!E5</f>
        <v>203.5</v>
      </c>
      <c r="F40" s="1127">
        <f t="shared" si="5"/>
        <v>1342</v>
      </c>
      <c r="G40" s="1127">
        <f t="shared" si="6"/>
        <v>7709.75</v>
      </c>
      <c r="H40" s="1128">
        <f>auditsoutcomepremisespivot!F5</f>
        <v>0</v>
      </c>
      <c r="I40" s="1126">
        <f>auditsoutcomepremisespivot!G5</f>
        <v>0</v>
      </c>
      <c r="J40" s="1126">
        <f>auditsoutcomepremisespivot!H5</f>
        <v>0</v>
      </c>
      <c r="K40" s="1126">
        <f>auditsoutcomepremisespivot!I5</f>
        <v>0</v>
      </c>
      <c r="L40" s="1130">
        <f t="shared" ref="L40:L53" si="9">B40/F40</f>
        <v>0.98807749627421759</v>
      </c>
      <c r="M40" s="1131">
        <f t="shared" si="7"/>
        <v>5.6608220211161386</v>
      </c>
      <c r="N40" s="1132">
        <f t="shared" si="8"/>
        <v>12.71875</v>
      </c>
      <c r="O40" s="1132">
        <f t="shared" ref="O40:O54" si="10">IF(H40=0, 0, I40/H40)</f>
        <v>0</v>
      </c>
      <c r="P40" s="1133" t="str">
        <f t="shared" ref="P40:P54" si="11">IFERROR(K40/J40, "-")</f>
        <v>-</v>
      </c>
    </row>
    <row r="41" spans="1:17" x14ac:dyDescent="0.35">
      <c r="A41" s="1125" t="s">
        <v>152</v>
      </c>
      <c r="B41" s="1126">
        <f>auditsoutcomepremisespivot!B6</f>
        <v>774</v>
      </c>
      <c r="C41" s="1126">
        <f>auditsoutcomepremisespivot!C6</f>
        <v>2858.25</v>
      </c>
      <c r="D41" s="1126">
        <f>auditsoutcomepremisespivot!D6</f>
        <v>35</v>
      </c>
      <c r="E41" s="1126">
        <f>auditsoutcomepremisespivot!E6</f>
        <v>369.5</v>
      </c>
      <c r="F41" s="1127">
        <f t="shared" si="5"/>
        <v>809</v>
      </c>
      <c r="G41" s="1127">
        <f t="shared" si="6"/>
        <v>3227.75</v>
      </c>
      <c r="H41" s="1128">
        <f>auditsoutcomepremisespivot!F6</f>
        <v>1</v>
      </c>
      <c r="I41" s="1126">
        <f>auditsoutcomepremisespivot!G6</f>
        <v>41.25</v>
      </c>
      <c r="J41" s="1126">
        <f>auditsoutcomepremisespivot!H6</f>
        <v>0</v>
      </c>
      <c r="K41" s="1126">
        <f>auditsoutcomepremisespivot!I6</f>
        <v>0</v>
      </c>
      <c r="L41" s="1130">
        <f t="shared" si="9"/>
        <v>0.95673671199011123</v>
      </c>
      <c r="M41" s="1131">
        <f t="shared" si="7"/>
        <v>3.6928294573643412</v>
      </c>
      <c r="N41" s="1132">
        <f t="shared" si="8"/>
        <v>10.557142857142857</v>
      </c>
      <c r="O41" s="1132">
        <f t="shared" si="10"/>
        <v>41.25</v>
      </c>
      <c r="P41" s="1133" t="str">
        <f t="shared" si="11"/>
        <v>-</v>
      </c>
    </row>
    <row r="42" spans="1:17" x14ac:dyDescent="0.35">
      <c r="A42" s="1125" t="s">
        <v>137</v>
      </c>
      <c r="B42" s="1126">
        <f>auditsoutcomepremisespivot!B7</f>
        <v>34</v>
      </c>
      <c r="C42" s="1126">
        <f>auditsoutcomepremisespivot!C7</f>
        <v>117</v>
      </c>
      <c r="D42" s="1126">
        <f>auditsoutcomepremisespivot!D7</f>
        <v>3</v>
      </c>
      <c r="E42" s="1126">
        <f>auditsoutcomepremisespivot!E7</f>
        <v>48.75</v>
      </c>
      <c r="F42" s="1127">
        <f t="shared" si="5"/>
        <v>37</v>
      </c>
      <c r="G42" s="1127">
        <f t="shared" si="6"/>
        <v>165.75</v>
      </c>
      <c r="H42" s="1128">
        <f>auditsoutcomepremisespivot!F7</f>
        <v>0</v>
      </c>
      <c r="I42" s="1126">
        <f>auditsoutcomepremisespivot!G7</f>
        <v>0</v>
      </c>
      <c r="J42" s="1126">
        <f>auditsoutcomepremisespivot!H7</f>
        <v>0</v>
      </c>
      <c r="K42" s="1126">
        <f>auditsoutcomepremisespivot!I7</f>
        <v>0</v>
      </c>
      <c r="L42" s="1130">
        <f t="shared" si="9"/>
        <v>0.91891891891891897</v>
      </c>
      <c r="M42" s="1131">
        <f t="shared" si="7"/>
        <v>3.4411764705882355</v>
      </c>
      <c r="N42" s="1132">
        <f t="shared" si="8"/>
        <v>16.25</v>
      </c>
      <c r="O42" s="1132">
        <f t="shared" si="10"/>
        <v>0</v>
      </c>
      <c r="P42" s="1133" t="str">
        <f t="shared" si="11"/>
        <v>-</v>
      </c>
      <c r="Q42" s="474"/>
    </row>
    <row r="43" spans="1:17" x14ac:dyDescent="0.35">
      <c r="A43" s="1125" t="s">
        <v>138</v>
      </c>
      <c r="B43" s="1126">
        <f>auditsoutcomepremisespivot!B8</f>
        <v>206</v>
      </c>
      <c r="C43" s="1126">
        <f>auditsoutcomepremisespivot!C8</f>
        <v>1195.25</v>
      </c>
      <c r="D43" s="1126">
        <f>auditsoutcomepremisespivot!D8</f>
        <v>24</v>
      </c>
      <c r="E43" s="1126">
        <f>auditsoutcomepremisespivot!E8</f>
        <v>285.25</v>
      </c>
      <c r="F43" s="1127">
        <f t="shared" si="5"/>
        <v>230</v>
      </c>
      <c r="G43" s="1127">
        <f t="shared" si="6"/>
        <v>1480.5</v>
      </c>
      <c r="H43" s="1128">
        <f>auditsoutcomepremisespivot!F8</f>
        <v>1</v>
      </c>
      <c r="I43" s="1126">
        <f>auditsoutcomepremisespivot!G8</f>
        <v>54.5</v>
      </c>
      <c r="J43" s="1126">
        <f>auditsoutcomepremisespivot!H8</f>
        <v>0</v>
      </c>
      <c r="K43" s="1126">
        <f>auditsoutcomepremisespivot!I8</f>
        <v>0</v>
      </c>
      <c r="L43" s="1130">
        <f t="shared" si="9"/>
        <v>0.89565217391304353</v>
      </c>
      <c r="M43" s="1131">
        <f t="shared" si="7"/>
        <v>5.8021844660194173</v>
      </c>
      <c r="N43" s="1132">
        <f t="shared" si="8"/>
        <v>11.885416666666666</v>
      </c>
      <c r="O43" s="1132">
        <f t="shared" si="10"/>
        <v>54.5</v>
      </c>
      <c r="P43" s="1133" t="str">
        <f t="shared" si="11"/>
        <v>-</v>
      </c>
      <c r="Q43" s="474"/>
    </row>
    <row r="44" spans="1:17" x14ac:dyDescent="0.35">
      <c r="A44" s="1125" t="s">
        <v>139</v>
      </c>
      <c r="B44" s="1126">
        <f>auditsoutcomepremisespivot!B9</f>
        <v>109</v>
      </c>
      <c r="C44" s="1126">
        <f>auditsoutcomepremisespivot!C9</f>
        <v>561.5</v>
      </c>
      <c r="D44" s="1126">
        <f>auditsoutcomepremisespivot!D9</f>
        <v>6</v>
      </c>
      <c r="E44" s="1126">
        <f>auditsoutcomepremisespivot!E9</f>
        <v>63.5</v>
      </c>
      <c r="F44" s="1127">
        <f t="shared" si="5"/>
        <v>115</v>
      </c>
      <c r="G44" s="1127">
        <f t="shared" si="6"/>
        <v>625</v>
      </c>
      <c r="H44" s="1128">
        <f>auditsoutcomepremisespivot!F9</f>
        <v>1</v>
      </c>
      <c r="I44" s="1126">
        <f>auditsoutcomepremisespivot!G9</f>
        <v>27.5</v>
      </c>
      <c r="J44" s="1126">
        <f>auditsoutcomepremisespivot!H9</f>
        <v>0</v>
      </c>
      <c r="K44" s="1126">
        <f>auditsoutcomepremisespivot!I9</f>
        <v>0</v>
      </c>
      <c r="L44" s="1130">
        <f t="shared" si="9"/>
        <v>0.94782608695652171</v>
      </c>
      <c r="M44" s="1131">
        <f t="shared" si="7"/>
        <v>5.1513761467889907</v>
      </c>
      <c r="N44" s="1132">
        <f t="shared" si="8"/>
        <v>10.583333333333334</v>
      </c>
      <c r="O44" s="1132">
        <f t="shared" si="10"/>
        <v>27.5</v>
      </c>
      <c r="P44" s="1133" t="str">
        <f t="shared" si="11"/>
        <v>-</v>
      </c>
      <c r="Q44" s="474"/>
    </row>
    <row r="45" spans="1:17" x14ac:dyDescent="0.35">
      <c r="A45" s="1125" t="s">
        <v>140</v>
      </c>
      <c r="B45" s="1126">
        <f>auditsoutcomepremisespivot!B10</f>
        <v>10</v>
      </c>
      <c r="C45" s="1126">
        <f>auditsoutcomepremisespivot!C10</f>
        <v>66.5</v>
      </c>
      <c r="D45" s="1126">
        <f>auditsoutcomepremisespivot!D10</f>
        <v>0</v>
      </c>
      <c r="E45" s="1126">
        <f>auditsoutcomepremisespivot!E10</f>
        <v>0</v>
      </c>
      <c r="F45" s="1127">
        <f t="shared" si="5"/>
        <v>10</v>
      </c>
      <c r="G45" s="1127">
        <f t="shared" si="6"/>
        <v>66.5</v>
      </c>
      <c r="H45" s="1128">
        <f>auditsoutcomepremisespivot!F10</f>
        <v>0</v>
      </c>
      <c r="I45" s="1126">
        <f>auditsoutcomepremisespivot!G10</f>
        <v>0</v>
      </c>
      <c r="J45" s="1126">
        <f>auditsoutcomepremisespivot!H10</f>
        <v>0</v>
      </c>
      <c r="K45" s="1126">
        <f>auditsoutcomepremisespivot!I10</f>
        <v>0</v>
      </c>
      <c r="L45" s="1130">
        <f t="shared" si="9"/>
        <v>1</v>
      </c>
      <c r="M45" s="1131">
        <f t="shared" si="7"/>
        <v>6.65</v>
      </c>
      <c r="N45" s="1132">
        <f>IFERROR(E45/D45,0)</f>
        <v>0</v>
      </c>
      <c r="O45" s="1132">
        <f t="shared" si="10"/>
        <v>0</v>
      </c>
      <c r="P45" s="1133" t="str">
        <f t="shared" si="11"/>
        <v>-</v>
      </c>
      <c r="Q45" s="474"/>
    </row>
    <row r="46" spans="1:17" x14ac:dyDescent="0.35">
      <c r="A46" s="1125" t="s">
        <v>141</v>
      </c>
      <c r="B46" s="1126">
        <f>auditsoutcomepremisespivot!B11</f>
        <v>6</v>
      </c>
      <c r="C46" s="1126">
        <f>auditsoutcomepremisespivot!C11</f>
        <v>28</v>
      </c>
      <c r="D46" s="1126">
        <f>auditsoutcomepremisespivot!D11</f>
        <v>0</v>
      </c>
      <c r="E46" s="1126">
        <f>auditsoutcomepremisespivot!E11</f>
        <v>0</v>
      </c>
      <c r="F46" s="1127">
        <f t="shared" si="5"/>
        <v>6</v>
      </c>
      <c r="G46" s="1127">
        <f t="shared" si="6"/>
        <v>28</v>
      </c>
      <c r="H46" s="1128">
        <f>auditsoutcomepremisespivot!F11</f>
        <v>0</v>
      </c>
      <c r="I46" s="1126">
        <f>auditsoutcomepremisespivot!G11</f>
        <v>0</v>
      </c>
      <c r="J46" s="1126">
        <f>auditsoutcomepremisespivot!H11</f>
        <v>0</v>
      </c>
      <c r="K46" s="1126">
        <f>auditsoutcomepremisespivot!I11</f>
        <v>0</v>
      </c>
      <c r="L46" s="1130">
        <f t="shared" si="9"/>
        <v>1</v>
      </c>
      <c r="M46" s="1131">
        <f t="shared" si="7"/>
        <v>4.666666666666667</v>
      </c>
      <c r="N46" s="1132" t="str">
        <f>IFERROR(E46/D46, "-")</f>
        <v>-</v>
      </c>
      <c r="O46" s="1132">
        <f t="shared" si="10"/>
        <v>0</v>
      </c>
      <c r="P46" s="1133" t="str">
        <f t="shared" si="11"/>
        <v>-</v>
      </c>
      <c r="Q46" s="474"/>
    </row>
    <row r="47" spans="1:17" x14ac:dyDescent="0.35">
      <c r="A47" s="1125" t="s">
        <v>142</v>
      </c>
      <c r="B47" s="1126">
        <f>auditsoutcomepremisespivot!B12</f>
        <v>67</v>
      </c>
      <c r="C47" s="1126">
        <f>auditsoutcomepremisespivot!C12</f>
        <v>372.75</v>
      </c>
      <c r="D47" s="1126">
        <f>auditsoutcomepremisespivot!D12</f>
        <v>6</v>
      </c>
      <c r="E47" s="1126">
        <f>auditsoutcomepremisespivot!E12</f>
        <v>50</v>
      </c>
      <c r="F47" s="1127">
        <f t="shared" si="5"/>
        <v>73</v>
      </c>
      <c r="G47" s="1127">
        <f t="shared" si="6"/>
        <v>422.75</v>
      </c>
      <c r="H47" s="1128">
        <f>auditsoutcomepremisespivot!F12</f>
        <v>0</v>
      </c>
      <c r="I47" s="1126">
        <f>auditsoutcomepremisespivot!G12</f>
        <v>0</v>
      </c>
      <c r="J47" s="1126">
        <f>auditsoutcomepremisespivot!H12</f>
        <v>1</v>
      </c>
      <c r="K47" s="1126">
        <f>auditsoutcomepremisespivot!I12</f>
        <v>0</v>
      </c>
      <c r="L47" s="1130">
        <f t="shared" si="9"/>
        <v>0.9178082191780822</v>
      </c>
      <c r="M47" s="1131">
        <f t="shared" si="7"/>
        <v>5.5634328358208958</v>
      </c>
      <c r="N47" s="1132">
        <f t="shared" ref="N47:N54" si="12">E47/D47</f>
        <v>8.3333333333333339</v>
      </c>
      <c r="O47" s="1132">
        <f t="shared" si="10"/>
        <v>0</v>
      </c>
      <c r="P47" s="1133">
        <f t="shared" si="11"/>
        <v>0</v>
      </c>
      <c r="Q47" s="474"/>
    </row>
    <row r="48" spans="1:17" x14ac:dyDescent="0.35">
      <c r="A48" s="1125" t="s">
        <v>143</v>
      </c>
      <c r="B48" s="1126">
        <f>auditsoutcomepremisespivot!B13</f>
        <v>66</v>
      </c>
      <c r="C48" s="1126">
        <f>auditsoutcomepremisespivot!C13</f>
        <v>355.25</v>
      </c>
      <c r="D48" s="1126">
        <f>auditsoutcomepremisespivot!D13</f>
        <v>1</v>
      </c>
      <c r="E48" s="1126">
        <f>auditsoutcomepremisespivot!E13</f>
        <v>31.25</v>
      </c>
      <c r="F48" s="1127">
        <f t="shared" si="5"/>
        <v>67</v>
      </c>
      <c r="G48" s="1127">
        <f t="shared" si="6"/>
        <v>386.5</v>
      </c>
      <c r="H48" s="1128">
        <f>auditsoutcomepremisespivot!F13</f>
        <v>0</v>
      </c>
      <c r="I48" s="1126">
        <f>auditsoutcomepremisespivot!G13</f>
        <v>0</v>
      </c>
      <c r="J48" s="1126">
        <f>auditsoutcomepremisespivot!H13</f>
        <v>0</v>
      </c>
      <c r="K48" s="1126">
        <f>auditsoutcomepremisespivot!I13</f>
        <v>0</v>
      </c>
      <c r="L48" s="1130">
        <f t="shared" si="9"/>
        <v>0.9850746268656716</v>
      </c>
      <c r="M48" s="1131">
        <f t="shared" si="7"/>
        <v>5.3825757575757578</v>
      </c>
      <c r="N48" s="1132">
        <f t="shared" si="12"/>
        <v>31.25</v>
      </c>
      <c r="O48" s="1132">
        <f t="shared" si="10"/>
        <v>0</v>
      </c>
      <c r="P48" s="1133" t="str">
        <f t="shared" si="11"/>
        <v>-</v>
      </c>
      <c r="Q48" s="474"/>
    </row>
    <row r="49" spans="1:19" x14ac:dyDescent="0.35">
      <c r="A49" s="1125" t="s">
        <v>144</v>
      </c>
      <c r="B49" s="1126">
        <f>auditsoutcomepremisespivot!B14</f>
        <v>119</v>
      </c>
      <c r="C49" s="1126">
        <f>auditsoutcomepremisespivot!C14</f>
        <v>667.5</v>
      </c>
      <c r="D49" s="1126">
        <f>auditsoutcomepremisespivot!D14</f>
        <v>6</v>
      </c>
      <c r="E49" s="1126">
        <f>auditsoutcomepremisespivot!E14</f>
        <v>56.25</v>
      </c>
      <c r="F49" s="1127">
        <f t="shared" si="5"/>
        <v>125</v>
      </c>
      <c r="G49" s="1127">
        <f t="shared" si="6"/>
        <v>723.75</v>
      </c>
      <c r="H49" s="1128">
        <f>auditsoutcomepremisespivot!F14</f>
        <v>0</v>
      </c>
      <c r="I49" s="1126">
        <f>auditsoutcomepremisespivot!G14</f>
        <v>0</v>
      </c>
      <c r="J49" s="1126">
        <f>auditsoutcomepremisespivot!H14</f>
        <v>1</v>
      </c>
      <c r="K49" s="1126">
        <f>auditsoutcomepremisespivot!I14</f>
        <v>4</v>
      </c>
      <c r="L49" s="1130">
        <f t="shared" si="9"/>
        <v>0.95199999999999996</v>
      </c>
      <c r="M49" s="1131">
        <f t="shared" si="7"/>
        <v>5.6092436974789912</v>
      </c>
      <c r="N49" s="1132">
        <f t="shared" si="12"/>
        <v>9.375</v>
      </c>
      <c r="O49" s="1132">
        <f t="shared" si="10"/>
        <v>0</v>
      </c>
      <c r="P49" s="1133">
        <f t="shared" si="11"/>
        <v>4</v>
      </c>
      <c r="Q49" s="474"/>
    </row>
    <row r="50" spans="1:19" x14ac:dyDescent="0.35">
      <c r="A50" s="1125" t="s">
        <v>145</v>
      </c>
      <c r="B50" s="1126">
        <f>auditsoutcomepremisespivot!B15</f>
        <v>59</v>
      </c>
      <c r="C50" s="1126">
        <f>auditsoutcomepremisespivot!C15</f>
        <v>366.5</v>
      </c>
      <c r="D50" s="1126">
        <f>auditsoutcomepremisespivot!D15</f>
        <v>3</v>
      </c>
      <c r="E50" s="1126">
        <f>auditsoutcomepremisespivot!E15</f>
        <v>27.25</v>
      </c>
      <c r="F50" s="1127">
        <f t="shared" si="5"/>
        <v>62</v>
      </c>
      <c r="G50" s="1127">
        <f t="shared" si="6"/>
        <v>393.75</v>
      </c>
      <c r="H50" s="1128">
        <f>auditsoutcomepremisespivot!F15</f>
        <v>0</v>
      </c>
      <c r="I50" s="1126">
        <f>auditsoutcomepremisespivot!G15</f>
        <v>0</v>
      </c>
      <c r="J50" s="1126">
        <f>auditsoutcomepremisespivot!H15</f>
        <v>0</v>
      </c>
      <c r="K50" s="1126">
        <f>auditsoutcomepremisespivot!I15</f>
        <v>0</v>
      </c>
      <c r="L50" s="1130">
        <f t="shared" si="9"/>
        <v>0.95161290322580649</v>
      </c>
      <c r="M50" s="1131">
        <f t="shared" si="7"/>
        <v>6.2118644067796609</v>
      </c>
      <c r="N50" s="1132">
        <f t="shared" si="12"/>
        <v>9.0833333333333339</v>
      </c>
      <c r="O50" s="1132">
        <f t="shared" si="10"/>
        <v>0</v>
      </c>
      <c r="P50" s="1133" t="str">
        <f t="shared" si="11"/>
        <v>-</v>
      </c>
      <c r="Q50" s="474"/>
    </row>
    <row r="51" spans="1:19" x14ac:dyDescent="0.35">
      <c r="A51" s="1134" t="s">
        <v>146</v>
      </c>
      <c r="B51" s="1126">
        <f>auditsoutcomepremisespivot!B16</f>
        <v>82</v>
      </c>
      <c r="C51" s="1126">
        <f>auditsoutcomepremisespivot!C16</f>
        <v>493.75</v>
      </c>
      <c r="D51" s="1126">
        <f>auditsoutcomepremisespivot!D16</f>
        <v>2</v>
      </c>
      <c r="E51" s="1126">
        <f>auditsoutcomepremisespivot!E16</f>
        <v>11.25</v>
      </c>
      <c r="F51" s="1127">
        <f t="shared" si="5"/>
        <v>84</v>
      </c>
      <c r="G51" s="1127">
        <f t="shared" si="6"/>
        <v>505</v>
      </c>
      <c r="H51" s="1128">
        <f>auditsoutcomepremisespivot!F16</f>
        <v>0</v>
      </c>
      <c r="I51" s="1126">
        <f>auditsoutcomepremisespivot!G16</f>
        <v>0</v>
      </c>
      <c r="J51" s="1126">
        <f>auditsoutcomepremisespivot!H16</f>
        <v>0</v>
      </c>
      <c r="K51" s="1126">
        <f>auditsoutcomepremisespivot!I16</f>
        <v>0</v>
      </c>
      <c r="L51" s="1130">
        <f t="shared" si="9"/>
        <v>0.97619047619047616</v>
      </c>
      <c r="M51" s="1131">
        <f t="shared" si="7"/>
        <v>6.0213414634146343</v>
      </c>
      <c r="N51" s="1132">
        <f t="shared" si="12"/>
        <v>5.625</v>
      </c>
      <c r="O51" s="1132">
        <f t="shared" si="10"/>
        <v>0</v>
      </c>
      <c r="P51" s="1133" t="str">
        <f t="shared" si="11"/>
        <v>-</v>
      </c>
      <c r="Q51" s="474"/>
    </row>
    <row r="52" spans="1:19" x14ac:dyDescent="0.35">
      <c r="A52" s="1125" t="s">
        <v>147</v>
      </c>
      <c r="B52" s="1126">
        <f>auditsoutcomepremisespivot!B17</f>
        <v>62</v>
      </c>
      <c r="C52" s="1126">
        <f>auditsoutcomepremisespivot!C17</f>
        <v>288.25</v>
      </c>
      <c r="D52" s="1126">
        <f>auditsoutcomepremisespivot!D17</f>
        <v>0</v>
      </c>
      <c r="E52" s="1126">
        <f>auditsoutcomepremisespivot!E17</f>
        <v>0</v>
      </c>
      <c r="F52" s="1127">
        <f t="shared" si="5"/>
        <v>62</v>
      </c>
      <c r="G52" s="1135">
        <f t="shared" si="6"/>
        <v>288.25</v>
      </c>
      <c r="H52" s="1128">
        <f>auditsoutcomepremisespivot!F17</f>
        <v>0</v>
      </c>
      <c r="I52" s="1126">
        <f>auditsoutcomepremisespivot!G17</f>
        <v>0</v>
      </c>
      <c r="J52" s="1126">
        <f>auditsoutcomepremisespivot!H17</f>
        <v>0</v>
      </c>
      <c r="K52" s="1126">
        <f>auditsoutcomepremisespivot!I17</f>
        <v>0</v>
      </c>
      <c r="L52" s="1130">
        <f t="shared" si="9"/>
        <v>1</v>
      </c>
      <c r="M52" s="1131">
        <f t="shared" si="7"/>
        <v>4.649193548387097</v>
      </c>
      <c r="N52" s="1132" t="str">
        <f>IFERROR(E52/D52, "-")</f>
        <v>-</v>
      </c>
      <c r="O52" s="1132">
        <f t="shared" si="10"/>
        <v>0</v>
      </c>
      <c r="P52" s="1133" t="str">
        <f t="shared" si="11"/>
        <v>-</v>
      </c>
      <c r="Q52" s="474"/>
    </row>
    <row r="53" spans="1:19" x14ac:dyDescent="0.35">
      <c r="A53" s="1125" t="s">
        <v>148</v>
      </c>
      <c r="B53" s="1126">
        <f>auditsoutcomepremisespivot!B18</f>
        <v>48</v>
      </c>
      <c r="C53" s="1126">
        <f>auditsoutcomepremisespivot!C18</f>
        <v>270.5</v>
      </c>
      <c r="D53" s="1126">
        <f>auditsoutcomepremisespivot!D18</f>
        <v>2</v>
      </c>
      <c r="E53" s="1126">
        <f>auditsoutcomepremisespivot!E18</f>
        <v>19.25</v>
      </c>
      <c r="F53" s="1127">
        <f t="shared" si="5"/>
        <v>50</v>
      </c>
      <c r="G53" s="1135">
        <f t="shared" si="6"/>
        <v>289.75</v>
      </c>
      <c r="H53" s="1136">
        <f>auditsoutcomepremisespivot!F18</f>
        <v>0</v>
      </c>
      <c r="I53" s="1137">
        <f>auditsoutcomepremisespivot!G18</f>
        <v>0</v>
      </c>
      <c r="J53" s="1137">
        <f>auditsoutcomepremisespivot!H18</f>
        <v>1</v>
      </c>
      <c r="K53" s="1126">
        <f>auditsoutcomepremisespivot!I18</f>
        <v>20</v>
      </c>
      <c r="L53" s="1130">
        <f t="shared" si="9"/>
        <v>0.96</v>
      </c>
      <c r="M53" s="1131">
        <f t="shared" si="7"/>
        <v>5.635416666666667</v>
      </c>
      <c r="N53" s="1132">
        <f t="shared" si="12"/>
        <v>9.625</v>
      </c>
      <c r="O53" s="1138">
        <f t="shared" si="10"/>
        <v>0</v>
      </c>
      <c r="P53" s="1139">
        <f t="shared" si="11"/>
        <v>20</v>
      </c>
      <c r="Q53" s="474"/>
    </row>
    <row r="54" spans="1:19" ht="15" thickBot="1" x14ac:dyDescent="0.4">
      <c r="A54" s="297" t="s">
        <v>734</v>
      </c>
      <c r="B54" s="1140">
        <f>SUM(B39:B53)</f>
        <v>3180</v>
      </c>
      <c r="C54" s="1140">
        <f>SUM(C39:C53)</f>
        <v>16278.75</v>
      </c>
      <c r="D54" s="1140">
        <f t="shared" ref="D54:E54" si="13">SUM(D39:D53)</f>
        <v>112</v>
      </c>
      <c r="E54" s="1140">
        <f t="shared" si="13"/>
        <v>1338.75</v>
      </c>
      <c r="F54" s="1140">
        <f>SUM(F39:F53)</f>
        <v>3292</v>
      </c>
      <c r="G54" s="1140">
        <f>SUM(G39:G53)</f>
        <v>17617.5</v>
      </c>
      <c r="H54" s="1141">
        <f t="shared" ref="H54:K54" si="14">SUM(H39:H53)</f>
        <v>3</v>
      </c>
      <c r="I54" s="1140">
        <f t="shared" si="14"/>
        <v>123.25</v>
      </c>
      <c r="J54" s="1140">
        <f t="shared" si="14"/>
        <v>3</v>
      </c>
      <c r="K54" s="1140">
        <f t="shared" si="14"/>
        <v>24</v>
      </c>
      <c r="L54" s="1142">
        <f t="shared" ref="L54" si="15">B54/F54%</f>
        <v>96.597812879708385</v>
      </c>
      <c r="M54" s="1143">
        <f t="shared" si="7"/>
        <v>5.1191037735849054</v>
      </c>
      <c r="N54" s="1144">
        <f t="shared" si="12"/>
        <v>11.953125</v>
      </c>
      <c r="O54" s="1145">
        <f t="shared" si="10"/>
        <v>41.083333333333336</v>
      </c>
      <c r="P54" s="1146">
        <f t="shared" si="11"/>
        <v>8</v>
      </c>
      <c r="Q54" s="474"/>
    </row>
    <row r="55" spans="1:19" x14ac:dyDescent="0.35">
      <c r="A55" s="33"/>
      <c r="B55" s="291"/>
      <c r="C55" s="291"/>
      <c r="D55" s="291"/>
      <c r="E55" s="291"/>
      <c r="F55" s="291"/>
      <c r="G55" s="291"/>
      <c r="H55" s="291"/>
      <c r="I55" s="292"/>
      <c r="J55" s="291"/>
      <c r="K55" s="293"/>
      <c r="L55" s="294"/>
      <c r="M55" s="294"/>
      <c r="N55" s="322"/>
      <c r="O55" s="295"/>
      <c r="P55" s="295"/>
      <c r="Q55" s="474"/>
    </row>
    <row r="56" spans="1:19" x14ac:dyDescent="0.35">
      <c r="A56" s="413" t="s">
        <v>8</v>
      </c>
      <c r="B56" s="15"/>
      <c r="C56" s="15"/>
      <c r="D56" s="15"/>
      <c r="E56" s="15"/>
      <c r="F56" s="15"/>
      <c r="G56" s="15"/>
      <c r="H56" s="320"/>
      <c r="I56" s="320"/>
      <c r="J56" s="15"/>
      <c r="K56" s="15"/>
      <c r="L56" s="15"/>
      <c r="M56" s="15"/>
      <c r="N56" s="15"/>
      <c r="O56" s="15"/>
      <c r="P56" s="15"/>
      <c r="S56" s="474"/>
    </row>
    <row r="57" spans="1:19" x14ac:dyDescent="0.35">
      <c r="A57" s="394" t="s">
        <v>894</v>
      </c>
      <c r="B57" s="15"/>
      <c r="C57" s="15"/>
      <c r="D57" s="15"/>
      <c r="E57" s="15"/>
      <c r="F57" s="15"/>
      <c r="G57" s="15"/>
      <c r="H57" s="320"/>
      <c r="I57" s="320"/>
      <c r="J57" s="15"/>
      <c r="K57" s="15"/>
      <c r="L57" s="15"/>
      <c r="M57" s="15"/>
      <c r="N57" s="15"/>
      <c r="O57" s="15"/>
      <c r="P57" s="15"/>
    </row>
    <row r="58" spans="1:19" x14ac:dyDescent="0.35">
      <c r="A58" s="1180" t="s">
        <v>767</v>
      </c>
      <c r="B58" s="1180"/>
      <c r="C58" s="1180"/>
      <c r="D58" s="1180"/>
      <c r="E58" s="1180"/>
      <c r="F58" s="1180"/>
      <c r="G58" s="1180"/>
      <c r="H58" s="1180"/>
      <c r="I58" s="798"/>
      <c r="J58" s="798"/>
      <c r="K58" s="798"/>
      <c r="L58" s="798"/>
      <c r="M58" s="798"/>
      <c r="N58" s="798"/>
      <c r="O58" s="798"/>
      <c r="P58" s="798"/>
      <c r="Q58" s="296"/>
    </row>
    <row r="59" spans="1:19" ht="15.5" customHeight="1" x14ac:dyDescent="0.35">
      <c r="A59" s="394" t="s">
        <v>768</v>
      </c>
      <c r="B59" s="15"/>
      <c r="C59" s="15"/>
      <c r="D59" s="15"/>
      <c r="E59" s="15"/>
      <c r="F59" s="15"/>
      <c r="G59" s="15"/>
      <c r="H59" s="15"/>
      <c r="I59" s="15"/>
      <c r="J59" s="15"/>
      <c r="K59" s="15"/>
      <c r="L59" s="15"/>
      <c r="M59" s="15"/>
      <c r="N59" s="15"/>
      <c r="O59" s="15"/>
      <c r="P59" s="15"/>
      <c r="Q59" s="15"/>
    </row>
    <row r="60" spans="1:19" x14ac:dyDescent="0.35">
      <c r="A60" s="394"/>
      <c r="B60" s="382"/>
      <c r="C60" s="382"/>
      <c r="D60" s="382"/>
      <c r="E60" s="382"/>
      <c r="F60" s="382"/>
      <c r="G60" s="382"/>
      <c r="H60" s="382"/>
      <c r="I60" s="382"/>
      <c r="J60" s="382"/>
      <c r="K60" s="382"/>
      <c r="L60" s="382"/>
      <c r="M60" s="382"/>
      <c r="N60" s="382"/>
      <c r="O60" s="382"/>
      <c r="P60" s="382"/>
      <c r="Q60" s="15"/>
    </row>
    <row r="61" spans="1:19" ht="30" customHeight="1" x14ac:dyDescent="0.35">
      <c r="Q61" s="798"/>
      <c r="R61" s="798"/>
    </row>
    <row r="62" spans="1:19" x14ac:dyDescent="0.35">
      <c r="Q62" s="15"/>
    </row>
    <row r="63" spans="1:19" x14ac:dyDescent="0.35">
      <c r="Q63" s="382"/>
    </row>
  </sheetData>
  <sheetProtection algorithmName="SHA-512" hashValue="bgPqbNCF8EevQI1BFcXuTlI1TRUSgu1zxyRZ6dWQBX56JFwAAs/YbQZg+fXzp6sJyQ+/zI2PNoi0RrNXAXRlNA==" saltValue="kLmPjKFCM+j8sMswOR1+NA==" spinCount="100000" sheet="1" scenarios="1" formatCells="0" formatColumns="0" formatRows="0" sort="0" autoFilter="0" pivotTables="0"/>
  <mergeCells count="14">
    <mergeCell ref="A58:H58"/>
    <mergeCell ref="B37:C37"/>
    <mergeCell ref="F37:G37"/>
    <mergeCell ref="A28:I28"/>
    <mergeCell ref="J37:K37"/>
    <mergeCell ref="H37:I37"/>
    <mergeCell ref="D37:E37"/>
    <mergeCell ref="F9:G9"/>
    <mergeCell ref="A4:Q4"/>
    <mergeCell ref="B9:C9"/>
    <mergeCell ref="D9:E9"/>
    <mergeCell ref="H9:I9"/>
    <mergeCell ref="J9:K9"/>
    <mergeCell ref="M9:O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2" orientation="landscape" r:id="rId1"/>
  <ignoredErrors>
    <ignoredError sqref="G22 F11:G11" calculatedColumn="1"/>
    <ignoredError sqref="M22:P22" formula="1"/>
  </ignoredErrors>
  <drawing r:id="rId2"/>
  <tableParts count="1">
    <tablePart r:id="rId3"/>
  </tableParts>
  <extLst>
    <ext xmlns:x14="http://schemas.microsoft.com/office/spreadsheetml/2009/9/main" uri="{A8765BA9-456A-4dab-B4F3-ACF838C121DE}">
      <x14:slicerList>
        <x14:slicer r:id="rId4"/>
      </x14:slicerList>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I36"/>
  <sheetViews>
    <sheetView workbookViewId="0">
      <selection activeCell="D26" sqref="D26"/>
    </sheetView>
  </sheetViews>
  <sheetFormatPr defaultRowHeight="14.5" x14ac:dyDescent="0.35"/>
  <cols>
    <col min="1" max="1" width="20.36328125" bestFit="1" customWidth="1"/>
    <col min="2" max="2" width="13.1796875" bestFit="1" customWidth="1"/>
    <col min="3" max="3" width="14.36328125" bestFit="1" customWidth="1"/>
    <col min="4" max="4" width="13.08984375" bestFit="1" customWidth="1"/>
    <col min="5" max="5" width="14.26953125" bestFit="1" customWidth="1"/>
    <col min="6" max="6" width="23" bestFit="1" customWidth="1"/>
    <col min="7" max="7" width="24.1796875" bestFit="1" customWidth="1"/>
    <col min="8" max="8" width="21.54296875" bestFit="1" customWidth="1"/>
    <col min="9" max="9" width="22.7265625" bestFit="1" customWidth="1"/>
  </cols>
  <sheetData>
    <row r="1" spans="1:9" x14ac:dyDescent="0.35">
      <c r="A1" s="459" t="s">
        <v>1</v>
      </c>
      <c r="B1" t="s">
        <v>951</v>
      </c>
    </row>
    <row r="3" spans="1:9" x14ac:dyDescent="0.35">
      <c r="A3" s="459" t="s">
        <v>234</v>
      </c>
      <c r="B3" t="s">
        <v>396</v>
      </c>
      <c r="C3" t="s">
        <v>397</v>
      </c>
      <c r="D3" t="s">
        <v>398</v>
      </c>
      <c r="E3" t="s">
        <v>399</v>
      </c>
      <c r="F3" t="s">
        <v>400</v>
      </c>
      <c r="G3" t="s">
        <v>402</v>
      </c>
      <c r="H3" t="s">
        <v>401</v>
      </c>
      <c r="I3" t="s">
        <v>403</v>
      </c>
    </row>
    <row r="4" spans="1:9" x14ac:dyDescent="0.35">
      <c r="A4" s="1000" t="s">
        <v>31</v>
      </c>
      <c r="B4" s="461">
        <v>176</v>
      </c>
      <c r="C4" s="461">
        <v>1044.75</v>
      </c>
      <c r="D4" s="461">
        <v>5</v>
      </c>
      <c r="E4" s="461">
        <v>24.25</v>
      </c>
      <c r="F4" s="461"/>
      <c r="G4" s="461"/>
      <c r="H4" s="461">
        <v>1</v>
      </c>
      <c r="I4" s="461">
        <v>20</v>
      </c>
    </row>
    <row r="5" spans="1:9" x14ac:dyDescent="0.35">
      <c r="A5" s="1000" t="s">
        <v>32</v>
      </c>
      <c r="B5" s="461">
        <v>77</v>
      </c>
      <c r="C5" s="461">
        <v>586.25</v>
      </c>
      <c r="D5" s="461">
        <v>4</v>
      </c>
      <c r="E5" s="461">
        <v>57.25</v>
      </c>
      <c r="F5" s="461"/>
      <c r="G5" s="461"/>
      <c r="H5" s="461">
        <v>1</v>
      </c>
      <c r="I5" s="461">
        <v>4</v>
      </c>
    </row>
    <row r="6" spans="1:9" x14ac:dyDescent="0.35">
      <c r="A6" s="1000" t="s">
        <v>33</v>
      </c>
      <c r="B6" s="461">
        <v>56</v>
      </c>
      <c r="C6" s="461">
        <v>230.5</v>
      </c>
      <c r="D6" s="461">
        <v>3</v>
      </c>
      <c r="E6" s="461">
        <v>12.75</v>
      </c>
      <c r="F6" s="461"/>
      <c r="G6" s="461"/>
      <c r="H6" s="461"/>
      <c r="I6" s="461"/>
    </row>
    <row r="7" spans="1:9" x14ac:dyDescent="0.35">
      <c r="A7" s="1000" t="s">
        <v>34</v>
      </c>
      <c r="B7" s="461">
        <v>106</v>
      </c>
      <c r="C7" s="461">
        <v>628</v>
      </c>
      <c r="D7" s="461">
        <v>13</v>
      </c>
      <c r="E7" s="461">
        <v>230</v>
      </c>
      <c r="F7" s="461"/>
      <c r="G7" s="461"/>
      <c r="H7" s="461"/>
      <c r="I7" s="461"/>
    </row>
    <row r="8" spans="1:9" x14ac:dyDescent="0.35">
      <c r="A8" s="1000" t="s">
        <v>245</v>
      </c>
      <c r="B8" s="461">
        <v>353</v>
      </c>
      <c r="C8" s="461">
        <v>1302.5</v>
      </c>
      <c r="D8" s="461">
        <v>9</v>
      </c>
      <c r="E8" s="461">
        <v>185.5</v>
      </c>
      <c r="F8" s="461"/>
      <c r="G8" s="461"/>
      <c r="H8" s="461"/>
      <c r="I8" s="461"/>
    </row>
    <row r="9" spans="1:9" x14ac:dyDescent="0.35">
      <c r="A9" s="1000" t="s">
        <v>35</v>
      </c>
      <c r="B9" s="461">
        <v>35</v>
      </c>
      <c r="C9" s="461">
        <v>206.25</v>
      </c>
      <c r="D9" s="461"/>
      <c r="E9" s="461"/>
      <c r="F9" s="461"/>
      <c r="G9" s="461"/>
      <c r="H9" s="461"/>
      <c r="I9" s="461"/>
    </row>
    <row r="10" spans="1:9" x14ac:dyDescent="0.35">
      <c r="A10" s="1000" t="s">
        <v>36</v>
      </c>
      <c r="B10" s="461">
        <v>122</v>
      </c>
      <c r="C10" s="461">
        <v>533.25</v>
      </c>
      <c r="D10" s="461">
        <v>2</v>
      </c>
      <c r="E10" s="461">
        <v>12.25</v>
      </c>
      <c r="F10" s="461"/>
      <c r="G10" s="461"/>
      <c r="H10" s="461"/>
      <c r="I10" s="461"/>
    </row>
    <row r="11" spans="1:9" x14ac:dyDescent="0.35">
      <c r="A11" s="1000" t="s">
        <v>37</v>
      </c>
      <c r="B11" s="461">
        <v>149</v>
      </c>
      <c r="C11" s="461">
        <v>745.25</v>
      </c>
      <c r="D11" s="461">
        <v>6</v>
      </c>
      <c r="E11" s="461">
        <v>76.75</v>
      </c>
      <c r="F11" s="461">
        <v>1</v>
      </c>
      <c r="G11" s="461">
        <v>27.5</v>
      </c>
      <c r="H11" s="461"/>
      <c r="I11" s="461"/>
    </row>
    <row r="12" spans="1:9" x14ac:dyDescent="0.35">
      <c r="A12" s="1000" t="s">
        <v>38</v>
      </c>
      <c r="B12" s="461">
        <v>67</v>
      </c>
      <c r="C12" s="461">
        <v>266.75</v>
      </c>
      <c r="D12" s="461">
        <v>2</v>
      </c>
      <c r="E12" s="461">
        <v>17.5</v>
      </c>
      <c r="F12" s="461"/>
      <c r="G12" s="461"/>
      <c r="H12" s="461"/>
      <c r="I12" s="461"/>
    </row>
    <row r="13" spans="1:9" x14ac:dyDescent="0.35">
      <c r="A13" s="1000" t="s">
        <v>39</v>
      </c>
      <c r="B13" s="461">
        <v>45</v>
      </c>
      <c r="C13" s="461">
        <v>153.5</v>
      </c>
      <c r="D13" s="461"/>
      <c r="E13" s="461"/>
      <c r="F13" s="461"/>
      <c r="G13" s="461"/>
      <c r="H13" s="461"/>
      <c r="I13" s="461"/>
    </row>
    <row r="14" spans="1:9" x14ac:dyDescent="0.35">
      <c r="A14" s="1000" t="s">
        <v>40</v>
      </c>
      <c r="B14" s="461">
        <v>43</v>
      </c>
      <c r="C14" s="461">
        <v>252.75</v>
      </c>
      <c r="D14" s="461">
        <v>2</v>
      </c>
      <c r="E14" s="461">
        <v>23</v>
      </c>
      <c r="F14" s="461"/>
      <c r="G14" s="461"/>
      <c r="H14" s="461"/>
      <c r="I14" s="461"/>
    </row>
    <row r="15" spans="1:9" x14ac:dyDescent="0.35">
      <c r="A15" s="1000" t="s">
        <v>41</v>
      </c>
      <c r="B15" s="461">
        <v>19</v>
      </c>
      <c r="C15" s="461">
        <v>117.25</v>
      </c>
      <c r="D15" s="461"/>
      <c r="E15" s="461"/>
      <c r="F15" s="461"/>
      <c r="G15" s="461"/>
      <c r="H15" s="461"/>
      <c r="I15" s="461"/>
    </row>
    <row r="16" spans="1:9" x14ac:dyDescent="0.35">
      <c r="A16" s="1000" t="s">
        <v>42</v>
      </c>
      <c r="B16" s="461">
        <v>62</v>
      </c>
      <c r="C16" s="461">
        <v>270.5</v>
      </c>
      <c r="D16" s="461"/>
      <c r="E16" s="461"/>
      <c r="F16" s="461"/>
      <c r="G16" s="461"/>
      <c r="H16" s="461"/>
      <c r="I16" s="461"/>
    </row>
    <row r="17" spans="1:9" x14ac:dyDescent="0.35">
      <c r="A17" s="1000" t="s">
        <v>43</v>
      </c>
      <c r="B17" s="461">
        <v>248</v>
      </c>
      <c r="C17" s="461">
        <v>1040.25</v>
      </c>
      <c r="D17" s="461">
        <v>4</v>
      </c>
      <c r="E17" s="461">
        <v>56.75</v>
      </c>
      <c r="F17" s="461">
        <v>1</v>
      </c>
      <c r="G17" s="461">
        <v>41.25</v>
      </c>
      <c r="H17" s="461"/>
      <c r="I17" s="461"/>
    </row>
    <row r="18" spans="1:9" x14ac:dyDescent="0.35">
      <c r="A18" s="1000" t="s">
        <v>114</v>
      </c>
      <c r="B18" s="461">
        <v>446</v>
      </c>
      <c r="C18" s="461">
        <v>1777.5</v>
      </c>
      <c r="D18" s="461">
        <v>24</v>
      </c>
      <c r="E18" s="461">
        <v>120.25</v>
      </c>
      <c r="F18" s="461"/>
      <c r="G18" s="461"/>
      <c r="H18" s="461"/>
      <c r="I18" s="461"/>
    </row>
    <row r="19" spans="1:9" x14ac:dyDescent="0.35">
      <c r="A19" s="1000" t="s">
        <v>44</v>
      </c>
      <c r="B19" s="461">
        <v>109</v>
      </c>
      <c r="C19" s="461">
        <v>648.25</v>
      </c>
      <c r="D19" s="461">
        <v>11</v>
      </c>
      <c r="E19" s="461">
        <v>125</v>
      </c>
      <c r="F19" s="461"/>
      <c r="G19" s="461"/>
      <c r="H19" s="461"/>
      <c r="I19" s="461"/>
    </row>
    <row r="20" spans="1:9" x14ac:dyDescent="0.35">
      <c r="A20" s="1000" t="s">
        <v>45</v>
      </c>
      <c r="B20" s="461">
        <v>27</v>
      </c>
      <c r="C20" s="461">
        <v>152.25</v>
      </c>
      <c r="D20" s="461"/>
      <c r="E20" s="461"/>
      <c r="F20" s="461"/>
      <c r="G20" s="461"/>
      <c r="H20" s="461"/>
      <c r="I20" s="461"/>
    </row>
    <row r="21" spans="1:9" x14ac:dyDescent="0.35">
      <c r="A21" s="1000" t="s">
        <v>46</v>
      </c>
      <c r="B21" s="461">
        <v>35</v>
      </c>
      <c r="C21" s="461">
        <v>292.25</v>
      </c>
      <c r="D21" s="461">
        <v>2</v>
      </c>
      <c r="E21" s="461">
        <v>31.75</v>
      </c>
      <c r="F21" s="461"/>
      <c r="G21" s="461"/>
      <c r="H21" s="461"/>
      <c r="I21" s="461"/>
    </row>
    <row r="22" spans="1:9" x14ac:dyDescent="0.35">
      <c r="A22" s="1000" t="s">
        <v>47</v>
      </c>
      <c r="B22" s="461">
        <v>41</v>
      </c>
      <c r="C22" s="461">
        <v>252.75</v>
      </c>
      <c r="D22" s="461">
        <v>1</v>
      </c>
      <c r="E22" s="461">
        <v>5.5</v>
      </c>
      <c r="F22" s="461"/>
      <c r="G22" s="461"/>
      <c r="H22" s="461">
        <v>1</v>
      </c>
      <c r="I22" s="461"/>
    </row>
    <row r="23" spans="1:9" x14ac:dyDescent="0.35">
      <c r="A23" s="1000" t="s">
        <v>48</v>
      </c>
      <c r="B23" s="461">
        <v>11</v>
      </c>
      <c r="C23" s="461">
        <v>62.75</v>
      </c>
      <c r="D23" s="461"/>
      <c r="E23" s="461"/>
      <c r="F23" s="461"/>
      <c r="G23" s="461"/>
      <c r="H23" s="461"/>
      <c r="I23" s="461"/>
    </row>
    <row r="24" spans="1:9" x14ac:dyDescent="0.35">
      <c r="A24" s="1000" t="s">
        <v>49</v>
      </c>
      <c r="B24" s="461">
        <v>89</v>
      </c>
      <c r="C24" s="461">
        <v>599.25</v>
      </c>
      <c r="D24" s="461"/>
      <c r="E24" s="461"/>
      <c r="F24" s="461"/>
      <c r="G24" s="461"/>
      <c r="H24" s="461"/>
      <c r="I24" s="461"/>
    </row>
    <row r="25" spans="1:9" x14ac:dyDescent="0.35">
      <c r="A25" s="1000" t="s">
        <v>50</v>
      </c>
      <c r="B25" s="461">
        <v>115</v>
      </c>
      <c r="C25" s="461">
        <v>395.25</v>
      </c>
      <c r="D25" s="461">
        <v>2</v>
      </c>
      <c r="E25" s="461">
        <v>10.5</v>
      </c>
      <c r="F25" s="461"/>
      <c r="G25" s="461"/>
      <c r="H25" s="461"/>
      <c r="I25" s="461"/>
    </row>
    <row r="26" spans="1:9" x14ac:dyDescent="0.35">
      <c r="A26" s="1000" t="s">
        <v>51</v>
      </c>
      <c r="B26" s="461">
        <v>8</v>
      </c>
      <c r="C26" s="461">
        <v>37.75</v>
      </c>
      <c r="D26" s="461">
        <v>1</v>
      </c>
      <c r="E26" s="461">
        <v>34.75</v>
      </c>
      <c r="F26" s="461"/>
      <c r="G26" s="461"/>
      <c r="H26" s="461"/>
      <c r="I26" s="461"/>
    </row>
    <row r="27" spans="1:9" x14ac:dyDescent="0.35">
      <c r="A27" s="1000" t="s">
        <v>52</v>
      </c>
      <c r="B27" s="461">
        <v>152</v>
      </c>
      <c r="C27" s="461">
        <v>697</v>
      </c>
      <c r="D27" s="461"/>
      <c r="E27" s="461"/>
      <c r="F27" s="461"/>
      <c r="G27" s="461"/>
      <c r="H27" s="461"/>
      <c r="I27" s="461"/>
    </row>
    <row r="28" spans="1:9" x14ac:dyDescent="0.35">
      <c r="A28" s="1000" t="s">
        <v>53</v>
      </c>
      <c r="B28" s="461">
        <v>66</v>
      </c>
      <c r="C28" s="461">
        <v>328.75</v>
      </c>
      <c r="D28" s="461">
        <v>6</v>
      </c>
      <c r="E28" s="461">
        <v>54.5</v>
      </c>
      <c r="F28" s="461"/>
      <c r="G28" s="461"/>
      <c r="H28" s="461"/>
      <c r="I28" s="461"/>
    </row>
    <row r="29" spans="1:9" x14ac:dyDescent="0.35">
      <c r="A29" s="1000" t="s">
        <v>54</v>
      </c>
      <c r="B29" s="461">
        <v>63</v>
      </c>
      <c r="C29" s="461">
        <v>350</v>
      </c>
      <c r="D29" s="461">
        <v>3</v>
      </c>
      <c r="E29" s="461">
        <v>49.5</v>
      </c>
      <c r="F29" s="461"/>
      <c r="G29" s="461"/>
      <c r="H29" s="461"/>
      <c r="I29" s="461"/>
    </row>
    <row r="30" spans="1:9" x14ac:dyDescent="0.35">
      <c r="A30" s="1000" t="s">
        <v>55</v>
      </c>
      <c r="B30" s="461">
        <v>10</v>
      </c>
      <c r="C30" s="461">
        <v>101.75</v>
      </c>
      <c r="D30" s="461"/>
      <c r="E30" s="461"/>
      <c r="F30" s="461"/>
      <c r="G30" s="461"/>
      <c r="H30" s="461"/>
      <c r="I30" s="461"/>
    </row>
    <row r="31" spans="1:9" x14ac:dyDescent="0.35">
      <c r="A31" s="1000" t="s">
        <v>56</v>
      </c>
      <c r="B31" s="461">
        <v>120</v>
      </c>
      <c r="C31" s="461">
        <v>791.75</v>
      </c>
      <c r="D31" s="461">
        <v>2</v>
      </c>
      <c r="E31" s="461">
        <v>7.75</v>
      </c>
      <c r="F31" s="461"/>
      <c r="G31" s="461"/>
      <c r="H31" s="461"/>
      <c r="I31" s="461"/>
    </row>
    <row r="32" spans="1:9" x14ac:dyDescent="0.35">
      <c r="A32" s="1000" t="s">
        <v>57</v>
      </c>
      <c r="B32" s="461">
        <v>142</v>
      </c>
      <c r="C32" s="461">
        <v>1628.25</v>
      </c>
      <c r="D32" s="461">
        <v>4</v>
      </c>
      <c r="E32" s="461">
        <v>64.75</v>
      </c>
      <c r="F32" s="461"/>
      <c r="G32" s="461"/>
      <c r="H32" s="461"/>
      <c r="I32" s="461"/>
    </row>
    <row r="33" spans="1:9" x14ac:dyDescent="0.35">
      <c r="A33" s="1000" t="s">
        <v>58</v>
      </c>
      <c r="B33" s="461">
        <v>74</v>
      </c>
      <c r="C33" s="461">
        <v>377.5</v>
      </c>
      <c r="D33" s="461">
        <v>6</v>
      </c>
      <c r="E33" s="461">
        <v>138.5</v>
      </c>
      <c r="F33" s="461">
        <v>1</v>
      </c>
      <c r="G33" s="461">
        <v>54.5</v>
      </c>
      <c r="H33" s="461"/>
      <c r="I33" s="461"/>
    </row>
    <row r="34" spans="1:9" x14ac:dyDescent="0.35">
      <c r="A34" s="1000" t="s">
        <v>59</v>
      </c>
      <c r="B34" s="461">
        <v>28</v>
      </c>
      <c r="C34" s="461">
        <v>102.5</v>
      </c>
      <c r="D34" s="461"/>
      <c r="E34" s="461"/>
      <c r="F34" s="461"/>
      <c r="G34" s="461"/>
      <c r="H34" s="461"/>
      <c r="I34" s="461"/>
    </row>
    <row r="35" spans="1:9" x14ac:dyDescent="0.35">
      <c r="A35" s="1000" t="s">
        <v>60</v>
      </c>
      <c r="B35" s="461">
        <v>86</v>
      </c>
      <c r="C35" s="461">
        <v>305.5</v>
      </c>
      <c r="D35" s="461"/>
      <c r="E35" s="461"/>
      <c r="F35" s="461"/>
      <c r="G35" s="461"/>
      <c r="H35" s="461"/>
      <c r="I35" s="461"/>
    </row>
    <row r="36" spans="1:9" x14ac:dyDescent="0.35">
      <c r="A36" s="1000" t="s">
        <v>239</v>
      </c>
      <c r="B36" s="461">
        <v>3180</v>
      </c>
      <c r="C36" s="461">
        <v>16278.75</v>
      </c>
      <c r="D36" s="461">
        <v>112</v>
      </c>
      <c r="E36" s="461">
        <v>1338.75</v>
      </c>
      <c r="F36" s="461">
        <v>3</v>
      </c>
      <c r="G36" s="461">
        <v>123.25</v>
      </c>
      <c r="H36" s="461">
        <v>3</v>
      </c>
      <c r="I36" s="461">
        <v>24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25"/>
  <sheetViews>
    <sheetView workbookViewId="0">
      <selection activeCell="F179" sqref="F179"/>
    </sheetView>
  </sheetViews>
  <sheetFormatPr defaultRowHeight="14.5" x14ac:dyDescent="0.35"/>
  <cols>
    <col min="1" max="1" width="7.453125" bestFit="1" customWidth="1"/>
    <col min="2" max="2" width="20.36328125" bestFit="1" customWidth="1"/>
    <col min="3" max="3" width="10.453125" bestFit="1" customWidth="1"/>
    <col min="4" max="4" width="9.08984375" bestFit="1" customWidth="1"/>
    <col min="5" max="5" width="10.26953125" bestFit="1" customWidth="1"/>
    <col min="6" max="6" width="9" bestFit="1" customWidth="1"/>
    <col min="7" max="7" width="10.1796875" bestFit="1" customWidth="1"/>
    <col min="8" max="8" width="18.81640625" bestFit="1" customWidth="1"/>
    <col min="9" max="9" width="20.08984375" bestFit="1" customWidth="1"/>
    <col min="10" max="10" width="17.36328125" bestFit="1" customWidth="1"/>
    <col min="11" max="11" width="18.54296875" bestFit="1" customWidth="1"/>
  </cols>
  <sheetData>
    <row r="1" spans="1:11" x14ac:dyDescent="0.35">
      <c r="A1" s="461" t="s">
        <v>312</v>
      </c>
      <c r="B1" s="461" t="s">
        <v>827</v>
      </c>
      <c r="C1" s="461" t="s">
        <v>965</v>
      </c>
      <c r="D1" s="461" t="s">
        <v>985</v>
      </c>
      <c r="E1" s="461" t="s">
        <v>986</v>
      </c>
      <c r="F1" s="461" t="s">
        <v>987</v>
      </c>
      <c r="G1" s="461" t="s">
        <v>988</v>
      </c>
      <c r="H1" s="461" t="s">
        <v>989</v>
      </c>
      <c r="I1" s="461" t="s">
        <v>990</v>
      </c>
      <c r="J1" s="461" t="s">
        <v>991</v>
      </c>
      <c r="K1" s="461" t="s">
        <v>992</v>
      </c>
    </row>
    <row r="2" spans="1:11" hidden="1" x14ac:dyDescent="0.35">
      <c r="A2" s="461" t="s">
        <v>193</v>
      </c>
      <c r="B2" s="461" t="s">
        <v>31</v>
      </c>
      <c r="C2" s="461" t="s">
        <v>286</v>
      </c>
      <c r="D2" s="461">
        <v>356</v>
      </c>
      <c r="E2" s="461">
        <v>1936.75</v>
      </c>
      <c r="F2" s="461">
        <v>13</v>
      </c>
      <c r="G2" s="461">
        <v>138.5</v>
      </c>
      <c r="H2" s="461">
        <v>2</v>
      </c>
      <c r="I2" s="461">
        <v>19.25</v>
      </c>
      <c r="J2" s="461"/>
      <c r="K2" s="461"/>
    </row>
    <row r="3" spans="1:11" hidden="1" x14ac:dyDescent="0.35">
      <c r="A3" s="461" t="s">
        <v>193</v>
      </c>
      <c r="B3" s="461" t="s">
        <v>32</v>
      </c>
      <c r="C3" s="461" t="s">
        <v>287</v>
      </c>
      <c r="D3" s="461">
        <v>252</v>
      </c>
      <c r="E3" s="461">
        <v>1725.5</v>
      </c>
      <c r="F3" s="461">
        <v>15</v>
      </c>
      <c r="G3" s="461">
        <v>162</v>
      </c>
      <c r="H3" s="461">
        <v>1</v>
      </c>
      <c r="I3" s="461">
        <v>38</v>
      </c>
      <c r="J3" s="461">
        <v>1</v>
      </c>
      <c r="K3" s="461">
        <v>7.5</v>
      </c>
    </row>
    <row r="4" spans="1:11" hidden="1" x14ac:dyDescent="0.35">
      <c r="A4" s="461" t="s">
        <v>193</v>
      </c>
      <c r="B4" s="461" t="s">
        <v>33</v>
      </c>
      <c r="C4" s="461" t="s">
        <v>293</v>
      </c>
      <c r="D4" s="461">
        <v>202</v>
      </c>
      <c r="E4" s="461">
        <v>853.5</v>
      </c>
      <c r="F4" s="461">
        <v>4</v>
      </c>
      <c r="G4" s="461">
        <v>21.75</v>
      </c>
      <c r="H4" s="461"/>
      <c r="I4" s="461"/>
      <c r="J4" s="461"/>
      <c r="K4" s="461"/>
    </row>
    <row r="5" spans="1:11" hidden="1" x14ac:dyDescent="0.35">
      <c r="A5" s="461" t="s">
        <v>193</v>
      </c>
      <c r="B5" s="461" t="s">
        <v>34</v>
      </c>
      <c r="C5" s="461" t="s">
        <v>288</v>
      </c>
      <c r="D5" s="461">
        <v>250</v>
      </c>
      <c r="E5" s="461">
        <v>1985.5</v>
      </c>
      <c r="F5" s="461">
        <v>3</v>
      </c>
      <c r="G5" s="461">
        <v>38.5</v>
      </c>
      <c r="H5" s="461"/>
      <c r="I5" s="461"/>
      <c r="J5" s="461"/>
      <c r="K5" s="461"/>
    </row>
    <row r="6" spans="1:11" hidden="1" x14ac:dyDescent="0.35">
      <c r="A6" s="461" t="s">
        <v>193</v>
      </c>
      <c r="B6" s="461" t="s">
        <v>245</v>
      </c>
      <c r="C6" s="461" t="s">
        <v>289</v>
      </c>
      <c r="D6" s="461">
        <v>903</v>
      </c>
      <c r="E6" s="461">
        <v>3293.5</v>
      </c>
      <c r="F6" s="461">
        <v>53</v>
      </c>
      <c r="G6" s="461">
        <v>292</v>
      </c>
      <c r="H6" s="461">
        <v>1</v>
      </c>
      <c r="I6" s="461">
        <v>5.5</v>
      </c>
      <c r="J6" s="461"/>
      <c r="K6" s="461"/>
    </row>
    <row r="7" spans="1:11" hidden="1" x14ac:dyDescent="0.35">
      <c r="A7" s="461" t="s">
        <v>193</v>
      </c>
      <c r="B7" s="461" t="s">
        <v>35</v>
      </c>
      <c r="C7" s="461" t="s">
        <v>267</v>
      </c>
      <c r="D7" s="461">
        <v>42</v>
      </c>
      <c r="E7" s="461">
        <v>247.25</v>
      </c>
      <c r="F7" s="461">
        <v>2</v>
      </c>
      <c r="G7" s="461">
        <v>16</v>
      </c>
      <c r="H7" s="461"/>
      <c r="I7" s="461"/>
      <c r="J7" s="461"/>
      <c r="K7" s="461"/>
    </row>
    <row r="8" spans="1:11" hidden="1" x14ac:dyDescent="0.35">
      <c r="A8" s="461" t="s">
        <v>193</v>
      </c>
      <c r="B8" s="461" t="s">
        <v>36</v>
      </c>
      <c r="C8" s="461" t="s">
        <v>268</v>
      </c>
      <c r="D8" s="461">
        <v>177</v>
      </c>
      <c r="E8" s="461">
        <v>785.25</v>
      </c>
      <c r="F8" s="461">
        <v>36</v>
      </c>
      <c r="G8" s="461">
        <v>306.5</v>
      </c>
      <c r="H8" s="461"/>
      <c r="I8" s="461"/>
      <c r="J8" s="461">
        <v>1</v>
      </c>
      <c r="K8" s="461">
        <v>12.5</v>
      </c>
    </row>
    <row r="9" spans="1:11" hidden="1" x14ac:dyDescent="0.35">
      <c r="A9" s="461" t="s">
        <v>193</v>
      </c>
      <c r="B9" s="461" t="s">
        <v>37</v>
      </c>
      <c r="C9" s="461" t="s">
        <v>294</v>
      </c>
      <c r="D9" s="461">
        <v>456</v>
      </c>
      <c r="E9" s="461">
        <v>1804.75</v>
      </c>
      <c r="F9" s="461">
        <v>4</v>
      </c>
      <c r="G9" s="461">
        <v>13.5</v>
      </c>
      <c r="H9" s="461"/>
      <c r="I9" s="461"/>
      <c r="J9" s="461"/>
      <c r="K9" s="461"/>
    </row>
    <row r="10" spans="1:11" hidden="1" x14ac:dyDescent="0.35">
      <c r="A10" s="461" t="s">
        <v>193</v>
      </c>
      <c r="B10" s="461" t="s">
        <v>38</v>
      </c>
      <c r="C10" s="461" t="s">
        <v>269</v>
      </c>
      <c r="D10" s="461">
        <v>142</v>
      </c>
      <c r="E10" s="461">
        <v>914.75</v>
      </c>
      <c r="F10" s="461">
        <v>11</v>
      </c>
      <c r="G10" s="461">
        <v>90.75</v>
      </c>
      <c r="H10" s="461"/>
      <c r="I10" s="461"/>
      <c r="J10" s="461"/>
      <c r="K10" s="461"/>
    </row>
    <row r="11" spans="1:11" hidden="1" x14ac:dyDescent="0.35">
      <c r="A11" s="461" t="s">
        <v>193</v>
      </c>
      <c r="B11" s="461" t="s">
        <v>39</v>
      </c>
      <c r="C11" s="461" t="s">
        <v>296</v>
      </c>
      <c r="D11" s="461">
        <v>53</v>
      </c>
      <c r="E11" s="461">
        <v>362.75</v>
      </c>
      <c r="F11" s="461">
        <v>1</v>
      </c>
      <c r="G11" s="461">
        <v>7.5</v>
      </c>
      <c r="H11" s="461"/>
      <c r="I11" s="461"/>
      <c r="J11" s="461"/>
      <c r="K11" s="461"/>
    </row>
    <row r="12" spans="1:11" hidden="1" x14ac:dyDescent="0.35">
      <c r="A12" s="461" t="s">
        <v>193</v>
      </c>
      <c r="B12" s="461" t="s">
        <v>40</v>
      </c>
      <c r="C12" s="461" t="s">
        <v>270</v>
      </c>
      <c r="D12" s="461">
        <v>96</v>
      </c>
      <c r="E12" s="461">
        <v>335.5</v>
      </c>
      <c r="F12" s="461">
        <v>6</v>
      </c>
      <c r="G12" s="461">
        <v>37.5</v>
      </c>
      <c r="H12" s="461"/>
      <c r="I12" s="461"/>
      <c r="J12" s="461"/>
      <c r="K12" s="461"/>
    </row>
    <row r="13" spans="1:11" hidden="1" x14ac:dyDescent="0.35">
      <c r="A13" s="461" t="s">
        <v>193</v>
      </c>
      <c r="B13" s="461" t="s">
        <v>41</v>
      </c>
      <c r="C13" s="461" t="s">
        <v>271</v>
      </c>
      <c r="D13" s="461">
        <v>111</v>
      </c>
      <c r="E13" s="461">
        <v>761.5</v>
      </c>
      <c r="F13" s="461">
        <v>8</v>
      </c>
      <c r="G13" s="461">
        <v>133</v>
      </c>
      <c r="H13" s="461"/>
      <c r="I13" s="461"/>
      <c r="J13" s="461"/>
      <c r="K13" s="461"/>
    </row>
    <row r="14" spans="1:11" hidden="1" x14ac:dyDescent="0.35">
      <c r="A14" s="461" t="s">
        <v>193</v>
      </c>
      <c r="B14" s="461" t="s">
        <v>42</v>
      </c>
      <c r="C14" s="461" t="s">
        <v>273</v>
      </c>
      <c r="D14" s="461">
        <v>232</v>
      </c>
      <c r="E14" s="461">
        <v>1156</v>
      </c>
      <c r="F14" s="461">
        <v>11</v>
      </c>
      <c r="G14" s="461">
        <v>105.25</v>
      </c>
      <c r="H14" s="461"/>
      <c r="I14" s="461"/>
      <c r="J14" s="461"/>
      <c r="K14" s="461"/>
    </row>
    <row r="15" spans="1:11" hidden="1" x14ac:dyDescent="0.35">
      <c r="A15" s="461" t="s">
        <v>193</v>
      </c>
      <c r="B15" s="461" t="s">
        <v>43</v>
      </c>
      <c r="C15" s="461" t="s">
        <v>380</v>
      </c>
      <c r="D15" s="461">
        <v>483</v>
      </c>
      <c r="E15" s="461">
        <v>1857.5</v>
      </c>
      <c r="F15" s="461">
        <v>15</v>
      </c>
      <c r="G15" s="461">
        <v>104.75</v>
      </c>
      <c r="H15" s="461"/>
      <c r="I15" s="461"/>
      <c r="J15" s="461"/>
      <c r="K15" s="461"/>
    </row>
    <row r="16" spans="1:11" hidden="1" x14ac:dyDescent="0.35">
      <c r="A16" s="461" t="s">
        <v>193</v>
      </c>
      <c r="B16" s="461" t="s">
        <v>114</v>
      </c>
      <c r="C16" s="461" t="s">
        <v>297</v>
      </c>
      <c r="D16" s="461">
        <v>1045</v>
      </c>
      <c r="E16" s="461">
        <v>5340</v>
      </c>
      <c r="F16" s="461">
        <v>77</v>
      </c>
      <c r="G16" s="461">
        <v>444</v>
      </c>
      <c r="H16" s="461"/>
      <c r="I16" s="461"/>
      <c r="J16" s="461">
        <v>1</v>
      </c>
      <c r="K16" s="461">
        <v>5.5</v>
      </c>
    </row>
    <row r="17" spans="1:11" hidden="1" x14ac:dyDescent="0.35">
      <c r="A17" s="461" t="s">
        <v>193</v>
      </c>
      <c r="B17" s="461" t="s">
        <v>44</v>
      </c>
      <c r="C17" s="461" t="s">
        <v>274</v>
      </c>
      <c r="D17" s="461">
        <v>259</v>
      </c>
      <c r="E17" s="461">
        <v>1846.75</v>
      </c>
      <c r="F17" s="461">
        <v>17</v>
      </c>
      <c r="G17" s="461">
        <v>253.25</v>
      </c>
      <c r="H17" s="461">
        <v>5</v>
      </c>
      <c r="I17" s="461">
        <v>112.5</v>
      </c>
      <c r="J17" s="461"/>
      <c r="K17" s="461"/>
    </row>
    <row r="18" spans="1:11" hidden="1" x14ac:dyDescent="0.35">
      <c r="A18" s="461" t="s">
        <v>193</v>
      </c>
      <c r="B18" s="461" t="s">
        <v>45</v>
      </c>
      <c r="C18" s="461" t="s">
        <v>275</v>
      </c>
      <c r="D18" s="461">
        <v>142</v>
      </c>
      <c r="E18" s="461">
        <v>600.5</v>
      </c>
      <c r="F18" s="461">
        <v>5</v>
      </c>
      <c r="G18" s="461">
        <v>37.75</v>
      </c>
      <c r="H18" s="461"/>
      <c r="I18" s="461"/>
      <c r="J18" s="461"/>
      <c r="K18" s="461"/>
    </row>
    <row r="19" spans="1:11" hidden="1" x14ac:dyDescent="0.35">
      <c r="A19" s="461" t="s">
        <v>193</v>
      </c>
      <c r="B19" s="461" t="s">
        <v>46</v>
      </c>
      <c r="C19" s="461" t="s">
        <v>276</v>
      </c>
      <c r="D19">
        <v>122</v>
      </c>
      <c r="E19">
        <v>365.5</v>
      </c>
      <c r="F19">
        <v>4</v>
      </c>
      <c r="G19">
        <v>31.25</v>
      </c>
    </row>
    <row r="20" spans="1:11" hidden="1" x14ac:dyDescent="0.35">
      <c r="A20" s="461" t="s">
        <v>193</v>
      </c>
      <c r="B20" s="461" t="s">
        <v>47</v>
      </c>
      <c r="C20" s="461" t="s">
        <v>277</v>
      </c>
      <c r="D20">
        <v>110</v>
      </c>
      <c r="E20">
        <v>771.25</v>
      </c>
      <c r="F20">
        <v>4</v>
      </c>
      <c r="G20">
        <v>72.5</v>
      </c>
    </row>
    <row r="21" spans="1:11" hidden="1" x14ac:dyDescent="0.35">
      <c r="A21" s="461" t="s">
        <v>193</v>
      </c>
      <c r="B21" s="461" t="s">
        <v>48</v>
      </c>
      <c r="C21" s="461" t="s">
        <v>272</v>
      </c>
      <c r="D21">
        <v>18</v>
      </c>
      <c r="E21">
        <v>138.5</v>
      </c>
      <c r="F21">
        <v>1</v>
      </c>
      <c r="G21">
        <v>13.25</v>
      </c>
    </row>
    <row r="22" spans="1:11" hidden="1" x14ac:dyDescent="0.35">
      <c r="A22" s="461" t="s">
        <v>193</v>
      </c>
      <c r="B22" s="461" t="s">
        <v>49</v>
      </c>
      <c r="C22" s="461" t="s">
        <v>278</v>
      </c>
      <c r="D22">
        <v>105</v>
      </c>
      <c r="E22">
        <v>505.5</v>
      </c>
      <c r="F22">
        <v>4</v>
      </c>
      <c r="G22">
        <v>31</v>
      </c>
    </row>
    <row r="23" spans="1:11" hidden="1" x14ac:dyDescent="0.35">
      <c r="A23" s="461" t="s">
        <v>193</v>
      </c>
      <c r="B23" s="461" t="s">
        <v>50</v>
      </c>
      <c r="C23" s="461" t="s">
        <v>295</v>
      </c>
      <c r="D23">
        <v>298</v>
      </c>
      <c r="E23">
        <v>2166.75</v>
      </c>
      <c r="F23">
        <v>3</v>
      </c>
      <c r="G23">
        <v>23.75</v>
      </c>
    </row>
    <row r="24" spans="1:11" hidden="1" x14ac:dyDescent="0.35">
      <c r="A24" s="461" t="s">
        <v>193</v>
      </c>
      <c r="B24" s="461" t="s">
        <v>51</v>
      </c>
      <c r="C24" s="461" t="s">
        <v>279</v>
      </c>
      <c r="D24">
        <v>16</v>
      </c>
      <c r="E24">
        <v>108.5</v>
      </c>
    </row>
    <row r="25" spans="1:11" hidden="1" x14ac:dyDescent="0.35">
      <c r="A25" s="461" t="s">
        <v>193</v>
      </c>
      <c r="B25" s="461" t="s">
        <v>52</v>
      </c>
      <c r="C25" s="461" t="s">
        <v>280</v>
      </c>
      <c r="D25">
        <v>246</v>
      </c>
      <c r="E25">
        <v>1269.25</v>
      </c>
      <c r="F25">
        <v>1</v>
      </c>
      <c r="G25">
        <v>10.25</v>
      </c>
    </row>
    <row r="26" spans="1:11" hidden="1" x14ac:dyDescent="0.35">
      <c r="A26" s="461" t="s">
        <v>193</v>
      </c>
      <c r="B26" s="461" t="s">
        <v>53</v>
      </c>
      <c r="C26" s="461" t="s">
        <v>290</v>
      </c>
      <c r="D26">
        <v>212</v>
      </c>
      <c r="E26">
        <v>1318.75</v>
      </c>
      <c r="F26">
        <v>3</v>
      </c>
      <c r="G26">
        <v>28.75</v>
      </c>
    </row>
    <row r="27" spans="1:11" hidden="1" x14ac:dyDescent="0.35">
      <c r="A27" s="461" t="s">
        <v>193</v>
      </c>
      <c r="B27" s="461" t="s">
        <v>54</v>
      </c>
      <c r="C27" s="461" t="s">
        <v>281</v>
      </c>
      <c r="D27">
        <v>332</v>
      </c>
      <c r="E27">
        <v>1463</v>
      </c>
      <c r="F27">
        <v>49</v>
      </c>
      <c r="G27">
        <v>381.75</v>
      </c>
      <c r="H27">
        <v>1</v>
      </c>
      <c r="I27">
        <v>31</v>
      </c>
    </row>
    <row r="28" spans="1:11" hidden="1" x14ac:dyDescent="0.35">
      <c r="A28" s="461" t="s">
        <v>193</v>
      </c>
      <c r="B28" s="461" t="s">
        <v>55</v>
      </c>
      <c r="C28" s="461" t="s">
        <v>282</v>
      </c>
      <c r="D28">
        <v>32</v>
      </c>
      <c r="E28">
        <v>199.75</v>
      </c>
    </row>
    <row r="29" spans="1:11" hidden="1" x14ac:dyDescent="0.35">
      <c r="A29" s="461" t="s">
        <v>193</v>
      </c>
      <c r="B29" s="461" t="s">
        <v>56</v>
      </c>
      <c r="C29" s="461" t="s">
        <v>283</v>
      </c>
      <c r="D29">
        <v>239</v>
      </c>
      <c r="E29">
        <v>1368.5</v>
      </c>
      <c r="F29">
        <v>8</v>
      </c>
      <c r="G29">
        <v>65.5</v>
      </c>
    </row>
    <row r="30" spans="1:11" hidden="1" x14ac:dyDescent="0.35">
      <c r="A30" s="461" t="s">
        <v>193</v>
      </c>
      <c r="B30" s="461" t="s">
        <v>57</v>
      </c>
      <c r="C30" s="461" t="s">
        <v>284</v>
      </c>
      <c r="D30">
        <v>278</v>
      </c>
      <c r="E30">
        <v>2462.25</v>
      </c>
      <c r="F30">
        <v>8</v>
      </c>
      <c r="G30">
        <v>133.5</v>
      </c>
    </row>
    <row r="31" spans="1:11" hidden="1" x14ac:dyDescent="0.35">
      <c r="A31" s="461" t="s">
        <v>193</v>
      </c>
      <c r="B31" s="461" t="s">
        <v>58</v>
      </c>
      <c r="C31" s="461" t="s">
        <v>285</v>
      </c>
      <c r="D31">
        <v>210</v>
      </c>
      <c r="E31">
        <v>875.75</v>
      </c>
      <c r="F31">
        <v>7</v>
      </c>
      <c r="G31">
        <v>49.25</v>
      </c>
    </row>
    <row r="32" spans="1:11" hidden="1" x14ac:dyDescent="0.35">
      <c r="A32" s="461" t="s">
        <v>193</v>
      </c>
      <c r="B32" s="461" t="s">
        <v>59</v>
      </c>
      <c r="C32" s="461" t="s">
        <v>291</v>
      </c>
      <c r="D32">
        <v>176</v>
      </c>
      <c r="E32">
        <v>797.25</v>
      </c>
    </row>
    <row r="33" spans="1:11" hidden="1" x14ac:dyDescent="0.35">
      <c r="A33" s="461" t="s">
        <v>193</v>
      </c>
      <c r="B33" s="461" t="s">
        <v>60</v>
      </c>
      <c r="C33" s="461" t="s">
        <v>292</v>
      </c>
      <c r="D33">
        <v>221</v>
      </c>
      <c r="E33">
        <v>867.25</v>
      </c>
      <c r="F33">
        <v>17</v>
      </c>
      <c r="G33">
        <v>91.25</v>
      </c>
    </row>
    <row r="34" spans="1:11" hidden="1" x14ac:dyDescent="0.35">
      <c r="A34" s="461" t="s">
        <v>192</v>
      </c>
      <c r="B34" s="461" t="s">
        <v>31</v>
      </c>
      <c r="C34" s="461" t="s">
        <v>286</v>
      </c>
      <c r="D34">
        <v>282</v>
      </c>
      <c r="E34">
        <v>1395</v>
      </c>
      <c r="F34">
        <v>33</v>
      </c>
      <c r="G34">
        <v>340.75</v>
      </c>
      <c r="J34">
        <v>1</v>
      </c>
      <c r="K34">
        <v>3.75</v>
      </c>
    </row>
    <row r="35" spans="1:11" hidden="1" x14ac:dyDescent="0.35">
      <c r="A35" s="461" t="s">
        <v>192</v>
      </c>
      <c r="B35" s="461" t="s">
        <v>32</v>
      </c>
      <c r="C35" s="461" t="s">
        <v>287</v>
      </c>
      <c r="D35">
        <v>334</v>
      </c>
      <c r="E35">
        <v>2016.25</v>
      </c>
      <c r="F35">
        <v>39</v>
      </c>
      <c r="G35">
        <v>438</v>
      </c>
      <c r="H35">
        <v>1</v>
      </c>
      <c r="I35">
        <v>28.25</v>
      </c>
    </row>
    <row r="36" spans="1:11" hidden="1" x14ac:dyDescent="0.35">
      <c r="A36" s="461" t="s">
        <v>192</v>
      </c>
      <c r="B36" s="461" t="s">
        <v>33</v>
      </c>
      <c r="C36" s="461" t="s">
        <v>293</v>
      </c>
      <c r="D36">
        <v>167</v>
      </c>
      <c r="E36">
        <v>768.25</v>
      </c>
      <c r="F36">
        <v>7</v>
      </c>
      <c r="G36">
        <v>62</v>
      </c>
    </row>
    <row r="37" spans="1:11" hidden="1" x14ac:dyDescent="0.35">
      <c r="A37" s="461" t="s">
        <v>192</v>
      </c>
      <c r="B37" s="461" t="s">
        <v>34</v>
      </c>
      <c r="C37" s="461" t="s">
        <v>288</v>
      </c>
      <c r="D37">
        <v>328</v>
      </c>
      <c r="E37">
        <v>2625.5</v>
      </c>
      <c r="F37">
        <v>13</v>
      </c>
      <c r="G37">
        <v>134</v>
      </c>
      <c r="H37">
        <v>3</v>
      </c>
      <c r="I37">
        <v>51.25</v>
      </c>
    </row>
    <row r="38" spans="1:11" hidden="1" x14ac:dyDescent="0.35">
      <c r="A38" s="461" t="s">
        <v>192</v>
      </c>
      <c r="B38" s="461" t="s">
        <v>245</v>
      </c>
      <c r="C38" s="461" t="s">
        <v>289</v>
      </c>
      <c r="D38">
        <v>790</v>
      </c>
      <c r="E38">
        <v>2779.75</v>
      </c>
      <c r="F38">
        <v>67</v>
      </c>
      <c r="G38">
        <v>415</v>
      </c>
      <c r="H38">
        <v>1</v>
      </c>
      <c r="I38">
        <v>32</v>
      </c>
    </row>
    <row r="39" spans="1:11" hidden="1" x14ac:dyDescent="0.35">
      <c r="A39" s="461" t="s">
        <v>192</v>
      </c>
      <c r="B39" s="461" t="s">
        <v>35</v>
      </c>
      <c r="C39" s="461" t="s">
        <v>267</v>
      </c>
      <c r="D39">
        <v>51</v>
      </c>
      <c r="E39">
        <v>190</v>
      </c>
    </row>
    <row r="40" spans="1:11" hidden="1" x14ac:dyDescent="0.35">
      <c r="A40" s="461" t="s">
        <v>192</v>
      </c>
      <c r="B40" s="461" t="s">
        <v>36</v>
      </c>
      <c r="C40" s="461" t="s">
        <v>268</v>
      </c>
      <c r="D40">
        <v>236</v>
      </c>
      <c r="E40">
        <v>943.25</v>
      </c>
      <c r="F40">
        <v>60</v>
      </c>
      <c r="G40">
        <v>445.25</v>
      </c>
    </row>
    <row r="41" spans="1:11" hidden="1" x14ac:dyDescent="0.35">
      <c r="A41" s="461" t="s">
        <v>192</v>
      </c>
      <c r="B41" s="461" t="s">
        <v>37</v>
      </c>
      <c r="C41" s="461" t="s">
        <v>294</v>
      </c>
      <c r="D41">
        <v>588</v>
      </c>
      <c r="E41">
        <v>2433.5</v>
      </c>
      <c r="F41">
        <v>10</v>
      </c>
      <c r="G41">
        <v>76.25</v>
      </c>
    </row>
    <row r="42" spans="1:11" hidden="1" x14ac:dyDescent="0.35">
      <c r="A42" s="461" t="s">
        <v>192</v>
      </c>
      <c r="B42" s="461" t="s">
        <v>38</v>
      </c>
      <c r="C42" s="461" t="s">
        <v>269</v>
      </c>
      <c r="D42">
        <v>131</v>
      </c>
      <c r="E42">
        <v>1016</v>
      </c>
      <c r="F42">
        <v>12</v>
      </c>
      <c r="G42">
        <v>128.75</v>
      </c>
      <c r="H42">
        <v>1</v>
      </c>
      <c r="I42">
        <v>28.5</v>
      </c>
    </row>
    <row r="43" spans="1:11" hidden="1" x14ac:dyDescent="0.35">
      <c r="A43" s="461" t="s">
        <v>192</v>
      </c>
      <c r="B43" s="461" t="s">
        <v>39</v>
      </c>
      <c r="C43" s="461" t="s">
        <v>296</v>
      </c>
      <c r="D43">
        <v>93</v>
      </c>
      <c r="E43">
        <v>607.5</v>
      </c>
      <c r="F43">
        <v>2</v>
      </c>
      <c r="G43">
        <v>26.25</v>
      </c>
    </row>
    <row r="44" spans="1:11" hidden="1" x14ac:dyDescent="0.35">
      <c r="A44" s="461" t="s">
        <v>192</v>
      </c>
      <c r="B44" s="461" t="s">
        <v>40</v>
      </c>
      <c r="C44" s="461" t="s">
        <v>270</v>
      </c>
      <c r="D44">
        <v>143</v>
      </c>
      <c r="E44">
        <v>628</v>
      </c>
      <c r="F44">
        <v>13</v>
      </c>
      <c r="G44">
        <v>106</v>
      </c>
    </row>
    <row r="45" spans="1:11" hidden="1" x14ac:dyDescent="0.35">
      <c r="A45" s="461" t="s">
        <v>192</v>
      </c>
      <c r="B45" s="461" t="s">
        <v>41</v>
      </c>
      <c r="C45" s="461" t="s">
        <v>271</v>
      </c>
      <c r="D45">
        <v>54</v>
      </c>
      <c r="E45">
        <v>343.75</v>
      </c>
      <c r="F45">
        <v>3</v>
      </c>
      <c r="G45">
        <v>60</v>
      </c>
    </row>
    <row r="46" spans="1:11" hidden="1" x14ac:dyDescent="0.35">
      <c r="A46" s="461" t="s">
        <v>192</v>
      </c>
      <c r="B46" s="461" t="s">
        <v>42</v>
      </c>
      <c r="C46" s="461" t="s">
        <v>273</v>
      </c>
      <c r="D46">
        <v>151</v>
      </c>
      <c r="E46">
        <v>754.5</v>
      </c>
      <c r="F46">
        <v>9</v>
      </c>
      <c r="G46">
        <v>57.25</v>
      </c>
      <c r="J46">
        <v>1</v>
      </c>
      <c r="K46">
        <v>11.5</v>
      </c>
    </row>
    <row r="47" spans="1:11" hidden="1" x14ac:dyDescent="0.35">
      <c r="A47" s="461" t="s">
        <v>192</v>
      </c>
      <c r="B47" s="461" t="s">
        <v>43</v>
      </c>
      <c r="C47" s="461" t="s">
        <v>380</v>
      </c>
      <c r="D47">
        <v>600</v>
      </c>
      <c r="E47">
        <v>2456.75</v>
      </c>
      <c r="F47">
        <v>18</v>
      </c>
      <c r="G47">
        <v>153.75</v>
      </c>
      <c r="H47">
        <v>1</v>
      </c>
      <c r="I47">
        <v>24.75</v>
      </c>
    </row>
    <row r="48" spans="1:11" hidden="1" x14ac:dyDescent="0.35">
      <c r="A48" s="461" t="s">
        <v>192</v>
      </c>
      <c r="B48" s="461" t="s">
        <v>114</v>
      </c>
      <c r="C48" s="461" t="s">
        <v>297</v>
      </c>
      <c r="D48">
        <v>1812</v>
      </c>
      <c r="E48">
        <v>7682.25</v>
      </c>
      <c r="F48">
        <v>144</v>
      </c>
      <c r="G48">
        <v>952.25</v>
      </c>
      <c r="H48">
        <v>1</v>
      </c>
      <c r="I48">
        <v>37.25</v>
      </c>
    </row>
    <row r="49" spans="1:11" hidden="1" x14ac:dyDescent="0.35">
      <c r="A49" s="461" t="s">
        <v>192</v>
      </c>
      <c r="B49" s="461" t="s">
        <v>44</v>
      </c>
      <c r="C49" s="461" t="s">
        <v>274</v>
      </c>
      <c r="D49">
        <v>287</v>
      </c>
      <c r="E49">
        <v>1820.25</v>
      </c>
      <c r="F49">
        <v>49</v>
      </c>
      <c r="G49">
        <v>847.75</v>
      </c>
      <c r="H49">
        <v>10</v>
      </c>
      <c r="I49">
        <v>256.5</v>
      </c>
    </row>
    <row r="50" spans="1:11" hidden="1" x14ac:dyDescent="0.35">
      <c r="A50" s="461" t="s">
        <v>192</v>
      </c>
      <c r="B50" s="461" t="s">
        <v>45</v>
      </c>
      <c r="C50" s="461" t="s">
        <v>275</v>
      </c>
      <c r="D50">
        <v>62</v>
      </c>
      <c r="E50">
        <v>263.75</v>
      </c>
      <c r="F50">
        <v>1</v>
      </c>
      <c r="G50">
        <v>17.25</v>
      </c>
    </row>
    <row r="51" spans="1:11" hidden="1" x14ac:dyDescent="0.35">
      <c r="A51" s="461" t="s">
        <v>192</v>
      </c>
      <c r="B51" s="461" t="s">
        <v>46</v>
      </c>
      <c r="C51" s="461" t="s">
        <v>276</v>
      </c>
      <c r="D51">
        <v>96</v>
      </c>
      <c r="E51">
        <v>321.75</v>
      </c>
      <c r="F51">
        <v>2</v>
      </c>
      <c r="G51">
        <v>7.75</v>
      </c>
    </row>
    <row r="52" spans="1:11" hidden="1" x14ac:dyDescent="0.35">
      <c r="A52" s="461" t="s">
        <v>192</v>
      </c>
      <c r="B52" s="461" t="s">
        <v>47</v>
      </c>
      <c r="C52" s="461" t="s">
        <v>277</v>
      </c>
      <c r="D52">
        <v>175</v>
      </c>
      <c r="E52">
        <v>986.75</v>
      </c>
      <c r="F52">
        <v>18</v>
      </c>
      <c r="G52">
        <v>256.25</v>
      </c>
      <c r="H52">
        <v>2</v>
      </c>
      <c r="I52">
        <v>23</v>
      </c>
    </row>
    <row r="53" spans="1:11" hidden="1" x14ac:dyDescent="0.35">
      <c r="A53" s="461" t="s">
        <v>192</v>
      </c>
      <c r="B53" s="461" t="s">
        <v>48</v>
      </c>
      <c r="C53" s="461" t="s">
        <v>272</v>
      </c>
      <c r="D53">
        <v>5</v>
      </c>
      <c r="E53">
        <v>27.25</v>
      </c>
      <c r="F53">
        <v>4</v>
      </c>
      <c r="G53">
        <v>78.75</v>
      </c>
    </row>
    <row r="54" spans="1:11" hidden="1" x14ac:dyDescent="0.35">
      <c r="A54" s="461" t="s">
        <v>192</v>
      </c>
      <c r="B54" s="461" t="s">
        <v>49</v>
      </c>
      <c r="C54" s="461" t="s">
        <v>278</v>
      </c>
      <c r="D54">
        <v>226</v>
      </c>
      <c r="E54">
        <v>1330.25</v>
      </c>
      <c r="F54">
        <v>37</v>
      </c>
      <c r="G54">
        <v>348.75</v>
      </c>
    </row>
    <row r="55" spans="1:11" hidden="1" x14ac:dyDescent="0.35">
      <c r="A55" s="461" t="s">
        <v>192</v>
      </c>
      <c r="B55" s="461" t="s">
        <v>50</v>
      </c>
      <c r="C55" s="461" t="s">
        <v>295</v>
      </c>
      <c r="D55">
        <v>539</v>
      </c>
      <c r="E55">
        <v>3321.5</v>
      </c>
      <c r="F55">
        <v>15</v>
      </c>
      <c r="G55">
        <v>152.25</v>
      </c>
    </row>
    <row r="56" spans="1:11" hidden="1" x14ac:dyDescent="0.35">
      <c r="A56" s="461" t="s">
        <v>192</v>
      </c>
      <c r="B56" s="461" t="s">
        <v>51</v>
      </c>
      <c r="C56" s="461" t="s">
        <v>279</v>
      </c>
      <c r="D56">
        <v>31</v>
      </c>
      <c r="E56">
        <v>146.75</v>
      </c>
      <c r="F56">
        <v>1</v>
      </c>
      <c r="G56">
        <v>13.25</v>
      </c>
    </row>
    <row r="57" spans="1:11" hidden="1" x14ac:dyDescent="0.35">
      <c r="A57" s="461" t="s">
        <v>192</v>
      </c>
      <c r="B57" s="461" t="s">
        <v>52</v>
      </c>
      <c r="C57" s="461" t="s">
        <v>280</v>
      </c>
      <c r="D57">
        <v>269</v>
      </c>
      <c r="E57">
        <v>1484.5</v>
      </c>
      <c r="F57">
        <v>1</v>
      </c>
      <c r="G57">
        <v>12</v>
      </c>
    </row>
    <row r="58" spans="1:11" hidden="1" x14ac:dyDescent="0.35">
      <c r="A58" s="461" t="s">
        <v>192</v>
      </c>
      <c r="B58" s="461" t="s">
        <v>53</v>
      </c>
      <c r="C58" s="461" t="s">
        <v>290</v>
      </c>
      <c r="D58">
        <v>238</v>
      </c>
      <c r="E58">
        <v>1268.75</v>
      </c>
    </row>
    <row r="59" spans="1:11" hidden="1" x14ac:dyDescent="0.35">
      <c r="A59" s="461" t="s">
        <v>192</v>
      </c>
      <c r="B59" s="461" t="s">
        <v>54</v>
      </c>
      <c r="C59" s="461" t="s">
        <v>281</v>
      </c>
      <c r="D59">
        <v>251</v>
      </c>
      <c r="E59">
        <v>1101.75</v>
      </c>
      <c r="F59">
        <v>39</v>
      </c>
      <c r="G59">
        <v>303.5</v>
      </c>
      <c r="J59">
        <v>1</v>
      </c>
      <c r="K59">
        <v>5.5</v>
      </c>
    </row>
    <row r="60" spans="1:11" hidden="1" x14ac:dyDescent="0.35">
      <c r="A60" s="461" t="s">
        <v>192</v>
      </c>
      <c r="B60" s="461" t="s">
        <v>55</v>
      </c>
      <c r="C60" s="461" t="s">
        <v>282</v>
      </c>
      <c r="D60">
        <v>24</v>
      </c>
      <c r="E60">
        <v>127.25</v>
      </c>
    </row>
    <row r="61" spans="1:11" hidden="1" x14ac:dyDescent="0.35">
      <c r="A61" s="461" t="s">
        <v>192</v>
      </c>
      <c r="B61" s="461" t="s">
        <v>56</v>
      </c>
      <c r="C61" s="461" t="s">
        <v>283</v>
      </c>
      <c r="D61">
        <v>274</v>
      </c>
      <c r="E61">
        <v>1590.25</v>
      </c>
      <c r="F61">
        <v>14</v>
      </c>
      <c r="G61">
        <v>122.25</v>
      </c>
      <c r="H61">
        <v>1</v>
      </c>
      <c r="I61">
        <v>18.25</v>
      </c>
    </row>
    <row r="62" spans="1:11" hidden="1" x14ac:dyDescent="0.35">
      <c r="A62" s="461" t="s">
        <v>192</v>
      </c>
      <c r="B62" s="461" t="s">
        <v>57</v>
      </c>
      <c r="C62" s="461" t="s">
        <v>284</v>
      </c>
      <c r="D62">
        <v>243</v>
      </c>
      <c r="E62">
        <v>1871.5</v>
      </c>
      <c r="F62">
        <v>7</v>
      </c>
      <c r="G62">
        <v>246.25</v>
      </c>
      <c r="H62">
        <v>1</v>
      </c>
      <c r="I62">
        <v>90.5</v>
      </c>
    </row>
    <row r="63" spans="1:11" hidden="1" x14ac:dyDescent="0.35">
      <c r="A63" s="461" t="s">
        <v>192</v>
      </c>
      <c r="B63" s="461" t="s">
        <v>58</v>
      </c>
      <c r="C63" s="461" t="s">
        <v>285</v>
      </c>
      <c r="D63">
        <v>332</v>
      </c>
      <c r="E63">
        <v>1013.5</v>
      </c>
      <c r="F63">
        <v>8</v>
      </c>
      <c r="G63">
        <v>39</v>
      </c>
      <c r="H63">
        <v>1</v>
      </c>
      <c r="I63">
        <v>21.75</v>
      </c>
      <c r="J63">
        <v>1</v>
      </c>
      <c r="K63">
        <v>2.5</v>
      </c>
    </row>
    <row r="64" spans="1:11" hidden="1" x14ac:dyDescent="0.35">
      <c r="A64" s="461" t="s">
        <v>192</v>
      </c>
      <c r="B64" s="461" t="s">
        <v>59</v>
      </c>
      <c r="C64" s="461" t="s">
        <v>291</v>
      </c>
      <c r="D64">
        <v>212</v>
      </c>
      <c r="E64">
        <v>933.75</v>
      </c>
      <c r="F64">
        <v>8</v>
      </c>
      <c r="G64">
        <v>99.75</v>
      </c>
    </row>
    <row r="65" spans="1:11" hidden="1" x14ac:dyDescent="0.35">
      <c r="A65" s="461" t="s">
        <v>192</v>
      </c>
      <c r="B65" s="461" t="s">
        <v>60</v>
      </c>
      <c r="C65" s="461" t="s">
        <v>292</v>
      </c>
      <c r="D65">
        <v>161</v>
      </c>
      <c r="E65">
        <v>715.25</v>
      </c>
      <c r="F65">
        <v>15</v>
      </c>
      <c r="G65">
        <v>129.25</v>
      </c>
    </row>
    <row r="66" spans="1:11" hidden="1" x14ac:dyDescent="0.35">
      <c r="A66" s="461" t="s">
        <v>258</v>
      </c>
      <c r="B66" s="461" t="s">
        <v>31</v>
      </c>
      <c r="C66" s="461" t="s">
        <v>286</v>
      </c>
      <c r="D66">
        <v>415</v>
      </c>
      <c r="E66">
        <v>2311</v>
      </c>
      <c r="F66">
        <v>20</v>
      </c>
      <c r="G66">
        <v>156.5</v>
      </c>
      <c r="H66">
        <v>7</v>
      </c>
      <c r="I66">
        <v>48</v>
      </c>
    </row>
    <row r="67" spans="1:11" hidden="1" x14ac:dyDescent="0.35">
      <c r="A67" s="461" t="s">
        <v>258</v>
      </c>
      <c r="B67" s="461" t="s">
        <v>32</v>
      </c>
      <c r="C67" s="461" t="s">
        <v>287</v>
      </c>
      <c r="D67">
        <v>336</v>
      </c>
      <c r="E67">
        <v>2384</v>
      </c>
      <c r="F67">
        <v>26</v>
      </c>
      <c r="G67">
        <v>277.5</v>
      </c>
      <c r="H67">
        <v>1</v>
      </c>
      <c r="I67">
        <v>6.5</v>
      </c>
    </row>
    <row r="68" spans="1:11" hidden="1" x14ac:dyDescent="0.35">
      <c r="A68" s="461" t="s">
        <v>258</v>
      </c>
      <c r="B68" s="461" t="s">
        <v>33</v>
      </c>
      <c r="C68" s="461" t="s">
        <v>293</v>
      </c>
      <c r="D68">
        <v>97</v>
      </c>
      <c r="E68">
        <v>396</v>
      </c>
      <c r="F68">
        <v>2</v>
      </c>
      <c r="G68">
        <v>19.75</v>
      </c>
    </row>
    <row r="69" spans="1:11" hidden="1" x14ac:dyDescent="0.35">
      <c r="A69" s="461" t="s">
        <v>258</v>
      </c>
      <c r="B69" s="461" t="s">
        <v>34</v>
      </c>
      <c r="C69" s="461" t="s">
        <v>288</v>
      </c>
      <c r="D69">
        <v>317</v>
      </c>
      <c r="E69">
        <v>2229.75</v>
      </c>
      <c r="F69">
        <v>14</v>
      </c>
      <c r="G69">
        <v>172.25</v>
      </c>
      <c r="H69">
        <v>2</v>
      </c>
      <c r="I69">
        <v>56.5</v>
      </c>
    </row>
    <row r="70" spans="1:11" hidden="1" x14ac:dyDescent="0.35">
      <c r="A70" s="461" t="s">
        <v>258</v>
      </c>
      <c r="B70" s="461" t="s">
        <v>245</v>
      </c>
      <c r="C70" s="461" t="s">
        <v>289</v>
      </c>
      <c r="D70">
        <v>733</v>
      </c>
      <c r="E70">
        <v>2765</v>
      </c>
      <c r="F70">
        <v>50</v>
      </c>
      <c r="G70">
        <v>314</v>
      </c>
      <c r="H70">
        <v>3</v>
      </c>
      <c r="I70">
        <v>28</v>
      </c>
      <c r="J70">
        <v>4</v>
      </c>
      <c r="K70">
        <v>8.25</v>
      </c>
    </row>
    <row r="71" spans="1:11" hidden="1" x14ac:dyDescent="0.35">
      <c r="A71" s="461" t="s">
        <v>258</v>
      </c>
      <c r="B71" s="461" t="s">
        <v>35</v>
      </c>
      <c r="C71" s="461" t="s">
        <v>267</v>
      </c>
      <c r="D71">
        <v>65</v>
      </c>
      <c r="E71">
        <v>226.75</v>
      </c>
      <c r="F71">
        <v>3</v>
      </c>
      <c r="G71">
        <v>16</v>
      </c>
    </row>
    <row r="72" spans="1:11" hidden="1" x14ac:dyDescent="0.35">
      <c r="A72" s="461" t="s">
        <v>258</v>
      </c>
      <c r="B72" s="461" t="s">
        <v>36</v>
      </c>
      <c r="C72" s="461" t="s">
        <v>268</v>
      </c>
      <c r="D72">
        <v>307</v>
      </c>
      <c r="E72">
        <v>1238</v>
      </c>
      <c r="F72">
        <v>56</v>
      </c>
      <c r="G72">
        <v>490.5</v>
      </c>
      <c r="J72">
        <v>1</v>
      </c>
      <c r="K72">
        <v>10.5</v>
      </c>
    </row>
    <row r="73" spans="1:11" hidden="1" x14ac:dyDescent="0.35">
      <c r="A73" s="461" t="s">
        <v>258</v>
      </c>
      <c r="B73" s="461" t="s">
        <v>37</v>
      </c>
      <c r="C73" s="461" t="s">
        <v>294</v>
      </c>
      <c r="D73">
        <v>653</v>
      </c>
      <c r="E73">
        <v>2216</v>
      </c>
      <c r="F73">
        <v>3</v>
      </c>
      <c r="G73">
        <v>17.25</v>
      </c>
      <c r="J73">
        <v>2</v>
      </c>
      <c r="K73">
        <v>16.5</v>
      </c>
    </row>
    <row r="74" spans="1:11" hidden="1" x14ac:dyDescent="0.35">
      <c r="A74" s="461" t="s">
        <v>258</v>
      </c>
      <c r="B74" s="461" t="s">
        <v>38</v>
      </c>
      <c r="C74" s="461" t="s">
        <v>269</v>
      </c>
      <c r="D74">
        <v>152</v>
      </c>
      <c r="E74">
        <v>1162.5</v>
      </c>
      <c r="F74">
        <v>12</v>
      </c>
      <c r="G74">
        <v>126.25</v>
      </c>
      <c r="H74">
        <v>1</v>
      </c>
      <c r="I74">
        <v>12.75</v>
      </c>
    </row>
    <row r="75" spans="1:11" hidden="1" x14ac:dyDescent="0.35">
      <c r="A75" s="461" t="s">
        <v>258</v>
      </c>
      <c r="B75" s="461" t="s">
        <v>39</v>
      </c>
      <c r="C75" s="461" t="s">
        <v>296</v>
      </c>
      <c r="D75">
        <v>77</v>
      </c>
      <c r="E75">
        <v>520.25</v>
      </c>
      <c r="F75">
        <v>4</v>
      </c>
      <c r="G75">
        <v>57</v>
      </c>
    </row>
    <row r="76" spans="1:11" hidden="1" x14ac:dyDescent="0.35">
      <c r="A76" s="461" t="s">
        <v>258</v>
      </c>
      <c r="B76" s="461" t="s">
        <v>40</v>
      </c>
      <c r="C76" s="461" t="s">
        <v>270</v>
      </c>
      <c r="D76">
        <v>126</v>
      </c>
      <c r="E76">
        <v>481.75</v>
      </c>
      <c r="F76">
        <v>13</v>
      </c>
      <c r="G76">
        <v>102.25</v>
      </c>
    </row>
    <row r="77" spans="1:11" hidden="1" x14ac:dyDescent="0.35">
      <c r="A77" s="461" t="s">
        <v>258</v>
      </c>
      <c r="B77" s="461" t="s">
        <v>41</v>
      </c>
      <c r="C77" s="461" t="s">
        <v>271</v>
      </c>
      <c r="D77">
        <v>76</v>
      </c>
      <c r="E77">
        <v>571.5</v>
      </c>
      <c r="F77">
        <v>4</v>
      </c>
      <c r="G77">
        <v>107.75</v>
      </c>
    </row>
    <row r="78" spans="1:11" hidden="1" x14ac:dyDescent="0.35">
      <c r="A78" s="461" t="s">
        <v>258</v>
      </c>
      <c r="B78" s="461" t="s">
        <v>42</v>
      </c>
      <c r="C78" s="461" t="s">
        <v>273</v>
      </c>
      <c r="D78">
        <v>152</v>
      </c>
      <c r="E78">
        <v>799.75</v>
      </c>
      <c r="F78">
        <v>8</v>
      </c>
      <c r="G78">
        <v>89.25</v>
      </c>
    </row>
    <row r="79" spans="1:11" hidden="1" x14ac:dyDescent="0.35">
      <c r="A79" s="461" t="s">
        <v>258</v>
      </c>
      <c r="B79" s="461" t="s">
        <v>43</v>
      </c>
      <c r="C79" s="461" t="s">
        <v>380</v>
      </c>
      <c r="D79">
        <v>452</v>
      </c>
      <c r="E79">
        <v>1850</v>
      </c>
      <c r="F79">
        <v>30</v>
      </c>
      <c r="G79">
        <v>353.5</v>
      </c>
      <c r="H79">
        <v>1</v>
      </c>
      <c r="I79">
        <v>76.75</v>
      </c>
    </row>
    <row r="80" spans="1:11" hidden="1" x14ac:dyDescent="0.35">
      <c r="A80" s="461" t="s">
        <v>258</v>
      </c>
      <c r="B80" s="461" t="s">
        <v>114</v>
      </c>
      <c r="C80" s="461" t="s">
        <v>297</v>
      </c>
      <c r="D80">
        <v>1457</v>
      </c>
      <c r="E80">
        <v>6398</v>
      </c>
      <c r="F80">
        <v>105</v>
      </c>
      <c r="G80">
        <v>596</v>
      </c>
    </row>
    <row r="81" spans="1:11" hidden="1" x14ac:dyDescent="0.35">
      <c r="A81" s="461" t="s">
        <v>258</v>
      </c>
      <c r="B81" s="461" t="s">
        <v>44</v>
      </c>
      <c r="C81" s="461" t="s">
        <v>274</v>
      </c>
      <c r="D81">
        <v>241</v>
      </c>
      <c r="E81">
        <v>1483.75</v>
      </c>
      <c r="F81">
        <v>27</v>
      </c>
      <c r="G81">
        <v>284.75</v>
      </c>
      <c r="H81">
        <v>1</v>
      </c>
      <c r="I81">
        <v>9.5</v>
      </c>
      <c r="J81">
        <v>1</v>
      </c>
      <c r="K81">
        <v>6.5</v>
      </c>
    </row>
    <row r="82" spans="1:11" hidden="1" x14ac:dyDescent="0.35">
      <c r="A82" s="461" t="s">
        <v>258</v>
      </c>
      <c r="B82" s="461" t="s">
        <v>45</v>
      </c>
      <c r="C82" s="461" t="s">
        <v>275</v>
      </c>
      <c r="D82">
        <v>107</v>
      </c>
      <c r="E82">
        <v>429.5</v>
      </c>
      <c r="F82">
        <v>8</v>
      </c>
      <c r="G82">
        <v>55</v>
      </c>
    </row>
    <row r="83" spans="1:11" hidden="1" x14ac:dyDescent="0.35">
      <c r="A83" s="461" t="s">
        <v>258</v>
      </c>
      <c r="B83" s="461" t="s">
        <v>46</v>
      </c>
      <c r="C83" s="461" t="s">
        <v>276</v>
      </c>
      <c r="D83">
        <v>93</v>
      </c>
      <c r="E83">
        <v>285.75</v>
      </c>
      <c r="F83">
        <v>4</v>
      </c>
      <c r="G83">
        <v>21</v>
      </c>
    </row>
    <row r="84" spans="1:11" hidden="1" x14ac:dyDescent="0.35">
      <c r="A84" s="461" t="s">
        <v>258</v>
      </c>
      <c r="B84" s="461" t="s">
        <v>47</v>
      </c>
      <c r="C84" s="461" t="s">
        <v>277</v>
      </c>
      <c r="D84">
        <v>136</v>
      </c>
      <c r="E84">
        <v>833.25</v>
      </c>
      <c r="F84">
        <v>6</v>
      </c>
      <c r="G84">
        <v>94.25</v>
      </c>
      <c r="H84">
        <v>1</v>
      </c>
      <c r="I84">
        <v>7</v>
      </c>
    </row>
    <row r="85" spans="1:11" hidden="1" x14ac:dyDescent="0.35">
      <c r="A85" s="461" t="s">
        <v>258</v>
      </c>
      <c r="B85" s="461" t="s">
        <v>48</v>
      </c>
      <c r="C85" s="461" t="s">
        <v>272</v>
      </c>
      <c r="D85">
        <v>16</v>
      </c>
      <c r="E85">
        <v>73.25</v>
      </c>
      <c r="F85">
        <v>5</v>
      </c>
      <c r="G85">
        <v>96.5</v>
      </c>
      <c r="H85">
        <v>1</v>
      </c>
      <c r="I85">
        <v>28.75</v>
      </c>
    </row>
    <row r="86" spans="1:11" hidden="1" x14ac:dyDescent="0.35">
      <c r="A86" s="461" t="s">
        <v>258</v>
      </c>
      <c r="B86" s="461" t="s">
        <v>49</v>
      </c>
      <c r="C86" s="461" t="s">
        <v>278</v>
      </c>
      <c r="D86">
        <v>212</v>
      </c>
      <c r="E86">
        <v>982.75</v>
      </c>
      <c r="F86">
        <v>18</v>
      </c>
      <c r="G86">
        <v>181.75</v>
      </c>
    </row>
    <row r="87" spans="1:11" hidden="1" x14ac:dyDescent="0.35">
      <c r="A87" s="461" t="s">
        <v>258</v>
      </c>
      <c r="B87" s="461" t="s">
        <v>50</v>
      </c>
      <c r="C87" s="461" t="s">
        <v>295</v>
      </c>
      <c r="D87">
        <v>485</v>
      </c>
      <c r="E87">
        <v>2741.25</v>
      </c>
      <c r="F87">
        <v>11</v>
      </c>
      <c r="G87">
        <v>112</v>
      </c>
    </row>
    <row r="88" spans="1:11" hidden="1" x14ac:dyDescent="0.35">
      <c r="A88" s="461" t="s">
        <v>258</v>
      </c>
      <c r="B88" s="461" t="s">
        <v>51</v>
      </c>
      <c r="C88" s="461" t="s">
        <v>279</v>
      </c>
      <c r="D88">
        <v>24</v>
      </c>
      <c r="E88">
        <v>132.75</v>
      </c>
      <c r="F88">
        <v>5</v>
      </c>
      <c r="G88">
        <v>53.25</v>
      </c>
    </row>
    <row r="89" spans="1:11" hidden="1" x14ac:dyDescent="0.35">
      <c r="A89" s="461" t="s">
        <v>258</v>
      </c>
      <c r="B89" s="461" t="s">
        <v>52</v>
      </c>
      <c r="C89" s="461" t="s">
        <v>280</v>
      </c>
      <c r="D89">
        <v>279</v>
      </c>
      <c r="E89">
        <v>1366.25</v>
      </c>
      <c r="F89">
        <v>8</v>
      </c>
      <c r="G89">
        <v>59.5</v>
      </c>
    </row>
    <row r="90" spans="1:11" hidden="1" x14ac:dyDescent="0.35">
      <c r="A90" s="461" t="s">
        <v>258</v>
      </c>
      <c r="B90" s="461" t="s">
        <v>53</v>
      </c>
      <c r="C90" s="461" t="s">
        <v>290</v>
      </c>
      <c r="D90">
        <v>164</v>
      </c>
      <c r="E90">
        <v>1078.5</v>
      </c>
      <c r="F90">
        <v>5</v>
      </c>
      <c r="G90">
        <v>60</v>
      </c>
    </row>
    <row r="91" spans="1:11" hidden="1" x14ac:dyDescent="0.35">
      <c r="A91" s="461" t="s">
        <v>258</v>
      </c>
      <c r="B91" s="461" t="s">
        <v>54</v>
      </c>
      <c r="C91" s="461" t="s">
        <v>281</v>
      </c>
      <c r="D91">
        <v>243</v>
      </c>
      <c r="E91">
        <v>1093.5</v>
      </c>
      <c r="F91">
        <v>42</v>
      </c>
      <c r="G91">
        <v>392.75</v>
      </c>
      <c r="H91">
        <v>1</v>
      </c>
      <c r="I91">
        <v>32</v>
      </c>
      <c r="J91">
        <v>1</v>
      </c>
      <c r="K91">
        <v>6.5</v>
      </c>
    </row>
    <row r="92" spans="1:11" hidden="1" x14ac:dyDescent="0.35">
      <c r="A92" s="461" t="s">
        <v>258</v>
      </c>
      <c r="B92" s="461" t="s">
        <v>55</v>
      </c>
      <c r="C92" s="461" t="s">
        <v>282</v>
      </c>
      <c r="D92">
        <v>14</v>
      </c>
      <c r="E92">
        <v>67</v>
      </c>
      <c r="F92">
        <v>2</v>
      </c>
      <c r="G92">
        <v>22</v>
      </c>
      <c r="J92">
        <v>3</v>
      </c>
      <c r="K92">
        <v>24</v>
      </c>
    </row>
    <row r="93" spans="1:11" hidden="1" x14ac:dyDescent="0.35">
      <c r="A93" s="461" t="s">
        <v>258</v>
      </c>
      <c r="B93" s="461" t="s">
        <v>56</v>
      </c>
      <c r="C93" s="461" t="s">
        <v>283</v>
      </c>
      <c r="D93">
        <v>294</v>
      </c>
      <c r="E93">
        <v>1861.5</v>
      </c>
      <c r="F93">
        <v>16</v>
      </c>
      <c r="G93">
        <v>121.75</v>
      </c>
      <c r="H93">
        <v>1</v>
      </c>
      <c r="I93">
        <v>17.25</v>
      </c>
    </row>
    <row r="94" spans="1:11" hidden="1" x14ac:dyDescent="0.35">
      <c r="A94" s="461" t="s">
        <v>258</v>
      </c>
      <c r="B94" s="461" t="s">
        <v>57</v>
      </c>
      <c r="C94" s="461" t="s">
        <v>284</v>
      </c>
      <c r="D94">
        <v>243</v>
      </c>
      <c r="E94">
        <v>1452.5</v>
      </c>
      <c r="F94">
        <v>8</v>
      </c>
      <c r="G94">
        <v>235.75</v>
      </c>
      <c r="H94">
        <v>1</v>
      </c>
      <c r="I94">
        <v>72.25</v>
      </c>
    </row>
    <row r="95" spans="1:11" hidden="1" x14ac:dyDescent="0.35">
      <c r="A95" s="461" t="s">
        <v>258</v>
      </c>
      <c r="B95" s="461" t="s">
        <v>58</v>
      </c>
      <c r="C95" s="461" t="s">
        <v>285</v>
      </c>
      <c r="D95">
        <v>146</v>
      </c>
      <c r="E95">
        <v>598.5</v>
      </c>
      <c r="F95">
        <v>14</v>
      </c>
      <c r="G95">
        <v>101.25</v>
      </c>
    </row>
    <row r="96" spans="1:11" hidden="1" x14ac:dyDescent="0.35">
      <c r="A96" s="461" t="s">
        <v>258</v>
      </c>
      <c r="B96" s="461" t="s">
        <v>59</v>
      </c>
      <c r="C96" s="461" t="s">
        <v>291</v>
      </c>
      <c r="D96">
        <v>118</v>
      </c>
      <c r="E96">
        <v>596.75</v>
      </c>
      <c r="F96">
        <v>3</v>
      </c>
      <c r="G96">
        <v>39.25</v>
      </c>
    </row>
    <row r="97" spans="1:11" hidden="1" x14ac:dyDescent="0.35">
      <c r="A97" s="461" t="s">
        <v>258</v>
      </c>
      <c r="B97" s="461" t="s">
        <v>60</v>
      </c>
      <c r="C97" s="461" t="s">
        <v>292</v>
      </c>
      <c r="D97">
        <v>155</v>
      </c>
      <c r="E97">
        <v>749</v>
      </c>
      <c r="F97">
        <v>22</v>
      </c>
      <c r="G97">
        <v>164.25</v>
      </c>
    </row>
    <row r="98" spans="1:11" hidden="1" x14ac:dyDescent="0.35">
      <c r="A98" s="461" t="s">
        <v>242</v>
      </c>
      <c r="B98" s="461" t="s">
        <v>31</v>
      </c>
      <c r="C98" s="461" t="s">
        <v>286</v>
      </c>
      <c r="D98">
        <v>294</v>
      </c>
      <c r="E98">
        <v>1570.5</v>
      </c>
      <c r="F98">
        <v>21</v>
      </c>
      <c r="G98">
        <v>212.25</v>
      </c>
      <c r="H98">
        <v>2</v>
      </c>
      <c r="I98">
        <v>57.5</v>
      </c>
      <c r="J98">
        <v>1</v>
      </c>
      <c r="K98">
        <v>3.5</v>
      </c>
    </row>
    <row r="99" spans="1:11" hidden="1" x14ac:dyDescent="0.35">
      <c r="A99" s="461" t="s">
        <v>242</v>
      </c>
      <c r="B99" s="461" t="s">
        <v>32</v>
      </c>
      <c r="C99" s="461" t="s">
        <v>287</v>
      </c>
      <c r="D99">
        <v>317</v>
      </c>
      <c r="E99">
        <v>2121</v>
      </c>
      <c r="F99">
        <v>27</v>
      </c>
      <c r="G99">
        <v>291.25</v>
      </c>
      <c r="J99">
        <v>1</v>
      </c>
      <c r="K99">
        <v>23.25</v>
      </c>
    </row>
    <row r="100" spans="1:11" hidden="1" x14ac:dyDescent="0.35">
      <c r="A100" s="461" t="s">
        <v>242</v>
      </c>
      <c r="B100" s="461" t="s">
        <v>33</v>
      </c>
      <c r="C100" s="461" t="s">
        <v>293</v>
      </c>
      <c r="D100">
        <v>99</v>
      </c>
      <c r="E100">
        <v>422.25</v>
      </c>
      <c r="F100">
        <v>20</v>
      </c>
      <c r="G100">
        <v>92.5</v>
      </c>
      <c r="H100">
        <v>2</v>
      </c>
      <c r="I100">
        <v>11</v>
      </c>
      <c r="J100">
        <v>1</v>
      </c>
      <c r="K100">
        <v>7.5</v>
      </c>
    </row>
    <row r="101" spans="1:11" hidden="1" x14ac:dyDescent="0.35">
      <c r="A101" s="461" t="s">
        <v>242</v>
      </c>
      <c r="B101" s="461" t="s">
        <v>34</v>
      </c>
      <c r="C101" s="461" t="s">
        <v>288</v>
      </c>
      <c r="D101">
        <v>171</v>
      </c>
      <c r="E101">
        <v>1143.75</v>
      </c>
      <c r="F101">
        <v>14</v>
      </c>
      <c r="G101">
        <v>157.75</v>
      </c>
      <c r="H101">
        <v>1</v>
      </c>
      <c r="I101">
        <v>14.5</v>
      </c>
    </row>
    <row r="102" spans="1:11" hidden="1" x14ac:dyDescent="0.35">
      <c r="A102" s="461" t="s">
        <v>242</v>
      </c>
      <c r="B102" s="461" t="s">
        <v>245</v>
      </c>
      <c r="C102" s="461" t="s">
        <v>289</v>
      </c>
      <c r="D102">
        <v>707</v>
      </c>
      <c r="E102">
        <v>2618.75</v>
      </c>
      <c r="F102">
        <v>37</v>
      </c>
      <c r="G102">
        <v>234.5</v>
      </c>
      <c r="J102">
        <v>4</v>
      </c>
      <c r="K102">
        <v>10</v>
      </c>
    </row>
    <row r="103" spans="1:11" hidden="1" x14ac:dyDescent="0.35">
      <c r="A103" s="461" t="s">
        <v>242</v>
      </c>
      <c r="B103" s="461" t="s">
        <v>35</v>
      </c>
      <c r="C103" s="461" t="s">
        <v>267</v>
      </c>
      <c r="D103">
        <v>56</v>
      </c>
      <c r="E103">
        <v>253.5</v>
      </c>
      <c r="F103">
        <v>8</v>
      </c>
      <c r="G103">
        <v>36.75</v>
      </c>
      <c r="J103">
        <v>1</v>
      </c>
      <c r="K103">
        <v>10.25</v>
      </c>
    </row>
    <row r="104" spans="1:11" hidden="1" x14ac:dyDescent="0.35">
      <c r="A104" s="461" t="s">
        <v>242</v>
      </c>
      <c r="B104" s="461" t="s">
        <v>36</v>
      </c>
      <c r="C104" s="461" t="s">
        <v>268</v>
      </c>
      <c r="D104">
        <v>346</v>
      </c>
      <c r="E104">
        <v>1646</v>
      </c>
      <c r="F104">
        <v>33</v>
      </c>
      <c r="G104">
        <v>312.25</v>
      </c>
    </row>
    <row r="105" spans="1:11" hidden="1" x14ac:dyDescent="0.35">
      <c r="A105" s="461" t="s">
        <v>242</v>
      </c>
      <c r="B105" s="461" t="s">
        <v>37</v>
      </c>
      <c r="C105" s="461" t="s">
        <v>294</v>
      </c>
      <c r="D105">
        <v>299</v>
      </c>
      <c r="E105">
        <v>1117.25</v>
      </c>
      <c r="F105">
        <v>7</v>
      </c>
      <c r="G105">
        <v>57.75</v>
      </c>
      <c r="J105">
        <v>1</v>
      </c>
      <c r="K105">
        <v>7</v>
      </c>
    </row>
    <row r="106" spans="1:11" hidden="1" x14ac:dyDescent="0.35">
      <c r="A106" s="461" t="s">
        <v>242</v>
      </c>
      <c r="B106" s="461" t="s">
        <v>38</v>
      </c>
      <c r="C106" s="461" t="s">
        <v>269</v>
      </c>
      <c r="D106">
        <v>155</v>
      </c>
      <c r="E106">
        <v>975</v>
      </c>
      <c r="F106">
        <v>10</v>
      </c>
      <c r="G106">
        <v>143</v>
      </c>
      <c r="H106">
        <v>1</v>
      </c>
      <c r="I106">
        <v>51.75</v>
      </c>
    </row>
    <row r="107" spans="1:11" hidden="1" x14ac:dyDescent="0.35">
      <c r="A107" s="461" t="s">
        <v>242</v>
      </c>
      <c r="B107" s="461" t="s">
        <v>39</v>
      </c>
      <c r="C107" s="461" t="s">
        <v>296</v>
      </c>
      <c r="D107">
        <v>86</v>
      </c>
      <c r="E107">
        <v>611</v>
      </c>
      <c r="F107">
        <v>6</v>
      </c>
      <c r="G107">
        <v>67.25</v>
      </c>
    </row>
    <row r="108" spans="1:11" hidden="1" x14ac:dyDescent="0.35">
      <c r="A108" s="461" t="s">
        <v>242</v>
      </c>
      <c r="B108" s="461" t="s">
        <v>40</v>
      </c>
      <c r="C108" s="461" t="s">
        <v>270</v>
      </c>
      <c r="D108">
        <v>138</v>
      </c>
      <c r="E108">
        <v>536.5</v>
      </c>
      <c r="F108">
        <v>6</v>
      </c>
      <c r="G108">
        <v>35.75</v>
      </c>
    </row>
    <row r="109" spans="1:11" hidden="1" x14ac:dyDescent="0.35">
      <c r="A109" s="461" t="s">
        <v>242</v>
      </c>
      <c r="B109" s="461" t="s">
        <v>41</v>
      </c>
      <c r="C109" s="461" t="s">
        <v>271</v>
      </c>
      <c r="D109">
        <v>27</v>
      </c>
      <c r="E109">
        <v>236.5</v>
      </c>
      <c r="F109">
        <v>3</v>
      </c>
      <c r="G109">
        <v>49.75</v>
      </c>
    </row>
    <row r="110" spans="1:11" hidden="1" x14ac:dyDescent="0.35">
      <c r="A110" s="461" t="s">
        <v>242</v>
      </c>
      <c r="B110" s="461" t="s">
        <v>42</v>
      </c>
      <c r="C110" s="461" t="s">
        <v>273</v>
      </c>
      <c r="D110">
        <v>148</v>
      </c>
      <c r="E110">
        <v>843</v>
      </c>
      <c r="F110">
        <v>11</v>
      </c>
      <c r="G110">
        <v>143.25</v>
      </c>
    </row>
    <row r="111" spans="1:11" hidden="1" x14ac:dyDescent="0.35">
      <c r="A111" s="461" t="s">
        <v>242</v>
      </c>
      <c r="B111" s="461" t="s">
        <v>43</v>
      </c>
      <c r="C111" s="461" t="s">
        <v>380</v>
      </c>
      <c r="D111">
        <v>450</v>
      </c>
      <c r="E111">
        <v>1686.5</v>
      </c>
      <c r="F111">
        <v>14</v>
      </c>
      <c r="G111">
        <v>150.5</v>
      </c>
      <c r="H111">
        <v>2</v>
      </c>
      <c r="I111">
        <v>38.75</v>
      </c>
      <c r="J111">
        <v>2</v>
      </c>
      <c r="K111">
        <v>19.5</v>
      </c>
    </row>
    <row r="112" spans="1:11" hidden="1" x14ac:dyDescent="0.35">
      <c r="A112" s="461" t="s">
        <v>242</v>
      </c>
      <c r="B112" s="461" t="s">
        <v>114</v>
      </c>
      <c r="C112" s="461" t="s">
        <v>297</v>
      </c>
      <c r="D112">
        <v>1125</v>
      </c>
      <c r="E112">
        <v>4472.75</v>
      </c>
      <c r="F112">
        <v>62</v>
      </c>
      <c r="G112">
        <v>403</v>
      </c>
    </row>
    <row r="113" spans="1:11" hidden="1" x14ac:dyDescent="0.35">
      <c r="A113" s="461" t="s">
        <v>242</v>
      </c>
      <c r="B113" s="461" t="s">
        <v>44</v>
      </c>
      <c r="C113" s="461" t="s">
        <v>274</v>
      </c>
      <c r="D113">
        <v>227</v>
      </c>
      <c r="E113">
        <v>1333</v>
      </c>
      <c r="F113">
        <v>59</v>
      </c>
      <c r="G113">
        <v>1064.25</v>
      </c>
      <c r="H113">
        <v>6</v>
      </c>
      <c r="I113">
        <v>232</v>
      </c>
      <c r="J113">
        <v>4</v>
      </c>
      <c r="K113">
        <v>38.5</v>
      </c>
    </row>
    <row r="114" spans="1:11" hidden="1" x14ac:dyDescent="0.35">
      <c r="A114" s="461" t="s">
        <v>242</v>
      </c>
      <c r="B114" s="461" t="s">
        <v>45</v>
      </c>
      <c r="C114" s="461" t="s">
        <v>275</v>
      </c>
      <c r="D114">
        <v>57</v>
      </c>
      <c r="E114">
        <v>256.5</v>
      </c>
      <c r="F114">
        <v>8</v>
      </c>
      <c r="G114">
        <v>62</v>
      </c>
    </row>
    <row r="115" spans="1:11" hidden="1" x14ac:dyDescent="0.35">
      <c r="A115" s="461" t="s">
        <v>242</v>
      </c>
      <c r="B115" s="461" t="s">
        <v>46</v>
      </c>
      <c r="C115" s="461" t="s">
        <v>276</v>
      </c>
      <c r="D115">
        <v>94</v>
      </c>
      <c r="E115">
        <v>477.5</v>
      </c>
      <c r="F115">
        <v>1</v>
      </c>
      <c r="G115">
        <v>4.25</v>
      </c>
    </row>
    <row r="116" spans="1:11" hidden="1" x14ac:dyDescent="0.35">
      <c r="A116" s="461" t="s">
        <v>242</v>
      </c>
      <c r="B116" s="461" t="s">
        <v>47</v>
      </c>
      <c r="C116" s="461" t="s">
        <v>277</v>
      </c>
      <c r="D116">
        <v>207</v>
      </c>
      <c r="E116">
        <v>1131.25</v>
      </c>
      <c r="F116">
        <v>9</v>
      </c>
      <c r="G116">
        <v>130.75</v>
      </c>
    </row>
    <row r="117" spans="1:11" hidden="1" x14ac:dyDescent="0.35">
      <c r="A117" s="461" t="s">
        <v>242</v>
      </c>
      <c r="B117" s="461" t="s">
        <v>48</v>
      </c>
      <c r="C117" s="461" t="s">
        <v>272</v>
      </c>
      <c r="D117">
        <v>19</v>
      </c>
      <c r="E117">
        <v>163.25</v>
      </c>
      <c r="F117">
        <v>4</v>
      </c>
      <c r="G117">
        <v>93.25</v>
      </c>
      <c r="H117">
        <v>1</v>
      </c>
      <c r="I117">
        <v>60</v>
      </c>
    </row>
    <row r="118" spans="1:11" hidden="1" x14ac:dyDescent="0.35">
      <c r="A118" s="461" t="s">
        <v>242</v>
      </c>
      <c r="B118" s="461" t="s">
        <v>49</v>
      </c>
      <c r="C118" s="461" t="s">
        <v>278</v>
      </c>
      <c r="D118">
        <v>94</v>
      </c>
      <c r="E118">
        <v>542.75</v>
      </c>
      <c r="F118">
        <v>8</v>
      </c>
      <c r="G118">
        <v>85.75</v>
      </c>
    </row>
    <row r="119" spans="1:11" hidden="1" x14ac:dyDescent="0.35">
      <c r="A119" s="461" t="s">
        <v>242</v>
      </c>
      <c r="B119" s="461" t="s">
        <v>50</v>
      </c>
      <c r="C119" s="461" t="s">
        <v>295</v>
      </c>
      <c r="D119">
        <v>344</v>
      </c>
      <c r="E119">
        <v>1826.5</v>
      </c>
      <c r="F119">
        <v>7</v>
      </c>
      <c r="G119">
        <v>65.5</v>
      </c>
    </row>
    <row r="120" spans="1:11" hidden="1" x14ac:dyDescent="0.35">
      <c r="A120" s="461" t="s">
        <v>242</v>
      </c>
      <c r="B120" s="461" t="s">
        <v>51</v>
      </c>
      <c r="C120" s="461" t="s">
        <v>279</v>
      </c>
      <c r="D120">
        <v>10</v>
      </c>
      <c r="E120">
        <v>46.75</v>
      </c>
      <c r="F120">
        <v>3</v>
      </c>
      <c r="G120">
        <v>44.25</v>
      </c>
    </row>
    <row r="121" spans="1:11" hidden="1" x14ac:dyDescent="0.35">
      <c r="A121" s="461" t="s">
        <v>242</v>
      </c>
      <c r="B121" s="461" t="s">
        <v>52</v>
      </c>
      <c r="C121" s="461" t="s">
        <v>280</v>
      </c>
      <c r="D121">
        <v>284</v>
      </c>
      <c r="E121">
        <v>1240.75</v>
      </c>
      <c r="F121">
        <v>9</v>
      </c>
      <c r="G121">
        <v>81.25</v>
      </c>
    </row>
    <row r="122" spans="1:11" hidden="1" x14ac:dyDescent="0.35">
      <c r="A122" s="461" t="s">
        <v>242</v>
      </c>
      <c r="B122" s="461" t="s">
        <v>53</v>
      </c>
      <c r="C122" s="461" t="s">
        <v>290</v>
      </c>
      <c r="D122">
        <v>82</v>
      </c>
      <c r="E122">
        <v>508.5</v>
      </c>
      <c r="F122">
        <v>9</v>
      </c>
      <c r="G122">
        <v>126</v>
      </c>
    </row>
    <row r="123" spans="1:11" hidden="1" x14ac:dyDescent="0.35">
      <c r="A123" s="461" t="s">
        <v>242</v>
      </c>
      <c r="B123" s="461" t="s">
        <v>54</v>
      </c>
      <c r="C123" s="461" t="s">
        <v>281</v>
      </c>
      <c r="D123">
        <v>218</v>
      </c>
      <c r="E123">
        <v>1084.25</v>
      </c>
      <c r="F123">
        <v>13</v>
      </c>
      <c r="G123">
        <v>97.75</v>
      </c>
    </row>
    <row r="124" spans="1:11" hidden="1" x14ac:dyDescent="0.35">
      <c r="A124" s="461" t="s">
        <v>242</v>
      </c>
      <c r="B124" s="461" t="s">
        <v>55</v>
      </c>
      <c r="C124" s="461" t="s">
        <v>282</v>
      </c>
      <c r="D124">
        <v>22</v>
      </c>
      <c r="E124">
        <v>189</v>
      </c>
      <c r="F124">
        <v>1</v>
      </c>
      <c r="G124">
        <v>8</v>
      </c>
      <c r="J124">
        <v>1</v>
      </c>
      <c r="K124">
        <v>3.5</v>
      </c>
    </row>
    <row r="125" spans="1:11" hidden="1" x14ac:dyDescent="0.35">
      <c r="A125" s="461" t="s">
        <v>242</v>
      </c>
      <c r="B125" s="461" t="s">
        <v>56</v>
      </c>
      <c r="C125" s="461" t="s">
        <v>283</v>
      </c>
      <c r="D125">
        <v>310</v>
      </c>
      <c r="E125">
        <v>1986.75</v>
      </c>
      <c r="F125">
        <v>9</v>
      </c>
      <c r="G125">
        <v>68.75</v>
      </c>
    </row>
    <row r="126" spans="1:11" hidden="1" x14ac:dyDescent="0.35">
      <c r="A126" s="461" t="s">
        <v>242</v>
      </c>
      <c r="B126" s="461" t="s">
        <v>57</v>
      </c>
      <c r="C126" s="461" t="s">
        <v>284</v>
      </c>
      <c r="D126">
        <v>321</v>
      </c>
      <c r="E126">
        <v>1386.5</v>
      </c>
      <c r="F126">
        <v>12</v>
      </c>
      <c r="G126">
        <v>171.5</v>
      </c>
    </row>
    <row r="127" spans="1:11" hidden="1" x14ac:dyDescent="0.35">
      <c r="A127" s="461" t="s">
        <v>242</v>
      </c>
      <c r="B127" s="461" t="s">
        <v>58</v>
      </c>
      <c r="C127" s="461" t="s">
        <v>285</v>
      </c>
      <c r="D127">
        <v>203</v>
      </c>
      <c r="E127">
        <v>910.5</v>
      </c>
      <c r="F127">
        <v>21</v>
      </c>
      <c r="G127">
        <v>135.5</v>
      </c>
      <c r="J127">
        <v>1</v>
      </c>
      <c r="K127">
        <v>5.5</v>
      </c>
    </row>
    <row r="128" spans="1:11" hidden="1" x14ac:dyDescent="0.35">
      <c r="A128" s="461" t="s">
        <v>242</v>
      </c>
      <c r="B128" s="461" t="s">
        <v>59</v>
      </c>
      <c r="C128" s="461" t="s">
        <v>291</v>
      </c>
      <c r="D128">
        <v>100</v>
      </c>
      <c r="E128">
        <v>682.75</v>
      </c>
      <c r="F128">
        <v>9</v>
      </c>
      <c r="G128">
        <v>115.25</v>
      </c>
    </row>
    <row r="129" spans="1:11" hidden="1" x14ac:dyDescent="0.35">
      <c r="A129" s="461" t="s">
        <v>242</v>
      </c>
      <c r="B129" s="461" t="s">
        <v>60</v>
      </c>
      <c r="C129" s="461" t="s">
        <v>292</v>
      </c>
      <c r="D129">
        <v>157</v>
      </c>
      <c r="E129">
        <v>667.75</v>
      </c>
      <c r="F129">
        <v>7</v>
      </c>
      <c r="G129">
        <v>40.5</v>
      </c>
    </row>
    <row r="130" spans="1:11" hidden="1" x14ac:dyDescent="0.35">
      <c r="A130" s="461" t="s">
        <v>241</v>
      </c>
      <c r="B130" s="461" t="s">
        <v>31</v>
      </c>
      <c r="C130" s="461" t="s">
        <v>286</v>
      </c>
      <c r="D130">
        <v>349</v>
      </c>
      <c r="E130">
        <v>2090</v>
      </c>
      <c r="F130">
        <v>15</v>
      </c>
      <c r="G130">
        <v>161</v>
      </c>
      <c r="J130">
        <v>2</v>
      </c>
      <c r="K130">
        <v>4.5</v>
      </c>
    </row>
    <row r="131" spans="1:11" hidden="1" x14ac:dyDescent="0.35">
      <c r="A131" s="461" t="s">
        <v>241</v>
      </c>
      <c r="B131" s="461" t="s">
        <v>32</v>
      </c>
      <c r="C131" s="461" t="s">
        <v>287</v>
      </c>
      <c r="D131">
        <v>344</v>
      </c>
      <c r="E131">
        <v>1895</v>
      </c>
      <c r="F131">
        <v>29</v>
      </c>
      <c r="G131">
        <v>240.5</v>
      </c>
      <c r="J131">
        <v>1</v>
      </c>
      <c r="K131">
        <v>7.5</v>
      </c>
    </row>
    <row r="132" spans="1:11" hidden="1" x14ac:dyDescent="0.35">
      <c r="A132" s="461" t="s">
        <v>241</v>
      </c>
      <c r="B132" s="461" t="s">
        <v>33</v>
      </c>
      <c r="C132" s="461" t="s">
        <v>293</v>
      </c>
      <c r="D132">
        <v>115</v>
      </c>
      <c r="E132">
        <v>476.75</v>
      </c>
      <c r="F132">
        <v>11</v>
      </c>
      <c r="G132">
        <v>49.5</v>
      </c>
      <c r="H132">
        <v>1</v>
      </c>
      <c r="I132">
        <v>6</v>
      </c>
    </row>
    <row r="133" spans="1:11" hidden="1" x14ac:dyDescent="0.35">
      <c r="A133" s="461" t="s">
        <v>241</v>
      </c>
      <c r="B133" s="461" t="s">
        <v>34</v>
      </c>
      <c r="C133" s="461" t="s">
        <v>288</v>
      </c>
      <c r="D133">
        <v>205</v>
      </c>
      <c r="E133">
        <v>1662</v>
      </c>
      <c r="F133">
        <v>15</v>
      </c>
      <c r="G133">
        <v>154.75</v>
      </c>
    </row>
    <row r="134" spans="1:11" hidden="1" x14ac:dyDescent="0.35">
      <c r="A134" s="461" t="s">
        <v>241</v>
      </c>
      <c r="B134" s="461" t="s">
        <v>245</v>
      </c>
      <c r="C134" s="461" t="s">
        <v>289</v>
      </c>
      <c r="D134">
        <v>672</v>
      </c>
      <c r="E134">
        <v>2918.5</v>
      </c>
      <c r="F134">
        <v>42</v>
      </c>
      <c r="G134">
        <v>362.75</v>
      </c>
      <c r="H134">
        <v>5</v>
      </c>
      <c r="I134">
        <v>63.5</v>
      </c>
      <c r="J134">
        <v>4</v>
      </c>
      <c r="K134">
        <v>16</v>
      </c>
    </row>
    <row r="135" spans="1:11" hidden="1" x14ac:dyDescent="0.35">
      <c r="A135" s="461" t="s">
        <v>241</v>
      </c>
      <c r="B135" s="461" t="s">
        <v>35</v>
      </c>
      <c r="C135" s="461" t="s">
        <v>267</v>
      </c>
      <c r="D135">
        <v>69</v>
      </c>
      <c r="E135">
        <v>332.5</v>
      </c>
      <c r="F135">
        <v>1</v>
      </c>
      <c r="G135">
        <v>8.5</v>
      </c>
    </row>
    <row r="136" spans="1:11" hidden="1" x14ac:dyDescent="0.35">
      <c r="A136" s="461" t="s">
        <v>241</v>
      </c>
      <c r="B136" s="461" t="s">
        <v>36</v>
      </c>
      <c r="C136" s="461" t="s">
        <v>268</v>
      </c>
      <c r="D136">
        <v>420</v>
      </c>
      <c r="E136">
        <v>2070.25</v>
      </c>
      <c r="F136">
        <v>20</v>
      </c>
      <c r="G136">
        <v>205.5</v>
      </c>
      <c r="H136">
        <v>2</v>
      </c>
      <c r="I136">
        <v>17</v>
      </c>
    </row>
    <row r="137" spans="1:11" hidden="1" x14ac:dyDescent="0.35">
      <c r="A137" s="461" t="s">
        <v>241</v>
      </c>
      <c r="B137" s="461" t="s">
        <v>37</v>
      </c>
      <c r="C137" s="461" t="s">
        <v>294</v>
      </c>
      <c r="D137">
        <v>371</v>
      </c>
      <c r="E137">
        <v>1559.5</v>
      </c>
      <c r="F137">
        <v>10</v>
      </c>
      <c r="G137">
        <v>90.75</v>
      </c>
      <c r="J137">
        <v>3</v>
      </c>
      <c r="K137">
        <v>23.5</v>
      </c>
    </row>
    <row r="138" spans="1:11" hidden="1" x14ac:dyDescent="0.35">
      <c r="A138" s="461" t="s">
        <v>241</v>
      </c>
      <c r="B138" s="461" t="s">
        <v>38</v>
      </c>
      <c r="C138" s="461" t="s">
        <v>269</v>
      </c>
      <c r="D138">
        <v>138</v>
      </c>
      <c r="E138">
        <v>837.25</v>
      </c>
      <c r="F138">
        <v>7</v>
      </c>
      <c r="G138">
        <v>59</v>
      </c>
    </row>
    <row r="139" spans="1:11" hidden="1" x14ac:dyDescent="0.35">
      <c r="A139" s="461" t="s">
        <v>241</v>
      </c>
      <c r="B139" s="461" t="s">
        <v>39</v>
      </c>
      <c r="C139" s="461" t="s">
        <v>296</v>
      </c>
      <c r="D139">
        <v>82</v>
      </c>
      <c r="E139">
        <v>447.75</v>
      </c>
      <c r="F139">
        <v>2</v>
      </c>
      <c r="G139">
        <v>30</v>
      </c>
    </row>
    <row r="140" spans="1:11" hidden="1" x14ac:dyDescent="0.35">
      <c r="A140" s="461" t="s">
        <v>241</v>
      </c>
      <c r="B140" s="461" t="s">
        <v>40</v>
      </c>
      <c r="C140" s="461" t="s">
        <v>270</v>
      </c>
      <c r="D140">
        <v>144</v>
      </c>
      <c r="E140">
        <v>567.25</v>
      </c>
      <c r="F140">
        <v>5</v>
      </c>
      <c r="G140">
        <v>34.5</v>
      </c>
    </row>
    <row r="141" spans="1:11" hidden="1" x14ac:dyDescent="0.35">
      <c r="A141" s="461" t="s">
        <v>241</v>
      </c>
      <c r="B141" s="461" t="s">
        <v>41</v>
      </c>
      <c r="C141" s="461" t="s">
        <v>271</v>
      </c>
      <c r="D141">
        <v>34</v>
      </c>
      <c r="E141">
        <v>234</v>
      </c>
      <c r="F141">
        <v>2</v>
      </c>
      <c r="G141">
        <v>18.75</v>
      </c>
    </row>
    <row r="142" spans="1:11" hidden="1" x14ac:dyDescent="0.35">
      <c r="A142" s="461" t="s">
        <v>241</v>
      </c>
      <c r="B142" s="461" t="s">
        <v>42</v>
      </c>
      <c r="C142" s="461" t="s">
        <v>273</v>
      </c>
      <c r="D142">
        <v>201</v>
      </c>
      <c r="E142">
        <v>1063.25</v>
      </c>
    </row>
    <row r="143" spans="1:11" hidden="1" x14ac:dyDescent="0.35">
      <c r="A143" s="461" t="s">
        <v>241</v>
      </c>
      <c r="B143" s="461" t="s">
        <v>43</v>
      </c>
      <c r="C143" s="461" t="s">
        <v>380</v>
      </c>
      <c r="D143">
        <v>644</v>
      </c>
      <c r="E143">
        <v>2085.75</v>
      </c>
      <c r="F143">
        <v>13</v>
      </c>
      <c r="G143">
        <v>127</v>
      </c>
      <c r="H143">
        <v>2</v>
      </c>
      <c r="I143">
        <v>52</v>
      </c>
    </row>
    <row r="144" spans="1:11" hidden="1" x14ac:dyDescent="0.35">
      <c r="A144" s="461" t="s">
        <v>241</v>
      </c>
      <c r="B144" s="461" t="s">
        <v>114</v>
      </c>
      <c r="C144" s="461" t="s">
        <v>297</v>
      </c>
      <c r="D144">
        <v>1067</v>
      </c>
      <c r="E144">
        <v>4671</v>
      </c>
      <c r="F144">
        <v>59</v>
      </c>
      <c r="G144">
        <v>525.75</v>
      </c>
      <c r="H144">
        <v>3</v>
      </c>
      <c r="I144">
        <v>49.25</v>
      </c>
    </row>
    <row r="145" spans="1:11" hidden="1" x14ac:dyDescent="0.35">
      <c r="A145" s="461" t="s">
        <v>241</v>
      </c>
      <c r="B145" s="461" t="s">
        <v>44</v>
      </c>
      <c r="C145" s="461" t="s">
        <v>274</v>
      </c>
      <c r="D145">
        <v>172</v>
      </c>
      <c r="E145">
        <v>1061.75</v>
      </c>
      <c r="F145">
        <v>24</v>
      </c>
      <c r="G145">
        <v>392.5</v>
      </c>
      <c r="H145">
        <v>1</v>
      </c>
      <c r="I145">
        <v>70.75</v>
      </c>
      <c r="J145">
        <v>7</v>
      </c>
      <c r="K145">
        <v>123</v>
      </c>
    </row>
    <row r="146" spans="1:11" hidden="1" x14ac:dyDescent="0.35">
      <c r="A146" s="461" t="s">
        <v>241</v>
      </c>
      <c r="B146" s="461" t="s">
        <v>45</v>
      </c>
      <c r="C146" s="461" t="s">
        <v>275</v>
      </c>
      <c r="D146">
        <v>73</v>
      </c>
      <c r="E146">
        <v>338.75</v>
      </c>
      <c r="F146">
        <v>5</v>
      </c>
      <c r="G146">
        <v>63</v>
      </c>
      <c r="H146">
        <v>1</v>
      </c>
      <c r="I146">
        <v>33.25</v>
      </c>
    </row>
    <row r="147" spans="1:11" hidden="1" x14ac:dyDescent="0.35">
      <c r="A147" s="461" t="s">
        <v>241</v>
      </c>
      <c r="B147" s="461" t="s">
        <v>46</v>
      </c>
      <c r="C147" s="461" t="s">
        <v>276</v>
      </c>
      <c r="D147">
        <v>131</v>
      </c>
      <c r="E147">
        <v>878.5</v>
      </c>
      <c r="F147">
        <v>7</v>
      </c>
      <c r="G147">
        <v>91.25</v>
      </c>
    </row>
    <row r="148" spans="1:11" hidden="1" x14ac:dyDescent="0.35">
      <c r="A148" s="461" t="s">
        <v>241</v>
      </c>
      <c r="B148" s="461" t="s">
        <v>47</v>
      </c>
      <c r="C148" s="461" t="s">
        <v>277</v>
      </c>
      <c r="D148">
        <v>124</v>
      </c>
      <c r="E148">
        <v>579.75</v>
      </c>
      <c r="F148">
        <v>6</v>
      </c>
      <c r="G148">
        <v>75.25</v>
      </c>
      <c r="J148">
        <v>1</v>
      </c>
    </row>
    <row r="149" spans="1:11" hidden="1" x14ac:dyDescent="0.35">
      <c r="A149" s="461" t="s">
        <v>241</v>
      </c>
      <c r="B149" s="461" t="s">
        <v>48</v>
      </c>
      <c r="C149" s="461" t="s">
        <v>272</v>
      </c>
      <c r="D149">
        <v>21</v>
      </c>
      <c r="E149">
        <v>73.5</v>
      </c>
    </row>
    <row r="150" spans="1:11" hidden="1" x14ac:dyDescent="0.35">
      <c r="A150" s="461" t="s">
        <v>241</v>
      </c>
      <c r="B150" s="461" t="s">
        <v>49</v>
      </c>
      <c r="C150" s="461" t="s">
        <v>278</v>
      </c>
      <c r="D150">
        <v>239</v>
      </c>
      <c r="E150">
        <v>1222.25</v>
      </c>
      <c r="F150">
        <v>5</v>
      </c>
      <c r="G150">
        <v>47</v>
      </c>
    </row>
    <row r="151" spans="1:11" hidden="1" x14ac:dyDescent="0.35">
      <c r="A151" s="461" t="s">
        <v>241</v>
      </c>
      <c r="B151" s="461" t="s">
        <v>50</v>
      </c>
      <c r="C151" s="461" t="s">
        <v>295</v>
      </c>
      <c r="D151">
        <v>294</v>
      </c>
      <c r="E151">
        <v>1348</v>
      </c>
      <c r="F151">
        <v>13</v>
      </c>
      <c r="G151">
        <v>182.75</v>
      </c>
      <c r="H151">
        <v>2</v>
      </c>
      <c r="I151">
        <v>68.75</v>
      </c>
      <c r="J151">
        <v>1</v>
      </c>
      <c r="K151">
        <v>63</v>
      </c>
    </row>
    <row r="152" spans="1:11" hidden="1" x14ac:dyDescent="0.35">
      <c r="A152" s="461" t="s">
        <v>241</v>
      </c>
      <c r="B152" s="461" t="s">
        <v>51</v>
      </c>
      <c r="C152" s="461" t="s">
        <v>279</v>
      </c>
      <c r="D152">
        <v>9</v>
      </c>
      <c r="E152">
        <v>42.5</v>
      </c>
    </row>
    <row r="153" spans="1:11" hidden="1" x14ac:dyDescent="0.35">
      <c r="A153" s="461" t="s">
        <v>241</v>
      </c>
      <c r="B153" s="461" t="s">
        <v>52</v>
      </c>
      <c r="C153" s="461" t="s">
        <v>280</v>
      </c>
      <c r="D153">
        <v>281</v>
      </c>
      <c r="E153">
        <v>1204.5</v>
      </c>
      <c r="F153">
        <v>12</v>
      </c>
      <c r="G153">
        <v>81</v>
      </c>
      <c r="H153">
        <v>1</v>
      </c>
      <c r="I153">
        <v>14.25</v>
      </c>
    </row>
    <row r="154" spans="1:11" hidden="1" x14ac:dyDescent="0.35">
      <c r="A154" s="461" t="s">
        <v>241</v>
      </c>
      <c r="B154" s="461" t="s">
        <v>53</v>
      </c>
      <c r="C154" s="461" t="s">
        <v>290</v>
      </c>
      <c r="D154">
        <v>163</v>
      </c>
      <c r="E154">
        <v>836</v>
      </c>
      <c r="F154">
        <v>6</v>
      </c>
      <c r="G154">
        <v>94</v>
      </c>
    </row>
    <row r="155" spans="1:11" hidden="1" x14ac:dyDescent="0.35">
      <c r="A155" s="461" t="s">
        <v>241</v>
      </c>
      <c r="B155" s="461" t="s">
        <v>54</v>
      </c>
      <c r="C155" s="461" t="s">
        <v>281</v>
      </c>
      <c r="D155">
        <v>202</v>
      </c>
      <c r="E155">
        <v>998.75</v>
      </c>
      <c r="F155">
        <v>17</v>
      </c>
      <c r="G155">
        <v>142.5</v>
      </c>
    </row>
    <row r="156" spans="1:11" hidden="1" x14ac:dyDescent="0.35">
      <c r="A156" s="461" t="s">
        <v>241</v>
      </c>
      <c r="B156" s="461" t="s">
        <v>55</v>
      </c>
      <c r="C156" s="461" t="s">
        <v>282</v>
      </c>
      <c r="D156">
        <v>14</v>
      </c>
      <c r="E156">
        <v>110.25</v>
      </c>
      <c r="F156">
        <v>2</v>
      </c>
      <c r="G156">
        <v>23.75</v>
      </c>
    </row>
    <row r="157" spans="1:11" hidden="1" x14ac:dyDescent="0.35">
      <c r="A157" s="461" t="s">
        <v>241</v>
      </c>
      <c r="B157" s="461" t="s">
        <v>56</v>
      </c>
      <c r="C157" s="461" t="s">
        <v>283</v>
      </c>
      <c r="D157">
        <v>216</v>
      </c>
      <c r="E157">
        <v>1373.25</v>
      </c>
      <c r="F157">
        <v>13</v>
      </c>
      <c r="G157">
        <v>108</v>
      </c>
      <c r="H157">
        <v>3</v>
      </c>
      <c r="I157">
        <v>44.25</v>
      </c>
      <c r="J157">
        <v>1</v>
      </c>
    </row>
    <row r="158" spans="1:11" hidden="1" x14ac:dyDescent="0.35">
      <c r="A158" s="461" t="s">
        <v>241</v>
      </c>
      <c r="B158" s="461" t="s">
        <v>57</v>
      </c>
      <c r="C158" s="461" t="s">
        <v>284</v>
      </c>
      <c r="D158">
        <v>242</v>
      </c>
      <c r="E158">
        <v>1512.25</v>
      </c>
      <c r="F158">
        <v>10</v>
      </c>
      <c r="G158">
        <v>273</v>
      </c>
      <c r="H158">
        <v>1</v>
      </c>
      <c r="I158">
        <v>102.75</v>
      </c>
    </row>
    <row r="159" spans="1:11" hidden="1" x14ac:dyDescent="0.35">
      <c r="A159" s="461" t="s">
        <v>241</v>
      </c>
      <c r="B159" s="461" t="s">
        <v>58</v>
      </c>
      <c r="C159" s="461" t="s">
        <v>285</v>
      </c>
      <c r="D159">
        <v>190</v>
      </c>
      <c r="E159">
        <v>759</v>
      </c>
      <c r="F159">
        <v>3</v>
      </c>
      <c r="G159">
        <v>38.75</v>
      </c>
    </row>
    <row r="160" spans="1:11" hidden="1" x14ac:dyDescent="0.35">
      <c r="A160" s="461" t="s">
        <v>241</v>
      </c>
      <c r="B160" s="461" t="s">
        <v>59</v>
      </c>
      <c r="C160" s="461" t="s">
        <v>291</v>
      </c>
      <c r="D160">
        <v>74</v>
      </c>
      <c r="E160">
        <v>427</v>
      </c>
      <c r="F160">
        <v>5</v>
      </c>
      <c r="G160">
        <v>44.75</v>
      </c>
    </row>
    <row r="161" spans="1:10" hidden="1" x14ac:dyDescent="0.35">
      <c r="A161" s="461" t="s">
        <v>241</v>
      </c>
      <c r="B161" s="461" t="s">
        <v>60</v>
      </c>
      <c r="C161" s="461" t="s">
        <v>292</v>
      </c>
      <c r="D161">
        <v>208</v>
      </c>
      <c r="E161">
        <v>775.5</v>
      </c>
      <c r="F161">
        <v>5</v>
      </c>
      <c r="G161">
        <v>33.5</v>
      </c>
    </row>
    <row r="162" spans="1:10" x14ac:dyDescent="0.35">
      <c r="A162" s="461" t="s">
        <v>773</v>
      </c>
      <c r="B162" s="461" t="s">
        <v>31</v>
      </c>
      <c r="C162" s="461" t="s">
        <v>286</v>
      </c>
      <c r="D162">
        <v>422</v>
      </c>
      <c r="F162">
        <v>11</v>
      </c>
      <c r="J162">
        <v>2</v>
      </c>
    </row>
    <row r="163" spans="1:10" x14ac:dyDescent="0.35">
      <c r="A163" s="461" t="s">
        <v>773</v>
      </c>
      <c r="B163" s="461" t="s">
        <v>32</v>
      </c>
      <c r="C163" s="461" t="s">
        <v>287</v>
      </c>
      <c r="D163">
        <v>345</v>
      </c>
      <c r="F163">
        <v>6</v>
      </c>
    </row>
    <row r="164" spans="1:10" x14ac:dyDescent="0.35">
      <c r="A164" s="461" t="s">
        <v>773</v>
      </c>
      <c r="B164" s="461" t="s">
        <v>33</v>
      </c>
      <c r="C164" s="461" t="s">
        <v>293</v>
      </c>
      <c r="D164">
        <v>123</v>
      </c>
    </row>
    <row r="165" spans="1:10" x14ac:dyDescent="0.35">
      <c r="A165" s="461" t="s">
        <v>773</v>
      </c>
      <c r="B165" s="461" t="s">
        <v>34</v>
      </c>
      <c r="C165" s="461" t="s">
        <v>288</v>
      </c>
      <c r="D165">
        <v>275</v>
      </c>
      <c r="F165">
        <v>7</v>
      </c>
    </row>
    <row r="166" spans="1:10" x14ac:dyDescent="0.35">
      <c r="A166" s="461" t="s">
        <v>773</v>
      </c>
      <c r="B166" s="461" t="s">
        <v>245</v>
      </c>
      <c r="C166" s="461" t="s">
        <v>289</v>
      </c>
      <c r="D166">
        <v>631</v>
      </c>
      <c r="F166">
        <v>17</v>
      </c>
      <c r="J166">
        <v>1</v>
      </c>
    </row>
    <row r="167" spans="1:10" x14ac:dyDescent="0.35">
      <c r="A167" s="461" t="s">
        <v>773</v>
      </c>
      <c r="B167" s="461" t="s">
        <v>35</v>
      </c>
      <c r="C167" s="461" t="s">
        <v>267</v>
      </c>
      <c r="D167">
        <v>49</v>
      </c>
    </row>
    <row r="168" spans="1:10" x14ac:dyDescent="0.35">
      <c r="A168" s="461" t="s">
        <v>773</v>
      </c>
      <c r="B168" s="461" t="s">
        <v>36</v>
      </c>
      <c r="C168" s="461" t="s">
        <v>268</v>
      </c>
      <c r="D168">
        <v>429</v>
      </c>
      <c r="F168">
        <v>6</v>
      </c>
    </row>
    <row r="169" spans="1:10" x14ac:dyDescent="0.35">
      <c r="A169" s="461" t="s">
        <v>773</v>
      </c>
      <c r="B169" s="461" t="s">
        <v>37</v>
      </c>
      <c r="C169" s="461" t="s">
        <v>294</v>
      </c>
      <c r="D169">
        <v>419</v>
      </c>
      <c r="F169">
        <v>5</v>
      </c>
    </row>
    <row r="170" spans="1:10" x14ac:dyDescent="0.35">
      <c r="A170" s="461" t="s">
        <v>773</v>
      </c>
      <c r="B170" s="461" t="s">
        <v>38</v>
      </c>
      <c r="C170" s="461" t="s">
        <v>269</v>
      </c>
      <c r="D170">
        <v>105</v>
      </c>
      <c r="F170">
        <v>5</v>
      </c>
    </row>
    <row r="171" spans="1:10" x14ac:dyDescent="0.35">
      <c r="A171" s="461" t="s">
        <v>773</v>
      </c>
      <c r="B171" s="461" t="s">
        <v>39</v>
      </c>
      <c r="C171" s="461" t="s">
        <v>296</v>
      </c>
      <c r="D171">
        <v>97</v>
      </c>
      <c r="F171">
        <v>4</v>
      </c>
    </row>
    <row r="172" spans="1:10" x14ac:dyDescent="0.35">
      <c r="A172" s="461" t="s">
        <v>773</v>
      </c>
      <c r="B172" s="461" t="s">
        <v>40</v>
      </c>
      <c r="C172" s="461" t="s">
        <v>270</v>
      </c>
      <c r="D172">
        <v>76</v>
      </c>
      <c r="F172">
        <v>2</v>
      </c>
    </row>
    <row r="173" spans="1:10" x14ac:dyDescent="0.35">
      <c r="A173" s="461" t="s">
        <v>773</v>
      </c>
      <c r="B173" s="461" t="s">
        <v>41</v>
      </c>
      <c r="C173" s="461" t="s">
        <v>271</v>
      </c>
      <c r="D173">
        <v>28</v>
      </c>
    </row>
    <row r="174" spans="1:10" x14ac:dyDescent="0.35">
      <c r="A174" s="461" t="s">
        <v>773</v>
      </c>
      <c r="B174" s="461" t="s">
        <v>42</v>
      </c>
      <c r="C174" s="461" t="s">
        <v>273</v>
      </c>
      <c r="D174">
        <v>143</v>
      </c>
      <c r="F174">
        <v>7</v>
      </c>
    </row>
    <row r="175" spans="1:10" x14ac:dyDescent="0.35">
      <c r="A175" s="461" t="s">
        <v>773</v>
      </c>
      <c r="B175" s="461" t="s">
        <v>43</v>
      </c>
      <c r="C175" s="461" t="s">
        <v>380</v>
      </c>
      <c r="D175">
        <v>335</v>
      </c>
      <c r="F175">
        <v>82</v>
      </c>
      <c r="J175">
        <v>2</v>
      </c>
    </row>
    <row r="176" spans="1:10" x14ac:dyDescent="0.35">
      <c r="A176" s="461" t="s">
        <v>773</v>
      </c>
      <c r="B176" s="461" t="s">
        <v>114</v>
      </c>
      <c r="C176" s="461" t="s">
        <v>297</v>
      </c>
      <c r="D176">
        <v>897</v>
      </c>
      <c r="F176">
        <v>142</v>
      </c>
      <c r="J176">
        <v>3</v>
      </c>
    </row>
    <row r="177" spans="1:10" x14ac:dyDescent="0.35">
      <c r="A177" s="461" t="s">
        <v>773</v>
      </c>
      <c r="B177" s="461" t="s">
        <v>44</v>
      </c>
      <c r="C177" s="461" t="s">
        <v>274</v>
      </c>
      <c r="D177">
        <v>462</v>
      </c>
      <c r="F177">
        <v>31</v>
      </c>
      <c r="J177">
        <v>3</v>
      </c>
    </row>
    <row r="178" spans="1:10" x14ac:dyDescent="0.35">
      <c r="A178" s="461" t="s">
        <v>773</v>
      </c>
      <c r="B178" s="461" t="s">
        <v>45</v>
      </c>
      <c r="C178" s="461" t="s">
        <v>275</v>
      </c>
      <c r="D178">
        <v>51</v>
      </c>
      <c r="F178">
        <v>3</v>
      </c>
    </row>
    <row r="179" spans="1:10" x14ac:dyDescent="0.35">
      <c r="A179" s="461" t="s">
        <v>773</v>
      </c>
      <c r="B179" s="461" t="s">
        <v>46</v>
      </c>
      <c r="C179" s="461" t="s">
        <v>276</v>
      </c>
      <c r="D179">
        <v>64</v>
      </c>
      <c r="F179">
        <v>6</v>
      </c>
    </row>
    <row r="180" spans="1:10" x14ac:dyDescent="0.35">
      <c r="A180" s="461" t="s">
        <v>773</v>
      </c>
      <c r="B180" s="461" t="s">
        <v>47</v>
      </c>
      <c r="C180" s="461" t="s">
        <v>277</v>
      </c>
      <c r="D180">
        <v>91</v>
      </c>
      <c r="F180">
        <v>9</v>
      </c>
      <c r="J180">
        <v>1</v>
      </c>
    </row>
    <row r="181" spans="1:10" x14ac:dyDescent="0.35">
      <c r="A181" s="461" t="s">
        <v>773</v>
      </c>
      <c r="B181" s="461" t="s">
        <v>48</v>
      </c>
      <c r="C181" s="461"/>
    </row>
    <row r="182" spans="1:10" x14ac:dyDescent="0.35">
      <c r="A182" s="461" t="s">
        <v>773</v>
      </c>
      <c r="B182" s="461" t="s">
        <v>49</v>
      </c>
      <c r="C182" s="461" t="s">
        <v>278</v>
      </c>
      <c r="D182">
        <v>145</v>
      </c>
      <c r="F182">
        <v>3</v>
      </c>
    </row>
    <row r="183" spans="1:10" x14ac:dyDescent="0.35">
      <c r="A183" s="461" t="s">
        <v>773</v>
      </c>
      <c r="B183" s="461" t="s">
        <v>50</v>
      </c>
      <c r="C183" s="461" t="s">
        <v>295</v>
      </c>
      <c r="D183">
        <v>299</v>
      </c>
      <c r="F183">
        <v>7</v>
      </c>
    </row>
    <row r="184" spans="1:10" x14ac:dyDescent="0.35">
      <c r="A184" s="461" t="s">
        <v>773</v>
      </c>
      <c r="B184" s="461" t="s">
        <v>51</v>
      </c>
      <c r="C184" s="461" t="s">
        <v>279</v>
      </c>
      <c r="D184">
        <v>23</v>
      </c>
    </row>
    <row r="185" spans="1:10" x14ac:dyDescent="0.35">
      <c r="A185" s="461" t="s">
        <v>773</v>
      </c>
      <c r="B185" s="461" t="s">
        <v>52</v>
      </c>
      <c r="C185" s="461" t="s">
        <v>280</v>
      </c>
      <c r="D185">
        <v>247</v>
      </c>
      <c r="F185">
        <v>1</v>
      </c>
    </row>
    <row r="186" spans="1:10" x14ac:dyDescent="0.35">
      <c r="A186" s="461" t="s">
        <v>773</v>
      </c>
      <c r="B186" s="461" t="s">
        <v>53</v>
      </c>
      <c r="C186" s="461" t="s">
        <v>290</v>
      </c>
      <c r="D186">
        <v>140</v>
      </c>
      <c r="F186">
        <v>9</v>
      </c>
    </row>
    <row r="187" spans="1:10" x14ac:dyDescent="0.35">
      <c r="A187" s="461" t="s">
        <v>773</v>
      </c>
      <c r="B187" s="461" t="s">
        <v>54</v>
      </c>
      <c r="C187" s="461" t="s">
        <v>281</v>
      </c>
      <c r="D187">
        <v>99</v>
      </c>
      <c r="F187">
        <v>5</v>
      </c>
    </row>
    <row r="188" spans="1:10" x14ac:dyDescent="0.35">
      <c r="A188" s="461" t="s">
        <v>773</v>
      </c>
      <c r="B188" s="461" t="s">
        <v>55</v>
      </c>
      <c r="C188" s="461" t="s">
        <v>282</v>
      </c>
      <c r="D188">
        <v>11</v>
      </c>
    </row>
    <row r="189" spans="1:10" x14ac:dyDescent="0.35">
      <c r="A189" s="461" t="s">
        <v>773</v>
      </c>
      <c r="B189" s="461" t="s">
        <v>56</v>
      </c>
      <c r="C189" s="461" t="s">
        <v>283</v>
      </c>
      <c r="D189">
        <v>220</v>
      </c>
      <c r="F189">
        <v>5</v>
      </c>
    </row>
    <row r="190" spans="1:10" x14ac:dyDescent="0.35">
      <c r="A190" s="461" t="s">
        <v>773</v>
      </c>
      <c r="B190" s="461" t="s">
        <v>57</v>
      </c>
      <c r="C190" s="461" t="s">
        <v>284</v>
      </c>
      <c r="D190">
        <v>154</v>
      </c>
      <c r="F190">
        <v>5</v>
      </c>
    </row>
    <row r="191" spans="1:10" x14ac:dyDescent="0.35">
      <c r="A191" s="461" t="s">
        <v>773</v>
      </c>
      <c r="B191" s="461" t="s">
        <v>58</v>
      </c>
      <c r="C191" s="461" t="s">
        <v>285</v>
      </c>
      <c r="D191">
        <v>195</v>
      </c>
      <c r="F191">
        <v>6</v>
      </c>
    </row>
    <row r="192" spans="1:10" x14ac:dyDescent="0.35">
      <c r="A192" s="461" t="s">
        <v>773</v>
      </c>
      <c r="B192" s="461" t="s">
        <v>59</v>
      </c>
      <c r="C192" s="461" t="s">
        <v>291</v>
      </c>
      <c r="D192">
        <v>125</v>
      </c>
      <c r="F192">
        <v>3</v>
      </c>
    </row>
    <row r="193" spans="1:11" x14ac:dyDescent="0.35">
      <c r="A193" s="461" t="s">
        <v>773</v>
      </c>
      <c r="B193" s="461" t="s">
        <v>60</v>
      </c>
      <c r="C193" s="461" t="s">
        <v>292</v>
      </c>
      <c r="D193">
        <v>173</v>
      </c>
      <c r="F193">
        <v>1</v>
      </c>
      <c r="H193">
        <v>1</v>
      </c>
    </row>
    <row r="194" spans="1:11" hidden="1" x14ac:dyDescent="0.35">
      <c r="A194" s="461" t="s">
        <v>951</v>
      </c>
      <c r="B194" s="461" t="s">
        <v>31</v>
      </c>
      <c r="C194" s="461" t="s">
        <v>286</v>
      </c>
      <c r="D194">
        <v>176</v>
      </c>
      <c r="E194">
        <v>1044.75</v>
      </c>
      <c r="F194">
        <v>5</v>
      </c>
      <c r="G194">
        <v>24.25</v>
      </c>
      <c r="J194">
        <v>1</v>
      </c>
      <c r="K194">
        <v>20</v>
      </c>
    </row>
    <row r="195" spans="1:11" hidden="1" x14ac:dyDescent="0.35">
      <c r="A195" s="461" t="s">
        <v>951</v>
      </c>
      <c r="B195" s="461" t="s">
        <v>32</v>
      </c>
      <c r="C195" s="461" t="s">
        <v>287</v>
      </c>
      <c r="D195">
        <v>77</v>
      </c>
      <c r="E195">
        <v>586.25</v>
      </c>
      <c r="F195">
        <v>4</v>
      </c>
      <c r="G195">
        <v>57.25</v>
      </c>
      <c r="J195">
        <v>1</v>
      </c>
      <c r="K195">
        <v>4</v>
      </c>
    </row>
    <row r="196" spans="1:11" hidden="1" x14ac:dyDescent="0.35">
      <c r="A196" s="461" t="s">
        <v>951</v>
      </c>
      <c r="B196" s="461" t="s">
        <v>33</v>
      </c>
      <c r="C196" s="461" t="s">
        <v>293</v>
      </c>
      <c r="D196">
        <v>56</v>
      </c>
      <c r="E196">
        <v>230.5</v>
      </c>
      <c r="F196">
        <v>3</v>
      </c>
      <c r="G196">
        <v>12.75</v>
      </c>
    </row>
    <row r="197" spans="1:11" hidden="1" x14ac:dyDescent="0.35">
      <c r="A197" s="461" t="s">
        <v>951</v>
      </c>
      <c r="B197" s="461" t="s">
        <v>34</v>
      </c>
      <c r="C197" s="461" t="s">
        <v>288</v>
      </c>
      <c r="D197">
        <v>106</v>
      </c>
      <c r="E197">
        <v>628</v>
      </c>
      <c r="F197">
        <v>13</v>
      </c>
      <c r="G197">
        <v>230</v>
      </c>
    </row>
    <row r="198" spans="1:11" hidden="1" x14ac:dyDescent="0.35">
      <c r="A198" s="461" t="s">
        <v>951</v>
      </c>
      <c r="B198" s="461" t="s">
        <v>245</v>
      </c>
      <c r="C198" s="461" t="s">
        <v>289</v>
      </c>
      <c r="D198">
        <v>353</v>
      </c>
      <c r="E198">
        <v>1302.5</v>
      </c>
      <c r="F198">
        <v>9</v>
      </c>
      <c r="G198">
        <v>185.5</v>
      </c>
    </row>
    <row r="199" spans="1:11" hidden="1" x14ac:dyDescent="0.35">
      <c r="A199" s="461" t="s">
        <v>951</v>
      </c>
      <c r="B199" s="461" t="s">
        <v>35</v>
      </c>
      <c r="C199" s="461" t="s">
        <v>267</v>
      </c>
      <c r="D199">
        <v>35</v>
      </c>
      <c r="E199">
        <v>206.25</v>
      </c>
    </row>
    <row r="200" spans="1:11" hidden="1" x14ac:dyDescent="0.35">
      <c r="A200" s="461" t="s">
        <v>951</v>
      </c>
      <c r="B200" s="461" t="s">
        <v>36</v>
      </c>
      <c r="C200" s="461" t="s">
        <v>268</v>
      </c>
      <c r="D200">
        <v>122</v>
      </c>
      <c r="E200">
        <v>533.25</v>
      </c>
      <c r="F200">
        <v>2</v>
      </c>
      <c r="G200">
        <v>12.25</v>
      </c>
    </row>
    <row r="201" spans="1:11" hidden="1" x14ac:dyDescent="0.35">
      <c r="A201" s="461" t="s">
        <v>951</v>
      </c>
      <c r="B201" s="461" t="s">
        <v>37</v>
      </c>
      <c r="C201" s="461" t="s">
        <v>294</v>
      </c>
      <c r="D201">
        <v>149</v>
      </c>
      <c r="E201">
        <v>745.25</v>
      </c>
      <c r="F201">
        <v>6</v>
      </c>
      <c r="G201">
        <v>76.75</v>
      </c>
      <c r="H201">
        <v>1</v>
      </c>
      <c r="I201">
        <v>27.5</v>
      </c>
    </row>
    <row r="202" spans="1:11" hidden="1" x14ac:dyDescent="0.35">
      <c r="A202" s="461" t="s">
        <v>951</v>
      </c>
      <c r="B202" s="461" t="s">
        <v>38</v>
      </c>
      <c r="C202" s="461" t="s">
        <v>269</v>
      </c>
      <c r="D202">
        <v>67</v>
      </c>
      <c r="E202">
        <v>266.75</v>
      </c>
      <c r="F202">
        <v>2</v>
      </c>
      <c r="G202">
        <v>17.5</v>
      </c>
    </row>
    <row r="203" spans="1:11" hidden="1" x14ac:dyDescent="0.35">
      <c r="A203" s="461" t="s">
        <v>951</v>
      </c>
      <c r="B203" s="461" t="s">
        <v>39</v>
      </c>
      <c r="C203" s="461" t="s">
        <v>296</v>
      </c>
      <c r="D203">
        <v>45</v>
      </c>
      <c r="E203">
        <v>153.5</v>
      </c>
    </row>
    <row r="204" spans="1:11" hidden="1" x14ac:dyDescent="0.35">
      <c r="A204" s="461" t="s">
        <v>951</v>
      </c>
      <c r="B204" s="461" t="s">
        <v>40</v>
      </c>
      <c r="C204" s="461" t="s">
        <v>270</v>
      </c>
      <c r="D204">
        <v>43</v>
      </c>
      <c r="E204">
        <v>252.75</v>
      </c>
      <c r="F204">
        <v>2</v>
      </c>
      <c r="G204">
        <v>23</v>
      </c>
    </row>
    <row r="205" spans="1:11" hidden="1" x14ac:dyDescent="0.35">
      <c r="A205" s="461" t="s">
        <v>951</v>
      </c>
      <c r="B205" s="461" t="s">
        <v>41</v>
      </c>
      <c r="C205" s="461" t="s">
        <v>271</v>
      </c>
      <c r="D205">
        <v>19</v>
      </c>
      <c r="E205">
        <v>117.25</v>
      </c>
    </row>
    <row r="206" spans="1:11" hidden="1" x14ac:dyDescent="0.35">
      <c r="A206" s="461" t="s">
        <v>951</v>
      </c>
      <c r="B206" s="461" t="s">
        <v>42</v>
      </c>
      <c r="C206" s="461" t="s">
        <v>273</v>
      </c>
      <c r="D206">
        <v>62</v>
      </c>
      <c r="E206">
        <v>270.5</v>
      </c>
    </row>
    <row r="207" spans="1:11" hidden="1" x14ac:dyDescent="0.35">
      <c r="A207" s="461" t="s">
        <v>951</v>
      </c>
      <c r="B207" s="461" t="s">
        <v>43</v>
      </c>
      <c r="C207" s="461" t="s">
        <v>298</v>
      </c>
      <c r="D207">
        <v>248</v>
      </c>
      <c r="E207">
        <v>1040.25</v>
      </c>
      <c r="F207">
        <v>4</v>
      </c>
      <c r="G207">
        <v>56.75</v>
      </c>
      <c r="H207">
        <v>1</v>
      </c>
      <c r="I207">
        <v>41.25</v>
      </c>
    </row>
    <row r="208" spans="1:11" hidden="1" x14ac:dyDescent="0.35">
      <c r="A208" s="461" t="s">
        <v>951</v>
      </c>
      <c r="B208" s="461" t="s">
        <v>114</v>
      </c>
      <c r="C208" s="461" t="s">
        <v>959</v>
      </c>
      <c r="D208">
        <v>446</v>
      </c>
      <c r="E208">
        <v>1777.5</v>
      </c>
      <c r="F208">
        <v>24</v>
      </c>
      <c r="G208">
        <v>120.25</v>
      </c>
    </row>
    <row r="209" spans="1:10" hidden="1" x14ac:dyDescent="0.35">
      <c r="A209" s="461" t="s">
        <v>951</v>
      </c>
      <c r="B209" s="461" t="s">
        <v>44</v>
      </c>
      <c r="C209" s="461" t="s">
        <v>274</v>
      </c>
      <c r="D209">
        <v>109</v>
      </c>
      <c r="E209">
        <v>648.25</v>
      </c>
      <c r="F209">
        <v>11</v>
      </c>
      <c r="G209">
        <v>125</v>
      </c>
    </row>
    <row r="210" spans="1:10" hidden="1" x14ac:dyDescent="0.35">
      <c r="A210" s="461" t="s">
        <v>951</v>
      </c>
      <c r="B210" s="461" t="s">
        <v>45</v>
      </c>
      <c r="C210" s="461" t="s">
        <v>275</v>
      </c>
      <c r="D210">
        <v>27</v>
      </c>
      <c r="E210">
        <v>152.25</v>
      </c>
    </row>
    <row r="211" spans="1:10" hidden="1" x14ac:dyDescent="0.35">
      <c r="A211" s="461" t="s">
        <v>951</v>
      </c>
      <c r="B211" s="461" t="s">
        <v>46</v>
      </c>
      <c r="C211" s="461" t="s">
        <v>276</v>
      </c>
      <c r="D211">
        <v>35</v>
      </c>
      <c r="E211">
        <v>292.25</v>
      </c>
      <c r="F211">
        <v>2</v>
      </c>
      <c r="G211">
        <v>31.75</v>
      </c>
    </row>
    <row r="212" spans="1:10" hidden="1" x14ac:dyDescent="0.35">
      <c r="A212" s="461" t="s">
        <v>951</v>
      </c>
      <c r="B212" s="461" t="s">
        <v>47</v>
      </c>
      <c r="C212" s="461" t="s">
        <v>277</v>
      </c>
      <c r="D212">
        <v>41</v>
      </c>
      <c r="E212">
        <v>252.75</v>
      </c>
      <c r="F212">
        <v>1</v>
      </c>
      <c r="G212">
        <v>5.5</v>
      </c>
      <c r="J212">
        <v>1</v>
      </c>
    </row>
    <row r="213" spans="1:10" hidden="1" x14ac:dyDescent="0.35">
      <c r="A213" s="461" t="s">
        <v>951</v>
      </c>
      <c r="B213" s="461" t="s">
        <v>48</v>
      </c>
      <c r="C213" s="461" t="s">
        <v>272</v>
      </c>
      <c r="D213">
        <v>11</v>
      </c>
      <c r="E213">
        <v>62.75</v>
      </c>
    </row>
    <row r="214" spans="1:10" hidden="1" x14ac:dyDescent="0.35">
      <c r="A214" s="461" t="s">
        <v>951</v>
      </c>
      <c r="B214" s="461" t="s">
        <v>49</v>
      </c>
      <c r="C214" s="461" t="s">
        <v>278</v>
      </c>
      <c r="D214">
        <v>89</v>
      </c>
      <c r="E214">
        <v>599.25</v>
      </c>
    </row>
    <row r="215" spans="1:10" hidden="1" x14ac:dyDescent="0.35">
      <c r="A215" s="461" t="s">
        <v>951</v>
      </c>
      <c r="B215" s="461" t="s">
        <v>50</v>
      </c>
      <c r="C215" s="461" t="s">
        <v>960</v>
      </c>
      <c r="D215">
        <v>115</v>
      </c>
      <c r="E215">
        <v>395.25</v>
      </c>
      <c r="F215">
        <v>2</v>
      </c>
      <c r="G215">
        <v>10.5</v>
      </c>
    </row>
    <row r="216" spans="1:10" hidden="1" x14ac:dyDescent="0.35">
      <c r="A216" s="461" t="s">
        <v>951</v>
      </c>
      <c r="B216" s="461" t="s">
        <v>51</v>
      </c>
      <c r="C216" s="461" t="s">
        <v>279</v>
      </c>
      <c r="D216">
        <v>8</v>
      </c>
      <c r="E216">
        <v>37.75</v>
      </c>
      <c r="F216">
        <v>1</v>
      </c>
      <c r="G216">
        <v>34.75</v>
      </c>
    </row>
    <row r="217" spans="1:10" hidden="1" x14ac:dyDescent="0.35">
      <c r="A217" s="461" t="s">
        <v>951</v>
      </c>
      <c r="B217" s="461" t="s">
        <v>52</v>
      </c>
      <c r="C217" s="461" t="s">
        <v>983</v>
      </c>
      <c r="D217">
        <v>152</v>
      </c>
      <c r="E217">
        <v>697</v>
      </c>
    </row>
    <row r="218" spans="1:10" hidden="1" x14ac:dyDescent="0.35">
      <c r="A218" s="461" t="s">
        <v>951</v>
      </c>
      <c r="B218" s="461" t="s">
        <v>53</v>
      </c>
      <c r="C218" s="461" t="s">
        <v>290</v>
      </c>
      <c r="D218">
        <v>66</v>
      </c>
      <c r="E218">
        <v>328.75</v>
      </c>
      <c r="F218">
        <v>6</v>
      </c>
      <c r="G218">
        <v>54.5</v>
      </c>
    </row>
    <row r="219" spans="1:10" hidden="1" x14ac:dyDescent="0.35">
      <c r="A219" s="461" t="s">
        <v>951</v>
      </c>
      <c r="B219" s="461" t="s">
        <v>54</v>
      </c>
      <c r="C219" s="461" t="s">
        <v>281</v>
      </c>
      <c r="D219">
        <v>63</v>
      </c>
      <c r="E219">
        <v>350</v>
      </c>
      <c r="F219">
        <v>3</v>
      </c>
      <c r="G219">
        <v>49.5</v>
      </c>
    </row>
    <row r="220" spans="1:10" hidden="1" x14ac:dyDescent="0.35">
      <c r="A220" s="461" t="s">
        <v>951</v>
      </c>
      <c r="B220" s="461" t="s">
        <v>55</v>
      </c>
      <c r="C220" s="461" t="s">
        <v>282</v>
      </c>
      <c r="D220">
        <v>10</v>
      </c>
      <c r="E220">
        <v>101.75</v>
      </c>
    </row>
    <row r="221" spans="1:10" hidden="1" x14ac:dyDescent="0.35">
      <c r="A221" s="461" t="s">
        <v>951</v>
      </c>
      <c r="B221" s="461" t="s">
        <v>56</v>
      </c>
      <c r="C221" s="461" t="s">
        <v>283</v>
      </c>
      <c r="D221">
        <v>120</v>
      </c>
      <c r="E221">
        <v>791.75</v>
      </c>
      <c r="F221">
        <v>2</v>
      </c>
      <c r="G221">
        <v>7.75</v>
      </c>
    </row>
    <row r="222" spans="1:10" hidden="1" x14ac:dyDescent="0.35">
      <c r="A222" s="461" t="s">
        <v>951</v>
      </c>
      <c r="B222" s="461" t="s">
        <v>57</v>
      </c>
      <c r="C222" s="461" t="s">
        <v>284</v>
      </c>
      <c r="D222">
        <v>142</v>
      </c>
      <c r="E222">
        <v>1628.25</v>
      </c>
      <c r="F222">
        <v>4</v>
      </c>
      <c r="G222">
        <v>64.75</v>
      </c>
    </row>
    <row r="223" spans="1:10" hidden="1" x14ac:dyDescent="0.35">
      <c r="A223" s="461" t="s">
        <v>951</v>
      </c>
      <c r="B223" s="461" t="s">
        <v>58</v>
      </c>
      <c r="C223" s="461" t="s">
        <v>285</v>
      </c>
      <c r="D223">
        <v>74</v>
      </c>
      <c r="E223">
        <v>377.5</v>
      </c>
      <c r="F223">
        <v>6</v>
      </c>
      <c r="G223">
        <v>138.5</v>
      </c>
      <c r="H223">
        <v>1</v>
      </c>
      <c r="I223">
        <v>54.5</v>
      </c>
    </row>
    <row r="224" spans="1:10" hidden="1" x14ac:dyDescent="0.35">
      <c r="A224" s="461" t="s">
        <v>951</v>
      </c>
      <c r="B224" s="461" t="s">
        <v>59</v>
      </c>
      <c r="C224" s="461" t="s">
        <v>291</v>
      </c>
      <c r="D224">
        <v>28</v>
      </c>
      <c r="E224">
        <v>102.5</v>
      </c>
    </row>
    <row r="225" spans="1:5" hidden="1" x14ac:dyDescent="0.35">
      <c r="A225" s="461" t="s">
        <v>951</v>
      </c>
      <c r="B225" s="461" t="s">
        <v>60</v>
      </c>
      <c r="C225" s="461" t="s">
        <v>292</v>
      </c>
      <c r="D225">
        <v>86</v>
      </c>
      <c r="E225">
        <v>305.5</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3" tint="0.39997558519241921"/>
    <pageSetUpPr fitToPage="1"/>
  </sheetPr>
  <dimension ref="A1:O51"/>
  <sheetViews>
    <sheetView showGridLines="0" zoomScaleNormal="100" workbookViewId="0">
      <pane ySplit="2" topLeftCell="A3" activePane="bottomLeft" state="frozen"/>
      <selection pane="bottomLeft"/>
    </sheetView>
  </sheetViews>
  <sheetFormatPr defaultRowHeight="14.5" x14ac:dyDescent="0.35"/>
  <cols>
    <col min="1" max="1" width="16.54296875" customWidth="1"/>
    <col min="2" max="2" width="23.26953125" customWidth="1"/>
    <col min="3" max="3" width="11.54296875" customWidth="1"/>
    <col min="4" max="4" width="10.81640625" customWidth="1"/>
    <col min="5" max="6" width="11.54296875" customWidth="1"/>
    <col min="7" max="10" width="9.7265625" customWidth="1"/>
    <col min="11" max="11" width="10.26953125" customWidth="1"/>
    <col min="12" max="12" width="9.7265625" customWidth="1"/>
    <col min="13" max="13" width="11.26953125" bestFit="1" customWidth="1"/>
    <col min="14" max="14" width="14.26953125" customWidth="1"/>
    <col min="15" max="15" width="13.54296875" customWidth="1"/>
  </cols>
  <sheetData>
    <row r="1" spans="1:15" ht="15.5" x14ac:dyDescent="0.35">
      <c r="A1" s="629" t="s">
        <v>559</v>
      </c>
    </row>
    <row r="2" spans="1:15" x14ac:dyDescent="0.35">
      <c r="A2" s="601" t="s">
        <v>509</v>
      </c>
    </row>
    <row r="3" spans="1:15" x14ac:dyDescent="0.35">
      <c r="A3" s="28"/>
    </row>
    <row r="4" spans="1:15" ht="15.75" customHeight="1" x14ac:dyDescent="0.35">
      <c r="A4" s="639" t="s">
        <v>572</v>
      </c>
      <c r="B4" s="639"/>
      <c r="C4" s="639"/>
      <c r="D4" s="639"/>
      <c r="E4" s="639"/>
      <c r="F4" s="639"/>
      <c r="G4" s="639"/>
      <c r="H4" s="639"/>
      <c r="I4" s="639"/>
      <c r="J4" s="639"/>
      <c r="K4" s="639"/>
    </row>
    <row r="5" spans="1:15" ht="15.5" x14ac:dyDescent="0.35">
      <c r="A5" t="s">
        <v>320</v>
      </c>
      <c r="B5" t="s">
        <v>717</v>
      </c>
      <c r="C5" s="612"/>
      <c r="D5" s="612"/>
      <c r="E5" s="612"/>
      <c r="F5" s="612"/>
      <c r="G5" s="612"/>
      <c r="H5" s="612"/>
      <c r="I5" s="612"/>
      <c r="J5" s="612"/>
      <c r="K5" s="612"/>
    </row>
    <row r="6" spans="1:15" ht="15.5" x14ac:dyDescent="0.35">
      <c r="A6" t="s">
        <v>321</v>
      </c>
      <c r="B6" t="s">
        <v>323</v>
      </c>
      <c r="C6" s="612"/>
      <c r="D6" s="612"/>
      <c r="E6" s="612"/>
      <c r="F6" s="612"/>
      <c r="G6" s="612"/>
      <c r="H6" s="612"/>
      <c r="I6" s="612"/>
      <c r="J6" s="612"/>
      <c r="K6" s="612"/>
    </row>
    <row r="7" spans="1:15" ht="15.5" x14ac:dyDescent="0.35">
      <c r="A7" t="s">
        <v>322</v>
      </c>
      <c r="B7" t="s">
        <v>324</v>
      </c>
      <c r="C7" s="612"/>
      <c r="D7" s="612"/>
      <c r="E7" s="612"/>
      <c r="F7" s="612"/>
      <c r="G7" s="612"/>
      <c r="H7" s="612"/>
      <c r="I7" s="612"/>
      <c r="J7" s="612"/>
      <c r="K7" s="612"/>
    </row>
    <row r="8" spans="1:15" ht="15.5" x14ac:dyDescent="0.35">
      <c r="C8" s="749"/>
      <c r="D8" s="749"/>
      <c r="E8" s="749"/>
      <c r="F8" s="749"/>
      <c r="G8" s="749"/>
      <c r="H8" s="749"/>
      <c r="I8" s="749"/>
      <c r="J8" s="749"/>
      <c r="K8" s="749"/>
    </row>
    <row r="9" spans="1:15" x14ac:dyDescent="0.35">
      <c r="A9" s="359" t="s">
        <v>1</v>
      </c>
    </row>
    <row r="10" spans="1:15" ht="30.75" customHeight="1" x14ac:dyDescent="0.35">
      <c r="A10" t="str">
        <f>auditsoutcomeLApivot!B1</f>
        <v>2020-21</v>
      </c>
      <c r="B10" s="12"/>
      <c r="C10" s="1213" t="s">
        <v>564</v>
      </c>
      <c r="D10" s="1213"/>
      <c r="E10" s="1213" t="s">
        <v>565</v>
      </c>
      <c r="F10" s="1213"/>
      <c r="G10" s="1213" t="s">
        <v>154</v>
      </c>
      <c r="H10" s="1213"/>
      <c r="I10" s="1213" t="s">
        <v>155</v>
      </c>
      <c r="J10" s="1213"/>
      <c r="K10" s="1213" t="s">
        <v>156</v>
      </c>
      <c r="L10" s="1213"/>
      <c r="M10" s="12"/>
      <c r="N10" s="12"/>
      <c r="O10" s="12"/>
    </row>
    <row r="11" spans="1:15" ht="39.5" x14ac:dyDescent="0.35">
      <c r="A11" s="642" t="s">
        <v>449</v>
      </c>
      <c r="B11" s="281" t="s">
        <v>113</v>
      </c>
      <c r="C11" s="793" t="s">
        <v>6</v>
      </c>
      <c r="D11" s="793" t="s">
        <v>158</v>
      </c>
      <c r="E11" s="793" t="s">
        <v>6</v>
      </c>
      <c r="F11" s="793" t="s">
        <v>158</v>
      </c>
      <c r="G11" s="794" t="s">
        <v>154</v>
      </c>
      <c r="H11" s="232" t="s">
        <v>163</v>
      </c>
      <c r="I11" s="793" t="s">
        <v>6</v>
      </c>
      <c r="J11" s="793" t="s">
        <v>158</v>
      </c>
      <c r="K11" s="793" t="s">
        <v>6</v>
      </c>
      <c r="L11" s="795" t="s">
        <v>158</v>
      </c>
      <c r="M11" s="667" t="s">
        <v>566</v>
      </c>
      <c r="N11" s="373" t="s">
        <v>564</v>
      </c>
      <c r="O11" s="668" t="s">
        <v>565</v>
      </c>
    </row>
    <row r="12" spans="1:15" ht="16.5" customHeight="1" x14ac:dyDescent="0.35">
      <c r="A12" s="462" t="s">
        <v>286</v>
      </c>
      <c r="B12" s="660" t="s">
        <v>31</v>
      </c>
      <c r="C12" s="323">
        <f>auditsoutcomeLApivot!B4</f>
        <v>176</v>
      </c>
      <c r="D12" s="323">
        <f>auditsoutcomeLApivot!C4</f>
        <v>1044.75</v>
      </c>
      <c r="E12" s="323">
        <f>auditsoutcomeLApivot!D4</f>
        <v>5</v>
      </c>
      <c r="F12" s="323">
        <f>auditsoutcomeLApivot!E4</f>
        <v>24.25</v>
      </c>
      <c r="G12" s="324">
        <f>E12+C12</f>
        <v>181</v>
      </c>
      <c r="H12" s="324">
        <f>F12+D12</f>
        <v>1069</v>
      </c>
      <c r="I12" s="112">
        <f>auditsoutcomeLApivot!F4</f>
        <v>0</v>
      </c>
      <c r="J12" s="112">
        <f>auditsoutcomeLApivot!G4</f>
        <v>0</v>
      </c>
      <c r="K12" s="112">
        <f>auditsoutcomeLApivot!H4</f>
        <v>1</v>
      </c>
      <c r="L12" s="587">
        <f>auditsoutcomeLApivot!I4</f>
        <v>20</v>
      </c>
      <c r="M12" s="1065">
        <f>C12/G12</f>
        <v>0.97237569060773477</v>
      </c>
      <c r="N12" s="113">
        <f>IF((OR($A$10="2019-20")),"",D12/C12)</f>
        <v>5.9360795454545459</v>
      </c>
      <c r="O12" s="1068">
        <f>IFERROR(IF((OR($A$10="2019-20")),"",F12/E12), "-")</f>
        <v>4.8499999999999996</v>
      </c>
    </row>
    <row r="13" spans="1:15" x14ac:dyDescent="0.35">
      <c r="A13" s="462" t="s">
        <v>287</v>
      </c>
      <c r="B13" s="660" t="s">
        <v>32</v>
      </c>
      <c r="C13" s="323">
        <f>auditsoutcomeLApivot!B5</f>
        <v>77</v>
      </c>
      <c r="D13" s="323">
        <f>auditsoutcomeLApivot!C5</f>
        <v>586.25</v>
      </c>
      <c r="E13" s="323">
        <f>auditsoutcomeLApivot!D5</f>
        <v>4</v>
      </c>
      <c r="F13" s="323">
        <f>auditsoutcomeLApivot!E5</f>
        <v>57.25</v>
      </c>
      <c r="G13" s="324">
        <f t="shared" ref="G13:G43" si="0">E13+C13</f>
        <v>81</v>
      </c>
      <c r="H13" s="324">
        <f t="shared" ref="H13:H43" si="1">F13+D13</f>
        <v>643.5</v>
      </c>
      <c r="I13" s="112">
        <f>auditsoutcomeLApivot!F5</f>
        <v>0</v>
      </c>
      <c r="J13" s="112">
        <f>auditsoutcomeLApivot!G5</f>
        <v>0</v>
      </c>
      <c r="K13" s="112">
        <f>auditsoutcomeLApivot!H5</f>
        <v>1</v>
      </c>
      <c r="L13" s="112">
        <f>auditsoutcomeLApivot!I5</f>
        <v>4</v>
      </c>
      <c r="M13" s="1066">
        <f t="shared" ref="M13:M44" si="2">C13/G13</f>
        <v>0.95061728395061729</v>
      </c>
      <c r="N13" s="113">
        <f t="shared" ref="N13:N44" si="3">IF((OR($A$10="2019-20")),"",D13/C13)</f>
        <v>7.6136363636363633</v>
      </c>
      <c r="O13" s="371">
        <f t="shared" ref="O13:O44" si="4">IFERROR(IF((OR($A$10="2019-20")),"",F13/E13), "-")</f>
        <v>14.3125</v>
      </c>
    </row>
    <row r="14" spans="1:15" x14ac:dyDescent="0.35">
      <c r="A14" s="462" t="s">
        <v>293</v>
      </c>
      <c r="B14" s="660" t="s">
        <v>33</v>
      </c>
      <c r="C14" s="323">
        <f>auditsoutcomeLApivot!B6</f>
        <v>56</v>
      </c>
      <c r="D14" s="323">
        <f>auditsoutcomeLApivot!C6</f>
        <v>230.5</v>
      </c>
      <c r="E14" s="323">
        <f>auditsoutcomeLApivot!D6</f>
        <v>3</v>
      </c>
      <c r="F14" s="323">
        <f>auditsoutcomeLApivot!E6</f>
        <v>12.75</v>
      </c>
      <c r="G14" s="324">
        <f t="shared" si="0"/>
        <v>59</v>
      </c>
      <c r="H14" s="324">
        <f t="shared" si="1"/>
        <v>243.25</v>
      </c>
      <c r="I14" s="112">
        <f>auditsoutcomeLApivot!F6</f>
        <v>0</v>
      </c>
      <c r="J14" s="112">
        <f>auditsoutcomeLApivot!G6</f>
        <v>0</v>
      </c>
      <c r="K14" s="112">
        <f>auditsoutcomeLApivot!H6</f>
        <v>0</v>
      </c>
      <c r="L14" s="112">
        <f>auditsoutcomeLApivot!I6</f>
        <v>0</v>
      </c>
      <c r="M14" s="1066">
        <f t="shared" si="2"/>
        <v>0.94915254237288138</v>
      </c>
      <c r="N14" s="113">
        <f t="shared" si="3"/>
        <v>4.1160714285714288</v>
      </c>
      <c r="O14" s="371">
        <f t="shared" si="4"/>
        <v>4.25</v>
      </c>
    </row>
    <row r="15" spans="1:15" x14ac:dyDescent="0.35">
      <c r="A15" s="462" t="s">
        <v>288</v>
      </c>
      <c r="B15" s="660" t="s">
        <v>34</v>
      </c>
      <c r="C15" s="323">
        <f>auditsoutcomeLApivot!B7</f>
        <v>106</v>
      </c>
      <c r="D15" s="323">
        <f>auditsoutcomeLApivot!C7</f>
        <v>628</v>
      </c>
      <c r="E15" s="323">
        <f>auditsoutcomeLApivot!D7</f>
        <v>13</v>
      </c>
      <c r="F15" s="323">
        <f>auditsoutcomeLApivot!E7</f>
        <v>230</v>
      </c>
      <c r="G15" s="324">
        <f t="shared" si="0"/>
        <v>119</v>
      </c>
      <c r="H15" s="324">
        <f t="shared" si="1"/>
        <v>858</v>
      </c>
      <c r="I15" s="112">
        <f>auditsoutcomeLApivot!F7</f>
        <v>0</v>
      </c>
      <c r="J15" s="112">
        <f>auditsoutcomeLApivot!G7</f>
        <v>0</v>
      </c>
      <c r="K15" s="112">
        <f>auditsoutcomeLApivot!H7</f>
        <v>0</v>
      </c>
      <c r="L15" s="112">
        <f>auditsoutcomeLApivot!I7</f>
        <v>0</v>
      </c>
      <c r="M15" s="1066">
        <f t="shared" si="2"/>
        <v>0.89075630252100846</v>
      </c>
      <c r="N15" s="113">
        <f t="shared" si="3"/>
        <v>5.9245283018867925</v>
      </c>
      <c r="O15" s="371">
        <f t="shared" si="4"/>
        <v>17.692307692307693</v>
      </c>
    </row>
    <row r="16" spans="1:15" x14ac:dyDescent="0.35">
      <c r="A16" s="462" t="s">
        <v>289</v>
      </c>
      <c r="B16" s="660" t="s">
        <v>245</v>
      </c>
      <c r="C16" s="323">
        <f>auditsoutcomeLApivot!B8</f>
        <v>353</v>
      </c>
      <c r="D16" s="323">
        <f>auditsoutcomeLApivot!C8</f>
        <v>1302.5</v>
      </c>
      <c r="E16" s="323">
        <f>auditsoutcomeLApivot!D8</f>
        <v>9</v>
      </c>
      <c r="F16" s="323">
        <f>auditsoutcomeLApivot!E8</f>
        <v>185.5</v>
      </c>
      <c r="G16" s="324">
        <f t="shared" si="0"/>
        <v>362</v>
      </c>
      <c r="H16" s="324">
        <f t="shared" si="1"/>
        <v>1488</v>
      </c>
      <c r="I16" s="112">
        <f>auditsoutcomeLApivot!F8</f>
        <v>0</v>
      </c>
      <c r="J16" s="112">
        <f>auditsoutcomeLApivot!G8</f>
        <v>0</v>
      </c>
      <c r="K16" s="112">
        <f>auditsoutcomeLApivot!H8</f>
        <v>0</v>
      </c>
      <c r="L16" s="112">
        <f>auditsoutcomeLApivot!I8</f>
        <v>0</v>
      </c>
      <c r="M16" s="1066">
        <f t="shared" si="2"/>
        <v>0.97513812154696133</v>
      </c>
      <c r="N16" s="113">
        <f t="shared" si="3"/>
        <v>3.689801699716714</v>
      </c>
      <c r="O16" s="371">
        <f t="shared" si="4"/>
        <v>20.611111111111111</v>
      </c>
    </row>
    <row r="17" spans="1:15" x14ac:dyDescent="0.35">
      <c r="A17" s="462" t="s">
        <v>267</v>
      </c>
      <c r="B17" s="660" t="s">
        <v>35</v>
      </c>
      <c r="C17" s="323">
        <f>auditsoutcomeLApivot!B9</f>
        <v>35</v>
      </c>
      <c r="D17" s="323">
        <f>auditsoutcomeLApivot!C9</f>
        <v>206.25</v>
      </c>
      <c r="E17" s="323">
        <f>auditsoutcomeLApivot!D9</f>
        <v>0</v>
      </c>
      <c r="F17" s="323">
        <f>auditsoutcomeLApivot!E9</f>
        <v>0</v>
      </c>
      <c r="G17" s="324">
        <f t="shared" si="0"/>
        <v>35</v>
      </c>
      <c r="H17" s="324">
        <f t="shared" si="1"/>
        <v>206.25</v>
      </c>
      <c r="I17" s="112">
        <f>auditsoutcomeLApivot!F9</f>
        <v>0</v>
      </c>
      <c r="J17" s="112">
        <f>auditsoutcomeLApivot!G9</f>
        <v>0</v>
      </c>
      <c r="K17" s="112">
        <f>auditsoutcomeLApivot!H9</f>
        <v>0</v>
      </c>
      <c r="L17" s="112">
        <f>auditsoutcomeLApivot!I9</f>
        <v>0</v>
      </c>
      <c r="M17" s="1066">
        <f t="shared" si="2"/>
        <v>1</v>
      </c>
      <c r="N17" s="113">
        <f t="shared" si="3"/>
        <v>5.8928571428571432</v>
      </c>
      <c r="O17" s="371" t="str">
        <f t="shared" si="4"/>
        <v>-</v>
      </c>
    </row>
    <row r="18" spans="1:15" x14ac:dyDescent="0.35">
      <c r="A18" s="462" t="s">
        <v>268</v>
      </c>
      <c r="B18" s="660" t="s">
        <v>36</v>
      </c>
      <c r="C18" s="323">
        <f>auditsoutcomeLApivot!B10</f>
        <v>122</v>
      </c>
      <c r="D18" s="323">
        <f>auditsoutcomeLApivot!C10</f>
        <v>533.25</v>
      </c>
      <c r="E18" s="323">
        <f>auditsoutcomeLApivot!D10</f>
        <v>2</v>
      </c>
      <c r="F18" s="323">
        <f>auditsoutcomeLApivot!E10</f>
        <v>12.25</v>
      </c>
      <c r="G18" s="324">
        <f t="shared" si="0"/>
        <v>124</v>
      </c>
      <c r="H18" s="324">
        <f t="shared" si="1"/>
        <v>545.5</v>
      </c>
      <c r="I18" s="112">
        <f>auditsoutcomeLApivot!F10</f>
        <v>0</v>
      </c>
      <c r="J18" s="112">
        <f>auditsoutcomeLApivot!G10</f>
        <v>0</v>
      </c>
      <c r="K18" s="112">
        <f>auditsoutcomeLApivot!H10</f>
        <v>0</v>
      </c>
      <c r="L18" s="112">
        <f>auditsoutcomeLApivot!I10</f>
        <v>0</v>
      </c>
      <c r="M18" s="1066">
        <f t="shared" si="2"/>
        <v>0.9838709677419355</v>
      </c>
      <c r="N18" s="113">
        <f t="shared" si="3"/>
        <v>4.3709016393442619</v>
      </c>
      <c r="O18" s="371">
        <f t="shared" si="4"/>
        <v>6.125</v>
      </c>
    </row>
    <row r="19" spans="1:15" x14ac:dyDescent="0.35">
      <c r="A19" s="462" t="s">
        <v>294</v>
      </c>
      <c r="B19" s="660" t="s">
        <v>37</v>
      </c>
      <c r="C19" s="323">
        <f>auditsoutcomeLApivot!B11</f>
        <v>149</v>
      </c>
      <c r="D19" s="323">
        <f>auditsoutcomeLApivot!C11</f>
        <v>745.25</v>
      </c>
      <c r="E19" s="323">
        <f>auditsoutcomeLApivot!D11</f>
        <v>6</v>
      </c>
      <c r="F19" s="323">
        <f>auditsoutcomeLApivot!E11</f>
        <v>76.75</v>
      </c>
      <c r="G19" s="324">
        <f t="shared" si="0"/>
        <v>155</v>
      </c>
      <c r="H19" s="324">
        <f t="shared" si="1"/>
        <v>822</v>
      </c>
      <c r="I19" s="112">
        <f>auditsoutcomeLApivot!F11</f>
        <v>1</v>
      </c>
      <c r="J19" s="112">
        <f>auditsoutcomeLApivot!G11</f>
        <v>27.5</v>
      </c>
      <c r="K19" s="112">
        <f>auditsoutcomeLApivot!H11</f>
        <v>0</v>
      </c>
      <c r="L19" s="112">
        <f>auditsoutcomeLApivot!I11</f>
        <v>0</v>
      </c>
      <c r="M19" s="1066">
        <f t="shared" si="2"/>
        <v>0.96129032258064517</v>
      </c>
      <c r="N19" s="113">
        <f t="shared" si="3"/>
        <v>5.0016778523489931</v>
      </c>
      <c r="O19" s="371">
        <f t="shared" si="4"/>
        <v>12.791666666666666</v>
      </c>
    </row>
    <row r="20" spans="1:15" x14ac:dyDescent="0.35">
      <c r="A20" s="462" t="s">
        <v>269</v>
      </c>
      <c r="B20" s="660" t="s">
        <v>38</v>
      </c>
      <c r="C20" s="323">
        <f>auditsoutcomeLApivot!B12</f>
        <v>67</v>
      </c>
      <c r="D20" s="323">
        <f>auditsoutcomeLApivot!C12</f>
        <v>266.75</v>
      </c>
      <c r="E20" s="323">
        <f>auditsoutcomeLApivot!D12</f>
        <v>2</v>
      </c>
      <c r="F20" s="323">
        <f>auditsoutcomeLApivot!E12</f>
        <v>17.5</v>
      </c>
      <c r="G20" s="324">
        <f t="shared" si="0"/>
        <v>69</v>
      </c>
      <c r="H20" s="324">
        <f t="shared" si="1"/>
        <v>284.25</v>
      </c>
      <c r="I20" s="112">
        <f>auditsoutcomeLApivot!F12</f>
        <v>0</v>
      </c>
      <c r="J20" s="112">
        <f>auditsoutcomeLApivot!G12</f>
        <v>0</v>
      </c>
      <c r="K20" s="112">
        <f>auditsoutcomeLApivot!H12</f>
        <v>0</v>
      </c>
      <c r="L20" s="112">
        <f>auditsoutcomeLApivot!I12</f>
        <v>0</v>
      </c>
      <c r="M20" s="1066">
        <f t="shared" si="2"/>
        <v>0.97101449275362317</v>
      </c>
      <c r="N20" s="113">
        <f t="shared" si="3"/>
        <v>3.9813432835820897</v>
      </c>
      <c r="O20" s="371">
        <f t="shared" si="4"/>
        <v>8.75</v>
      </c>
    </row>
    <row r="21" spans="1:15" x14ac:dyDescent="0.35">
      <c r="A21" s="462" t="s">
        <v>296</v>
      </c>
      <c r="B21" s="660" t="s">
        <v>39</v>
      </c>
      <c r="C21" s="323">
        <f>auditsoutcomeLApivot!B13</f>
        <v>45</v>
      </c>
      <c r="D21" s="323">
        <f>auditsoutcomeLApivot!C13</f>
        <v>153.5</v>
      </c>
      <c r="E21" s="323">
        <f>auditsoutcomeLApivot!D13</f>
        <v>0</v>
      </c>
      <c r="F21" s="323">
        <f>auditsoutcomeLApivot!E13</f>
        <v>0</v>
      </c>
      <c r="G21" s="324">
        <f t="shared" si="0"/>
        <v>45</v>
      </c>
      <c r="H21" s="324">
        <f t="shared" si="1"/>
        <v>153.5</v>
      </c>
      <c r="I21" s="112">
        <f>auditsoutcomeLApivot!F13</f>
        <v>0</v>
      </c>
      <c r="J21" s="112">
        <f>auditsoutcomeLApivot!G13</f>
        <v>0</v>
      </c>
      <c r="K21" s="112">
        <f>auditsoutcomeLApivot!H13</f>
        <v>0</v>
      </c>
      <c r="L21" s="112">
        <f>auditsoutcomeLApivot!I13</f>
        <v>0</v>
      </c>
      <c r="M21" s="1066">
        <f t="shared" si="2"/>
        <v>1</v>
      </c>
      <c r="N21" s="113">
        <f t="shared" si="3"/>
        <v>3.411111111111111</v>
      </c>
      <c r="O21" s="371" t="str">
        <f t="shared" si="4"/>
        <v>-</v>
      </c>
    </row>
    <row r="22" spans="1:15" x14ac:dyDescent="0.35">
      <c r="A22" s="462" t="s">
        <v>270</v>
      </c>
      <c r="B22" s="660" t="s">
        <v>40</v>
      </c>
      <c r="C22" s="323">
        <f>auditsoutcomeLApivot!B14</f>
        <v>43</v>
      </c>
      <c r="D22" s="323">
        <f>auditsoutcomeLApivot!C14</f>
        <v>252.75</v>
      </c>
      <c r="E22" s="323">
        <f>auditsoutcomeLApivot!D14</f>
        <v>2</v>
      </c>
      <c r="F22" s="323">
        <f>auditsoutcomeLApivot!E14</f>
        <v>23</v>
      </c>
      <c r="G22" s="324">
        <f t="shared" si="0"/>
        <v>45</v>
      </c>
      <c r="H22" s="324">
        <f t="shared" si="1"/>
        <v>275.75</v>
      </c>
      <c r="I22" s="112">
        <f>auditsoutcomeLApivot!F14</f>
        <v>0</v>
      </c>
      <c r="J22" s="112">
        <f>auditsoutcomeLApivot!G14</f>
        <v>0</v>
      </c>
      <c r="K22" s="112">
        <f>auditsoutcomeLApivot!H14</f>
        <v>0</v>
      </c>
      <c r="L22" s="112">
        <f>auditsoutcomeLApivot!I14</f>
        <v>0</v>
      </c>
      <c r="M22" s="1066">
        <f t="shared" si="2"/>
        <v>0.9555555555555556</v>
      </c>
      <c r="N22" s="113">
        <f t="shared" si="3"/>
        <v>5.8779069767441863</v>
      </c>
      <c r="O22" s="371">
        <f t="shared" si="4"/>
        <v>11.5</v>
      </c>
    </row>
    <row r="23" spans="1:15" x14ac:dyDescent="0.35">
      <c r="A23" s="462" t="s">
        <v>271</v>
      </c>
      <c r="B23" s="660" t="s">
        <v>41</v>
      </c>
      <c r="C23" s="323">
        <f>auditsoutcomeLApivot!B15</f>
        <v>19</v>
      </c>
      <c r="D23" s="323">
        <f>auditsoutcomeLApivot!C15</f>
        <v>117.25</v>
      </c>
      <c r="E23" s="323">
        <f>auditsoutcomeLApivot!D15</f>
        <v>0</v>
      </c>
      <c r="F23" s="323">
        <f>auditsoutcomeLApivot!E15</f>
        <v>0</v>
      </c>
      <c r="G23" s="324">
        <f t="shared" si="0"/>
        <v>19</v>
      </c>
      <c r="H23" s="324">
        <f t="shared" si="1"/>
        <v>117.25</v>
      </c>
      <c r="I23" s="112">
        <f>auditsoutcomeLApivot!F15</f>
        <v>0</v>
      </c>
      <c r="J23" s="112">
        <f>auditsoutcomeLApivot!G15</f>
        <v>0</v>
      </c>
      <c r="K23" s="112">
        <f>auditsoutcomeLApivot!H15</f>
        <v>0</v>
      </c>
      <c r="L23" s="112">
        <f>auditsoutcomeLApivot!I15</f>
        <v>0</v>
      </c>
      <c r="M23" s="1066">
        <f t="shared" si="2"/>
        <v>1</v>
      </c>
      <c r="N23" s="113">
        <f t="shared" si="3"/>
        <v>6.1710526315789478</v>
      </c>
      <c r="O23" s="371" t="str">
        <f t="shared" si="4"/>
        <v>-</v>
      </c>
    </row>
    <row r="24" spans="1:15" x14ac:dyDescent="0.35">
      <c r="A24" s="462" t="s">
        <v>273</v>
      </c>
      <c r="B24" s="660" t="s">
        <v>42</v>
      </c>
      <c r="C24" s="323">
        <f>auditsoutcomeLApivot!B16</f>
        <v>62</v>
      </c>
      <c r="D24" s="323">
        <f>auditsoutcomeLApivot!C16</f>
        <v>270.5</v>
      </c>
      <c r="E24" s="323">
        <f>auditsoutcomeLApivot!D16</f>
        <v>0</v>
      </c>
      <c r="F24" s="323">
        <f>auditsoutcomeLApivot!E16</f>
        <v>0</v>
      </c>
      <c r="G24" s="324">
        <f t="shared" si="0"/>
        <v>62</v>
      </c>
      <c r="H24" s="324">
        <f t="shared" si="1"/>
        <v>270.5</v>
      </c>
      <c r="I24" s="112">
        <f>auditsoutcomeLApivot!F16</f>
        <v>0</v>
      </c>
      <c r="J24" s="112">
        <f>auditsoutcomeLApivot!G16</f>
        <v>0</v>
      </c>
      <c r="K24" s="112">
        <f>auditsoutcomeLApivot!H16</f>
        <v>0</v>
      </c>
      <c r="L24" s="112">
        <f>auditsoutcomeLApivot!I16</f>
        <v>0</v>
      </c>
      <c r="M24" s="1066">
        <f t="shared" si="2"/>
        <v>1</v>
      </c>
      <c r="N24" s="113">
        <f t="shared" si="3"/>
        <v>4.362903225806452</v>
      </c>
      <c r="O24" s="371" t="str">
        <f t="shared" si="4"/>
        <v>-</v>
      </c>
    </row>
    <row r="25" spans="1:15" x14ac:dyDescent="0.35">
      <c r="A25" s="462" t="s">
        <v>380</v>
      </c>
      <c r="B25" s="660" t="s">
        <v>43</v>
      </c>
      <c r="C25" s="323">
        <f>auditsoutcomeLApivot!B17</f>
        <v>248</v>
      </c>
      <c r="D25" s="323">
        <f>auditsoutcomeLApivot!C17</f>
        <v>1040.25</v>
      </c>
      <c r="E25" s="323">
        <f>auditsoutcomeLApivot!D17</f>
        <v>4</v>
      </c>
      <c r="F25" s="323">
        <f>auditsoutcomeLApivot!E17</f>
        <v>56.75</v>
      </c>
      <c r="G25" s="324">
        <f t="shared" si="0"/>
        <v>252</v>
      </c>
      <c r="H25" s="324">
        <f t="shared" si="1"/>
        <v>1097</v>
      </c>
      <c r="I25" s="112">
        <f>auditsoutcomeLApivot!F17</f>
        <v>1</v>
      </c>
      <c r="J25" s="112">
        <f>auditsoutcomeLApivot!G17</f>
        <v>41.25</v>
      </c>
      <c r="K25" s="112">
        <f>auditsoutcomeLApivot!H17</f>
        <v>0</v>
      </c>
      <c r="L25" s="112">
        <f>auditsoutcomeLApivot!I17</f>
        <v>0</v>
      </c>
      <c r="M25" s="1066">
        <f t="shared" si="2"/>
        <v>0.98412698412698407</v>
      </c>
      <c r="N25" s="113">
        <f t="shared" si="3"/>
        <v>4.194556451612903</v>
      </c>
      <c r="O25" s="371">
        <f t="shared" si="4"/>
        <v>14.1875</v>
      </c>
    </row>
    <row r="26" spans="1:15" x14ac:dyDescent="0.35">
      <c r="A26" s="462" t="s">
        <v>297</v>
      </c>
      <c r="B26" s="660" t="s">
        <v>114</v>
      </c>
      <c r="C26" s="323">
        <f>auditsoutcomeLApivot!B18</f>
        <v>446</v>
      </c>
      <c r="D26" s="323">
        <f>auditsoutcomeLApivot!C18</f>
        <v>1777.5</v>
      </c>
      <c r="E26" s="323">
        <f>auditsoutcomeLApivot!D18</f>
        <v>24</v>
      </c>
      <c r="F26" s="323">
        <f>auditsoutcomeLApivot!E18</f>
        <v>120.25</v>
      </c>
      <c r="G26" s="324">
        <f t="shared" si="0"/>
        <v>470</v>
      </c>
      <c r="H26" s="324">
        <f t="shared" si="1"/>
        <v>1897.75</v>
      </c>
      <c r="I26" s="112">
        <f>auditsoutcomeLApivot!F18</f>
        <v>0</v>
      </c>
      <c r="J26" s="112">
        <f>auditsoutcomeLApivot!G18</f>
        <v>0</v>
      </c>
      <c r="K26" s="112">
        <f>auditsoutcomeLApivot!H18</f>
        <v>0</v>
      </c>
      <c r="L26" s="112">
        <f>auditsoutcomeLApivot!I18</f>
        <v>0</v>
      </c>
      <c r="M26" s="1066">
        <f t="shared" si="2"/>
        <v>0.94893617021276599</v>
      </c>
      <c r="N26" s="113">
        <f t="shared" si="3"/>
        <v>3.9854260089686098</v>
      </c>
      <c r="O26" s="371">
        <f t="shared" si="4"/>
        <v>5.010416666666667</v>
      </c>
    </row>
    <row r="27" spans="1:15" x14ac:dyDescent="0.35">
      <c r="A27" s="462" t="s">
        <v>274</v>
      </c>
      <c r="B27" s="660" t="s">
        <v>44</v>
      </c>
      <c r="C27" s="323">
        <f>auditsoutcomeLApivot!B19</f>
        <v>109</v>
      </c>
      <c r="D27" s="323">
        <f>auditsoutcomeLApivot!C19</f>
        <v>648.25</v>
      </c>
      <c r="E27" s="323">
        <f>auditsoutcomeLApivot!D19</f>
        <v>11</v>
      </c>
      <c r="F27" s="323">
        <f>auditsoutcomeLApivot!E19</f>
        <v>125</v>
      </c>
      <c r="G27" s="324">
        <f t="shared" si="0"/>
        <v>120</v>
      </c>
      <c r="H27" s="324">
        <f t="shared" si="1"/>
        <v>773.25</v>
      </c>
      <c r="I27" s="112">
        <f>auditsoutcomeLApivot!F19</f>
        <v>0</v>
      </c>
      <c r="J27" s="112">
        <f>auditsoutcomeLApivot!G19</f>
        <v>0</v>
      </c>
      <c r="K27" s="112">
        <f>auditsoutcomeLApivot!H19</f>
        <v>0</v>
      </c>
      <c r="L27" s="112">
        <f>auditsoutcomeLApivot!I19</f>
        <v>0</v>
      </c>
      <c r="M27" s="1066">
        <f t="shared" si="2"/>
        <v>0.90833333333333333</v>
      </c>
      <c r="N27" s="113">
        <f t="shared" si="3"/>
        <v>5.9472477064220186</v>
      </c>
      <c r="O27" s="371">
        <f t="shared" si="4"/>
        <v>11.363636363636363</v>
      </c>
    </row>
    <row r="28" spans="1:15" x14ac:dyDescent="0.35">
      <c r="A28" s="462" t="s">
        <v>275</v>
      </c>
      <c r="B28" s="660" t="s">
        <v>45</v>
      </c>
      <c r="C28" s="323">
        <f>auditsoutcomeLApivot!B20</f>
        <v>27</v>
      </c>
      <c r="D28" s="323">
        <f>auditsoutcomeLApivot!C20</f>
        <v>152.25</v>
      </c>
      <c r="E28" s="323">
        <f>auditsoutcomeLApivot!D20</f>
        <v>0</v>
      </c>
      <c r="F28" s="323">
        <f>auditsoutcomeLApivot!E20</f>
        <v>0</v>
      </c>
      <c r="G28" s="324">
        <f t="shared" si="0"/>
        <v>27</v>
      </c>
      <c r="H28" s="324">
        <f t="shared" si="1"/>
        <v>152.25</v>
      </c>
      <c r="I28" s="112">
        <f>auditsoutcomeLApivot!F20</f>
        <v>0</v>
      </c>
      <c r="J28" s="112">
        <f>auditsoutcomeLApivot!G20</f>
        <v>0</v>
      </c>
      <c r="K28" s="112">
        <f>auditsoutcomeLApivot!H20</f>
        <v>0</v>
      </c>
      <c r="L28" s="112">
        <f>auditsoutcomeLApivot!I20</f>
        <v>0</v>
      </c>
      <c r="M28" s="1066">
        <f t="shared" si="2"/>
        <v>1</v>
      </c>
      <c r="N28" s="113">
        <f t="shared" si="3"/>
        <v>5.6388888888888893</v>
      </c>
      <c r="O28" s="371" t="str">
        <f t="shared" si="4"/>
        <v>-</v>
      </c>
    </row>
    <row r="29" spans="1:15" x14ac:dyDescent="0.35">
      <c r="A29" s="462" t="s">
        <v>276</v>
      </c>
      <c r="B29" s="660" t="s">
        <v>46</v>
      </c>
      <c r="C29" s="323">
        <f>auditsoutcomeLApivot!B21</f>
        <v>35</v>
      </c>
      <c r="D29" s="323">
        <f>auditsoutcomeLApivot!C21</f>
        <v>292.25</v>
      </c>
      <c r="E29" s="323">
        <f>auditsoutcomeLApivot!D21</f>
        <v>2</v>
      </c>
      <c r="F29" s="323">
        <f>auditsoutcomeLApivot!E21</f>
        <v>31.75</v>
      </c>
      <c r="G29" s="324">
        <f t="shared" si="0"/>
        <v>37</v>
      </c>
      <c r="H29" s="324">
        <f t="shared" si="1"/>
        <v>324</v>
      </c>
      <c r="I29" s="112">
        <f>auditsoutcomeLApivot!F21</f>
        <v>0</v>
      </c>
      <c r="J29" s="112">
        <f>auditsoutcomeLApivot!G21</f>
        <v>0</v>
      </c>
      <c r="K29" s="112">
        <f>auditsoutcomeLApivot!H21</f>
        <v>0</v>
      </c>
      <c r="L29" s="112">
        <f>auditsoutcomeLApivot!I21</f>
        <v>0</v>
      </c>
      <c r="M29" s="1066">
        <f t="shared" si="2"/>
        <v>0.94594594594594594</v>
      </c>
      <c r="N29" s="113">
        <f t="shared" si="3"/>
        <v>8.35</v>
      </c>
      <c r="O29" s="371">
        <f t="shared" si="4"/>
        <v>15.875</v>
      </c>
    </row>
    <row r="30" spans="1:15" x14ac:dyDescent="0.35">
      <c r="A30" s="462" t="s">
        <v>277</v>
      </c>
      <c r="B30" s="660" t="s">
        <v>47</v>
      </c>
      <c r="C30" s="323">
        <f>auditsoutcomeLApivot!B22</f>
        <v>41</v>
      </c>
      <c r="D30" s="323">
        <f>auditsoutcomeLApivot!C22</f>
        <v>252.75</v>
      </c>
      <c r="E30" s="323">
        <f>auditsoutcomeLApivot!D22</f>
        <v>1</v>
      </c>
      <c r="F30" s="323">
        <f>auditsoutcomeLApivot!E22</f>
        <v>5.5</v>
      </c>
      <c r="G30" s="324">
        <f t="shared" si="0"/>
        <v>42</v>
      </c>
      <c r="H30" s="324">
        <f t="shared" si="1"/>
        <v>258.25</v>
      </c>
      <c r="I30" s="112">
        <f>auditsoutcomeLApivot!F22</f>
        <v>0</v>
      </c>
      <c r="J30" s="112">
        <f>auditsoutcomeLApivot!G22</f>
        <v>0</v>
      </c>
      <c r="K30" s="112">
        <f>auditsoutcomeLApivot!H22</f>
        <v>1</v>
      </c>
      <c r="L30" s="112">
        <f>auditsoutcomeLApivot!I22</f>
        <v>0</v>
      </c>
      <c r="M30" s="1066">
        <f t="shared" si="2"/>
        <v>0.97619047619047616</v>
      </c>
      <c r="N30" s="113">
        <f t="shared" si="3"/>
        <v>6.1646341463414638</v>
      </c>
      <c r="O30" s="371">
        <f t="shared" si="4"/>
        <v>5.5</v>
      </c>
    </row>
    <row r="31" spans="1:15" x14ac:dyDescent="0.35">
      <c r="A31" s="462" t="s">
        <v>272</v>
      </c>
      <c r="B31" s="660" t="s">
        <v>48</v>
      </c>
      <c r="C31" s="323">
        <f>auditsoutcomeLApivot!B23</f>
        <v>11</v>
      </c>
      <c r="D31" s="323">
        <f>auditsoutcomeLApivot!C23</f>
        <v>62.75</v>
      </c>
      <c r="E31" s="323">
        <f>auditsoutcomeLApivot!D23</f>
        <v>0</v>
      </c>
      <c r="F31" s="323">
        <f>auditsoutcomeLApivot!E23</f>
        <v>0</v>
      </c>
      <c r="G31" s="324">
        <f t="shared" si="0"/>
        <v>11</v>
      </c>
      <c r="H31" s="324">
        <f t="shared" si="1"/>
        <v>62.75</v>
      </c>
      <c r="I31" s="112">
        <f>auditsoutcomeLApivot!F23</f>
        <v>0</v>
      </c>
      <c r="J31" s="112">
        <f>auditsoutcomeLApivot!G23</f>
        <v>0</v>
      </c>
      <c r="K31" s="112">
        <f>auditsoutcomeLApivot!H23</f>
        <v>0</v>
      </c>
      <c r="L31" s="112">
        <f>auditsoutcomeLApivot!I23</f>
        <v>0</v>
      </c>
      <c r="M31" s="1066">
        <f t="shared" si="2"/>
        <v>1</v>
      </c>
      <c r="N31" s="113">
        <f t="shared" si="3"/>
        <v>5.7045454545454541</v>
      </c>
      <c r="O31" s="371" t="str">
        <f t="shared" si="4"/>
        <v>-</v>
      </c>
    </row>
    <row r="32" spans="1:15" x14ac:dyDescent="0.35">
      <c r="A32" s="462" t="s">
        <v>278</v>
      </c>
      <c r="B32" s="660" t="s">
        <v>49</v>
      </c>
      <c r="C32" s="323">
        <f>auditsoutcomeLApivot!B24</f>
        <v>89</v>
      </c>
      <c r="D32" s="323">
        <f>auditsoutcomeLApivot!C24</f>
        <v>599.25</v>
      </c>
      <c r="E32" s="323">
        <f>auditsoutcomeLApivot!D24</f>
        <v>0</v>
      </c>
      <c r="F32" s="323">
        <f>auditsoutcomeLApivot!E24</f>
        <v>0</v>
      </c>
      <c r="G32" s="324">
        <f t="shared" si="0"/>
        <v>89</v>
      </c>
      <c r="H32" s="324">
        <f t="shared" si="1"/>
        <v>599.25</v>
      </c>
      <c r="I32" s="112">
        <f>auditsoutcomeLApivot!F24</f>
        <v>0</v>
      </c>
      <c r="J32" s="112">
        <f>auditsoutcomeLApivot!G24</f>
        <v>0</v>
      </c>
      <c r="K32" s="112">
        <f>auditsoutcomeLApivot!H24</f>
        <v>0</v>
      </c>
      <c r="L32" s="112">
        <f>auditsoutcomeLApivot!I24</f>
        <v>0</v>
      </c>
      <c r="M32" s="1066">
        <f t="shared" si="2"/>
        <v>1</v>
      </c>
      <c r="N32" s="113">
        <f t="shared" si="3"/>
        <v>6.7331460674157304</v>
      </c>
      <c r="O32" s="371" t="str">
        <f t="shared" si="4"/>
        <v>-</v>
      </c>
    </row>
    <row r="33" spans="1:15" x14ac:dyDescent="0.35">
      <c r="A33" s="462" t="s">
        <v>295</v>
      </c>
      <c r="B33" s="660" t="s">
        <v>50</v>
      </c>
      <c r="C33" s="323">
        <f>auditsoutcomeLApivot!B25</f>
        <v>115</v>
      </c>
      <c r="D33" s="323">
        <f>auditsoutcomeLApivot!C25</f>
        <v>395.25</v>
      </c>
      <c r="E33" s="323">
        <f>auditsoutcomeLApivot!D25</f>
        <v>2</v>
      </c>
      <c r="F33" s="323">
        <f>auditsoutcomeLApivot!E25</f>
        <v>10.5</v>
      </c>
      <c r="G33" s="324">
        <f t="shared" si="0"/>
        <v>117</v>
      </c>
      <c r="H33" s="324">
        <f t="shared" si="1"/>
        <v>405.75</v>
      </c>
      <c r="I33" s="112">
        <f>auditsoutcomeLApivot!F25</f>
        <v>0</v>
      </c>
      <c r="J33" s="112">
        <f>auditsoutcomeLApivot!G25</f>
        <v>0</v>
      </c>
      <c r="K33" s="112">
        <f>auditsoutcomeLApivot!H25</f>
        <v>0</v>
      </c>
      <c r="L33" s="112">
        <f>auditsoutcomeLApivot!I25</f>
        <v>0</v>
      </c>
      <c r="M33" s="1066">
        <f t="shared" si="2"/>
        <v>0.98290598290598286</v>
      </c>
      <c r="N33" s="113">
        <f t="shared" si="3"/>
        <v>3.4369565217391305</v>
      </c>
      <c r="O33" s="371">
        <f t="shared" si="4"/>
        <v>5.25</v>
      </c>
    </row>
    <row r="34" spans="1:15" x14ac:dyDescent="0.35">
      <c r="A34" s="462" t="s">
        <v>279</v>
      </c>
      <c r="B34" s="660" t="s">
        <v>51</v>
      </c>
      <c r="C34" s="323">
        <f>auditsoutcomeLApivot!B26</f>
        <v>8</v>
      </c>
      <c r="D34" s="323">
        <f>auditsoutcomeLApivot!C26</f>
        <v>37.75</v>
      </c>
      <c r="E34" s="323">
        <f>auditsoutcomeLApivot!D26</f>
        <v>1</v>
      </c>
      <c r="F34" s="323">
        <f>auditsoutcomeLApivot!E26</f>
        <v>34.75</v>
      </c>
      <c r="G34" s="324">
        <f t="shared" si="0"/>
        <v>9</v>
      </c>
      <c r="H34" s="324">
        <f t="shared" si="1"/>
        <v>72.5</v>
      </c>
      <c r="I34" s="112">
        <f>auditsoutcomeLApivot!F26</f>
        <v>0</v>
      </c>
      <c r="J34" s="112">
        <f>auditsoutcomeLApivot!G26</f>
        <v>0</v>
      </c>
      <c r="K34" s="112">
        <f>auditsoutcomeLApivot!H26</f>
        <v>0</v>
      </c>
      <c r="L34" s="112">
        <f>auditsoutcomeLApivot!I26</f>
        <v>0</v>
      </c>
      <c r="M34" s="1066">
        <f t="shared" si="2"/>
        <v>0.88888888888888884</v>
      </c>
      <c r="N34" s="113">
        <f t="shared" si="3"/>
        <v>4.71875</v>
      </c>
      <c r="O34" s="371">
        <f t="shared" si="4"/>
        <v>34.75</v>
      </c>
    </row>
    <row r="35" spans="1:15" x14ac:dyDescent="0.35">
      <c r="A35" s="462" t="s">
        <v>280</v>
      </c>
      <c r="B35" s="660" t="s">
        <v>52</v>
      </c>
      <c r="C35" s="323">
        <f>auditsoutcomeLApivot!B27</f>
        <v>152</v>
      </c>
      <c r="D35" s="323">
        <f>auditsoutcomeLApivot!C27</f>
        <v>697</v>
      </c>
      <c r="E35" s="323">
        <f>auditsoutcomeLApivot!D27</f>
        <v>0</v>
      </c>
      <c r="F35" s="323">
        <f>auditsoutcomeLApivot!E27</f>
        <v>0</v>
      </c>
      <c r="G35" s="324">
        <f t="shared" si="0"/>
        <v>152</v>
      </c>
      <c r="H35" s="324">
        <f t="shared" si="1"/>
        <v>697</v>
      </c>
      <c r="I35" s="112">
        <f>auditsoutcomeLApivot!F27</f>
        <v>0</v>
      </c>
      <c r="J35" s="112">
        <f>auditsoutcomeLApivot!G27</f>
        <v>0</v>
      </c>
      <c r="K35" s="112">
        <f>auditsoutcomeLApivot!H27</f>
        <v>0</v>
      </c>
      <c r="L35" s="112">
        <f>auditsoutcomeLApivot!I27</f>
        <v>0</v>
      </c>
      <c r="M35" s="1066">
        <f t="shared" si="2"/>
        <v>1</v>
      </c>
      <c r="N35" s="113">
        <f t="shared" si="3"/>
        <v>4.5855263157894735</v>
      </c>
      <c r="O35" s="371" t="str">
        <f t="shared" si="4"/>
        <v>-</v>
      </c>
    </row>
    <row r="36" spans="1:15" x14ac:dyDescent="0.35">
      <c r="A36" s="462" t="s">
        <v>290</v>
      </c>
      <c r="B36" s="660" t="s">
        <v>53</v>
      </c>
      <c r="C36" s="323">
        <f>auditsoutcomeLApivot!B28</f>
        <v>66</v>
      </c>
      <c r="D36" s="323">
        <f>auditsoutcomeLApivot!C28</f>
        <v>328.75</v>
      </c>
      <c r="E36" s="323">
        <f>auditsoutcomeLApivot!D28</f>
        <v>6</v>
      </c>
      <c r="F36" s="323">
        <f>auditsoutcomeLApivot!E28</f>
        <v>54.5</v>
      </c>
      <c r="G36" s="324">
        <f t="shared" si="0"/>
        <v>72</v>
      </c>
      <c r="H36" s="324">
        <f t="shared" si="1"/>
        <v>383.25</v>
      </c>
      <c r="I36" s="112">
        <f>auditsoutcomeLApivot!F28</f>
        <v>0</v>
      </c>
      <c r="J36" s="112">
        <f>auditsoutcomeLApivot!G28</f>
        <v>0</v>
      </c>
      <c r="K36" s="112">
        <f>auditsoutcomeLApivot!H28</f>
        <v>0</v>
      </c>
      <c r="L36" s="112">
        <f>auditsoutcomeLApivot!I28</f>
        <v>0</v>
      </c>
      <c r="M36" s="1066">
        <f t="shared" si="2"/>
        <v>0.91666666666666663</v>
      </c>
      <c r="N36" s="113">
        <f t="shared" si="3"/>
        <v>4.9810606060606064</v>
      </c>
      <c r="O36" s="371">
        <f t="shared" si="4"/>
        <v>9.0833333333333339</v>
      </c>
    </row>
    <row r="37" spans="1:15" x14ac:dyDescent="0.35">
      <c r="A37" s="462" t="s">
        <v>281</v>
      </c>
      <c r="B37" s="660" t="s">
        <v>54</v>
      </c>
      <c r="C37" s="323">
        <f>auditsoutcomeLApivot!B29</f>
        <v>63</v>
      </c>
      <c r="D37" s="323">
        <f>auditsoutcomeLApivot!C29</f>
        <v>350</v>
      </c>
      <c r="E37" s="323">
        <f>auditsoutcomeLApivot!D29</f>
        <v>3</v>
      </c>
      <c r="F37" s="323">
        <f>auditsoutcomeLApivot!E29</f>
        <v>49.5</v>
      </c>
      <c r="G37" s="324">
        <f t="shared" si="0"/>
        <v>66</v>
      </c>
      <c r="H37" s="324">
        <f t="shared" si="1"/>
        <v>399.5</v>
      </c>
      <c r="I37" s="112">
        <f>auditsoutcomeLApivot!F29</f>
        <v>0</v>
      </c>
      <c r="J37" s="112">
        <f>auditsoutcomeLApivot!G29</f>
        <v>0</v>
      </c>
      <c r="K37" s="112">
        <f>auditsoutcomeLApivot!H29</f>
        <v>0</v>
      </c>
      <c r="L37" s="112">
        <f>auditsoutcomeLApivot!I29</f>
        <v>0</v>
      </c>
      <c r="M37" s="1066">
        <f t="shared" si="2"/>
        <v>0.95454545454545459</v>
      </c>
      <c r="N37" s="113">
        <f t="shared" si="3"/>
        <v>5.5555555555555554</v>
      </c>
      <c r="O37" s="371">
        <f t="shared" si="4"/>
        <v>16.5</v>
      </c>
    </row>
    <row r="38" spans="1:15" x14ac:dyDescent="0.35">
      <c r="A38" s="462" t="s">
        <v>282</v>
      </c>
      <c r="B38" s="660" t="s">
        <v>55</v>
      </c>
      <c r="C38" s="323">
        <f>auditsoutcomeLApivot!B30</f>
        <v>10</v>
      </c>
      <c r="D38" s="323">
        <f>auditsoutcomeLApivot!C30</f>
        <v>101.75</v>
      </c>
      <c r="E38" s="323">
        <f>auditsoutcomeLApivot!D30</f>
        <v>0</v>
      </c>
      <c r="F38" s="323">
        <f>auditsoutcomeLApivot!E30</f>
        <v>0</v>
      </c>
      <c r="G38" s="324">
        <f t="shared" si="0"/>
        <v>10</v>
      </c>
      <c r="H38" s="324">
        <f t="shared" si="1"/>
        <v>101.75</v>
      </c>
      <c r="I38" s="112">
        <f>auditsoutcomeLApivot!F30</f>
        <v>0</v>
      </c>
      <c r="J38" s="112">
        <f>auditsoutcomeLApivot!G30</f>
        <v>0</v>
      </c>
      <c r="K38" s="112">
        <f>auditsoutcomeLApivot!H30</f>
        <v>0</v>
      </c>
      <c r="L38" s="112">
        <f>auditsoutcomeLApivot!I30</f>
        <v>0</v>
      </c>
      <c r="M38" s="1066">
        <f t="shared" si="2"/>
        <v>1</v>
      </c>
      <c r="N38" s="113">
        <f t="shared" si="3"/>
        <v>10.175000000000001</v>
      </c>
      <c r="O38" s="371" t="str">
        <f t="shared" si="4"/>
        <v>-</v>
      </c>
    </row>
    <row r="39" spans="1:15" x14ac:dyDescent="0.35">
      <c r="A39" s="462" t="s">
        <v>283</v>
      </c>
      <c r="B39" s="660" t="s">
        <v>56</v>
      </c>
      <c r="C39" s="323">
        <f>auditsoutcomeLApivot!B31</f>
        <v>120</v>
      </c>
      <c r="D39" s="323">
        <f>auditsoutcomeLApivot!C31</f>
        <v>791.75</v>
      </c>
      <c r="E39" s="323">
        <f>auditsoutcomeLApivot!D31</f>
        <v>2</v>
      </c>
      <c r="F39" s="323">
        <f>auditsoutcomeLApivot!E31</f>
        <v>7.75</v>
      </c>
      <c r="G39" s="324">
        <f t="shared" si="0"/>
        <v>122</v>
      </c>
      <c r="H39" s="324">
        <f t="shared" si="1"/>
        <v>799.5</v>
      </c>
      <c r="I39" s="112">
        <f>auditsoutcomeLApivot!F31</f>
        <v>0</v>
      </c>
      <c r="J39" s="112">
        <f>auditsoutcomeLApivot!G31</f>
        <v>0</v>
      </c>
      <c r="K39" s="112">
        <f>auditsoutcomeLApivot!H31</f>
        <v>0</v>
      </c>
      <c r="L39" s="112">
        <f>auditsoutcomeLApivot!I31</f>
        <v>0</v>
      </c>
      <c r="M39" s="1066">
        <f t="shared" si="2"/>
        <v>0.98360655737704916</v>
      </c>
      <c r="N39" s="113">
        <f t="shared" si="3"/>
        <v>6.5979166666666664</v>
      </c>
      <c r="O39" s="371">
        <f t="shared" si="4"/>
        <v>3.875</v>
      </c>
    </row>
    <row r="40" spans="1:15" x14ac:dyDescent="0.35">
      <c r="A40" s="462" t="s">
        <v>284</v>
      </c>
      <c r="B40" s="660" t="s">
        <v>57</v>
      </c>
      <c r="C40" s="323">
        <f>auditsoutcomeLApivot!B32</f>
        <v>142</v>
      </c>
      <c r="D40" s="323">
        <f>auditsoutcomeLApivot!C32</f>
        <v>1628.25</v>
      </c>
      <c r="E40" s="323">
        <f>auditsoutcomeLApivot!D32</f>
        <v>4</v>
      </c>
      <c r="F40" s="323">
        <f>auditsoutcomeLApivot!E32</f>
        <v>64.75</v>
      </c>
      <c r="G40" s="324">
        <f t="shared" si="0"/>
        <v>146</v>
      </c>
      <c r="H40" s="324">
        <f t="shared" si="1"/>
        <v>1693</v>
      </c>
      <c r="I40" s="112">
        <f>auditsoutcomeLApivot!F32</f>
        <v>0</v>
      </c>
      <c r="J40" s="112">
        <f>auditsoutcomeLApivot!G32</f>
        <v>0</v>
      </c>
      <c r="K40" s="112">
        <f>auditsoutcomeLApivot!H32</f>
        <v>0</v>
      </c>
      <c r="L40" s="112">
        <f>auditsoutcomeLApivot!I32</f>
        <v>0</v>
      </c>
      <c r="M40" s="1066">
        <f t="shared" si="2"/>
        <v>0.9726027397260274</v>
      </c>
      <c r="N40" s="113">
        <f t="shared" si="3"/>
        <v>11.466549295774648</v>
      </c>
      <c r="O40" s="371">
        <f t="shared" si="4"/>
        <v>16.1875</v>
      </c>
    </row>
    <row r="41" spans="1:15" x14ac:dyDescent="0.35">
      <c r="A41" s="462" t="s">
        <v>285</v>
      </c>
      <c r="B41" s="660" t="s">
        <v>58</v>
      </c>
      <c r="C41" s="323">
        <f>auditsoutcomeLApivot!B33</f>
        <v>74</v>
      </c>
      <c r="D41" s="323">
        <f>auditsoutcomeLApivot!C33</f>
        <v>377.5</v>
      </c>
      <c r="E41" s="323">
        <f>auditsoutcomeLApivot!D33</f>
        <v>6</v>
      </c>
      <c r="F41" s="323">
        <f>auditsoutcomeLApivot!E33</f>
        <v>138.5</v>
      </c>
      <c r="G41" s="324">
        <f t="shared" si="0"/>
        <v>80</v>
      </c>
      <c r="H41" s="324">
        <f t="shared" si="1"/>
        <v>516</v>
      </c>
      <c r="I41" s="112">
        <f>auditsoutcomeLApivot!F33</f>
        <v>1</v>
      </c>
      <c r="J41" s="112">
        <f>auditsoutcomeLApivot!G33</f>
        <v>54.5</v>
      </c>
      <c r="K41" s="112">
        <f>auditsoutcomeLApivot!H33</f>
        <v>0</v>
      </c>
      <c r="L41" s="112">
        <f>auditsoutcomeLApivot!I33</f>
        <v>0</v>
      </c>
      <c r="M41" s="1066">
        <f t="shared" si="2"/>
        <v>0.92500000000000004</v>
      </c>
      <c r="N41" s="113">
        <f t="shared" si="3"/>
        <v>5.1013513513513518</v>
      </c>
      <c r="O41" s="371">
        <f t="shared" si="4"/>
        <v>23.083333333333332</v>
      </c>
    </row>
    <row r="42" spans="1:15" x14ac:dyDescent="0.35">
      <c r="A42" s="462" t="s">
        <v>291</v>
      </c>
      <c r="B42" s="660" t="s">
        <v>59</v>
      </c>
      <c r="C42" s="323">
        <f>auditsoutcomeLApivot!B34</f>
        <v>28</v>
      </c>
      <c r="D42" s="323">
        <f>auditsoutcomeLApivot!C34</f>
        <v>102.5</v>
      </c>
      <c r="E42" s="323">
        <f>auditsoutcomeLApivot!D34</f>
        <v>0</v>
      </c>
      <c r="F42" s="323">
        <f>auditsoutcomeLApivot!E34</f>
        <v>0</v>
      </c>
      <c r="G42" s="324">
        <f t="shared" si="0"/>
        <v>28</v>
      </c>
      <c r="H42" s="324">
        <f t="shared" si="1"/>
        <v>102.5</v>
      </c>
      <c r="I42" s="112">
        <f>auditsoutcomeLApivot!F34</f>
        <v>0</v>
      </c>
      <c r="J42" s="112">
        <f>auditsoutcomeLApivot!G34</f>
        <v>0</v>
      </c>
      <c r="K42" s="112">
        <f>auditsoutcomeLApivot!H34</f>
        <v>0</v>
      </c>
      <c r="L42" s="112">
        <f>auditsoutcomeLApivot!I34</f>
        <v>0</v>
      </c>
      <c r="M42" s="1066">
        <f t="shared" si="2"/>
        <v>1</v>
      </c>
      <c r="N42" s="113">
        <f>IF((OR($A$10="2019-20")),"",D42/C42)</f>
        <v>3.6607142857142856</v>
      </c>
      <c r="O42" s="371" t="str">
        <f t="shared" si="4"/>
        <v>-</v>
      </c>
    </row>
    <row r="43" spans="1:15" x14ac:dyDescent="0.35">
      <c r="A43" s="462" t="s">
        <v>292</v>
      </c>
      <c r="B43" s="660" t="s">
        <v>60</v>
      </c>
      <c r="C43" s="323">
        <f>auditsoutcomeLApivot!B35</f>
        <v>86</v>
      </c>
      <c r="D43" s="323">
        <f>auditsoutcomeLApivot!C35</f>
        <v>305.5</v>
      </c>
      <c r="E43" s="323">
        <f>auditsoutcomeLApivot!D35</f>
        <v>0</v>
      </c>
      <c r="F43" s="323">
        <f>auditsoutcomeLApivot!E35</f>
        <v>0</v>
      </c>
      <c r="G43" s="324">
        <f t="shared" si="0"/>
        <v>86</v>
      </c>
      <c r="H43" s="324">
        <f t="shared" si="1"/>
        <v>305.5</v>
      </c>
      <c r="I43" s="112">
        <f>auditsoutcomeLApivot!F35</f>
        <v>0</v>
      </c>
      <c r="J43" s="112">
        <f>auditsoutcomeLApivot!G35</f>
        <v>0</v>
      </c>
      <c r="K43" s="112">
        <f>auditsoutcomeLApivot!H35</f>
        <v>0</v>
      </c>
      <c r="L43" s="556">
        <f>auditsoutcomeLApivot!I35</f>
        <v>0</v>
      </c>
      <c r="M43" s="1067">
        <f t="shared" si="2"/>
        <v>1</v>
      </c>
      <c r="N43" s="113">
        <f t="shared" si="3"/>
        <v>3.5523255813953489</v>
      </c>
      <c r="O43" s="1053" t="str">
        <f t="shared" si="4"/>
        <v>-</v>
      </c>
    </row>
    <row r="44" spans="1:15" ht="24" customHeight="1" thickBot="1" x14ac:dyDescent="0.4">
      <c r="A44" s="297"/>
      <c r="B44" s="297" t="s">
        <v>734</v>
      </c>
      <c r="C44" s="325">
        <f>SUM(C12:C43)</f>
        <v>3180</v>
      </c>
      <c r="D44" s="325">
        <f>SUM(D12:D43)</f>
        <v>16278.75</v>
      </c>
      <c r="E44" s="325">
        <f t="shared" ref="E44:F44" si="5">SUM(E12:E43)</f>
        <v>112</v>
      </c>
      <c r="F44" s="325">
        <f t="shared" si="5"/>
        <v>1338.75</v>
      </c>
      <c r="G44" s="325">
        <f t="shared" ref="G44:L44" si="6">SUM(G12:G43)</f>
        <v>3292</v>
      </c>
      <c r="H44" s="325">
        <f t="shared" si="6"/>
        <v>17617.5</v>
      </c>
      <c r="I44" s="374">
        <f t="shared" si="6"/>
        <v>3</v>
      </c>
      <c r="J44" s="374">
        <f t="shared" si="6"/>
        <v>123.25</v>
      </c>
      <c r="K44" s="374">
        <f t="shared" si="6"/>
        <v>3</v>
      </c>
      <c r="L44" s="374">
        <f t="shared" si="6"/>
        <v>24</v>
      </c>
      <c r="M44" s="1069">
        <f t="shared" si="2"/>
        <v>0.96597812879708389</v>
      </c>
      <c r="N44" s="1070">
        <f t="shared" si="3"/>
        <v>5.1191037735849054</v>
      </c>
      <c r="O44" s="267">
        <f t="shared" si="4"/>
        <v>11.953125</v>
      </c>
    </row>
    <row r="45" spans="1:15" x14ac:dyDescent="0.35">
      <c r="B45" s="298"/>
      <c r="C45" s="326"/>
      <c r="D45" s="326"/>
      <c r="E45" s="326"/>
      <c r="F45" s="326"/>
      <c r="G45" s="324"/>
      <c r="H45" s="324"/>
      <c r="I45" s="298"/>
      <c r="J45" s="116"/>
      <c r="K45" s="298"/>
      <c r="L45" s="298"/>
      <c r="M45" s="327"/>
      <c r="N45" s="299"/>
      <c r="O45" s="299"/>
    </row>
    <row r="46" spans="1:15" x14ac:dyDescent="0.35">
      <c r="A46" s="392" t="s">
        <v>8</v>
      </c>
      <c r="B46" s="395"/>
      <c r="C46" s="395"/>
      <c r="D46" s="395"/>
      <c r="E46" s="395"/>
      <c r="F46" s="395"/>
      <c r="G46" s="395"/>
      <c r="H46" s="395"/>
      <c r="I46" s="395"/>
      <c r="J46" s="395"/>
      <c r="K46" s="395"/>
      <c r="L46" s="395"/>
      <c r="M46" s="395"/>
      <c r="N46" s="395"/>
    </row>
    <row r="47" spans="1:15" x14ac:dyDescent="0.35">
      <c r="A47" s="394" t="s">
        <v>894</v>
      </c>
      <c r="B47" s="395"/>
      <c r="C47" s="395"/>
      <c r="D47" s="395"/>
      <c r="E47" s="395"/>
      <c r="F47" s="395"/>
      <c r="G47" s="395"/>
      <c r="H47" s="395"/>
      <c r="I47" s="395"/>
      <c r="J47" s="395"/>
      <c r="K47" s="395"/>
      <c r="L47" s="395"/>
      <c r="M47" s="395"/>
      <c r="N47" s="395"/>
    </row>
    <row r="48" spans="1:15" ht="15" customHeight="1" x14ac:dyDescent="0.35">
      <c r="A48" s="552" t="s">
        <v>215</v>
      </c>
      <c r="B48" s="552"/>
      <c r="C48" s="552"/>
      <c r="D48" s="552"/>
      <c r="E48" s="552"/>
      <c r="F48" s="552"/>
      <c r="G48" s="552"/>
      <c r="H48" s="552"/>
      <c r="I48" s="552"/>
      <c r="J48" s="552"/>
      <c r="K48" s="552"/>
      <c r="L48" s="552"/>
      <c r="M48" s="552"/>
      <c r="N48" s="552"/>
    </row>
    <row r="49" spans="1:15" ht="30.75" customHeight="1" x14ac:dyDescent="0.35">
      <c r="A49" s="1180" t="s">
        <v>767</v>
      </c>
      <c r="B49" s="1180"/>
      <c r="C49" s="1180"/>
      <c r="D49" s="1180"/>
      <c r="E49" s="1180"/>
      <c r="F49" s="1180"/>
      <c r="G49" s="1180"/>
      <c r="H49" s="1180"/>
      <c r="I49" s="1180"/>
      <c r="J49" s="1180"/>
      <c r="K49" s="1180"/>
      <c r="L49" s="1180"/>
      <c r="M49" s="1180"/>
      <c r="N49" s="1180"/>
      <c r="O49" s="1180"/>
    </row>
    <row r="50" spans="1:15" x14ac:dyDescent="0.35">
      <c r="A50" s="395" t="s">
        <v>768</v>
      </c>
      <c r="B50" s="554"/>
      <c r="C50" s="554"/>
      <c r="D50" s="554"/>
      <c r="E50" s="554"/>
      <c r="F50" s="554"/>
      <c r="G50" s="554"/>
      <c r="H50" s="554"/>
      <c r="I50" s="554"/>
      <c r="J50" s="554"/>
      <c r="K50" s="554"/>
      <c r="L50" s="554"/>
      <c r="M50" s="554"/>
      <c r="N50" s="554"/>
    </row>
    <row r="51" spans="1:15" x14ac:dyDescent="0.35">
      <c r="B51" s="382"/>
      <c r="C51" s="382"/>
      <c r="D51" s="382"/>
      <c r="E51" s="382"/>
      <c r="F51" s="382"/>
      <c r="G51" s="382"/>
      <c r="H51" s="382"/>
      <c r="I51" s="382"/>
      <c r="J51" s="382"/>
      <c r="K51" s="382"/>
      <c r="L51" s="382"/>
      <c r="M51" s="382"/>
      <c r="N51" s="382"/>
      <c r="O51" s="382"/>
    </row>
  </sheetData>
  <sheetProtection algorithmName="SHA-512" hashValue="VDcCNsSMPVQfT6b4eb5OJbRBg4h6Ax3mzyuOullcSrYyxFBaxrwQqlL5t+GI7un5WJfQEuq0i6UMck9gCq2UTw==" saltValue="Itn9nEZrmbXYyiBdV5Gt5g==" spinCount="100000" sheet="1" scenarios="1" formatCells="0" formatColumns="0" formatRows="0" sort="0" autoFilter="0" pivotTables="0"/>
  <mergeCells count="6">
    <mergeCell ref="A49:O49"/>
    <mergeCell ref="C10:D10"/>
    <mergeCell ref="E10:F10"/>
    <mergeCell ref="G10:H10"/>
    <mergeCell ref="I10:J10"/>
    <mergeCell ref="K10:L10"/>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3" orientation="landscape" r:id="rId1"/>
  <drawing r:id="rId2"/>
  <extLst>
    <ext xmlns:x14="http://schemas.microsoft.com/office/spreadsheetml/2009/9/main" uri="{A8765BA9-456A-4dab-B4F3-ACF838C121DE}">
      <x14:slicerList>
        <x14:slicer r:id="rId3"/>
      </x14:slicerList>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O45"/>
  <sheetViews>
    <sheetView showGridLines="0" workbookViewId="0">
      <pane ySplit="2" topLeftCell="A3" activePane="bottomLeft" state="frozen"/>
      <selection pane="bottomLeft"/>
    </sheetView>
  </sheetViews>
  <sheetFormatPr defaultRowHeight="14.5" x14ac:dyDescent="0.35"/>
  <cols>
    <col min="1" max="1" width="16.90625" customWidth="1"/>
    <col min="2" max="2" width="20.26953125" bestFit="1" customWidth="1"/>
    <col min="3" max="3" width="18.54296875" bestFit="1" customWidth="1"/>
    <col min="4" max="4" width="18.453125" customWidth="1"/>
    <col min="5" max="5" width="9.7265625" bestFit="1" customWidth="1"/>
    <col min="6" max="6" width="6.1796875" bestFit="1" customWidth="1"/>
    <col min="7" max="8" width="5.54296875" bestFit="1" customWidth="1"/>
  </cols>
  <sheetData>
    <row r="1" spans="1:14" ht="15.5" x14ac:dyDescent="0.35">
      <c r="A1" s="629" t="s">
        <v>559</v>
      </c>
    </row>
    <row r="2" spans="1:14" x14ac:dyDescent="0.35">
      <c r="A2" s="601" t="s">
        <v>509</v>
      </c>
    </row>
    <row r="3" spans="1:14" x14ac:dyDescent="0.35">
      <c r="A3" s="28"/>
    </row>
    <row r="4" spans="1:14" ht="15.5" x14ac:dyDescent="0.35">
      <c r="A4" s="535" t="s">
        <v>569</v>
      </c>
      <c r="B4" s="535"/>
      <c r="C4" s="535"/>
      <c r="D4" s="535"/>
      <c r="E4" s="535"/>
      <c r="F4" s="535"/>
      <c r="G4" s="535"/>
      <c r="H4" s="535"/>
      <c r="I4" s="535"/>
      <c r="J4" s="535"/>
      <c r="K4" s="535"/>
      <c r="L4" s="535"/>
      <c r="M4" s="535"/>
      <c r="N4" s="535"/>
    </row>
    <row r="5" spans="1:14" ht="15.5" x14ac:dyDescent="0.35">
      <c r="A5" t="s">
        <v>320</v>
      </c>
      <c r="B5" t="s">
        <v>718</v>
      </c>
      <c r="C5" s="612"/>
      <c r="D5" s="612"/>
      <c r="E5" s="612"/>
      <c r="F5" s="612"/>
      <c r="G5" s="612"/>
      <c r="H5" s="612"/>
      <c r="I5" s="612"/>
      <c r="J5" s="612"/>
    </row>
    <row r="6" spans="1:14" ht="15.5" x14ac:dyDescent="0.35">
      <c r="A6" t="s">
        <v>321</v>
      </c>
      <c r="B6" t="s">
        <v>323</v>
      </c>
      <c r="C6" s="612"/>
      <c r="D6" s="612"/>
      <c r="E6" s="612"/>
      <c r="F6" s="612"/>
      <c r="G6" s="612"/>
      <c r="H6" s="612"/>
      <c r="I6" s="612"/>
      <c r="J6" s="612"/>
    </row>
    <row r="7" spans="1:14" ht="15.5" x14ac:dyDescent="0.35">
      <c r="A7" t="s">
        <v>322</v>
      </c>
      <c r="B7" t="s">
        <v>324</v>
      </c>
      <c r="C7" s="612"/>
      <c r="D7" s="612"/>
      <c r="E7" s="612"/>
      <c r="F7" s="612"/>
      <c r="G7" s="612"/>
      <c r="H7" s="612"/>
      <c r="I7" s="612"/>
      <c r="J7" s="612"/>
      <c r="K7" s="28"/>
      <c r="L7" s="28"/>
      <c r="M7" s="28"/>
      <c r="N7" s="28"/>
    </row>
    <row r="8" spans="1:14" x14ac:dyDescent="0.35">
      <c r="A8" s="15"/>
      <c r="B8" s="15"/>
      <c r="C8" s="15"/>
      <c r="D8" s="15"/>
      <c r="E8" s="15"/>
      <c r="F8" s="15"/>
      <c r="G8" s="15"/>
      <c r="H8" s="15"/>
      <c r="I8" s="302"/>
      <c r="J8" s="302"/>
    </row>
    <row r="9" spans="1:14" x14ac:dyDescent="0.35">
      <c r="A9" s="791" t="s">
        <v>1</v>
      </c>
      <c r="B9" s="791" t="s">
        <v>155</v>
      </c>
      <c r="C9" s="791" t="s">
        <v>156</v>
      </c>
      <c r="D9" s="791" t="s">
        <v>183</v>
      </c>
      <c r="E9" s="576" t="s">
        <v>26</v>
      </c>
    </row>
    <row r="10" spans="1:14" x14ac:dyDescent="0.35">
      <c r="A10" s="790" t="s">
        <v>193</v>
      </c>
      <c r="B10" s="1071">
        <v>21</v>
      </c>
      <c r="C10" s="1071">
        <v>15</v>
      </c>
      <c r="D10" s="1071">
        <v>0</v>
      </c>
      <c r="E10" s="1072">
        <f>SUM(pp_PPED_Notices[[#This Row],[Enforcement Notice]:[Alterations Notice]])</f>
        <v>36</v>
      </c>
      <c r="J10" s="503"/>
    </row>
    <row r="11" spans="1:14" x14ac:dyDescent="0.35">
      <c r="A11" s="790" t="s">
        <v>192</v>
      </c>
      <c r="B11" s="1071">
        <v>22</v>
      </c>
      <c r="C11" s="1071">
        <v>17</v>
      </c>
      <c r="D11" s="1071">
        <v>0</v>
      </c>
      <c r="E11" s="1072">
        <f>SUM(pp_PPED_Notices[[#This Row],[Enforcement Notice]:[Alterations Notice]])</f>
        <v>39</v>
      </c>
      <c r="J11" s="503"/>
    </row>
    <row r="12" spans="1:14" x14ac:dyDescent="0.35">
      <c r="A12" s="790" t="s">
        <v>258</v>
      </c>
      <c r="B12" s="1071">
        <v>15</v>
      </c>
      <c r="C12" s="1071">
        <v>17</v>
      </c>
      <c r="D12" s="1071">
        <v>1</v>
      </c>
      <c r="E12" s="1072">
        <f>SUM(pp_PPED_Notices[[#This Row],[Enforcement Notice]:[Alterations Notice]])</f>
        <v>33</v>
      </c>
      <c r="J12" s="503"/>
    </row>
    <row r="13" spans="1:14" x14ac:dyDescent="0.35">
      <c r="A13" s="790" t="s">
        <v>242</v>
      </c>
      <c r="B13" s="1071">
        <v>15</v>
      </c>
      <c r="C13" s="1071">
        <v>26</v>
      </c>
      <c r="D13" s="1071">
        <v>2</v>
      </c>
      <c r="E13" s="1072">
        <f>SUM(pp_PPED_Notices[[#This Row],[Enforcement Notice]:[Alterations Notice]])</f>
        <v>43</v>
      </c>
      <c r="J13" s="503"/>
    </row>
    <row r="14" spans="1:14" x14ac:dyDescent="0.35">
      <c r="A14" s="790" t="s">
        <v>241</v>
      </c>
      <c r="B14" s="1071">
        <v>21</v>
      </c>
      <c r="C14" s="1071">
        <v>21</v>
      </c>
      <c r="D14" s="1071">
        <v>2</v>
      </c>
      <c r="E14" s="1072">
        <f>SUM(pp_PPED_Notices[[#This Row],[Enforcement Notice]:[Alterations Notice]])</f>
        <v>44</v>
      </c>
      <c r="J14" s="503"/>
    </row>
    <row r="15" spans="1:14" x14ac:dyDescent="0.35">
      <c r="A15" s="790" t="s">
        <v>773</v>
      </c>
      <c r="B15" s="1071">
        <v>7</v>
      </c>
      <c r="C15" s="1071">
        <v>2</v>
      </c>
      <c r="D15" s="1071">
        <v>0</v>
      </c>
      <c r="E15" s="1072">
        <f>SUM(pp_PPED_Notices[[#This Row],[Enforcement Notice]:[Alterations Notice]])</f>
        <v>9</v>
      </c>
      <c r="J15" s="503"/>
    </row>
    <row r="16" spans="1:14" ht="15" thickBot="1" x14ac:dyDescent="0.4">
      <c r="A16" s="792" t="s">
        <v>951</v>
      </c>
      <c r="B16" s="1073">
        <v>2</v>
      </c>
      <c r="C16" s="1073">
        <v>1</v>
      </c>
      <c r="D16" s="1073">
        <v>1</v>
      </c>
      <c r="E16" s="1074">
        <f>SUM(pp_PPED_Notices[[#This Row],[Enforcement Notice]:[Alterations Notice]])</f>
        <v>4</v>
      </c>
      <c r="J16" s="503"/>
    </row>
    <row r="17" spans="1:15" x14ac:dyDescent="0.35">
      <c r="A17" s="433"/>
      <c r="B17" s="434"/>
      <c r="C17" s="434"/>
      <c r="D17" s="434"/>
      <c r="E17" s="434"/>
      <c r="I17" s="302"/>
      <c r="J17" s="302"/>
      <c r="O17" s="503"/>
    </row>
    <row r="18" spans="1:15" x14ac:dyDescent="0.35">
      <c r="A18" s="398" t="s">
        <v>8</v>
      </c>
      <c r="B18" s="28"/>
      <c r="C18" s="28"/>
      <c r="D18" s="28"/>
      <c r="O18" s="503"/>
    </row>
    <row r="19" spans="1:15" ht="45" customHeight="1" x14ac:dyDescent="0.35">
      <c r="A19" s="1191" t="s">
        <v>570</v>
      </c>
      <c r="B19" s="1191"/>
      <c r="C19" s="1191"/>
      <c r="D19" s="1191"/>
      <c r="E19" s="1191"/>
      <c r="O19" s="503"/>
    </row>
    <row r="20" spans="1:15" ht="45" customHeight="1" x14ac:dyDescent="0.35">
      <c r="A20" s="1163" t="s">
        <v>229</v>
      </c>
      <c r="B20" s="1163"/>
      <c r="C20" s="1163"/>
      <c r="D20" s="1163"/>
      <c r="E20" s="1163"/>
      <c r="O20" s="503"/>
    </row>
    <row r="21" spans="1:15" x14ac:dyDescent="0.35">
      <c r="A21" s="397" t="s">
        <v>571</v>
      </c>
      <c r="B21" s="28"/>
      <c r="C21" s="28"/>
      <c r="D21" s="28"/>
      <c r="E21" s="28"/>
      <c r="O21" s="503"/>
    </row>
    <row r="22" spans="1:15" ht="15.5" x14ac:dyDescent="0.35">
      <c r="A22" s="419"/>
      <c r="C22" s="261"/>
      <c r="D22" s="369"/>
      <c r="E22" s="369"/>
      <c r="O22" s="503"/>
    </row>
    <row r="23" spans="1:15" x14ac:dyDescent="0.35">
      <c r="O23" s="503"/>
    </row>
    <row r="24" spans="1:15" x14ac:dyDescent="0.35">
      <c r="O24" s="503"/>
    </row>
    <row r="25" spans="1:15" x14ac:dyDescent="0.35">
      <c r="O25" s="503"/>
    </row>
    <row r="26" spans="1:15" x14ac:dyDescent="0.35">
      <c r="O26" s="503"/>
    </row>
    <row r="27" spans="1:15" x14ac:dyDescent="0.35">
      <c r="O27" s="504"/>
    </row>
    <row r="28" spans="1:15" x14ac:dyDescent="0.35">
      <c r="O28" s="503"/>
    </row>
    <row r="29" spans="1:15" x14ac:dyDescent="0.35">
      <c r="O29" s="503"/>
    </row>
    <row r="30" spans="1:15" x14ac:dyDescent="0.35">
      <c r="O30" s="503"/>
    </row>
    <row r="31" spans="1:15" x14ac:dyDescent="0.35">
      <c r="O31" s="503"/>
    </row>
    <row r="32" spans="1:15" x14ac:dyDescent="0.35">
      <c r="O32" s="503"/>
    </row>
    <row r="33" spans="15:15" x14ac:dyDescent="0.35">
      <c r="O33" s="503"/>
    </row>
    <row r="34" spans="15:15" x14ac:dyDescent="0.35">
      <c r="O34" s="503"/>
    </row>
    <row r="35" spans="15:15" x14ac:dyDescent="0.35">
      <c r="O35" s="503"/>
    </row>
    <row r="36" spans="15:15" x14ac:dyDescent="0.35">
      <c r="O36" s="503"/>
    </row>
    <row r="37" spans="15:15" x14ac:dyDescent="0.35">
      <c r="O37" s="503"/>
    </row>
    <row r="38" spans="15:15" x14ac:dyDescent="0.35">
      <c r="O38" s="504"/>
    </row>
    <row r="39" spans="15:15" x14ac:dyDescent="0.35">
      <c r="O39" s="503"/>
    </row>
    <row r="40" spans="15:15" x14ac:dyDescent="0.35">
      <c r="O40" s="503"/>
    </row>
    <row r="41" spans="15:15" x14ac:dyDescent="0.35">
      <c r="O41" s="503"/>
    </row>
    <row r="42" spans="15:15" x14ac:dyDescent="0.35">
      <c r="O42" s="503"/>
    </row>
    <row r="43" spans="15:15" x14ac:dyDescent="0.35">
      <c r="O43" s="503"/>
    </row>
    <row r="44" spans="15:15" x14ac:dyDescent="0.35">
      <c r="O44" s="503"/>
    </row>
    <row r="45" spans="15:15" x14ac:dyDescent="0.35">
      <c r="O45" s="503"/>
    </row>
  </sheetData>
  <sheetProtection algorithmName="SHA-512" hashValue="7E14psLiJ51xcFEdoEsHZbAw8J7TcUV9ZwPN2IwIF2DVs7lcamuKGIA3P2YvmdBozuhmBZCnwF/JXyH+uBPddg==" saltValue="nGeplekbrTUgkmp20BRjqA==" spinCount="100000" sheet="1" scenarios="1" formatCells="0" formatColumns="0" formatRows="0" sort="0" autoFilter="0" pivotTables="0"/>
  <mergeCells count="2">
    <mergeCell ref="A20:E20"/>
    <mergeCell ref="A19:E1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30"/>
  <sheetViews>
    <sheetView showGridLines="0" workbookViewId="0">
      <pane ySplit="2" topLeftCell="A3" activePane="bottomLeft" state="frozen"/>
      <selection pane="bottomLeft" sqref="A1:C1"/>
    </sheetView>
  </sheetViews>
  <sheetFormatPr defaultRowHeight="14.5" x14ac:dyDescent="0.35"/>
  <cols>
    <col min="1" max="1" width="17.81640625" customWidth="1"/>
    <col min="2" max="10" width="9.26953125" customWidth="1"/>
    <col min="11" max="11" width="9.81640625" customWidth="1"/>
    <col min="12" max="12" width="13" customWidth="1"/>
    <col min="13" max="13" width="11.7265625" customWidth="1"/>
    <col min="14" max="14" width="11.81640625" customWidth="1"/>
    <col min="15" max="15" width="10.26953125" customWidth="1"/>
    <col min="17" max="17" width="11.81640625" customWidth="1"/>
    <col min="18" max="18" width="13.1796875" customWidth="1"/>
  </cols>
  <sheetData>
    <row r="1" spans="1:15" ht="15.75" customHeight="1" x14ac:dyDescent="0.35">
      <c r="A1" s="1160" t="s">
        <v>521</v>
      </c>
      <c r="B1" s="1160"/>
      <c r="C1" s="1160"/>
    </row>
    <row r="2" spans="1:15" ht="15.5" x14ac:dyDescent="0.35">
      <c r="A2" s="601" t="s">
        <v>509</v>
      </c>
      <c r="B2" s="722"/>
      <c r="C2" s="722"/>
    </row>
    <row r="4" spans="1:15" ht="18.5" x14ac:dyDescent="0.45">
      <c r="A4" s="712" t="s">
        <v>846</v>
      </c>
    </row>
    <row r="5" spans="1:15" ht="15.5" x14ac:dyDescent="0.35">
      <c r="A5" t="s">
        <v>830</v>
      </c>
      <c r="B5" s="702"/>
    </row>
    <row r="6" spans="1:15" x14ac:dyDescent="0.35">
      <c r="A6" t="s">
        <v>320</v>
      </c>
      <c r="B6" s="302" t="s">
        <v>843</v>
      </c>
    </row>
    <row r="7" spans="1:15" x14ac:dyDescent="0.35">
      <c r="A7" t="s">
        <v>321</v>
      </c>
      <c r="B7" s="460" t="s">
        <v>323</v>
      </c>
    </row>
    <row r="8" spans="1:15" x14ac:dyDescent="0.35">
      <c r="A8" t="s">
        <v>322</v>
      </c>
      <c r="B8" s="460" t="s">
        <v>324</v>
      </c>
    </row>
    <row r="9" spans="1:15" x14ac:dyDescent="0.35">
      <c r="B9" s="721"/>
    </row>
    <row r="10" spans="1:15" ht="18.5" x14ac:dyDescent="0.45">
      <c r="B10" s="712" t="s">
        <v>794</v>
      </c>
      <c r="J10" s="542"/>
    </row>
    <row r="11" spans="1:15" ht="15.5" x14ac:dyDescent="0.35">
      <c r="B11" s="711"/>
      <c r="J11" s="346"/>
    </row>
    <row r="12" spans="1:15" x14ac:dyDescent="0.35">
      <c r="A12" s="1164" t="s">
        <v>1</v>
      </c>
      <c r="B12" s="1166" t="s">
        <v>795</v>
      </c>
      <c r="C12" s="1167"/>
      <c r="D12" s="1167"/>
      <c r="E12" s="1168"/>
      <c r="F12" s="1169" t="s">
        <v>796</v>
      </c>
      <c r="G12" s="1169"/>
      <c r="H12" s="1169"/>
      <c r="I12" s="1169"/>
      <c r="J12" s="1169"/>
      <c r="K12" s="1169"/>
    </row>
    <row r="13" spans="1:15" ht="43.5" x14ac:dyDescent="0.35">
      <c r="A13" s="1165"/>
      <c r="B13" s="637" t="s">
        <v>797</v>
      </c>
      <c r="C13" s="634" t="s">
        <v>798</v>
      </c>
      <c r="D13" s="634" t="s">
        <v>799</v>
      </c>
      <c r="E13" s="634" t="s">
        <v>26</v>
      </c>
      <c r="F13" s="637" t="s">
        <v>800</v>
      </c>
      <c r="G13" s="634" t="s">
        <v>801</v>
      </c>
      <c r="H13" s="634" t="s">
        <v>802</v>
      </c>
      <c r="I13" s="634" t="s">
        <v>803</v>
      </c>
      <c r="J13" s="634" t="s">
        <v>804</v>
      </c>
      <c r="K13" s="713" t="s">
        <v>805</v>
      </c>
      <c r="M13" s="718" t="s">
        <v>835</v>
      </c>
      <c r="N13" s="718" t="s">
        <v>836</v>
      </c>
      <c r="O13" s="563"/>
    </row>
    <row r="14" spans="1:15" x14ac:dyDescent="0.35">
      <c r="A14" s="642" t="s">
        <v>954</v>
      </c>
      <c r="B14" s="346">
        <v>239</v>
      </c>
      <c r="C14" s="346">
        <v>101</v>
      </c>
      <c r="D14" s="346">
        <v>6</v>
      </c>
      <c r="E14" s="346">
        <f>SUM(B14:D14)</f>
        <v>346</v>
      </c>
      <c r="F14" s="346">
        <v>35</v>
      </c>
      <c r="G14" s="346">
        <v>4</v>
      </c>
      <c r="H14" s="346">
        <v>5</v>
      </c>
      <c r="I14" s="346">
        <v>21</v>
      </c>
      <c r="J14" s="346">
        <v>6</v>
      </c>
      <c r="K14" s="346">
        <v>19</v>
      </c>
      <c r="L14" s="542"/>
      <c r="M14" s="882">
        <v>80</v>
      </c>
      <c r="N14" s="882">
        <f>SUM(F14:K14)</f>
        <v>90</v>
      </c>
      <c r="O14" s="563"/>
    </row>
    <row r="15" spans="1:15" ht="15" thickBot="1" x14ac:dyDescent="0.4">
      <c r="A15" s="641" t="s">
        <v>951</v>
      </c>
      <c r="B15" s="380">
        <v>239</v>
      </c>
      <c r="C15" s="380">
        <v>101</v>
      </c>
      <c r="D15" s="380">
        <v>6</v>
      </c>
      <c r="E15" s="380">
        <f>SUM(B15:D15)</f>
        <v>346</v>
      </c>
      <c r="F15" s="380">
        <v>35</v>
      </c>
      <c r="G15" s="380">
        <v>4</v>
      </c>
      <c r="H15" s="380">
        <v>5</v>
      </c>
      <c r="I15" s="380">
        <v>21</v>
      </c>
      <c r="J15" s="380">
        <v>6</v>
      </c>
      <c r="K15" s="380">
        <v>19</v>
      </c>
      <c r="L15" s="380"/>
      <c r="M15" s="732">
        <v>80</v>
      </c>
      <c r="N15" s="732">
        <f>SUM(F15:K15)</f>
        <v>90</v>
      </c>
    </row>
    <row r="16" spans="1:15" x14ac:dyDescent="0.35">
      <c r="A16" s="359"/>
    </row>
    <row r="17" spans="1:18" x14ac:dyDescent="0.35">
      <c r="A17" s="359"/>
    </row>
    <row r="18" spans="1:18" x14ac:dyDescent="0.35">
      <c r="A18" s="359"/>
    </row>
    <row r="19" spans="1:18" ht="18.5" x14ac:dyDescent="0.45">
      <c r="B19" s="712" t="s">
        <v>806</v>
      </c>
    </row>
    <row r="20" spans="1:18" ht="15.5" x14ac:dyDescent="0.35">
      <c r="B20" s="711"/>
    </row>
    <row r="21" spans="1:18" ht="72.5" x14ac:dyDescent="0.35">
      <c r="A21" s="731" t="s">
        <v>1</v>
      </c>
      <c r="B21" s="635" t="s">
        <v>807</v>
      </c>
      <c r="C21" s="716" t="s">
        <v>808</v>
      </c>
      <c r="D21" s="716" t="s">
        <v>809</v>
      </c>
      <c r="E21" s="716" t="s">
        <v>810</v>
      </c>
      <c r="F21" s="716" t="s">
        <v>811</v>
      </c>
      <c r="G21" s="716" t="s">
        <v>812</v>
      </c>
      <c r="H21" s="716" t="s">
        <v>813</v>
      </c>
      <c r="I21" s="716" t="s">
        <v>814</v>
      </c>
      <c r="J21" s="716" t="s">
        <v>815</v>
      </c>
      <c r="K21" s="716" t="s">
        <v>816</v>
      </c>
      <c r="L21" s="716" t="s">
        <v>817</v>
      </c>
      <c r="M21" s="636" t="s">
        <v>818</v>
      </c>
      <c r="N21" s="636" t="s">
        <v>820</v>
      </c>
      <c r="O21" s="715" t="s">
        <v>819</v>
      </c>
      <c r="P21" s="717"/>
      <c r="Q21" s="714" t="s">
        <v>837</v>
      </c>
      <c r="R21" s="714" t="s">
        <v>838</v>
      </c>
    </row>
    <row r="22" spans="1:18" x14ac:dyDescent="0.35">
      <c r="A22" s="923" t="s">
        <v>954</v>
      </c>
      <c r="B22" s="881">
        <v>78</v>
      </c>
      <c r="C22" s="924">
        <v>20</v>
      </c>
      <c r="D22" s="924">
        <v>5</v>
      </c>
      <c r="E22" s="924">
        <v>1</v>
      </c>
      <c r="F22" s="924">
        <v>25</v>
      </c>
      <c r="G22" s="924">
        <v>3</v>
      </c>
      <c r="H22" s="924">
        <v>10</v>
      </c>
      <c r="I22" s="924">
        <v>8</v>
      </c>
      <c r="J22" s="924">
        <v>17</v>
      </c>
      <c r="K22" s="924">
        <v>8</v>
      </c>
      <c r="L22" s="924">
        <v>4</v>
      </c>
      <c r="M22" s="881">
        <v>5</v>
      </c>
      <c r="N22" s="881">
        <v>3</v>
      </c>
      <c r="O22" s="881">
        <v>7</v>
      </c>
      <c r="P22" s="542"/>
      <c r="Q22" s="881">
        <v>102</v>
      </c>
      <c r="R22" s="881">
        <f>SUM(B22:O22)</f>
        <v>194</v>
      </c>
    </row>
    <row r="23" spans="1:18" ht="15" thickBot="1" x14ac:dyDescent="0.4">
      <c r="A23" s="641" t="s">
        <v>951</v>
      </c>
      <c r="B23" s="380">
        <v>78</v>
      </c>
      <c r="C23" s="733">
        <v>20</v>
      </c>
      <c r="D23" s="733">
        <v>5</v>
      </c>
      <c r="E23" s="733">
        <v>1</v>
      </c>
      <c r="F23" s="733">
        <v>25</v>
      </c>
      <c r="G23" s="733">
        <v>3</v>
      </c>
      <c r="H23" s="733">
        <v>10</v>
      </c>
      <c r="I23" s="733">
        <v>8</v>
      </c>
      <c r="J23" s="733">
        <v>17</v>
      </c>
      <c r="K23" s="733">
        <v>8</v>
      </c>
      <c r="L23" s="733">
        <v>4</v>
      </c>
      <c r="M23" s="380">
        <v>5</v>
      </c>
      <c r="N23" s="380">
        <v>3</v>
      </c>
      <c r="O23" s="380">
        <v>7</v>
      </c>
      <c r="P23" s="380"/>
      <c r="Q23" s="380">
        <v>102</v>
      </c>
      <c r="R23" s="380">
        <f>SUM(B23:O23)</f>
        <v>194</v>
      </c>
    </row>
    <row r="24" spans="1:18" x14ac:dyDescent="0.35">
      <c r="C24" s="302"/>
      <c r="D24" s="302"/>
      <c r="E24" s="302"/>
      <c r="F24" s="302"/>
      <c r="G24" s="302"/>
      <c r="H24" s="302"/>
      <c r="I24" s="302"/>
      <c r="J24" s="302"/>
      <c r="K24" s="302"/>
      <c r="L24" s="302"/>
    </row>
    <row r="25" spans="1:18" x14ac:dyDescent="0.35">
      <c r="A25" s="398" t="s">
        <v>8</v>
      </c>
      <c r="C25" s="302"/>
      <c r="D25" s="302"/>
      <c r="E25" s="302"/>
      <c r="F25" s="302"/>
      <c r="G25" s="302"/>
      <c r="H25" s="302"/>
      <c r="I25" s="302"/>
      <c r="J25" s="302"/>
      <c r="K25" s="302"/>
      <c r="L25" s="302"/>
    </row>
    <row r="26" spans="1:18" x14ac:dyDescent="0.35">
      <c r="A26" t="s">
        <v>839</v>
      </c>
      <c r="C26" s="302"/>
      <c r="D26" s="302"/>
      <c r="E26" s="302"/>
      <c r="F26" s="302"/>
      <c r="G26" s="302"/>
      <c r="H26" s="302"/>
      <c r="I26" s="302"/>
      <c r="J26" s="302"/>
      <c r="K26" s="302"/>
      <c r="L26" s="302"/>
    </row>
    <row r="27" spans="1:18" x14ac:dyDescent="0.35">
      <c r="A27" t="s">
        <v>840</v>
      </c>
    </row>
    <row r="28" spans="1:18" x14ac:dyDescent="0.35">
      <c r="A28" t="s">
        <v>841</v>
      </c>
    </row>
    <row r="29" spans="1:18" x14ac:dyDescent="0.35">
      <c r="J29" s="302"/>
      <c r="K29" s="302"/>
      <c r="L29" s="302"/>
    </row>
    <row r="30" spans="1:18" x14ac:dyDescent="0.35">
      <c r="J30" s="302"/>
      <c r="K30" s="302"/>
      <c r="L30" s="302"/>
    </row>
  </sheetData>
  <sheetProtection algorithmName="SHA-512" hashValue="Tl/sGhnS7KYCEMH0vKEOP+XX4zztHP/VVENmOQehZrxF9R/xxOgXYj7PInTxsYtFjtj7zXJZV/EQvnvoC0gh+Q==" saltValue="IG+qlkuihxPge/8hKQ67ew==" spinCount="100000" sheet="1" scenarios="1" formatCells="0" formatColumns="0" formatRows="0" sort="0" autoFilter="0" pivotTables="0"/>
  <mergeCells count="4">
    <mergeCell ref="A1:C1"/>
    <mergeCell ref="A12:A13"/>
    <mergeCell ref="B12:E12"/>
    <mergeCell ref="F12:K12"/>
  </mergeCells>
  <hyperlinks>
    <hyperlink ref="A2" location="'Table of Contents'!A1" display="Back to Table of Contents"/>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9"/>
  <sheetViews>
    <sheetView workbookViewId="0">
      <selection activeCell="G4" sqref="G4"/>
    </sheetView>
  </sheetViews>
  <sheetFormatPr defaultRowHeight="14.5" x14ac:dyDescent="0.35"/>
  <cols>
    <col min="1" max="1" width="12.36328125" bestFit="1" customWidth="1"/>
    <col min="2" max="2" width="9.7265625" bestFit="1" customWidth="1"/>
    <col min="3" max="3" width="7.90625" bestFit="1" customWidth="1"/>
    <col min="4" max="4" width="8.81640625" bestFit="1" customWidth="1"/>
    <col min="5" max="5" width="8.36328125" bestFit="1" customWidth="1"/>
    <col min="6" max="6" width="9.54296875" bestFit="1" customWidth="1"/>
    <col min="7" max="7" width="16.54296875" bestFit="1" customWidth="1"/>
  </cols>
  <sheetData>
    <row r="1" spans="1:7" x14ac:dyDescent="0.35">
      <c r="A1" s="459" t="s">
        <v>1</v>
      </c>
      <c r="B1" t="s">
        <v>951</v>
      </c>
    </row>
    <row r="3" spans="1:7" x14ac:dyDescent="0.35">
      <c r="A3" s="459" t="s">
        <v>234</v>
      </c>
      <c r="B3" t="s">
        <v>418</v>
      </c>
      <c r="C3" t="s">
        <v>419</v>
      </c>
      <c r="D3" t="s">
        <v>416</v>
      </c>
      <c r="E3" t="s">
        <v>417</v>
      </c>
      <c r="F3" t="s">
        <v>420</v>
      </c>
      <c r="G3" t="s">
        <v>998</v>
      </c>
    </row>
    <row r="4" spans="1:7" x14ac:dyDescent="0.35">
      <c r="A4" s="1000" t="s">
        <v>381</v>
      </c>
      <c r="B4" s="461">
        <v>6</v>
      </c>
      <c r="C4" s="461">
        <v>22</v>
      </c>
      <c r="D4" s="461">
        <v>176</v>
      </c>
      <c r="E4" s="461">
        <v>11</v>
      </c>
      <c r="F4" s="461">
        <v>4</v>
      </c>
      <c r="G4" s="461">
        <v>1</v>
      </c>
    </row>
    <row r="5" spans="1:7" x14ac:dyDescent="0.35">
      <c r="A5" s="1000" t="s">
        <v>382</v>
      </c>
      <c r="B5" s="461">
        <v>86</v>
      </c>
      <c r="C5" s="461">
        <v>613</v>
      </c>
      <c r="D5" s="461">
        <v>459</v>
      </c>
      <c r="E5" s="461">
        <v>168</v>
      </c>
      <c r="F5" s="461">
        <v>5</v>
      </c>
      <c r="G5" s="461">
        <v>11</v>
      </c>
    </row>
    <row r="6" spans="1:7" x14ac:dyDescent="0.35">
      <c r="A6" s="1000" t="s">
        <v>383</v>
      </c>
      <c r="B6" s="461">
        <v>42</v>
      </c>
      <c r="C6" s="461">
        <v>124</v>
      </c>
      <c r="D6" s="461">
        <v>577</v>
      </c>
      <c r="E6" s="461">
        <v>56</v>
      </c>
      <c r="F6" s="461">
        <v>1</v>
      </c>
      <c r="G6" s="461">
        <v>9</v>
      </c>
    </row>
    <row r="7" spans="1:7" x14ac:dyDescent="0.35">
      <c r="A7" s="1000" t="s">
        <v>384</v>
      </c>
      <c r="B7" s="461">
        <v>2</v>
      </c>
      <c r="C7" s="461">
        <v>10</v>
      </c>
      <c r="D7" s="461">
        <v>15</v>
      </c>
      <c r="E7" s="461">
        <v>8</v>
      </c>
      <c r="F7" s="461">
        <v>2</v>
      </c>
      <c r="G7" s="461">
        <v>0</v>
      </c>
    </row>
    <row r="8" spans="1:7" x14ac:dyDescent="0.35">
      <c r="A8" s="1000" t="s">
        <v>385</v>
      </c>
      <c r="B8" s="461">
        <v>1</v>
      </c>
      <c r="C8" s="461">
        <v>33</v>
      </c>
      <c r="D8" s="461">
        <v>150</v>
      </c>
      <c r="E8" s="461">
        <v>39</v>
      </c>
      <c r="F8" s="461">
        <v>4</v>
      </c>
      <c r="G8" s="461">
        <v>3</v>
      </c>
    </row>
    <row r="9" spans="1:7" x14ac:dyDescent="0.35">
      <c r="A9" s="1000" t="s">
        <v>386</v>
      </c>
      <c r="B9" s="461">
        <v>6</v>
      </c>
      <c r="C9" s="461">
        <v>22</v>
      </c>
      <c r="D9" s="461">
        <v>75</v>
      </c>
      <c r="E9" s="461">
        <v>11</v>
      </c>
      <c r="F9" s="461">
        <v>0</v>
      </c>
      <c r="G9" s="461">
        <v>1</v>
      </c>
    </row>
    <row r="10" spans="1:7" x14ac:dyDescent="0.35">
      <c r="A10" s="1000" t="s">
        <v>387</v>
      </c>
      <c r="B10" s="461">
        <v>1</v>
      </c>
      <c r="C10" s="461">
        <v>2</v>
      </c>
      <c r="D10" s="461">
        <v>6</v>
      </c>
      <c r="E10" s="461">
        <v>1</v>
      </c>
      <c r="F10" s="461">
        <v>0</v>
      </c>
      <c r="G10" s="461">
        <v>0</v>
      </c>
    </row>
    <row r="11" spans="1:7" x14ac:dyDescent="0.35">
      <c r="A11" s="1000" t="s">
        <v>388</v>
      </c>
      <c r="B11" s="461">
        <v>0</v>
      </c>
      <c r="C11" s="461">
        <v>0</v>
      </c>
      <c r="D11" s="461">
        <v>6</v>
      </c>
      <c r="E11" s="461">
        <v>0</v>
      </c>
      <c r="F11" s="461">
        <v>0</v>
      </c>
      <c r="G11" s="461">
        <v>0</v>
      </c>
    </row>
    <row r="12" spans="1:7" x14ac:dyDescent="0.35">
      <c r="A12" s="1000" t="s">
        <v>389</v>
      </c>
      <c r="B12" s="461">
        <v>0</v>
      </c>
      <c r="C12" s="461">
        <v>10</v>
      </c>
      <c r="D12" s="461">
        <v>43</v>
      </c>
      <c r="E12" s="461">
        <v>17</v>
      </c>
      <c r="F12" s="461">
        <v>1</v>
      </c>
      <c r="G12" s="461">
        <v>2</v>
      </c>
    </row>
    <row r="13" spans="1:7" x14ac:dyDescent="0.35">
      <c r="A13" s="1000" t="s">
        <v>390</v>
      </c>
      <c r="B13" s="461">
        <v>3</v>
      </c>
      <c r="C13" s="461">
        <v>14</v>
      </c>
      <c r="D13" s="461">
        <v>28</v>
      </c>
      <c r="E13" s="461">
        <v>18</v>
      </c>
      <c r="F13" s="461">
        <v>3</v>
      </c>
      <c r="G13" s="461">
        <v>1</v>
      </c>
    </row>
    <row r="14" spans="1:7" x14ac:dyDescent="0.35">
      <c r="A14" s="1000" t="s">
        <v>391</v>
      </c>
      <c r="B14" s="461">
        <v>14</v>
      </c>
      <c r="C14" s="461">
        <v>46</v>
      </c>
      <c r="D14" s="461">
        <v>44</v>
      </c>
      <c r="E14" s="461">
        <v>16</v>
      </c>
      <c r="F14" s="461">
        <v>1</v>
      </c>
      <c r="G14" s="461">
        <v>4</v>
      </c>
    </row>
    <row r="15" spans="1:7" x14ac:dyDescent="0.35">
      <c r="A15" s="1000" t="s">
        <v>392</v>
      </c>
      <c r="B15" s="461">
        <v>2</v>
      </c>
      <c r="C15" s="461">
        <v>3</v>
      </c>
      <c r="D15" s="461">
        <v>43</v>
      </c>
      <c r="E15" s="461">
        <v>11</v>
      </c>
      <c r="F15" s="461">
        <v>2</v>
      </c>
      <c r="G15" s="461">
        <v>1</v>
      </c>
    </row>
    <row r="16" spans="1:7" x14ac:dyDescent="0.35">
      <c r="A16" s="1000" t="s">
        <v>393</v>
      </c>
      <c r="B16" s="461">
        <v>1</v>
      </c>
      <c r="C16" s="461">
        <v>17</v>
      </c>
      <c r="D16" s="461">
        <v>44</v>
      </c>
      <c r="E16" s="461">
        <v>20</v>
      </c>
      <c r="F16" s="461">
        <v>0</v>
      </c>
      <c r="G16" s="461">
        <v>2</v>
      </c>
    </row>
    <row r="17" spans="1:7" x14ac:dyDescent="0.35">
      <c r="A17" s="1000" t="s">
        <v>394</v>
      </c>
      <c r="B17" s="461">
        <v>4</v>
      </c>
      <c r="C17" s="461">
        <v>9</v>
      </c>
      <c r="D17" s="461">
        <v>24</v>
      </c>
      <c r="E17" s="461">
        <v>25</v>
      </c>
      <c r="F17" s="461">
        <v>0</v>
      </c>
      <c r="G17" s="461">
        <v>0</v>
      </c>
    </row>
    <row r="18" spans="1:7" x14ac:dyDescent="0.35">
      <c r="A18" s="1000" t="s">
        <v>395</v>
      </c>
      <c r="B18" s="461">
        <v>1</v>
      </c>
      <c r="C18" s="461">
        <v>3</v>
      </c>
      <c r="D18" s="461">
        <v>20</v>
      </c>
      <c r="E18" s="461">
        <v>15</v>
      </c>
      <c r="F18" s="461">
        <v>8</v>
      </c>
      <c r="G18" s="461">
        <v>3</v>
      </c>
    </row>
    <row r="19" spans="1:7" x14ac:dyDescent="0.35">
      <c r="A19" s="1000" t="s">
        <v>239</v>
      </c>
      <c r="B19" s="461">
        <v>169</v>
      </c>
      <c r="C19" s="461">
        <v>928</v>
      </c>
      <c r="D19" s="461">
        <v>1710</v>
      </c>
      <c r="E19" s="461">
        <v>416</v>
      </c>
      <c r="F19" s="461">
        <v>31</v>
      </c>
      <c r="G19" s="461">
        <v>38</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106"/>
  <sheetViews>
    <sheetView workbookViewId="0">
      <selection activeCell="F51" sqref="F51"/>
    </sheetView>
  </sheetViews>
  <sheetFormatPr defaultRowHeight="14.5" x14ac:dyDescent="0.35"/>
  <cols>
    <col min="1" max="1" width="7.453125" bestFit="1" customWidth="1"/>
    <col min="2" max="2" width="7" bestFit="1" customWidth="1"/>
    <col min="3" max="3" width="27.453125" bestFit="1" customWidth="1"/>
    <col min="4" max="4" width="5.08984375" bestFit="1" customWidth="1"/>
    <col min="5" max="5" width="3.90625" bestFit="1" customWidth="1"/>
    <col min="6" max="6" width="4.81640625" bestFit="1" customWidth="1"/>
    <col min="7" max="7" width="4.36328125" bestFit="1" customWidth="1"/>
    <col min="8" max="8" width="5.54296875" bestFit="1" customWidth="1"/>
    <col min="9" max="9" width="12.453125" bestFit="1" customWidth="1"/>
    <col min="10" max="10" width="7.36328125" customWidth="1"/>
  </cols>
  <sheetData>
    <row r="1" spans="1:10" x14ac:dyDescent="0.35">
      <c r="A1" s="461" t="s">
        <v>1</v>
      </c>
      <c r="B1" s="461" t="s">
        <v>994</v>
      </c>
      <c r="C1" s="461" t="s">
        <v>995</v>
      </c>
      <c r="D1" s="461" t="s">
        <v>996</v>
      </c>
      <c r="E1" s="461" t="s">
        <v>389</v>
      </c>
      <c r="F1" s="461" t="s">
        <v>390</v>
      </c>
      <c r="G1" s="461" t="s">
        <v>386</v>
      </c>
      <c r="H1" s="461" t="s">
        <v>997</v>
      </c>
      <c r="I1" t="s">
        <v>788</v>
      </c>
      <c r="J1" s="461" t="s">
        <v>26</v>
      </c>
    </row>
    <row r="2" spans="1:10" x14ac:dyDescent="0.35">
      <c r="A2" s="461" t="s">
        <v>193</v>
      </c>
      <c r="B2" s="461" t="s">
        <v>389</v>
      </c>
      <c r="C2" s="461" t="s">
        <v>142</v>
      </c>
      <c r="D2" s="461">
        <v>14</v>
      </c>
      <c r="E2" s="461">
        <v>165</v>
      </c>
      <c r="F2" s="461">
        <v>331</v>
      </c>
      <c r="G2" s="461">
        <v>83</v>
      </c>
      <c r="H2" s="461">
        <v>3</v>
      </c>
      <c r="J2" s="461">
        <v>596</v>
      </c>
    </row>
    <row r="3" spans="1:10" x14ac:dyDescent="0.35">
      <c r="A3" s="461" t="s">
        <v>193</v>
      </c>
      <c r="B3" s="461" t="s">
        <v>395</v>
      </c>
      <c r="C3" s="461" t="s">
        <v>981</v>
      </c>
      <c r="D3" s="461">
        <v>0</v>
      </c>
      <c r="E3" s="461">
        <v>10</v>
      </c>
      <c r="F3" s="461">
        <v>127</v>
      </c>
      <c r="G3" s="461">
        <v>32</v>
      </c>
      <c r="H3" s="461">
        <v>5</v>
      </c>
      <c r="J3" s="461">
        <v>174</v>
      </c>
    </row>
    <row r="4" spans="1:10" x14ac:dyDescent="0.35">
      <c r="A4" s="461" t="s">
        <v>192</v>
      </c>
      <c r="B4" s="461" t="s">
        <v>391</v>
      </c>
      <c r="C4" s="461" t="s">
        <v>144</v>
      </c>
      <c r="D4" s="461">
        <v>36</v>
      </c>
      <c r="E4" s="461">
        <v>197</v>
      </c>
      <c r="F4" s="461">
        <v>228</v>
      </c>
      <c r="G4" s="461">
        <v>172</v>
      </c>
      <c r="H4" s="461">
        <v>6</v>
      </c>
      <c r="J4" s="461">
        <v>639</v>
      </c>
    </row>
    <row r="5" spans="1:10" x14ac:dyDescent="0.35">
      <c r="A5" s="461" t="s">
        <v>192</v>
      </c>
      <c r="B5" s="461" t="s">
        <v>395</v>
      </c>
      <c r="C5" s="461" t="s">
        <v>981</v>
      </c>
      <c r="D5" s="461">
        <v>0</v>
      </c>
      <c r="E5" s="461">
        <v>39</v>
      </c>
      <c r="F5" s="461">
        <v>128</v>
      </c>
      <c r="G5" s="461">
        <v>26</v>
      </c>
      <c r="H5" s="461">
        <v>5</v>
      </c>
      <c r="J5" s="461">
        <v>198</v>
      </c>
    </row>
    <row r="6" spans="1:10" x14ac:dyDescent="0.35">
      <c r="A6" s="461" t="s">
        <v>242</v>
      </c>
      <c r="B6" s="461" t="s">
        <v>394</v>
      </c>
      <c r="C6" s="461" t="s">
        <v>147</v>
      </c>
      <c r="D6" s="461">
        <v>4</v>
      </c>
      <c r="E6" s="461">
        <v>18</v>
      </c>
      <c r="F6" s="461">
        <v>140</v>
      </c>
      <c r="G6" s="461">
        <v>55</v>
      </c>
      <c r="H6" s="461">
        <v>3</v>
      </c>
      <c r="J6" s="461">
        <v>220</v>
      </c>
    </row>
    <row r="7" spans="1:10" x14ac:dyDescent="0.35">
      <c r="A7" s="461" t="s">
        <v>241</v>
      </c>
      <c r="B7" s="461" t="s">
        <v>386</v>
      </c>
      <c r="C7" s="461" t="s">
        <v>139</v>
      </c>
      <c r="D7" s="461">
        <v>4</v>
      </c>
      <c r="E7" s="461">
        <v>92</v>
      </c>
      <c r="F7" s="461">
        <v>199</v>
      </c>
      <c r="G7" s="461">
        <v>28</v>
      </c>
      <c r="H7" s="461">
        <v>0</v>
      </c>
      <c r="J7" s="461">
        <v>323</v>
      </c>
    </row>
    <row r="8" spans="1:10" x14ac:dyDescent="0.35">
      <c r="A8" s="461" t="s">
        <v>241</v>
      </c>
      <c r="B8" s="461" t="s">
        <v>388</v>
      </c>
      <c r="C8" s="461" t="s">
        <v>141</v>
      </c>
      <c r="D8" s="461">
        <v>1</v>
      </c>
      <c r="E8" s="461">
        <v>2</v>
      </c>
      <c r="F8" s="461">
        <v>43</v>
      </c>
      <c r="G8" s="461">
        <v>14</v>
      </c>
      <c r="H8" s="461">
        <v>0</v>
      </c>
      <c r="J8" s="461">
        <v>60</v>
      </c>
    </row>
    <row r="9" spans="1:10" x14ac:dyDescent="0.35">
      <c r="A9" s="461" t="s">
        <v>773</v>
      </c>
      <c r="B9" s="461" t="s">
        <v>395</v>
      </c>
      <c r="C9" s="461" t="s">
        <v>981</v>
      </c>
      <c r="D9" s="461">
        <v>0</v>
      </c>
      <c r="E9" s="461">
        <v>23</v>
      </c>
      <c r="F9" s="461">
        <v>51</v>
      </c>
      <c r="G9" s="461">
        <v>41</v>
      </c>
      <c r="H9" s="461">
        <v>2</v>
      </c>
      <c r="J9" s="461">
        <v>117</v>
      </c>
    </row>
    <row r="10" spans="1:10" x14ac:dyDescent="0.35">
      <c r="A10" s="461" t="s">
        <v>951</v>
      </c>
      <c r="B10" s="461" t="s">
        <v>384</v>
      </c>
      <c r="C10" s="461" t="s">
        <v>137</v>
      </c>
      <c r="D10" s="461">
        <v>2</v>
      </c>
      <c r="E10" s="461">
        <v>10</v>
      </c>
      <c r="F10" s="461">
        <v>15</v>
      </c>
      <c r="G10" s="461">
        <v>8</v>
      </c>
      <c r="H10" s="461">
        <v>2</v>
      </c>
      <c r="I10">
        <v>0</v>
      </c>
      <c r="J10" s="461">
        <v>37</v>
      </c>
    </row>
    <row r="11" spans="1:10" x14ac:dyDescent="0.35">
      <c r="A11" s="461" t="s">
        <v>951</v>
      </c>
      <c r="B11" s="461" t="s">
        <v>395</v>
      </c>
      <c r="C11" s="461" t="s">
        <v>981</v>
      </c>
      <c r="D11" s="461">
        <v>1</v>
      </c>
      <c r="E11" s="461">
        <v>3</v>
      </c>
      <c r="F11" s="461">
        <v>20</v>
      </c>
      <c r="G11" s="461">
        <v>15</v>
      </c>
      <c r="H11" s="461">
        <v>8</v>
      </c>
      <c r="I11">
        <v>3</v>
      </c>
      <c r="J11" s="461">
        <v>47</v>
      </c>
    </row>
    <row r="12" spans="1:10" x14ac:dyDescent="0.35">
      <c r="A12" s="461" t="s">
        <v>193</v>
      </c>
      <c r="B12" s="461" t="s">
        <v>386</v>
      </c>
      <c r="C12" s="461" t="s">
        <v>139</v>
      </c>
      <c r="D12" s="461">
        <v>7</v>
      </c>
      <c r="E12" s="461">
        <v>86</v>
      </c>
      <c r="F12" s="461">
        <v>137</v>
      </c>
      <c r="G12" s="461">
        <v>20</v>
      </c>
      <c r="H12" s="461">
        <v>1</v>
      </c>
      <c r="J12" s="461">
        <v>251</v>
      </c>
    </row>
    <row r="13" spans="1:10" x14ac:dyDescent="0.35">
      <c r="A13" s="461" t="s">
        <v>192</v>
      </c>
      <c r="B13" s="461" t="s">
        <v>381</v>
      </c>
      <c r="C13" s="461" t="s">
        <v>135</v>
      </c>
      <c r="D13" s="461">
        <v>9</v>
      </c>
      <c r="E13" s="461">
        <v>24</v>
      </c>
      <c r="F13" s="461">
        <v>255</v>
      </c>
      <c r="G13" s="461">
        <v>118</v>
      </c>
      <c r="H13" s="461">
        <v>45</v>
      </c>
      <c r="J13" s="461">
        <v>451</v>
      </c>
    </row>
    <row r="14" spans="1:10" x14ac:dyDescent="0.35">
      <c r="A14" s="461" t="s">
        <v>192</v>
      </c>
      <c r="B14" s="461" t="s">
        <v>387</v>
      </c>
      <c r="C14" s="461" t="s">
        <v>140</v>
      </c>
      <c r="D14" s="461">
        <v>0</v>
      </c>
      <c r="E14" s="461">
        <v>0</v>
      </c>
      <c r="F14" s="461">
        <v>21</v>
      </c>
      <c r="G14" s="461">
        <v>15</v>
      </c>
      <c r="H14" s="461">
        <v>0</v>
      </c>
      <c r="J14" s="461">
        <v>36</v>
      </c>
    </row>
    <row r="15" spans="1:10" x14ac:dyDescent="0.35">
      <c r="A15" s="461" t="s">
        <v>258</v>
      </c>
      <c r="B15" s="461" t="s">
        <v>382</v>
      </c>
      <c r="C15" s="461" t="s">
        <v>136</v>
      </c>
      <c r="D15" s="461">
        <v>67</v>
      </c>
      <c r="E15" s="461">
        <v>638</v>
      </c>
      <c r="F15" s="461">
        <v>783</v>
      </c>
      <c r="G15" s="461">
        <v>219</v>
      </c>
      <c r="H15" s="461">
        <v>12</v>
      </c>
      <c r="J15" s="461">
        <v>1719</v>
      </c>
    </row>
    <row r="16" spans="1:10" x14ac:dyDescent="0.35">
      <c r="A16" s="461" t="s">
        <v>242</v>
      </c>
      <c r="B16" s="461" t="s">
        <v>382</v>
      </c>
      <c r="C16" s="461" t="s">
        <v>136</v>
      </c>
      <c r="D16" s="461">
        <v>72</v>
      </c>
      <c r="E16" s="461">
        <v>580</v>
      </c>
      <c r="F16" s="461">
        <v>791</v>
      </c>
      <c r="G16" s="461">
        <v>201</v>
      </c>
      <c r="H16" s="461">
        <v>9</v>
      </c>
      <c r="J16" s="461">
        <v>1653</v>
      </c>
    </row>
    <row r="17" spans="1:10" x14ac:dyDescent="0.35">
      <c r="A17" s="461" t="s">
        <v>242</v>
      </c>
      <c r="B17" s="461" t="s">
        <v>386</v>
      </c>
      <c r="C17" s="461" t="s">
        <v>139</v>
      </c>
      <c r="D17" s="461">
        <v>1</v>
      </c>
      <c r="E17" s="461">
        <v>81</v>
      </c>
      <c r="F17" s="461">
        <v>273</v>
      </c>
      <c r="G17" s="461">
        <v>53</v>
      </c>
      <c r="H17" s="461">
        <v>0</v>
      </c>
      <c r="J17" s="461">
        <v>408</v>
      </c>
    </row>
    <row r="18" spans="1:10" x14ac:dyDescent="0.35">
      <c r="A18" s="461" t="s">
        <v>773</v>
      </c>
      <c r="B18" s="461" t="s">
        <v>381</v>
      </c>
      <c r="C18" s="461" t="s">
        <v>135</v>
      </c>
      <c r="D18" s="461">
        <v>11</v>
      </c>
      <c r="E18" s="461">
        <v>19</v>
      </c>
      <c r="F18" s="461">
        <v>239</v>
      </c>
      <c r="G18" s="461">
        <v>27</v>
      </c>
      <c r="H18" s="461">
        <v>2</v>
      </c>
      <c r="J18" s="461">
        <v>298</v>
      </c>
    </row>
    <row r="19" spans="1:10" x14ac:dyDescent="0.35">
      <c r="A19" s="461" t="s">
        <v>773</v>
      </c>
      <c r="B19" s="461" t="s">
        <v>383</v>
      </c>
      <c r="C19" s="461" t="s">
        <v>152</v>
      </c>
      <c r="D19" s="461">
        <v>69</v>
      </c>
      <c r="E19" s="461">
        <v>218</v>
      </c>
      <c r="F19" s="461">
        <v>1510</v>
      </c>
      <c r="G19" s="461">
        <v>154</v>
      </c>
      <c r="H19" s="461">
        <v>0</v>
      </c>
      <c r="J19" s="461">
        <v>1951</v>
      </c>
    </row>
    <row r="20" spans="1:10" x14ac:dyDescent="0.35">
      <c r="A20" s="461" t="s">
        <v>193</v>
      </c>
      <c r="B20" s="461" t="s">
        <v>381</v>
      </c>
      <c r="C20" s="461" t="s">
        <v>135</v>
      </c>
      <c r="D20" s="461">
        <v>3</v>
      </c>
      <c r="E20" s="461">
        <v>14</v>
      </c>
      <c r="F20" s="461">
        <v>164</v>
      </c>
      <c r="G20" s="461">
        <v>93</v>
      </c>
      <c r="H20" s="461">
        <v>60</v>
      </c>
      <c r="J20" s="461">
        <v>334</v>
      </c>
    </row>
    <row r="21" spans="1:10" x14ac:dyDescent="0.35">
      <c r="A21" s="461" t="s">
        <v>193</v>
      </c>
      <c r="B21" s="461" t="s">
        <v>385</v>
      </c>
      <c r="C21" s="461" t="s">
        <v>138</v>
      </c>
      <c r="D21" s="461">
        <v>1</v>
      </c>
      <c r="E21" s="461">
        <v>18</v>
      </c>
      <c r="F21" s="461">
        <v>517</v>
      </c>
      <c r="G21" s="461">
        <v>487</v>
      </c>
      <c r="H21" s="461">
        <v>86</v>
      </c>
      <c r="J21" s="461">
        <v>1109</v>
      </c>
    </row>
    <row r="22" spans="1:10" x14ac:dyDescent="0.35">
      <c r="A22" s="461" t="s">
        <v>193</v>
      </c>
      <c r="B22" s="461" t="s">
        <v>390</v>
      </c>
      <c r="C22" s="461" t="s">
        <v>143</v>
      </c>
      <c r="D22" s="461">
        <v>8</v>
      </c>
      <c r="E22" s="461">
        <v>113</v>
      </c>
      <c r="F22" s="461">
        <v>114</v>
      </c>
      <c r="G22" s="461">
        <v>23</v>
      </c>
      <c r="H22" s="461">
        <v>2</v>
      </c>
      <c r="J22" s="461">
        <v>260</v>
      </c>
    </row>
    <row r="23" spans="1:10" x14ac:dyDescent="0.35">
      <c r="A23" s="461" t="s">
        <v>192</v>
      </c>
      <c r="B23" s="461" t="s">
        <v>389</v>
      </c>
      <c r="C23" s="461" t="s">
        <v>142</v>
      </c>
      <c r="D23">
        <v>17</v>
      </c>
      <c r="E23">
        <v>148</v>
      </c>
      <c r="F23">
        <v>250</v>
      </c>
      <c r="G23">
        <v>74</v>
      </c>
      <c r="H23">
        <v>5</v>
      </c>
      <c r="J23">
        <v>494</v>
      </c>
    </row>
    <row r="24" spans="1:10" x14ac:dyDescent="0.35">
      <c r="A24" s="461" t="s">
        <v>258</v>
      </c>
      <c r="B24" s="461" t="s">
        <v>394</v>
      </c>
      <c r="C24" s="461" t="s">
        <v>147</v>
      </c>
      <c r="D24">
        <v>5</v>
      </c>
      <c r="E24">
        <v>25</v>
      </c>
      <c r="F24">
        <v>191</v>
      </c>
      <c r="G24">
        <v>46</v>
      </c>
      <c r="H24">
        <v>8</v>
      </c>
      <c r="J24">
        <v>275</v>
      </c>
    </row>
    <row r="25" spans="1:10" x14ac:dyDescent="0.35">
      <c r="A25" s="461" t="s">
        <v>241</v>
      </c>
      <c r="B25" s="461" t="s">
        <v>381</v>
      </c>
      <c r="C25" s="461" t="s">
        <v>135</v>
      </c>
      <c r="D25">
        <v>7</v>
      </c>
      <c r="E25">
        <v>36</v>
      </c>
      <c r="F25">
        <v>353</v>
      </c>
      <c r="G25">
        <v>70</v>
      </c>
      <c r="H25">
        <v>5</v>
      </c>
      <c r="J25">
        <v>471</v>
      </c>
    </row>
    <row r="26" spans="1:10" x14ac:dyDescent="0.35">
      <c r="A26" s="461" t="s">
        <v>241</v>
      </c>
      <c r="B26" s="461" t="s">
        <v>383</v>
      </c>
      <c r="C26" s="461" t="s">
        <v>152</v>
      </c>
      <c r="D26">
        <v>81</v>
      </c>
      <c r="E26">
        <v>263</v>
      </c>
      <c r="F26">
        <v>1407</v>
      </c>
      <c r="G26">
        <v>109</v>
      </c>
      <c r="H26">
        <v>2</v>
      </c>
      <c r="J26">
        <v>1862</v>
      </c>
    </row>
    <row r="27" spans="1:10" x14ac:dyDescent="0.35">
      <c r="A27" s="461" t="s">
        <v>241</v>
      </c>
      <c r="B27" s="461" t="s">
        <v>389</v>
      </c>
      <c r="C27" s="461" t="s">
        <v>142</v>
      </c>
      <c r="D27">
        <v>6</v>
      </c>
      <c r="E27">
        <v>36</v>
      </c>
      <c r="F27">
        <v>247</v>
      </c>
      <c r="G27">
        <v>84</v>
      </c>
      <c r="H27">
        <v>1</v>
      </c>
      <c r="J27">
        <v>374</v>
      </c>
    </row>
    <row r="28" spans="1:10" x14ac:dyDescent="0.35">
      <c r="A28" s="461" t="s">
        <v>241</v>
      </c>
      <c r="B28" s="461" t="s">
        <v>390</v>
      </c>
      <c r="C28" s="461" t="s">
        <v>143</v>
      </c>
      <c r="D28">
        <v>35</v>
      </c>
      <c r="E28">
        <v>41</v>
      </c>
      <c r="F28">
        <v>325</v>
      </c>
      <c r="G28">
        <v>66</v>
      </c>
      <c r="H28">
        <v>3</v>
      </c>
      <c r="J28">
        <v>470</v>
      </c>
    </row>
    <row r="29" spans="1:10" x14ac:dyDescent="0.35">
      <c r="A29" s="461" t="s">
        <v>951</v>
      </c>
      <c r="B29" s="461" t="s">
        <v>381</v>
      </c>
      <c r="C29" s="461" t="s">
        <v>135</v>
      </c>
      <c r="D29">
        <v>6</v>
      </c>
      <c r="E29">
        <v>22</v>
      </c>
      <c r="F29">
        <v>176</v>
      </c>
      <c r="G29">
        <v>11</v>
      </c>
      <c r="H29">
        <v>4</v>
      </c>
      <c r="I29">
        <v>1</v>
      </c>
      <c r="J29">
        <v>219</v>
      </c>
    </row>
    <row r="30" spans="1:10" x14ac:dyDescent="0.35">
      <c r="A30" s="461" t="s">
        <v>951</v>
      </c>
      <c r="B30" s="461" t="s">
        <v>391</v>
      </c>
      <c r="C30" s="461" t="s">
        <v>144</v>
      </c>
      <c r="D30">
        <v>14</v>
      </c>
      <c r="E30">
        <v>46</v>
      </c>
      <c r="F30">
        <v>44</v>
      </c>
      <c r="G30">
        <v>16</v>
      </c>
      <c r="H30">
        <v>1</v>
      </c>
      <c r="I30">
        <v>4</v>
      </c>
      <c r="J30">
        <v>121</v>
      </c>
    </row>
    <row r="31" spans="1:10" x14ac:dyDescent="0.35">
      <c r="A31" s="461" t="s">
        <v>193</v>
      </c>
      <c r="B31" s="461" t="s">
        <v>383</v>
      </c>
      <c r="C31" s="461" t="s">
        <v>152</v>
      </c>
      <c r="D31">
        <v>45</v>
      </c>
      <c r="E31">
        <v>247</v>
      </c>
      <c r="F31">
        <v>1599</v>
      </c>
      <c r="G31">
        <v>55</v>
      </c>
      <c r="H31">
        <v>1</v>
      </c>
      <c r="J31">
        <v>1947</v>
      </c>
    </row>
    <row r="32" spans="1:10" x14ac:dyDescent="0.35">
      <c r="A32" s="461" t="s">
        <v>193</v>
      </c>
      <c r="B32" s="461" t="s">
        <v>388</v>
      </c>
      <c r="C32" s="461" t="s">
        <v>141</v>
      </c>
      <c r="D32">
        <v>2</v>
      </c>
      <c r="E32">
        <v>2</v>
      </c>
      <c r="F32">
        <v>27</v>
      </c>
      <c r="G32">
        <v>37</v>
      </c>
      <c r="H32">
        <v>0</v>
      </c>
      <c r="J32">
        <v>68</v>
      </c>
    </row>
    <row r="33" spans="1:10" x14ac:dyDescent="0.35">
      <c r="A33" s="461" t="s">
        <v>193</v>
      </c>
      <c r="B33" s="461" t="s">
        <v>392</v>
      </c>
      <c r="C33" s="461" t="s">
        <v>145</v>
      </c>
      <c r="D33">
        <v>3</v>
      </c>
      <c r="E33">
        <v>13</v>
      </c>
      <c r="F33">
        <v>170</v>
      </c>
      <c r="G33">
        <v>165</v>
      </c>
      <c r="H33">
        <v>5</v>
      </c>
      <c r="J33">
        <v>356</v>
      </c>
    </row>
    <row r="34" spans="1:10" x14ac:dyDescent="0.35">
      <c r="A34" s="461" t="s">
        <v>193</v>
      </c>
      <c r="B34" s="461" t="s">
        <v>394</v>
      </c>
      <c r="C34" s="461" t="s">
        <v>147</v>
      </c>
      <c r="D34">
        <v>17</v>
      </c>
      <c r="E34">
        <v>49</v>
      </c>
      <c r="F34">
        <v>209</v>
      </c>
      <c r="G34">
        <v>68</v>
      </c>
      <c r="H34">
        <v>1</v>
      </c>
      <c r="J34">
        <v>344</v>
      </c>
    </row>
    <row r="35" spans="1:10" x14ac:dyDescent="0.35">
      <c r="A35" s="461" t="s">
        <v>192</v>
      </c>
      <c r="B35" s="461" t="s">
        <v>384</v>
      </c>
      <c r="C35" s="461" t="s">
        <v>137</v>
      </c>
      <c r="D35">
        <v>1</v>
      </c>
      <c r="E35">
        <v>5</v>
      </c>
      <c r="F35">
        <v>49</v>
      </c>
      <c r="G35">
        <v>43</v>
      </c>
      <c r="H35">
        <v>21</v>
      </c>
      <c r="J35">
        <v>119</v>
      </c>
    </row>
    <row r="36" spans="1:10" x14ac:dyDescent="0.35">
      <c r="A36" s="461" t="s">
        <v>192</v>
      </c>
      <c r="B36" s="461" t="s">
        <v>386</v>
      </c>
      <c r="C36" s="461" t="s">
        <v>139</v>
      </c>
      <c r="D36">
        <v>29</v>
      </c>
      <c r="E36">
        <v>82</v>
      </c>
      <c r="F36">
        <v>198</v>
      </c>
      <c r="G36">
        <v>41</v>
      </c>
      <c r="H36">
        <v>1</v>
      </c>
      <c r="J36">
        <v>351</v>
      </c>
    </row>
    <row r="37" spans="1:10" x14ac:dyDescent="0.35">
      <c r="A37" s="461" t="s">
        <v>258</v>
      </c>
      <c r="B37" s="461" t="s">
        <v>391</v>
      </c>
      <c r="C37" s="461" t="s">
        <v>144</v>
      </c>
      <c r="D37">
        <v>77</v>
      </c>
      <c r="E37">
        <v>46</v>
      </c>
      <c r="F37">
        <v>346</v>
      </c>
      <c r="G37">
        <v>52</v>
      </c>
      <c r="H37">
        <v>2</v>
      </c>
      <c r="J37">
        <v>523</v>
      </c>
    </row>
    <row r="38" spans="1:10" x14ac:dyDescent="0.35">
      <c r="A38" s="461" t="s">
        <v>258</v>
      </c>
      <c r="B38" s="461" t="s">
        <v>392</v>
      </c>
      <c r="C38" s="461" t="s">
        <v>145</v>
      </c>
      <c r="D38">
        <v>6</v>
      </c>
      <c r="E38">
        <v>8</v>
      </c>
      <c r="F38">
        <v>160</v>
      </c>
      <c r="G38">
        <v>59</v>
      </c>
      <c r="H38">
        <v>2</v>
      </c>
      <c r="J38">
        <v>235</v>
      </c>
    </row>
    <row r="39" spans="1:10" x14ac:dyDescent="0.35">
      <c r="A39" s="461" t="s">
        <v>242</v>
      </c>
      <c r="B39" s="461" t="s">
        <v>393</v>
      </c>
      <c r="C39" s="461" t="s">
        <v>146</v>
      </c>
      <c r="D39">
        <v>2</v>
      </c>
      <c r="E39">
        <v>32</v>
      </c>
      <c r="F39">
        <v>150</v>
      </c>
      <c r="G39">
        <v>44</v>
      </c>
      <c r="H39">
        <v>0</v>
      </c>
      <c r="J39">
        <v>228</v>
      </c>
    </row>
    <row r="40" spans="1:10" x14ac:dyDescent="0.35">
      <c r="A40" s="461" t="s">
        <v>242</v>
      </c>
      <c r="B40" s="461" t="s">
        <v>395</v>
      </c>
      <c r="C40" s="461" t="s">
        <v>981</v>
      </c>
      <c r="D40">
        <v>1</v>
      </c>
      <c r="E40">
        <v>19</v>
      </c>
      <c r="F40">
        <v>72</v>
      </c>
      <c r="G40">
        <v>17</v>
      </c>
      <c r="H40">
        <v>4</v>
      </c>
      <c r="J40">
        <v>113</v>
      </c>
    </row>
    <row r="41" spans="1:10" x14ac:dyDescent="0.35">
      <c r="A41" s="461" t="s">
        <v>241</v>
      </c>
      <c r="B41" s="461" t="s">
        <v>392</v>
      </c>
      <c r="C41" s="461" t="s">
        <v>145</v>
      </c>
      <c r="D41">
        <v>2</v>
      </c>
      <c r="E41">
        <v>20</v>
      </c>
      <c r="F41">
        <v>196</v>
      </c>
      <c r="G41">
        <v>59</v>
      </c>
      <c r="H41">
        <v>6</v>
      </c>
      <c r="J41">
        <v>283</v>
      </c>
    </row>
    <row r="42" spans="1:10" x14ac:dyDescent="0.35">
      <c r="A42" s="461" t="s">
        <v>241</v>
      </c>
      <c r="B42" s="461" t="s">
        <v>394</v>
      </c>
      <c r="C42" s="461" t="s">
        <v>147</v>
      </c>
      <c r="D42">
        <v>2</v>
      </c>
      <c r="E42">
        <v>29</v>
      </c>
      <c r="F42">
        <v>170</v>
      </c>
      <c r="G42">
        <v>62</v>
      </c>
      <c r="H42">
        <v>4</v>
      </c>
      <c r="J42">
        <v>267</v>
      </c>
    </row>
    <row r="43" spans="1:10" x14ac:dyDescent="0.35">
      <c r="A43" s="461" t="s">
        <v>773</v>
      </c>
      <c r="B43" s="461" t="s">
        <v>385</v>
      </c>
      <c r="C43" s="461" t="s">
        <v>138</v>
      </c>
      <c r="D43">
        <v>1</v>
      </c>
      <c r="E43">
        <v>131</v>
      </c>
      <c r="F43">
        <v>746</v>
      </c>
      <c r="G43">
        <v>191</v>
      </c>
      <c r="H43">
        <v>12</v>
      </c>
      <c r="J43">
        <v>1081</v>
      </c>
    </row>
    <row r="44" spans="1:10" x14ac:dyDescent="0.35">
      <c r="A44" s="461" t="s">
        <v>773</v>
      </c>
      <c r="B44" s="461" t="s">
        <v>390</v>
      </c>
      <c r="C44" s="461" t="s">
        <v>143</v>
      </c>
      <c r="D44">
        <v>23</v>
      </c>
      <c r="E44">
        <v>30</v>
      </c>
      <c r="F44">
        <v>170</v>
      </c>
      <c r="G44">
        <v>44</v>
      </c>
      <c r="H44">
        <v>4</v>
      </c>
      <c r="J44">
        <v>271</v>
      </c>
    </row>
    <row r="45" spans="1:10" x14ac:dyDescent="0.35">
      <c r="A45" s="461" t="s">
        <v>951</v>
      </c>
      <c r="B45" s="461" t="s">
        <v>383</v>
      </c>
      <c r="C45" s="461" t="s">
        <v>152</v>
      </c>
      <c r="D45">
        <v>42</v>
      </c>
      <c r="E45">
        <v>124</v>
      </c>
      <c r="F45">
        <v>577</v>
      </c>
      <c r="G45">
        <v>56</v>
      </c>
      <c r="H45">
        <v>1</v>
      </c>
      <c r="I45">
        <v>9</v>
      </c>
      <c r="J45">
        <v>800</v>
      </c>
    </row>
    <row r="46" spans="1:10" x14ac:dyDescent="0.35">
      <c r="A46" s="461" t="s">
        <v>951</v>
      </c>
      <c r="B46" s="461" t="s">
        <v>393</v>
      </c>
      <c r="C46" s="461" t="s">
        <v>146</v>
      </c>
      <c r="D46">
        <v>1</v>
      </c>
      <c r="E46">
        <v>17</v>
      </c>
      <c r="F46">
        <v>44</v>
      </c>
      <c r="G46">
        <v>20</v>
      </c>
      <c r="H46">
        <v>0</v>
      </c>
      <c r="I46">
        <v>2</v>
      </c>
    </row>
    <row r="47" spans="1:10" x14ac:dyDescent="0.35">
      <c r="A47" s="461" t="s">
        <v>193</v>
      </c>
      <c r="B47" s="461" t="s">
        <v>384</v>
      </c>
      <c r="C47" s="461" t="s">
        <v>137</v>
      </c>
      <c r="D47">
        <v>0</v>
      </c>
      <c r="E47">
        <v>6</v>
      </c>
      <c r="F47">
        <v>37</v>
      </c>
      <c r="G47">
        <v>83</v>
      </c>
      <c r="H47">
        <v>12</v>
      </c>
      <c r="J47">
        <v>138</v>
      </c>
    </row>
    <row r="48" spans="1:10" x14ac:dyDescent="0.35">
      <c r="A48" s="461" t="s">
        <v>192</v>
      </c>
      <c r="B48" s="461" t="s">
        <v>390</v>
      </c>
      <c r="C48" s="461" t="s">
        <v>143</v>
      </c>
      <c r="D48">
        <v>9</v>
      </c>
      <c r="E48">
        <v>53</v>
      </c>
      <c r="F48">
        <v>125</v>
      </c>
      <c r="G48">
        <v>41</v>
      </c>
      <c r="H48">
        <v>0</v>
      </c>
      <c r="J48">
        <v>228</v>
      </c>
    </row>
    <row r="49" spans="1:10" x14ac:dyDescent="0.35">
      <c r="A49" s="461" t="s">
        <v>192</v>
      </c>
      <c r="B49" s="461" t="s">
        <v>394</v>
      </c>
      <c r="C49" s="461" t="s">
        <v>147</v>
      </c>
      <c r="D49">
        <v>15</v>
      </c>
      <c r="E49">
        <v>35</v>
      </c>
      <c r="F49">
        <v>240</v>
      </c>
      <c r="G49">
        <v>84</v>
      </c>
      <c r="H49">
        <v>5</v>
      </c>
      <c r="J49">
        <v>379</v>
      </c>
    </row>
    <row r="50" spans="1:10" x14ac:dyDescent="0.35">
      <c r="A50" s="461" t="s">
        <v>258</v>
      </c>
      <c r="B50" s="461" t="s">
        <v>384</v>
      </c>
      <c r="C50" s="461" t="s">
        <v>137</v>
      </c>
      <c r="D50">
        <v>5</v>
      </c>
      <c r="E50">
        <v>10</v>
      </c>
      <c r="F50">
        <v>83</v>
      </c>
      <c r="G50">
        <v>27</v>
      </c>
      <c r="H50">
        <v>3</v>
      </c>
      <c r="J50">
        <v>128</v>
      </c>
    </row>
    <row r="51" spans="1:10" x14ac:dyDescent="0.35">
      <c r="A51" s="461" t="s">
        <v>258</v>
      </c>
      <c r="B51" s="461" t="s">
        <v>388</v>
      </c>
      <c r="C51" s="461" t="s">
        <v>141</v>
      </c>
      <c r="D51">
        <v>0</v>
      </c>
      <c r="E51">
        <v>1</v>
      </c>
      <c r="F51">
        <v>55</v>
      </c>
      <c r="G51">
        <v>10</v>
      </c>
      <c r="H51">
        <v>0</v>
      </c>
      <c r="J51">
        <v>66</v>
      </c>
    </row>
    <row r="52" spans="1:10" x14ac:dyDescent="0.35">
      <c r="A52" s="461" t="s">
        <v>258</v>
      </c>
      <c r="B52" s="461" t="s">
        <v>390</v>
      </c>
      <c r="C52" s="461" t="s">
        <v>143</v>
      </c>
      <c r="D52">
        <v>19</v>
      </c>
      <c r="E52">
        <v>38</v>
      </c>
      <c r="F52">
        <v>241</v>
      </c>
      <c r="G52">
        <v>55</v>
      </c>
      <c r="H52">
        <v>10</v>
      </c>
      <c r="J52">
        <v>363</v>
      </c>
    </row>
    <row r="53" spans="1:10" x14ac:dyDescent="0.35">
      <c r="A53" s="461" t="s">
        <v>242</v>
      </c>
      <c r="B53" s="461" t="s">
        <v>385</v>
      </c>
      <c r="C53" s="461" t="s">
        <v>138</v>
      </c>
      <c r="D53">
        <v>2</v>
      </c>
      <c r="E53">
        <v>73</v>
      </c>
      <c r="F53">
        <v>819</v>
      </c>
      <c r="G53">
        <v>256</v>
      </c>
      <c r="H53">
        <v>17</v>
      </c>
      <c r="J53">
        <v>1167</v>
      </c>
    </row>
    <row r="54" spans="1:10" x14ac:dyDescent="0.35">
      <c r="A54" s="461" t="s">
        <v>242</v>
      </c>
      <c r="B54" s="461" t="s">
        <v>388</v>
      </c>
      <c r="C54" s="461" t="s">
        <v>141</v>
      </c>
      <c r="D54">
        <v>1</v>
      </c>
      <c r="E54">
        <v>2</v>
      </c>
      <c r="F54">
        <v>42</v>
      </c>
      <c r="G54">
        <v>12</v>
      </c>
      <c r="H54">
        <v>2</v>
      </c>
      <c r="J54">
        <v>59</v>
      </c>
    </row>
    <row r="55" spans="1:10" x14ac:dyDescent="0.35">
      <c r="A55" s="461" t="s">
        <v>242</v>
      </c>
      <c r="B55" s="461" t="s">
        <v>390</v>
      </c>
      <c r="C55" s="461" t="s">
        <v>143</v>
      </c>
      <c r="D55">
        <v>24</v>
      </c>
      <c r="E55">
        <v>35</v>
      </c>
      <c r="F55">
        <v>178</v>
      </c>
      <c r="G55">
        <v>29</v>
      </c>
      <c r="H55">
        <v>2</v>
      </c>
      <c r="J55">
        <v>268</v>
      </c>
    </row>
    <row r="56" spans="1:10" x14ac:dyDescent="0.35">
      <c r="A56" s="461" t="s">
        <v>242</v>
      </c>
      <c r="B56" s="461" t="s">
        <v>392</v>
      </c>
      <c r="C56" s="461" t="s">
        <v>145</v>
      </c>
      <c r="D56">
        <v>4</v>
      </c>
      <c r="E56">
        <v>6</v>
      </c>
      <c r="F56">
        <v>166</v>
      </c>
      <c r="G56">
        <v>62</v>
      </c>
      <c r="H56">
        <v>2</v>
      </c>
      <c r="J56">
        <v>240</v>
      </c>
    </row>
    <row r="57" spans="1:10" x14ac:dyDescent="0.35">
      <c r="A57" s="461" t="s">
        <v>241</v>
      </c>
      <c r="B57" s="461" t="s">
        <v>391</v>
      </c>
      <c r="C57" s="461" t="s">
        <v>144</v>
      </c>
      <c r="D57">
        <v>18</v>
      </c>
      <c r="E57">
        <v>49</v>
      </c>
      <c r="F57">
        <v>267</v>
      </c>
      <c r="G57">
        <v>45</v>
      </c>
      <c r="H57">
        <v>3</v>
      </c>
      <c r="J57">
        <v>382</v>
      </c>
    </row>
    <row r="58" spans="1:10" x14ac:dyDescent="0.35">
      <c r="A58" s="461" t="s">
        <v>773</v>
      </c>
      <c r="B58" s="461" t="s">
        <v>388</v>
      </c>
      <c r="C58" s="461" t="s">
        <v>141</v>
      </c>
      <c r="D58">
        <v>0</v>
      </c>
      <c r="E58">
        <v>3</v>
      </c>
      <c r="F58">
        <v>24</v>
      </c>
      <c r="G58">
        <v>12</v>
      </c>
      <c r="H58">
        <v>0</v>
      </c>
      <c r="J58">
        <v>39</v>
      </c>
    </row>
    <row r="59" spans="1:10" x14ac:dyDescent="0.35">
      <c r="A59" s="461" t="s">
        <v>773</v>
      </c>
      <c r="B59" s="461" t="s">
        <v>393</v>
      </c>
      <c r="C59" s="461" t="s">
        <v>146</v>
      </c>
      <c r="D59">
        <v>3</v>
      </c>
      <c r="E59">
        <v>46</v>
      </c>
      <c r="F59">
        <v>137</v>
      </c>
      <c r="G59">
        <v>53</v>
      </c>
      <c r="H59">
        <v>2</v>
      </c>
      <c r="J59">
        <v>241</v>
      </c>
    </row>
    <row r="60" spans="1:10" x14ac:dyDescent="0.35">
      <c r="A60" s="461" t="s">
        <v>951</v>
      </c>
      <c r="B60" s="461" t="s">
        <v>386</v>
      </c>
      <c r="C60" s="461" t="s">
        <v>139</v>
      </c>
      <c r="D60">
        <v>6</v>
      </c>
      <c r="E60">
        <v>22</v>
      </c>
      <c r="F60">
        <v>75</v>
      </c>
      <c r="G60">
        <v>11</v>
      </c>
      <c r="H60">
        <v>0</v>
      </c>
      <c r="I60">
        <v>1</v>
      </c>
    </row>
    <row r="61" spans="1:10" x14ac:dyDescent="0.35">
      <c r="A61" s="461" t="s">
        <v>951</v>
      </c>
      <c r="B61" s="461" t="s">
        <v>388</v>
      </c>
      <c r="C61" s="461" t="s">
        <v>141</v>
      </c>
      <c r="D61">
        <v>0</v>
      </c>
      <c r="E61">
        <v>0</v>
      </c>
      <c r="F61">
        <v>6</v>
      </c>
      <c r="G61">
        <v>0</v>
      </c>
      <c r="H61">
        <v>0</v>
      </c>
      <c r="I61">
        <v>0</v>
      </c>
    </row>
    <row r="62" spans="1:10" x14ac:dyDescent="0.35">
      <c r="A62" s="461" t="s">
        <v>193</v>
      </c>
      <c r="B62" s="461" t="s">
        <v>391</v>
      </c>
      <c r="C62" s="461" t="s">
        <v>144</v>
      </c>
      <c r="D62">
        <v>27</v>
      </c>
      <c r="E62">
        <v>259</v>
      </c>
      <c r="F62">
        <v>173</v>
      </c>
      <c r="G62">
        <v>222</v>
      </c>
      <c r="H62">
        <v>2</v>
      </c>
      <c r="J62">
        <v>683</v>
      </c>
    </row>
    <row r="63" spans="1:10" x14ac:dyDescent="0.35">
      <c r="A63" s="461" t="s">
        <v>192</v>
      </c>
      <c r="B63" s="461" t="s">
        <v>383</v>
      </c>
      <c r="C63" s="461" t="s">
        <v>152</v>
      </c>
      <c r="D63">
        <v>141</v>
      </c>
      <c r="E63">
        <v>272</v>
      </c>
      <c r="F63">
        <v>2548</v>
      </c>
      <c r="G63">
        <v>91</v>
      </c>
      <c r="H63">
        <v>10</v>
      </c>
      <c r="J63">
        <v>3062</v>
      </c>
    </row>
    <row r="64" spans="1:10" x14ac:dyDescent="0.35">
      <c r="A64" s="461" t="s">
        <v>258</v>
      </c>
      <c r="B64" s="461" t="s">
        <v>393</v>
      </c>
      <c r="C64" s="461" t="s">
        <v>146</v>
      </c>
      <c r="D64">
        <v>0</v>
      </c>
      <c r="E64">
        <v>49</v>
      </c>
      <c r="F64">
        <v>225</v>
      </c>
      <c r="G64">
        <v>52</v>
      </c>
      <c r="H64">
        <v>3</v>
      </c>
      <c r="J64">
        <v>329</v>
      </c>
    </row>
    <row r="65" spans="1:10" x14ac:dyDescent="0.35">
      <c r="A65" s="461" t="s">
        <v>258</v>
      </c>
      <c r="B65" s="461" t="s">
        <v>395</v>
      </c>
      <c r="C65" s="461" t="s">
        <v>981</v>
      </c>
      <c r="D65">
        <v>0</v>
      </c>
      <c r="E65">
        <v>38</v>
      </c>
      <c r="F65">
        <v>145</v>
      </c>
      <c r="G65">
        <v>56</v>
      </c>
      <c r="H65">
        <v>4</v>
      </c>
      <c r="J65">
        <v>243</v>
      </c>
    </row>
    <row r="66" spans="1:10" x14ac:dyDescent="0.35">
      <c r="A66" s="461" t="s">
        <v>242</v>
      </c>
      <c r="B66" s="461" t="s">
        <v>384</v>
      </c>
      <c r="C66" s="461" t="s">
        <v>137</v>
      </c>
      <c r="D66">
        <v>6</v>
      </c>
      <c r="E66">
        <v>12</v>
      </c>
      <c r="F66">
        <v>63</v>
      </c>
      <c r="G66">
        <v>21</v>
      </c>
      <c r="H66">
        <v>2</v>
      </c>
      <c r="J66">
        <v>104</v>
      </c>
    </row>
    <row r="67" spans="1:10" x14ac:dyDescent="0.35">
      <c r="A67" s="461" t="s">
        <v>242</v>
      </c>
      <c r="B67" s="461" t="s">
        <v>389</v>
      </c>
      <c r="C67" s="461" t="s">
        <v>142</v>
      </c>
      <c r="D67">
        <v>5</v>
      </c>
      <c r="E67">
        <v>35</v>
      </c>
      <c r="F67">
        <v>219</v>
      </c>
      <c r="G67">
        <v>70</v>
      </c>
      <c r="H67">
        <v>3</v>
      </c>
      <c r="J67">
        <v>332</v>
      </c>
    </row>
    <row r="68" spans="1:10" x14ac:dyDescent="0.35">
      <c r="A68" s="461" t="s">
        <v>241</v>
      </c>
      <c r="B68" s="461" t="s">
        <v>385</v>
      </c>
      <c r="C68" s="461" t="s">
        <v>138</v>
      </c>
      <c r="D68">
        <v>0</v>
      </c>
      <c r="E68">
        <v>70</v>
      </c>
      <c r="F68">
        <v>734</v>
      </c>
      <c r="G68">
        <v>209</v>
      </c>
      <c r="H68">
        <v>17</v>
      </c>
      <c r="J68">
        <v>1030</v>
      </c>
    </row>
    <row r="69" spans="1:10" x14ac:dyDescent="0.35">
      <c r="A69" s="461" t="s">
        <v>241</v>
      </c>
      <c r="B69" s="461" t="s">
        <v>387</v>
      </c>
      <c r="C69" s="461" t="s">
        <v>140</v>
      </c>
      <c r="D69">
        <v>1</v>
      </c>
      <c r="E69">
        <v>2</v>
      </c>
      <c r="F69">
        <v>23</v>
      </c>
      <c r="G69">
        <v>5</v>
      </c>
      <c r="H69">
        <v>0</v>
      </c>
      <c r="J69">
        <v>31</v>
      </c>
    </row>
    <row r="70" spans="1:10" x14ac:dyDescent="0.35">
      <c r="A70" s="461" t="s">
        <v>773</v>
      </c>
      <c r="B70" s="461" t="s">
        <v>384</v>
      </c>
      <c r="C70" s="461" t="s">
        <v>137</v>
      </c>
      <c r="D70">
        <v>6</v>
      </c>
      <c r="E70">
        <v>8</v>
      </c>
      <c r="F70">
        <v>42</v>
      </c>
      <c r="G70">
        <v>13</v>
      </c>
      <c r="H70">
        <v>2</v>
      </c>
      <c r="J70">
        <v>71</v>
      </c>
    </row>
    <row r="71" spans="1:10" x14ac:dyDescent="0.35">
      <c r="A71" s="461" t="s">
        <v>773</v>
      </c>
      <c r="B71" s="461" t="s">
        <v>387</v>
      </c>
      <c r="C71" s="461" t="s">
        <v>140</v>
      </c>
      <c r="D71">
        <v>0</v>
      </c>
      <c r="E71">
        <v>5</v>
      </c>
      <c r="F71">
        <v>18</v>
      </c>
      <c r="G71">
        <v>2</v>
      </c>
      <c r="H71">
        <v>0</v>
      </c>
      <c r="J71">
        <v>25</v>
      </c>
    </row>
    <row r="72" spans="1:10" x14ac:dyDescent="0.35">
      <c r="A72" s="461" t="s">
        <v>951</v>
      </c>
      <c r="B72" s="461" t="s">
        <v>394</v>
      </c>
      <c r="C72" s="461" t="s">
        <v>147</v>
      </c>
      <c r="D72">
        <v>4</v>
      </c>
      <c r="E72">
        <v>9</v>
      </c>
      <c r="F72">
        <v>24</v>
      </c>
      <c r="G72">
        <v>25</v>
      </c>
      <c r="H72">
        <v>0</v>
      </c>
      <c r="I72">
        <v>0</v>
      </c>
    </row>
    <row r="73" spans="1:10" x14ac:dyDescent="0.35">
      <c r="A73" s="461" t="s">
        <v>193</v>
      </c>
      <c r="B73" s="461" t="s">
        <v>382</v>
      </c>
      <c r="C73" s="461" t="s">
        <v>136</v>
      </c>
      <c r="D73">
        <v>51</v>
      </c>
      <c r="E73">
        <v>538</v>
      </c>
      <c r="F73">
        <v>711</v>
      </c>
      <c r="G73">
        <v>191</v>
      </c>
      <c r="H73">
        <v>15</v>
      </c>
      <c r="J73">
        <v>1506</v>
      </c>
    </row>
    <row r="74" spans="1:10" x14ac:dyDescent="0.35">
      <c r="A74" s="461" t="s">
        <v>193</v>
      </c>
      <c r="B74" s="461" t="s">
        <v>393</v>
      </c>
      <c r="C74" s="461" t="s">
        <v>146</v>
      </c>
      <c r="D74">
        <v>2</v>
      </c>
      <c r="E74">
        <v>113</v>
      </c>
      <c r="F74">
        <v>243</v>
      </c>
      <c r="G74">
        <v>50</v>
      </c>
      <c r="H74">
        <v>4</v>
      </c>
      <c r="J74">
        <v>412</v>
      </c>
    </row>
    <row r="75" spans="1:10" x14ac:dyDescent="0.35">
      <c r="A75" s="461" t="s">
        <v>192</v>
      </c>
      <c r="B75" s="461" t="s">
        <v>385</v>
      </c>
      <c r="C75" s="461" t="s">
        <v>138</v>
      </c>
      <c r="D75">
        <v>1</v>
      </c>
      <c r="E75">
        <v>53</v>
      </c>
      <c r="F75">
        <v>815</v>
      </c>
      <c r="G75">
        <v>329</v>
      </c>
      <c r="H75">
        <v>65</v>
      </c>
      <c r="J75">
        <v>1263</v>
      </c>
    </row>
    <row r="76" spans="1:10" x14ac:dyDescent="0.35">
      <c r="A76" s="461" t="s">
        <v>192</v>
      </c>
      <c r="B76" s="461" t="s">
        <v>393</v>
      </c>
      <c r="C76" s="461" t="s">
        <v>146</v>
      </c>
      <c r="D76">
        <v>1</v>
      </c>
      <c r="E76">
        <v>170</v>
      </c>
      <c r="F76">
        <v>267</v>
      </c>
      <c r="G76">
        <v>44</v>
      </c>
      <c r="H76">
        <v>3</v>
      </c>
      <c r="J76">
        <v>485</v>
      </c>
    </row>
    <row r="77" spans="1:10" x14ac:dyDescent="0.35">
      <c r="A77" s="461" t="s">
        <v>258</v>
      </c>
      <c r="B77" s="461" t="s">
        <v>381</v>
      </c>
      <c r="C77" s="461" t="s">
        <v>135</v>
      </c>
      <c r="D77">
        <v>8</v>
      </c>
      <c r="E77">
        <v>17</v>
      </c>
      <c r="F77">
        <v>314</v>
      </c>
      <c r="G77">
        <v>51</v>
      </c>
      <c r="H77">
        <v>6</v>
      </c>
      <c r="J77">
        <v>396</v>
      </c>
    </row>
    <row r="78" spans="1:10" x14ac:dyDescent="0.35">
      <c r="A78" s="461" t="s">
        <v>258</v>
      </c>
      <c r="B78" s="461" t="s">
        <v>383</v>
      </c>
      <c r="C78" s="461" t="s">
        <v>152</v>
      </c>
      <c r="D78">
        <v>69</v>
      </c>
      <c r="E78">
        <v>343</v>
      </c>
      <c r="F78">
        <v>2130</v>
      </c>
      <c r="G78">
        <v>106</v>
      </c>
      <c r="H78">
        <v>2</v>
      </c>
      <c r="J78">
        <v>2650</v>
      </c>
    </row>
    <row r="79" spans="1:10" x14ac:dyDescent="0.35">
      <c r="A79" s="461" t="s">
        <v>258</v>
      </c>
      <c r="B79" s="461" t="s">
        <v>385</v>
      </c>
      <c r="C79" s="461" t="s">
        <v>138</v>
      </c>
      <c r="D79">
        <v>0</v>
      </c>
      <c r="E79">
        <v>57</v>
      </c>
      <c r="F79">
        <v>800</v>
      </c>
      <c r="G79">
        <v>248</v>
      </c>
      <c r="H79">
        <v>33</v>
      </c>
      <c r="J79">
        <v>1138</v>
      </c>
    </row>
    <row r="80" spans="1:10" x14ac:dyDescent="0.35">
      <c r="A80" s="461" t="s">
        <v>258</v>
      </c>
      <c r="B80" s="461" t="s">
        <v>386</v>
      </c>
      <c r="C80" s="461" t="s">
        <v>139</v>
      </c>
      <c r="D80">
        <v>7</v>
      </c>
      <c r="E80">
        <v>84</v>
      </c>
      <c r="F80">
        <v>245</v>
      </c>
      <c r="G80">
        <v>35</v>
      </c>
      <c r="H80">
        <v>0</v>
      </c>
      <c r="J80">
        <v>371</v>
      </c>
    </row>
    <row r="81" spans="1:10" x14ac:dyDescent="0.35">
      <c r="A81" s="461" t="s">
        <v>242</v>
      </c>
      <c r="B81" s="461" t="s">
        <v>381</v>
      </c>
      <c r="C81" s="461" t="s">
        <v>135</v>
      </c>
      <c r="D81">
        <v>5</v>
      </c>
      <c r="E81">
        <v>25</v>
      </c>
      <c r="F81">
        <v>262</v>
      </c>
      <c r="G81">
        <v>71</v>
      </c>
      <c r="H81">
        <v>4</v>
      </c>
      <c r="J81">
        <v>367</v>
      </c>
    </row>
    <row r="82" spans="1:10" x14ac:dyDescent="0.35">
      <c r="A82" s="461" t="s">
        <v>242</v>
      </c>
      <c r="B82" s="461" t="s">
        <v>383</v>
      </c>
      <c r="C82" s="461" t="s">
        <v>152</v>
      </c>
      <c r="D82">
        <v>69</v>
      </c>
      <c r="E82">
        <v>246</v>
      </c>
      <c r="F82">
        <v>1559</v>
      </c>
      <c r="G82">
        <v>203</v>
      </c>
      <c r="H82">
        <v>0</v>
      </c>
      <c r="J82">
        <v>2077</v>
      </c>
    </row>
    <row r="83" spans="1:10" x14ac:dyDescent="0.35">
      <c r="A83" s="461" t="s">
        <v>242</v>
      </c>
      <c r="B83" s="461" t="s">
        <v>391</v>
      </c>
      <c r="C83" s="461" t="s">
        <v>144</v>
      </c>
      <c r="D83">
        <v>27</v>
      </c>
      <c r="E83">
        <v>48</v>
      </c>
      <c r="F83">
        <v>231</v>
      </c>
      <c r="G83">
        <v>55</v>
      </c>
      <c r="H83">
        <v>1</v>
      </c>
      <c r="J83">
        <v>362</v>
      </c>
    </row>
    <row r="84" spans="1:10" x14ac:dyDescent="0.35">
      <c r="A84" s="461" t="s">
        <v>241</v>
      </c>
      <c r="B84" s="461" t="s">
        <v>393</v>
      </c>
      <c r="C84" s="461" t="s">
        <v>146</v>
      </c>
      <c r="D84">
        <v>0</v>
      </c>
      <c r="E84">
        <v>42</v>
      </c>
      <c r="F84">
        <v>173</v>
      </c>
      <c r="G84">
        <v>51</v>
      </c>
      <c r="H84">
        <v>1</v>
      </c>
      <c r="J84">
        <v>267</v>
      </c>
    </row>
    <row r="85" spans="1:10" x14ac:dyDescent="0.35">
      <c r="A85" s="461" t="s">
        <v>773</v>
      </c>
      <c r="B85" s="461" t="s">
        <v>386</v>
      </c>
      <c r="C85" s="461" t="s">
        <v>139</v>
      </c>
      <c r="D85">
        <v>15</v>
      </c>
      <c r="E85">
        <v>92</v>
      </c>
      <c r="F85">
        <v>335</v>
      </c>
      <c r="G85">
        <v>28</v>
      </c>
      <c r="H85">
        <v>0</v>
      </c>
      <c r="J85">
        <v>470</v>
      </c>
    </row>
    <row r="86" spans="1:10" x14ac:dyDescent="0.35">
      <c r="A86" s="461" t="s">
        <v>773</v>
      </c>
      <c r="B86" s="461" t="s">
        <v>394</v>
      </c>
      <c r="C86" s="461" t="s">
        <v>147</v>
      </c>
      <c r="D86">
        <v>4</v>
      </c>
      <c r="E86">
        <v>19</v>
      </c>
      <c r="F86">
        <v>168</v>
      </c>
      <c r="G86">
        <v>90</v>
      </c>
      <c r="H86">
        <v>4</v>
      </c>
      <c r="J86">
        <v>285</v>
      </c>
    </row>
    <row r="87" spans="1:10" x14ac:dyDescent="0.35">
      <c r="A87" s="461" t="s">
        <v>951</v>
      </c>
      <c r="B87" s="461" t="s">
        <v>382</v>
      </c>
      <c r="C87" s="461" t="s">
        <v>136</v>
      </c>
      <c r="D87">
        <v>86</v>
      </c>
      <c r="E87">
        <v>613</v>
      </c>
      <c r="F87">
        <v>459</v>
      </c>
      <c r="G87">
        <v>168</v>
      </c>
      <c r="H87">
        <v>5</v>
      </c>
      <c r="I87">
        <v>11</v>
      </c>
      <c r="J87">
        <v>1331</v>
      </c>
    </row>
    <row r="88" spans="1:10" x14ac:dyDescent="0.35">
      <c r="A88" s="461" t="s">
        <v>951</v>
      </c>
      <c r="B88" s="461" t="s">
        <v>385</v>
      </c>
      <c r="C88" s="461" t="s">
        <v>138</v>
      </c>
      <c r="D88">
        <v>1</v>
      </c>
      <c r="E88">
        <v>33</v>
      </c>
      <c r="F88">
        <v>150</v>
      </c>
      <c r="G88">
        <v>39</v>
      </c>
      <c r="H88">
        <v>4</v>
      </c>
      <c r="I88">
        <v>3</v>
      </c>
      <c r="J88">
        <v>227</v>
      </c>
    </row>
    <row r="89" spans="1:10" x14ac:dyDescent="0.35">
      <c r="A89" s="461" t="s">
        <v>951</v>
      </c>
      <c r="B89" s="461" t="s">
        <v>389</v>
      </c>
      <c r="C89" s="461" t="s">
        <v>142</v>
      </c>
      <c r="D89">
        <v>0</v>
      </c>
      <c r="E89">
        <v>10</v>
      </c>
      <c r="F89">
        <v>43</v>
      </c>
      <c r="G89">
        <v>17</v>
      </c>
      <c r="H89">
        <v>1</v>
      </c>
      <c r="I89">
        <v>2</v>
      </c>
    </row>
    <row r="90" spans="1:10" x14ac:dyDescent="0.35">
      <c r="A90" s="461" t="s">
        <v>951</v>
      </c>
      <c r="B90" s="461" t="s">
        <v>392</v>
      </c>
      <c r="C90" s="461" t="s">
        <v>145</v>
      </c>
      <c r="D90">
        <v>2</v>
      </c>
      <c r="E90">
        <v>3</v>
      </c>
      <c r="F90">
        <v>43</v>
      </c>
      <c r="G90">
        <v>11</v>
      </c>
      <c r="H90">
        <v>2</v>
      </c>
      <c r="I90">
        <v>1</v>
      </c>
      <c r="J90">
        <v>61</v>
      </c>
    </row>
    <row r="91" spans="1:10" x14ac:dyDescent="0.35">
      <c r="A91" s="461" t="s">
        <v>193</v>
      </c>
      <c r="B91" s="461" t="s">
        <v>387</v>
      </c>
      <c r="C91" s="461" t="s">
        <v>140</v>
      </c>
      <c r="D91">
        <v>0</v>
      </c>
      <c r="E91">
        <v>0</v>
      </c>
      <c r="F91">
        <v>9</v>
      </c>
      <c r="G91">
        <v>18</v>
      </c>
      <c r="H91">
        <v>1</v>
      </c>
      <c r="J91">
        <v>28</v>
      </c>
    </row>
    <row r="92" spans="1:10" x14ac:dyDescent="0.35">
      <c r="A92" s="461" t="s">
        <v>192</v>
      </c>
      <c r="B92" s="461" t="s">
        <v>382</v>
      </c>
      <c r="C92" s="461" t="s">
        <v>136</v>
      </c>
      <c r="D92">
        <v>75</v>
      </c>
      <c r="E92">
        <v>598</v>
      </c>
      <c r="F92">
        <v>822</v>
      </c>
      <c r="G92">
        <v>241</v>
      </c>
      <c r="H92">
        <v>24</v>
      </c>
      <c r="J92">
        <v>1760</v>
      </c>
    </row>
    <row r="93" spans="1:10" x14ac:dyDescent="0.35">
      <c r="A93" s="461" t="s">
        <v>192</v>
      </c>
      <c r="B93" s="461" t="s">
        <v>388</v>
      </c>
      <c r="C93" s="461" t="s">
        <v>141</v>
      </c>
      <c r="D93">
        <v>0</v>
      </c>
      <c r="E93">
        <v>3</v>
      </c>
      <c r="F93">
        <v>22</v>
      </c>
      <c r="G93">
        <v>24</v>
      </c>
      <c r="H93">
        <v>0</v>
      </c>
      <c r="J93">
        <v>49</v>
      </c>
    </row>
    <row r="94" spans="1:10" x14ac:dyDescent="0.35">
      <c r="A94" s="461" t="s">
        <v>192</v>
      </c>
      <c r="B94" s="461" t="s">
        <v>392</v>
      </c>
      <c r="C94" s="461" t="s">
        <v>145</v>
      </c>
      <c r="D94">
        <v>4</v>
      </c>
      <c r="E94">
        <v>8</v>
      </c>
      <c r="F94">
        <v>217</v>
      </c>
      <c r="G94">
        <v>84</v>
      </c>
      <c r="H94">
        <v>7</v>
      </c>
      <c r="J94">
        <v>320</v>
      </c>
    </row>
    <row r="95" spans="1:10" x14ac:dyDescent="0.35">
      <c r="A95" s="461" t="s">
        <v>258</v>
      </c>
      <c r="B95" s="461" t="s">
        <v>387</v>
      </c>
      <c r="C95" s="461" t="s">
        <v>140</v>
      </c>
      <c r="D95">
        <v>1</v>
      </c>
      <c r="E95">
        <v>0</v>
      </c>
      <c r="F95">
        <v>16</v>
      </c>
      <c r="G95">
        <v>3</v>
      </c>
      <c r="H95">
        <v>1</v>
      </c>
      <c r="J95">
        <v>21</v>
      </c>
    </row>
    <row r="96" spans="1:10" x14ac:dyDescent="0.35">
      <c r="A96" s="461" t="s">
        <v>258</v>
      </c>
      <c r="B96" s="461" t="s">
        <v>389</v>
      </c>
      <c r="C96" s="461" t="s">
        <v>142</v>
      </c>
      <c r="D96">
        <v>7</v>
      </c>
      <c r="E96">
        <v>55</v>
      </c>
      <c r="F96">
        <v>327</v>
      </c>
      <c r="G96">
        <v>85</v>
      </c>
      <c r="H96">
        <v>8</v>
      </c>
      <c r="J96">
        <v>482</v>
      </c>
    </row>
    <row r="97" spans="1:10" x14ac:dyDescent="0.35">
      <c r="A97" s="461" t="s">
        <v>242</v>
      </c>
      <c r="B97" s="461" t="s">
        <v>387</v>
      </c>
      <c r="C97" s="461" t="s">
        <v>140</v>
      </c>
      <c r="D97">
        <v>1</v>
      </c>
      <c r="E97">
        <v>0</v>
      </c>
      <c r="F97">
        <v>21</v>
      </c>
      <c r="G97">
        <v>14</v>
      </c>
      <c r="H97">
        <v>1</v>
      </c>
      <c r="J97">
        <v>37</v>
      </c>
    </row>
    <row r="98" spans="1:10" x14ac:dyDescent="0.35">
      <c r="A98" s="461" t="s">
        <v>241</v>
      </c>
      <c r="B98" s="461" t="s">
        <v>382</v>
      </c>
      <c r="C98" s="461" t="s">
        <v>136</v>
      </c>
      <c r="D98">
        <v>92</v>
      </c>
      <c r="E98">
        <v>668</v>
      </c>
      <c r="F98">
        <v>807</v>
      </c>
      <c r="G98">
        <v>201</v>
      </c>
      <c r="H98">
        <v>7</v>
      </c>
      <c r="J98">
        <v>1775</v>
      </c>
    </row>
    <row r="99" spans="1:10" x14ac:dyDescent="0.35">
      <c r="A99" s="461" t="s">
        <v>241</v>
      </c>
      <c r="B99" s="461" t="s">
        <v>384</v>
      </c>
      <c r="C99" s="461" t="s">
        <v>137</v>
      </c>
      <c r="D99">
        <v>5</v>
      </c>
      <c r="E99">
        <v>10</v>
      </c>
      <c r="F99">
        <v>59</v>
      </c>
      <c r="G99">
        <v>12</v>
      </c>
      <c r="H99">
        <v>2</v>
      </c>
      <c r="J99">
        <v>88</v>
      </c>
    </row>
    <row r="100" spans="1:10" x14ac:dyDescent="0.35">
      <c r="A100" s="461" t="s">
        <v>241</v>
      </c>
      <c r="B100" s="461" t="s">
        <v>395</v>
      </c>
      <c r="C100" s="461" t="s">
        <v>981</v>
      </c>
      <c r="D100">
        <v>0</v>
      </c>
      <c r="E100">
        <v>34</v>
      </c>
      <c r="F100">
        <v>121</v>
      </c>
      <c r="G100">
        <v>33</v>
      </c>
      <c r="H100">
        <v>1</v>
      </c>
      <c r="J100">
        <v>189</v>
      </c>
    </row>
    <row r="101" spans="1:10" x14ac:dyDescent="0.35">
      <c r="A101" s="461" t="s">
        <v>773</v>
      </c>
      <c r="B101" s="461" t="s">
        <v>382</v>
      </c>
      <c r="C101" s="461" t="s">
        <v>136</v>
      </c>
      <c r="D101">
        <v>95</v>
      </c>
      <c r="E101">
        <v>634</v>
      </c>
      <c r="F101">
        <v>562</v>
      </c>
      <c r="G101">
        <v>187</v>
      </c>
      <c r="H101">
        <v>8</v>
      </c>
      <c r="J101">
        <v>1486</v>
      </c>
    </row>
    <row r="102" spans="1:10" x14ac:dyDescent="0.35">
      <c r="A102" s="461" t="s">
        <v>773</v>
      </c>
      <c r="B102" s="461" t="s">
        <v>389</v>
      </c>
      <c r="C102" s="461" t="s">
        <v>142</v>
      </c>
      <c r="D102">
        <v>9</v>
      </c>
      <c r="E102">
        <v>38</v>
      </c>
      <c r="F102">
        <v>167</v>
      </c>
      <c r="G102">
        <v>73</v>
      </c>
      <c r="H102">
        <v>2</v>
      </c>
      <c r="J102">
        <v>289</v>
      </c>
    </row>
    <row r="103" spans="1:10" x14ac:dyDescent="0.35">
      <c r="A103" s="461" t="s">
        <v>773</v>
      </c>
      <c r="B103" s="461" t="s">
        <v>391</v>
      </c>
      <c r="C103" s="461" t="s">
        <v>144</v>
      </c>
      <c r="D103">
        <v>61</v>
      </c>
      <c r="E103">
        <v>72</v>
      </c>
      <c r="F103">
        <v>179</v>
      </c>
      <c r="G103">
        <v>46</v>
      </c>
      <c r="H103">
        <v>0</v>
      </c>
      <c r="J103">
        <v>358</v>
      </c>
    </row>
    <row r="104" spans="1:10" x14ac:dyDescent="0.35">
      <c r="A104" s="461" t="s">
        <v>773</v>
      </c>
      <c r="B104" s="461" t="s">
        <v>392</v>
      </c>
      <c r="C104" s="461" t="s">
        <v>145</v>
      </c>
      <c r="D104">
        <v>2</v>
      </c>
      <c r="E104">
        <v>8</v>
      </c>
      <c r="F104">
        <v>202</v>
      </c>
      <c r="G104">
        <v>66</v>
      </c>
      <c r="H104">
        <v>1</v>
      </c>
      <c r="J104">
        <v>279</v>
      </c>
    </row>
    <row r="105" spans="1:10" x14ac:dyDescent="0.35">
      <c r="A105" s="461" t="s">
        <v>951</v>
      </c>
      <c r="B105" s="461" t="s">
        <v>387</v>
      </c>
      <c r="C105" s="461" t="s">
        <v>140</v>
      </c>
      <c r="D105">
        <v>1</v>
      </c>
      <c r="E105">
        <v>2</v>
      </c>
      <c r="F105">
        <v>6</v>
      </c>
      <c r="G105">
        <v>1</v>
      </c>
      <c r="H105">
        <v>0</v>
      </c>
      <c r="I105">
        <v>0</v>
      </c>
    </row>
    <row r="106" spans="1:10" x14ac:dyDescent="0.35">
      <c r="A106" s="461" t="s">
        <v>951</v>
      </c>
      <c r="B106" s="461" t="s">
        <v>390</v>
      </c>
      <c r="C106" s="461" t="s">
        <v>143</v>
      </c>
      <c r="D106">
        <v>3</v>
      </c>
      <c r="E106">
        <v>14</v>
      </c>
      <c r="F106">
        <v>28</v>
      </c>
      <c r="G106">
        <v>18</v>
      </c>
      <c r="H106">
        <v>3</v>
      </c>
      <c r="I106">
        <v>1</v>
      </c>
      <c r="J106">
        <v>66</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53"/>
  <sheetViews>
    <sheetView showGridLines="0" workbookViewId="0">
      <pane ySplit="2" topLeftCell="A3" activePane="bottomLeft" state="frozen"/>
      <selection pane="bottomLeft"/>
    </sheetView>
  </sheetViews>
  <sheetFormatPr defaultRowHeight="14.5" x14ac:dyDescent="0.35"/>
  <cols>
    <col min="1" max="1" width="30.7265625" bestFit="1" customWidth="1"/>
    <col min="2" max="7" width="13.1796875" customWidth="1"/>
    <col min="8" max="8" width="10.08984375" customWidth="1"/>
  </cols>
  <sheetData>
    <row r="1" spans="1:12" ht="15.5" x14ac:dyDescent="0.35">
      <c r="A1" s="629" t="s">
        <v>559</v>
      </c>
    </row>
    <row r="2" spans="1:12" x14ac:dyDescent="0.35">
      <c r="A2" s="601" t="s">
        <v>509</v>
      </c>
    </row>
    <row r="3" spans="1:12" x14ac:dyDescent="0.35">
      <c r="A3" s="28"/>
    </row>
    <row r="4" spans="1:12" ht="15.5" x14ac:dyDescent="0.35">
      <c r="A4" s="535" t="s">
        <v>573</v>
      </c>
      <c r="B4" s="535"/>
    </row>
    <row r="5" spans="1:12" x14ac:dyDescent="0.35">
      <c r="A5" t="s">
        <v>320</v>
      </c>
      <c r="B5" t="s">
        <v>719</v>
      </c>
    </row>
    <row r="6" spans="1:12" x14ac:dyDescent="0.35">
      <c r="A6" t="s">
        <v>321</v>
      </c>
      <c r="B6" t="s">
        <v>323</v>
      </c>
    </row>
    <row r="7" spans="1:12" x14ac:dyDescent="0.35">
      <c r="A7" t="s">
        <v>322</v>
      </c>
      <c r="B7" t="s">
        <v>324</v>
      </c>
    </row>
    <row r="9" spans="1:12" ht="21.5" customHeight="1" x14ac:dyDescent="0.35">
      <c r="A9" s="479" t="s">
        <v>415</v>
      </c>
      <c r="B9" s="480" t="s">
        <v>574</v>
      </c>
      <c r="C9" s="480" t="s">
        <v>575</v>
      </c>
      <c r="D9" s="480" t="s">
        <v>576</v>
      </c>
      <c r="E9" s="480" t="s">
        <v>577</v>
      </c>
      <c r="F9" s="480" t="s">
        <v>578</v>
      </c>
      <c r="G9" s="480" t="s">
        <v>788</v>
      </c>
      <c r="H9" s="481" t="s">
        <v>26</v>
      </c>
    </row>
    <row r="10" spans="1:12" x14ac:dyDescent="0.35">
      <c r="A10" s="482" t="s">
        <v>135</v>
      </c>
      <c r="B10" s="483">
        <f>riskpivot!B4</f>
        <v>6</v>
      </c>
      <c r="C10" s="483">
        <f>riskpivot!C4</f>
        <v>22</v>
      </c>
      <c r="D10" s="483">
        <f>riskpivot!D4</f>
        <v>176</v>
      </c>
      <c r="E10" s="483">
        <f>riskpivot!E4</f>
        <v>11</v>
      </c>
      <c r="F10" s="483">
        <f>riskpivot!F4</f>
        <v>4</v>
      </c>
      <c r="G10" s="483">
        <f>riskpivot!G4</f>
        <v>1</v>
      </c>
      <c r="H10" s="484">
        <f>SUM(B10:G10)</f>
        <v>220</v>
      </c>
      <c r="I10" s="474"/>
      <c r="J10" s="474"/>
      <c r="K10" s="474"/>
      <c r="L10" s="474"/>
    </row>
    <row r="11" spans="1:12" x14ac:dyDescent="0.35">
      <c r="A11" s="482" t="s">
        <v>136</v>
      </c>
      <c r="B11" s="483">
        <f>riskpivot!B5</f>
        <v>86</v>
      </c>
      <c r="C11" s="483">
        <f>riskpivot!C5</f>
        <v>613</v>
      </c>
      <c r="D11" s="483">
        <f>riskpivot!D5</f>
        <v>459</v>
      </c>
      <c r="E11" s="483">
        <f>riskpivot!E5</f>
        <v>168</v>
      </c>
      <c r="F11" s="483">
        <f>riskpivot!F5</f>
        <v>5</v>
      </c>
      <c r="G11" s="483">
        <f>riskpivot!G5</f>
        <v>11</v>
      </c>
      <c r="H11" s="484">
        <f t="shared" ref="H11:H24" si="0">SUM(B11:G11)</f>
        <v>1342</v>
      </c>
      <c r="I11" s="474"/>
      <c r="J11" s="474"/>
      <c r="K11" s="474"/>
      <c r="L11" s="474"/>
    </row>
    <row r="12" spans="1:12" x14ac:dyDescent="0.35">
      <c r="A12" s="482" t="s">
        <v>152</v>
      </c>
      <c r="B12" s="483">
        <f>riskpivot!B6</f>
        <v>42</v>
      </c>
      <c r="C12" s="483">
        <f>riskpivot!C6</f>
        <v>124</v>
      </c>
      <c r="D12" s="483">
        <f>riskpivot!D6</f>
        <v>577</v>
      </c>
      <c r="E12" s="483">
        <f>riskpivot!E6</f>
        <v>56</v>
      </c>
      <c r="F12" s="483">
        <f>riskpivot!F6</f>
        <v>1</v>
      </c>
      <c r="G12" s="483">
        <f>riskpivot!G6</f>
        <v>9</v>
      </c>
      <c r="H12" s="484">
        <f t="shared" si="0"/>
        <v>809</v>
      </c>
      <c r="I12" s="474"/>
      <c r="J12" s="474"/>
      <c r="K12" s="474"/>
      <c r="L12" s="474"/>
    </row>
    <row r="13" spans="1:12" x14ac:dyDescent="0.35">
      <c r="A13" s="482" t="s">
        <v>137</v>
      </c>
      <c r="B13" s="483">
        <f>riskpivot!B7</f>
        <v>2</v>
      </c>
      <c r="C13" s="483">
        <f>riskpivot!C7</f>
        <v>10</v>
      </c>
      <c r="D13" s="483">
        <f>riskpivot!D7</f>
        <v>15</v>
      </c>
      <c r="E13" s="483">
        <f>riskpivot!E7</f>
        <v>8</v>
      </c>
      <c r="F13" s="483">
        <f>riskpivot!F7</f>
        <v>2</v>
      </c>
      <c r="G13" s="483">
        <f>riskpivot!G7</f>
        <v>0</v>
      </c>
      <c r="H13" s="484">
        <f t="shared" si="0"/>
        <v>37</v>
      </c>
      <c r="I13" s="474"/>
      <c r="J13" s="474"/>
      <c r="K13" s="474"/>
      <c r="L13" s="474"/>
    </row>
    <row r="14" spans="1:12" x14ac:dyDescent="0.35">
      <c r="A14" s="482" t="s">
        <v>138</v>
      </c>
      <c r="B14" s="483">
        <f>riskpivot!B8</f>
        <v>1</v>
      </c>
      <c r="C14" s="483">
        <f>riskpivot!C8</f>
        <v>33</v>
      </c>
      <c r="D14" s="483">
        <f>riskpivot!D8</f>
        <v>150</v>
      </c>
      <c r="E14" s="483">
        <f>riskpivot!E8</f>
        <v>39</v>
      </c>
      <c r="F14" s="483">
        <f>riskpivot!F8</f>
        <v>4</v>
      </c>
      <c r="G14" s="483">
        <f>riskpivot!G8</f>
        <v>3</v>
      </c>
      <c r="H14" s="484">
        <f t="shared" si="0"/>
        <v>230</v>
      </c>
      <c r="I14" s="474"/>
      <c r="J14" s="474"/>
      <c r="K14" s="474"/>
      <c r="L14" s="474"/>
    </row>
    <row r="15" spans="1:12" x14ac:dyDescent="0.35">
      <c r="A15" s="482" t="s">
        <v>139</v>
      </c>
      <c r="B15" s="483">
        <f>riskpivot!B9</f>
        <v>6</v>
      </c>
      <c r="C15" s="483">
        <f>riskpivot!C9</f>
        <v>22</v>
      </c>
      <c r="D15" s="483">
        <f>riskpivot!D9</f>
        <v>75</v>
      </c>
      <c r="E15" s="483">
        <f>riskpivot!E9</f>
        <v>11</v>
      </c>
      <c r="F15" s="483">
        <f>riskpivot!F9</f>
        <v>0</v>
      </c>
      <c r="G15" s="483">
        <f>riskpivot!G9</f>
        <v>1</v>
      </c>
      <c r="H15" s="484">
        <f t="shared" si="0"/>
        <v>115</v>
      </c>
      <c r="I15" s="474"/>
      <c r="J15" s="474"/>
      <c r="K15" s="474"/>
      <c r="L15" s="474"/>
    </row>
    <row r="16" spans="1:12" x14ac:dyDescent="0.35">
      <c r="A16" s="482" t="s">
        <v>140</v>
      </c>
      <c r="B16" s="483">
        <f>riskpivot!B10</f>
        <v>1</v>
      </c>
      <c r="C16" s="483">
        <f>riskpivot!C10</f>
        <v>2</v>
      </c>
      <c r="D16" s="483">
        <f>riskpivot!D10</f>
        <v>6</v>
      </c>
      <c r="E16" s="483">
        <f>riskpivot!E10</f>
        <v>1</v>
      </c>
      <c r="F16" s="483">
        <f>riskpivot!F10</f>
        <v>0</v>
      </c>
      <c r="G16" s="483">
        <f>riskpivot!G10</f>
        <v>0</v>
      </c>
      <c r="H16" s="484">
        <f t="shared" si="0"/>
        <v>10</v>
      </c>
      <c r="I16" s="474"/>
      <c r="J16" s="474"/>
      <c r="K16" s="474"/>
      <c r="L16" s="474"/>
    </row>
    <row r="17" spans="1:12" x14ac:dyDescent="0.35">
      <c r="A17" s="482" t="s">
        <v>141</v>
      </c>
      <c r="B17" s="483">
        <f>riskpivot!B11</f>
        <v>0</v>
      </c>
      <c r="C17" s="483">
        <f>riskpivot!C11</f>
        <v>0</v>
      </c>
      <c r="D17" s="483">
        <f>riskpivot!D11</f>
        <v>6</v>
      </c>
      <c r="E17" s="483">
        <f>riskpivot!E11</f>
        <v>0</v>
      </c>
      <c r="F17" s="483">
        <f>riskpivot!F11</f>
        <v>0</v>
      </c>
      <c r="G17" s="483">
        <f>riskpivot!G11</f>
        <v>0</v>
      </c>
      <c r="H17" s="484">
        <f t="shared" si="0"/>
        <v>6</v>
      </c>
      <c r="I17" s="474"/>
      <c r="J17" s="474"/>
      <c r="K17" s="474"/>
      <c r="L17" s="474"/>
    </row>
    <row r="18" spans="1:12" x14ac:dyDescent="0.35">
      <c r="A18" s="482" t="s">
        <v>142</v>
      </c>
      <c r="B18" s="483">
        <f>riskpivot!B12</f>
        <v>0</v>
      </c>
      <c r="C18" s="483">
        <f>riskpivot!C12</f>
        <v>10</v>
      </c>
      <c r="D18" s="483">
        <f>riskpivot!D12</f>
        <v>43</v>
      </c>
      <c r="E18" s="483">
        <f>riskpivot!E12</f>
        <v>17</v>
      </c>
      <c r="F18" s="483">
        <f>riskpivot!F12</f>
        <v>1</v>
      </c>
      <c r="G18" s="483">
        <f>riskpivot!G12</f>
        <v>2</v>
      </c>
      <c r="H18" s="484">
        <f t="shared" si="0"/>
        <v>73</v>
      </c>
      <c r="I18" s="474"/>
      <c r="J18" s="474"/>
      <c r="K18" s="474"/>
      <c r="L18" s="474"/>
    </row>
    <row r="19" spans="1:12" x14ac:dyDescent="0.35">
      <c r="A19" s="482" t="s">
        <v>143</v>
      </c>
      <c r="B19" s="483">
        <f>riskpivot!B13</f>
        <v>3</v>
      </c>
      <c r="C19" s="483">
        <f>riskpivot!C13</f>
        <v>14</v>
      </c>
      <c r="D19" s="483">
        <f>riskpivot!D13</f>
        <v>28</v>
      </c>
      <c r="E19" s="483">
        <f>riskpivot!E13</f>
        <v>18</v>
      </c>
      <c r="F19" s="483">
        <f>riskpivot!F13</f>
        <v>3</v>
      </c>
      <c r="G19" s="483">
        <f>riskpivot!G13</f>
        <v>1</v>
      </c>
      <c r="H19" s="484">
        <f t="shared" si="0"/>
        <v>67</v>
      </c>
      <c r="I19" s="474"/>
      <c r="J19" s="474"/>
      <c r="K19" s="474"/>
      <c r="L19" s="474"/>
    </row>
    <row r="20" spans="1:12" x14ac:dyDescent="0.35">
      <c r="A20" s="482" t="s">
        <v>144</v>
      </c>
      <c r="B20" s="483">
        <f>riskpivot!B14</f>
        <v>14</v>
      </c>
      <c r="C20" s="483">
        <f>riskpivot!C14</f>
        <v>46</v>
      </c>
      <c r="D20" s="483">
        <f>riskpivot!D14</f>
        <v>44</v>
      </c>
      <c r="E20" s="483">
        <f>riskpivot!E14</f>
        <v>16</v>
      </c>
      <c r="F20" s="483">
        <f>riskpivot!F14</f>
        <v>1</v>
      </c>
      <c r="G20" s="483">
        <f>riskpivot!G14</f>
        <v>4</v>
      </c>
      <c r="H20" s="484">
        <f t="shared" si="0"/>
        <v>125</v>
      </c>
      <c r="I20" s="474"/>
      <c r="J20" s="474"/>
      <c r="K20" s="474"/>
      <c r="L20" s="474"/>
    </row>
    <row r="21" spans="1:12" x14ac:dyDescent="0.35">
      <c r="A21" s="482" t="s">
        <v>145</v>
      </c>
      <c r="B21" s="483">
        <f>riskpivot!B15</f>
        <v>2</v>
      </c>
      <c r="C21" s="483">
        <f>riskpivot!C15</f>
        <v>3</v>
      </c>
      <c r="D21" s="483">
        <f>riskpivot!D15</f>
        <v>43</v>
      </c>
      <c r="E21" s="483">
        <f>riskpivot!E15</f>
        <v>11</v>
      </c>
      <c r="F21" s="483">
        <f>riskpivot!F15</f>
        <v>2</v>
      </c>
      <c r="G21" s="483">
        <f>riskpivot!G15</f>
        <v>1</v>
      </c>
      <c r="H21" s="484">
        <f t="shared" si="0"/>
        <v>62</v>
      </c>
      <c r="I21" s="474"/>
      <c r="J21" s="474"/>
      <c r="K21" s="474"/>
      <c r="L21" s="474"/>
    </row>
    <row r="22" spans="1:12" x14ac:dyDescent="0.35">
      <c r="A22" s="482" t="s">
        <v>146</v>
      </c>
      <c r="B22" s="483">
        <f>riskpivot!B16</f>
        <v>1</v>
      </c>
      <c r="C22" s="483">
        <f>riskpivot!C16</f>
        <v>17</v>
      </c>
      <c r="D22" s="483">
        <f>riskpivot!D16</f>
        <v>44</v>
      </c>
      <c r="E22" s="483">
        <f>riskpivot!E16</f>
        <v>20</v>
      </c>
      <c r="F22" s="483">
        <f>riskpivot!F16</f>
        <v>0</v>
      </c>
      <c r="G22" s="483">
        <f>riskpivot!G16</f>
        <v>2</v>
      </c>
      <c r="H22" s="484">
        <f t="shared" si="0"/>
        <v>84</v>
      </c>
      <c r="I22" s="474"/>
      <c r="J22" s="474"/>
      <c r="K22" s="474"/>
      <c r="L22" s="474"/>
    </row>
    <row r="23" spans="1:12" x14ac:dyDescent="0.35">
      <c r="A23" s="482" t="s">
        <v>147</v>
      </c>
      <c r="B23" s="483">
        <f>riskpivot!B17</f>
        <v>4</v>
      </c>
      <c r="C23" s="483">
        <f>riskpivot!C17</f>
        <v>9</v>
      </c>
      <c r="D23" s="483">
        <f>riskpivot!D17</f>
        <v>24</v>
      </c>
      <c r="E23" s="483">
        <f>riskpivot!E17</f>
        <v>25</v>
      </c>
      <c r="F23" s="483">
        <f>riskpivot!F17</f>
        <v>0</v>
      </c>
      <c r="G23" s="483">
        <f>riskpivot!G17</f>
        <v>0</v>
      </c>
      <c r="H23" s="484">
        <f t="shared" si="0"/>
        <v>62</v>
      </c>
      <c r="I23" s="474"/>
      <c r="J23" s="474"/>
      <c r="K23" s="474"/>
      <c r="L23" s="474"/>
    </row>
    <row r="24" spans="1:12" x14ac:dyDescent="0.35">
      <c r="A24" s="482" t="s">
        <v>148</v>
      </c>
      <c r="B24" s="483">
        <f>riskpivot!B18</f>
        <v>1</v>
      </c>
      <c r="C24" s="483">
        <f>riskpivot!C18</f>
        <v>3</v>
      </c>
      <c r="D24" s="483">
        <f>riskpivot!D18</f>
        <v>20</v>
      </c>
      <c r="E24" s="483">
        <f>riskpivot!E18</f>
        <v>15</v>
      </c>
      <c r="F24" s="483">
        <f>riskpivot!F18</f>
        <v>8</v>
      </c>
      <c r="G24" s="483">
        <f>riskpivot!G18</f>
        <v>3</v>
      </c>
      <c r="H24" s="484">
        <f t="shared" si="0"/>
        <v>50</v>
      </c>
      <c r="I24" s="474"/>
      <c r="J24" s="474"/>
      <c r="K24" s="474"/>
      <c r="L24" s="474"/>
    </row>
    <row r="25" spans="1:12" ht="15" thickBot="1" x14ac:dyDescent="0.4">
      <c r="A25" s="300" t="s">
        <v>17</v>
      </c>
      <c r="B25" s="485">
        <f>SUM(B10:B24)</f>
        <v>169</v>
      </c>
      <c r="C25" s="485">
        <f t="shared" ref="C25:H25" si="1">SUM(C10:C24)</f>
        <v>928</v>
      </c>
      <c r="D25" s="485">
        <f t="shared" si="1"/>
        <v>1710</v>
      </c>
      <c r="E25" s="485">
        <f t="shared" si="1"/>
        <v>416</v>
      </c>
      <c r="F25" s="485">
        <f t="shared" si="1"/>
        <v>31</v>
      </c>
      <c r="G25" s="485">
        <f t="shared" si="1"/>
        <v>38</v>
      </c>
      <c r="H25" s="485">
        <f t="shared" si="1"/>
        <v>3292</v>
      </c>
      <c r="I25" s="474"/>
      <c r="J25" s="474"/>
      <c r="K25" s="474"/>
      <c r="L25" s="474"/>
    </row>
    <row r="27" spans="1:12" x14ac:dyDescent="0.35">
      <c r="A27" s="398" t="s">
        <v>8</v>
      </c>
      <c r="B27" s="429"/>
      <c r="C27" s="429"/>
      <c r="D27" s="429"/>
      <c r="E27" s="429"/>
      <c r="F27" s="429"/>
      <c r="G27" s="429"/>
      <c r="H27" s="486"/>
    </row>
    <row r="28" spans="1:12" ht="31.5" customHeight="1" x14ac:dyDescent="0.35">
      <c r="A28" s="1181" t="s">
        <v>769</v>
      </c>
      <c r="B28" s="1181"/>
      <c r="C28" s="1181"/>
      <c r="D28" s="1181"/>
      <c r="E28" s="1181"/>
      <c r="F28" s="1181"/>
      <c r="G28" s="1181"/>
      <c r="H28" s="1181"/>
      <c r="I28" s="423"/>
    </row>
    <row r="29" spans="1:12" x14ac:dyDescent="0.35">
      <c r="A29" s="382"/>
      <c r="B29" s="382"/>
      <c r="C29" s="382"/>
      <c r="D29" s="382"/>
      <c r="E29" s="382"/>
      <c r="F29" s="382"/>
      <c r="G29" s="382"/>
      <c r="H29" s="382"/>
    </row>
    <row r="30" spans="1:12" ht="15.5" x14ac:dyDescent="0.35">
      <c r="A30" s="535" t="s">
        <v>579</v>
      </c>
      <c r="B30" s="535"/>
      <c r="C30" s="382"/>
      <c r="D30" s="382"/>
      <c r="E30" s="382"/>
      <c r="F30" s="382"/>
      <c r="G30" s="382"/>
      <c r="H30" s="382"/>
    </row>
    <row r="31" spans="1:12" x14ac:dyDescent="0.35">
      <c r="A31" t="s">
        <v>320</v>
      </c>
      <c r="B31" t="s">
        <v>720</v>
      </c>
      <c r="C31" s="382"/>
      <c r="D31" s="382"/>
      <c r="E31" s="382"/>
      <c r="F31" s="382"/>
      <c r="G31" s="382"/>
      <c r="H31" s="382"/>
    </row>
    <row r="32" spans="1:12" x14ac:dyDescent="0.35">
      <c r="A32" t="s">
        <v>321</v>
      </c>
      <c r="B32" t="s">
        <v>323</v>
      </c>
      <c r="C32" s="382"/>
      <c r="D32" s="382"/>
      <c r="E32" s="382"/>
      <c r="F32" s="382"/>
      <c r="G32" s="382"/>
      <c r="H32" s="382"/>
    </row>
    <row r="33" spans="1:8" x14ac:dyDescent="0.35">
      <c r="A33" t="s">
        <v>322</v>
      </c>
      <c r="B33" t="s">
        <v>324</v>
      </c>
    </row>
    <row r="35" spans="1:8" ht="21" customHeight="1" x14ac:dyDescent="0.35">
      <c r="A35" s="487" t="s">
        <v>415</v>
      </c>
      <c r="B35" s="480" t="s">
        <v>574</v>
      </c>
      <c r="C35" s="480" t="s">
        <v>575</v>
      </c>
      <c r="D35" s="480" t="s">
        <v>576</v>
      </c>
      <c r="E35" s="480" t="s">
        <v>577</v>
      </c>
      <c r="F35" s="480" t="s">
        <v>578</v>
      </c>
      <c r="G35" s="480" t="s">
        <v>788</v>
      </c>
      <c r="H35" s="93" t="s">
        <v>26</v>
      </c>
    </row>
    <row r="36" spans="1:8" x14ac:dyDescent="0.35">
      <c r="A36" s="488" t="s">
        <v>135</v>
      </c>
      <c r="B36" s="1075">
        <f t="shared" ref="B36:G36" si="2">B10/$H10</f>
        <v>2.7272727272727271E-2</v>
      </c>
      <c r="C36" s="1075">
        <f t="shared" si="2"/>
        <v>0.1</v>
      </c>
      <c r="D36" s="1075">
        <f t="shared" si="2"/>
        <v>0.8</v>
      </c>
      <c r="E36" s="1075">
        <f t="shared" si="2"/>
        <v>0.05</v>
      </c>
      <c r="F36" s="1075">
        <f t="shared" si="2"/>
        <v>1.8181818181818181E-2</v>
      </c>
      <c r="G36" s="1075">
        <f t="shared" si="2"/>
        <v>4.5454545454545452E-3</v>
      </c>
      <c r="H36" s="1076">
        <f>SUM(B36:G36)</f>
        <v>1.0000000000000002</v>
      </c>
    </row>
    <row r="37" spans="1:8" x14ac:dyDescent="0.35">
      <c r="A37" s="488" t="s">
        <v>136</v>
      </c>
      <c r="B37" s="1075">
        <f t="shared" ref="B37:E50" si="3">B11/$H11</f>
        <v>6.4083457526080481E-2</v>
      </c>
      <c r="C37" s="1075">
        <f t="shared" si="3"/>
        <v>0.45678092399403875</v>
      </c>
      <c r="D37" s="1075">
        <f t="shared" si="3"/>
        <v>0.34202682563338299</v>
      </c>
      <c r="E37" s="1075">
        <f t="shared" si="3"/>
        <v>0.12518628912071536</v>
      </c>
      <c r="F37" s="1075">
        <f t="shared" ref="F37:G37" si="4">F11/$H11</f>
        <v>3.7257824143070045E-3</v>
      </c>
      <c r="G37" s="1075">
        <f t="shared" si="4"/>
        <v>8.1967213114754103E-3</v>
      </c>
      <c r="H37" s="1076">
        <f t="shared" ref="H37:H51" si="5">SUM(B37:G37)</f>
        <v>1</v>
      </c>
    </row>
    <row r="38" spans="1:8" x14ac:dyDescent="0.35">
      <c r="A38" s="488" t="s">
        <v>152</v>
      </c>
      <c r="B38" s="1075">
        <f t="shared" si="3"/>
        <v>5.19159456118665E-2</v>
      </c>
      <c r="C38" s="1075">
        <f t="shared" si="3"/>
        <v>0.15327564894932014</v>
      </c>
      <c r="D38" s="1075">
        <f t="shared" si="3"/>
        <v>0.71322620519159452</v>
      </c>
      <c r="E38" s="1075">
        <f t="shared" si="3"/>
        <v>6.9221260815822E-2</v>
      </c>
      <c r="F38" s="1075">
        <f t="shared" ref="F38:G38" si="6">F12/$H12</f>
        <v>1.2360939431396785E-3</v>
      </c>
      <c r="G38" s="1075">
        <f t="shared" si="6"/>
        <v>1.1124845488257108E-2</v>
      </c>
      <c r="H38" s="1076">
        <f t="shared" si="5"/>
        <v>1</v>
      </c>
    </row>
    <row r="39" spans="1:8" x14ac:dyDescent="0.35">
      <c r="A39" s="488" t="s">
        <v>137</v>
      </c>
      <c r="B39" s="1075">
        <f t="shared" si="3"/>
        <v>5.4054054054054057E-2</v>
      </c>
      <c r="C39" s="1075">
        <f t="shared" si="3"/>
        <v>0.27027027027027029</v>
      </c>
      <c r="D39" s="1075">
        <f t="shared" si="3"/>
        <v>0.40540540540540543</v>
      </c>
      <c r="E39" s="1075">
        <f t="shared" si="3"/>
        <v>0.21621621621621623</v>
      </c>
      <c r="F39" s="1075">
        <f t="shared" ref="F39:G39" si="7">F13/$H13</f>
        <v>5.4054054054054057E-2</v>
      </c>
      <c r="G39" s="1075">
        <f t="shared" si="7"/>
        <v>0</v>
      </c>
      <c r="H39" s="1076">
        <f t="shared" si="5"/>
        <v>1</v>
      </c>
    </row>
    <row r="40" spans="1:8" x14ac:dyDescent="0.35">
      <c r="A40" s="488" t="s">
        <v>138</v>
      </c>
      <c r="B40" s="1075">
        <f t="shared" si="3"/>
        <v>4.3478260869565218E-3</v>
      </c>
      <c r="C40" s="1075">
        <f t="shared" si="3"/>
        <v>0.14347826086956522</v>
      </c>
      <c r="D40" s="1075">
        <f t="shared" si="3"/>
        <v>0.65217391304347827</v>
      </c>
      <c r="E40" s="1075">
        <f t="shared" si="3"/>
        <v>0.16956521739130434</v>
      </c>
      <c r="F40" s="1075">
        <f t="shared" ref="F40:G40" si="8">F14/$H14</f>
        <v>1.7391304347826087E-2</v>
      </c>
      <c r="G40" s="1075">
        <f t="shared" si="8"/>
        <v>1.3043478260869565E-2</v>
      </c>
      <c r="H40" s="1076">
        <f t="shared" si="5"/>
        <v>1</v>
      </c>
    </row>
    <row r="41" spans="1:8" x14ac:dyDescent="0.35">
      <c r="A41" s="488" t="s">
        <v>139</v>
      </c>
      <c r="B41" s="1075">
        <f t="shared" si="3"/>
        <v>5.2173913043478258E-2</v>
      </c>
      <c r="C41" s="1075">
        <f t="shared" si="3"/>
        <v>0.19130434782608696</v>
      </c>
      <c r="D41" s="1075">
        <f t="shared" si="3"/>
        <v>0.65217391304347827</v>
      </c>
      <c r="E41" s="1075">
        <f t="shared" si="3"/>
        <v>9.5652173913043481E-2</v>
      </c>
      <c r="F41" s="1075">
        <f t="shared" ref="F41:G41" si="9">F15/$H15</f>
        <v>0</v>
      </c>
      <c r="G41" s="1075">
        <f t="shared" si="9"/>
        <v>8.6956521739130436E-3</v>
      </c>
      <c r="H41" s="1076">
        <f t="shared" si="5"/>
        <v>1</v>
      </c>
    </row>
    <row r="42" spans="1:8" x14ac:dyDescent="0.35">
      <c r="A42" s="488" t="s">
        <v>140</v>
      </c>
      <c r="B42" s="1075">
        <f t="shared" si="3"/>
        <v>0.1</v>
      </c>
      <c r="C42" s="1075">
        <f t="shared" si="3"/>
        <v>0.2</v>
      </c>
      <c r="D42" s="1075">
        <f t="shared" si="3"/>
        <v>0.6</v>
      </c>
      <c r="E42" s="1075">
        <f t="shared" si="3"/>
        <v>0.1</v>
      </c>
      <c r="F42" s="1075">
        <f t="shared" ref="F42:G42" si="10">F16/$H16</f>
        <v>0</v>
      </c>
      <c r="G42" s="1075">
        <f t="shared" si="10"/>
        <v>0</v>
      </c>
      <c r="H42" s="1076">
        <f t="shared" si="5"/>
        <v>1</v>
      </c>
    </row>
    <row r="43" spans="1:8" x14ac:dyDescent="0.35">
      <c r="A43" s="488" t="s">
        <v>141</v>
      </c>
      <c r="B43" s="1075">
        <f t="shared" si="3"/>
        <v>0</v>
      </c>
      <c r="C43" s="1075">
        <f t="shared" si="3"/>
        <v>0</v>
      </c>
      <c r="D43" s="1075">
        <f t="shared" si="3"/>
        <v>1</v>
      </c>
      <c r="E43" s="1075">
        <f t="shared" si="3"/>
        <v>0</v>
      </c>
      <c r="F43" s="1075">
        <f t="shared" ref="F43:G43" si="11">F17/$H17</f>
        <v>0</v>
      </c>
      <c r="G43" s="1075">
        <f t="shared" si="11"/>
        <v>0</v>
      </c>
      <c r="H43" s="1076">
        <f t="shared" si="5"/>
        <v>1</v>
      </c>
    </row>
    <row r="44" spans="1:8" x14ac:dyDescent="0.35">
      <c r="A44" s="488" t="s">
        <v>142</v>
      </c>
      <c r="B44" s="1075">
        <f t="shared" si="3"/>
        <v>0</v>
      </c>
      <c r="C44" s="1075">
        <f t="shared" si="3"/>
        <v>0.13698630136986301</v>
      </c>
      <c r="D44" s="1075">
        <f t="shared" si="3"/>
        <v>0.58904109589041098</v>
      </c>
      <c r="E44" s="1075">
        <f t="shared" si="3"/>
        <v>0.23287671232876711</v>
      </c>
      <c r="F44" s="1075">
        <f t="shared" ref="F44:G44" si="12">F18/$H18</f>
        <v>1.3698630136986301E-2</v>
      </c>
      <c r="G44" s="1075">
        <f t="shared" si="12"/>
        <v>2.7397260273972601E-2</v>
      </c>
      <c r="H44" s="1076">
        <f t="shared" si="5"/>
        <v>1</v>
      </c>
    </row>
    <row r="45" spans="1:8" x14ac:dyDescent="0.35">
      <c r="A45" s="488" t="s">
        <v>143</v>
      </c>
      <c r="B45" s="1075">
        <f t="shared" si="3"/>
        <v>4.4776119402985072E-2</v>
      </c>
      <c r="C45" s="1075">
        <f t="shared" si="3"/>
        <v>0.20895522388059701</v>
      </c>
      <c r="D45" s="1075">
        <f t="shared" si="3"/>
        <v>0.41791044776119401</v>
      </c>
      <c r="E45" s="1075">
        <f t="shared" si="3"/>
        <v>0.26865671641791045</v>
      </c>
      <c r="F45" s="1075">
        <f t="shared" ref="F45:G45" si="13">F19/$H19</f>
        <v>4.4776119402985072E-2</v>
      </c>
      <c r="G45" s="1075">
        <f t="shared" si="13"/>
        <v>1.4925373134328358E-2</v>
      </c>
      <c r="H45" s="1076">
        <f t="shared" si="5"/>
        <v>1</v>
      </c>
    </row>
    <row r="46" spans="1:8" x14ac:dyDescent="0.35">
      <c r="A46" s="488" t="s">
        <v>144</v>
      </c>
      <c r="B46" s="1075">
        <f t="shared" si="3"/>
        <v>0.112</v>
      </c>
      <c r="C46" s="1075">
        <f t="shared" si="3"/>
        <v>0.36799999999999999</v>
      </c>
      <c r="D46" s="1075">
        <f t="shared" si="3"/>
        <v>0.35199999999999998</v>
      </c>
      <c r="E46" s="1075">
        <f t="shared" si="3"/>
        <v>0.128</v>
      </c>
      <c r="F46" s="1075">
        <f t="shared" ref="F46:G46" si="14">F20/$H20</f>
        <v>8.0000000000000002E-3</v>
      </c>
      <c r="G46" s="1075">
        <f t="shared" si="14"/>
        <v>3.2000000000000001E-2</v>
      </c>
      <c r="H46" s="1076">
        <f t="shared" si="5"/>
        <v>1</v>
      </c>
    </row>
    <row r="47" spans="1:8" x14ac:dyDescent="0.35">
      <c r="A47" s="488" t="s">
        <v>145</v>
      </c>
      <c r="B47" s="1075">
        <f t="shared" si="3"/>
        <v>3.2258064516129031E-2</v>
      </c>
      <c r="C47" s="1075">
        <f t="shared" si="3"/>
        <v>4.8387096774193547E-2</v>
      </c>
      <c r="D47" s="1075">
        <f t="shared" si="3"/>
        <v>0.69354838709677424</v>
      </c>
      <c r="E47" s="1075">
        <f t="shared" si="3"/>
        <v>0.17741935483870969</v>
      </c>
      <c r="F47" s="1075">
        <f t="shared" ref="F47:G47" si="15">F21/$H21</f>
        <v>3.2258064516129031E-2</v>
      </c>
      <c r="G47" s="1075">
        <f t="shared" si="15"/>
        <v>1.6129032258064516E-2</v>
      </c>
      <c r="H47" s="1076">
        <f t="shared" si="5"/>
        <v>1</v>
      </c>
    </row>
    <row r="48" spans="1:8" x14ac:dyDescent="0.35">
      <c r="A48" s="488" t="s">
        <v>146</v>
      </c>
      <c r="B48" s="1075">
        <f t="shared" si="3"/>
        <v>1.1904761904761904E-2</v>
      </c>
      <c r="C48" s="1075">
        <f t="shared" si="3"/>
        <v>0.20238095238095238</v>
      </c>
      <c r="D48" s="1075">
        <f t="shared" si="3"/>
        <v>0.52380952380952384</v>
      </c>
      <c r="E48" s="1075">
        <f t="shared" si="3"/>
        <v>0.23809523809523808</v>
      </c>
      <c r="F48" s="1075">
        <f t="shared" ref="F48:G48" si="16">F22/$H22</f>
        <v>0</v>
      </c>
      <c r="G48" s="1075">
        <f t="shared" si="16"/>
        <v>2.3809523809523808E-2</v>
      </c>
      <c r="H48" s="1076">
        <f t="shared" si="5"/>
        <v>1</v>
      </c>
    </row>
    <row r="49" spans="1:8" x14ac:dyDescent="0.35">
      <c r="A49" s="488" t="s">
        <v>147</v>
      </c>
      <c r="B49" s="1075">
        <f t="shared" si="3"/>
        <v>6.4516129032258063E-2</v>
      </c>
      <c r="C49" s="1075">
        <f t="shared" si="3"/>
        <v>0.14516129032258066</v>
      </c>
      <c r="D49" s="1075">
        <f t="shared" si="3"/>
        <v>0.38709677419354838</v>
      </c>
      <c r="E49" s="1075">
        <f t="shared" si="3"/>
        <v>0.40322580645161288</v>
      </c>
      <c r="F49" s="1075">
        <f t="shared" ref="F49:G49" si="17">F23/$H23</f>
        <v>0</v>
      </c>
      <c r="G49" s="1075">
        <f t="shared" si="17"/>
        <v>0</v>
      </c>
      <c r="H49" s="1076">
        <f t="shared" si="5"/>
        <v>1</v>
      </c>
    </row>
    <row r="50" spans="1:8" x14ac:dyDescent="0.35">
      <c r="A50" s="488" t="s">
        <v>148</v>
      </c>
      <c r="B50" s="1075">
        <f t="shared" si="3"/>
        <v>0.02</v>
      </c>
      <c r="C50" s="1075">
        <f t="shared" si="3"/>
        <v>0.06</v>
      </c>
      <c r="D50" s="1075">
        <f t="shared" si="3"/>
        <v>0.4</v>
      </c>
      <c r="E50" s="1075">
        <f t="shared" si="3"/>
        <v>0.3</v>
      </c>
      <c r="F50" s="1075">
        <f t="shared" ref="F50:G50" si="18">F24/$H24</f>
        <v>0.16</v>
      </c>
      <c r="G50" s="1075">
        <f t="shared" si="18"/>
        <v>0.06</v>
      </c>
      <c r="H50" s="1076">
        <f t="shared" si="5"/>
        <v>1</v>
      </c>
    </row>
    <row r="51" spans="1:8" ht="15" thickBot="1" x14ac:dyDescent="0.4">
      <c r="A51" s="489" t="s">
        <v>17</v>
      </c>
      <c r="B51" s="1077">
        <f t="shared" ref="B51:E51" si="19">B25/$H$25</f>
        <v>5.1336573511543138E-2</v>
      </c>
      <c r="C51" s="1077">
        <f t="shared" si="19"/>
        <v>0.28189550425273391</v>
      </c>
      <c r="D51" s="1077">
        <f t="shared" si="19"/>
        <v>0.51944106925880928</v>
      </c>
      <c r="E51" s="1077">
        <f t="shared" si="19"/>
        <v>0.12636695018226002</v>
      </c>
      <c r="F51" s="1078">
        <f>F25/$H25</f>
        <v>9.4167679222357231E-3</v>
      </c>
      <c r="G51" s="1078">
        <f>G25/$H25</f>
        <v>1.1543134872417983E-2</v>
      </c>
      <c r="H51" s="1079">
        <f t="shared" si="5"/>
        <v>1</v>
      </c>
    </row>
    <row r="53" spans="1:8" x14ac:dyDescent="0.35">
      <c r="A53" s="1181"/>
      <c r="B53" s="1181"/>
      <c r="C53" s="1181"/>
      <c r="D53" s="1181"/>
      <c r="E53" s="1181"/>
      <c r="F53" s="1181"/>
      <c r="G53" s="1181"/>
      <c r="H53" s="1181"/>
    </row>
  </sheetData>
  <sheetProtection algorithmName="SHA-512" hashValue="CDRzgxSMfGACnySfUYnyI/Sdwi747/v7onqbYB3ayoQXUhtcPLXAZ3flbbBrFh0qr1zOz0b23K/HTJFCF7Xdlw==" saltValue="UW98eMON1/7HbZViqwEEPg==" spinCount="100000" sheet="1" scenarios="1" formatCells="0" formatColumns="0" formatRows="0" sort="0" autoFilter="0" pivotTables="0"/>
  <mergeCells count="2">
    <mergeCell ref="A28:H28"/>
    <mergeCell ref="A53:H53"/>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559</v>
      </c>
      <c r="B1" s="629"/>
      <c r="C1" s="629"/>
    </row>
    <row r="2" spans="1:8" ht="15.5" x14ac:dyDescent="0.35">
      <c r="A2" s="601" t="s">
        <v>509</v>
      </c>
      <c r="B2" s="609"/>
      <c r="C2" s="609"/>
    </row>
    <row r="4" spans="1:8" ht="15.5" x14ac:dyDescent="0.35">
      <c r="A4" s="1170" t="s">
        <v>580</v>
      </c>
      <c r="B4" s="1170"/>
      <c r="C4" s="1170"/>
      <c r="D4" s="1170"/>
      <c r="E4" s="1170"/>
      <c r="F4" s="1170"/>
      <c r="G4" s="1170"/>
      <c r="H4" s="1170"/>
    </row>
    <row r="5" spans="1:8" x14ac:dyDescent="0.35">
      <c r="A5" s="686" t="s">
        <v>723</v>
      </c>
    </row>
    <row r="6" spans="1:8" x14ac:dyDescent="0.35">
      <c r="A6" s="686" t="s">
        <v>671</v>
      </c>
    </row>
  </sheetData>
  <sheetProtection algorithmName="SHA-512" hashValue="2LRPlryb6Tgp6GB0/WjHZa85iyWutawNoA+3c61j26A5LcVbZYAaAQo4S9GWqihk58rUkphQ7xC05ud5FIS27g==" saltValue="TDRIIoeRA9loUAnD3aumrQ=="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5"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H6"/>
  <sheetViews>
    <sheetView showGridLines="0" workbookViewId="0">
      <pane ySplit="2" topLeftCell="A3" activePane="bottomLeft" state="frozen"/>
      <selection pane="bottomLeft"/>
    </sheetView>
  </sheetViews>
  <sheetFormatPr defaultRowHeight="14.5" x14ac:dyDescent="0.35"/>
  <sheetData>
    <row r="1" spans="1:8" ht="15.5" x14ac:dyDescent="0.35">
      <c r="A1" s="629" t="s">
        <v>559</v>
      </c>
      <c r="B1" s="629"/>
      <c r="C1" s="629"/>
    </row>
    <row r="2" spans="1:8" ht="15.5" x14ac:dyDescent="0.35">
      <c r="A2" s="601" t="s">
        <v>509</v>
      </c>
      <c r="B2" s="609"/>
      <c r="C2" s="609"/>
    </row>
    <row r="4" spans="1:8" ht="15.5" x14ac:dyDescent="0.35">
      <c r="A4" s="1170" t="s">
        <v>581</v>
      </c>
      <c r="B4" s="1170"/>
      <c r="C4" s="1170"/>
      <c r="D4" s="1170"/>
      <c r="E4" s="1170"/>
      <c r="F4" s="1170"/>
      <c r="G4" s="1170"/>
      <c r="H4" s="1170"/>
    </row>
    <row r="5" spans="1:8" x14ac:dyDescent="0.35">
      <c r="A5" s="686" t="s">
        <v>723</v>
      </c>
      <c r="H5" s="302"/>
    </row>
    <row r="6" spans="1:8" x14ac:dyDescent="0.35">
      <c r="A6" s="686" t="s">
        <v>672</v>
      </c>
    </row>
  </sheetData>
  <sheetProtection algorithmName="SHA-512" hashValue="28npwAFcR4Gllp7zk2P8tjfeNF95tkmLcy2fcN+xXyUV3WfIHCQLZLUPa1343tEb4dfzh5IBcviuaiFQxxIPvQ==" saltValue="c9Y38zxZnCzj1zsQ5SYSXA==" spinCount="100000" sheet="1" scenarios="1" formatCells="0" formatColumns="0" formatRows="0" sort="0" autoFilter="0" pivotTables="0"/>
  <mergeCells count="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
  <sheetViews>
    <sheetView showGridLines="0" workbookViewId="0"/>
  </sheetViews>
  <sheetFormatPr defaultRowHeight="14.5" x14ac:dyDescent="0.35"/>
  <sheetData>
    <row r="1" spans="1:8" ht="15.5" x14ac:dyDescent="0.35">
      <c r="A1" s="629" t="s">
        <v>559</v>
      </c>
      <c r="B1" s="629"/>
      <c r="C1" s="629"/>
    </row>
    <row r="2" spans="1:8" ht="15.5" x14ac:dyDescent="0.35">
      <c r="A2" s="601" t="s">
        <v>509</v>
      </c>
      <c r="B2" s="709"/>
      <c r="C2" s="709"/>
    </row>
    <row r="4" spans="1:8" ht="15.5" x14ac:dyDescent="0.35">
      <c r="A4" s="1170" t="s">
        <v>895</v>
      </c>
      <c r="B4" s="1170"/>
      <c r="C4" s="1170"/>
      <c r="D4" s="1170"/>
      <c r="E4" s="1170"/>
      <c r="F4" s="1170"/>
      <c r="G4" s="1170"/>
      <c r="H4" s="1170"/>
    </row>
    <row r="5" spans="1:8" x14ac:dyDescent="0.35">
      <c r="A5" s="686" t="s">
        <v>723</v>
      </c>
      <c r="H5" s="302"/>
    </row>
    <row r="6" spans="1:8" x14ac:dyDescent="0.35">
      <c r="A6" s="686" t="s">
        <v>896</v>
      </c>
    </row>
  </sheetData>
  <sheetProtection algorithmName="SHA-512" hashValue="XYpJROCJwAUCRc6pB9F+0q19eg897ZuWWSFTgL9eMNmdMkR6TWY6wwd2hNgoQWsjyPcjG8LSU67UNpyd4aQkZw==" saltValue="E1CuCVp+OZFlEU7xTYC3Kg==" spinCount="100000" sheet="1" scenarios="1" formatCells="0" formatColumns="0" formatRows="0" sort="0" autoFilter="0" pivotTables="0"/>
  <mergeCells count="1">
    <mergeCell ref="A4:H4"/>
  </mergeCells>
  <hyperlinks>
    <hyperlink ref="A2" location="'Table of Contents'!A1" display="Back to Table of Contents"/>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20"/>
  <sheetViews>
    <sheetView showGridLines="0" workbookViewId="0">
      <pane ySplit="2" topLeftCell="A3" activePane="bottomLeft" state="frozen"/>
      <selection pane="bottomLeft" sqref="A1:C1"/>
    </sheetView>
  </sheetViews>
  <sheetFormatPr defaultRowHeight="14.5" x14ac:dyDescent="0.35"/>
  <cols>
    <col min="1" max="1" width="11" bestFit="1" customWidth="1"/>
    <col min="2" max="2" width="24" bestFit="1" customWidth="1"/>
  </cols>
  <sheetData>
    <row r="1" spans="1:8" ht="15.5" x14ac:dyDescent="0.35">
      <c r="A1" s="1160" t="s">
        <v>521</v>
      </c>
      <c r="B1" s="1160"/>
      <c r="C1" s="1160"/>
    </row>
    <row r="2" spans="1:8" ht="15.5" x14ac:dyDescent="0.35">
      <c r="A2" s="601" t="s">
        <v>509</v>
      </c>
      <c r="B2" s="603"/>
      <c r="C2" s="603"/>
    </row>
    <row r="4" spans="1:8" ht="15.5" customHeight="1" x14ac:dyDescent="0.35">
      <c r="A4" s="1170" t="s">
        <v>524</v>
      </c>
      <c r="B4" s="1170"/>
      <c r="C4" s="1170"/>
      <c r="D4" s="1170"/>
      <c r="E4" s="1170"/>
      <c r="F4" s="1170"/>
      <c r="G4" s="1170"/>
      <c r="H4" s="1170"/>
    </row>
    <row r="5" spans="1:8" ht="15.75" customHeight="1" x14ac:dyDescent="0.35">
      <c r="A5" s="686" t="s">
        <v>723</v>
      </c>
    </row>
    <row r="6" spans="1:8" x14ac:dyDescent="0.35">
      <c r="A6" s="686" t="s">
        <v>640</v>
      </c>
      <c r="B6" s="628"/>
      <c r="C6" s="628" t="e">
        <f>#REF!</f>
        <v>#REF!</v>
      </c>
      <c r="D6" s="628"/>
      <c r="E6" s="628" t="s">
        <v>112</v>
      </c>
      <c r="F6" s="628">
        <v>74</v>
      </c>
    </row>
    <row r="7" spans="1:8" x14ac:dyDescent="0.35">
      <c r="A7" s="628"/>
      <c r="B7" s="628" t="e">
        <f>#REF!</f>
        <v>#REF!</v>
      </c>
      <c r="C7" s="628" t="e">
        <f>#REF!</f>
        <v>#REF!</v>
      </c>
      <c r="D7" s="628"/>
      <c r="E7" s="628" t="s">
        <v>185</v>
      </c>
      <c r="F7" s="628">
        <v>240</v>
      </c>
    </row>
    <row r="8" spans="1:8" ht="15.75" customHeight="1" x14ac:dyDescent="0.35">
      <c r="A8" s="628"/>
      <c r="B8" s="628" t="e">
        <f>#REF!</f>
        <v>#REF!</v>
      </c>
      <c r="C8" s="628" t="e">
        <f>#REF!</f>
        <v>#REF!</v>
      </c>
      <c r="D8" s="628"/>
      <c r="E8" s="628" t="s">
        <v>29</v>
      </c>
      <c r="F8" s="628">
        <v>42</v>
      </c>
    </row>
    <row r="9" spans="1:8" x14ac:dyDescent="0.35">
      <c r="A9" s="628"/>
      <c r="B9" s="628" t="e">
        <f>#REF!</f>
        <v>#REF!</v>
      </c>
      <c r="C9" s="628" t="e">
        <f>#REF!</f>
        <v>#REF!</v>
      </c>
      <c r="D9" s="628"/>
      <c r="E9" s="628"/>
      <c r="F9" s="628"/>
    </row>
    <row r="10" spans="1:8" x14ac:dyDescent="0.35">
      <c r="A10" s="628"/>
      <c r="B10" s="628" t="e">
        <f>#REF!</f>
        <v>#REF!</v>
      </c>
      <c r="C10" s="628" t="e">
        <f>#REF!</f>
        <v>#REF!</v>
      </c>
      <c r="D10" s="628"/>
      <c r="E10" s="628"/>
      <c r="F10" s="628"/>
    </row>
    <row r="11" spans="1:8" x14ac:dyDescent="0.35">
      <c r="A11" s="628"/>
      <c r="B11" s="628"/>
      <c r="C11" s="628"/>
      <c r="D11" s="628"/>
      <c r="E11" s="628"/>
      <c r="F11" s="628"/>
    </row>
    <row r="12" spans="1:8" x14ac:dyDescent="0.35">
      <c r="A12" s="628"/>
      <c r="B12" s="628"/>
      <c r="C12" s="628"/>
      <c r="D12" s="628"/>
      <c r="E12" s="628"/>
      <c r="F12" s="628"/>
    </row>
    <row r="13" spans="1:8" x14ac:dyDescent="0.35">
      <c r="A13" s="628"/>
      <c r="B13" s="628" t="s">
        <v>112</v>
      </c>
      <c r="C13" s="628">
        <v>74</v>
      </c>
      <c r="D13" s="628"/>
      <c r="E13" s="628"/>
      <c r="F13" s="628"/>
    </row>
    <row r="14" spans="1:8" x14ac:dyDescent="0.35">
      <c r="A14" s="628"/>
      <c r="B14" s="628" t="s">
        <v>185</v>
      </c>
      <c r="C14" s="628">
        <v>240</v>
      </c>
      <c r="D14" s="628"/>
      <c r="E14" s="628"/>
      <c r="F14" s="628"/>
    </row>
    <row r="15" spans="1:8" x14ac:dyDescent="0.35">
      <c r="A15" s="628"/>
      <c r="B15" s="628" t="s">
        <v>29</v>
      </c>
      <c r="C15" s="628">
        <v>42</v>
      </c>
      <c r="D15" s="628"/>
      <c r="E15" s="628"/>
      <c r="F15" s="628"/>
    </row>
    <row r="16" spans="1:8" x14ac:dyDescent="0.35">
      <c r="A16" s="628"/>
      <c r="B16" s="628"/>
      <c r="C16" s="628"/>
      <c r="D16" s="628"/>
      <c r="E16" s="628"/>
      <c r="F16" s="628"/>
    </row>
    <row r="17" spans="1:6" x14ac:dyDescent="0.35">
      <c r="A17" s="628"/>
      <c r="B17" s="628"/>
      <c r="C17" s="628"/>
      <c r="D17" s="628"/>
      <c r="E17" s="628"/>
      <c r="F17" s="628"/>
    </row>
    <row r="18" spans="1:6" x14ac:dyDescent="0.35">
      <c r="A18" s="628"/>
      <c r="B18" s="628"/>
      <c r="C18" s="628"/>
      <c r="D18" s="628"/>
      <c r="E18" s="628"/>
      <c r="F18" s="628"/>
    </row>
    <row r="19" spans="1:6" x14ac:dyDescent="0.35">
      <c r="A19" s="628"/>
      <c r="B19" s="628"/>
      <c r="C19" s="628"/>
      <c r="D19" s="628"/>
      <c r="E19" s="628"/>
      <c r="F19" s="628"/>
    </row>
    <row r="20" spans="1:6" x14ac:dyDescent="0.35">
      <c r="A20" s="628"/>
      <c r="B20" s="628"/>
      <c r="C20" s="628"/>
      <c r="D20" s="628"/>
      <c r="E20" s="628"/>
      <c r="F20" s="628"/>
    </row>
  </sheetData>
  <sheetProtection algorithmName="SHA-512" hashValue="w9sdqN2eNp/vJ2LyQOShrBls3xgaoa+953NO+vA/DWb6N1MW933EYKN7SocFAObPu1WwL+0CqfqdLOn29xLKMg==" saltValue="7hpnBcrv+IiZIqylXR3O9g==" spinCount="100000" sheet="1" scenarios="1" formatCells="0" formatColumns="0" formatRows="0" insertColumns="0" sort="0" autoFilter="0" pivotTables="0"/>
  <mergeCells count="2">
    <mergeCell ref="A1:C1"/>
    <mergeCell ref="A4:H4"/>
  </mergeCells>
  <hyperlinks>
    <hyperlink ref="A2" location="'Table of Contents'!A1" display="Back to Table of Contents"/>
  </hyperlinks>
  <pageMargins left="0.7" right="0.7" top="0.75" bottom="0.75" header="0.3" footer="0.3"/>
  <pageSetup paperSize="9" orientation="portrait" r:id="rId1"/>
  <ignoredErrors>
    <ignoredError sqref="C6:C10 B7:B10"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160" t="s">
        <v>521</v>
      </c>
      <c r="B1" s="1160"/>
      <c r="C1" s="1160"/>
    </row>
    <row r="2" spans="1:8" ht="15.5" x14ac:dyDescent="0.35">
      <c r="A2" s="601" t="s">
        <v>509</v>
      </c>
      <c r="B2" s="603"/>
      <c r="C2" s="603"/>
    </row>
    <row r="4" spans="1:8" ht="15.5" x14ac:dyDescent="0.35">
      <c r="A4" s="1170" t="s">
        <v>523</v>
      </c>
      <c r="B4" s="1170"/>
      <c r="C4" s="1170"/>
      <c r="D4" s="1170"/>
      <c r="E4" s="1170"/>
      <c r="F4" s="1170"/>
      <c r="G4" s="1170"/>
      <c r="H4" s="1170"/>
    </row>
    <row r="5" spans="1:8" x14ac:dyDescent="0.35">
      <c r="A5" s="686" t="s">
        <v>723</v>
      </c>
    </row>
    <row r="6" spans="1:8" x14ac:dyDescent="0.35">
      <c r="A6" s="686" t="s">
        <v>645</v>
      </c>
    </row>
  </sheetData>
  <sheetProtection algorithmName="SHA-512" hashValue="K8vgvtlZW/cOTzGLDUgAOi7thnj2OT86kBcG0YLLIytU05joEN0y9nzWmu6jGu0Nu8Z5Ac/yfHy1MCFbdImW0Q==" saltValue="2ci/uOlDfji4/UZA4Y/0ZA=="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160" t="s">
        <v>521</v>
      </c>
      <c r="B1" s="1160"/>
      <c r="C1" s="1160"/>
    </row>
    <row r="2" spans="1:8" ht="15.5" x14ac:dyDescent="0.35">
      <c r="A2" s="601" t="s">
        <v>509</v>
      </c>
      <c r="B2" s="603"/>
      <c r="C2" s="603"/>
    </row>
    <row r="4" spans="1:8" ht="15.5" x14ac:dyDescent="0.35">
      <c r="A4" s="1170" t="s">
        <v>525</v>
      </c>
      <c r="B4" s="1170"/>
      <c r="C4" s="1170"/>
      <c r="D4" s="1170"/>
      <c r="E4" s="1170"/>
      <c r="F4" s="1170"/>
      <c r="G4" s="1170"/>
      <c r="H4" s="1170"/>
    </row>
    <row r="5" spans="1:8" x14ac:dyDescent="0.35">
      <c r="A5" s="686" t="s">
        <v>723</v>
      </c>
    </row>
    <row r="6" spans="1:8" x14ac:dyDescent="0.35">
      <c r="A6" s="686" t="s">
        <v>641</v>
      </c>
    </row>
  </sheetData>
  <sheetProtection algorithmName="SHA-512" hashValue="onlSesiJZmrVdtoB6v+NKlashtzQdCdQVUgOCqrcgldXKppvmuAH7DqkGU0ieudwb56PSz4M/H4l+IwcH7S2WA==" saltValue="xiODX1k3p8BmG0pEs5eTMg=="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B7" sqref="B7"/>
    </sheetView>
  </sheetViews>
  <sheetFormatPr defaultRowHeight="14.5" x14ac:dyDescent="0.35"/>
  <cols>
    <col min="1" max="1" width="7.453125" bestFit="1" customWidth="1"/>
    <col min="2" max="2" width="20.08984375" bestFit="1" customWidth="1"/>
    <col min="3" max="3" width="17.453125" bestFit="1" customWidth="1"/>
    <col min="4" max="4" width="20.90625" bestFit="1" customWidth="1"/>
    <col min="5" max="5" width="11.36328125" bestFit="1" customWidth="1"/>
    <col min="6" max="6" width="24.453125" bestFit="1" customWidth="1"/>
    <col min="7" max="7" width="24.90625" bestFit="1" customWidth="1"/>
    <col min="8" max="8" width="8" bestFit="1" customWidth="1"/>
    <col min="9" max="9" width="16.90625" bestFit="1" customWidth="1"/>
    <col min="10" max="10" width="24.7265625" bestFit="1" customWidth="1"/>
    <col min="11" max="11" width="19.26953125" bestFit="1" customWidth="1"/>
    <col min="12" max="12" width="19.453125" bestFit="1" customWidth="1"/>
    <col min="13" max="13" width="47.26953125" bestFit="1" customWidth="1"/>
    <col min="14" max="14" width="24.6328125" bestFit="1" customWidth="1"/>
  </cols>
  <sheetData>
    <row r="1" spans="1:14" x14ac:dyDescent="0.35">
      <c r="A1" s="461" t="s">
        <v>1</v>
      </c>
      <c r="B1" s="461" t="s">
        <v>115</v>
      </c>
      <c r="C1" s="461" t="s">
        <v>180</v>
      </c>
      <c r="D1" s="461" t="s">
        <v>585</v>
      </c>
      <c r="E1" s="461" t="s">
        <v>203</v>
      </c>
      <c r="F1" s="461" t="s">
        <v>188</v>
      </c>
      <c r="G1" s="461" t="s">
        <v>189</v>
      </c>
      <c r="H1" s="461" t="s">
        <v>190</v>
      </c>
      <c r="I1" s="461" t="s">
        <v>584</v>
      </c>
      <c r="J1" s="461" t="s">
        <v>204</v>
      </c>
      <c r="K1" s="461" t="s">
        <v>116</v>
      </c>
      <c r="L1" s="461" t="s">
        <v>117</v>
      </c>
      <c r="M1" s="461" t="s">
        <v>17434</v>
      </c>
      <c r="N1" s="461" t="s">
        <v>17435</v>
      </c>
    </row>
    <row r="2" spans="1:14" x14ac:dyDescent="0.35">
      <c r="A2" s="461" t="s">
        <v>195</v>
      </c>
      <c r="B2" s="461">
        <v>465</v>
      </c>
      <c r="C2" s="461">
        <v>28</v>
      </c>
      <c r="D2" s="461">
        <v>37</v>
      </c>
      <c r="E2" s="461">
        <v>22</v>
      </c>
      <c r="F2" s="461">
        <v>15</v>
      </c>
      <c r="G2" s="461">
        <v>30</v>
      </c>
      <c r="H2" s="461">
        <v>23</v>
      </c>
      <c r="I2" s="461">
        <v>620</v>
      </c>
      <c r="J2" s="461"/>
      <c r="K2" s="461">
        <v>59</v>
      </c>
      <c r="L2" s="461">
        <v>31</v>
      </c>
      <c r="M2" s="461">
        <v>805</v>
      </c>
      <c r="N2" s="461">
        <v>1515</v>
      </c>
    </row>
    <row r="3" spans="1:14" x14ac:dyDescent="0.35">
      <c r="A3" s="461" t="s">
        <v>194</v>
      </c>
      <c r="B3" s="461">
        <v>452</v>
      </c>
      <c r="C3" s="461">
        <v>31</v>
      </c>
      <c r="D3" s="461">
        <v>21</v>
      </c>
      <c r="E3" s="461"/>
      <c r="F3" s="461">
        <v>19</v>
      </c>
      <c r="G3" s="461">
        <v>29</v>
      </c>
      <c r="H3" s="461">
        <v>25</v>
      </c>
      <c r="I3" s="461">
        <v>577</v>
      </c>
      <c r="J3" s="461"/>
      <c r="K3" s="461">
        <v>65</v>
      </c>
      <c r="L3" s="461">
        <v>31</v>
      </c>
      <c r="M3" s="461">
        <v>628</v>
      </c>
      <c r="N3" s="461">
        <v>1301</v>
      </c>
    </row>
    <row r="4" spans="1:14" x14ac:dyDescent="0.35">
      <c r="A4" s="461" t="s">
        <v>193</v>
      </c>
      <c r="B4" s="461">
        <v>449</v>
      </c>
      <c r="C4" s="461">
        <v>14</v>
      </c>
      <c r="D4" s="461">
        <v>23</v>
      </c>
      <c r="E4" s="461">
        <v>25</v>
      </c>
      <c r="F4" s="461">
        <v>16</v>
      </c>
      <c r="G4" s="461">
        <v>36</v>
      </c>
      <c r="H4" s="461">
        <v>24</v>
      </c>
      <c r="I4" s="461">
        <v>587</v>
      </c>
      <c r="J4" s="461"/>
      <c r="K4" s="461">
        <v>85</v>
      </c>
      <c r="L4" s="461">
        <v>27</v>
      </c>
      <c r="M4" s="461">
        <v>875</v>
      </c>
      <c r="N4" s="461">
        <v>1574</v>
      </c>
    </row>
    <row r="5" spans="1:14" x14ac:dyDescent="0.35">
      <c r="A5" s="461" t="s">
        <v>192</v>
      </c>
      <c r="B5" s="461">
        <v>438</v>
      </c>
      <c r="C5" s="461">
        <v>12</v>
      </c>
      <c r="D5" s="461">
        <v>14</v>
      </c>
      <c r="E5" s="461">
        <v>24</v>
      </c>
      <c r="F5" s="461">
        <v>18</v>
      </c>
      <c r="G5" s="461">
        <v>39</v>
      </c>
      <c r="H5" s="461">
        <v>47</v>
      </c>
      <c r="I5" s="461">
        <v>592</v>
      </c>
      <c r="J5" s="461"/>
      <c r="K5" s="461">
        <v>65</v>
      </c>
      <c r="L5" s="461">
        <v>42</v>
      </c>
      <c r="M5" s="461">
        <v>811</v>
      </c>
      <c r="N5" s="461">
        <v>1510</v>
      </c>
    </row>
    <row r="6" spans="1:14" x14ac:dyDescent="0.35">
      <c r="A6" s="461" t="s">
        <v>258</v>
      </c>
      <c r="B6" s="461">
        <v>418</v>
      </c>
      <c r="C6" s="461">
        <v>26</v>
      </c>
      <c r="D6" s="461">
        <v>43</v>
      </c>
      <c r="E6" s="461">
        <v>26</v>
      </c>
      <c r="F6" s="461">
        <v>17</v>
      </c>
      <c r="G6" s="461">
        <v>34</v>
      </c>
      <c r="H6" s="461">
        <v>68</v>
      </c>
      <c r="I6" s="461">
        <v>632</v>
      </c>
      <c r="J6" s="461"/>
      <c r="K6" s="461">
        <v>65</v>
      </c>
      <c r="L6" s="461">
        <v>62</v>
      </c>
      <c r="M6" s="461">
        <v>788</v>
      </c>
      <c r="N6" s="461">
        <v>1547</v>
      </c>
    </row>
    <row r="7" spans="1:14" x14ac:dyDescent="0.35">
      <c r="A7" s="461" t="s">
        <v>242</v>
      </c>
      <c r="B7" s="461">
        <v>417</v>
      </c>
      <c r="C7" s="461">
        <v>25</v>
      </c>
      <c r="D7" s="461">
        <v>43</v>
      </c>
      <c r="E7" s="461">
        <v>27</v>
      </c>
      <c r="F7" s="461">
        <v>20</v>
      </c>
      <c r="G7" s="461">
        <v>41</v>
      </c>
      <c r="H7" s="461">
        <v>59</v>
      </c>
      <c r="I7" s="461">
        <v>632</v>
      </c>
      <c r="J7" s="461">
        <v>95</v>
      </c>
      <c r="K7" s="461">
        <v>74</v>
      </c>
      <c r="L7" s="461">
        <v>64</v>
      </c>
      <c r="M7" s="461">
        <v>641</v>
      </c>
      <c r="N7" s="461">
        <v>1506</v>
      </c>
    </row>
    <row r="8" spans="1:14" x14ac:dyDescent="0.35">
      <c r="A8" s="461" t="s">
        <v>241</v>
      </c>
      <c r="B8" s="461">
        <v>431</v>
      </c>
      <c r="C8" s="461">
        <v>28</v>
      </c>
      <c r="D8" s="461">
        <v>42</v>
      </c>
      <c r="E8" s="461">
        <v>39</v>
      </c>
      <c r="F8" s="461">
        <v>25</v>
      </c>
      <c r="G8" s="461">
        <v>39</v>
      </c>
      <c r="H8" s="461">
        <v>62</v>
      </c>
      <c r="I8" s="461">
        <v>666</v>
      </c>
      <c r="J8" s="461">
        <v>198</v>
      </c>
      <c r="K8" s="461">
        <v>90</v>
      </c>
      <c r="L8" s="461">
        <v>65</v>
      </c>
      <c r="M8" s="461">
        <v>532</v>
      </c>
      <c r="N8" s="461">
        <v>1551</v>
      </c>
    </row>
    <row r="9" spans="1:14" x14ac:dyDescent="0.35">
      <c r="A9" s="461" t="s">
        <v>773</v>
      </c>
      <c r="B9" s="461">
        <v>421</v>
      </c>
      <c r="C9" s="461">
        <v>26</v>
      </c>
      <c r="D9" s="461">
        <v>39</v>
      </c>
      <c r="E9" s="461">
        <v>41</v>
      </c>
      <c r="F9" s="461">
        <v>29</v>
      </c>
      <c r="G9" s="461">
        <v>36</v>
      </c>
      <c r="H9" s="461">
        <v>63</v>
      </c>
      <c r="I9" s="461">
        <v>655</v>
      </c>
      <c r="J9" s="461">
        <v>285</v>
      </c>
      <c r="K9" s="461">
        <v>86</v>
      </c>
      <c r="L9" s="461">
        <v>71</v>
      </c>
      <c r="M9" s="461">
        <v>470</v>
      </c>
      <c r="N9" s="461">
        <v>1567</v>
      </c>
    </row>
    <row r="10" spans="1:14" x14ac:dyDescent="0.35">
      <c r="A10" s="461" t="s">
        <v>951</v>
      </c>
      <c r="B10" s="461">
        <v>445</v>
      </c>
      <c r="C10" s="461">
        <v>25</v>
      </c>
      <c r="D10" s="461">
        <v>38</v>
      </c>
      <c r="E10" s="461">
        <v>24</v>
      </c>
      <c r="F10" s="461">
        <v>28</v>
      </c>
      <c r="G10" s="461">
        <v>30</v>
      </c>
      <c r="H10" s="461">
        <v>60</v>
      </c>
      <c r="I10" s="461">
        <v>650</v>
      </c>
      <c r="J10" s="461">
        <v>335</v>
      </c>
      <c r="K10" s="461">
        <v>94</v>
      </c>
      <c r="L10" s="461">
        <v>61</v>
      </c>
      <c r="M10" s="461">
        <v>491</v>
      </c>
      <c r="N10" s="461">
        <v>1631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showGridLines="0" zoomScaleNormal="100" workbookViewId="0">
      <pane ySplit="5" topLeftCell="A6" activePane="bottomLeft" state="frozen"/>
      <selection pane="bottomLeft"/>
    </sheetView>
  </sheetViews>
  <sheetFormatPr defaultRowHeight="14.5" x14ac:dyDescent="0.35"/>
  <cols>
    <col min="1" max="1" width="34.7265625" customWidth="1"/>
    <col min="2" max="2" width="38.81640625" style="554" bestFit="1" customWidth="1"/>
    <col min="3" max="4" width="18.54296875" style="554" bestFit="1" customWidth="1"/>
    <col min="5" max="5" width="19.26953125" bestFit="1" customWidth="1"/>
    <col min="6" max="6" width="8.81640625" customWidth="1"/>
    <col min="7" max="7" width="15.54296875" bestFit="1" customWidth="1"/>
    <col min="8" max="8" width="11.453125" customWidth="1"/>
  </cols>
  <sheetData>
    <row r="1" spans="1:8" ht="15.5" x14ac:dyDescent="0.35">
      <c r="A1" s="506" t="s">
        <v>494</v>
      </c>
    </row>
    <row r="3" spans="1:8" x14ac:dyDescent="0.35">
      <c r="A3" t="s">
        <v>495</v>
      </c>
    </row>
    <row r="5" spans="1:8" s="359" customFormat="1" x14ac:dyDescent="0.35">
      <c r="A5" s="359" t="s">
        <v>496</v>
      </c>
      <c r="B5" s="675"/>
      <c r="C5" s="675"/>
      <c r="D5" s="675"/>
      <c r="E5" s="359" t="s">
        <v>498</v>
      </c>
      <c r="F5" s="359" t="s">
        <v>632</v>
      </c>
      <c r="G5" s="359" t="s">
        <v>244</v>
      </c>
      <c r="H5" s="759"/>
    </row>
    <row r="6" spans="1:8" x14ac:dyDescent="0.35">
      <c r="A6" s="359" t="s">
        <v>441</v>
      </c>
      <c r="B6" s="734"/>
      <c r="C6" s="734"/>
      <c r="D6" s="734"/>
      <c r="E6" t="s">
        <v>630</v>
      </c>
      <c r="F6" s="601" t="s">
        <v>633</v>
      </c>
      <c r="G6" t="s">
        <v>635</v>
      </c>
    </row>
    <row r="7" spans="1:8" x14ac:dyDescent="0.35">
      <c r="A7" s="359" t="s">
        <v>844</v>
      </c>
      <c r="B7" s="734" t="s">
        <v>600</v>
      </c>
      <c r="C7" s="734"/>
      <c r="D7" s="734"/>
      <c r="E7" t="s">
        <v>508</v>
      </c>
      <c r="F7" s="601" t="s">
        <v>633</v>
      </c>
      <c r="G7" t="s">
        <v>636</v>
      </c>
    </row>
    <row r="8" spans="1:8" x14ac:dyDescent="0.35">
      <c r="B8" s="554" t="s">
        <v>600</v>
      </c>
      <c r="C8" s="554" t="s">
        <v>113</v>
      </c>
      <c r="E8" t="s">
        <v>508</v>
      </c>
      <c r="F8" s="601" t="s">
        <v>633</v>
      </c>
      <c r="G8" t="s">
        <v>637</v>
      </c>
    </row>
    <row r="9" spans="1:8" x14ac:dyDescent="0.35">
      <c r="B9" s="554" t="s">
        <v>601</v>
      </c>
      <c r="E9" t="s">
        <v>508</v>
      </c>
      <c r="F9" s="601" t="s">
        <v>633</v>
      </c>
      <c r="G9" t="s">
        <v>638</v>
      </c>
    </row>
    <row r="10" spans="1:8" x14ac:dyDescent="0.35">
      <c r="B10" s="554" t="s">
        <v>601</v>
      </c>
      <c r="C10" s="554" t="s">
        <v>113</v>
      </c>
      <c r="E10" t="s">
        <v>508</v>
      </c>
      <c r="F10" s="601" t="s">
        <v>633</v>
      </c>
      <c r="G10" t="s">
        <v>639</v>
      </c>
    </row>
    <row r="11" spans="1:8" x14ac:dyDescent="0.35">
      <c r="B11" s="734" t="s">
        <v>777</v>
      </c>
      <c r="C11" s="734"/>
      <c r="D11" s="734"/>
      <c r="E11" s="302" t="s">
        <v>508</v>
      </c>
      <c r="F11" s="735" t="s">
        <v>633</v>
      </c>
      <c r="G11" s="302" t="s">
        <v>842</v>
      </c>
    </row>
    <row r="12" spans="1:8" x14ac:dyDescent="0.35">
      <c r="B12" s="734" t="s">
        <v>776</v>
      </c>
      <c r="C12" s="734"/>
      <c r="D12" s="734"/>
      <c r="E12" s="302" t="s">
        <v>508</v>
      </c>
      <c r="F12" s="735" t="s">
        <v>633</v>
      </c>
      <c r="G12" s="302" t="s">
        <v>843</v>
      </c>
    </row>
    <row r="13" spans="1:8" x14ac:dyDescent="0.35">
      <c r="A13" s="359" t="s">
        <v>602</v>
      </c>
      <c r="B13" s="554" t="s">
        <v>603</v>
      </c>
      <c r="E13" t="s">
        <v>508</v>
      </c>
      <c r="F13" s="601" t="s">
        <v>633</v>
      </c>
      <c r="G13" t="s">
        <v>640</v>
      </c>
    </row>
    <row r="14" spans="1:8" x14ac:dyDescent="0.35">
      <c r="B14" s="554" t="s">
        <v>603</v>
      </c>
      <c r="C14" s="554" t="s">
        <v>113</v>
      </c>
      <c r="E14" t="s">
        <v>508</v>
      </c>
      <c r="F14" s="601" t="s">
        <v>633</v>
      </c>
      <c r="G14" t="s">
        <v>645</v>
      </c>
    </row>
    <row r="15" spans="1:8" x14ac:dyDescent="0.35">
      <c r="B15" s="554" t="s">
        <v>601</v>
      </c>
      <c r="E15" t="s">
        <v>604</v>
      </c>
      <c r="F15" s="601" t="s">
        <v>633</v>
      </c>
      <c r="G15" t="s">
        <v>641</v>
      </c>
    </row>
    <row r="16" spans="1:8" x14ac:dyDescent="0.35">
      <c r="A16" s="359" t="s">
        <v>605</v>
      </c>
      <c r="B16" s="554" t="s">
        <v>606</v>
      </c>
      <c r="E16" t="s">
        <v>508</v>
      </c>
      <c r="F16" s="601" t="s">
        <v>633</v>
      </c>
      <c r="G16" t="s">
        <v>643</v>
      </c>
    </row>
    <row r="17" spans="1:7" x14ac:dyDescent="0.35">
      <c r="B17" s="554" t="s">
        <v>606</v>
      </c>
      <c r="C17" s="554" t="s">
        <v>113</v>
      </c>
      <c r="E17" t="s">
        <v>508</v>
      </c>
      <c r="F17" s="601" t="s">
        <v>633</v>
      </c>
      <c r="G17" t="s">
        <v>642</v>
      </c>
    </row>
    <row r="18" spans="1:7" x14ac:dyDescent="0.35">
      <c r="A18" s="359" t="s">
        <v>510</v>
      </c>
      <c r="B18" s="554" t="s">
        <v>457</v>
      </c>
      <c r="E18" t="s">
        <v>81</v>
      </c>
      <c r="F18" s="601" t="s">
        <v>633</v>
      </c>
      <c r="G18" t="s">
        <v>646</v>
      </c>
    </row>
    <row r="19" spans="1:7" x14ac:dyDescent="0.35">
      <c r="B19" s="734" t="s">
        <v>457</v>
      </c>
      <c r="C19" s="734"/>
      <c r="D19" s="734"/>
      <c r="E19" s="302" t="s">
        <v>497</v>
      </c>
      <c r="F19" s="601" t="s">
        <v>633</v>
      </c>
      <c r="G19" t="s">
        <v>647</v>
      </c>
    </row>
    <row r="20" spans="1:7" x14ac:dyDescent="0.35">
      <c r="B20" s="734" t="s">
        <v>512</v>
      </c>
      <c r="C20" s="734" t="s">
        <v>778</v>
      </c>
      <c r="D20" s="734"/>
      <c r="E20" s="302" t="s">
        <v>81</v>
      </c>
      <c r="F20" s="601" t="s">
        <v>633</v>
      </c>
      <c r="G20" t="s">
        <v>886</v>
      </c>
    </row>
    <row r="21" spans="1:7" x14ac:dyDescent="0.35">
      <c r="B21" s="734" t="s">
        <v>512</v>
      </c>
      <c r="C21" s="734" t="s">
        <v>778</v>
      </c>
      <c r="D21" s="734" t="s">
        <v>501</v>
      </c>
      <c r="E21" s="734" t="s">
        <v>81</v>
      </c>
      <c r="F21" s="601" t="s">
        <v>633</v>
      </c>
      <c r="G21" t="s">
        <v>887</v>
      </c>
    </row>
    <row r="22" spans="1:7" x14ac:dyDescent="0.35">
      <c r="B22" s="734" t="s">
        <v>457</v>
      </c>
      <c r="C22" s="734" t="s">
        <v>427</v>
      </c>
      <c r="D22" s="734"/>
      <c r="E22" s="302" t="s">
        <v>81</v>
      </c>
      <c r="F22" s="601" t="s">
        <v>633</v>
      </c>
      <c r="G22" t="s">
        <v>649</v>
      </c>
    </row>
    <row r="23" spans="1:7" x14ac:dyDescent="0.35">
      <c r="B23" s="734" t="s">
        <v>457</v>
      </c>
      <c r="C23" s="734" t="s">
        <v>427</v>
      </c>
      <c r="D23" s="734"/>
      <c r="E23" s="302" t="s">
        <v>497</v>
      </c>
      <c r="F23" s="601" t="s">
        <v>633</v>
      </c>
      <c r="G23" t="s">
        <v>648</v>
      </c>
    </row>
    <row r="24" spans="1:7" x14ac:dyDescent="0.35">
      <c r="B24" s="734" t="s">
        <v>457</v>
      </c>
      <c r="C24" s="734" t="s">
        <v>634</v>
      </c>
      <c r="D24" s="734"/>
      <c r="E24" s="302" t="s">
        <v>81</v>
      </c>
      <c r="F24" s="601" t="s">
        <v>633</v>
      </c>
      <c r="G24" t="s">
        <v>650</v>
      </c>
    </row>
    <row r="25" spans="1:7" x14ac:dyDescent="0.35">
      <c r="B25" s="734" t="s">
        <v>457</v>
      </c>
      <c r="C25" s="734" t="s">
        <v>501</v>
      </c>
      <c r="D25" s="734"/>
      <c r="E25" s="302" t="s">
        <v>81</v>
      </c>
      <c r="F25" s="601" t="s">
        <v>633</v>
      </c>
      <c r="G25" t="s">
        <v>651</v>
      </c>
    </row>
    <row r="26" spans="1:7" x14ac:dyDescent="0.35">
      <c r="B26" s="734" t="s">
        <v>457</v>
      </c>
      <c r="C26" s="734" t="s">
        <v>502</v>
      </c>
      <c r="D26" s="734"/>
      <c r="E26" s="302" t="s">
        <v>81</v>
      </c>
      <c r="F26" s="601" t="s">
        <v>633</v>
      </c>
      <c r="G26" t="s">
        <v>652</v>
      </c>
    </row>
    <row r="27" spans="1:7" x14ac:dyDescent="0.35">
      <c r="B27" s="734" t="s">
        <v>512</v>
      </c>
      <c r="C27" s="734" t="s">
        <v>502</v>
      </c>
      <c r="D27" s="734" t="s">
        <v>778</v>
      </c>
      <c r="E27" s="302" t="s">
        <v>81</v>
      </c>
      <c r="F27" s="601" t="s">
        <v>633</v>
      </c>
      <c r="G27" t="s">
        <v>888</v>
      </c>
    </row>
    <row r="28" spans="1:7" x14ac:dyDescent="0.35">
      <c r="B28" s="734" t="s">
        <v>512</v>
      </c>
      <c r="C28" s="734" t="s">
        <v>502</v>
      </c>
      <c r="D28" s="734" t="s">
        <v>634</v>
      </c>
      <c r="E28" s="302" t="s">
        <v>81</v>
      </c>
      <c r="F28" s="601" t="s">
        <v>633</v>
      </c>
      <c r="G28" t="s">
        <v>653</v>
      </c>
    </row>
    <row r="29" spans="1:7" x14ac:dyDescent="0.35">
      <c r="B29" s="734" t="s">
        <v>512</v>
      </c>
      <c r="C29" s="734" t="s">
        <v>502</v>
      </c>
      <c r="D29" s="734" t="s">
        <v>501</v>
      </c>
      <c r="E29" s="302" t="s">
        <v>81</v>
      </c>
      <c r="F29" s="601" t="s">
        <v>633</v>
      </c>
      <c r="G29" t="s">
        <v>654</v>
      </c>
    </row>
    <row r="30" spans="1:7" x14ac:dyDescent="0.35">
      <c r="B30" s="734" t="s">
        <v>513</v>
      </c>
      <c r="C30" s="734" t="s">
        <v>502</v>
      </c>
      <c r="D30" s="734" t="s">
        <v>501</v>
      </c>
      <c r="E30" s="302" t="s">
        <v>81</v>
      </c>
      <c r="F30" s="601" t="s">
        <v>633</v>
      </c>
      <c r="G30" t="s">
        <v>655</v>
      </c>
    </row>
    <row r="31" spans="1:7" x14ac:dyDescent="0.35">
      <c r="B31" s="554" t="s">
        <v>514</v>
      </c>
      <c r="C31" s="554" t="s">
        <v>502</v>
      </c>
      <c r="D31" s="554" t="s">
        <v>501</v>
      </c>
      <c r="E31" t="s">
        <v>81</v>
      </c>
      <c r="F31" s="601" t="s">
        <v>633</v>
      </c>
      <c r="G31" t="s">
        <v>673</v>
      </c>
    </row>
    <row r="32" spans="1:7" x14ac:dyDescent="0.35">
      <c r="B32" s="554" t="s">
        <v>515</v>
      </c>
      <c r="C32" s="554" t="s">
        <v>502</v>
      </c>
      <c r="D32" s="554" t="s">
        <v>501</v>
      </c>
      <c r="E32" t="s">
        <v>81</v>
      </c>
      <c r="F32" s="601" t="s">
        <v>633</v>
      </c>
      <c r="G32" t="s">
        <v>674</v>
      </c>
    </row>
    <row r="33" spans="2:7" x14ac:dyDescent="0.35">
      <c r="B33" s="554" t="s">
        <v>516</v>
      </c>
      <c r="C33" s="554" t="s">
        <v>502</v>
      </c>
      <c r="D33" s="554" t="s">
        <v>501</v>
      </c>
      <c r="E33" t="s">
        <v>81</v>
      </c>
      <c r="F33" s="601" t="s">
        <v>633</v>
      </c>
      <c r="G33" t="s">
        <v>675</v>
      </c>
    </row>
    <row r="34" spans="2:7" x14ac:dyDescent="0.35">
      <c r="B34" s="554" t="s">
        <v>512</v>
      </c>
      <c r="C34" s="554" t="s">
        <v>502</v>
      </c>
      <c r="D34" s="554" t="s">
        <v>501</v>
      </c>
      <c r="E34" t="s">
        <v>497</v>
      </c>
      <c r="F34" s="601" t="s">
        <v>633</v>
      </c>
      <c r="G34" t="s">
        <v>676</v>
      </c>
    </row>
    <row r="35" spans="2:7" x14ac:dyDescent="0.35">
      <c r="B35" s="554" t="s">
        <v>513</v>
      </c>
      <c r="C35" s="554" t="s">
        <v>502</v>
      </c>
      <c r="D35" s="554" t="s">
        <v>501</v>
      </c>
      <c r="E35" t="s">
        <v>497</v>
      </c>
      <c r="F35" s="601" t="s">
        <v>633</v>
      </c>
      <c r="G35" t="s">
        <v>677</v>
      </c>
    </row>
    <row r="36" spans="2:7" x14ac:dyDescent="0.35">
      <c r="B36" s="554" t="s">
        <v>514</v>
      </c>
      <c r="C36" s="554" t="s">
        <v>502</v>
      </c>
      <c r="D36" s="554" t="s">
        <v>501</v>
      </c>
      <c r="E36" t="s">
        <v>497</v>
      </c>
      <c r="F36" s="601" t="s">
        <v>633</v>
      </c>
      <c r="G36" t="s">
        <v>678</v>
      </c>
    </row>
    <row r="37" spans="2:7" x14ac:dyDescent="0.35">
      <c r="B37" s="554" t="s">
        <v>515</v>
      </c>
      <c r="C37" s="554" t="s">
        <v>502</v>
      </c>
      <c r="D37" s="554" t="s">
        <v>501</v>
      </c>
      <c r="E37" t="s">
        <v>497</v>
      </c>
      <c r="F37" s="601" t="s">
        <v>633</v>
      </c>
      <c r="G37" t="s">
        <v>679</v>
      </c>
    </row>
    <row r="38" spans="2:7" x14ac:dyDescent="0.35">
      <c r="B38" s="554" t="s">
        <v>457</v>
      </c>
      <c r="C38" s="554" t="s">
        <v>503</v>
      </c>
      <c r="E38" t="s">
        <v>81</v>
      </c>
      <c r="F38" s="601" t="s">
        <v>633</v>
      </c>
      <c r="G38" t="s">
        <v>680</v>
      </c>
    </row>
    <row r="39" spans="2:7" x14ac:dyDescent="0.35">
      <c r="B39" s="554" t="s">
        <v>457</v>
      </c>
      <c r="C39" s="554" t="s">
        <v>503</v>
      </c>
      <c r="E39" t="s">
        <v>81</v>
      </c>
      <c r="F39" s="601" t="s">
        <v>633</v>
      </c>
      <c r="G39" t="s">
        <v>681</v>
      </c>
    </row>
    <row r="40" spans="2:7" x14ac:dyDescent="0.35">
      <c r="B40" s="554" t="s">
        <v>457</v>
      </c>
      <c r="C40" s="554" t="s">
        <v>503</v>
      </c>
      <c r="D40" s="554" t="s">
        <v>502</v>
      </c>
      <c r="E40" t="s">
        <v>81</v>
      </c>
      <c r="F40" s="601" t="s">
        <v>633</v>
      </c>
      <c r="G40" t="s">
        <v>682</v>
      </c>
    </row>
    <row r="41" spans="2:7" x14ac:dyDescent="0.35">
      <c r="B41" s="554" t="s">
        <v>457</v>
      </c>
      <c r="C41" s="554" t="s">
        <v>503</v>
      </c>
      <c r="D41" s="554" t="s">
        <v>502</v>
      </c>
      <c r="E41" t="s">
        <v>497</v>
      </c>
      <c r="F41" s="601" t="s">
        <v>633</v>
      </c>
      <c r="G41" t="s">
        <v>683</v>
      </c>
    </row>
    <row r="42" spans="2:7" x14ac:dyDescent="0.35">
      <c r="B42" s="554" t="s">
        <v>457</v>
      </c>
      <c r="C42" s="554" t="s">
        <v>200</v>
      </c>
      <c r="E42" t="s">
        <v>81</v>
      </c>
      <c r="F42" s="601" t="s">
        <v>633</v>
      </c>
      <c r="G42" t="s">
        <v>684</v>
      </c>
    </row>
    <row r="43" spans="2:7" x14ac:dyDescent="0.35">
      <c r="B43" s="554" t="s">
        <v>457</v>
      </c>
      <c r="C43" s="554" t="s">
        <v>200</v>
      </c>
      <c r="E43" t="s">
        <v>7</v>
      </c>
      <c r="F43" s="601" t="s">
        <v>633</v>
      </c>
      <c r="G43" t="s">
        <v>685</v>
      </c>
    </row>
    <row r="44" spans="2:7" x14ac:dyDescent="0.35">
      <c r="B44" s="554" t="s">
        <v>457</v>
      </c>
      <c r="C44" s="554" t="s">
        <v>504</v>
      </c>
      <c r="E44" t="s">
        <v>81</v>
      </c>
      <c r="F44" s="601" t="s">
        <v>633</v>
      </c>
      <c r="G44" t="s">
        <v>686</v>
      </c>
    </row>
    <row r="45" spans="2:7" x14ac:dyDescent="0.35">
      <c r="B45" s="554" t="s">
        <v>457</v>
      </c>
      <c r="C45" s="554" t="s">
        <v>504</v>
      </c>
      <c r="E45" t="s">
        <v>7</v>
      </c>
      <c r="F45" s="601" t="s">
        <v>633</v>
      </c>
      <c r="G45" t="s">
        <v>687</v>
      </c>
    </row>
    <row r="46" spans="2:7" x14ac:dyDescent="0.35">
      <c r="B46" s="554" t="s">
        <v>457</v>
      </c>
      <c r="C46" s="554" t="s">
        <v>484</v>
      </c>
      <c r="E46" t="s">
        <v>7</v>
      </c>
      <c r="F46" s="601" t="s">
        <v>633</v>
      </c>
      <c r="G46" t="s">
        <v>688</v>
      </c>
    </row>
    <row r="47" spans="2:7" x14ac:dyDescent="0.35">
      <c r="B47" s="554" t="s">
        <v>457</v>
      </c>
      <c r="C47" s="554" t="s">
        <v>507</v>
      </c>
      <c r="E47" t="s">
        <v>7</v>
      </c>
      <c r="F47" s="601" t="s">
        <v>633</v>
      </c>
      <c r="G47" t="s">
        <v>689</v>
      </c>
    </row>
    <row r="48" spans="2:7" x14ac:dyDescent="0.35">
      <c r="B48" s="554" t="s">
        <v>457</v>
      </c>
      <c r="C48" s="554" t="s">
        <v>644</v>
      </c>
      <c r="E48" t="s">
        <v>7</v>
      </c>
      <c r="F48" s="601" t="s">
        <v>633</v>
      </c>
      <c r="G48" t="s">
        <v>690</v>
      </c>
    </row>
    <row r="49" spans="1:8" x14ac:dyDescent="0.35">
      <c r="B49" s="554" t="s">
        <v>506</v>
      </c>
      <c r="C49" s="554" t="s">
        <v>482</v>
      </c>
      <c r="E49" t="s">
        <v>508</v>
      </c>
      <c r="F49" s="601" t="s">
        <v>633</v>
      </c>
      <c r="G49" t="s">
        <v>695</v>
      </c>
    </row>
    <row r="50" spans="1:8" x14ac:dyDescent="0.35">
      <c r="A50" s="359" t="s">
        <v>511</v>
      </c>
      <c r="B50" s="554" t="s">
        <v>457</v>
      </c>
      <c r="E50" t="s">
        <v>81</v>
      </c>
      <c r="F50" s="601" t="s">
        <v>633</v>
      </c>
      <c r="G50" t="s">
        <v>656</v>
      </c>
    </row>
    <row r="51" spans="1:8" x14ac:dyDescent="0.35">
      <c r="B51" s="554" t="s">
        <v>457</v>
      </c>
      <c r="E51" t="s">
        <v>497</v>
      </c>
      <c r="F51" s="601" t="s">
        <v>633</v>
      </c>
      <c r="G51" t="s">
        <v>657</v>
      </c>
    </row>
    <row r="52" spans="1:8" x14ac:dyDescent="0.35">
      <c r="B52" s="554" t="s">
        <v>457</v>
      </c>
      <c r="C52" s="554" t="s">
        <v>503</v>
      </c>
      <c r="E52" t="s">
        <v>81</v>
      </c>
      <c r="F52" s="601" t="s">
        <v>633</v>
      </c>
      <c r="G52" t="s">
        <v>658</v>
      </c>
    </row>
    <row r="53" spans="1:8" x14ac:dyDescent="0.35">
      <c r="B53" s="554" t="s">
        <v>457</v>
      </c>
      <c r="C53" s="554" t="s">
        <v>200</v>
      </c>
      <c r="E53" t="s">
        <v>81</v>
      </c>
      <c r="F53" s="601" t="s">
        <v>633</v>
      </c>
      <c r="G53" t="s">
        <v>659</v>
      </c>
      <c r="H53" s="746"/>
    </row>
    <row r="54" spans="1:8" x14ac:dyDescent="0.35">
      <c r="B54" s="554" t="s">
        <v>457</v>
      </c>
      <c r="C54" s="554" t="s">
        <v>504</v>
      </c>
      <c r="E54" t="s">
        <v>81</v>
      </c>
      <c r="F54" s="601" t="s">
        <v>633</v>
      </c>
      <c r="G54" t="s">
        <v>885</v>
      </c>
      <c r="H54" s="746"/>
    </row>
    <row r="55" spans="1:8" x14ac:dyDescent="0.35">
      <c r="A55" s="359" t="s">
        <v>607</v>
      </c>
      <c r="B55" s="554" t="s">
        <v>608</v>
      </c>
      <c r="E55" t="s">
        <v>508</v>
      </c>
      <c r="F55" s="601" t="s">
        <v>633</v>
      </c>
      <c r="G55" t="s">
        <v>660</v>
      </c>
    </row>
    <row r="56" spans="1:8" x14ac:dyDescent="0.35">
      <c r="B56" s="554" t="s">
        <v>609</v>
      </c>
      <c r="E56" t="s">
        <v>508</v>
      </c>
      <c r="F56" s="601" t="s">
        <v>633</v>
      </c>
      <c r="G56" t="s">
        <v>661</v>
      </c>
    </row>
    <row r="57" spans="1:8" x14ac:dyDescent="0.35">
      <c r="B57" s="554" t="s">
        <v>608</v>
      </c>
      <c r="C57" s="554" t="s">
        <v>113</v>
      </c>
      <c r="E57" t="s">
        <v>508</v>
      </c>
      <c r="F57" s="601" t="s">
        <v>633</v>
      </c>
      <c r="G57" t="s">
        <v>662</v>
      </c>
    </row>
    <row r="58" spans="1:8" x14ac:dyDescent="0.35">
      <c r="A58" s="359" t="s">
        <v>610</v>
      </c>
      <c r="B58" s="554" t="s">
        <v>118</v>
      </c>
      <c r="E58" t="s">
        <v>508</v>
      </c>
      <c r="F58" s="601" t="s">
        <v>633</v>
      </c>
      <c r="G58" t="s">
        <v>663</v>
      </c>
    </row>
    <row r="59" spans="1:8" x14ac:dyDescent="0.35">
      <c r="B59" s="554" t="s">
        <v>611</v>
      </c>
      <c r="E59" t="s">
        <v>508</v>
      </c>
      <c r="F59" s="601" t="s">
        <v>633</v>
      </c>
      <c r="G59" t="s">
        <v>664</v>
      </c>
      <c r="H59" s="686"/>
    </row>
    <row r="60" spans="1:8" x14ac:dyDescent="0.35">
      <c r="B60" s="554" t="s">
        <v>891</v>
      </c>
      <c r="C60" s="554" t="s">
        <v>113</v>
      </c>
      <c r="E60" t="s">
        <v>508</v>
      </c>
      <c r="F60" s="601" t="s">
        <v>633</v>
      </c>
      <c r="G60" t="s">
        <v>890</v>
      </c>
      <c r="H60" s="686"/>
    </row>
    <row r="61" spans="1:8" x14ac:dyDescent="0.35">
      <c r="A61" s="359" t="s">
        <v>612</v>
      </c>
      <c r="B61" s="554" t="s">
        <v>617</v>
      </c>
      <c r="E61" t="s">
        <v>508</v>
      </c>
      <c r="F61" s="601" t="s">
        <v>633</v>
      </c>
      <c r="G61" t="s">
        <v>696</v>
      </c>
    </row>
    <row r="62" spans="1:8" x14ac:dyDescent="0.35">
      <c r="B62" s="554" t="s">
        <v>617</v>
      </c>
      <c r="E62" t="s">
        <v>123</v>
      </c>
      <c r="F62" s="601" t="s">
        <v>633</v>
      </c>
      <c r="G62" t="s">
        <v>697</v>
      </c>
    </row>
    <row r="63" spans="1:8" x14ac:dyDescent="0.35">
      <c r="B63" s="554" t="s">
        <v>619</v>
      </c>
      <c r="E63" t="s">
        <v>665</v>
      </c>
      <c r="F63" s="601" t="s">
        <v>633</v>
      </c>
      <c r="G63" t="s">
        <v>698</v>
      </c>
    </row>
    <row r="64" spans="1:8" x14ac:dyDescent="0.35">
      <c r="B64" s="554" t="s">
        <v>618</v>
      </c>
      <c r="E64" t="s">
        <v>508</v>
      </c>
      <c r="F64" s="601" t="s">
        <v>633</v>
      </c>
      <c r="G64" t="s">
        <v>699</v>
      </c>
    </row>
    <row r="65" spans="2:7" x14ac:dyDescent="0.35">
      <c r="B65" s="554" t="s">
        <v>618</v>
      </c>
      <c r="C65" s="554" t="s">
        <v>424</v>
      </c>
      <c r="E65" t="s">
        <v>508</v>
      </c>
      <c r="F65" s="601" t="s">
        <v>633</v>
      </c>
      <c r="G65" t="s">
        <v>700</v>
      </c>
    </row>
    <row r="66" spans="2:7" x14ac:dyDescent="0.35">
      <c r="B66" s="554" t="s">
        <v>618</v>
      </c>
      <c r="E66" t="s">
        <v>7</v>
      </c>
      <c r="F66" s="601" t="s">
        <v>633</v>
      </c>
      <c r="G66" t="s">
        <v>701</v>
      </c>
    </row>
    <row r="67" spans="2:7" x14ac:dyDescent="0.35">
      <c r="B67" s="554" t="s">
        <v>618</v>
      </c>
      <c r="C67" s="554" t="s">
        <v>424</v>
      </c>
      <c r="E67" t="s">
        <v>7</v>
      </c>
      <c r="F67" s="601" t="s">
        <v>633</v>
      </c>
      <c r="G67" t="s">
        <v>702</v>
      </c>
    </row>
    <row r="68" spans="2:7" x14ac:dyDescent="0.35">
      <c r="B68" s="554" t="s">
        <v>613</v>
      </c>
      <c r="C68" s="554" t="s">
        <v>200</v>
      </c>
      <c r="E68" t="s">
        <v>508</v>
      </c>
      <c r="F68" s="601" t="s">
        <v>633</v>
      </c>
      <c r="G68" t="s">
        <v>703</v>
      </c>
    </row>
    <row r="69" spans="2:7" x14ac:dyDescent="0.35">
      <c r="B69" s="554" t="s">
        <v>613</v>
      </c>
      <c r="C69" s="554" t="s">
        <v>200</v>
      </c>
      <c r="E69" t="s">
        <v>7</v>
      </c>
      <c r="F69" s="601" t="s">
        <v>633</v>
      </c>
      <c r="G69" t="s">
        <v>704</v>
      </c>
    </row>
    <row r="70" spans="2:7" x14ac:dyDescent="0.35">
      <c r="B70" s="734" t="s">
        <v>786</v>
      </c>
      <c r="E70" t="s">
        <v>508</v>
      </c>
      <c r="F70" s="735" t="s">
        <v>633</v>
      </c>
      <c r="G70" t="s">
        <v>917</v>
      </c>
    </row>
    <row r="71" spans="2:7" x14ac:dyDescent="0.35">
      <c r="B71" s="734" t="s">
        <v>620</v>
      </c>
      <c r="C71" s="734"/>
      <c r="D71" s="734"/>
      <c r="E71" s="302" t="s">
        <v>508</v>
      </c>
      <c r="F71" s="735" t="s">
        <v>633</v>
      </c>
      <c r="G71" t="s">
        <v>705</v>
      </c>
    </row>
    <row r="72" spans="2:7" x14ac:dyDescent="0.35">
      <c r="B72" s="734" t="s">
        <v>620</v>
      </c>
      <c r="C72" s="734"/>
      <c r="D72" s="734"/>
      <c r="E72" s="302" t="s">
        <v>7</v>
      </c>
      <c r="F72" s="735" t="s">
        <v>633</v>
      </c>
      <c r="G72" t="s">
        <v>706</v>
      </c>
    </row>
    <row r="73" spans="2:7" x14ac:dyDescent="0.35">
      <c r="B73" s="734" t="s">
        <v>620</v>
      </c>
      <c r="C73" s="734" t="s">
        <v>932</v>
      </c>
      <c r="D73" s="734"/>
      <c r="E73" s="302" t="s">
        <v>508</v>
      </c>
      <c r="F73" s="735" t="s">
        <v>633</v>
      </c>
      <c r="G73" t="s">
        <v>933</v>
      </c>
    </row>
    <row r="74" spans="2:7" x14ac:dyDescent="0.35">
      <c r="B74" s="734" t="s">
        <v>620</v>
      </c>
      <c r="C74" s="734" t="s">
        <v>424</v>
      </c>
      <c r="D74" s="734"/>
      <c r="E74" s="302" t="s">
        <v>123</v>
      </c>
      <c r="F74" s="735" t="s">
        <v>633</v>
      </c>
      <c r="G74" t="s">
        <v>934</v>
      </c>
    </row>
    <row r="75" spans="2:7" x14ac:dyDescent="0.35">
      <c r="B75" s="734" t="s">
        <v>620</v>
      </c>
      <c r="C75" s="734" t="s">
        <v>424</v>
      </c>
      <c r="D75" s="734"/>
      <c r="E75" s="302" t="s">
        <v>7</v>
      </c>
      <c r="F75" s="735" t="s">
        <v>633</v>
      </c>
      <c r="G75" t="s">
        <v>935</v>
      </c>
    </row>
    <row r="76" spans="2:7" x14ac:dyDescent="0.35">
      <c r="B76" s="734" t="s">
        <v>620</v>
      </c>
      <c r="C76" s="734" t="s">
        <v>424</v>
      </c>
      <c r="D76" s="734" t="s">
        <v>822</v>
      </c>
      <c r="E76" s="302" t="s">
        <v>7</v>
      </c>
      <c r="F76" s="735" t="s">
        <v>633</v>
      </c>
      <c r="G76" t="s">
        <v>936</v>
      </c>
    </row>
    <row r="77" spans="2:7" x14ac:dyDescent="0.35">
      <c r="B77" s="734" t="s">
        <v>616</v>
      </c>
      <c r="C77" s="734"/>
      <c r="D77" s="734"/>
      <c r="E77" s="302" t="s">
        <v>508</v>
      </c>
      <c r="F77" s="735" t="s">
        <v>633</v>
      </c>
      <c r="G77" t="s">
        <v>707</v>
      </c>
    </row>
    <row r="78" spans="2:7" x14ac:dyDescent="0.35">
      <c r="B78" s="554" t="s">
        <v>616</v>
      </c>
      <c r="E78" t="s">
        <v>7</v>
      </c>
      <c r="F78" s="601" t="s">
        <v>633</v>
      </c>
      <c r="G78" t="s">
        <v>708</v>
      </c>
    </row>
    <row r="79" spans="2:7" x14ac:dyDescent="0.35">
      <c r="B79" s="554" t="s">
        <v>617</v>
      </c>
      <c r="C79" s="554" t="s">
        <v>113</v>
      </c>
      <c r="E79" t="s">
        <v>508</v>
      </c>
      <c r="F79" s="601" t="s">
        <v>633</v>
      </c>
      <c r="G79" t="s">
        <v>709</v>
      </c>
    </row>
    <row r="80" spans="2:7" x14ac:dyDescent="0.35">
      <c r="B80" s="554" t="s">
        <v>617</v>
      </c>
      <c r="C80" s="554" t="s">
        <v>113</v>
      </c>
      <c r="E80" t="s">
        <v>7</v>
      </c>
      <c r="F80" s="601" t="s">
        <v>633</v>
      </c>
      <c r="G80" t="s">
        <v>710</v>
      </c>
    </row>
    <row r="81" spans="1:7" x14ac:dyDescent="0.35">
      <c r="B81" s="554" t="s">
        <v>615</v>
      </c>
      <c r="C81" s="554" t="s">
        <v>113</v>
      </c>
      <c r="E81" t="s">
        <v>665</v>
      </c>
      <c r="F81" s="601" t="s">
        <v>633</v>
      </c>
      <c r="G81" t="s">
        <v>711</v>
      </c>
    </row>
    <row r="82" spans="1:7" x14ac:dyDescent="0.35">
      <c r="A82" s="359" t="s">
        <v>614</v>
      </c>
      <c r="B82" s="554" t="s">
        <v>615</v>
      </c>
      <c r="E82" t="s">
        <v>508</v>
      </c>
      <c r="F82" s="601" t="s">
        <v>633</v>
      </c>
      <c r="G82" t="s">
        <v>666</v>
      </c>
    </row>
    <row r="83" spans="1:7" x14ac:dyDescent="0.35">
      <c r="B83" s="554" t="s">
        <v>424</v>
      </c>
      <c r="E83" t="s">
        <v>508</v>
      </c>
      <c r="F83" s="601" t="s">
        <v>633</v>
      </c>
      <c r="G83" t="s">
        <v>667</v>
      </c>
    </row>
    <row r="84" spans="1:7" x14ac:dyDescent="0.35">
      <c r="B84" s="554" t="s">
        <v>613</v>
      </c>
      <c r="E84" t="s">
        <v>7</v>
      </c>
      <c r="F84" s="601" t="s">
        <v>633</v>
      </c>
      <c r="G84" t="s">
        <v>669</v>
      </c>
    </row>
    <row r="85" spans="1:7" x14ac:dyDescent="0.35">
      <c r="B85" s="554" t="s">
        <v>620</v>
      </c>
      <c r="E85" t="s">
        <v>7</v>
      </c>
      <c r="F85" s="601" t="s">
        <v>633</v>
      </c>
      <c r="G85" s="738" t="s">
        <v>927</v>
      </c>
    </row>
    <row r="86" spans="1:7" x14ac:dyDescent="0.35">
      <c r="B86" s="554" t="s">
        <v>620</v>
      </c>
      <c r="C86" s="554" t="s">
        <v>932</v>
      </c>
      <c r="E86" t="s">
        <v>7</v>
      </c>
      <c r="F86" s="601" t="s">
        <v>633</v>
      </c>
      <c r="G86" s="738" t="s">
        <v>930</v>
      </c>
    </row>
    <row r="87" spans="1:7" x14ac:dyDescent="0.35">
      <c r="B87" s="554" t="s">
        <v>620</v>
      </c>
      <c r="C87" s="554" t="s">
        <v>932</v>
      </c>
      <c r="E87" t="s">
        <v>123</v>
      </c>
      <c r="F87" s="601" t="s">
        <v>633</v>
      </c>
      <c r="G87" s="738" t="s">
        <v>929</v>
      </c>
    </row>
    <row r="88" spans="1:7" x14ac:dyDescent="0.35">
      <c r="B88" s="554" t="s">
        <v>620</v>
      </c>
      <c r="C88" s="554" t="s">
        <v>932</v>
      </c>
      <c r="D88" s="554" t="s">
        <v>822</v>
      </c>
      <c r="E88" t="s">
        <v>7</v>
      </c>
      <c r="F88" s="601" t="s">
        <v>633</v>
      </c>
      <c r="G88" s="738" t="s">
        <v>931</v>
      </c>
    </row>
    <row r="89" spans="1:7" x14ac:dyDescent="0.35">
      <c r="B89" s="554" t="s">
        <v>620</v>
      </c>
      <c r="C89" s="554" t="s">
        <v>932</v>
      </c>
      <c r="D89" s="554" t="s">
        <v>822</v>
      </c>
      <c r="E89" t="s">
        <v>937</v>
      </c>
      <c r="F89" s="601" t="s">
        <v>633</v>
      </c>
      <c r="G89" s="738" t="s">
        <v>938</v>
      </c>
    </row>
    <row r="90" spans="1:7" x14ac:dyDescent="0.35">
      <c r="B90" s="554" t="s">
        <v>616</v>
      </c>
      <c r="E90" t="s">
        <v>7</v>
      </c>
      <c r="F90" s="601" t="s">
        <v>633</v>
      </c>
      <c r="G90" t="s">
        <v>668</v>
      </c>
    </row>
    <row r="91" spans="1:7" x14ac:dyDescent="0.35">
      <c r="B91" s="554" t="s">
        <v>113</v>
      </c>
      <c r="E91" t="s">
        <v>7</v>
      </c>
      <c r="F91" s="601" t="s">
        <v>633</v>
      </c>
      <c r="G91" t="s">
        <v>670</v>
      </c>
    </row>
    <row r="92" spans="1:7" x14ac:dyDescent="0.35">
      <c r="B92" s="554" t="s">
        <v>113</v>
      </c>
      <c r="E92" t="s">
        <v>604</v>
      </c>
      <c r="F92" s="601" t="s">
        <v>633</v>
      </c>
      <c r="G92" s="382" t="s">
        <v>939</v>
      </c>
    </row>
    <row r="93" spans="1:7" x14ac:dyDescent="0.35">
      <c r="B93" s="554" t="s">
        <v>113</v>
      </c>
      <c r="C93" s="554" t="s">
        <v>932</v>
      </c>
      <c r="E93" t="s">
        <v>604</v>
      </c>
      <c r="F93" s="601" t="s">
        <v>633</v>
      </c>
      <c r="G93" s="382" t="s">
        <v>940</v>
      </c>
    </row>
    <row r="94" spans="1:7" x14ac:dyDescent="0.35">
      <c r="B94" s="554" t="s">
        <v>113</v>
      </c>
      <c r="E94" t="s">
        <v>7</v>
      </c>
      <c r="F94" s="601" t="s">
        <v>633</v>
      </c>
      <c r="G94" s="382" t="s">
        <v>944</v>
      </c>
    </row>
    <row r="95" spans="1:7" x14ac:dyDescent="0.35">
      <c r="A95" s="359" t="s">
        <v>623</v>
      </c>
      <c r="B95" s="554" t="s">
        <v>624</v>
      </c>
      <c r="E95" t="s">
        <v>508</v>
      </c>
      <c r="F95" s="601" t="s">
        <v>633</v>
      </c>
      <c r="G95" t="s">
        <v>712</v>
      </c>
    </row>
    <row r="96" spans="1:7" x14ac:dyDescent="0.35">
      <c r="B96" s="554" t="s">
        <v>159</v>
      </c>
      <c r="C96" s="554" t="s">
        <v>626</v>
      </c>
      <c r="E96" t="s">
        <v>508</v>
      </c>
      <c r="F96" s="601" t="s">
        <v>633</v>
      </c>
      <c r="G96" t="s">
        <v>713</v>
      </c>
    </row>
    <row r="97" spans="1:7" x14ac:dyDescent="0.35">
      <c r="B97" s="554" t="s">
        <v>159</v>
      </c>
      <c r="C97" s="554" t="s">
        <v>626</v>
      </c>
      <c r="D97" s="554" t="s">
        <v>113</v>
      </c>
      <c r="E97" t="s">
        <v>508</v>
      </c>
      <c r="F97" s="601" t="s">
        <v>633</v>
      </c>
      <c r="G97" t="s">
        <v>714</v>
      </c>
    </row>
    <row r="98" spans="1:7" x14ac:dyDescent="0.35">
      <c r="B98" s="554" t="s">
        <v>627</v>
      </c>
      <c r="E98" t="s">
        <v>508</v>
      </c>
      <c r="F98" s="601" t="s">
        <v>633</v>
      </c>
      <c r="G98" t="s">
        <v>715</v>
      </c>
    </row>
    <row r="99" spans="1:7" x14ac:dyDescent="0.35">
      <c r="B99" s="554" t="s">
        <v>627</v>
      </c>
      <c r="C99" s="554" t="s">
        <v>626</v>
      </c>
      <c r="E99" t="s">
        <v>508</v>
      </c>
      <c r="F99" s="601" t="s">
        <v>633</v>
      </c>
      <c r="G99" t="s">
        <v>716</v>
      </c>
    </row>
    <row r="100" spans="1:7" x14ac:dyDescent="0.35">
      <c r="B100" s="554" t="s">
        <v>627</v>
      </c>
      <c r="C100" s="554" t="s">
        <v>626</v>
      </c>
      <c r="D100" s="554" t="s">
        <v>113</v>
      </c>
      <c r="E100" t="s">
        <v>508</v>
      </c>
      <c r="F100" s="601" t="s">
        <v>633</v>
      </c>
      <c r="G100" t="s">
        <v>717</v>
      </c>
    </row>
    <row r="101" spans="1:7" x14ac:dyDescent="0.35">
      <c r="B101" s="554" t="s">
        <v>628</v>
      </c>
      <c r="E101" t="s">
        <v>508</v>
      </c>
      <c r="F101" s="601" t="s">
        <v>633</v>
      </c>
      <c r="G101" t="s">
        <v>718</v>
      </c>
    </row>
    <row r="102" spans="1:7" x14ac:dyDescent="0.35">
      <c r="B102" s="554" t="s">
        <v>159</v>
      </c>
      <c r="C102" s="554" t="s">
        <v>625</v>
      </c>
      <c r="E102" t="s">
        <v>508</v>
      </c>
      <c r="F102" s="601" t="s">
        <v>633</v>
      </c>
      <c r="G102" t="s">
        <v>719</v>
      </c>
    </row>
    <row r="103" spans="1:7" x14ac:dyDescent="0.35">
      <c r="B103" s="554" t="s">
        <v>159</v>
      </c>
      <c r="C103" s="554" t="s">
        <v>625</v>
      </c>
      <c r="E103" t="s">
        <v>7</v>
      </c>
      <c r="F103" s="601" t="s">
        <v>633</v>
      </c>
      <c r="G103" t="s">
        <v>720</v>
      </c>
    </row>
    <row r="104" spans="1:7" x14ac:dyDescent="0.35">
      <c r="A104" s="359" t="s">
        <v>629</v>
      </c>
      <c r="B104" s="554" t="s">
        <v>624</v>
      </c>
      <c r="E104" t="s">
        <v>508</v>
      </c>
      <c r="F104" s="601" t="s">
        <v>633</v>
      </c>
      <c r="G104" t="s">
        <v>671</v>
      </c>
    </row>
    <row r="105" spans="1:7" x14ac:dyDescent="0.35">
      <c r="B105" s="554" t="s">
        <v>159</v>
      </c>
      <c r="C105" s="554" t="s">
        <v>625</v>
      </c>
      <c r="E105" t="s">
        <v>508</v>
      </c>
      <c r="F105" s="601" t="s">
        <v>633</v>
      </c>
      <c r="G105" t="s">
        <v>672</v>
      </c>
    </row>
    <row r="106" spans="1:7" x14ac:dyDescent="0.35">
      <c r="B106" s="554" t="s">
        <v>159</v>
      </c>
      <c r="C106" s="554" t="s">
        <v>897</v>
      </c>
      <c r="E106" t="s">
        <v>508</v>
      </c>
      <c r="F106" s="601" t="s">
        <v>633</v>
      </c>
      <c r="G106" t="s">
        <v>896</v>
      </c>
    </row>
  </sheetData>
  <sheetProtection algorithmName="SHA-512" hashValue="u8axXEkzKgkF2FuLRYUMBQSEMjl1hc79shz/ItI3KiiuVh1D417QzIjVbBcxvLAGGwieO28rZm4tpLz7IzlhHQ==" saltValue="FPWj/wDGV8O/DXd3Bz+Jvw==" spinCount="100000" sheet="1" scenarios="1" formatCells="0" formatColumns="0" formatRows="0" sort="0" autoFilter="0" pivotTables="0"/>
  <hyperlinks>
    <hyperlink ref="F6" location="Structure!A4" display="link"/>
    <hyperlink ref="F7" location="'Crewing Model'!A4" display="link"/>
    <hyperlink ref="F8" location="'Crewing Model - Area'!A4" display="link"/>
    <hyperlink ref="F9" location="'Primary Crewing'!A4" display="link"/>
    <hyperlink ref="F10" location="'Primary Crewing - Area'!A4" display="link"/>
    <hyperlink ref="F13" location="'Chart - Station Type'!A4" display="link"/>
    <hyperlink ref="F14" location="'Chart - Area'!A4" display="link"/>
    <hyperlink ref="F15" location="'Chart - Map'!A4" display="link"/>
    <hyperlink ref="F16" location="Vehicles!A4" display="link"/>
    <hyperlink ref="F17" location="'Appliances LA'!A4" display="link"/>
    <hyperlink ref="F18" location="Staffing!A4" display="link"/>
    <hyperlink ref="F19" location="Staffing!A32" display="link"/>
    <hyperlink ref="F22" location="Department!A4" display="link"/>
    <hyperlink ref="F23" location="Department!A59" display="link"/>
    <hyperlink ref="F24" location="'Geographic Structure'!A4" display="link"/>
    <hyperlink ref="F25" location="'Staff - Small Area'!A4" display="link"/>
    <hyperlink ref="F26" location="Role!A4" display="link"/>
    <hyperlink ref="F28" location="'Role - Area'!A4" display="link"/>
    <hyperlink ref="F29" location="'WT Role - Area'!A4" display="link"/>
    <hyperlink ref="F30" location="'RDS Role - Area'!A4" display="link"/>
    <hyperlink ref="F31" location="'C&amp;S Role - Area'!A4" display="link"/>
    <hyperlink ref="F32" location="'C&amp;S Role - Area'!A19" display="link"/>
    <hyperlink ref="F33" location="'Vol Role - Area'!A4" display="link"/>
    <hyperlink ref="F34" location="'WT FTE Role - Area'!A4" display="link"/>
    <hyperlink ref="F35" location="'RDS FTE Role - Area'!A4" display="link"/>
    <hyperlink ref="F36" location="'C&amp;S FTE Role - Area'!A4" display="link"/>
    <hyperlink ref="F37" location="'C&amp;S FTE Role - Area'!A17" display="link"/>
    <hyperlink ref="F38" location="'Gender Timeseries'!A4" display="link"/>
    <hyperlink ref="F39" location="Gender!A4" display="link"/>
    <hyperlink ref="F40" location="'Gender and Role'!A4" display="link"/>
    <hyperlink ref="F41" location="'FTE Gender and Role'!A4" display="link"/>
    <hyperlink ref="F42" location="Age!A4" display="link"/>
    <hyperlink ref="F43" location="Age!A28" display="link"/>
    <hyperlink ref="F44" location="'Service Length'!A4" display="link"/>
    <hyperlink ref="F45" location="'Service Length'!A26" display="link"/>
    <hyperlink ref="F46" location="Ethnicity!A4" display="link"/>
    <hyperlink ref="F47" location="Disability!A4" display="link"/>
    <hyperlink ref="F48" location="Disability!A25" display="link"/>
    <hyperlink ref="F49" location="Leavers!A4" display="link"/>
    <hyperlink ref="F50" location="'Chart Headcount'!A4" display="link"/>
    <hyperlink ref="F51" location="'Chart FTE'!A4" display="link"/>
    <hyperlink ref="F52" location="'Chart Gender'!A4" display="link"/>
    <hyperlink ref="F53" location="'Chart Age'!A4" display="link"/>
    <hyperlink ref="F55" location="Attacks!A4" display="link"/>
    <hyperlink ref="F56" location="Attacks!A22" display="link"/>
    <hyperlink ref="F57" location="'Attacks - Area'!A4" display="link"/>
    <hyperlink ref="F58" location="'Chart - Attacks'!A4" display="link"/>
    <hyperlink ref="F59" location="'Chart - Injuries'!A4" display="link"/>
    <hyperlink ref="F61" location="HFSVs!A4" display="link"/>
    <hyperlink ref="F62" location="HFSVs!A36" display="link"/>
    <hyperlink ref="F63" location="HFSVs!A56" display="link"/>
    <hyperlink ref="F64" location="'Distinct Properties'!A4" display="link"/>
    <hyperlink ref="F65" location="'Distinct Properties'!A25" display="link"/>
    <hyperlink ref="F66" location="'Distinct Propert. Popul.'!A4" display="link"/>
    <hyperlink ref="F67" location="'Distinct Propert. Popul.'!A24" display="link"/>
    <hyperlink ref="F68" location="Residents!A4" display="link"/>
    <hyperlink ref="F69" location="Residents!A24" display="link"/>
    <hyperlink ref="F71" location="'SIMD-Visits'!A4" display="link"/>
    <hyperlink ref="F72" location="'SIMD-Visits'!A24" display="link"/>
    <hyperlink ref="F77" location="Rurality!A4" display="link"/>
    <hyperlink ref="F78" location="Rurality!A23" display="link"/>
    <hyperlink ref="F79" location="'HFSVs LA'!A4" display="link"/>
    <hyperlink ref="F80" location="'Outcome LA'!A4" display="link"/>
    <hyperlink ref="F81" location="'Rate LA'!A4" display="link"/>
    <hyperlink ref="F82" location="'Chart HFSVs'!A4" display="link"/>
    <hyperlink ref="F83" location="'Chart Alarms'!A4" display="link"/>
    <hyperlink ref="F84" location="'Chart Residents'!A4" display="link"/>
    <hyperlink ref="F90" location="'Chart Rurality'!A4" display="link"/>
    <hyperlink ref="F91" location="'Chart LA'!A4" display="link"/>
    <hyperlink ref="F95" location="Workflows!A4" display="link"/>
    <hyperlink ref="F96" location="Audits!A4" display="link"/>
    <hyperlink ref="F97" location="'Audits LA'!A4" display="link"/>
    <hyperlink ref="F98" location="'Audits Outcome'!A4" display="link"/>
    <hyperlink ref="F99" location="'Audits Outcome'!A32" display="link"/>
    <hyperlink ref="F100" location="'Audits Outcome LA'!A4" display="link"/>
    <hyperlink ref="F101" location="Notices!A4" display="link"/>
    <hyperlink ref="F102" location="Risk!A4" display="link"/>
    <hyperlink ref="F103" location="Risk!A30" display="link"/>
    <hyperlink ref="F104" location="'Chart Workflows'!A4" display="link"/>
    <hyperlink ref="F105" location="'Chart Audits'!A4" display="link"/>
    <hyperlink ref="F11" location="'Crewing Level'!A4" display="link"/>
    <hyperlink ref="F12" location="Capabilities!A4" display="link"/>
    <hyperlink ref="F54" location="'Chart ServiceLength'!A4" display="link"/>
    <hyperlink ref="F20" location="DutySystem!A4" display="link"/>
    <hyperlink ref="F21" location="'DutySytem LA'!A4" display="link"/>
    <hyperlink ref="F27" location="'Role DutySystem'!A4" display="link"/>
    <hyperlink ref="F60" location="'Chart - AttacksMap'!A4" display="link"/>
    <hyperlink ref="F106" location="'Chart Audit Share'!A4" display="link"/>
    <hyperlink ref="F70" location="Tenure!A4" display="link"/>
    <hyperlink ref="F73" location="'SIMD-Alarms'!A4" display="link"/>
    <hyperlink ref="F74" location="'SIMD-Alarms'!A24" display="link"/>
    <hyperlink ref="F75" location="'SIMD-%Alarm'!A4" display="link"/>
    <hyperlink ref="F76" location="'SIMD-%Alarm'!A24" display="link"/>
    <hyperlink ref="F85" location="'Chart SIMD'!A4" display="link"/>
    <hyperlink ref="F86" location="'Chart SIMD Alarms'!A4" display="link"/>
    <hyperlink ref="F87" location="'Chart SIMD AlarmRate'!A4" display="link"/>
    <hyperlink ref="F88" location="'Chart SIMD OwnerOcc'!A4" display="link"/>
    <hyperlink ref="F89" location="'Chart SIMD OwnerYears'!A4" display="link"/>
    <hyperlink ref="F92" location="'Chart Map'!A4" display="link"/>
    <hyperlink ref="F93" location="'Chart Alarms Map'!A4" display="link"/>
    <hyperlink ref="F94" location="'Chart %Install'!A4" display="link"/>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D9B3FF"/>
    <pageSetUpPr fitToPage="1"/>
  </sheetPr>
  <dimension ref="A1:S31"/>
  <sheetViews>
    <sheetView showGridLines="0" zoomScaleNormal="100" workbookViewId="0">
      <pane ySplit="2" topLeftCell="A3" activePane="bottomLeft" state="frozen"/>
      <selection pane="bottomLeft" sqref="A1:J1"/>
    </sheetView>
  </sheetViews>
  <sheetFormatPr defaultRowHeight="14.5" x14ac:dyDescent="0.35"/>
  <cols>
    <col min="1" max="1" width="17.81640625" customWidth="1"/>
    <col min="2" max="6" width="10.26953125" customWidth="1"/>
    <col min="7" max="7" width="14" customWidth="1"/>
    <col min="8" max="8" width="12.453125" customWidth="1"/>
    <col min="9" max="9" width="10.453125" customWidth="1"/>
    <col min="10" max="10" width="10.54296875" customWidth="1"/>
    <col min="11" max="11" width="11" customWidth="1"/>
    <col min="12" max="12" width="12.453125" customWidth="1"/>
    <col min="13" max="13" width="11.54296875" customWidth="1"/>
    <col min="14" max="14" width="10.453125" customWidth="1"/>
    <col min="15" max="15" width="10.81640625" customWidth="1"/>
    <col min="16" max="16" width="10.7265625" customWidth="1"/>
    <col min="18" max="18" width="10" customWidth="1"/>
  </cols>
  <sheetData>
    <row r="1" spans="1:19" ht="15.5" x14ac:dyDescent="0.35">
      <c r="A1" s="1160" t="s">
        <v>582</v>
      </c>
      <c r="B1" s="1160"/>
      <c r="C1" s="1160"/>
      <c r="D1" s="1160"/>
      <c r="E1" s="1160"/>
      <c r="F1" s="1160"/>
      <c r="G1" s="1160"/>
      <c r="H1" s="1160"/>
      <c r="I1" s="1160"/>
      <c r="J1" s="1160"/>
    </row>
    <row r="2" spans="1:19" ht="17.5" x14ac:dyDescent="0.35">
      <c r="A2" s="601" t="s">
        <v>509</v>
      </c>
      <c r="B2" s="1"/>
      <c r="C2" s="1"/>
      <c r="D2" s="1"/>
      <c r="E2" s="1"/>
      <c r="F2" s="1"/>
      <c r="G2" s="1"/>
      <c r="H2" s="1"/>
      <c r="I2" s="1"/>
      <c r="J2" s="1"/>
    </row>
    <row r="3" spans="1:19" ht="17.5" x14ac:dyDescent="0.35">
      <c r="A3" s="1"/>
      <c r="B3" s="1"/>
      <c r="C3" s="1"/>
      <c r="D3" s="1"/>
      <c r="E3" s="1"/>
      <c r="F3" s="1"/>
      <c r="G3" s="1"/>
      <c r="H3" s="1"/>
      <c r="I3" s="1"/>
      <c r="J3" s="1"/>
    </row>
    <row r="4" spans="1:19" ht="15.5" x14ac:dyDescent="0.35">
      <c r="A4" s="535" t="s">
        <v>583</v>
      </c>
      <c r="B4" s="535"/>
      <c r="C4" s="535"/>
      <c r="D4" s="535"/>
      <c r="E4" s="535"/>
      <c r="F4" s="535"/>
      <c r="G4" s="535"/>
      <c r="H4" s="535"/>
      <c r="I4" s="535"/>
      <c r="J4" s="535"/>
    </row>
    <row r="5" spans="1:19" x14ac:dyDescent="0.35">
      <c r="A5" t="s">
        <v>320</v>
      </c>
      <c r="B5" t="s">
        <v>643</v>
      </c>
    </row>
    <row r="6" spans="1:19" x14ac:dyDescent="0.35">
      <c r="A6" t="s">
        <v>321</v>
      </c>
      <c r="B6" t="s">
        <v>323</v>
      </c>
    </row>
    <row r="7" spans="1:19" x14ac:dyDescent="0.35">
      <c r="A7" t="s">
        <v>322</v>
      </c>
      <c r="B7" t="s">
        <v>324</v>
      </c>
    </row>
    <row r="9" spans="1:19" ht="30" customHeight="1" x14ac:dyDescent="0.35">
      <c r="A9" s="219"/>
      <c r="B9" s="150"/>
      <c r="C9" s="150"/>
      <c r="D9" s="150"/>
      <c r="E9" s="150"/>
      <c r="F9" s="150"/>
      <c r="G9" s="150"/>
      <c r="H9" s="150"/>
      <c r="I9" s="220" t="s">
        <v>202</v>
      </c>
      <c r="J9" s="203"/>
      <c r="K9" s="221"/>
      <c r="L9" s="221"/>
      <c r="M9" s="221"/>
      <c r="N9" s="378" t="s">
        <v>187</v>
      </c>
      <c r="O9" s="376"/>
      <c r="Q9" s="377"/>
      <c r="S9" s="495"/>
    </row>
    <row r="10" spans="1:19" ht="15.5" x14ac:dyDescent="0.35">
      <c r="A10" s="219"/>
      <c r="B10" s="160"/>
      <c r="C10" s="160"/>
      <c r="D10" s="160"/>
      <c r="F10" s="670" t="s">
        <v>181</v>
      </c>
      <c r="G10" s="150"/>
      <c r="H10" s="150"/>
      <c r="K10" s="671"/>
      <c r="L10" s="669"/>
      <c r="M10" s="669"/>
      <c r="N10" s="674"/>
      <c r="Q10" s="611"/>
      <c r="S10" s="611"/>
    </row>
    <row r="11" spans="1:19" ht="58.5" x14ac:dyDescent="0.35">
      <c r="A11" s="222" t="s">
        <v>1</v>
      </c>
      <c r="B11" s="223" t="s">
        <v>115</v>
      </c>
      <c r="C11" s="223" t="s">
        <v>180</v>
      </c>
      <c r="D11" s="223" t="s">
        <v>585</v>
      </c>
      <c r="E11" s="496" t="s">
        <v>203</v>
      </c>
      <c r="F11" s="223" t="s">
        <v>188</v>
      </c>
      <c r="G11" s="223" t="s">
        <v>189</v>
      </c>
      <c r="H11" s="497" t="s">
        <v>190</v>
      </c>
      <c r="I11" s="672" t="s">
        <v>584</v>
      </c>
      <c r="J11" s="844" t="s">
        <v>204</v>
      </c>
      <c r="K11" s="223" t="s">
        <v>116</v>
      </c>
      <c r="L11" s="223" t="s">
        <v>117</v>
      </c>
      <c r="M11" s="672" t="s">
        <v>586</v>
      </c>
      <c r="N11" s="673" t="s">
        <v>191</v>
      </c>
      <c r="S11" s="498"/>
    </row>
    <row r="12" spans="1:19" x14ac:dyDescent="0.35">
      <c r="A12" s="199" t="s">
        <v>195</v>
      </c>
      <c r="B12" s="883">
        <f>VehiclesData!B2</f>
        <v>465</v>
      </c>
      <c r="C12" s="883">
        <f>VehiclesData!C2</f>
        <v>28</v>
      </c>
      <c r="D12" s="884">
        <f>VehiclesData!D2</f>
        <v>37</v>
      </c>
      <c r="E12" s="883">
        <f>VehiclesData!E2</f>
        <v>22</v>
      </c>
      <c r="F12" s="883">
        <f>VehiclesData!F2</f>
        <v>15</v>
      </c>
      <c r="G12" s="883">
        <f>VehiclesData!G2</f>
        <v>30</v>
      </c>
      <c r="H12" s="884">
        <f>VehiclesData!H2</f>
        <v>23</v>
      </c>
      <c r="I12" s="885">
        <f>VehiclesData!I2</f>
        <v>620</v>
      </c>
      <c r="J12" s="886"/>
      <c r="K12" s="883">
        <f>VehiclesData!K2</f>
        <v>59</v>
      </c>
      <c r="L12" s="884">
        <f>VehiclesData!L2</f>
        <v>31</v>
      </c>
      <c r="M12" s="887">
        <f>VehiclesData!M2</f>
        <v>805</v>
      </c>
      <c r="N12" s="888">
        <f>VehiclesData!N2</f>
        <v>1515</v>
      </c>
      <c r="P12" s="437"/>
      <c r="S12" s="136"/>
    </row>
    <row r="13" spans="1:19" x14ac:dyDescent="0.35">
      <c r="A13" s="199" t="s">
        <v>194</v>
      </c>
      <c r="B13" s="883">
        <f>VehiclesData!B3</f>
        <v>452</v>
      </c>
      <c r="C13" s="883">
        <f>VehiclesData!C3</f>
        <v>31</v>
      </c>
      <c r="D13" s="889">
        <f>VehiclesData!D3</f>
        <v>21</v>
      </c>
      <c r="E13" s="890"/>
      <c r="F13" s="883">
        <f>VehiclesData!F3</f>
        <v>19</v>
      </c>
      <c r="G13" s="883">
        <f>VehiclesData!G3</f>
        <v>29</v>
      </c>
      <c r="H13" s="889">
        <f>VehiclesData!H3</f>
        <v>25</v>
      </c>
      <c r="I13" s="891">
        <f>VehiclesData!I3</f>
        <v>577</v>
      </c>
      <c r="J13" s="892"/>
      <c r="K13" s="883">
        <f>VehiclesData!K3</f>
        <v>65</v>
      </c>
      <c r="L13" s="889">
        <f>VehiclesData!L3</f>
        <v>31</v>
      </c>
      <c r="M13" s="893">
        <f>VehiclesData!M3</f>
        <v>628</v>
      </c>
      <c r="N13" s="894">
        <f>VehiclesData!N3</f>
        <v>1301</v>
      </c>
      <c r="S13" s="136"/>
    </row>
    <row r="14" spans="1:19" x14ac:dyDescent="0.35">
      <c r="A14" s="199" t="s">
        <v>193</v>
      </c>
      <c r="B14" s="883">
        <f>VehiclesData!B4</f>
        <v>449</v>
      </c>
      <c r="C14" s="883">
        <f>VehiclesData!C4</f>
        <v>14</v>
      </c>
      <c r="D14" s="889">
        <f>VehiclesData!D4</f>
        <v>23</v>
      </c>
      <c r="E14" s="883">
        <f>VehiclesData!E4</f>
        <v>25</v>
      </c>
      <c r="F14" s="883">
        <f>VehiclesData!F4</f>
        <v>16</v>
      </c>
      <c r="G14" s="883">
        <f>VehiclesData!G4</f>
        <v>36</v>
      </c>
      <c r="H14" s="889">
        <f>VehiclesData!H4</f>
        <v>24</v>
      </c>
      <c r="I14" s="885">
        <f>VehiclesData!I4</f>
        <v>587</v>
      </c>
      <c r="J14" s="892"/>
      <c r="K14" s="883">
        <f>VehiclesData!K4</f>
        <v>85</v>
      </c>
      <c r="L14" s="889">
        <f>VehiclesData!L4</f>
        <v>27</v>
      </c>
      <c r="M14" s="893">
        <f>VehiclesData!M4</f>
        <v>875</v>
      </c>
      <c r="N14" s="894">
        <f>VehiclesData!N4</f>
        <v>1574</v>
      </c>
      <c r="S14" s="136"/>
    </row>
    <row r="15" spans="1:19" x14ac:dyDescent="0.35">
      <c r="A15" s="199" t="s">
        <v>192</v>
      </c>
      <c r="B15" s="883">
        <f>VehiclesData!B5</f>
        <v>438</v>
      </c>
      <c r="C15" s="883">
        <f>VehiclesData!C5</f>
        <v>12</v>
      </c>
      <c r="D15" s="895">
        <f>VehiclesData!D5</f>
        <v>14</v>
      </c>
      <c r="E15" s="883">
        <f>VehiclesData!E5</f>
        <v>24</v>
      </c>
      <c r="F15" s="883">
        <f>VehiclesData!F5</f>
        <v>18</v>
      </c>
      <c r="G15" s="883">
        <f>VehiclesData!G5</f>
        <v>39</v>
      </c>
      <c r="H15" s="889">
        <f>VehiclesData!H5</f>
        <v>47</v>
      </c>
      <c r="I15" s="885">
        <f>VehiclesData!I5</f>
        <v>592</v>
      </c>
      <c r="J15" s="892"/>
      <c r="K15" s="883">
        <f>VehiclesData!K5</f>
        <v>65</v>
      </c>
      <c r="L15" s="889">
        <f>VehiclesData!L5</f>
        <v>42</v>
      </c>
      <c r="M15" s="893">
        <f>VehiclesData!M5</f>
        <v>811</v>
      </c>
      <c r="N15" s="894">
        <f>VehiclesData!N5</f>
        <v>1510</v>
      </c>
      <c r="S15" s="136"/>
    </row>
    <row r="16" spans="1:19" x14ac:dyDescent="0.35">
      <c r="A16" s="999" t="s">
        <v>258</v>
      </c>
      <c r="B16" s="883">
        <f>VehiclesData!B6</f>
        <v>418</v>
      </c>
      <c r="C16" s="883">
        <f>VehiclesData!C6</f>
        <v>26</v>
      </c>
      <c r="D16" s="889">
        <f>VehiclesData!D6</f>
        <v>43</v>
      </c>
      <c r="E16" s="883">
        <f>VehiclesData!E6</f>
        <v>26</v>
      </c>
      <c r="F16" s="883">
        <f>VehiclesData!F6</f>
        <v>17</v>
      </c>
      <c r="G16" s="883">
        <f>VehiclesData!G6</f>
        <v>34</v>
      </c>
      <c r="H16" s="889">
        <f>VehiclesData!H6</f>
        <v>68</v>
      </c>
      <c r="I16" s="885">
        <f>VehiclesData!I6</f>
        <v>632</v>
      </c>
      <c r="J16" s="892"/>
      <c r="K16" s="883">
        <f>VehiclesData!K6</f>
        <v>65</v>
      </c>
      <c r="L16" s="889">
        <f>VehiclesData!L6</f>
        <v>62</v>
      </c>
      <c r="M16" s="893">
        <f>VehiclesData!M6</f>
        <v>788</v>
      </c>
      <c r="N16" s="894">
        <f>VehiclesData!N6</f>
        <v>1547</v>
      </c>
      <c r="S16" s="136"/>
    </row>
    <row r="17" spans="1:19" x14ac:dyDescent="0.35">
      <c r="A17" s="999" t="s">
        <v>242</v>
      </c>
      <c r="B17" s="883">
        <f>VehiclesData!B7</f>
        <v>417</v>
      </c>
      <c r="C17" s="883">
        <f>VehiclesData!C7</f>
        <v>25</v>
      </c>
      <c r="D17" s="889">
        <f>VehiclesData!D7</f>
        <v>43</v>
      </c>
      <c r="E17" s="883">
        <f>VehiclesData!E7</f>
        <v>27</v>
      </c>
      <c r="F17" s="883">
        <f>VehiclesData!F7</f>
        <v>20</v>
      </c>
      <c r="G17" s="883">
        <f>VehiclesData!G7</f>
        <v>41</v>
      </c>
      <c r="H17" s="889">
        <f>VehiclesData!H7</f>
        <v>59</v>
      </c>
      <c r="I17" s="885">
        <f>VehiclesData!I7</f>
        <v>632</v>
      </c>
      <c r="J17" s="893">
        <f>VehiclesData!J7</f>
        <v>95</v>
      </c>
      <c r="K17" s="883">
        <f>VehiclesData!K7</f>
        <v>74</v>
      </c>
      <c r="L17" s="889">
        <f>VehiclesData!L7</f>
        <v>64</v>
      </c>
      <c r="M17" s="893">
        <f>VehiclesData!M7</f>
        <v>641</v>
      </c>
      <c r="N17" s="894">
        <f>VehiclesData!N7</f>
        <v>1506</v>
      </c>
      <c r="P17" s="437"/>
      <c r="S17" s="136"/>
    </row>
    <row r="18" spans="1:19" x14ac:dyDescent="0.35">
      <c r="A18" s="999" t="s">
        <v>241</v>
      </c>
      <c r="B18" s="883">
        <f>VehiclesData!B8</f>
        <v>431</v>
      </c>
      <c r="C18" s="883">
        <f>VehiclesData!C8</f>
        <v>28</v>
      </c>
      <c r="D18" s="889">
        <f>VehiclesData!D8</f>
        <v>42</v>
      </c>
      <c r="E18" s="883">
        <f>VehiclesData!E8</f>
        <v>39</v>
      </c>
      <c r="F18" s="883">
        <f>VehiclesData!F8</f>
        <v>25</v>
      </c>
      <c r="G18" s="883">
        <f>VehiclesData!G8</f>
        <v>39</v>
      </c>
      <c r="H18" s="889">
        <f>VehiclesData!H8</f>
        <v>62</v>
      </c>
      <c r="I18" s="885">
        <f>VehiclesData!I8</f>
        <v>666</v>
      </c>
      <c r="J18" s="893">
        <f>VehiclesData!J8</f>
        <v>198</v>
      </c>
      <c r="K18" s="883">
        <f>VehiclesData!K8</f>
        <v>90</v>
      </c>
      <c r="L18" s="889">
        <f>VehiclesData!L8</f>
        <v>65</v>
      </c>
      <c r="M18" s="893">
        <f>VehiclesData!M8</f>
        <v>532</v>
      </c>
      <c r="N18" s="894">
        <f>VehiclesData!N8</f>
        <v>1551</v>
      </c>
      <c r="P18" s="437"/>
      <c r="S18" s="136"/>
    </row>
    <row r="19" spans="1:19" x14ac:dyDescent="0.35">
      <c r="A19" s="999" t="s">
        <v>773</v>
      </c>
      <c r="B19" s="883">
        <f>VehiclesData!B9</f>
        <v>421</v>
      </c>
      <c r="C19" s="883">
        <f>VehiclesData!C9</f>
        <v>26</v>
      </c>
      <c r="D19" s="889">
        <f>VehiclesData!D9</f>
        <v>39</v>
      </c>
      <c r="E19" s="883">
        <f>VehiclesData!E9</f>
        <v>41</v>
      </c>
      <c r="F19" s="883">
        <f>VehiclesData!F9</f>
        <v>29</v>
      </c>
      <c r="G19" s="883">
        <f>VehiclesData!G9</f>
        <v>36</v>
      </c>
      <c r="H19" s="889">
        <f>VehiclesData!H9</f>
        <v>63</v>
      </c>
      <c r="I19" s="885">
        <f>VehiclesData!I9</f>
        <v>655</v>
      </c>
      <c r="J19" s="896">
        <f>VehiclesData!J9</f>
        <v>285</v>
      </c>
      <c r="K19" s="883">
        <f>VehiclesData!K9</f>
        <v>86</v>
      </c>
      <c r="L19" s="889">
        <f>VehiclesData!L9</f>
        <v>71</v>
      </c>
      <c r="M19" s="896">
        <f>VehiclesData!M9</f>
        <v>470</v>
      </c>
      <c r="N19" s="894">
        <f>VehiclesData!N9</f>
        <v>1567</v>
      </c>
      <c r="P19" s="437"/>
      <c r="S19" s="136"/>
    </row>
    <row r="20" spans="1:19" ht="15" thickBot="1" x14ac:dyDescent="0.4">
      <c r="A20" s="206" t="s">
        <v>951</v>
      </c>
      <c r="B20" s="897">
        <f>VehiclesData!B10</f>
        <v>445</v>
      </c>
      <c r="C20" s="897">
        <f>VehiclesData!C10</f>
        <v>25</v>
      </c>
      <c r="D20" s="898">
        <f>VehiclesData!D10</f>
        <v>38</v>
      </c>
      <c r="E20" s="897">
        <f>VehiclesData!E10</f>
        <v>24</v>
      </c>
      <c r="F20" s="897">
        <f>VehiclesData!F10</f>
        <v>28</v>
      </c>
      <c r="G20" s="897">
        <f>VehiclesData!G10</f>
        <v>30</v>
      </c>
      <c r="H20" s="898">
        <f>VehiclesData!H10</f>
        <v>60</v>
      </c>
      <c r="I20" s="899">
        <f>VehiclesData!I10</f>
        <v>650</v>
      </c>
      <c r="J20" s="900">
        <f>VehiclesData!J10</f>
        <v>335</v>
      </c>
      <c r="K20" s="897">
        <f>VehiclesData!K10</f>
        <v>94</v>
      </c>
      <c r="L20" s="898">
        <f>VehiclesData!L10</f>
        <v>61</v>
      </c>
      <c r="M20" s="900">
        <f>VehiclesData!M10</f>
        <v>491</v>
      </c>
      <c r="N20" s="901">
        <f>VehiclesData!N10</f>
        <v>1631</v>
      </c>
      <c r="S20" s="136"/>
    </row>
    <row r="21" spans="1:19" x14ac:dyDescent="0.35">
      <c r="A21" s="845"/>
      <c r="B21" s="75"/>
      <c r="C21" s="75"/>
      <c r="D21" s="75"/>
      <c r="E21" s="75"/>
      <c r="F21" s="75"/>
      <c r="G21" s="75"/>
      <c r="H21" s="75"/>
      <c r="I21" s="75"/>
      <c r="J21" s="75"/>
      <c r="K21" s="75"/>
      <c r="L21" s="75"/>
      <c r="M21" s="75"/>
      <c r="O21" s="75"/>
      <c r="Q21" s="75"/>
      <c r="R21" s="75"/>
      <c r="S21" s="75"/>
    </row>
    <row r="22" spans="1:19" x14ac:dyDescent="0.35">
      <c r="A22" s="359" t="s">
        <v>8</v>
      </c>
      <c r="I22" s="166"/>
    </row>
    <row r="23" spans="1:19" ht="30.75" customHeight="1" x14ac:dyDescent="0.35">
      <c r="A23" s="1171" t="s">
        <v>847</v>
      </c>
      <c r="B23" s="1171"/>
      <c r="C23" s="1171"/>
      <c r="D23" s="1171"/>
      <c r="E23" s="1171"/>
      <c r="F23" s="1171"/>
      <c r="G23" s="1171"/>
      <c r="H23" s="1171"/>
      <c r="I23" s="1171"/>
      <c r="J23" s="1171"/>
      <c r="K23" s="1171"/>
      <c r="L23" s="1171"/>
      <c r="M23" s="1171"/>
      <c r="N23" s="1171"/>
    </row>
    <row r="24" spans="1:19" ht="15" customHeight="1" x14ac:dyDescent="0.35">
      <c r="A24" s="460" t="s">
        <v>745</v>
      </c>
      <c r="B24" s="680"/>
      <c r="C24" s="680"/>
      <c r="D24" s="680"/>
      <c r="E24" s="680"/>
      <c r="F24" s="680"/>
      <c r="G24" s="680"/>
      <c r="H24" s="680"/>
      <c r="I24" s="680"/>
      <c r="J24" s="680"/>
      <c r="K24" s="680"/>
      <c r="L24" s="680"/>
      <c r="M24" s="680"/>
      <c r="N24" s="680"/>
    </row>
    <row r="25" spans="1:19" ht="30" customHeight="1" x14ac:dyDescent="0.35">
      <c r="A25" s="1159" t="s">
        <v>724</v>
      </c>
      <c r="B25" s="1159"/>
      <c r="C25" s="1159"/>
      <c r="D25" s="1159"/>
      <c r="E25" s="1159"/>
      <c r="F25" s="1159"/>
      <c r="G25" s="1159"/>
      <c r="H25" s="1159"/>
      <c r="I25" s="1159"/>
      <c r="J25" s="1159"/>
      <c r="K25" s="1159"/>
      <c r="L25" s="1159"/>
      <c r="M25" s="1159"/>
      <c r="N25" s="1159"/>
    </row>
    <row r="26" spans="1:19" ht="45" customHeight="1" x14ac:dyDescent="0.35">
      <c r="A26" s="1159" t="s">
        <v>725</v>
      </c>
      <c r="B26" s="1159"/>
      <c r="C26" s="1159"/>
      <c r="D26" s="1159"/>
      <c r="E26" s="1159"/>
      <c r="F26" s="1159"/>
      <c r="G26" s="1159"/>
      <c r="H26" s="1159"/>
      <c r="I26" s="1159"/>
      <c r="J26" s="1159"/>
      <c r="K26" s="1159"/>
      <c r="L26" s="1159"/>
      <c r="M26" s="1159"/>
      <c r="N26" s="1159"/>
      <c r="O26" s="563"/>
      <c r="P26" s="563"/>
      <c r="Q26" s="563"/>
      <c r="R26" s="563"/>
    </row>
    <row r="27" spans="1:19" x14ac:dyDescent="0.35">
      <c r="A27" t="s">
        <v>225</v>
      </c>
    </row>
    <row r="28" spans="1:19" ht="45" customHeight="1" x14ac:dyDescent="0.35">
      <c r="A28" s="1159" t="s">
        <v>726</v>
      </c>
      <c r="B28" s="1159"/>
      <c r="C28" s="1159"/>
      <c r="D28" s="1159"/>
      <c r="E28" s="1159"/>
      <c r="F28" s="1159"/>
      <c r="G28" s="1159"/>
      <c r="H28" s="1159"/>
      <c r="I28" s="1159"/>
      <c r="J28" s="1159"/>
      <c r="K28" s="1159"/>
      <c r="L28" s="1159"/>
      <c r="M28" s="1159"/>
      <c r="N28" s="1159"/>
      <c r="O28" s="423"/>
      <c r="P28" s="423"/>
      <c r="Q28" s="423"/>
      <c r="R28" s="423"/>
      <c r="S28" s="493"/>
    </row>
    <row r="29" spans="1:19" x14ac:dyDescent="0.35">
      <c r="S29" s="494"/>
    </row>
    <row r="31" spans="1:19" x14ac:dyDescent="0.35">
      <c r="A31" s="397"/>
    </row>
  </sheetData>
  <sheetProtection algorithmName="SHA-512" hashValue="WU7T131GK1gQ7hviGmzM7t6sqbYqO3TtkB7K+a4uE0lRiKVAS4bDpWFPuB923OU8TXC5Id27Pi4AaZpFp8hWIQ==" saltValue="BkYIyswUVhZmAwkje3nWtQ==" spinCount="100000" sheet="1" scenarios="1" formatCells="0" formatColumns="0" formatRows="0" sort="0" autoFilter="0" pivotTables="0"/>
  <mergeCells count="5">
    <mergeCell ref="A1:J1"/>
    <mergeCell ref="A23:N23"/>
    <mergeCell ref="A25:N25"/>
    <mergeCell ref="A26:N26"/>
    <mergeCell ref="A28:N28"/>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B3FF"/>
  </sheetPr>
  <dimension ref="A1:H36"/>
  <sheetViews>
    <sheetView workbookViewId="0">
      <selection activeCell="B1" sqref="B1"/>
    </sheetView>
  </sheetViews>
  <sheetFormatPr defaultRowHeight="14.5" x14ac:dyDescent="0.35"/>
  <cols>
    <col min="1" max="1" width="20.36328125" bestFit="1" customWidth="1"/>
    <col min="2" max="2" width="24.1796875" bestFit="1" customWidth="1"/>
    <col min="3" max="3" width="21.6328125" bestFit="1" customWidth="1"/>
    <col min="4" max="4" width="28.54296875" bestFit="1" customWidth="1"/>
    <col min="5" max="5" width="29" bestFit="1" customWidth="1"/>
    <col min="6" max="6" width="22.7265625" bestFit="1" customWidth="1"/>
    <col min="7" max="7" width="25" bestFit="1" customWidth="1"/>
    <col min="8" max="8" width="21.08984375" bestFit="1" customWidth="1"/>
  </cols>
  <sheetData>
    <row r="1" spans="1:8" x14ac:dyDescent="0.35">
      <c r="A1" s="459" t="s">
        <v>1</v>
      </c>
      <c r="B1" t="s">
        <v>951</v>
      </c>
    </row>
    <row r="3" spans="1:8" x14ac:dyDescent="0.35">
      <c r="A3" s="459" t="s">
        <v>234</v>
      </c>
      <c r="B3" t="s">
        <v>318</v>
      </c>
      <c r="C3" t="s">
        <v>319</v>
      </c>
      <c r="D3" t="s">
        <v>17438</v>
      </c>
      <c r="E3" t="s">
        <v>404</v>
      </c>
      <c r="F3" t="s">
        <v>17439</v>
      </c>
      <c r="G3" t="s">
        <v>17437</v>
      </c>
      <c r="H3" t="s">
        <v>17440</v>
      </c>
    </row>
    <row r="4" spans="1:8" x14ac:dyDescent="0.35">
      <c r="A4" s="1000" t="s">
        <v>31</v>
      </c>
      <c r="B4" s="461">
        <v>7</v>
      </c>
      <c r="C4" s="461">
        <v>1</v>
      </c>
      <c r="D4" s="461">
        <v>2</v>
      </c>
      <c r="E4" s="461">
        <v>0</v>
      </c>
      <c r="F4" s="461">
        <v>2</v>
      </c>
      <c r="G4" s="461">
        <v>4</v>
      </c>
      <c r="H4" s="461">
        <v>16</v>
      </c>
    </row>
    <row r="5" spans="1:8" x14ac:dyDescent="0.35">
      <c r="A5" s="1000" t="s">
        <v>32</v>
      </c>
      <c r="B5" s="461">
        <v>31</v>
      </c>
      <c r="C5" s="461">
        <v>0</v>
      </c>
      <c r="D5" s="461">
        <v>0</v>
      </c>
      <c r="E5" s="461">
        <v>0</v>
      </c>
      <c r="F5" s="461">
        <v>4</v>
      </c>
      <c r="G5" s="461">
        <v>1</v>
      </c>
      <c r="H5" s="461">
        <v>36</v>
      </c>
    </row>
    <row r="6" spans="1:8" x14ac:dyDescent="0.35">
      <c r="A6" s="1000" t="s">
        <v>33</v>
      </c>
      <c r="B6" s="461">
        <v>11</v>
      </c>
      <c r="C6" s="461">
        <v>0</v>
      </c>
      <c r="D6" s="461">
        <v>0</v>
      </c>
      <c r="E6" s="461">
        <v>0</v>
      </c>
      <c r="F6" s="461">
        <v>1</v>
      </c>
      <c r="G6" s="461">
        <v>1</v>
      </c>
      <c r="H6" s="461">
        <v>13</v>
      </c>
    </row>
    <row r="7" spans="1:8" x14ac:dyDescent="0.35">
      <c r="A7" s="1000" t="s">
        <v>34</v>
      </c>
      <c r="B7" s="461">
        <v>25</v>
      </c>
      <c r="C7" s="461">
        <v>1</v>
      </c>
      <c r="D7" s="461">
        <v>1</v>
      </c>
      <c r="E7" s="461">
        <v>17</v>
      </c>
      <c r="F7" s="461">
        <v>4</v>
      </c>
      <c r="G7" s="461">
        <v>0</v>
      </c>
      <c r="H7" s="461">
        <v>48</v>
      </c>
    </row>
    <row r="8" spans="1:8" x14ac:dyDescent="0.35">
      <c r="A8" s="1000" t="s">
        <v>245</v>
      </c>
      <c r="B8" s="461">
        <v>19</v>
      </c>
      <c r="C8" s="461">
        <v>3</v>
      </c>
      <c r="D8" s="461">
        <v>2</v>
      </c>
      <c r="E8" s="461">
        <v>0</v>
      </c>
      <c r="F8" s="461">
        <v>3</v>
      </c>
      <c r="G8" s="461">
        <v>4</v>
      </c>
      <c r="H8" s="461">
        <v>31</v>
      </c>
    </row>
    <row r="9" spans="1:8" x14ac:dyDescent="0.35">
      <c r="A9" s="1000" t="s">
        <v>35</v>
      </c>
      <c r="B9" s="461">
        <v>3</v>
      </c>
      <c r="C9" s="461">
        <v>0</v>
      </c>
      <c r="D9" s="461">
        <v>1</v>
      </c>
      <c r="E9" s="461">
        <v>0</v>
      </c>
      <c r="F9" s="461">
        <v>1</v>
      </c>
      <c r="G9" s="461">
        <v>0</v>
      </c>
      <c r="H9" s="461">
        <v>5</v>
      </c>
    </row>
    <row r="10" spans="1:8" x14ac:dyDescent="0.35">
      <c r="A10" s="1000" t="s">
        <v>36</v>
      </c>
      <c r="B10" s="461">
        <v>21</v>
      </c>
      <c r="C10" s="461">
        <v>1</v>
      </c>
      <c r="D10" s="461">
        <v>3</v>
      </c>
      <c r="E10" s="461">
        <v>0</v>
      </c>
      <c r="F10" s="461">
        <v>3</v>
      </c>
      <c r="G10" s="461">
        <v>0</v>
      </c>
      <c r="H10" s="461">
        <v>28</v>
      </c>
    </row>
    <row r="11" spans="1:8" x14ac:dyDescent="0.35">
      <c r="A11" s="1000" t="s">
        <v>37</v>
      </c>
      <c r="B11" s="461">
        <v>7</v>
      </c>
      <c r="C11" s="461">
        <v>2</v>
      </c>
      <c r="D11" s="461">
        <v>1</v>
      </c>
      <c r="E11" s="461">
        <v>0</v>
      </c>
      <c r="F11" s="461">
        <v>2</v>
      </c>
      <c r="G11" s="461">
        <v>2</v>
      </c>
      <c r="H11" s="461">
        <v>14</v>
      </c>
    </row>
    <row r="12" spans="1:8" x14ac:dyDescent="0.35">
      <c r="A12" s="1000" t="s">
        <v>38</v>
      </c>
      <c r="B12" s="461">
        <v>10</v>
      </c>
      <c r="C12" s="461">
        <v>1</v>
      </c>
      <c r="D12" s="461">
        <v>0</v>
      </c>
      <c r="E12" s="461">
        <v>0</v>
      </c>
      <c r="F12" s="461">
        <v>0</v>
      </c>
      <c r="G12" s="461">
        <v>1</v>
      </c>
      <c r="H12" s="461">
        <v>12</v>
      </c>
    </row>
    <row r="13" spans="1:8" x14ac:dyDescent="0.35">
      <c r="A13" s="1000" t="s">
        <v>39</v>
      </c>
      <c r="B13" s="461">
        <v>3</v>
      </c>
      <c r="C13" s="461">
        <v>0</v>
      </c>
      <c r="D13" s="461">
        <v>0</v>
      </c>
      <c r="E13" s="461">
        <v>0</v>
      </c>
      <c r="F13" s="461">
        <v>0</v>
      </c>
      <c r="G13" s="461">
        <v>2</v>
      </c>
      <c r="H13" s="461">
        <v>5</v>
      </c>
    </row>
    <row r="14" spans="1:8" x14ac:dyDescent="0.35">
      <c r="A14" s="1000" t="s">
        <v>40</v>
      </c>
      <c r="B14" s="461">
        <v>9</v>
      </c>
      <c r="C14" s="461">
        <v>0</v>
      </c>
      <c r="D14" s="461">
        <v>0</v>
      </c>
      <c r="E14" s="461">
        <v>0</v>
      </c>
      <c r="F14" s="461">
        <v>1</v>
      </c>
      <c r="G14" s="461">
        <v>0</v>
      </c>
      <c r="H14" s="461">
        <v>10</v>
      </c>
    </row>
    <row r="15" spans="1:8" x14ac:dyDescent="0.35">
      <c r="A15" s="1000" t="s">
        <v>41</v>
      </c>
      <c r="B15" s="461">
        <v>2</v>
      </c>
      <c r="C15" s="461">
        <v>0</v>
      </c>
      <c r="D15" s="461">
        <v>0</v>
      </c>
      <c r="E15" s="461">
        <v>0</v>
      </c>
      <c r="F15" s="461">
        <v>0</v>
      </c>
      <c r="G15" s="461">
        <v>0</v>
      </c>
      <c r="H15" s="461">
        <v>2</v>
      </c>
    </row>
    <row r="16" spans="1:8" x14ac:dyDescent="0.35">
      <c r="A16" s="1000" t="s">
        <v>42</v>
      </c>
      <c r="B16" s="461">
        <v>9</v>
      </c>
      <c r="C16" s="461">
        <v>1</v>
      </c>
      <c r="D16" s="461">
        <v>0</v>
      </c>
      <c r="E16" s="461">
        <v>0</v>
      </c>
      <c r="F16" s="461">
        <v>4</v>
      </c>
      <c r="G16" s="461">
        <v>1</v>
      </c>
      <c r="H16" s="461">
        <v>15</v>
      </c>
    </row>
    <row r="17" spans="1:8" x14ac:dyDescent="0.35">
      <c r="A17" s="1000" t="s">
        <v>43</v>
      </c>
      <c r="B17" s="461">
        <v>20</v>
      </c>
      <c r="C17" s="461">
        <v>2</v>
      </c>
      <c r="D17" s="461">
        <v>2</v>
      </c>
      <c r="E17" s="461">
        <v>0</v>
      </c>
      <c r="F17" s="461">
        <v>4</v>
      </c>
      <c r="G17" s="461">
        <v>0</v>
      </c>
      <c r="H17" s="461">
        <v>28</v>
      </c>
    </row>
    <row r="18" spans="1:8" x14ac:dyDescent="0.35">
      <c r="A18" s="1000" t="s">
        <v>114</v>
      </c>
      <c r="B18" s="461">
        <v>29</v>
      </c>
      <c r="C18" s="461">
        <v>3</v>
      </c>
      <c r="D18" s="461">
        <v>3</v>
      </c>
      <c r="E18" s="461">
        <v>0</v>
      </c>
      <c r="F18" s="461">
        <v>4</v>
      </c>
      <c r="G18" s="461">
        <v>0</v>
      </c>
      <c r="H18" s="461">
        <v>39</v>
      </c>
    </row>
    <row r="19" spans="1:8" x14ac:dyDescent="0.35">
      <c r="A19" s="1000" t="s">
        <v>44</v>
      </c>
      <c r="B19" s="461">
        <v>65</v>
      </c>
      <c r="C19" s="461">
        <v>1</v>
      </c>
      <c r="D19" s="461">
        <v>3</v>
      </c>
      <c r="E19" s="461">
        <v>3</v>
      </c>
      <c r="F19" s="461">
        <v>2</v>
      </c>
      <c r="G19" s="461">
        <v>1</v>
      </c>
      <c r="H19" s="461">
        <v>75</v>
      </c>
    </row>
    <row r="20" spans="1:8" x14ac:dyDescent="0.35">
      <c r="A20" s="1000" t="s">
        <v>45</v>
      </c>
      <c r="B20" s="461">
        <v>6</v>
      </c>
      <c r="C20" s="461">
        <v>1</v>
      </c>
      <c r="D20" s="461">
        <v>0</v>
      </c>
      <c r="E20" s="461">
        <v>0</v>
      </c>
      <c r="F20" s="461">
        <v>0</v>
      </c>
      <c r="G20" s="461">
        <v>0</v>
      </c>
      <c r="H20" s="461">
        <v>7</v>
      </c>
    </row>
    <row r="21" spans="1:8" x14ac:dyDescent="0.35">
      <c r="A21" s="1000" t="s">
        <v>46</v>
      </c>
      <c r="B21" s="461">
        <v>3</v>
      </c>
      <c r="C21" s="461">
        <v>0</v>
      </c>
      <c r="D21" s="461">
        <v>0</v>
      </c>
      <c r="E21" s="461">
        <v>0</v>
      </c>
      <c r="F21" s="461">
        <v>1</v>
      </c>
      <c r="G21" s="461">
        <v>0</v>
      </c>
      <c r="H21" s="461">
        <v>4</v>
      </c>
    </row>
    <row r="22" spans="1:8" x14ac:dyDescent="0.35">
      <c r="A22" s="1000" t="s">
        <v>47</v>
      </c>
      <c r="B22" s="461">
        <v>13</v>
      </c>
      <c r="C22" s="461">
        <v>0</v>
      </c>
      <c r="D22" s="461">
        <v>1</v>
      </c>
      <c r="E22" s="461">
        <v>2</v>
      </c>
      <c r="F22" s="461">
        <v>4</v>
      </c>
      <c r="G22" s="461">
        <v>1</v>
      </c>
      <c r="H22" s="461">
        <v>21</v>
      </c>
    </row>
    <row r="23" spans="1:8" x14ac:dyDescent="0.35">
      <c r="A23" s="1000" t="s">
        <v>48</v>
      </c>
      <c r="B23" s="461">
        <v>15</v>
      </c>
      <c r="C23" s="461">
        <v>0</v>
      </c>
      <c r="D23" s="461">
        <v>0</v>
      </c>
      <c r="E23" s="461">
        <v>0</v>
      </c>
      <c r="F23" s="461">
        <v>0</v>
      </c>
      <c r="G23" s="461">
        <v>0</v>
      </c>
      <c r="H23" s="461">
        <v>15</v>
      </c>
    </row>
    <row r="24" spans="1:8" x14ac:dyDescent="0.35">
      <c r="A24" s="1000" t="s">
        <v>49</v>
      </c>
      <c r="B24" s="461">
        <v>17</v>
      </c>
      <c r="C24" s="461">
        <v>0</v>
      </c>
      <c r="D24" s="461">
        <v>0</v>
      </c>
      <c r="E24" s="461">
        <v>1</v>
      </c>
      <c r="F24" s="461">
        <v>2</v>
      </c>
      <c r="G24" s="461">
        <v>1</v>
      </c>
      <c r="H24" s="461">
        <v>21</v>
      </c>
    </row>
    <row r="25" spans="1:8" x14ac:dyDescent="0.35">
      <c r="A25" s="1000" t="s">
        <v>50</v>
      </c>
      <c r="B25" s="461">
        <v>8</v>
      </c>
      <c r="C25" s="461">
        <v>2</v>
      </c>
      <c r="D25" s="461">
        <v>1</v>
      </c>
      <c r="E25" s="461">
        <v>0</v>
      </c>
      <c r="F25" s="461">
        <v>3</v>
      </c>
      <c r="G25" s="461">
        <v>2</v>
      </c>
      <c r="H25" s="461">
        <v>16</v>
      </c>
    </row>
    <row r="26" spans="1:8" x14ac:dyDescent="0.35">
      <c r="A26" s="1000" t="s">
        <v>51</v>
      </c>
      <c r="B26" s="461">
        <v>15</v>
      </c>
      <c r="C26" s="461">
        <v>0</v>
      </c>
      <c r="D26" s="461">
        <v>0</v>
      </c>
      <c r="E26" s="461">
        <v>1</v>
      </c>
      <c r="F26" s="461">
        <v>0</v>
      </c>
      <c r="G26" s="461">
        <v>0</v>
      </c>
      <c r="H26" s="461">
        <v>16</v>
      </c>
    </row>
    <row r="27" spans="1:8" x14ac:dyDescent="0.35">
      <c r="A27" s="1000" t="s">
        <v>52</v>
      </c>
      <c r="B27" s="461">
        <v>15</v>
      </c>
      <c r="C27" s="461">
        <v>1</v>
      </c>
      <c r="D27" s="461">
        <v>1</v>
      </c>
      <c r="E27" s="461">
        <v>3</v>
      </c>
      <c r="F27" s="461">
        <v>0</v>
      </c>
      <c r="G27" s="461">
        <v>0</v>
      </c>
      <c r="H27" s="461">
        <v>20</v>
      </c>
    </row>
    <row r="28" spans="1:8" x14ac:dyDescent="0.35">
      <c r="A28" s="1000" t="s">
        <v>53</v>
      </c>
      <c r="B28" s="461">
        <v>5</v>
      </c>
      <c r="C28" s="461">
        <v>2</v>
      </c>
      <c r="D28" s="461">
        <v>0</v>
      </c>
      <c r="E28" s="461">
        <v>0</v>
      </c>
      <c r="F28" s="461">
        <v>3</v>
      </c>
      <c r="G28" s="461">
        <v>0</v>
      </c>
      <c r="H28" s="461">
        <v>10</v>
      </c>
    </row>
    <row r="29" spans="1:8" x14ac:dyDescent="0.35">
      <c r="A29" s="1000" t="s">
        <v>54</v>
      </c>
      <c r="B29" s="461">
        <v>17</v>
      </c>
      <c r="C29" s="461">
        <v>0</v>
      </c>
      <c r="D29" s="461">
        <v>2</v>
      </c>
      <c r="E29" s="461">
        <v>0</v>
      </c>
      <c r="F29" s="461">
        <v>1</v>
      </c>
      <c r="G29" s="461">
        <v>0</v>
      </c>
      <c r="H29" s="461">
        <v>20</v>
      </c>
    </row>
    <row r="30" spans="1:8" x14ac:dyDescent="0.35">
      <c r="A30" s="1000" t="s">
        <v>55</v>
      </c>
      <c r="B30" s="461">
        <v>16</v>
      </c>
      <c r="C30" s="461">
        <v>0</v>
      </c>
      <c r="D30" s="461">
        <v>0</v>
      </c>
      <c r="E30" s="461">
        <v>1</v>
      </c>
      <c r="F30" s="461">
        <v>1</v>
      </c>
      <c r="G30" s="461">
        <v>0</v>
      </c>
      <c r="H30" s="461">
        <v>18</v>
      </c>
    </row>
    <row r="31" spans="1:8" x14ac:dyDescent="0.35">
      <c r="A31" s="1000" t="s">
        <v>56</v>
      </c>
      <c r="B31" s="461">
        <v>7</v>
      </c>
      <c r="C31" s="461">
        <v>1</v>
      </c>
      <c r="D31" s="461">
        <v>1</v>
      </c>
      <c r="E31" s="461">
        <v>0</v>
      </c>
      <c r="F31" s="461">
        <v>0</v>
      </c>
      <c r="G31" s="461">
        <v>0</v>
      </c>
      <c r="H31" s="461">
        <v>9</v>
      </c>
    </row>
    <row r="32" spans="1:8" x14ac:dyDescent="0.35">
      <c r="A32" s="1000" t="s">
        <v>57</v>
      </c>
      <c r="B32" s="461">
        <v>15</v>
      </c>
      <c r="C32" s="461">
        <v>1</v>
      </c>
      <c r="D32" s="461">
        <v>2</v>
      </c>
      <c r="E32" s="461">
        <v>0</v>
      </c>
      <c r="F32" s="461">
        <v>5</v>
      </c>
      <c r="G32" s="461">
        <v>1</v>
      </c>
      <c r="H32" s="461">
        <v>24</v>
      </c>
    </row>
    <row r="33" spans="1:8" x14ac:dyDescent="0.35">
      <c r="A33" s="1000" t="s">
        <v>58</v>
      </c>
      <c r="B33" s="461">
        <v>9</v>
      </c>
      <c r="C33" s="461">
        <v>0</v>
      </c>
      <c r="D33" s="461">
        <v>1</v>
      </c>
      <c r="E33" s="461">
        <v>2</v>
      </c>
      <c r="F33" s="461">
        <v>3</v>
      </c>
      <c r="G33" s="461">
        <v>0</v>
      </c>
      <c r="H33" s="461">
        <v>15</v>
      </c>
    </row>
    <row r="34" spans="1:8" x14ac:dyDescent="0.35">
      <c r="A34" s="1000" t="s">
        <v>59</v>
      </c>
      <c r="B34" s="461">
        <v>4</v>
      </c>
      <c r="C34" s="461">
        <v>1</v>
      </c>
      <c r="D34" s="461">
        <v>0</v>
      </c>
      <c r="E34" s="461">
        <v>0</v>
      </c>
      <c r="F34" s="461">
        <v>1</v>
      </c>
      <c r="G34" s="461">
        <v>1</v>
      </c>
      <c r="H34" s="461">
        <v>7</v>
      </c>
    </row>
    <row r="35" spans="1:8" x14ac:dyDescent="0.35">
      <c r="A35" s="1000" t="s">
        <v>60</v>
      </c>
      <c r="B35" s="461">
        <v>9</v>
      </c>
      <c r="C35" s="461">
        <v>0</v>
      </c>
      <c r="D35" s="461">
        <v>1</v>
      </c>
      <c r="E35" s="461">
        <v>0</v>
      </c>
      <c r="F35" s="461">
        <v>1</v>
      </c>
      <c r="G35" s="461">
        <v>0</v>
      </c>
      <c r="H35" s="461">
        <v>11</v>
      </c>
    </row>
    <row r="36" spans="1:8" x14ac:dyDescent="0.35">
      <c r="A36" s="1000" t="s">
        <v>239</v>
      </c>
      <c r="B36" s="461">
        <v>445</v>
      </c>
      <c r="C36" s="461">
        <v>25</v>
      </c>
      <c r="D36" s="461">
        <v>28</v>
      </c>
      <c r="E36" s="461">
        <v>30</v>
      </c>
      <c r="F36" s="461">
        <v>60</v>
      </c>
      <c r="G36" s="461">
        <v>23</v>
      </c>
      <c r="H36" s="461">
        <v>611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B3FF"/>
  </sheetPr>
  <dimension ref="A1:J97"/>
  <sheetViews>
    <sheetView topLeftCell="A2" workbookViewId="0">
      <selection sqref="A1:J97"/>
    </sheetView>
  </sheetViews>
  <sheetFormatPr defaultRowHeight="14.5" x14ac:dyDescent="0.35"/>
  <cols>
    <col min="1" max="1" width="7.453125" bestFit="1" customWidth="1"/>
    <col min="2" max="2" width="9.81640625" bestFit="1" customWidth="1"/>
    <col min="3" max="3" width="20.36328125" bestFit="1" customWidth="1"/>
    <col min="4" max="4" width="20.08984375" bestFit="1" customWidth="1"/>
    <col min="5" max="5" width="17.453125" bestFit="1" customWidth="1"/>
    <col min="6" max="6" width="20.90625" bestFit="1" customWidth="1"/>
    <col min="7" max="7" width="24.453125" bestFit="1" customWidth="1"/>
    <col min="8" max="8" width="24.90625" bestFit="1" customWidth="1"/>
    <col min="9" max="9" width="18.54296875" bestFit="1" customWidth="1"/>
    <col min="10" max="10" width="16.90625" bestFit="1" customWidth="1"/>
  </cols>
  <sheetData>
    <row r="1" spans="1:10" x14ac:dyDescent="0.35">
      <c r="A1" s="461" t="s">
        <v>1</v>
      </c>
      <c r="B1" s="461" t="s">
        <v>449</v>
      </c>
      <c r="C1" s="461" t="s">
        <v>30</v>
      </c>
      <c r="D1" s="461" t="s">
        <v>115</v>
      </c>
      <c r="E1" s="461" t="s">
        <v>180</v>
      </c>
      <c r="F1" s="461" t="s">
        <v>585</v>
      </c>
      <c r="G1" s="461" t="s">
        <v>188</v>
      </c>
      <c r="H1" s="461" t="s">
        <v>189</v>
      </c>
      <c r="I1" s="461" t="s">
        <v>17436</v>
      </c>
      <c r="J1" s="461" t="s">
        <v>584</v>
      </c>
    </row>
    <row r="2" spans="1:10" x14ac:dyDescent="0.35">
      <c r="A2" s="461" t="s">
        <v>241</v>
      </c>
      <c r="B2" s="461" t="s">
        <v>286</v>
      </c>
      <c r="C2" s="461" t="s">
        <v>31</v>
      </c>
      <c r="D2" s="461">
        <v>8</v>
      </c>
      <c r="E2" s="461">
        <v>2</v>
      </c>
      <c r="F2" s="461">
        <v>6</v>
      </c>
      <c r="G2" s="461">
        <v>1</v>
      </c>
      <c r="H2" s="461">
        <v>0</v>
      </c>
      <c r="I2" s="461">
        <v>2</v>
      </c>
      <c r="J2" s="461">
        <v>19</v>
      </c>
    </row>
    <row r="3" spans="1:10" x14ac:dyDescent="0.35">
      <c r="A3" s="461" t="s">
        <v>241</v>
      </c>
      <c r="B3" s="461" t="s">
        <v>287</v>
      </c>
      <c r="C3" s="461" t="s">
        <v>32</v>
      </c>
      <c r="D3" s="461">
        <v>31</v>
      </c>
      <c r="E3" s="461">
        <v>0</v>
      </c>
      <c r="F3" s="461">
        <v>1</v>
      </c>
      <c r="G3" s="461">
        <v>0</v>
      </c>
      <c r="H3" s="461">
        <v>0</v>
      </c>
      <c r="I3" s="461">
        <v>5</v>
      </c>
      <c r="J3" s="461">
        <v>37</v>
      </c>
    </row>
    <row r="4" spans="1:10" x14ac:dyDescent="0.35">
      <c r="A4" s="461" t="s">
        <v>241</v>
      </c>
      <c r="B4" s="461" t="s">
        <v>293</v>
      </c>
      <c r="C4" s="461" t="s">
        <v>33</v>
      </c>
      <c r="D4" s="461">
        <v>11</v>
      </c>
      <c r="E4" s="461">
        <v>0</v>
      </c>
      <c r="F4" s="461">
        <v>1</v>
      </c>
      <c r="G4" s="461">
        <v>0</v>
      </c>
      <c r="H4" s="461">
        <v>0</v>
      </c>
      <c r="I4" s="461">
        <v>1</v>
      </c>
      <c r="J4" s="461">
        <v>13</v>
      </c>
    </row>
    <row r="5" spans="1:10" x14ac:dyDescent="0.35">
      <c r="A5" s="461" t="s">
        <v>241</v>
      </c>
      <c r="B5" s="461" t="s">
        <v>288</v>
      </c>
      <c r="C5" s="461" t="s">
        <v>34</v>
      </c>
      <c r="D5" s="461">
        <v>25</v>
      </c>
      <c r="E5" s="461">
        <v>1</v>
      </c>
      <c r="F5" s="461">
        <v>0</v>
      </c>
      <c r="G5" s="461">
        <v>1</v>
      </c>
      <c r="H5" s="461">
        <v>20</v>
      </c>
      <c r="I5" s="461">
        <v>4</v>
      </c>
      <c r="J5" s="461">
        <v>51</v>
      </c>
    </row>
    <row r="6" spans="1:10" x14ac:dyDescent="0.35">
      <c r="A6" s="461" t="s">
        <v>241</v>
      </c>
      <c r="B6" s="461" t="s">
        <v>289</v>
      </c>
      <c r="C6" s="461" t="s">
        <v>245</v>
      </c>
      <c r="D6" s="461">
        <v>12</v>
      </c>
      <c r="E6" s="461">
        <v>4</v>
      </c>
      <c r="F6" s="461">
        <v>6</v>
      </c>
      <c r="G6" s="461">
        <v>2</v>
      </c>
      <c r="H6" s="461">
        <v>0</v>
      </c>
      <c r="I6" s="461">
        <v>1</v>
      </c>
      <c r="J6" s="461">
        <v>25</v>
      </c>
    </row>
    <row r="7" spans="1:10" x14ac:dyDescent="0.35">
      <c r="A7" s="461" t="s">
        <v>241</v>
      </c>
      <c r="B7" s="461" t="s">
        <v>267</v>
      </c>
      <c r="C7" s="461" t="s">
        <v>35</v>
      </c>
      <c r="D7" s="461">
        <v>3</v>
      </c>
      <c r="E7" s="461">
        <v>0</v>
      </c>
      <c r="F7" s="461">
        <v>0</v>
      </c>
      <c r="G7" s="461">
        <v>1</v>
      </c>
      <c r="H7" s="461">
        <v>0</v>
      </c>
      <c r="I7" s="461">
        <v>1</v>
      </c>
      <c r="J7" s="461">
        <v>5</v>
      </c>
    </row>
    <row r="8" spans="1:10" x14ac:dyDescent="0.35">
      <c r="A8" s="461" t="s">
        <v>241</v>
      </c>
      <c r="B8" s="461" t="s">
        <v>268</v>
      </c>
      <c r="C8" s="461" t="s">
        <v>36</v>
      </c>
      <c r="D8" s="461">
        <v>22</v>
      </c>
      <c r="E8" s="461">
        <v>1</v>
      </c>
      <c r="F8" s="461">
        <v>0</v>
      </c>
      <c r="G8" s="461">
        <v>3</v>
      </c>
      <c r="H8" s="461">
        <v>0</v>
      </c>
      <c r="I8" s="461">
        <v>4</v>
      </c>
      <c r="J8" s="461">
        <v>30</v>
      </c>
    </row>
    <row r="9" spans="1:10" x14ac:dyDescent="0.35">
      <c r="A9" s="461" t="s">
        <v>241</v>
      </c>
      <c r="B9" s="461" t="s">
        <v>294</v>
      </c>
      <c r="C9" s="461" t="s">
        <v>37</v>
      </c>
      <c r="D9" s="461">
        <v>7</v>
      </c>
      <c r="E9" s="461">
        <v>2</v>
      </c>
      <c r="F9" s="461">
        <v>8</v>
      </c>
      <c r="G9" s="461">
        <v>1</v>
      </c>
      <c r="H9" s="461">
        <v>0</v>
      </c>
      <c r="I9" s="461">
        <v>2</v>
      </c>
      <c r="J9" s="461">
        <v>20</v>
      </c>
    </row>
    <row r="10" spans="1:10" x14ac:dyDescent="0.35">
      <c r="A10" s="461" t="s">
        <v>241</v>
      </c>
      <c r="B10" s="461" t="s">
        <v>269</v>
      </c>
      <c r="C10" s="461" t="s">
        <v>38</v>
      </c>
      <c r="D10" s="461">
        <v>9</v>
      </c>
      <c r="E10" s="461">
        <v>1</v>
      </c>
      <c r="F10" s="461">
        <v>1</v>
      </c>
      <c r="G10" s="461">
        <v>0</v>
      </c>
      <c r="H10" s="461">
        <v>0</v>
      </c>
      <c r="I10" s="461">
        <v>0</v>
      </c>
      <c r="J10" s="461">
        <v>11</v>
      </c>
    </row>
    <row r="11" spans="1:10" x14ac:dyDescent="0.35">
      <c r="A11" s="461" t="s">
        <v>241</v>
      </c>
      <c r="B11" s="461" t="s">
        <v>296</v>
      </c>
      <c r="C11" s="461" t="s">
        <v>39</v>
      </c>
      <c r="D11" s="461">
        <v>3</v>
      </c>
      <c r="E11" s="461">
        <v>0</v>
      </c>
      <c r="F11" s="461">
        <v>2</v>
      </c>
      <c r="G11" s="461">
        <v>0</v>
      </c>
      <c r="H11" s="461">
        <v>0</v>
      </c>
      <c r="I11" s="461">
        <v>0</v>
      </c>
      <c r="J11" s="461">
        <v>5</v>
      </c>
    </row>
    <row r="12" spans="1:10" x14ac:dyDescent="0.35">
      <c r="A12" s="461" t="s">
        <v>241</v>
      </c>
      <c r="B12" s="461" t="s">
        <v>270</v>
      </c>
      <c r="C12" s="461" t="s">
        <v>40</v>
      </c>
      <c r="D12" s="461">
        <v>9</v>
      </c>
      <c r="E12" s="461">
        <v>0</v>
      </c>
      <c r="F12" s="461">
        <v>0</v>
      </c>
      <c r="G12" s="461">
        <v>0</v>
      </c>
      <c r="H12" s="461">
        <v>0</v>
      </c>
      <c r="I12" s="461">
        <v>0</v>
      </c>
      <c r="J12" s="461">
        <v>9</v>
      </c>
    </row>
    <row r="13" spans="1:10" x14ac:dyDescent="0.35">
      <c r="A13" s="461" t="s">
        <v>241</v>
      </c>
      <c r="B13" s="461" t="s">
        <v>271</v>
      </c>
      <c r="C13" s="461" t="s">
        <v>41</v>
      </c>
      <c r="D13" s="461">
        <v>2</v>
      </c>
      <c r="E13" s="461">
        <v>0</v>
      </c>
      <c r="F13" s="461">
        <v>0</v>
      </c>
      <c r="G13" s="461">
        <v>0</v>
      </c>
      <c r="H13" s="461">
        <v>0</v>
      </c>
      <c r="I13" s="461">
        <v>0</v>
      </c>
      <c r="J13" s="461">
        <v>2</v>
      </c>
    </row>
    <row r="14" spans="1:10" x14ac:dyDescent="0.35">
      <c r="A14" s="461" t="s">
        <v>241</v>
      </c>
      <c r="B14" s="461" t="s">
        <v>273</v>
      </c>
      <c r="C14" s="461" t="s">
        <v>42</v>
      </c>
      <c r="D14" s="461">
        <v>10</v>
      </c>
      <c r="E14" s="461">
        <v>1</v>
      </c>
      <c r="F14" s="461">
        <v>2</v>
      </c>
      <c r="G14" s="461">
        <v>0</v>
      </c>
      <c r="H14" s="461">
        <v>0</v>
      </c>
      <c r="I14" s="461">
        <v>4</v>
      </c>
      <c r="J14" s="461">
        <v>17</v>
      </c>
    </row>
    <row r="15" spans="1:10" x14ac:dyDescent="0.35">
      <c r="A15" s="461" t="s">
        <v>241</v>
      </c>
      <c r="B15" s="461" t="s">
        <v>298</v>
      </c>
      <c r="C15" s="461" t="s">
        <v>43</v>
      </c>
      <c r="D15" s="461">
        <v>21</v>
      </c>
      <c r="E15" s="461">
        <v>2</v>
      </c>
      <c r="F15" s="461">
        <v>2</v>
      </c>
      <c r="G15" s="461">
        <v>1</v>
      </c>
      <c r="H15" s="461">
        <v>0</v>
      </c>
      <c r="I15" s="461">
        <v>5</v>
      </c>
      <c r="J15" s="461">
        <v>31</v>
      </c>
    </row>
    <row r="16" spans="1:10" x14ac:dyDescent="0.35">
      <c r="A16" s="461" t="s">
        <v>241</v>
      </c>
      <c r="B16" s="461" t="s">
        <v>959</v>
      </c>
      <c r="C16" s="461" t="s">
        <v>114</v>
      </c>
      <c r="D16" s="461">
        <v>18</v>
      </c>
      <c r="E16" s="461">
        <v>4</v>
      </c>
      <c r="F16" s="461">
        <v>0</v>
      </c>
      <c r="G16" s="461">
        <v>3</v>
      </c>
      <c r="H16" s="461">
        <v>0</v>
      </c>
      <c r="I16" s="461">
        <v>3</v>
      </c>
      <c r="J16" s="461">
        <v>28</v>
      </c>
    </row>
    <row r="17" spans="1:10" x14ac:dyDescent="0.35">
      <c r="A17" s="461" t="s">
        <v>241</v>
      </c>
      <c r="B17" s="461" t="s">
        <v>274</v>
      </c>
      <c r="C17" s="461" t="s">
        <v>44</v>
      </c>
      <c r="D17" s="461">
        <v>68</v>
      </c>
      <c r="E17" s="461">
        <v>1</v>
      </c>
      <c r="F17" s="461">
        <v>4</v>
      </c>
      <c r="G17" s="461">
        <v>2</v>
      </c>
      <c r="H17" s="461">
        <v>8</v>
      </c>
      <c r="I17" s="461">
        <v>5</v>
      </c>
      <c r="J17" s="461">
        <v>88</v>
      </c>
    </row>
    <row r="18" spans="1:10" x14ac:dyDescent="0.35">
      <c r="A18" s="461" t="s">
        <v>241</v>
      </c>
      <c r="B18" s="461" t="s">
        <v>275</v>
      </c>
      <c r="C18" s="461" t="s">
        <v>45</v>
      </c>
      <c r="D18" s="461">
        <v>7</v>
      </c>
      <c r="E18" s="461">
        <v>1</v>
      </c>
      <c r="F18" s="461">
        <v>0</v>
      </c>
      <c r="G18" s="461">
        <v>0</v>
      </c>
      <c r="H18" s="461">
        <v>0</v>
      </c>
      <c r="I18" s="461">
        <v>0</v>
      </c>
      <c r="J18" s="461">
        <v>8</v>
      </c>
    </row>
    <row r="19" spans="1:10" x14ac:dyDescent="0.35">
      <c r="A19" s="461" t="s">
        <v>241</v>
      </c>
      <c r="B19" s="461" t="s">
        <v>276</v>
      </c>
      <c r="C19" s="461" t="s">
        <v>46</v>
      </c>
      <c r="D19" s="461">
        <v>2</v>
      </c>
      <c r="E19" s="461">
        <v>0</v>
      </c>
      <c r="F19" s="461">
        <v>0</v>
      </c>
      <c r="G19" s="461">
        <v>0</v>
      </c>
      <c r="H19" s="461">
        <v>0</v>
      </c>
      <c r="I19" s="461">
        <v>1</v>
      </c>
      <c r="J19" s="461">
        <v>3</v>
      </c>
    </row>
    <row r="20" spans="1:10" x14ac:dyDescent="0.35">
      <c r="A20" s="461" t="s">
        <v>241</v>
      </c>
      <c r="B20" s="461" t="s">
        <v>277</v>
      </c>
      <c r="C20" s="461" t="s">
        <v>47</v>
      </c>
      <c r="D20" s="461">
        <v>13</v>
      </c>
      <c r="E20" s="461">
        <v>0</v>
      </c>
      <c r="F20" s="461">
        <v>1</v>
      </c>
      <c r="G20" s="461">
        <v>0</v>
      </c>
      <c r="H20" s="461">
        <v>2</v>
      </c>
      <c r="I20" s="461">
        <v>3</v>
      </c>
      <c r="J20" s="461">
        <v>19</v>
      </c>
    </row>
    <row r="21" spans="1:10" x14ac:dyDescent="0.35">
      <c r="A21" s="461" t="s">
        <v>241</v>
      </c>
      <c r="B21" s="461" t="s">
        <v>272</v>
      </c>
      <c r="C21" s="461" t="s">
        <v>48</v>
      </c>
      <c r="D21">
        <v>17</v>
      </c>
      <c r="E21">
        <v>0</v>
      </c>
      <c r="F21">
        <v>0</v>
      </c>
      <c r="G21">
        <v>0</v>
      </c>
      <c r="H21">
        <v>1</v>
      </c>
      <c r="I21">
        <v>0</v>
      </c>
      <c r="J21">
        <v>18</v>
      </c>
    </row>
    <row r="22" spans="1:10" x14ac:dyDescent="0.35">
      <c r="A22" s="461" t="s">
        <v>241</v>
      </c>
      <c r="B22" s="461" t="s">
        <v>278</v>
      </c>
      <c r="C22" s="461" t="s">
        <v>49</v>
      </c>
      <c r="D22">
        <v>16</v>
      </c>
      <c r="E22">
        <v>0</v>
      </c>
      <c r="F22">
        <v>1</v>
      </c>
      <c r="G22">
        <v>0</v>
      </c>
      <c r="H22">
        <v>1</v>
      </c>
      <c r="I22">
        <v>2</v>
      </c>
      <c r="J22">
        <v>20</v>
      </c>
    </row>
    <row r="23" spans="1:10" x14ac:dyDescent="0.35">
      <c r="A23" s="461" t="s">
        <v>241</v>
      </c>
      <c r="B23" s="461" t="s">
        <v>960</v>
      </c>
      <c r="C23" s="461" t="s">
        <v>50</v>
      </c>
      <c r="D23">
        <v>8</v>
      </c>
      <c r="E23">
        <v>2</v>
      </c>
      <c r="F23">
        <v>2</v>
      </c>
      <c r="G23">
        <v>1</v>
      </c>
      <c r="H23">
        <v>0</v>
      </c>
      <c r="I23">
        <v>2</v>
      </c>
      <c r="J23">
        <v>15</v>
      </c>
    </row>
    <row r="24" spans="1:10" x14ac:dyDescent="0.35">
      <c r="A24" s="461" t="s">
        <v>241</v>
      </c>
      <c r="B24" s="461" t="s">
        <v>279</v>
      </c>
      <c r="C24" s="461" t="s">
        <v>51</v>
      </c>
      <c r="D24">
        <v>14</v>
      </c>
      <c r="E24">
        <v>0</v>
      </c>
      <c r="F24">
        <v>0</v>
      </c>
      <c r="G24">
        <v>0</v>
      </c>
      <c r="H24">
        <v>1</v>
      </c>
      <c r="I24">
        <v>0</v>
      </c>
      <c r="J24">
        <v>15</v>
      </c>
    </row>
    <row r="25" spans="1:10" x14ac:dyDescent="0.35">
      <c r="A25" s="461" t="s">
        <v>241</v>
      </c>
      <c r="B25" s="461" t="s">
        <v>280</v>
      </c>
      <c r="C25" s="461" t="s">
        <v>52</v>
      </c>
      <c r="D25">
        <v>16</v>
      </c>
      <c r="E25">
        <v>1</v>
      </c>
      <c r="F25">
        <v>2</v>
      </c>
      <c r="G25">
        <v>1</v>
      </c>
      <c r="H25">
        <v>3</v>
      </c>
      <c r="I25">
        <v>0</v>
      </c>
      <c r="J25">
        <v>23</v>
      </c>
    </row>
    <row r="26" spans="1:10" x14ac:dyDescent="0.35">
      <c r="A26" s="461" t="s">
        <v>241</v>
      </c>
      <c r="B26" s="461" t="s">
        <v>290</v>
      </c>
      <c r="C26" s="461" t="s">
        <v>53</v>
      </c>
      <c r="D26">
        <v>4</v>
      </c>
      <c r="E26">
        <v>2</v>
      </c>
      <c r="F26">
        <v>0</v>
      </c>
      <c r="G26">
        <v>0</v>
      </c>
      <c r="H26">
        <v>0</v>
      </c>
      <c r="I26">
        <v>4</v>
      </c>
      <c r="J26">
        <v>10</v>
      </c>
    </row>
    <row r="27" spans="1:10" x14ac:dyDescent="0.35">
      <c r="A27" s="461" t="s">
        <v>241</v>
      </c>
      <c r="B27" s="461" t="s">
        <v>281</v>
      </c>
      <c r="C27" s="461" t="s">
        <v>54</v>
      </c>
      <c r="D27">
        <v>17</v>
      </c>
      <c r="E27">
        <v>0</v>
      </c>
      <c r="F27">
        <v>0</v>
      </c>
      <c r="G27">
        <v>2</v>
      </c>
      <c r="H27">
        <v>0</v>
      </c>
      <c r="I27">
        <v>1</v>
      </c>
      <c r="J27">
        <v>20</v>
      </c>
    </row>
    <row r="28" spans="1:10" x14ac:dyDescent="0.35">
      <c r="A28" s="461" t="s">
        <v>241</v>
      </c>
      <c r="B28" s="461" t="s">
        <v>282</v>
      </c>
      <c r="C28" s="461" t="s">
        <v>55</v>
      </c>
      <c r="D28">
        <v>16</v>
      </c>
      <c r="E28">
        <v>0</v>
      </c>
      <c r="F28">
        <v>0</v>
      </c>
      <c r="G28">
        <v>0</v>
      </c>
      <c r="H28">
        <v>1</v>
      </c>
      <c r="I28">
        <v>1</v>
      </c>
      <c r="J28">
        <v>18</v>
      </c>
    </row>
    <row r="29" spans="1:10" x14ac:dyDescent="0.35">
      <c r="A29" s="461" t="s">
        <v>241</v>
      </c>
      <c r="B29" s="461" t="s">
        <v>283</v>
      </c>
      <c r="C29" s="461" t="s">
        <v>56</v>
      </c>
      <c r="D29">
        <v>7</v>
      </c>
      <c r="E29">
        <v>1</v>
      </c>
      <c r="F29">
        <v>0</v>
      </c>
      <c r="G29">
        <v>1</v>
      </c>
      <c r="H29">
        <v>0</v>
      </c>
      <c r="I29">
        <v>0</v>
      </c>
      <c r="J29">
        <v>9</v>
      </c>
    </row>
    <row r="30" spans="1:10" x14ac:dyDescent="0.35">
      <c r="A30" s="461" t="s">
        <v>241</v>
      </c>
      <c r="B30" s="461" t="s">
        <v>284</v>
      </c>
      <c r="C30" s="461" t="s">
        <v>57</v>
      </c>
      <c r="D30">
        <v>14</v>
      </c>
      <c r="E30">
        <v>1</v>
      </c>
      <c r="F30">
        <v>1</v>
      </c>
      <c r="G30">
        <v>2</v>
      </c>
      <c r="H30">
        <v>0</v>
      </c>
      <c r="I30">
        <v>6</v>
      </c>
      <c r="J30">
        <v>24</v>
      </c>
    </row>
    <row r="31" spans="1:10" x14ac:dyDescent="0.35">
      <c r="A31" s="461" t="s">
        <v>241</v>
      </c>
      <c r="B31" s="461" t="s">
        <v>285</v>
      </c>
      <c r="C31" s="461" t="s">
        <v>58</v>
      </c>
      <c r="D31">
        <v>9</v>
      </c>
      <c r="E31">
        <v>0</v>
      </c>
      <c r="F31">
        <v>0</v>
      </c>
      <c r="G31">
        <v>1</v>
      </c>
      <c r="H31">
        <v>2</v>
      </c>
      <c r="I31">
        <v>3</v>
      </c>
      <c r="J31">
        <v>15</v>
      </c>
    </row>
    <row r="32" spans="1:10" x14ac:dyDescent="0.35">
      <c r="A32" s="461" t="s">
        <v>241</v>
      </c>
      <c r="B32" s="461" t="s">
        <v>291</v>
      </c>
      <c r="C32" s="461" t="s">
        <v>59</v>
      </c>
      <c r="D32">
        <v>4</v>
      </c>
      <c r="E32">
        <v>1</v>
      </c>
      <c r="F32">
        <v>1</v>
      </c>
      <c r="G32">
        <v>0</v>
      </c>
      <c r="H32">
        <v>0</v>
      </c>
      <c r="I32">
        <v>1</v>
      </c>
      <c r="J32">
        <v>7</v>
      </c>
    </row>
    <row r="33" spans="1:10" x14ac:dyDescent="0.35">
      <c r="A33" s="461" t="s">
        <v>241</v>
      </c>
      <c r="B33" s="461" t="s">
        <v>292</v>
      </c>
      <c r="C33" s="461" t="s">
        <v>60</v>
      </c>
      <c r="D33">
        <v>8</v>
      </c>
      <c r="E33">
        <v>0</v>
      </c>
      <c r="F33">
        <v>1</v>
      </c>
      <c r="G33">
        <v>2</v>
      </c>
      <c r="H33">
        <v>0</v>
      </c>
      <c r="I33">
        <v>1</v>
      </c>
      <c r="J33">
        <v>12</v>
      </c>
    </row>
    <row r="34" spans="1:10" x14ac:dyDescent="0.35">
      <c r="A34" s="461" t="s">
        <v>773</v>
      </c>
      <c r="B34" s="461" t="s">
        <v>286</v>
      </c>
      <c r="C34" s="461" t="s">
        <v>31</v>
      </c>
      <c r="D34">
        <v>9</v>
      </c>
      <c r="E34">
        <v>1</v>
      </c>
      <c r="F34">
        <v>6</v>
      </c>
      <c r="G34">
        <v>1</v>
      </c>
      <c r="H34">
        <v>0</v>
      </c>
      <c r="I34">
        <v>4</v>
      </c>
      <c r="J34">
        <v>21</v>
      </c>
    </row>
    <row r="35" spans="1:10" x14ac:dyDescent="0.35">
      <c r="A35" s="461" t="s">
        <v>773</v>
      </c>
      <c r="B35" s="461" t="s">
        <v>287</v>
      </c>
      <c r="C35" s="461" t="s">
        <v>32</v>
      </c>
      <c r="D35">
        <v>31</v>
      </c>
      <c r="E35">
        <v>0</v>
      </c>
      <c r="F35">
        <v>1</v>
      </c>
      <c r="G35">
        <v>1</v>
      </c>
      <c r="H35">
        <v>0</v>
      </c>
      <c r="I35">
        <v>5</v>
      </c>
      <c r="J35">
        <v>38</v>
      </c>
    </row>
    <row r="36" spans="1:10" x14ac:dyDescent="0.35">
      <c r="A36" s="461" t="s">
        <v>773</v>
      </c>
      <c r="B36" s="461" t="s">
        <v>293</v>
      </c>
      <c r="C36" s="461" t="s">
        <v>33</v>
      </c>
      <c r="D36">
        <v>11</v>
      </c>
      <c r="E36">
        <v>0</v>
      </c>
      <c r="F36">
        <v>1</v>
      </c>
      <c r="G36">
        <v>0</v>
      </c>
      <c r="H36">
        <v>0</v>
      </c>
      <c r="I36">
        <v>1</v>
      </c>
      <c r="J36">
        <v>13</v>
      </c>
    </row>
    <row r="37" spans="1:10" x14ac:dyDescent="0.35">
      <c r="A37" s="461" t="s">
        <v>773</v>
      </c>
      <c r="B37" s="461" t="s">
        <v>288</v>
      </c>
      <c r="C37" s="461" t="s">
        <v>34</v>
      </c>
      <c r="D37">
        <v>24</v>
      </c>
      <c r="E37">
        <v>1</v>
      </c>
      <c r="F37">
        <v>0</v>
      </c>
      <c r="G37">
        <v>1</v>
      </c>
      <c r="H37">
        <v>17</v>
      </c>
      <c r="I37">
        <v>4</v>
      </c>
      <c r="J37">
        <v>47</v>
      </c>
    </row>
    <row r="38" spans="1:10" x14ac:dyDescent="0.35">
      <c r="A38" s="461" t="s">
        <v>773</v>
      </c>
      <c r="B38" s="461" t="s">
        <v>289</v>
      </c>
      <c r="C38" s="461" t="s">
        <v>245</v>
      </c>
      <c r="D38">
        <v>12</v>
      </c>
      <c r="E38">
        <v>3</v>
      </c>
      <c r="F38">
        <v>5</v>
      </c>
      <c r="G38">
        <v>2</v>
      </c>
      <c r="H38">
        <v>0</v>
      </c>
      <c r="I38">
        <v>3</v>
      </c>
      <c r="J38">
        <v>25</v>
      </c>
    </row>
    <row r="39" spans="1:10" x14ac:dyDescent="0.35">
      <c r="A39" s="461" t="s">
        <v>773</v>
      </c>
      <c r="B39" s="461" t="s">
        <v>267</v>
      </c>
      <c r="C39" s="461" t="s">
        <v>35</v>
      </c>
      <c r="D39">
        <v>2</v>
      </c>
      <c r="E39">
        <v>0</v>
      </c>
      <c r="F39">
        <v>0</v>
      </c>
      <c r="G39">
        <v>1</v>
      </c>
      <c r="H39">
        <v>0</v>
      </c>
      <c r="I39">
        <v>1</v>
      </c>
      <c r="J39">
        <v>4</v>
      </c>
    </row>
    <row r="40" spans="1:10" x14ac:dyDescent="0.35">
      <c r="A40" s="461" t="s">
        <v>773</v>
      </c>
      <c r="B40" s="461" t="s">
        <v>268</v>
      </c>
      <c r="C40" s="461" t="s">
        <v>36</v>
      </c>
      <c r="D40">
        <v>21</v>
      </c>
      <c r="E40">
        <v>1</v>
      </c>
      <c r="F40">
        <v>0</v>
      </c>
      <c r="G40">
        <v>3</v>
      </c>
      <c r="H40">
        <v>0</v>
      </c>
      <c r="I40">
        <v>3</v>
      </c>
      <c r="J40">
        <v>28</v>
      </c>
    </row>
    <row r="41" spans="1:10" x14ac:dyDescent="0.35">
      <c r="A41" s="461" t="s">
        <v>773</v>
      </c>
      <c r="B41" s="461" t="s">
        <v>294</v>
      </c>
      <c r="C41" s="461" t="s">
        <v>37</v>
      </c>
      <c r="D41">
        <v>7</v>
      </c>
      <c r="E41">
        <v>2</v>
      </c>
      <c r="F41">
        <v>7</v>
      </c>
      <c r="G41">
        <v>1</v>
      </c>
      <c r="H41">
        <v>0</v>
      </c>
      <c r="I41">
        <v>2</v>
      </c>
      <c r="J41">
        <v>19</v>
      </c>
    </row>
    <row r="42" spans="1:10" x14ac:dyDescent="0.35">
      <c r="A42" s="461" t="s">
        <v>773</v>
      </c>
      <c r="B42" s="461" t="s">
        <v>269</v>
      </c>
      <c r="C42" s="461" t="s">
        <v>38</v>
      </c>
      <c r="D42">
        <v>9</v>
      </c>
      <c r="E42">
        <v>1</v>
      </c>
      <c r="F42">
        <v>1</v>
      </c>
      <c r="G42">
        <v>0</v>
      </c>
      <c r="H42">
        <v>0</v>
      </c>
      <c r="I42">
        <v>0</v>
      </c>
      <c r="J42">
        <v>11</v>
      </c>
    </row>
    <row r="43" spans="1:10" x14ac:dyDescent="0.35">
      <c r="A43" s="461" t="s">
        <v>773</v>
      </c>
      <c r="B43" s="461" t="s">
        <v>296</v>
      </c>
      <c r="C43" s="461" t="s">
        <v>39</v>
      </c>
      <c r="D43">
        <v>3</v>
      </c>
      <c r="E43">
        <v>0</v>
      </c>
      <c r="F43">
        <v>2</v>
      </c>
      <c r="G43">
        <v>0</v>
      </c>
      <c r="H43">
        <v>0</v>
      </c>
      <c r="I43">
        <v>0</v>
      </c>
      <c r="J43">
        <v>5</v>
      </c>
    </row>
    <row r="44" spans="1:10" x14ac:dyDescent="0.35">
      <c r="A44" s="461" t="s">
        <v>773</v>
      </c>
      <c r="B44" s="461" t="s">
        <v>270</v>
      </c>
      <c r="C44" s="461" t="s">
        <v>40</v>
      </c>
      <c r="D44">
        <v>9</v>
      </c>
      <c r="E44">
        <v>0</v>
      </c>
      <c r="F44">
        <v>0</v>
      </c>
      <c r="G44">
        <v>0</v>
      </c>
      <c r="H44">
        <v>0</v>
      </c>
      <c r="I44">
        <v>1</v>
      </c>
      <c r="J44">
        <v>10</v>
      </c>
    </row>
    <row r="45" spans="1:10" x14ac:dyDescent="0.35">
      <c r="A45" s="461" t="s">
        <v>773</v>
      </c>
      <c r="B45" s="461" t="s">
        <v>271</v>
      </c>
      <c r="C45" s="461" t="s">
        <v>41</v>
      </c>
      <c r="D45">
        <v>2</v>
      </c>
      <c r="E45">
        <v>0</v>
      </c>
      <c r="F45">
        <v>0</v>
      </c>
      <c r="G45">
        <v>0</v>
      </c>
      <c r="H45">
        <v>0</v>
      </c>
      <c r="I45">
        <v>0</v>
      </c>
      <c r="J45">
        <v>2</v>
      </c>
    </row>
    <row r="46" spans="1:10" x14ac:dyDescent="0.35">
      <c r="A46" s="461" t="s">
        <v>773</v>
      </c>
      <c r="B46" s="461" t="s">
        <v>273</v>
      </c>
      <c r="C46" s="461" t="s">
        <v>42</v>
      </c>
      <c r="D46">
        <v>9</v>
      </c>
      <c r="E46">
        <v>2</v>
      </c>
      <c r="F46">
        <v>2</v>
      </c>
      <c r="G46">
        <v>0</v>
      </c>
      <c r="H46">
        <v>0</v>
      </c>
      <c r="I46">
        <v>5</v>
      </c>
      <c r="J46">
        <v>18</v>
      </c>
    </row>
    <row r="47" spans="1:10" x14ac:dyDescent="0.35">
      <c r="A47" s="461" t="s">
        <v>773</v>
      </c>
      <c r="B47" s="461" t="s">
        <v>298</v>
      </c>
      <c r="C47" s="461" t="s">
        <v>43</v>
      </c>
      <c r="D47">
        <v>19</v>
      </c>
      <c r="E47">
        <v>2</v>
      </c>
      <c r="F47">
        <v>2</v>
      </c>
      <c r="G47">
        <v>2</v>
      </c>
      <c r="H47">
        <v>0</v>
      </c>
      <c r="I47">
        <v>5</v>
      </c>
      <c r="J47">
        <v>30</v>
      </c>
    </row>
    <row r="48" spans="1:10" x14ac:dyDescent="0.35">
      <c r="A48" s="461" t="s">
        <v>773</v>
      </c>
      <c r="B48" s="461" t="s">
        <v>959</v>
      </c>
      <c r="C48" s="461" t="s">
        <v>114</v>
      </c>
      <c r="D48">
        <v>19</v>
      </c>
      <c r="E48">
        <v>3</v>
      </c>
      <c r="F48">
        <v>0</v>
      </c>
      <c r="G48">
        <v>3</v>
      </c>
      <c r="H48">
        <v>0</v>
      </c>
      <c r="I48">
        <v>3</v>
      </c>
      <c r="J48">
        <v>28</v>
      </c>
    </row>
    <row r="49" spans="1:10" x14ac:dyDescent="0.35">
      <c r="A49" s="461" t="s">
        <v>773</v>
      </c>
      <c r="B49" s="461" t="s">
        <v>274</v>
      </c>
      <c r="C49" s="461" t="s">
        <v>44</v>
      </c>
      <c r="D49">
        <v>65</v>
      </c>
      <c r="E49">
        <v>2</v>
      </c>
      <c r="F49">
        <v>3</v>
      </c>
      <c r="G49">
        <v>3</v>
      </c>
      <c r="H49">
        <v>8</v>
      </c>
      <c r="I49">
        <v>2</v>
      </c>
      <c r="J49">
        <v>83</v>
      </c>
    </row>
    <row r="50" spans="1:10" x14ac:dyDescent="0.35">
      <c r="A50" s="461" t="s">
        <v>773</v>
      </c>
      <c r="B50" s="461" t="s">
        <v>275</v>
      </c>
      <c r="C50" s="461" t="s">
        <v>45</v>
      </c>
      <c r="D50">
        <v>6</v>
      </c>
      <c r="E50">
        <v>1</v>
      </c>
      <c r="F50">
        <v>0</v>
      </c>
      <c r="G50">
        <v>0</v>
      </c>
      <c r="H50">
        <v>0</v>
      </c>
      <c r="I50">
        <v>0</v>
      </c>
      <c r="J50">
        <v>7</v>
      </c>
    </row>
    <row r="51" spans="1:10" x14ac:dyDescent="0.35">
      <c r="A51" s="461" t="s">
        <v>773</v>
      </c>
      <c r="B51" s="461" t="s">
        <v>276</v>
      </c>
      <c r="C51" s="461" t="s">
        <v>46</v>
      </c>
      <c r="D51">
        <v>2</v>
      </c>
      <c r="E51">
        <v>0</v>
      </c>
      <c r="F51">
        <v>0</v>
      </c>
      <c r="G51">
        <v>0</v>
      </c>
      <c r="H51">
        <v>0</v>
      </c>
      <c r="I51">
        <v>1</v>
      </c>
      <c r="J51">
        <v>3</v>
      </c>
    </row>
    <row r="52" spans="1:10" x14ac:dyDescent="0.35">
      <c r="A52" s="461" t="s">
        <v>773</v>
      </c>
      <c r="B52" s="461" t="s">
        <v>277</v>
      </c>
      <c r="C52" s="461" t="s">
        <v>47</v>
      </c>
      <c r="D52">
        <v>13</v>
      </c>
      <c r="E52">
        <v>0</v>
      </c>
      <c r="F52">
        <v>1</v>
      </c>
      <c r="G52">
        <v>1</v>
      </c>
      <c r="H52">
        <v>2</v>
      </c>
      <c r="I52">
        <v>3</v>
      </c>
      <c r="J52">
        <v>20</v>
      </c>
    </row>
    <row r="53" spans="1:10" x14ac:dyDescent="0.35">
      <c r="A53" s="461" t="s">
        <v>773</v>
      </c>
      <c r="B53" s="461" t="s">
        <v>272</v>
      </c>
      <c r="C53" s="461" t="s">
        <v>48</v>
      </c>
      <c r="D53">
        <v>16</v>
      </c>
      <c r="E53">
        <v>0</v>
      </c>
      <c r="F53">
        <v>0</v>
      </c>
      <c r="G53">
        <v>0</v>
      </c>
      <c r="H53">
        <v>1</v>
      </c>
      <c r="I53">
        <v>0</v>
      </c>
      <c r="J53">
        <v>17</v>
      </c>
    </row>
    <row r="54" spans="1:10" x14ac:dyDescent="0.35">
      <c r="A54" s="461" t="s">
        <v>773</v>
      </c>
      <c r="B54" s="461" t="s">
        <v>278</v>
      </c>
      <c r="C54" s="461" t="s">
        <v>49</v>
      </c>
      <c r="D54">
        <v>16</v>
      </c>
      <c r="E54">
        <v>0</v>
      </c>
      <c r="F54">
        <v>1</v>
      </c>
      <c r="G54">
        <v>0</v>
      </c>
      <c r="H54">
        <v>1</v>
      </c>
      <c r="I54">
        <v>2</v>
      </c>
      <c r="J54">
        <v>20</v>
      </c>
    </row>
    <row r="55" spans="1:10" x14ac:dyDescent="0.35">
      <c r="A55" s="461" t="s">
        <v>773</v>
      </c>
      <c r="B55" s="461" t="s">
        <v>960</v>
      </c>
      <c r="C55" s="461" t="s">
        <v>50</v>
      </c>
      <c r="D55">
        <v>8</v>
      </c>
      <c r="E55">
        <v>1</v>
      </c>
      <c r="F55">
        <v>2</v>
      </c>
      <c r="G55">
        <v>1</v>
      </c>
      <c r="H55">
        <v>0</v>
      </c>
      <c r="I55">
        <v>3</v>
      </c>
      <c r="J55">
        <v>15</v>
      </c>
    </row>
    <row r="56" spans="1:10" x14ac:dyDescent="0.35">
      <c r="A56" s="461" t="s">
        <v>773</v>
      </c>
      <c r="B56" s="461" t="s">
        <v>279</v>
      </c>
      <c r="C56" s="461" t="s">
        <v>51</v>
      </c>
      <c r="D56">
        <v>16</v>
      </c>
      <c r="E56">
        <v>0</v>
      </c>
      <c r="F56">
        <v>0</v>
      </c>
      <c r="G56">
        <v>0</v>
      </c>
      <c r="H56">
        <v>1</v>
      </c>
      <c r="I56">
        <v>0</v>
      </c>
      <c r="J56">
        <v>17</v>
      </c>
    </row>
    <row r="57" spans="1:10" x14ac:dyDescent="0.35">
      <c r="A57" s="461" t="s">
        <v>773</v>
      </c>
      <c r="B57" s="461" t="s">
        <v>280</v>
      </c>
      <c r="C57" s="461" t="s">
        <v>52</v>
      </c>
      <c r="D57">
        <v>15</v>
      </c>
      <c r="E57">
        <v>1</v>
      </c>
      <c r="F57">
        <v>3</v>
      </c>
      <c r="G57">
        <v>1</v>
      </c>
      <c r="H57">
        <v>3</v>
      </c>
      <c r="I57">
        <v>0</v>
      </c>
      <c r="J57">
        <v>23</v>
      </c>
    </row>
    <row r="58" spans="1:10" x14ac:dyDescent="0.35">
      <c r="A58" s="461" t="s">
        <v>773</v>
      </c>
      <c r="B58" s="461" t="s">
        <v>290</v>
      </c>
      <c r="C58" s="461" t="s">
        <v>53</v>
      </c>
      <c r="D58">
        <v>4</v>
      </c>
      <c r="E58">
        <v>2</v>
      </c>
      <c r="F58">
        <v>0</v>
      </c>
      <c r="G58">
        <v>0</v>
      </c>
      <c r="H58">
        <v>0</v>
      </c>
      <c r="I58">
        <v>3</v>
      </c>
      <c r="J58">
        <v>9</v>
      </c>
    </row>
    <row r="59" spans="1:10" x14ac:dyDescent="0.35">
      <c r="A59" s="461" t="s">
        <v>773</v>
      </c>
      <c r="B59" s="461" t="s">
        <v>281</v>
      </c>
      <c r="C59" s="461" t="s">
        <v>54</v>
      </c>
      <c r="D59">
        <v>17</v>
      </c>
      <c r="E59">
        <v>0</v>
      </c>
      <c r="F59">
        <v>0</v>
      </c>
      <c r="G59">
        <v>2</v>
      </c>
      <c r="H59">
        <v>0</v>
      </c>
      <c r="I59">
        <v>1</v>
      </c>
      <c r="J59">
        <v>20</v>
      </c>
    </row>
    <row r="60" spans="1:10" x14ac:dyDescent="0.35">
      <c r="A60" s="461" t="s">
        <v>773</v>
      </c>
      <c r="B60" s="461" t="s">
        <v>282</v>
      </c>
      <c r="C60" s="461" t="s">
        <v>55</v>
      </c>
      <c r="D60">
        <v>14</v>
      </c>
      <c r="E60">
        <v>0</v>
      </c>
      <c r="F60">
        <v>0</v>
      </c>
      <c r="G60">
        <v>0</v>
      </c>
      <c r="H60">
        <v>1</v>
      </c>
      <c r="I60">
        <v>1</v>
      </c>
      <c r="J60">
        <v>16</v>
      </c>
    </row>
    <row r="61" spans="1:10" x14ac:dyDescent="0.35">
      <c r="A61" s="461" t="s">
        <v>773</v>
      </c>
      <c r="B61" s="461" t="s">
        <v>283</v>
      </c>
      <c r="C61" s="461" t="s">
        <v>56</v>
      </c>
      <c r="D61">
        <v>7</v>
      </c>
      <c r="E61">
        <v>1</v>
      </c>
      <c r="F61">
        <v>0</v>
      </c>
      <c r="G61">
        <v>1</v>
      </c>
      <c r="H61">
        <v>0</v>
      </c>
      <c r="I61">
        <v>0</v>
      </c>
      <c r="J61">
        <v>9</v>
      </c>
    </row>
    <row r="62" spans="1:10" x14ac:dyDescent="0.35">
      <c r="A62" s="461" t="s">
        <v>773</v>
      </c>
      <c r="B62" s="461" t="s">
        <v>284</v>
      </c>
      <c r="C62" s="461" t="s">
        <v>57</v>
      </c>
      <c r="D62">
        <v>14</v>
      </c>
      <c r="E62">
        <v>1</v>
      </c>
      <c r="F62">
        <v>1</v>
      </c>
      <c r="G62">
        <v>2</v>
      </c>
      <c r="H62">
        <v>0</v>
      </c>
      <c r="I62">
        <v>5</v>
      </c>
      <c r="J62">
        <v>23</v>
      </c>
    </row>
    <row r="63" spans="1:10" x14ac:dyDescent="0.35">
      <c r="A63" s="461" t="s">
        <v>773</v>
      </c>
      <c r="B63" s="461" t="s">
        <v>285</v>
      </c>
      <c r="C63" s="461" t="s">
        <v>58</v>
      </c>
      <c r="D63">
        <v>9</v>
      </c>
      <c r="E63">
        <v>0</v>
      </c>
      <c r="F63">
        <v>0</v>
      </c>
      <c r="G63">
        <v>2</v>
      </c>
      <c r="H63">
        <v>2</v>
      </c>
      <c r="I63">
        <v>3</v>
      </c>
      <c r="J63">
        <v>16</v>
      </c>
    </row>
    <row r="64" spans="1:10" x14ac:dyDescent="0.35">
      <c r="A64" s="461" t="s">
        <v>773</v>
      </c>
      <c r="B64" s="461" t="s">
        <v>291</v>
      </c>
      <c r="C64" s="461" t="s">
        <v>59</v>
      </c>
      <c r="D64">
        <v>4</v>
      </c>
      <c r="E64">
        <v>1</v>
      </c>
      <c r="F64">
        <v>1</v>
      </c>
      <c r="G64">
        <v>0</v>
      </c>
      <c r="H64">
        <v>0</v>
      </c>
      <c r="I64">
        <v>1</v>
      </c>
      <c r="J64">
        <v>7</v>
      </c>
    </row>
    <row r="65" spans="1:10" x14ac:dyDescent="0.35">
      <c r="A65" s="461" t="s">
        <v>773</v>
      </c>
      <c r="B65" s="461" t="s">
        <v>292</v>
      </c>
      <c r="C65" s="461" t="s">
        <v>60</v>
      </c>
      <c r="D65">
        <v>8</v>
      </c>
      <c r="E65">
        <v>0</v>
      </c>
      <c r="F65">
        <v>0</v>
      </c>
      <c r="G65">
        <v>1</v>
      </c>
      <c r="H65">
        <v>0</v>
      </c>
      <c r="I65">
        <v>1</v>
      </c>
      <c r="J65">
        <v>10</v>
      </c>
    </row>
    <row r="66" spans="1:10" x14ac:dyDescent="0.35">
      <c r="A66" s="461" t="s">
        <v>951</v>
      </c>
      <c r="B66" s="461" t="s">
        <v>286</v>
      </c>
      <c r="C66" s="461" t="s">
        <v>31</v>
      </c>
      <c r="D66">
        <v>7</v>
      </c>
      <c r="E66">
        <v>1</v>
      </c>
      <c r="F66">
        <v>4</v>
      </c>
      <c r="G66">
        <v>2</v>
      </c>
      <c r="H66">
        <v>0</v>
      </c>
      <c r="I66">
        <v>2</v>
      </c>
      <c r="J66">
        <v>16</v>
      </c>
    </row>
    <row r="67" spans="1:10" x14ac:dyDescent="0.35">
      <c r="A67" s="461" t="s">
        <v>951</v>
      </c>
      <c r="B67" s="461" t="s">
        <v>287</v>
      </c>
      <c r="C67" s="461" t="s">
        <v>32</v>
      </c>
      <c r="D67">
        <v>31</v>
      </c>
      <c r="E67">
        <v>0</v>
      </c>
      <c r="F67">
        <v>1</v>
      </c>
      <c r="G67">
        <v>0</v>
      </c>
      <c r="H67">
        <v>0</v>
      </c>
      <c r="I67">
        <v>4</v>
      </c>
      <c r="J67">
        <v>36</v>
      </c>
    </row>
    <row r="68" spans="1:10" x14ac:dyDescent="0.35">
      <c r="A68" s="461" t="s">
        <v>951</v>
      </c>
      <c r="B68" s="461" t="s">
        <v>293</v>
      </c>
      <c r="C68" s="461" t="s">
        <v>33</v>
      </c>
      <c r="D68">
        <v>11</v>
      </c>
      <c r="E68">
        <v>0</v>
      </c>
      <c r="F68">
        <v>1</v>
      </c>
      <c r="G68">
        <v>0</v>
      </c>
      <c r="H68">
        <v>0</v>
      </c>
      <c r="I68">
        <v>1</v>
      </c>
      <c r="J68">
        <v>13</v>
      </c>
    </row>
    <row r="69" spans="1:10" x14ac:dyDescent="0.35">
      <c r="A69" s="461" t="s">
        <v>951</v>
      </c>
      <c r="B69" s="461" t="s">
        <v>288</v>
      </c>
      <c r="C69" s="461" t="s">
        <v>34</v>
      </c>
      <c r="D69">
        <v>25</v>
      </c>
      <c r="E69">
        <v>1</v>
      </c>
      <c r="F69">
        <v>0</v>
      </c>
      <c r="G69">
        <v>1</v>
      </c>
      <c r="H69">
        <v>17</v>
      </c>
      <c r="I69">
        <v>4</v>
      </c>
      <c r="J69">
        <v>48</v>
      </c>
    </row>
    <row r="70" spans="1:10" x14ac:dyDescent="0.35">
      <c r="A70" s="461" t="s">
        <v>951</v>
      </c>
      <c r="B70" s="461" t="s">
        <v>289</v>
      </c>
      <c r="C70" s="461" t="s">
        <v>245</v>
      </c>
      <c r="D70">
        <v>19</v>
      </c>
      <c r="E70">
        <v>3</v>
      </c>
      <c r="F70">
        <v>4</v>
      </c>
      <c r="G70">
        <v>2</v>
      </c>
      <c r="H70">
        <v>0</v>
      </c>
      <c r="I70">
        <v>3</v>
      </c>
      <c r="J70">
        <v>31</v>
      </c>
    </row>
    <row r="71" spans="1:10" x14ac:dyDescent="0.35">
      <c r="A71" s="461" t="s">
        <v>951</v>
      </c>
      <c r="B71" s="461" t="s">
        <v>267</v>
      </c>
      <c r="C71" s="461" t="s">
        <v>35</v>
      </c>
      <c r="D71">
        <v>3</v>
      </c>
      <c r="E71">
        <v>0</v>
      </c>
      <c r="F71">
        <v>0</v>
      </c>
      <c r="G71">
        <v>1</v>
      </c>
      <c r="H71">
        <v>0</v>
      </c>
      <c r="I71">
        <v>1</v>
      </c>
      <c r="J71">
        <v>5</v>
      </c>
    </row>
    <row r="72" spans="1:10" x14ac:dyDescent="0.35">
      <c r="A72" s="461" t="s">
        <v>951</v>
      </c>
      <c r="B72" s="461" t="s">
        <v>268</v>
      </c>
      <c r="C72" s="461" t="s">
        <v>36</v>
      </c>
      <c r="D72">
        <v>21</v>
      </c>
      <c r="E72">
        <v>1</v>
      </c>
      <c r="F72">
        <v>0</v>
      </c>
      <c r="G72">
        <v>3</v>
      </c>
      <c r="H72">
        <v>0</v>
      </c>
      <c r="I72">
        <v>3</v>
      </c>
      <c r="J72">
        <v>28</v>
      </c>
    </row>
    <row r="73" spans="1:10" x14ac:dyDescent="0.35">
      <c r="A73" s="461" t="s">
        <v>951</v>
      </c>
      <c r="B73" s="461" t="s">
        <v>294</v>
      </c>
      <c r="C73" s="461" t="s">
        <v>37</v>
      </c>
      <c r="D73">
        <v>7</v>
      </c>
      <c r="E73">
        <v>2</v>
      </c>
      <c r="F73">
        <v>2</v>
      </c>
      <c r="G73">
        <v>1</v>
      </c>
      <c r="H73">
        <v>0</v>
      </c>
      <c r="I73">
        <v>2</v>
      </c>
      <c r="J73">
        <v>14</v>
      </c>
    </row>
    <row r="74" spans="1:10" x14ac:dyDescent="0.35">
      <c r="A74" s="461" t="s">
        <v>951</v>
      </c>
      <c r="B74" s="461" t="s">
        <v>269</v>
      </c>
      <c r="C74" s="461" t="s">
        <v>38</v>
      </c>
      <c r="D74">
        <v>10</v>
      </c>
      <c r="E74">
        <v>1</v>
      </c>
      <c r="F74">
        <v>1</v>
      </c>
      <c r="G74">
        <v>0</v>
      </c>
      <c r="H74">
        <v>0</v>
      </c>
      <c r="I74">
        <v>0</v>
      </c>
      <c r="J74">
        <v>12</v>
      </c>
    </row>
    <row r="75" spans="1:10" x14ac:dyDescent="0.35">
      <c r="A75" s="461" t="s">
        <v>951</v>
      </c>
      <c r="B75" s="461" t="s">
        <v>296</v>
      </c>
      <c r="C75" s="461" t="s">
        <v>39</v>
      </c>
      <c r="D75">
        <v>3</v>
      </c>
      <c r="E75">
        <v>0</v>
      </c>
      <c r="F75">
        <v>2</v>
      </c>
      <c r="G75">
        <v>0</v>
      </c>
      <c r="H75">
        <v>0</v>
      </c>
      <c r="I75">
        <v>0</v>
      </c>
      <c r="J75">
        <v>5</v>
      </c>
    </row>
    <row r="76" spans="1:10" x14ac:dyDescent="0.35">
      <c r="A76" s="461" t="s">
        <v>951</v>
      </c>
      <c r="B76" s="461" t="s">
        <v>270</v>
      </c>
      <c r="C76" s="461" t="s">
        <v>40</v>
      </c>
      <c r="D76">
        <v>9</v>
      </c>
      <c r="E76">
        <v>0</v>
      </c>
      <c r="F76">
        <v>0</v>
      </c>
      <c r="G76">
        <v>0</v>
      </c>
      <c r="H76">
        <v>0</v>
      </c>
      <c r="I76">
        <v>1</v>
      </c>
      <c r="J76">
        <v>10</v>
      </c>
    </row>
    <row r="77" spans="1:10" x14ac:dyDescent="0.35">
      <c r="A77" s="461" t="s">
        <v>951</v>
      </c>
      <c r="B77" s="461" t="s">
        <v>271</v>
      </c>
      <c r="C77" s="461" t="s">
        <v>41</v>
      </c>
      <c r="D77">
        <v>2</v>
      </c>
      <c r="E77">
        <v>0</v>
      </c>
      <c r="F77">
        <v>0</v>
      </c>
      <c r="G77">
        <v>0</v>
      </c>
      <c r="H77">
        <v>0</v>
      </c>
      <c r="I77">
        <v>0</v>
      </c>
      <c r="J77">
        <v>2</v>
      </c>
    </row>
    <row r="78" spans="1:10" x14ac:dyDescent="0.35">
      <c r="A78" s="461" t="s">
        <v>951</v>
      </c>
      <c r="B78" s="461" t="s">
        <v>273</v>
      </c>
      <c r="C78" s="461" t="s">
        <v>42</v>
      </c>
      <c r="D78">
        <v>9</v>
      </c>
      <c r="E78">
        <v>1</v>
      </c>
      <c r="F78">
        <v>1</v>
      </c>
      <c r="G78">
        <v>0</v>
      </c>
      <c r="H78">
        <v>0</v>
      </c>
      <c r="I78">
        <v>4</v>
      </c>
      <c r="J78">
        <v>15</v>
      </c>
    </row>
    <row r="79" spans="1:10" x14ac:dyDescent="0.35">
      <c r="A79" s="461" t="s">
        <v>951</v>
      </c>
      <c r="B79" s="461" t="s">
        <v>298</v>
      </c>
      <c r="C79" s="461" t="s">
        <v>43</v>
      </c>
      <c r="D79">
        <v>20</v>
      </c>
      <c r="E79">
        <v>2</v>
      </c>
      <c r="F79">
        <v>0</v>
      </c>
      <c r="G79">
        <v>2</v>
      </c>
      <c r="H79">
        <v>0</v>
      </c>
      <c r="I79">
        <v>4</v>
      </c>
      <c r="J79">
        <v>28</v>
      </c>
    </row>
    <row r="80" spans="1:10" x14ac:dyDescent="0.35">
      <c r="A80" s="461" t="s">
        <v>951</v>
      </c>
      <c r="B80" s="461" t="s">
        <v>959</v>
      </c>
      <c r="C80" s="461" t="s">
        <v>114</v>
      </c>
      <c r="D80">
        <v>29</v>
      </c>
      <c r="E80">
        <v>3</v>
      </c>
      <c r="F80">
        <v>0</v>
      </c>
      <c r="G80">
        <v>3</v>
      </c>
      <c r="H80">
        <v>0</v>
      </c>
      <c r="I80">
        <v>4</v>
      </c>
      <c r="J80">
        <v>39</v>
      </c>
    </row>
    <row r="81" spans="1:10" x14ac:dyDescent="0.35">
      <c r="A81" s="461" t="s">
        <v>951</v>
      </c>
      <c r="B81" s="461" t="s">
        <v>274</v>
      </c>
      <c r="C81" s="461" t="s">
        <v>44</v>
      </c>
      <c r="D81">
        <v>65</v>
      </c>
      <c r="E81">
        <v>1</v>
      </c>
      <c r="F81">
        <v>1</v>
      </c>
      <c r="G81">
        <v>3</v>
      </c>
      <c r="H81">
        <v>3</v>
      </c>
      <c r="I81">
        <v>2</v>
      </c>
      <c r="J81">
        <v>75</v>
      </c>
    </row>
    <row r="82" spans="1:10" x14ac:dyDescent="0.35">
      <c r="A82" s="461" t="s">
        <v>951</v>
      </c>
      <c r="B82" s="461" t="s">
        <v>275</v>
      </c>
      <c r="C82" s="461" t="s">
        <v>45</v>
      </c>
      <c r="D82">
        <v>6</v>
      </c>
      <c r="E82">
        <v>1</v>
      </c>
      <c r="F82">
        <v>0</v>
      </c>
      <c r="G82">
        <v>0</v>
      </c>
      <c r="H82">
        <v>0</v>
      </c>
      <c r="I82">
        <v>0</v>
      </c>
      <c r="J82">
        <v>7</v>
      </c>
    </row>
    <row r="83" spans="1:10" x14ac:dyDescent="0.35">
      <c r="A83" s="461" t="s">
        <v>951</v>
      </c>
      <c r="B83" s="461" t="s">
        <v>276</v>
      </c>
      <c r="C83" s="461" t="s">
        <v>46</v>
      </c>
      <c r="D83">
        <v>3</v>
      </c>
      <c r="E83">
        <v>0</v>
      </c>
      <c r="F83">
        <v>0</v>
      </c>
      <c r="G83">
        <v>0</v>
      </c>
      <c r="H83">
        <v>0</v>
      </c>
      <c r="I83">
        <v>1</v>
      </c>
      <c r="J83">
        <v>4</v>
      </c>
    </row>
    <row r="84" spans="1:10" x14ac:dyDescent="0.35">
      <c r="A84" s="461" t="s">
        <v>951</v>
      </c>
      <c r="B84" s="461" t="s">
        <v>277</v>
      </c>
      <c r="C84" s="461" t="s">
        <v>47</v>
      </c>
      <c r="D84">
        <v>13</v>
      </c>
      <c r="E84">
        <v>0</v>
      </c>
      <c r="F84">
        <v>1</v>
      </c>
      <c r="G84">
        <v>1</v>
      </c>
      <c r="H84">
        <v>2</v>
      </c>
      <c r="I84">
        <v>4</v>
      </c>
      <c r="J84">
        <v>21</v>
      </c>
    </row>
    <row r="85" spans="1:10" x14ac:dyDescent="0.35">
      <c r="A85" s="461" t="s">
        <v>951</v>
      </c>
      <c r="B85" s="461" t="s">
        <v>272</v>
      </c>
      <c r="C85" s="461" t="s">
        <v>48</v>
      </c>
      <c r="D85">
        <v>15</v>
      </c>
      <c r="E85">
        <v>0</v>
      </c>
      <c r="F85">
        <v>0</v>
      </c>
      <c r="G85">
        <v>0</v>
      </c>
      <c r="H85">
        <v>0</v>
      </c>
      <c r="I85">
        <v>0</v>
      </c>
      <c r="J85">
        <v>15</v>
      </c>
    </row>
    <row r="86" spans="1:10" x14ac:dyDescent="0.35">
      <c r="A86" s="461" t="s">
        <v>951</v>
      </c>
      <c r="B86" s="461" t="s">
        <v>278</v>
      </c>
      <c r="C86" s="461" t="s">
        <v>49</v>
      </c>
      <c r="D86">
        <v>17</v>
      </c>
      <c r="E86">
        <v>0</v>
      </c>
      <c r="F86">
        <v>1</v>
      </c>
      <c r="G86">
        <v>0</v>
      </c>
      <c r="H86">
        <v>1</v>
      </c>
      <c r="I86">
        <v>2</v>
      </c>
      <c r="J86">
        <v>21</v>
      </c>
    </row>
    <row r="87" spans="1:10" x14ac:dyDescent="0.35">
      <c r="A87" s="461" t="s">
        <v>951</v>
      </c>
      <c r="B87" s="461" t="s">
        <v>960</v>
      </c>
      <c r="C87" s="461" t="s">
        <v>50</v>
      </c>
      <c r="D87">
        <v>8</v>
      </c>
      <c r="E87">
        <v>2</v>
      </c>
      <c r="F87">
        <v>2</v>
      </c>
      <c r="G87">
        <v>1</v>
      </c>
      <c r="H87">
        <v>0</v>
      </c>
      <c r="I87">
        <v>3</v>
      </c>
      <c r="J87">
        <v>16</v>
      </c>
    </row>
    <row r="88" spans="1:10" x14ac:dyDescent="0.35">
      <c r="A88" s="461" t="s">
        <v>951</v>
      </c>
      <c r="B88" s="461" t="s">
        <v>279</v>
      </c>
      <c r="C88" s="461" t="s">
        <v>51</v>
      </c>
      <c r="D88">
        <v>15</v>
      </c>
      <c r="E88">
        <v>0</v>
      </c>
      <c r="F88">
        <v>0</v>
      </c>
      <c r="G88">
        <v>0</v>
      </c>
      <c r="H88">
        <v>1</v>
      </c>
      <c r="I88">
        <v>0</v>
      </c>
      <c r="J88">
        <v>16</v>
      </c>
    </row>
    <row r="89" spans="1:10" x14ac:dyDescent="0.35">
      <c r="A89" s="461" t="s">
        <v>951</v>
      </c>
      <c r="B89" s="461" t="s">
        <v>280</v>
      </c>
      <c r="C89" s="461" t="s">
        <v>52</v>
      </c>
      <c r="D89">
        <v>15</v>
      </c>
      <c r="E89">
        <v>1</v>
      </c>
      <c r="F89">
        <v>0</v>
      </c>
      <c r="G89">
        <v>1</v>
      </c>
      <c r="H89">
        <v>3</v>
      </c>
      <c r="I89">
        <v>0</v>
      </c>
      <c r="J89">
        <v>20</v>
      </c>
    </row>
    <row r="90" spans="1:10" x14ac:dyDescent="0.35">
      <c r="A90" s="461" t="s">
        <v>951</v>
      </c>
      <c r="B90" s="461" t="s">
        <v>290</v>
      </c>
      <c r="C90" s="461" t="s">
        <v>53</v>
      </c>
      <c r="D90">
        <v>5</v>
      </c>
      <c r="E90">
        <v>2</v>
      </c>
      <c r="F90">
        <v>0</v>
      </c>
      <c r="G90">
        <v>0</v>
      </c>
      <c r="H90">
        <v>0</v>
      </c>
      <c r="I90">
        <v>3</v>
      </c>
      <c r="J90">
        <v>10</v>
      </c>
    </row>
    <row r="91" spans="1:10" x14ac:dyDescent="0.35">
      <c r="A91" s="461" t="s">
        <v>951</v>
      </c>
      <c r="B91" s="461" t="s">
        <v>281</v>
      </c>
      <c r="C91" s="461" t="s">
        <v>54</v>
      </c>
      <c r="D91">
        <v>17</v>
      </c>
      <c r="E91">
        <v>0</v>
      </c>
      <c r="F91">
        <v>0</v>
      </c>
      <c r="G91">
        <v>2</v>
      </c>
      <c r="H91">
        <v>0</v>
      </c>
      <c r="I91">
        <v>1</v>
      </c>
      <c r="J91">
        <v>20</v>
      </c>
    </row>
    <row r="92" spans="1:10" x14ac:dyDescent="0.35">
      <c r="A92" s="461" t="s">
        <v>951</v>
      </c>
      <c r="B92" s="461" t="s">
        <v>282</v>
      </c>
      <c r="C92" s="461" t="s">
        <v>55</v>
      </c>
      <c r="D92">
        <v>16</v>
      </c>
      <c r="E92">
        <v>0</v>
      </c>
      <c r="F92">
        <v>0</v>
      </c>
      <c r="G92">
        <v>0</v>
      </c>
      <c r="H92">
        <v>1</v>
      </c>
      <c r="I92">
        <v>1</v>
      </c>
      <c r="J92">
        <v>18</v>
      </c>
    </row>
    <row r="93" spans="1:10" x14ac:dyDescent="0.35">
      <c r="A93" s="461" t="s">
        <v>951</v>
      </c>
      <c r="B93" s="461" t="s">
        <v>283</v>
      </c>
      <c r="C93" s="461" t="s">
        <v>56</v>
      </c>
      <c r="D93">
        <v>7</v>
      </c>
      <c r="E93">
        <v>1</v>
      </c>
      <c r="F93">
        <v>0</v>
      </c>
      <c r="G93">
        <v>1</v>
      </c>
      <c r="H93">
        <v>0</v>
      </c>
      <c r="I93">
        <v>0</v>
      </c>
      <c r="J93">
        <v>9</v>
      </c>
    </row>
    <row r="94" spans="1:10" x14ac:dyDescent="0.35">
      <c r="A94" s="461" t="s">
        <v>951</v>
      </c>
      <c r="B94" s="461" t="s">
        <v>284</v>
      </c>
      <c r="C94" s="461" t="s">
        <v>57</v>
      </c>
      <c r="D94">
        <v>15</v>
      </c>
      <c r="E94">
        <v>1</v>
      </c>
      <c r="F94">
        <v>1</v>
      </c>
      <c r="G94">
        <v>2</v>
      </c>
      <c r="H94">
        <v>0</v>
      </c>
      <c r="I94">
        <v>5</v>
      </c>
      <c r="J94">
        <v>24</v>
      </c>
    </row>
    <row r="95" spans="1:10" x14ac:dyDescent="0.35">
      <c r="A95" s="461" t="s">
        <v>951</v>
      </c>
      <c r="B95" s="461" t="s">
        <v>285</v>
      </c>
      <c r="C95" s="461" t="s">
        <v>58</v>
      </c>
      <c r="D95">
        <v>9</v>
      </c>
      <c r="E95">
        <v>0</v>
      </c>
      <c r="F95">
        <v>0</v>
      </c>
      <c r="G95">
        <v>1</v>
      </c>
      <c r="H95">
        <v>2</v>
      </c>
      <c r="I95">
        <v>3</v>
      </c>
      <c r="J95">
        <v>15</v>
      </c>
    </row>
    <row r="96" spans="1:10" x14ac:dyDescent="0.35">
      <c r="A96" s="461" t="s">
        <v>951</v>
      </c>
      <c r="B96" s="461" t="s">
        <v>291</v>
      </c>
      <c r="C96" s="461" t="s">
        <v>59</v>
      </c>
      <c r="D96">
        <v>4</v>
      </c>
      <c r="E96">
        <v>1</v>
      </c>
      <c r="F96">
        <v>1</v>
      </c>
      <c r="G96">
        <v>0</v>
      </c>
      <c r="H96">
        <v>0</v>
      </c>
      <c r="I96">
        <v>1</v>
      </c>
      <c r="J96">
        <v>7</v>
      </c>
    </row>
    <row r="97" spans="1:10" x14ac:dyDescent="0.35">
      <c r="A97" s="461" t="s">
        <v>951</v>
      </c>
      <c r="B97" s="461" t="s">
        <v>292</v>
      </c>
      <c r="C97" s="461" t="s">
        <v>60</v>
      </c>
      <c r="D97">
        <v>9</v>
      </c>
      <c r="E97">
        <v>0</v>
      </c>
      <c r="F97">
        <v>0</v>
      </c>
      <c r="G97">
        <v>1</v>
      </c>
      <c r="H97">
        <v>0</v>
      </c>
      <c r="I97">
        <v>1</v>
      </c>
      <c r="J97">
        <v>11</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D9B3FF"/>
    <pageSetUpPr fitToPage="1"/>
  </sheetPr>
  <dimension ref="A1:N46"/>
  <sheetViews>
    <sheetView showGridLines="0" workbookViewId="0">
      <pane ySplit="2" topLeftCell="A3" activePane="bottomLeft" state="frozen"/>
      <selection pane="bottomLeft" sqref="A1:I1"/>
    </sheetView>
  </sheetViews>
  <sheetFormatPr defaultRowHeight="14.5" x14ac:dyDescent="0.35"/>
  <cols>
    <col min="1" max="1" width="17.7265625" customWidth="1"/>
    <col min="2" max="2" width="28.7265625" customWidth="1"/>
    <col min="3" max="9" width="14.54296875" customWidth="1"/>
  </cols>
  <sheetData>
    <row r="1" spans="1:9" ht="15.5" x14ac:dyDescent="0.35">
      <c r="A1" s="1160" t="s">
        <v>582</v>
      </c>
      <c r="B1" s="1160"/>
      <c r="C1" s="1160"/>
      <c r="D1" s="1160"/>
      <c r="E1" s="1160"/>
      <c r="F1" s="1160"/>
      <c r="G1" s="1160"/>
      <c r="H1" s="1160"/>
      <c r="I1" s="1160"/>
    </row>
    <row r="2" spans="1:9" ht="17.5" x14ac:dyDescent="0.35">
      <c r="A2" s="601" t="s">
        <v>509</v>
      </c>
      <c r="B2" s="1"/>
      <c r="C2" s="1"/>
      <c r="D2" s="1"/>
      <c r="E2" s="1"/>
      <c r="F2" s="1"/>
      <c r="G2" s="1"/>
      <c r="H2" s="1"/>
      <c r="I2" s="1"/>
    </row>
    <row r="3" spans="1:9" ht="17.5" x14ac:dyDescent="0.35">
      <c r="A3" s="1"/>
      <c r="B3" s="1"/>
      <c r="C3" s="1"/>
      <c r="D3" s="1"/>
      <c r="E3" s="1"/>
      <c r="F3" s="1"/>
      <c r="G3" s="1"/>
      <c r="H3" s="1"/>
      <c r="I3" s="1"/>
    </row>
    <row r="4" spans="1:9" ht="15.5" x14ac:dyDescent="0.35">
      <c r="A4" s="535" t="s">
        <v>587</v>
      </c>
      <c r="B4" s="535"/>
      <c r="C4" s="535"/>
      <c r="D4" s="535"/>
      <c r="E4" s="535"/>
      <c r="F4" s="535"/>
      <c r="G4" s="535"/>
      <c r="H4" s="535"/>
      <c r="I4" s="535"/>
    </row>
    <row r="5" spans="1:9" x14ac:dyDescent="0.35">
      <c r="A5" t="s">
        <v>320</v>
      </c>
      <c r="B5" t="s">
        <v>642</v>
      </c>
    </row>
    <row r="6" spans="1:9" x14ac:dyDescent="0.35">
      <c r="A6" t="s">
        <v>321</v>
      </c>
      <c r="B6" t="s">
        <v>323</v>
      </c>
    </row>
    <row r="7" spans="1:9" x14ac:dyDescent="0.35">
      <c r="A7" t="s">
        <v>322</v>
      </c>
      <c r="B7" t="s">
        <v>324</v>
      </c>
      <c r="D7" s="359"/>
    </row>
    <row r="9" spans="1:9" ht="45" customHeight="1" x14ac:dyDescent="0.35">
      <c r="A9" s="49" t="s">
        <v>449</v>
      </c>
      <c r="B9" s="49" t="s">
        <v>30</v>
      </c>
      <c r="C9" s="225" t="s">
        <v>115</v>
      </c>
      <c r="D9" s="225" t="s">
        <v>180</v>
      </c>
      <c r="E9" s="225" t="s">
        <v>196</v>
      </c>
      <c r="F9" s="225" t="s">
        <v>189</v>
      </c>
      <c r="G9" s="225" t="s">
        <v>208</v>
      </c>
      <c r="H9" s="225" t="s">
        <v>631</v>
      </c>
      <c r="I9" s="225" t="s">
        <v>197</v>
      </c>
    </row>
    <row r="10" spans="1:9" ht="21" customHeight="1" x14ac:dyDescent="0.35">
      <c r="A10" s="469" t="s">
        <v>286</v>
      </c>
      <c r="B10" s="470" t="s">
        <v>31</v>
      </c>
      <c r="C10" s="226">
        <f>AppliancesLAPivot!B4</f>
        <v>7</v>
      </c>
      <c r="D10" s="226">
        <f>AppliancesLAPivot!C4</f>
        <v>1</v>
      </c>
      <c r="E10" s="226">
        <f>AppliancesLAPivot!D4</f>
        <v>2</v>
      </c>
      <c r="F10" s="226">
        <f>AppliancesLAPivot!E4</f>
        <v>0</v>
      </c>
      <c r="G10" s="226">
        <f>AppliancesLAPivot!F4</f>
        <v>2</v>
      </c>
      <c r="H10" s="226">
        <f>AppliancesLAPivot!G4</f>
        <v>4</v>
      </c>
      <c r="I10" s="227">
        <f>AppliancesLAPivot!H4</f>
        <v>16</v>
      </c>
    </row>
    <row r="11" spans="1:9" x14ac:dyDescent="0.35">
      <c r="A11" s="103" t="s">
        <v>287</v>
      </c>
      <c r="B11" s="61" t="s">
        <v>32</v>
      </c>
      <c r="C11" s="226">
        <f>AppliancesLAPivot!B5</f>
        <v>31</v>
      </c>
      <c r="D11" s="226">
        <f>AppliancesLAPivot!C5</f>
        <v>0</v>
      </c>
      <c r="E11" s="226">
        <f>AppliancesLAPivot!D5</f>
        <v>0</v>
      </c>
      <c r="F11" s="226">
        <f>AppliancesLAPivot!E5</f>
        <v>0</v>
      </c>
      <c r="G11" s="226">
        <f>AppliancesLAPivot!F5</f>
        <v>4</v>
      </c>
      <c r="H11" s="226">
        <f>AppliancesLAPivot!G5</f>
        <v>1</v>
      </c>
      <c r="I11" s="227">
        <f>AppliancesLAPivot!H5</f>
        <v>36</v>
      </c>
    </row>
    <row r="12" spans="1:9" x14ac:dyDescent="0.35">
      <c r="A12" s="103" t="s">
        <v>293</v>
      </c>
      <c r="B12" s="61" t="s">
        <v>33</v>
      </c>
      <c r="C12" s="226">
        <f>AppliancesLAPivot!B6</f>
        <v>11</v>
      </c>
      <c r="D12" s="226">
        <f>AppliancesLAPivot!C6</f>
        <v>0</v>
      </c>
      <c r="E12" s="226">
        <f>AppliancesLAPivot!D6</f>
        <v>0</v>
      </c>
      <c r="F12" s="226">
        <f>AppliancesLAPivot!E6</f>
        <v>0</v>
      </c>
      <c r="G12" s="226">
        <f>AppliancesLAPivot!F6</f>
        <v>1</v>
      </c>
      <c r="H12" s="226">
        <f>AppliancesLAPivot!G6</f>
        <v>1</v>
      </c>
      <c r="I12" s="227">
        <f>AppliancesLAPivot!H6</f>
        <v>13</v>
      </c>
    </row>
    <row r="13" spans="1:9" x14ac:dyDescent="0.35">
      <c r="A13" s="103" t="s">
        <v>288</v>
      </c>
      <c r="B13" s="61" t="s">
        <v>34</v>
      </c>
      <c r="C13" s="226">
        <f>AppliancesLAPivot!B7</f>
        <v>25</v>
      </c>
      <c r="D13" s="226">
        <f>AppliancesLAPivot!C7</f>
        <v>1</v>
      </c>
      <c r="E13" s="226">
        <f>AppliancesLAPivot!D7</f>
        <v>1</v>
      </c>
      <c r="F13" s="226">
        <f>AppliancesLAPivot!E7</f>
        <v>17</v>
      </c>
      <c r="G13" s="226">
        <f>AppliancesLAPivot!F7</f>
        <v>4</v>
      </c>
      <c r="H13" s="226">
        <f>AppliancesLAPivot!G7</f>
        <v>0</v>
      </c>
      <c r="I13" s="227">
        <f>AppliancesLAPivot!H7</f>
        <v>48</v>
      </c>
    </row>
    <row r="14" spans="1:9" x14ac:dyDescent="0.35">
      <c r="A14" s="103" t="s">
        <v>289</v>
      </c>
      <c r="B14" s="61" t="s">
        <v>245</v>
      </c>
      <c r="C14" s="226">
        <f>AppliancesLAPivot!B8</f>
        <v>19</v>
      </c>
      <c r="D14" s="226">
        <f>AppliancesLAPivot!C8</f>
        <v>3</v>
      </c>
      <c r="E14" s="226">
        <f>AppliancesLAPivot!D8</f>
        <v>2</v>
      </c>
      <c r="F14" s="226">
        <f>AppliancesLAPivot!E8</f>
        <v>0</v>
      </c>
      <c r="G14" s="226">
        <f>AppliancesLAPivot!F8</f>
        <v>3</v>
      </c>
      <c r="H14" s="226">
        <f>AppliancesLAPivot!G8</f>
        <v>4</v>
      </c>
      <c r="I14" s="227">
        <f>AppliancesLAPivot!H8</f>
        <v>31</v>
      </c>
    </row>
    <row r="15" spans="1:9" x14ac:dyDescent="0.35">
      <c r="A15" s="103" t="s">
        <v>267</v>
      </c>
      <c r="B15" s="61" t="s">
        <v>35</v>
      </c>
      <c r="C15" s="226">
        <f>AppliancesLAPivot!B9</f>
        <v>3</v>
      </c>
      <c r="D15" s="226">
        <f>AppliancesLAPivot!C9</f>
        <v>0</v>
      </c>
      <c r="E15" s="226">
        <f>AppliancesLAPivot!D9</f>
        <v>1</v>
      </c>
      <c r="F15" s="226">
        <f>AppliancesLAPivot!E9</f>
        <v>0</v>
      </c>
      <c r="G15" s="226">
        <f>AppliancesLAPivot!F9</f>
        <v>1</v>
      </c>
      <c r="H15" s="226">
        <f>AppliancesLAPivot!G9</f>
        <v>0</v>
      </c>
      <c r="I15" s="227">
        <f>AppliancesLAPivot!H9</f>
        <v>5</v>
      </c>
    </row>
    <row r="16" spans="1:9" x14ac:dyDescent="0.35">
      <c r="A16" s="103" t="s">
        <v>268</v>
      </c>
      <c r="B16" s="61" t="s">
        <v>36</v>
      </c>
      <c r="C16" s="226">
        <f>AppliancesLAPivot!B10</f>
        <v>21</v>
      </c>
      <c r="D16" s="226">
        <f>AppliancesLAPivot!C10</f>
        <v>1</v>
      </c>
      <c r="E16" s="226">
        <f>AppliancesLAPivot!D10</f>
        <v>3</v>
      </c>
      <c r="F16" s="226">
        <f>AppliancesLAPivot!E10</f>
        <v>0</v>
      </c>
      <c r="G16" s="226">
        <f>AppliancesLAPivot!F10</f>
        <v>3</v>
      </c>
      <c r="H16" s="226">
        <f>AppliancesLAPivot!G10</f>
        <v>0</v>
      </c>
      <c r="I16" s="227">
        <f>AppliancesLAPivot!H10</f>
        <v>28</v>
      </c>
    </row>
    <row r="17" spans="1:9" x14ac:dyDescent="0.35">
      <c r="A17" s="103" t="s">
        <v>294</v>
      </c>
      <c r="B17" s="61" t="s">
        <v>37</v>
      </c>
      <c r="C17" s="226">
        <f>AppliancesLAPivot!B11</f>
        <v>7</v>
      </c>
      <c r="D17" s="226">
        <f>AppliancesLAPivot!C11</f>
        <v>2</v>
      </c>
      <c r="E17" s="226">
        <f>AppliancesLAPivot!D11</f>
        <v>1</v>
      </c>
      <c r="F17" s="226">
        <f>AppliancesLAPivot!E11</f>
        <v>0</v>
      </c>
      <c r="G17" s="226">
        <f>AppliancesLAPivot!F11</f>
        <v>2</v>
      </c>
      <c r="H17" s="226">
        <f>AppliancesLAPivot!G11</f>
        <v>2</v>
      </c>
      <c r="I17" s="227">
        <f>AppliancesLAPivot!H11</f>
        <v>14</v>
      </c>
    </row>
    <row r="18" spans="1:9" x14ac:dyDescent="0.35">
      <c r="A18" s="103" t="s">
        <v>269</v>
      </c>
      <c r="B18" s="61" t="s">
        <v>38</v>
      </c>
      <c r="C18" s="226">
        <f>AppliancesLAPivot!B12</f>
        <v>10</v>
      </c>
      <c r="D18" s="226">
        <f>AppliancesLAPivot!C12</f>
        <v>1</v>
      </c>
      <c r="E18" s="226">
        <f>AppliancesLAPivot!D12</f>
        <v>0</v>
      </c>
      <c r="F18" s="226">
        <f>AppliancesLAPivot!E12</f>
        <v>0</v>
      </c>
      <c r="G18" s="226">
        <f>AppliancesLAPivot!F12</f>
        <v>0</v>
      </c>
      <c r="H18" s="226">
        <f>AppliancesLAPivot!G12</f>
        <v>1</v>
      </c>
      <c r="I18" s="227">
        <f>AppliancesLAPivot!H12</f>
        <v>12</v>
      </c>
    </row>
    <row r="19" spans="1:9" x14ac:dyDescent="0.35">
      <c r="A19" s="103" t="s">
        <v>296</v>
      </c>
      <c r="B19" s="61" t="s">
        <v>39</v>
      </c>
      <c r="C19" s="226">
        <f>AppliancesLAPivot!B13</f>
        <v>3</v>
      </c>
      <c r="D19" s="226">
        <f>AppliancesLAPivot!C13</f>
        <v>0</v>
      </c>
      <c r="E19" s="226">
        <f>AppliancesLAPivot!D13</f>
        <v>0</v>
      </c>
      <c r="F19" s="226">
        <f>AppliancesLAPivot!E13</f>
        <v>0</v>
      </c>
      <c r="G19" s="226">
        <f>AppliancesLAPivot!F13</f>
        <v>0</v>
      </c>
      <c r="H19" s="226">
        <f>AppliancesLAPivot!G13</f>
        <v>2</v>
      </c>
      <c r="I19" s="227">
        <f>AppliancesLAPivot!H13</f>
        <v>5</v>
      </c>
    </row>
    <row r="20" spans="1:9" x14ac:dyDescent="0.35">
      <c r="A20" s="103" t="s">
        <v>270</v>
      </c>
      <c r="B20" s="61" t="s">
        <v>40</v>
      </c>
      <c r="C20" s="226">
        <f>AppliancesLAPivot!B14</f>
        <v>9</v>
      </c>
      <c r="D20" s="226">
        <f>AppliancesLAPivot!C14</f>
        <v>0</v>
      </c>
      <c r="E20" s="226">
        <f>AppliancesLAPivot!D14</f>
        <v>0</v>
      </c>
      <c r="F20" s="226">
        <f>AppliancesLAPivot!E14</f>
        <v>0</v>
      </c>
      <c r="G20" s="226">
        <f>AppliancesLAPivot!F14</f>
        <v>1</v>
      </c>
      <c r="H20" s="226">
        <f>AppliancesLAPivot!G14</f>
        <v>0</v>
      </c>
      <c r="I20" s="227">
        <f>AppliancesLAPivot!H14</f>
        <v>10</v>
      </c>
    </row>
    <row r="21" spans="1:9" x14ac:dyDescent="0.35">
      <c r="A21" s="103" t="s">
        <v>271</v>
      </c>
      <c r="B21" s="61" t="s">
        <v>41</v>
      </c>
      <c r="C21" s="226">
        <f>AppliancesLAPivot!B15</f>
        <v>2</v>
      </c>
      <c r="D21" s="226">
        <f>AppliancesLAPivot!C15</f>
        <v>0</v>
      </c>
      <c r="E21" s="226">
        <f>AppliancesLAPivot!D15</f>
        <v>0</v>
      </c>
      <c r="F21" s="226">
        <f>AppliancesLAPivot!E15</f>
        <v>0</v>
      </c>
      <c r="G21" s="226">
        <f>AppliancesLAPivot!F15</f>
        <v>0</v>
      </c>
      <c r="H21" s="226">
        <f>AppliancesLAPivot!G15</f>
        <v>0</v>
      </c>
      <c r="I21" s="227">
        <f>AppliancesLAPivot!H15</f>
        <v>2</v>
      </c>
    </row>
    <row r="22" spans="1:9" x14ac:dyDescent="0.35">
      <c r="A22" s="103" t="s">
        <v>273</v>
      </c>
      <c r="B22" s="61" t="s">
        <v>42</v>
      </c>
      <c r="C22" s="226">
        <f>AppliancesLAPivot!B16</f>
        <v>9</v>
      </c>
      <c r="D22" s="226">
        <f>AppliancesLAPivot!C16</f>
        <v>1</v>
      </c>
      <c r="E22" s="226">
        <f>AppliancesLAPivot!D16</f>
        <v>0</v>
      </c>
      <c r="F22" s="226">
        <f>AppliancesLAPivot!E16</f>
        <v>0</v>
      </c>
      <c r="G22" s="226">
        <f>AppliancesLAPivot!F16</f>
        <v>4</v>
      </c>
      <c r="H22" s="226">
        <f>AppliancesLAPivot!G16</f>
        <v>1</v>
      </c>
      <c r="I22" s="227">
        <f>AppliancesLAPivot!H16</f>
        <v>15</v>
      </c>
    </row>
    <row r="23" spans="1:9" x14ac:dyDescent="0.35">
      <c r="A23" s="103" t="s">
        <v>298</v>
      </c>
      <c r="B23" s="61" t="s">
        <v>43</v>
      </c>
      <c r="C23" s="226">
        <f>AppliancesLAPivot!B17</f>
        <v>20</v>
      </c>
      <c r="D23" s="226">
        <f>AppliancesLAPivot!C17</f>
        <v>2</v>
      </c>
      <c r="E23" s="226">
        <f>AppliancesLAPivot!D17</f>
        <v>2</v>
      </c>
      <c r="F23" s="226">
        <f>AppliancesLAPivot!E17</f>
        <v>0</v>
      </c>
      <c r="G23" s="226">
        <f>AppliancesLAPivot!F17</f>
        <v>4</v>
      </c>
      <c r="H23" s="226">
        <f>AppliancesLAPivot!G17</f>
        <v>0</v>
      </c>
      <c r="I23" s="227">
        <f>AppliancesLAPivot!H17</f>
        <v>28</v>
      </c>
    </row>
    <row r="24" spans="1:9" x14ac:dyDescent="0.35">
      <c r="A24" s="103" t="str">
        <f>IF(D7 = "2019-20","S12000049","S12000046")</f>
        <v>S12000046</v>
      </c>
      <c r="B24" s="61" t="s">
        <v>114</v>
      </c>
      <c r="C24" s="226">
        <f>AppliancesLAPivot!B18</f>
        <v>29</v>
      </c>
      <c r="D24" s="226">
        <f>AppliancesLAPivot!C18</f>
        <v>3</v>
      </c>
      <c r="E24" s="226">
        <f>AppliancesLAPivot!D18</f>
        <v>3</v>
      </c>
      <c r="F24" s="226">
        <f>AppliancesLAPivot!E18</f>
        <v>0</v>
      </c>
      <c r="G24" s="226">
        <f>AppliancesLAPivot!F18</f>
        <v>4</v>
      </c>
      <c r="H24" s="226">
        <f>AppliancesLAPivot!G18</f>
        <v>0</v>
      </c>
      <c r="I24" s="227">
        <f>AppliancesLAPivot!H18</f>
        <v>39</v>
      </c>
    </row>
    <row r="25" spans="1:9" x14ac:dyDescent="0.35">
      <c r="A25" s="103" t="s">
        <v>274</v>
      </c>
      <c r="B25" s="61" t="s">
        <v>44</v>
      </c>
      <c r="C25" s="226">
        <f>AppliancesLAPivot!B19</f>
        <v>65</v>
      </c>
      <c r="D25" s="226">
        <f>AppliancesLAPivot!C19</f>
        <v>1</v>
      </c>
      <c r="E25" s="226">
        <f>AppliancesLAPivot!D19</f>
        <v>3</v>
      </c>
      <c r="F25" s="226">
        <f>AppliancesLAPivot!E19</f>
        <v>3</v>
      </c>
      <c r="G25" s="226">
        <f>AppliancesLAPivot!F19</f>
        <v>2</v>
      </c>
      <c r="H25" s="226">
        <f>AppliancesLAPivot!G19</f>
        <v>1</v>
      </c>
      <c r="I25" s="227">
        <f>AppliancesLAPivot!H19</f>
        <v>75</v>
      </c>
    </row>
    <row r="26" spans="1:9" x14ac:dyDescent="0.35">
      <c r="A26" s="103" t="s">
        <v>275</v>
      </c>
      <c r="B26" s="61" t="s">
        <v>45</v>
      </c>
      <c r="C26" s="226">
        <f>AppliancesLAPivot!B20</f>
        <v>6</v>
      </c>
      <c r="D26" s="226">
        <f>AppliancesLAPivot!C20</f>
        <v>1</v>
      </c>
      <c r="E26" s="226">
        <f>AppliancesLAPivot!D20</f>
        <v>0</v>
      </c>
      <c r="F26" s="226">
        <f>AppliancesLAPivot!E20</f>
        <v>0</v>
      </c>
      <c r="G26" s="226">
        <f>AppliancesLAPivot!F20</f>
        <v>0</v>
      </c>
      <c r="H26" s="226">
        <f>AppliancesLAPivot!G20</f>
        <v>0</v>
      </c>
      <c r="I26" s="227">
        <f>AppliancesLAPivot!H20</f>
        <v>7</v>
      </c>
    </row>
    <row r="27" spans="1:9" x14ac:dyDescent="0.35">
      <c r="A27" s="103" t="s">
        <v>276</v>
      </c>
      <c r="B27" s="61" t="s">
        <v>46</v>
      </c>
      <c r="C27" s="226">
        <f>AppliancesLAPivot!B21</f>
        <v>3</v>
      </c>
      <c r="D27" s="226">
        <f>AppliancesLAPivot!C21</f>
        <v>0</v>
      </c>
      <c r="E27" s="226">
        <f>AppliancesLAPivot!D21</f>
        <v>0</v>
      </c>
      <c r="F27" s="226">
        <f>AppliancesLAPivot!E21</f>
        <v>0</v>
      </c>
      <c r="G27" s="226">
        <f>AppliancesLAPivot!F21</f>
        <v>1</v>
      </c>
      <c r="H27" s="226">
        <f>AppliancesLAPivot!G21</f>
        <v>0</v>
      </c>
      <c r="I27" s="227">
        <f>AppliancesLAPivot!H21</f>
        <v>4</v>
      </c>
    </row>
    <row r="28" spans="1:9" x14ac:dyDescent="0.35">
      <c r="A28" s="103" t="s">
        <v>277</v>
      </c>
      <c r="B28" s="61" t="s">
        <v>47</v>
      </c>
      <c r="C28" s="226">
        <f>AppliancesLAPivot!B22</f>
        <v>13</v>
      </c>
      <c r="D28" s="226">
        <f>AppliancesLAPivot!C22</f>
        <v>0</v>
      </c>
      <c r="E28" s="226">
        <f>AppliancesLAPivot!D22</f>
        <v>1</v>
      </c>
      <c r="F28" s="226">
        <f>AppliancesLAPivot!E22</f>
        <v>2</v>
      </c>
      <c r="G28" s="226">
        <f>AppliancesLAPivot!F22</f>
        <v>4</v>
      </c>
      <c r="H28" s="226">
        <f>AppliancesLAPivot!G22</f>
        <v>1</v>
      </c>
      <c r="I28" s="227">
        <f>AppliancesLAPivot!H22</f>
        <v>21</v>
      </c>
    </row>
    <row r="29" spans="1:9" x14ac:dyDescent="0.35">
      <c r="A29" s="103" t="s">
        <v>272</v>
      </c>
      <c r="B29" s="61" t="s">
        <v>48</v>
      </c>
      <c r="C29" s="226">
        <f>AppliancesLAPivot!B23</f>
        <v>15</v>
      </c>
      <c r="D29" s="226">
        <f>AppliancesLAPivot!C23</f>
        <v>0</v>
      </c>
      <c r="E29" s="226">
        <f>AppliancesLAPivot!D23</f>
        <v>0</v>
      </c>
      <c r="F29" s="226">
        <f>AppliancesLAPivot!E23</f>
        <v>0</v>
      </c>
      <c r="G29" s="226">
        <f>AppliancesLAPivot!F23</f>
        <v>0</v>
      </c>
      <c r="H29" s="226">
        <f>AppliancesLAPivot!G23</f>
        <v>0</v>
      </c>
      <c r="I29" s="227">
        <f>AppliancesLAPivot!H23</f>
        <v>15</v>
      </c>
    </row>
    <row r="30" spans="1:9" x14ac:dyDescent="0.35">
      <c r="A30" s="103" t="s">
        <v>278</v>
      </c>
      <c r="B30" s="61" t="s">
        <v>49</v>
      </c>
      <c r="C30" s="226">
        <f>AppliancesLAPivot!B24</f>
        <v>17</v>
      </c>
      <c r="D30" s="226">
        <f>AppliancesLAPivot!C24</f>
        <v>0</v>
      </c>
      <c r="E30" s="226">
        <f>AppliancesLAPivot!D24</f>
        <v>0</v>
      </c>
      <c r="F30" s="226">
        <f>AppliancesLAPivot!E24</f>
        <v>1</v>
      </c>
      <c r="G30" s="226">
        <f>AppliancesLAPivot!F24</f>
        <v>2</v>
      </c>
      <c r="H30" s="226">
        <f>AppliancesLAPivot!G24</f>
        <v>1</v>
      </c>
      <c r="I30" s="227">
        <f>AppliancesLAPivot!H24</f>
        <v>21</v>
      </c>
    </row>
    <row r="31" spans="1:9" x14ac:dyDescent="0.35">
      <c r="A31" s="103" t="str">
        <f>IF(D7="2019-20","S12000050","S12000044")</f>
        <v>S12000044</v>
      </c>
      <c r="B31" s="61" t="s">
        <v>50</v>
      </c>
      <c r="C31" s="226">
        <f>AppliancesLAPivot!B25</f>
        <v>8</v>
      </c>
      <c r="D31" s="226">
        <f>AppliancesLAPivot!C25</f>
        <v>2</v>
      </c>
      <c r="E31" s="226">
        <f>AppliancesLAPivot!D25</f>
        <v>1</v>
      </c>
      <c r="F31" s="226">
        <f>AppliancesLAPivot!E25</f>
        <v>0</v>
      </c>
      <c r="G31" s="226">
        <f>AppliancesLAPivot!F25</f>
        <v>3</v>
      </c>
      <c r="H31" s="226">
        <f>AppliancesLAPivot!G25</f>
        <v>2</v>
      </c>
      <c r="I31" s="227">
        <f>AppliancesLAPivot!H25</f>
        <v>16</v>
      </c>
    </row>
    <row r="32" spans="1:9" x14ac:dyDescent="0.35">
      <c r="A32" s="103" t="s">
        <v>279</v>
      </c>
      <c r="B32" s="61" t="s">
        <v>51</v>
      </c>
      <c r="C32" s="226">
        <f>AppliancesLAPivot!B26</f>
        <v>15</v>
      </c>
      <c r="D32" s="226">
        <f>AppliancesLAPivot!C26</f>
        <v>0</v>
      </c>
      <c r="E32" s="226">
        <f>AppliancesLAPivot!D26</f>
        <v>0</v>
      </c>
      <c r="F32" s="226">
        <f>AppliancesLAPivot!E26</f>
        <v>1</v>
      </c>
      <c r="G32" s="226">
        <f>AppliancesLAPivot!F26</f>
        <v>0</v>
      </c>
      <c r="H32" s="226">
        <f>AppliancesLAPivot!G26</f>
        <v>0</v>
      </c>
      <c r="I32" s="227">
        <f>AppliancesLAPivot!H26</f>
        <v>16</v>
      </c>
    </row>
    <row r="33" spans="1:14" x14ac:dyDescent="0.35">
      <c r="A33" s="103" t="s">
        <v>280</v>
      </c>
      <c r="B33" s="61" t="s">
        <v>52</v>
      </c>
      <c r="C33" s="226">
        <f>AppliancesLAPivot!B27</f>
        <v>15</v>
      </c>
      <c r="D33" s="226">
        <f>AppliancesLAPivot!C27</f>
        <v>1</v>
      </c>
      <c r="E33" s="226">
        <f>AppliancesLAPivot!D27</f>
        <v>1</v>
      </c>
      <c r="F33" s="226">
        <f>AppliancesLAPivot!E27</f>
        <v>3</v>
      </c>
      <c r="G33" s="226">
        <f>AppliancesLAPivot!F27</f>
        <v>0</v>
      </c>
      <c r="H33" s="226">
        <f>AppliancesLAPivot!G27</f>
        <v>0</v>
      </c>
      <c r="I33" s="227">
        <f>AppliancesLAPivot!H27</f>
        <v>20</v>
      </c>
    </row>
    <row r="34" spans="1:14" x14ac:dyDescent="0.35">
      <c r="A34" s="103" t="s">
        <v>290</v>
      </c>
      <c r="B34" s="61" t="s">
        <v>53</v>
      </c>
      <c r="C34" s="226">
        <f>AppliancesLAPivot!B28</f>
        <v>5</v>
      </c>
      <c r="D34" s="226">
        <f>AppliancesLAPivot!C28</f>
        <v>2</v>
      </c>
      <c r="E34" s="226">
        <f>AppliancesLAPivot!D28</f>
        <v>0</v>
      </c>
      <c r="F34" s="226">
        <f>AppliancesLAPivot!E28</f>
        <v>0</v>
      </c>
      <c r="G34" s="226">
        <f>AppliancesLAPivot!F28</f>
        <v>3</v>
      </c>
      <c r="H34" s="226">
        <f>AppliancesLAPivot!G28</f>
        <v>0</v>
      </c>
      <c r="I34" s="227">
        <f>AppliancesLAPivot!H28</f>
        <v>10</v>
      </c>
    </row>
    <row r="35" spans="1:14" x14ac:dyDescent="0.35">
      <c r="A35" s="103" t="s">
        <v>281</v>
      </c>
      <c r="B35" s="61" t="s">
        <v>54</v>
      </c>
      <c r="C35" s="226">
        <f>AppliancesLAPivot!B29</f>
        <v>17</v>
      </c>
      <c r="D35" s="226">
        <f>AppliancesLAPivot!C29</f>
        <v>0</v>
      </c>
      <c r="E35" s="226">
        <f>AppliancesLAPivot!D29</f>
        <v>2</v>
      </c>
      <c r="F35" s="226">
        <f>AppliancesLAPivot!E29</f>
        <v>0</v>
      </c>
      <c r="G35" s="226">
        <f>AppliancesLAPivot!F29</f>
        <v>1</v>
      </c>
      <c r="H35" s="226">
        <f>AppliancesLAPivot!G29</f>
        <v>0</v>
      </c>
      <c r="I35" s="227">
        <f>AppliancesLAPivot!H29</f>
        <v>20</v>
      </c>
    </row>
    <row r="36" spans="1:14" x14ac:dyDescent="0.35">
      <c r="A36" s="103" t="s">
        <v>282</v>
      </c>
      <c r="B36" s="61" t="s">
        <v>55</v>
      </c>
      <c r="C36" s="226">
        <f>AppliancesLAPivot!B30</f>
        <v>16</v>
      </c>
      <c r="D36" s="226">
        <f>AppliancesLAPivot!C30</f>
        <v>0</v>
      </c>
      <c r="E36" s="226">
        <f>AppliancesLAPivot!D30</f>
        <v>0</v>
      </c>
      <c r="F36" s="226">
        <f>AppliancesLAPivot!E30</f>
        <v>1</v>
      </c>
      <c r="G36" s="226">
        <f>AppliancesLAPivot!F30</f>
        <v>1</v>
      </c>
      <c r="H36" s="226">
        <f>AppliancesLAPivot!G30</f>
        <v>0</v>
      </c>
      <c r="I36" s="227">
        <f>AppliancesLAPivot!H30</f>
        <v>18</v>
      </c>
    </row>
    <row r="37" spans="1:14" x14ac:dyDescent="0.35">
      <c r="A37" s="103" t="s">
        <v>283</v>
      </c>
      <c r="B37" s="61" t="s">
        <v>56</v>
      </c>
      <c r="C37" s="226">
        <f>AppliancesLAPivot!B31</f>
        <v>7</v>
      </c>
      <c r="D37" s="226">
        <f>AppliancesLAPivot!C31</f>
        <v>1</v>
      </c>
      <c r="E37" s="226">
        <f>AppliancesLAPivot!D31</f>
        <v>1</v>
      </c>
      <c r="F37" s="226">
        <f>AppliancesLAPivot!E31</f>
        <v>0</v>
      </c>
      <c r="G37" s="226">
        <f>AppliancesLAPivot!F31</f>
        <v>0</v>
      </c>
      <c r="H37" s="226">
        <f>AppliancesLAPivot!G31</f>
        <v>0</v>
      </c>
      <c r="I37" s="227">
        <f>AppliancesLAPivot!H31</f>
        <v>9</v>
      </c>
    </row>
    <row r="38" spans="1:14" x14ac:dyDescent="0.35">
      <c r="A38" s="103" t="s">
        <v>284</v>
      </c>
      <c r="B38" s="61" t="s">
        <v>57</v>
      </c>
      <c r="C38" s="226">
        <f>AppliancesLAPivot!B32</f>
        <v>15</v>
      </c>
      <c r="D38" s="226">
        <f>AppliancesLAPivot!C32</f>
        <v>1</v>
      </c>
      <c r="E38" s="226">
        <f>AppliancesLAPivot!D32</f>
        <v>2</v>
      </c>
      <c r="F38" s="226">
        <f>AppliancesLAPivot!E32</f>
        <v>0</v>
      </c>
      <c r="G38" s="226">
        <f>AppliancesLAPivot!F32</f>
        <v>5</v>
      </c>
      <c r="H38" s="226">
        <f>AppliancesLAPivot!G32</f>
        <v>1</v>
      </c>
      <c r="I38" s="227">
        <f>AppliancesLAPivot!H32</f>
        <v>24</v>
      </c>
    </row>
    <row r="39" spans="1:14" x14ac:dyDescent="0.35">
      <c r="A39" s="103" t="s">
        <v>285</v>
      </c>
      <c r="B39" s="61" t="s">
        <v>58</v>
      </c>
      <c r="C39" s="226">
        <f>AppliancesLAPivot!B33</f>
        <v>9</v>
      </c>
      <c r="D39" s="226">
        <f>AppliancesLAPivot!C33</f>
        <v>0</v>
      </c>
      <c r="E39" s="226">
        <f>AppliancesLAPivot!D33</f>
        <v>1</v>
      </c>
      <c r="F39" s="226">
        <f>AppliancesLAPivot!E33</f>
        <v>2</v>
      </c>
      <c r="G39" s="226">
        <f>AppliancesLAPivot!F33</f>
        <v>3</v>
      </c>
      <c r="H39" s="226">
        <f>AppliancesLAPivot!G33</f>
        <v>0</v>
      </c>
      <c r="I39" s="227">
        <f>AppliancesLAPivot!H33</f>
        <v>15</v>
      </c>
    </row>
    <row r="40" spans="1:14" x14ac:dyDescent="0.35">
      <c r="A40" s="103" t="s">
        <v>291</v>
      </c>
      <c r="B40" s="61" t="s">
        <v>59</v>
      </c>
      <c r="C40" s="226">
        <f>AppliancesLAPivot!B34</f>
        <v>4</v>
      </c>
      <c r="D40" s="226">
        <f>AppliancesLAPivot!C34</f>
        <v>1</v>
      </c>
      <c r="E40" s="226">
        <f>AppliancesLAPivot!D34</f>
        <v>0</v>
      </c>
      <c r="F40" s="226">
        <f>AppliancesLAPivot!E34</f>
        <v>0</v>
      </c>
      <c r="G40" s="226">
        <f>AppliancesLAPivot!F34</f>
        <v>1</v>
      </c>
      <c r="H40" s="226">
        <f>AppliancesLAPivot!G34</f>
        <v>1</v>
      </c>
      <c r="I40" s="227">
        <f>AppliancesLAPivot!H34</f>
        <v>7</v>
      </c>
    </row>
    <row r="41" spans="1:14" x14ac:dyDescent="0.35">
      <c r="A41" s="103" t="s">
        <v>292</v>
      </c>
      <c r="B41" s="61" t="s">
        <v>60</v>
      </c>
      <c r="C41" s="226">
        <f>AppliancesLAPivot!B35</f>
        <v>9</v>
      </c>
      <c r="D41" s="226">
        <f>AppliancesLAPivot!C35</f>
        <v>0</v>
      </c>
      <c r="E41" s="226">
        <f>AppliancesLAPivot!D35</f>
        <v>1</v>
      </c>
      <c r="F41" s="226">
        <f>AppliancesLAPivot!E35</f>
        <v>0</v>
      </c>
      <c r="G41" s="226">
        <f>AppliancesLAPivot!F35</f>
        <v>1</v>
      </c>
      <c r="H41" s="226">
        <f>AppliancesLAPivot!G35</f>
        <v>0</v>
      </c>
      <c r="I41" s="227">
        <f>AppliancesLAPivot!H35</f>
        <v>11</v>
      </c>
    </row>
    <row r="42" spans="1:14" ht="24.75" customHeight="1" thickBot="1" x14ac:dyDescent="0.4">
      <c r="A42" s="228"/>
      <c r="B42" s="228" t="s">
        <v>770</v>
      </c>
      <c r="C42" s="379">
        <f t="shared" ref="C42:H42" si="0">SUM(C10:C41)</f>
        <v>445</v>
      </c>
      <c r="D42" s="379">
        <f t="shared" si="0"/>
        <v>25</v>
      </c>
      <c r="E42" s="379">
        <f t="shared" si="0"/>
        <v>28</v>
      </c>
      <c r="F42" s="379">
        <f t="shared" si="0"/>
        <v>30</v>
      </c>
      <c r="G42" s="379">
        <f t="shared" si="0"/>
        <v>60</v>
      </c>
      <c r="H42" s="379">
        <f t="shared" si="0"/>
        <v>23</v>
      </c>
      <c r="I42" s="379">
        <f>SUM(I10:I41)</f>
        <v>611</v>
      </c>
    </row>
    <row r="43" spans="1:14" x14ac:dyDescent="0.35">
      <c r="B43" s="6"/>
      <c r="C43" s="229"/>
      <c r="D43" s="229"/>
      <c r="E43" s="229"/>
      <c r="F43" s="229"/>
      <c r="G43" s="229"/>
      <c r="H43" s="229"/>
      <c r="I43" s="230"/>
    </row>
    <row r="44" spans="1:14" x14ac:dyDescent="0.35">
      <c r="A44" s="359" t="s">
        <v>8</v>
      </c>
      <c r="I44" s="166"/>
    </row>
    <row r="45" spans="1:14" ht="30.75" customHeight="1" x14ac:dyDescent="0.35">
      <c r="A45" s="1171" t="s">
        <v>847</v>
      </c>
      <c r="B45" s="1171"/>
      <c r="C45" s="1171"/>
      <c r="D45" s="1171"/>
      <c r="E45" s="1171"/>
      <c r="F45" s="1171"/>
      <c r="G45" s="1171"/>
      <c r="H45" s="1171"/>
      <c r="I45" s="1171"/>
      <c r="J45" s="736"/>
      <c r="K45" s="736"/>
      <c r="L45" s="736"/>
      <c r="M45" s="736"/>
      <c r="N45" s="736"/>
    </row>
    <row r="46" spans="1:14" x14ac:dyDescent="0.35">
      <c r="A46" s="554" t="s">
        <v>226</v>
      </c>
    </row>
  </sheetData>
  <sheetProtection algorithmName="SHA-512" hashValue="FfJpdDhAKIAA83N+Wx5sc9zgojlUtIe3RJgdUW8YTpCRaKU1tJJnRf4FW7CVvpvJL0jTsYYrOHONwd/4rQE3Rg==" saltValue="is8sF9WN5Us6A2ztC38Osw==" spinCount="100000" sheet="1" scenarios="1" formatCells="0" formatColumns="0" formatRows="0" sort="0" autoFilter="0" pivotTables="0"/>
  <mergeCells count="2">
    <mergeCell ref="A1:I1"/>
    <mergeCell ref="A45:I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8" fitToHeight="0" orientation="portrait" r:id="rId1"/>
  <colBreaks count="1" manualBreakCount="1">
    <brk id="7" max="1048575" man="1"/>
  </colBreaks>
  <drawing r:id="rId2"/>
  <extLst>
    <ext xmlns:x14="http://schemas.microsoft.com/office/spreadsheetml/2009/9/main" uri="{A8765BA9-456A-4dab-B4F3-ACF838C121DE}">
      <x14:slicerList>
        <x14:slicer r:id="rId3"/>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A1:XFA74"/>
  <sheetViews>
    <sheetView showGridLines="0" workbookViewId="0">
      <pane ySplit="2" topLeftCell="A3" activePane="bottomLeft" state="frozen"/>
      <selection pane="bottomLeft" sqref="A1:J1"/>
    </sheetView>
  </sheetViews>
  <sheetFormatPr defaultRowHeight="14.5" x14ac:dyDescent="0.35"/>
  <cols>
    <col min="1" max="1" width="23.1796875" customWidth="1"/>
    <col min="2" max="2" width="19.36328125" customWidth="1"/>
    <col min="3" max="3" width="18.26953125" customWidth="1"/>
    <col min="4" max="4" width="11.26953125" bestFit="1" customWidth="1"/>
    <col min="5" max="5" width="11.81640625" customWidth="1"/>
    <col min="6" max="6" width="13.08984375" customWidth="1"/>
    <col min="7" max="7" width="13.453125" customWidth="1"/>
    <col min="8" max="8" width="11.08984375" customWidth="1"/>
    <col min="9" max="9" width="4" customWidth="1"/>
    <col min="10" max="10" width="10.90625" customWidth="1"/>
    <col min="12" max="12" width="35.1796875" bestFit="1" customWidth="1"/>
  </cols>
  <sheetData>
    <row r="1" spans="1:21" ht="15.5" x14ac:dyDescent="0.35">
      <c r="A1" s="1160" t="s">
        <v>439</v>
      </c>
      <c r="B1" s="1160"/>
      <c r="C1" s="1160"/>
      <c r="D1" s="1160"/>
      <c r="E1" s="1160"/>
      <c r="F1" s="1160"/>
      <c r="G1" s="1160"/>
      <c r="H1" s="1160"/>
      <c r="I1" s="1160"/>
      <c r="J1" s="1160"/>
    </row>
    <row r="2" spans="1:21" ht="15" customHeight="1" x14ac:dyDescent="0.35">
      <c r="A2" s="601" t="s">
        <v>509</v>
      </c>
      <c r="B2" s="1"/>
      <c r="C2" s="1"/>
      <c r="D2" s="1"/>
      <c r="E2" s="1"/>
      <c r="F2" s="1"/>
      <c r="G2" s="1"/>
      <c r="H2" s="1"/>
      <c r="I2" s="1"/>
      <c r="J2" s="1"/>
      <c r="K2" s="1"/>
    </row>
    <row r="3" spans="1:21" ht="15" customHeight="1" x14ac:dyDescent="0.35">
      <c r="A3" s="1"/>
      <c r="B3" s="1"/>
      <c r="C3" s="1"/>
      <c r="D3" s="1"/>
      <c r="E3" s="1"/>
      <c r="F3" s="1"/>
      <c r="G3" s="1"/>
      <c r="H3" s="1"/>
      <c r="I3" s="1"/>
      <c r="J3" s="1"/>
      <c r="K3" s="1"/>
    </row>
    <row r="4" spans="1:21" ht="24" customHeight="1" x14ac:dyDescent="0.35">
      <c r="A4" s="535" t="s">
        <v>472</v>
      </c>
      <c r="B4" s="535"/>
      <c r="C4" s="535"/>
      <c r="D4" s="535"/>
      <c r="E4" s="535"/>
      <c r="F4" s="535"/>
      <c r="G4" s="535"/>
      <c r="H4" s="535"/>
      <c r="I4" s="535"/>
      <c r="J4" s="535"/>
      <c r="K4" s="1"/>
    </row>
    <row r="5" spans="1:21" ht="15.75" customHeight="1" x14ac:dyDescent="0.35">
      <c r="A5" t="s">
        <v>320</v>
      </c>
      <c r="B5" t="s">
        <v>646</v>
      </c>
      <c r="U5" s="473"/>
    </row>
    <row r="6" spans="1:21" ht="15.75" customHeight="1" x14ac:dyDescent="0.35">
      <c r="A6" t="s">
        <v>321</v>
      </c>
      <c r="B6" t="s">
        <v>323</v>
      </c>
      <c r="U6" s="473"/>
    </row>
    <row r="7" spans="1:21" ht="15.75" customHeight="1" x14ac:dyDescent="0.35">
      <c r="A7" t="s">
        <v>322</v>
      </c>
      <c r="B7" t="s">
        <v>324</v>
      </c>
      <c r="U7" s="473"/>
    </row>
    <row r="8" spans="1:21" ht="15" customHeight="1" x14ac:dyDescent="0.35">
      <c r="U8" s="473"/>
    </row>
    <row r="9" spans="1:21" ht="39.5" x14ac:dyDescent="0.35">
      <c r="A9" s="784" t="s">
        <v>1</v>
      </c>
      <c r="B9" s="848" t="s">
        <v>27</v>
      </c>
      <c r="C9" s="848" t="s">
        <v>28</v>
      </c>
      <c r="D9" s="848" t="s">
        <v>849</v>
      </c>
      <c r="E9" s="848" t="s">
        <v>2</v>
      </c>
      <c r="F9" s="848" t="s">
        <v>3</v>
      </c>
      <c r="G9" s="848" t="s">
        <v>29</v>
      </c>
      <c r="H9" s="3" t="s">
        <v>4</v>
      </c>
      <c r="I9" s="3"/>
      <c r="J9" s="3" t="s">
        <v>5</v>
      </c>
      <c r="K9" s="15"/>
      <c r="U9" s="473"/>
    </row>
    <row r="10" spans="1:21" x14ac:dyDescent="0.35">
      <c r="A10" s="783" t="s">
        <v>308</v>
      </c>
      <c r="B10" s="789">
        <v>4159</v>
      </c>
      <c r="C10" s="789">
        <v>3052</v>
      </c>
      <c r="D10" s="789">
        <v>0</v>
      </c>
      <c r="E10" s="789">
        <v>234</v>
      </c>
      <c r="F10" s="789">
        <v>1136</v>
      </c>
      <c r="G10" s="789">
        <v>459</v>
      </c>
      <c r="H10" s="925">
        <f>SUM(B10:G10)</f>
        <v>9040</v>
      </c>
      <c r="I10" s="925"/>
      <c r="J10" s="925">
        <f>H10-G10</f>
        <v>8581</v>
      </c>
      <c r="K10" s="15"/>
      <c r="U10" s="473"/>
    </row>
    <row r="11" spans="1:21" x14ac:dyDescent="0.35">
      <c r="A11" s="783" t="s">
        <v>195</v>
      </c>
      <c r="B11" s="789">
        <v>4151</v>
      </c>
      <c r="C11" s="789">
        <v>3076</v>
      </c>
      <c r="D11" s="789">
        <v>0</v>
      </c>
      <c r="E11" s="789">
        <v>234</v>
      </c>
      <c r="F11" s="789">
        <v>1086</v>
      </c>
      <c r="G11" s="789">
        <v>417</v>
      </c>
      <c r="H11" s="925">
        <f>SUM(B11:G11)</f>
        <v>8964</v>
      </c>
      <c r="I11" s="925"/>
      <c r="J11" s="925">
        <f t="shared" ref="J11:J16" si="0">H11-G11</f>
        <v>8547</v>
      </c>
      <c r="K11" s="15"/>
      <c r="U11" s="473"/>
    </row>
    <row r="12" spans="1:21" x14ac:dyDescent="0.35">
      <c r="A12" s="783" t="s">
        <v>194</v>
      </c>
      <c r="B12" s="789">
        <v>4001</v>
      </c>
      <c r="C12" s="789">
        <v>2940</v>
      </c>
      <c r="D12" s="789">
        <v>0</v>
      </c>
      <c r="E12" s="789">
        <v>223</v>
      </c>
      <c r="F12" s="789">
        <v>961</v>
      </c>
      <c r="G12" s="789">
        <v>359</v>
      </c>
      <c r="H12" s="925">
        <f t="shared" ref="H12:H16" si="1">SUM(B12:G12)</f>
        <v>8484</v>
      </c>
      <c r="I12" s="925"/>
      <c r="J12" s="925">
        <f t="shared" si="0"/>
        <v>8125</v>
      </c>
      <c r="K12" s="15"/>
      <c r="U12" s="473"/>
    </row>
    <row r="13" spans="1:21" x14ac:dyDescent="0.35">
      <c r="A13" s="783" t="s">
        <v>193</v>
      </c>
      <c r="B13" s="789">
        <v>3856</v>
      </c>
      <c r="C13" s="789">
        <v>2950</v>
      </c>
      <c r="D13" s="789">
        <v>0</v>
      </c>
      <c r="E13" s="789">
        <v>230</v>
      </c>
      <c r="F13" s="789">
        <v>867</v>
      </c>
      <c r="G13" s="789">
        <v>382</v>
      </c>
      <c r="H13" s="925">
        <f t="shared" si="1"/>
        <v>8285</v>
      </c>
      <c r="I13" s="925"/>
      <c r="J13" s="925">
        <f t="shared" si="0"/>
        <v>7903</v>
      </c>
      <c r="K13" s="305"/>
      <c r="U13" s="473"/>
    </row>
    <row r="14" spans="1:21" x14ac:dyDescent="0.35">
      <c r="A14" s="783" t="s">
        <v>192</v>
      </c>
      <c r="B14" s="789">
        <v>3690</v>
      </c>
      <c r="C14" s="789">
        <v>2870</v>
      </c>
      <c r="D14" s="789">
        <v>0</v>
      </c>
      <c r="E14" s="789">
        <v>203</v>
      </c>
      <c r="F14" s="789">
        <v>828</v>
      </c>
      <c r="G14" s="789">
        <v>342</v>
      </c>
      <c r="H14" s="925">
        <f t="shared" si="1"/>
        <v>7933</v>
      </c>
      <c r="I14" s="925"/>
      <c r="J14" s="925">
        <f t="shared" si="0"/>
        <v>7591</v>
      </c>
      <c r="K14" s="305"/>
      <c r="U14" s="473"/>
    </row>
    <row r="15" spans="1:21" x14ac:dyDescent="0.35">
      <c r="A15" s="783" t="s">
        <v>258</v>
      </c>
      <c r="B15" s="789">
        <v>3645</v>
      </c>
      <c r="C15" s="789">
        <v>2870</v>
      </c>
      <c r="D15" s="789">
        <v>0</v>
      </c>
      <c r="E15" s="789">
        <v>165</v>
      </c>
      <c r="F15" s="789">
        <v>838</v>
      </c>
      <c r="G15" s="789">
        <v>320</v>
      </c>
      <c r="H15" s="926">
        <f t="shared" si="1"/>
        <v>7838</v>
      </c>
      <c r="I15" s="926"/>
      <c r="J15" s="926">
        <f t="shared" si="0"/>
        <v>7518</v>
      </c>
      <c r="K15" s="307"/>
      <c r="U15" s="473"/>
    </row>
    <row r="16" spans="1:21" x14ac:dyDescent="0.35">
      <c r="A16" s="783" t="s">
        <v>242</v>
      </c>
      <c r="B16" s="789">
        <v>3546</v>
      </c>
      <c r="C16" s="789">
        <v>2863</v>
      </c>
      <c r="D16" s="789">
        <v>0</v>
      </c>
      <c r="E16" s="789">
        <v>189</v>
      </c>
      <c r="F16" s="789">
        <v>846</v>
      </c>
      <c r="G16" s="789">
        <v>336</v>
      </c>
      <c r="H16" s="926">
        <f t="shared" si="1"/>
        <v>7780</v>
      </c>
      <c r="I16" s="926"/>
      <c r="J16" s="926">
        <f t="shared" si="0"/>
        <v>7444</v>
      </c>
      <c r="K16" s="307"/>
      <c r="U16" s="473"/>
    </row>
    <row r="17" spans="1:21" x14ac:dyDescent="0.35">
      <c r="A17" s="783" t="s">
        <v>241</v>
      </c>
      <c r="B17" s="789">
        <v>3637</v>
      </c>
      <c r="C17" s="789">
        <v>2935</v>
      </c>
      <c r="D17" s="789">
        <v>18</v>
      </c>
      <c r="E17" s="789">
        <v>207</v>
      </c>
      <c r="F17" s="789">
        <v>792</v>
      </c>
      <c r="G17" s="789">
        <v>321</v>
      </c>
      <c r="H17" s="926">
        <f>B17+C17+E17+F17+G17+D17</f>
        <v>7910</v>
      </c>
      <c r="I17" s="926"/>
      <c r="J17" s="926">
        <f t="shared" ref="J17" si="2">H17-G17</f>
        <v>7589</v>
      </c>
      <c r="K17" s="307"/>
      <c r="U17" s="473"/>
    </row>
    <row r="18" spans="1:21" x14ac:dyDescent="0.35">
      <c r="A18" s="783" t="s">
        <v>773</v>
      </c>
      <c r="B18" s="789">
        <v>3636</v>
      </c>
      <c r="C18" s="789">
        <v>2937</v>
      </c>
      <c r="D18" s="789">
        <v>36</v>
      </c>
      <c r="E18" s="789">
        <v>188</v>
      </c>
      <c r="F18" s="789">
        <v>817</v>
      </c>
      <c r="G18" s="789">
        <v>315</v>
      </c>
      <c r="H18" s="926">
        <f>B18+C18+E18+F18+G18+D18</f>
        <v>7929</v>
      </c>
      <c r="I18" s="926"/>
      <c r="J18" s="926">
        <f t="shared" ref="J18" si="3">H18-G18</f>
        <v>7614</v>
      </c>
      <c r="K18" s="307"/>
      <c r="U18" s="473"/>
    </row>
    <row r="19" spans="1:21" x14ac:dyDescent="0.35">
      <c r="A19" s="784" t="s">
        <v>951</v>
      </c>
      <c r="B19" s="831">
        <v>3584</v>
      </c>
      <c r="C19" s="831">
        <v>2872</v>
      </c>
      <c r="D19" s="831">
        <v>54</v>
      </c>
      <c r="E19" s="831">
        <v>182</v>
      </c>
      <c r="F19" s="831">
        <v>836</v>
      </c>
      <c r="G19" s="831">
        <v>303</v>
      </c>
      <c r="H19" s="927">
        <f>B19+C19+E19+F19+G19+D19</f>
        <v>7831</v>
      </c>
      <c r="I19" s="928"/>
      <c r="J19" s="928">
        <f>H19-G19</f>
        <v>7528</v>
      </c>
      <c r="K19" s="305"/>
      <c r="U19" s="473"/>
    </row>
    <row r="20" spans="1:21" ht="15" customHeight="1" x14ac:dyDescent="0.35">
      <c r="K20" s="858"/>
    </row>
    <row r="21" spans="1:21" ht="14.15" customHeight="1" x14ac:dyDescent="0.35">
      <c r="A21" s="1174" t="str">
        <f>"One Year Change " &amp; A18 &amp; " to " &amp; A19</f>
        <v>One Year Change 2019-20 to 2020-21</v>
      </c>
      <c r="B21" s="1174"/>
      <c r="C21" s="1174"/>
      <c r="D21" s="692"/>
      <c r="E21" s="309"/>
      <c r="F21" s="309"/>
      <c r="G21" s="309"/>
      <c r="H21" s="309"/>
      <c r="I21" s="308"/>
      <c r="J21" s="309"/>
      <c r="K21" s="25"/>
      <c r="U21" s="473"/>
    </row>
    <row r="22" spans="1:21" ht="14.15" customHeight="1" x14ac:dyDescent="0.35">
      <c r="A22" s="8" t="s">
        <v>6</v>
      </c>
      <c r="B22" s="9">
        <f>B19-B18</f>
        <v>-52</v>
      </c>
      <c r="C22" s="9">
        <f t="shared" ref="C22:J22" si="4">C19-C18</f>
        <v>-65</v>
      </c>
      <c r="D22" s="9">
        <f t="shared" si="4"/>
        <v>18</v>
      </c>
      <c r="E22" s="9">
        <f t="shared" si="4"/>
        <v>-6</v>
      </c>
      <c r="F22" s="9">
        <f t="shared" si="4"/>
        <v>19</v>
      </c>
      <c r="G22" s="9">
        <f t="shared" si="4"/>
        <v>-12</v>
      </c>
      <c r="H22" s="9">
        <f t="shared" si="4"/>
        <v>-98</v>
      </c>
      <c r="I22" s="9"/>
      <c r="J22" s="9">
        <f t="shared" si="4"/>
        <v>-86</v>
      </c>
      <c r="K22" s="15"/>
      <c r="U22" s="473"/>
    </row>
    <row r="23" spans="1:21" ht="18" customHeight="1" thickBot="1" x14ac:dyDescent="0.4">
      <c r="A23" s="10" t="s">
        <v>7</v>
      </c>
      <c r="B23" s="310">
        <f>B22/B18</f>
        <v>-1.4301430143014302E-2</v>
      </c>
      <c r="C23" s="310">
        <f t="shared" ref="C23:J23" si="5">C22/C18</f>
        <v>-2.2131426625808647E-2</v>
      </c>
      <c r="D23" s="310">
        <f t="shared" si="5"/>
        <v>0.5</v>
      </c>
      <c r="E23" s="310">
        <f t="shared" si="5"/>
        <v>-3.1914893617021274E-2</v>
      </c>
      <c r="F23" s="310">
        <f t="shared" si="5"/>
        <v>2.3255813953488372E-2</v>
      </c>
      <c r="G23" s="310">
        <f t="shared" si="5"/>
        <v>-3.8095238095238099E-2</v>
      </c>
      <c r="H23" s="310">
        <f t="shared" si="5"/>
        <v>-1.2359692268886367E-2</v>
      </c>
      <c r="I23" s="310"/>
      <c r="J23" s="310">
        <f t="shared" si="5"/>
        <v>-1.12949829261886E-2</v>
      </c>
      <c r="K23" s="341"/>
      <c r="U23" s="473"/>
    </row>
    <row r="24" spans="1:21" ht="14.15" customHeight="1" x14ac:dyDescent="0.35">
      <c r="A24" s="12"/>
      <c r="B24" s="13"/>
      <c r="C24" s="13"/>
      <c r="D24" s="13"/>
      <c r="E24" s="13"/>
      <c r="F24" s="13"/>
      <c r="G24" s="13"/>
      <c r="H24" s="14"/>
      <c r="I24" s="13"/>
      <c r="J24" s="13"/>
      <c r="K24" s="15"/>
      <c r="U24" s="473"/>
    </row>
    <row r="25" spans="1:21" ht="18" customHeight="1" x14ac:dyDescent="0.35">
      <c r="A25" s="1174" t="str">
        <f>"Five Year Change " &amp; A14 &amp; " to " &amp; A19</f>
        <v>Five Year Change 2015-16 to 2020-21</v>
      </c>
      <c r="B25" s="1174"/>
      <c r="C25" s="1174"/>
      <c r="D25" s="692"/>
      <c r="E25" s="309"/>
      <c r="F25" s="309"/>
      <c r="G25" s="309"/>
      <c r="H25" s="309"/>
      <c r="I25" s="308"/>
      <c r="J25" s="309"/>
      <c r="K25" s="341"/>
      <c r="U25" s="473"/>
    </row>
    <row r="26" spans="1:21" ht="18" customHeight="1" x14ac:dyDescent="0.35">
      <c r="A26" s="8" t="s">
        <v>6</v>
      </c>
      <c r="B26" s="9">
        <f>B19-B14</f>
        <v>-106</v>
      </c>
      <c r="C26" s="9">
        <f t="shared" ref="C26:J26" si="6">C19-C14</f>
        <v>2</v>
      </c>
      <c r="D26" s="9">
        <f t="shared" si="6"/>
        <v>54</v>
      </c>
      <c r="E26" s="9">
        <f t="shared" si="6"/>
        <v>-21</v>
      </c>
      <c r="F26" s="9">
        <f t="shared" si="6"/>
        <v>8</v>
      </c>
      <c r="G26" s="9">
        <f t="shared" si="6"/>
        <v>-39</v>
      </c>
      <c r="H26" s="9">
        <f t="shared" si="6"/>
        <v>-102</v>
      </c>
      <c r="I26" s="9"/>
      <c r="J26" s="9">
        <f t="shared" si="6"/>
        <v>-63</v>
      </c>
      <c r="K26" s="341"/>
      <c r="U26" s="473"/>
    </row>
    <row r="27" spans="1:21" ht="18" customHeight="1" thickBot="1" x14ac:dyDescent="0.4">
      <c r="A27" s="10" t="s">
        <v>7</v>
      </c>
      <c r="B27" s="310">
        <f>B26/B15</f>
        <v>-2.9080932784636488E-2</v>
      </c>
      <c r="C27" s="310">
        <f>C26/C15</f>
        <v>6.9686411149825784E-4</v>
      </c>
      <c r="D27" s="310"/>
      <c r="E27" s="310">
        <f>E26/E15</f>
        <v>-0.12727272727272726</v>
      </c>
      <c r="F27" s="310">
        <f>F26/F15</f>
        <v>9.5465393794749408E-3</v>
      </c>
      <c r="G27" s="310">
        <f>G26/G15</f>
        <v>-0.121875</v>
      </c>
      <c r="H27" s="310">
        <f>H26/H15</f>
        <v>-1.3013523858127074E-2</v>
      </c>
      <c r="I27" s="310"/>
      <c r="J27" s="310">
        <f>J26/J15</f>
        <v>-8.3798882681564244E-3</v>
      </c>
      <c r="K27" s="15"/>
      <c r="U27" s="473"/>
    </row>
    <row r="28" spans="1:21" ht="15" customHeight="1" x14ac:dyDescent="0.35">
      <c r="A28" s="524"/>
      <c r="B28" s="525"/>
      <c r="C28" s="525"/>
      <c r="D28" s="525"/>
      <c r="E28" s="525"/>
      <c r="F28" s="525"/>
      <c r="G28" s="525"/>
      <c r="H28" s="525"/>
      <c r="I28" s="525"/>
      <c r="J28" s="525"/>
      <c r="K28" s="15"/>
      <c r="U28" s="473"/>
    </row>
    <row r="29" spans="1:21" ht="15" customHeight="1" x14ac:dyDescent="0.35">
      <c r="A29" s="359" t="s">
        <v>8</v>
      </c>
      <c r="B29" s="525"/>
      <c r="C29" s="525"/>
      <c r="D29" s="525"/>
      <c r="E29" s="525"/>
      <c r="F29" s="525"/>
      <c r="G29" s="525"/>
      <c r="H29" s="525"/>
      <c r="I29" s="525"/>
      <c r="J29" s="525"/>
      <c r="K29" s="15"/>
      <c r="U29" s="473"/>
    </row>
    <row r="30" spans="1:21" ht="28.5" customHeight="1" x14ac:dyDescent="0.35">
      <c r="A30" s="1173" t="s">
        <v>848</v>
      </c>
      <c r="B30" s="1173"/>
      <c r="C30" s="1173"/>
      <c r="D30" s="1173"/>
      <c r="E30" s="1173"/>
      <c r="F30" s="1173"/>
      <c r="G30" s="1173"/>
      <c r="H30" s="1173"/>
      <c r="I30" s="1173"/>
      <c r="J30" s="1173"/>
      <c r="K30" s="15"/>
      <c r="U30" s="473"/>
    </row>
    <row r="31" spans="1:21" ht="15" customHeight="1" x14ac:dyDescent="0.35">
      <c r="A31" s="15"/>
      <c r="B31" s="15"/>
      <c r="C31" s="15"/>
      <c r="D31" s="15"/>
      <c r="E31" s="15"/>
      <c r="F31" s="15"/>
      <c r="G31" s="15"/>
      <c r="H31" s="15"/>
      <c r="I31" s="15"/>
      <c r="J31" s="15"/>
      <c r="K31" s="15"/>
      <c r="U31" s="473"/>
    </row>
    <row r="32" spans="1:21" ht="24" customHeight="1" x14ac:dyDescent="0.35">
      <c r="A32" s="535" t="s">
        <v>473</v>
      </c>
      <c r="B32" s="535"/>
      <c r="C32" s="535"/>
      <c r="D32" s="535"/>
      <c r="E32" s="535"/>
      <c r="F32" s="535"/>
      <c r="G32" s="535"/>
      <c r="H32" s="535"/>
      <c r="I32" s="535"/>
      <c r="J32" s="535"/>
      <c r="K32" s="15"/>
      <c r="U32" s="473"/>
    </row>
    <row r="33" spans="1:16381" ht="15" customHeight="1" x14ac:dyDescent="0.35">
      <c r="A33" t="s">
        <v>320</v>
      </c>
      <c r="B33" t="s">
        <v>647</v>
      </c>
      <c r="E33" s="817"/>
      <c r="F33" s="817"/>
      <c r="G33" s="817"/>
      <c r="H33" s="817"/>
      <c r="I33" s="817"/>
      <c r="J33" s="817"/>
      <c r="K33" s="15"/>
      <c r="U33" s="473"/>
    </row>
    <row r="34" spans="1:16381" ht="15" customHeight="1" x14ac:dyDescent="0.35">
      <c r="A34" t="s">
        <v>321</v>
      </c>
      <c r="B34" t="s">
        <v>323</v>
      </c>
      <c r="E34" s="817"/>
      <c r="F34" s="817"/>
      <c r="G34" s="817"/>
      <c r="H34" s="817"/>
      <c r="I34" s="817"/>
      <c r="J34" s="817"/>
      <c r="K34" s="15"/>
      <c r="U34" s="473"/>
    </row>
    <row r="35" spans="1:16381" ht="15" customHeight="1" x14ac:dyDescent="0.35">
      <c r="A35" t="s">
        <v>322</v>
      </c>
      <c r="B35" t="s">
        <v>324</v>
      </c>
      <c r="E35" s="817"/>
      <c r="F35" s="817"/>
      <c r="G35" s="817"/>
      <c r="H35" s="817"/>
      <c r="I35" s="817"/>
      <c r="J35" s="817"/>
      <c r="K35" s="15"/>
      <c r="U35" s="473"/>
    </row>
    <row r="36" spans="1:16381" ht="15" customHeight="1" x14ac:dyDescent="0.35">
      <c r="A36" s="359"/>
      <c r="B36" s="359"/>
      <c r="C36" s="359"/>
      <c r="D36" s="359"/>
      <c r="E36" s="359"/>
      <c r="F36" s="359"/>
      <c r="G36" s="359"/>
      <c r="H36" s="817"/>
      <c r="I36" s="817"/>
      <c r="J36" s="817"/>
      <c r="K36" s="15"/>
      <c r="U36" s="473"/>
    </row>
    <row r="37" spans="1:16381" ht="43.5" x14ac:dyDescent="0.35">
      <c r="A37" s="784" t="s">
        <v>1</v>
      </c>
      <c r="B37" s="848" t="s">
        <v>27</v>
      </c>
      <c r="C37" s="848" t="s">
        <v>28</v>
      </c>
      <c r="D37" s="848" t="s">
        <v>849</v>
      </c>
      <c r="E37" s="848" t="s">
        <v>2</v>
      </c>
      <c r="F37" s="848" t="s">
        <v>3</v>
      </c>
      <c r="G37" s="929" t="s">
        <v>5</v>
      </c>
      <c r="I37" s="304"/>
      <c r="J37" s="304"/>
      <c r="K37" s="15"/>
      <c r="U37" s="473"/>
    </row>
    <row r="38" spans="1:16381" x14ac:dyDescent="0.35">
      <c r="A38" s="783" t="s">
        <v>308</v>
      </c>
      <c r="B38" s="789">
        <v>4159</v>
      </c>
      <c r="C38" s="789">
        <v>2813</v>
      </c>
      <c r="D38" s="789">
        <v>0</v>
      </c>
      <c r="E38" s="789">
        <v>225</v>
      </c>
      <c r="F38" s="789">
        <v>961</v>
      </c>
      <c r="G38" s="930">
        <f t="shared" ref="G38:G47" si="7">SUM(B38:F38)</f>
        <v>8158</v>
      </c>
      <c r="I38" s="304"/>
      <c r="J38" s="304"/>
      <c r="K38" s="15"/>
      <c r="U38" s="473"/>
    </row>
    <row r="39" spans="1:16381" x14ac:dyDescent="0.35">
      <c r="A39" s="783" t="s">
        <v>195</v>
      </c>
      <c r="B39" s="789">
        <v>4151</v>
      </c>
      <c r="C39" s="789">
        <v>2787</v>
      </c>
      <c r="D39" s="789">
        <v>0</v>
      </c>
      <c r="E39" s="789">
        <v>224</v>
      </c>
      <c r="F39" s="789">
        <v>927</v>
      </c>
      <c r="G39" s="930">
        <f t="shared" si="7"/>
        <v>8089</v>
      </c>
      <c r="I39" s="304"/>
      <c r="J39" s="304"/>
      <c r="K39" s="15"/>
      <c r="U39" s="473"/>
    </row>
    <row r="40" spans="1:16381" x14ac:dyDescent="0.35">
      <c r="A40" s="783" t="s">
        <v>194</v>
      </c>
      <c r="B40" s="789">
        <v>4001</v>
      </c>
      <c r="C40" s="789">
        <v>2665</v>
      </c>
      <c r="D40" s="789">
        <v>0</v>
      </c>
      <c r="E40" s="789">
        <v>213</v>
      </c>
      <c r="F40" s="789">
        <v>811</v>
      </c>
      <c r="G40" s="930">
        <f t="shared" si="7"/>
        <v>7690</v>
      </c>
      <c r="I40" s="304"/>
      <c r="J40" s="304"/>
      <c r="K40" s="15"/>
      <c r="U40" s="473"/>
    </row>
    <row r="41" spans="1:16381" ht="14" customHeight="1" x14ac:dyDescent="0.35">
      <c r="A41" s="783" t="s">
        <v>193</v>
      </c>
      <c r="B41" s="789">
        <v>3856</v>
      </c>
      <c r="C41" s="789">
        <v>2669</v>
      </c>
      <c r="D41" s="789">
        <v>0</v>
      </c>
      <c r="E41" s="789">
        <v>221</v>
      </c>
      <c r="F41" s="789">
        <v>744</v>
      </c>
      <c r="G41" s="930">
        <f t="shared" si="7"/>
        <v>7490</v>
      </c>
      <c r="I41" s="304"/>
      <c r="J41" s="304"/>
      <c r="K41" s="1172"/>
      <c r="L41" s="1172"/>
      <c r="M41" s="1172"/>
      <c r="N41" s="1172"/>
      <c r="O41" s="1172"/>
      <c r="P41" s="1172"/>
      <c r="Q41" s="1172"/>
      <c r="R41" s="1172"/>
      <c r="S41" s="1172"/>
      <c r="T41" s="1172"/>
      <c r="U41" s="1172"/>
      <c r="V41" s="1172"/>
      <c r="W41" s="1172"/>
      <c r="X41" s="1172"/>
      <c r="Y41" s="1172"/>
      <c r="Z41" s="1172"/>
      <c r="AA41" s="1172"/>
      <c r="AB41" s="1172"/>
      <c r="AC41" s="1172"/>
      <c r="AD41" s="1172"/>
      <c r="AE41" s="1172"/>
      <c r="AF41" s="1172"/>
      <c r="AG41" s="1172"/>
      <c r="AH41" s="1172"/>
      <c r="AI41" s="1172"/>
      <c r="AJ41" s="1172"/>
      <c r="AK41" s="1172"/>
      <c r="AL41" s="1172"/>
      <c r="AM41" s="1172"/>
      <c r="AN41" s="1172"/>
      <c r="AO41" s="1172"/>
      <c r="AP41" s="1172"/>
      <c r="AQ41" s="1172"/>
      <c r="AR41" s="1172"/>
      <c r="AS41" s="1172"/>
      <c r="AT41" s="1172"/>
      <c r="AU41" s="1172"/>
      <c r="AV41" s="1172"/>
      <c r="AW41" s="1172"/>
      <c r="AX41" s="1172"/>
      <c r="AY41" s="1172"/>
      <c r="AZ41" s="1172"/>
      <c r="BA41" s="1172"/>
      <c r="BB41" s="1172"/>
      <c r="BC41" s="1172"/>
      <c r="BD41" s="1172"/>
      <c r="BE41" s="1172"/>
      <c r="BF41" s="1172"/>
      <c r="BG41" s="1172"/>
      <c r="BH41" s="1172"/>
      <c r="BI41" s="1172"/>
      <c r="BJ41" s="1172"/>
      <c r="BK41" s="1172"/>
      <c r="BL41" s="1172"/>
      <c r="BM41" s="1172"/>
      <c r="BN41" s="1172"/>
      <c r="BO41" s="1172"/>
      <c r="BP41" s="1172"/>
      <c r="BQ41" s="1172"/>
      <c r="BR41" s="1172"/>
      <c r="BS41" s="1172"/>
      <c r="BT41" s="1172"/>
      <c r="BU41" s="1172"/>
      <c r="BV41" s="1172"/>
      <c r="BW41" s="1172"/>
      <c r="BX41" s="1172"/>
      <c r="BY41" s="1172"/>
      <c r="BZ41" s="1172"/>
      <c r="CA41" s="1172"/>
      <c r="CB41" s="1172"/>
      <c r="CC41" s="1172"/>
      <c r="CD41" s="1172"/>
      <c r="CE41" s="1172"/>
      <c r="CF41" s="1172"/>
      <c r="CG41" s="1172"/>
      <c r="CH41" s="1172"/>
      <c r="CI41" s="1172"/>
      <c r="CJ41" s="1172"/>
      <c r="CK41" s="1172"/>
      <c r="CL41" s="1172"/>
      <c r="CM41" s="1172"/>
      <c r="CN41" s="1172"/>
      <c r="CO41" s="1172"/>
      <c r="CP41" s="1172"/>
      <c r="CQ41" s="1172"/>
      <c r="CR41" s="1172"/>
      <c r="CS41" s="1172"/>
      <c r="CT41" s="1172"/>
      <c r="CU41" s="1172"/>
      <c r="CV41" s="1172"/>
      <c r="CW41" s="1172"/>
      <c r="CX41" s="1172"/>
      <c r="CY41" s="1172"/>
      <c r="CZ41" s="1172"/>
      <c r="DA41" s="1172"/>
      <c r="DB41" s="1172"/>
      <c r="DC41" s="1172"/>
      <c r="DD41" s="1172"/>
      <c r="DE41" s="1172"/>
      <c r="DF41" s="1172"/>
      <c r="DG41" s="1172"/>
      <c r="DH41" s="1172"/>
      <c r="DI41" s="1172"/>
      <c r="DJ41" s="1172"/>
      <c r="DK41" s="1172"/>
      <c r="DL41" s="1172"/>
      <c r="DM41" s="1172"/>
      <c r="DN41" s="1172"/>
      <c r="DO41" s="1172"/>
      <c r="DP41" s="1172"/>
      <c r="DQ41" s="1172"/>
      <c r="DR41" s="1172"/>
      <c r="DS41" s="1172"/>
      <c r="DT41" s="1172"/>
      <c r="DU41" s="1172"/>
      <c r="DV41" s="1172"/>
      <c r="DW41" s="1172"/>
      <c r="DX41" s="1172"/>
      <c r="DY41" s="1172"/>
      <c r="DZ41" s="1172"/>
      <c r="EA41" s="1172"/>
      <c r="EB41" s="1172"/>
      <c r="EC41" s="1172"/>
      <c r="ED41" s="1172"/>
      <c r="EE41" s="1172"/>
      <c r="EF41" s="1172"/>
      <c r="EG41" s="1172"/>
      <c r="EH41" s="1172"/>
      <c r="EI41" s="1172"/>
      <c r="EJ41" s="1172"/>
      <c r="EK41" s="1172"/>
      <c r="EL41" s="1172"/>
      <c r="EM41" s="1172"/>
      <c r="EN41" s="1172"/>
      <c r="EO41" s="1172"/>
      <c r="EP41" s="1172"/>
      <c r="EQ41" s="1172"/>
      <c r="ER41" s="1172"/>
      <c r="ES41" s="1172"/>
      <c r="ET41" s="1172"/>
      <c r="EU41" s="1172"/>
      <c r="EV41" s="1172"/>
      <c r="EW41" s="1172"/>
      <c r="EX41" s="1172"/>
      <c r="EY41" s="1172"/>
      <c r="EZ41" s="1172"/>
      <c r="FA41" s="1172"/>
      <c r="FB41" s="1172"/>
      <c r="FC41" s="1172"/>
      <c r="FD41" s="1172"/>
      <c r="FE41" s="1172"/>
      <c r="FF41" s="1172"/>
      <c r="FG41" s="1172"/>
      <c r="FH41" s="1172"/>
      <c r="FI41" s="1172"/>
      <c r="FJ41" s="1172"/>
      <c r="FK41" s="1172"/>
      <c r="FL41" s="1172"/>
      <c r="FM41" s="1172"/>
      <c r="FN41" s="1172"/>
      <c r="FO41" s="1172"/>
      <c r="FP41" s="1172"/>
      <c r="FQ41" s="1172"/>
      <c r="FR41" s="1172"/>
      <c r="FS41" s="1172"/>
      <c r="FT41" s="1172"/>
      <c r="FU41" s="1172"/>
      <c r="FV41" s="1172"/>
      <c r="FW41" s="1172"/>
      <c r="FX41" s="1172"/>
      <c r="FY41" s="1172"/>
      <c r="FZ41" s="1172"/>
      <c r="GA41" s="1172"/>
      <c r="GB41" s="1172"/>
      <c r="GC41" s="1172"/>
      <c r="GD41" s="1172"/>
      <c r="GE41" s="1172"/>
      <c r="GF41" s="1172"/>
      <c r="GG41" s="1172"/>
      <c r="GH41" s="1172"/>
      <c r="GI41" s="1172"/>
      <c r="GJ41" s="1172"/>
      <c r="GK41" s="1172"/>
      <c r="GL41" s="1172"/>
      <c r="GM41" s="1172"/>
      <c r="GN41" s="1172"/>
      <c r="GO41" s="1172"/>
      <c r="GP41" s="1172"/>
      <c r="GQ41" s="1172"/>
      <c r="GR41" s="1172"/>
      <c r="GS41" s="1172"/>
      <c r="GT41" s="1172"/>
      <c r="GU41" s="1172"/>
      <c r="GV41" s="1172"/>
      <c r="GW41" s="1172"/>
      <c r="GX41" s="1172"/>
      <c r="GY41" s="1172"/>
      <c r="GZ41" s="1172"/>
      <c r="HA41" s="1172"/>
      <c r="HB41" s="1172"/>
      <c r="HC41" s="1172"/>
      <c r="HD41" s="1172"/>
      <c r="HE41" s="1172"/>
      <c r="HF41" s="1172"/>
      <c r="HG41" s="1172"/>
      <c r="HH41" s="1172"/>
      <c r="HI41" s="1172"/>
      <c r="HJ41" s="1172"/>
      <c r="HK41" s="1172"/>
      <c r="HL41" s="1172"/>
      <c r="HM41" s="1172"/>
      <c r="HN41" s="1172"/>
      <c r="HO41" s="1172"/>
      <c r="HP41" s="1172"/>
      <c r="HQ41" s="1172"/>
      <c r="HR41" s="1172"/>
      <c r="HS41" s="1172"/>
      <c r="HT41" s="1172"/>
      <c r="HU41" s="1172"/>
      <c r="HV41" s="1172"/>
      <c r="HW41" s="1172"/>
      <c r="HX41" s="1172"/>
      <c r="HY41" s="1172"/>
      <c r="HZ41" s="1172"/>
      <c r="IA41" s="1172"/>
      <c r="IB41" s="1172"/>
      <c r="IC41" s="1172"/>
      <c r="ID41" s="1172"/>
      <c r="IE41" s="1172"/>
      <c r="IF41" s="1172"/>
      <c r="IG41" s="1172"/>
      <c r="IH41" s="1172"/>
      <c r="II41" s="1172"/>
      <c r="IJ41" s="1172"/>
      <c r="IK41" s="1172"/>
      <c r="IL41" s="1172"/>
      <c r="IM41" s="1172"/>
      <c r="IN41" s="1172"/>
      <c r="IO41" s="1172"/>
      <c r="IP41" s="1172"/>
      <c r="IQ41" s="1172"/>
      <c r="IR41" s="1172"/>
      <c r="IS41" s="1172"/>
      <c r="IT41" s="1172"/>
      <c r="IU41" s="1172"/>
      <c r="IV41" s="1172"/>
      <c r="IW41" s="1172"/>
      <c r="IX41" s="1172"/>
      <c r="IY41" s="1172"/>
      <c r="IZ41" s="1172"/>
      <c r="JA41" s="1172"/>
      <c r="JB41" s="1172"/>
      <c r="JC41" s="1172"/>
      <c r="JD41" s="1172"/>
      <c r="JE41" s="1172"/>
      <c r="JF41" s="1172"/>
      <c r="JG41" s="1172"/>
      <c r="JH41" s="1172"/>
      <c r="JI41" s="1172"/>
      <c r="JJ41" s="1172"/>
      <c r="JK41" s="1172"/>
      <c r="JL41" s="1172"/>
      <c r="JM41" s="1172"/>
      <c r="JN41" s="1172"/>
      <c r="JO41" s="1172"/>
      <c r="JP41" s="1172"/>
      <c r="JQ41" s="1172"/>
      <c r="JR41" s="1172"/>
      <c r="JS41" s="1172"/>
      <c r="JT41" s="1172"/>
      <c r="JU41" s="1172"/>
      <c r="JV41" s="1172"/>
      <c r="JW41" s="1172"/>
      <c r="JX41" s="1172"/>
      <c r="JY41" s="1172"/>
      <c r="JZ41" s="1172"/>
      <c r="KA41" s="1172"/>
      <c r="KB41" s="1172"/>
      <c r="KC41" s="1172"/>
      <c r="KD41" s="1172"/>
      <c r="KE41" s="1172"/>
      <c r="KF41" s="1172"/>
      <c r="KG41" s="1172"/>
      <c r="KH41" s="1172"/>
      <c r="KI41" s="1172"/>
      <c r="KJ41" s="1172"/>
      <c r="KK41" s="1172"/>
      <c r="KL41" s="1172"/>
      <c r="KM41" s="1172"/>
      <c r="KN41" s="1172"/>
      <c r="KO41" s="1172"/>
      <c r="KP41" s="1172"/>
      <c r="KQ41" s="1172"/>
      <c r="KR41" s="1172"/>
      <c r="KS41" s="1172"/>
      <c r="KT41" s="1172"/>
      <c r="KU41" s="1172"/>
      <c r="KV41" s="1172"/>
      <c r="KW41" s="1172"/>
      <c r="KX41" s="1172"/>
      <c r="KY41" s="1172"/>
      <c r="KZ41" s="1172"/>
      <c r="LA41" s="1172"/>
      <c r="LB41" s="1172"/>
      <c r="LC41" s="1172"/>
      <c r="LD41" s="1172"/>
      <c r="LE41" s="1172"/>
      <c r="LF41" s="1172"/>
      <c r="LG41" s="1172"/>
      <c r="LH41" s="1172"/>
      <c r="LI41" s="1172"/>
      <c r="LJ41" s="1172"/>
      <c r="LK41" s="1172"/>
      <c r="LL41" s="1172"/>
      <c r="LM41" s="1172"/>
      <c r="LN41" s="1172"/>
      <c r="LO41" s="1172"/>
      <c r="LP41" s="1172"/>
      <c r="LQ41" s="1172"/>
      <c r="LR41" s="1172"/>
      <c r="LS41" s="1172"/>
      <c r="LT41" s="1172"/>
      <c r="LU41" s="1172"/>
      <c r="LV41" s="1172"/>
      <c r="LW41" s="1172"/>
      <c r="LX41" s="1172"/>
      <c r="LY41" s="1172"/>
      <c r="LZ41" s="1172"/>
      <c r="MA41" s="1172"/>
      <c r="MB41" s="1172"/>
      <c r="MC41" s="1172"/>
      <c r="MD41" s="1172"/>
      <c r="ME41" s="1172"/>
      <c r="MF41" s="1172"/>
      <c r="MG41" s="1172"/>
      <c r="MH41" s="1172"/>
      <c r="MI41" s="1172"/>
      <c r="MJ41" s="1172"/>
      <c r="MK41" s="1172"/>
      <c r="ML41" s="1172"/>
      <c r="MM41" s="1172"/>
      <c r="MN41" s="1172"/>
      <c r="MO41" s="1172"/>
      <c r="MP41" s="1172"/>
      <c r="MQ41" s="1172"/>
      <c r="MR41" s="1172"/>
      <c r="MS41" s="1172"/>
      <c r="MT41" s="1172"/>
      <c r="MU41" s="1172"/>
      <c r="MV41" s="1172"/>
      <c r="MW41" s="1172"/>
      <c r="MX41" s="1172"/>
      <c r="MY41" s="1172"/>
      <c r="MZ41" s="1172"/>
      <c r="NA41" s="1172"/>
      <c r="NB41" s="1172"/>
      <c r="NC41" s="1172"/>
      <c r="ND41" s="1172"/>
      <c r="NE41" s="1172"/>
      <c r="NF41" s="1172"/>
      <c r="NG41" s="1172"/>
      <c r="NH41" s="1172"/>
      <c r="NI41" s="1172"/>
      <c r="NJ41" s="1172"/>
      <c r="NK41" s="1172"/>
      <c r="NL41" s="1172"/>
      <c r="NM41" s="1172"/>
      <c r="NN41" s="1172"/>
      <c r="NO41" s="1172"/>
      <c r="NP41" s="1172"/>
      <c r="NQ41" s="1172"/>
      <c r="NR41" s="1172"/>
      <c r="NS41" s="1172"/>
      <c r="NT41" s="1172"/>
      <c r="NU41" s="1172"/>
      <c r="NV41" s="1172"/>
      <c r="NW41" s="1172"/>
      <c r="NX41" s="1172"/>
      <c r="NY41" s="1172"/>
      <c r="NZ41" s="1172"/>
      <c r="OA41" s="1172"/>
      <c r="OB41" s="1172"/>
      <c r="OC41" s="1172"/>
      <c r="OD41" s="1172"/>
      <c r="OE41" s="1172"/>
      <c r="OF41" s="1172"/>
      <c r="OG41" s="1172"/>
      <c r="OH41" s="1172"/>
      <c r="OI41" s="1172"/>
      <c r="OJ41" s="1172"/>
      <c r="OK41" s="1172"/>
      <c r="OL41" s="1172"/>
      <c r="OM41" s="1172"/>
      <c r="ON41" s="1172"/>
      <c r="OO41" s="1172"/>
      <c r="OP41" s="1172"/>
      <c r="OQ41" s="1172"/>
      <c r="OR41" s="1172"/>
      <c r="OS41" s="1172"/>
      <c r="OT41" s="1172"/>
      <c r="OU41" s="1172"/>
      <c r="OV41" s="1172"/>
      <c r="OW41" s="1172"/>
      <c r="OX41" s="1172"/>
      <c r="OY41" s="1172"/>
      <c r="OZ41" s="1172"/>
      <c r="PA41" s="1172"/>
      <c r="PB41" s="1172"/>
      <c r="PC41" s="1172"/>
      <c r="PD41" s="1172"/>
      <c r="PE41" s="1172"/>
      <c r="PF41" s="1172"/>
      <c r="PG41" s="1172"/>
      <c r="PH41" s="1172"/>
      <c r="PI41" s="1172"/>
      <c r="PJ41" s="1172"/>
      <c r="PK41" s="1172"/>
      <c r="PL41" s="1172"/>
      <c r="PM41" s="1172"/>
      <c r="PN41" s="1172"/>
      <c r="PO41" s="1172"/>
      <c r="PP41" s="1172"/>
      <c r="PQ41" s="1172"/>
      <c r="PR41" s="1172"/>
      <c r="PS41" s="1172"/>
      <c r="PT41" s="1172"/>
      <c r="PU41" s="1172"/>
      <c r="PV41" s="1172"/>
      <c r="PW41" s="1172"/>
      <c r="PX41" s="1172"/>
      <c r="PY41" s="1172"/>
      <c r="PZ41" s="1172"/>
      <c r="QA41" s="1172"/>
      <c r="QB41" s="1172"/>
      <c r="QC41" s="1172"/>
      <c r="QD41" s="1172"/>
      <c r="QE41" s="1172"/>
      <c r="QF41" s="1172"/>
      <c r="QG41" s="1172"/>
      <c r="QH41" s="1172"/>
      <c r="QI41" s="1172"/>
      <c r="QJ41" s="1172"/>
      <c r="QK41" s="1172"/>
      <c r="QL41" s="1172"/>
      <c r="QM41" s="1172"/>
      <c r="QN41" s="1172"/>
      <c r="QO41" s="1172"/>
      <c r="QP41" s="1172"/>
      <c r="QQ41" s="1172"/>
      <c r="QR41" s="1172"/>
      <c r="QS41" s="1172"/>
      <c r="QT41" s="1172"/>
      <c r="QU41" s="1172"/>
      <c r="QV41" s="1172"/>
      <c r="QW41" s="1172"/>
      <c r="QX41" s="1172"/>
      <c r="QY41" s="1172"/>
      <c r="QZ41" s="1172"/>
      <c r="RA41" s="1172"/>
      <c r="RB41" s="1172"/>
      <c r="RC41" s="1172"/>
      <c r="RD41" s="1172"/>
      <c r="RE41" s="1172"/>
      <c r="RF41" s="1172"/>
      <c r="RG41" s="1172"/>
      <c r="RH41" s="1172"/>
      <c r="RI41" s="1172"/>
      <c r="RJ41" s="1172"/>
      <c r="RK41" s="1172"/>
      <c r="RL41" s="1172"/>
      <c r="RM41" s="1172"/>
      <c r="RN41" s="1172"/>
      <c r="RO41" s="1172"/>
      <c r="RP41" s="1172"/>
      <c r="RQ41" s="1172"/>
      <c r="RR41" s="1172"/>
      <c r="RS41" s="1172"/>
      <c r="RT41" s="1172"/>
      <c r="RU41" s="1172"/>
      <c r="RV41" s="1172"/>
      <c r="RW41" s="1172"/>
      <c r="RX41" s="1172"/>
      <c r="RY41" s="1172"/>
      <c r="RZ41" s="1172"/>
      <c r="SA41" s="1172"/>
      <c r="SB41" s="1172"/>
      <c r="SC41" s="1172"/>
      <c r="SD41" s="1172"/>
      <c r="SE41" s="1172"/>
      <c r="SF41" s="1172"/>
      <c r="SG41" s="1172"/>
      <c r="SH41" s="1172"/>
      <c r="SI41" s="1172"/>
      <c r="SJ41" s="1172"/>
      <c r="SK41" s="1172"/>
      <c r="SL41" s="1172"/>
      <c r="SM41" s="1172"/>
      <c r="SN41" s="1172"/>
      <c r="SO41" s="1172"/>
      <c r="SP41" s="1172"/>
      <c r="SQ41" s="1172"/>
      <c r="SR41" s="1172"/>
      <c r="SS41" s="1172"/>
      <c r="ST41" s="1172"/>
      <c r="SU41" s="1172"/>
      <c r="SV41" s="1172"/>
      <c r="SW41" s="1172"/>
      <c r="SX41" s="1172"/>
      <c r="SY41" s="1172"/>
      <c r="SZ41" s="1172"/>
      <c r="TA41" s="1172"/>
      <c r="TB41" s="1172"/>
      <c r="TC41" s="1172"/>
      <c r="TD41" s="1172"/>
      <c r="TE41" s="1172"/>
      <c r="TF41" s="1172"/>
      <c r="TG41" s="1172"/>
      <c r="TH41" s="1172"/>
      <c r="TI41" s="1172"/>
      <c r="TJ41" s="1172"/>
      <c r="TK41" s="1172"/>
      <c r="TL41" s="1172"/>
      <c r="TM41" s="1172"/>
      <c r="TN41" s="1172"/>
      <c r="TO41" s="1172"/>
      <c r="TP41" s="1172"/>
      <c r="TQ41" s="1172"/>
      <c r="TR41" s="1172"/>
      <c r="TS41" s="1172"/>
      <c r="TT41" s="1172"/>
      <c r="TU41" s="1172"/>
      <c r="TV41" s="1172"/>
      <c r="TW41" s="1172"/>
      <c r="TX41" s="1172"/>
      <c r="TY41" s="1172"/>
      <c r="TZ41" s="1172"/>
      <c r="UA41" s="1172"/>
      <c r="UB41" s="1172"/>
      <c r="UC41" s="1172"/>
      <c r="UD41" s="1172"/>
      <c r="UE41" s="1172"/>
      <c r="UF41" s="1172"/>
      <c r="UG41" s="1172"/>
      <c r="UH41" s="1172"/>
      <c r="UI41" s="1172"/>
      <c r="UJ41" s="1172"/>
      <c r="UK41" s="1172"/>
      <c r="UL41" s="1172"/>
      <c r="UM41" s="1172"/>
      <c r="UN41" s="1172"/>
      <c r="UO41" s="1172"/>
      <c r="UP41" s="1172"/>
      <c r="UQ41" s="1172"/>
      <c r="UR41" s="1172"/>
      <c r="US41" s="1172"/>
      <c r="UT41" s="1172"/>
      <c r="UU41" s="1172"/>
      <c r="UV41" s="1172"/>
      <c r="UW41" s="1172"/>
      <c r="UX41" s="1172"/>
      <c r="UY41" s="1172"/>
      <c r="UZ41" s="1172"/>
      <c r="VA41" s="1172"/>
      <c r="VB41" s="1172"/>
      <c r="VC41" s="1172"/>
      <c r="VD41" s="1172"/>
      <c r="VE41" s="1172"/>
      <c r="VF41" s="1172"/>
      <c r="VG41" s="1172"/>
      <c r="VH41" s="1172"/>
      <c r="VI41" s="1172"/>
      <c r="VJ41" s="1172"/>
      <c r="VK41" s="1172"/>
      <c r="VL41" s="1172"/>
      <c r="VM41" s="1172"/>
      <c r="VN41" s="1172"/>
      <c r="VO41" s="1172"/>
      <c r="VP41" s="1172"/>
      <c r="VQ41" s="1172"/>
      <c r="VR41" s="1172"/>
      <c r="VS41" s="1172"/>
      <c r="VT41" s="1172"/>
      <c r="VU41" s="1172"/>
      <c r="VV41" s="1172"/>
      <c r="VW41" s="1172"/>
      <c r="VX41" s="1172"/>
      <c r="VY41" s="1172"/>
      <c r="VZ41" s="1172"/>
      <c r="WA41" s="1172"/>
      <c r="WB41" s="1172"/>
      <c r="WC41" s="1172"/>
      <c r="WD41" s="1172"/>
      <c r="WE41" s="1172"/>
      <c r="WF41" s="1172"/>
      <c r="WG41" s="1172"/>
      <c r="WH41" s="1172"/>
      <c r="WI41" s="1172"/>
      <c r="WJ41" s="1172"/>
      <c r="WK41" s="1172"/>
      <c r="WL41" s="1172"/>
      <c r="WM41" s="1172"/>
      <c r="WN41" s="1172"/>
      <c r="WO41" s="1172"/>
      <c r="WP41" s="1172"/>
      <c r="WQ41" s="1172"/>
      <c r="WR41" s="1172"/>
      <c r="WS41" s="1172"/>
      <c r="WT41" s="1172"/>
      <c r="WU41" s="1172"/>
      <c r="WV41" s="1172"/>
      <c r="WW41" s="1172"/>
      <c r="WX41" s="1172"/>
      <c r="WY41" s="1172"/>
      <c r="WZ41" s="1172"/>
      <c r="XA41" s="1172"/>
      <c r="XB41" s="1172"/>
      <c r="XC41" s="1172"/>
      <c r="XD41" s="1172"/>
      <c r="XE41" s="1172"/>
      <c r="XF41" s="1172"/>
      <c r="XG41" s="1172"/>
      <c r="XH41" s="1172"/>
      <c r="XI41" s="1172"/>
      <c r="XJ41" s="1172"/>
      <c r="XK41" s="1172"/>
      <c r="XL41" s="1172"/>
      <c r="XM41" s="1172"/>
      <c r="XN41" s="1172"/>
      <c r="XO41" s="1172"/>
      <c r="XP41" s="1172"/>
      <c r="XQ41" s="1172"/>
      <c r="XR41" s="1172"/>
      <c r="XS41" s="1172"/>
      <c r="XT41" s="1172"/>
      <c r="XU41" s="1172"/>
      <c r="XV41" s="1172"/>
      <c r="XW41" s="1172"/>
      <c r="XX41" s="1172"/>
      <c r="XY41" s="1172"/>
      <c r="XZ41" s="1172"/>
      <c r="YA41" s="1172"/>
      <c r="YB41" s="1172"/>
      <c r="YC41" s="1172"/>
      <c r="YD41" s="1172"/>
      <c r="YE41" s="1172"/>
      <c r="YF41" s="1172"/>
      <c r="YG41" s="1172"/>
      <c r="YH41" s="1172"/>
      <c r="YI41" s="1172"/>
      <c r="YJ41" s="1172"/>
      <c r="YK41" s="1172"/>
      <c r="YL41" s="1172"/>
      <c r="YM41" s="1172"/>
      <c r="YN41" s="1172"/>
      <c r="YO41" s="1172"/>
      <c r="YP41" s="1172"/>
      <c r="YQ41" s="1172"/>
      <c r="YR41" s="1172"/>
      <c r="YS41" s="1172"/>
      <c r="YT41" s="1172"/>
      <c r="YU41" s="1172"/>
      <c r="YV41" s="1172"/>
      <c r="YW41" s="1172"/>
      <c r="YX41" s="1172"/>
      <c r="YY41" s="1172"/>
      <c r="YZ41" s="1172"/>
      <c r="ZA41" s="1172"/>
      <c r="ZB41" s="1172"/>
      <c r="ZC41" s="1172"/>
      <c r="ZD41" s="1172"/>
      <c r="ZE41" s="1172"/>
      <c r="ZF41" s="1172"/>
      <c r="ZG41" s="1172"/>
      <c r="ZH41" s="1172"/>
      <c r="ZI41" s="1172"/>
      <c r="ZJ41" s="1172"/>
      <c r="ZK41" s="1172"/>
      <c r="ZL41" s="1172"/>
      <c r="ZM41" s="1172"/>
      <c r="ZN41" s="1172"/>
      <c r="ZO41" s="1172"/>
      <c r="ZP41" s="1172"/>
      <c r="ZQ41" s="1172"/>
      <c r="ZR41" s="1172"/>
      <c r="ZS41" s="1172"/>
      <c r="ZT41" s="1172"/>
      <c r="ZU41" s="1172"/>
      <c r="ZV41" s="1172"/>
      <c r="ZW41" s="1172"/>
      <c r="ZX41" s="1172"/>
      <c r="ZY41" s="1172"/>
      <c r="ZZ41" s="1172"/>
      <c r="AAA41" s="1172"/>
      <c r="AAB41" s="1172"/>
      <c r="AAC41" s="1172"/>
      <c r="AAD41" s="1172"/>
      <c r="AAE41" s="1172"/>
      <c r="AAF41" s="1172"/>
      <c r="AAG41" s="1172"/>
      <c r="AAH41" s="1172"/>
      <c r="AAI41" s="1172"/>
      <c r="AAJ41" s="1172"/>
      <c r="AAK41" s="1172"/>
      <c r="AAL41" s="1172"/>
      <c r="AAM41" s="1172"/>
      <c r="AAN41" s="1172"/>
      <c r="AAO41" s="1172"/>
      <c r="AAP41" s="1172"/>
      <c r="AAQ41" s="1172"/>
      <c r="AAR41" s="1172"/>
      <c r="AAS41" s="1172"/>
      <c r="AAT41" s="1172"/>
      <c r="AAU41" s="1172"/>
      <c r="AAV41" s="1172"/>
      <c r="AAW41" s="1172"/>
      <c r="AAX41" s="1172"/>
      <c r="AAY41" s="1172"/>
      <c r="AAZ41" s="1172"/>
      <c r="ABA41" s="1172"/>
      <c r="ABB41" s="1172"/>
      <c r="ABC41" s="1172"/>
      <c r="ABD41" s="1172"/>
      <c r="ABE41" s="1172"/>
      <c r="ABF41" s="1172"/>
      <c r="ABG41" s="1172"/>
      <c r="ABH41" s="1172"/>
      <c r="ABI41" s="1172"/>
      <c r="ABJ41" s="1172"/>
      <c r="ABK41" s="1172"/>
      <c r="ABL41" s="1172"/>
      <c r="ABM41" s="1172"/>
      <c r="ABN41" s="1172"/>
      <c r="ABO41" s="1172"/>
      <c r="ABP41" s="1172"/>
      <c r="ABQ41" s="1172"/>
      <c r="ABR41" s="1172"/>
      <c r="ABS41" s="1172"/>
      <c r="ABT41" s="1172"/>
      <c r="ABU41" s="1172"/>
      <c r="ABV41" s="1172"/>
      <c r="ABW41" s="1172"/>
      <c r="ABX41" s="1172"/>
      <c r="ABY41" s="1172"/>
      <c r="ABZ41" s="1172"/>
      <c r="ACA41" s="1172"/>
      <c r="ACB41" s="1172"/>
      <c r="ACC41" s="1172"/>
      <c r="ACD41" s="1172"/>
      <c r="ACE41" s="1172"/>
      <c r="ACF41" s="1172"/>
      <c r="ACG41" s="1172"/>
      <c r="ACH41" s="1172"/>
      <c r="ACI41" s="1172"/>
      <c r="ACJ41" s="1172"/>
      <c r="ACK41" s="1172"/>
      <c r="ACL41" s="1172"/>
      <c r="ACM41" s="1172"/>
      <c r="ACN41" s="1172"/>
      <c r="ACO41" s="1172"/>
      <c r="ACP41" s="1172"/>
      <c r="ACQ41" s="1172"/>
      <c r="ACR41" s="1172"/>
      <c r="ACS41" s="1172"/>
      <c r="ACT41" s="1172"/>
      <c r="ACU41" s="1172"/>
      <c r="ACV41" s="1172"/>
      <c r="ACW41" s="1172"/>
      <c r="ACX41" s="1172"/>
      <c r="ACY41" s="1172"/>
      <c r="ACZ41" s="1172"/>
      <c r="ADA41" s="1172"/>
      <c r="ADB41" s="1172"/>
      <c r="ADC41" s="1172"/>
      <c r="ADD41" s="1172"/>
      <c r="ADE41" s="1172"/>
      <c r="ADF41" s="1172"/>
      <c r="ADG41" s="1172"/>
      <c r="ADH41" s="1172"/>
      <c r="ADI41" s="1172"/>
      <c r="ADJ41" s="1172"/>
      <c r="ADK41" s="1172"/>
      <c r="ADL41" s="1172"/>
      <c r="ADM41" s="1172"/>
      <c r="ADN41" s="1172"/>
      <c r="ADO41" s="1172"/>
      <c r="ADP41" s="1172"/>
      <c r="ADQ41" s="1172"/>
      <c r="ADR41" s="1172"/>
      <c r="ADS41" s="1172"/>
      <c r="ADT41" s="1172"/>
      <c r="ADU41" s="1172"/>
      <c r="ADV41" s="1172"/>
      <c r="ADW41" s="1172"/>
      <c r="ADX41" s="1172"/>
      <c r="ADY41" s="1172"/>
      <c r="ADZ41" s="1172"/>
      <c r="AEA41" s="1172"/>
      <c r="AEB41" s="1172"/>
      <c r="AEC41" s="1172"/>
      <c r="AED41" s="1172"/>
      <c r="AEE41" s="1172"/>
      <c r="AEF41" s="1172"/>
      <c r="AEG41" s="1172"/>
      <c r="AEH41" s="1172"/>
      <c r="AEI41" s="1172"/>
      <c r="AEJ41" s="1172"/>
      <c r="AEK41" s="1172"/>
      <c r="AEL41" s="1172"/>
      <c r="AEM41" s="1172"/>
      <c r="AEN41" s="1172"/>
      <c r="AEO41" s="1172"/>
      <c r="AEP41" s="1172"/>
      <c r="AEQ41" s="1172"/>
      <c r="AER41" s="1172"/>
      <c r="AES41" s="1172"/>
      <c r="AET41" s="1172"/>
      <c r="AEU41" s="1172"/>
      <c r="AEV41" s="1172"/>
      <c r="AEW41" s="1172"/>
      <c r="AEX41" s="1172"/>
      <c r="AEY41" s="1172"/>
      <c r="AEZ41" s="1172"/>
      <c r="AFA41" s="1172"/>
      <c r="AFB41" s="1172"/>
      <c r="AFC41" s="1172"/>
      <c r="AFD41" s="1172"/>
      <c r="AFE41" s="1172"/>
      <c r="AFF41" s="1172"/>
      <c r="AFG41" s="1172"/>
      <c r="AFH41" s="1172"/>
      <c r="AFI41" s="1172"/>
      <c r="AFJ41" s="1172"/>
      <c r="AFK41" s="1172"/>
      <c r="AFL41" s="1172"/>
      <c r="AFM41" s="1172"/>
      <c r="AFN41" s="1172"/>
      <c r="AFO41" s="1172"/>
      <c r="AFP41" s="1172"/>
      <c r="AFQ41" s="1172"/>
      <c r="AFR41" s="1172"/>
      <c r="AFS41" s="1172"/>
      <c r="AFT41" s="1172"/>
      <c r="AFU41" s="1172"/>
      <c r="AFV41" s="1172"/>
      <c r="AFW41" s="1172"/>
      <c r="AFX41" s="1172"/>
      <c r="AFY41" s="1172"/>
      <c r="AFZ41" s="1172"/>
      <c r="AGA41" s="1172"/>
      <c r="AGB41" s="1172"/>
      <c r="AGC41" s="1172"/>
      <c r="AGD41" s="1172"/>
      <c r="AGE41" s="1172"/>
      <c r="AGF41" s="1172"/>
      <c r="AGG41" s="1172"/>
      <c r="AGH41" s="1172"/>
      <c r="AGI41" s="1172"/>
      <c r="AGJ41" s="1172"/>
      <c r="AGK41" s="1172"/>
      <c r="AGL41" s="1172"/>
      <c r="AGM41" s="1172"/>
      <c r="AGN41" s="1172"/>
      <c r="AGO41" s="1172"/>
      <c r="AGP41" s="1172"/>
      <c r="AGQ41" s="1172"/>
      <c r="AGR41" s="1172"/>
      <c r="AGS41" s="1172"/>
      <c r="AGT41" s="1172"/>
      <c r="AGU41" s="1172"/>
      <c r="AGV41" s="1172"/>
      <c r="AGW41" s="1172"/>
      <c r="AGX41" s="1172"/>
      <c r="AGY41" s="1172"/>
      <c r="AGZ41" s="1172"/>
      <c r="AHA41" s="1172"/>
      <c r="AHB41" s="1172"/>
      <c r="AHC41" s="1172"/>
      <c r="AHD41" s="1172"/>
      <c r="AHE41" s="1172"/>
      <c r="AHF41" s="1172"/>
      <c r="AHG41" s="1172"/>
      <c r="AHH41" s="1172"/>
      <c r="AHI41" s="1172"/>
      <c r="AHJ41" s="1172"/>
      <c r="AHK41" s="1172"/>
      <c r="AHL41" s="1172"/>
      <c r="AHM41" s="1172"/>
      <c r="AHN41" s="1172"/>
      <c r="AHO41" s="1172"/>
      <c r="AHP41" s="1172"/>
      <c r="AHQ41" s="1172"/>
      <c r="AHR41" s="1172"/>
      <c r="AHS41" s="1172"/>
      <c r="AHT41" s="1172"/>
      <c r="AHU41" s="1172"/>
      <c r="AHV41" s="1172"/>
      <c r="AHW41" s="1172"/>
      <c r="AHX41" s="1172"/>
      <c r="AHY41" s="1172"/>
      <c r="AHZ41" s="1172"/>
      <c r="AIA41" s="1172"/>
      <c r="AIB41" s="1172"/>
      <c r="AIC41" s="1172"/>
      <c r="AID41" s="1172"/>
      <c r="AIE41" s="1172"/>
      <c r="AIF41" s="1172"/>
      <c r="AIG41" s="1172"/>
      <c r="AIH41" s="1172"/>
      <c r="AII41" s="1172"/>
      <c r="AIJ41" s="1172"/>
      <c r="AIK41" s="1172"/>
      <c r="AIL41" s="1172"/>
      <c r="AIM41" s="1172"/>
      <c r="AIN41" s="1172"/>
      <c r="AIO41" s="1172"/>
      <c r="AIP41" s="1172"/>
      <c r="AIQ41" s="1172"/>
      <c r="AIR41" s="1172"/>
      <c r="AIS41" s="1172"/>
      <c r="AIT41" s="1172"/>
      <c r="AIU41" s="1172"/>
      <c r="AIV41" s="1172"/>
      <c r="AIW41" s="1172"/>
      <c r="AIX41" s="1172"/>
      <c r="AIY41" s="1172"/>
      <c r="AIZ41" s="1172"/>
      <c r="AJA41" s="1172"/>
      <c r="AJB41" s="1172"/>
      <c r="AJC41" s="1172"/>
      <c r="AJD41" s="1172"/>
      <c r="AJE41" s="1172"/>
      <c r="AJF41" s="1172"/>
      <c r="AJG41" s="1172"/>
      <c r="AJH41" s="1172"/>
      <c r="AJI41" s="1172"/>
      <c r="AJJ41" s="1172"/>
      <c r="AJK41" s="1172"/>
      <c r="AJL41" s="1172"/>
      <c r="AJM41" s="1172"/>
      <c r="AJN41" s="1172"/>
      <c r="AJO41" s="1172"/>
      <c r="AJP41" s="1172"/>
      <c r="AJQ41" s="1172"/>
      <c r="AJR41" s="1172"/>
      <c r="AJS41" s="1172"/>
      <c r="AJT41" s="1172"/>
      <c r="AJU41" s="1172"/>
      <c r="AJV41" s="1172"/>
      <c r="AJW41" s="1172"/>
      <c r="AJX41" s="1172"/>
      <c r="AJY41" s="1172"/>
      <c r="AJZ41" s="1172"/>
      <c r="AKA41" s="1172"/>
      <c r="AKB41" s="1172"/>
      <c r="AKC41" s="1172"/>
      <c r="AKD41" s="1172"/>
      <c r="AKE41" s="1172"/>
      <c r="AKF41" s="1172"/>
      <c r="AKG41" s="1172"/>
      <c r="AKH41" s="1172"/>
      <c r="AKI41" s="1172"/>
      <c r="AKJ41" s="1172"/>
      <c r="AKK41" s="1172"/>
      <c r="AKL41" s="1172"/>
      <c r="AKM41" s="1172"/>
      <c r="AKN41" s="1172"/>
      <c r="AKO41" s="1172"/>
      <c r="AKP41" s="1172"/>
      <c r="AKQ41" s="1172"/>
      <c r="AKR41" s="1172"/>
      <c r="AKS41" s="1172"/>
      <c r="AKT41" s="1172"/>
      <c r="AKU41" s="1172"/>
      <c r="AKV41" s="1172"/>
      <c r="AKW41" s="1172"/>
      <c r="AKX41" s="1172"/>
      <c r="AKY41" s="1172"/>
      <c r="AKZ41" s="1172"/>
      <c r="ALA41" s="1172"/>
      <c r="ALB41" s="1172"/>
      <c r="ALC41" s="1172"/>
      <c r="ALD41" s="1172"/>
      <c r="ALE41" s="1172"/>
      <c r="ALF41" s="1172"/>
      <c r="ALG41" s="1172"/>
      <c r="ALH41" s="1172"/>
      <c r="ALI41" s="1172"/>
      <c r="ALJ41" s="1172"/>
      <c r="ALK41" s="1172"/>
      <c r="ALL41" s="1172"/>
      <c r="ALM41" s="1172"/>
      <c r="ALN41" s="1172"/>
      <c r="ALO41" s="1172"/>
      <c r="ALP41" s="1172"/>
      <c r="ALQ41" s="1172"/>
      <c r="ALR41" s="1172"/>
      <c r="ALS41" s="1172"/>
      <c r="ALT41" s="1172"/>
      <c r="ALU41" s="1172"/>
      <c r="ALV41" s="1172"/>
      <c r="ALW41" s="1172"/>
      <c r="ALX41" s="1172"/>
      <c r="ALY41" s="1172"/>
      <c r="ALZ41" s="1172"/>
      <c r="AMA41" s="1172"/>
      <c r="AMB41" s="1172"/>
      <c r="AMC41" s="1172"/>
      <c r="AMD41" s="1172"/>
      <c r="AME41" s="1172"/>
      <c r="AMF41" s="1172"/>
      <c r="AMG41" s="1172"/>
      <c r="AMH41" s="1172"/>
      <c r="AMI41" s="1172"/>
      <c r="AMJ41" s="1172"/>
      <c r="AMK41" s="1172"/>
      <c r="AML41" s="1172"/>
      <c r="AMM41" s="1172"/>
      <c r="AMN41" s="1172"/>
      <c r="AMO41" s="1172"/>
      <c r="AMP41" s="1172"/>
      <c r="AMQ41" s="1172"/>
      <c r="AMR41" s="1172"/>
      <c r="AMS41" s="1172"/>
      <c r="AMT41" s="1172"/>
      <c r="AMU41" s="1172"/>
      <c r="AMV41" s="1172"/>
      <c r="AMW41" s="1172"/>
      <c r="AMX41" s="1172"/>
      <c r="AMY41" s="1172"/>
      <c r="AMZ41" s="1172"/>
      <c r="ANA41" s="1172"/>
      <c r="ANB41" s="1172"/>
      <c r="ANC41" s="1172"/>
      <c r="AND41" s="1172"/>
      <c r="ANE41" s="1172"/>
      <c r="ANF41" s="1172"/>
      <c r="ANG41" s="1172"/>
      <c r="ANH41" s="1172"/>
      <c r="ANI41" s="1172"/>
      <c r="ANJ41" s="1172"/>
      <c r="ANK41" s="1172"/>
      <c r="ANL41" s="1172"/>
      <c r="ANM41" s="1172"/>
      <c r="ANN41" s="1172"/>
      <c r="ANO41" s="1172"/>
      <c r="ANP41" s="1172"/>
      <c r="ANQ41" s="1172"/>
      <c r="ANR41" s="1172"/>
      <c r="ANS41" s="1172"/>
      <c r="ANT41" s="1172"/>
      <c r="ANU41" s="1172"/>
      <c r="ANV41" s="1172"/>
      <c r="ANW41" s="1172"/>
      <c r="ANX41" s="1172"/>
      <c r="ANY41" s="1172"/>
      <c r="ANZ41" s="1172"/>
      <c r="AOA41" s="1172"/>
      <c r="AOB41" s="1172"/>
      <c r="AOC41" s="1172"/>
      <c r="AOD41" s="1172"/>
      <c r="AOE41" s="1172"/>
      <c r="AOF41" s="1172"/>
      <c r="AOG41" s="1172"/>
      <c r="AOH41" s="1172"/>
      <c r="AOI41" s="1172"/>
      <c r="AOJ41" s="1172"/>
      <c r="AOK41" s="1172"/>
      <c r="AOL41" s="1172"/>
      <c r="AOM41" s="1172"/>
      <c r="AON41" s="1172"/>
      <c r="AOO41" s="1172"/>
      <c r="AOP41" s="1172"/>
      <c r="AOQ41" s="1172"/>
      <c r="AOR41" s="1172"/>
      <c r="AOS41" s="1172"/>
      <c r="AOT41" s="1172"/>
      <c r="AOU41" s="1172"/>
      <c r="AOV41" s="1172"/>
      <c r="AOW41" s="1172"/>
      <c r="AOX41" s="1172"/>
      <c r="AOY41" s="1172"/>
      <c r="AOZ41" s="1172"/>
      <c r="APA41" s="1172"/>
      <c r="APB41" s="1172"/>
      <c r="APC41" s="1172"/>
      <c r="APD41" s="1172"/>
      <c r="APE41" s="1172"/>
      <c r="APF41" s="1172"/>
      <c r="APG41" s="1172"/>
      <c r="APH41" s="1172"/>
      <c r="API41" s="1172"/>
      <c r="APJ41" s="1172"/>
      <c r="APK41" s="1172"/>
      <c r="APL41" s="1172"/>
      <c r="APM41" s="1172"/>
      <c r="APN41" s="1172"/>
      <c r="APO41" s="1172"/>
      <c r="APP41" s="1172"/>
      <c r="APQ41" s="1172"/>
      <c r="APR41" s="1172"/>
      <c r="APS41" s="1172"/>
      <c r="APT41" s="1172"/>
      <c r="APU41" s="1172"/>
      <c r="APV41" s="1172"/>
      <c r="APW41" s="1172"/>
      <c r="APX41" s="1172"/>
      <c r="APY41" s="1172"/>
      <c r="APZ41" s="1172"/>
      <c r="AQA41" s="1172"/>
      <c r="AQB41" s="1172"/>
      <c r="AQC41" s="1172"/>
      <c r="AQD41" s="1172"/>
      <c r="AQE41" s="1172"/>
      <c r="AQF41" s="1172"/>
      <c r="AQG41" s="1172"/>
      <c r="AQH41" s="1172"/>
      <c r="AQI41" s="1172"/>
      <c r="AQJ41" s="1172"/>
      <c r="AQK41" s="1172"/>
      <c r="AQL41" s="1172"/>
      <c r="AQM41" s="1172"/>
      <c r="AQN41" s="1172"/>
      <c r="AQO41" s="1172"/>
      <c r="AQP41" s="1172"/>
      <c r="AQQ41" s="1172"/>
      <c r="AQR41" s="1172"/>
      <c r="AQS41" s="1172"/>
      <c r="AQT41" s="1172"/>
      <c r="AQU41" s="1172"/>
      <c r="AQV41" s="1172"/>
      <c r="AQW41" s="1172"/>
      <c r="AQX41" s="1172"/>
      <c r="AQY41" s="1172"/>
      <c r="AQZ41" s="1172"/>
      <c r="ARA41" s="1172"/>
      <c r="ARB41" s="1172"/>
      <c r="ARC41" s="1172"/>
      <c r="ARD41" s="1172"/>
      <c r="ARE41" s="1172"/>
      <c r="ARF41" s="1172"/>
      <c r="ARG41" s="1172"/>
      <c r="ARH41" s="1172"/>
      <c r="ARI41" s="1172"/>
      <c r="ARJ41" s="1172"/>
      <c r="ARK41" s="1172"/>
      <c r="ARL41" s="1172"/>
      <c r="ARM41" s="1172"/>
      <c r="ARN41" s="1172"/>
      <c r="ARO41" s="1172"/>
      <c r="ARP41" s="1172"/>
      <c r="ARQ41" s="1172"/>
      <c r="ARR41" s="1172"/>
      <c r="ARS41" s="1172"/>
      <c r="ART41" s="1172"/>
      <c r="ARU41" s="1172"/>
      <c r="ARV41" s="1172"/>
      <c r="ARW41" s="1172"/>
      <c r="ARX41" s="1172"/>
      <c r="ARY41" s="1172"/>
      <c r="ARZ41" s="1172"/>
      <c r="ASA41" s="1172"/>
      <c r="ASB41" s="1172"/>
      <c r="ASC41" s="1172"/>
      <c r="ASD41" s="1172"/>
      <c r="ASE41" s="1172"/>
      <c r="ASF41" s="1172"/>
      <c r="ASG41" s="1172"/>
      <c r="ASH41" s="1172"/>
      <c r="ASI41" s="1172"/>
      <c r="ASJ41" s="1172"/>
      <c r="ASK41" s="1172"/>
      <c r="ASL41" s="1172"/>
      <c r="ASM41" s="1172"/>
      <c r="ASN41" s="1172"/>
      <c r="ASO41" s="1172"/>
      <c r="ASP41" s="1172"/>
      <c r="ASQ41" s="1172"/>
      <c r="ASR41" s="1172"/>
      <c r="ASS41" s="1172"/>
      <c r="AST41" s="1172"/>
      <c r="ASU41" s="1172"/>
      <c r="ASV41" s="1172"/>
      <c r="ASW41" s="1172"/>
      <c r="ASX41" s="1172"/>
      <c r="ASY41" s="1172"/>
      <c r="ASZ41" s="1172"/>
      <c r="ATA41" s="1172"/>
      <c r="ATB41" s="1172"/>
      <c r="ATC41" s="1172"/>
      <c r="ATD41" s="1172"/>
      <c r="ATE41" s="1172"/>
      <c r="ATF41" s="1172"/>
      <c r="ATG41" s="1172"/>
      <c r="ATH41" s="1172"/>
      <c r="ATI41" s="1172"/>
      <c r="ATJ41" s="1172"/>
      <c r="ATK41" s="1172"/>
      <c r="ATL41" s="1172"/>
      <c r="ATM41" s="1172"/>
      <c r="ATN41" s="1172"/>
      <c r="ATO41" s="1172"/>
      <c r="ATP41" s="1172"/>
      <c r="ATQ41" s="1172"/>
      <c r="ATR41" s="1172"/>
      <c r="ATS41" s="1172"/>
      <c r="ATT41" s="1172"/>
      <c r="ATU41" s="1172"/>
      <c r="ATV41" s="1172"/>
      <c r="ATW41" s="1172"/>
      <c r="ATX41" s="1172"/>
      <c r="ATY41" s="1172"/>
      <c r="ATZ41" s="1172"/>
      <c r="AUA41" s="1172"/>
      <c r="AUB41" s="1172"/>
      <c r="AUC41" s="1172"/>
      <c r="AUD41" s="1172"/>
      <c r="AUE41" s="1172"/>
      <c r="AUF41" s="1172"/>
      <c r="AUG41" s="1172"/>
      <c r="AUH41" s="1172"/>
      <c r="AUI41" s="1172"/>
      <c r="AUJ41" s="1172"/>
      <c r="AUK41" s="1172"/>
      <c r="AUL41" s="1172"/>
      <c r="AUM41" s="1172"/>
      <c r="AUN41" s="1172"/>
      <c r="AUO41" s="1172"/>
      <c r="AUP41" s="1172"/>
      <c r="AUQ41" s="1172"/>
      <c r="AUR41" s="1172"/>
      <c r="AUS41" s="1172"/>
      <c r="AUT41" s="1172"/>
      <c r="AUU41" s="1172"/>
      <c r="AUV41" s="1172"/>
      <c r="AUW41" s="1172"/>
      <c r="AUX41" s="1172"/>
      <c r="AUY41" s="1172"/>
      <c r="AUZ41" s="1172"/>
      <c r="AVA41" s="1172"/>
      <c r="AVB41" s="1172"/>
      <c r="AVC41" s="1172"/>
      <c r="AVD41" s="1172"/>
      <c r="AVE41" s="1172"/>
      <c r="AVF41" s="1172"/>
      <c r="AVG41" s="1172"/>
      <c r="AVH41" s="1172"/>
      <c r="AVI41" s="1172"/>
      <c r="AVJ41" s="1172"/>
      <c r="AVK41" s="1172"/>
      <c r="AVL41" s="1172"/>
      <c r="AVM41" s="1172"/>
      <c r="AVN41" s="1172"/>
      <c r="AVO41" s="1172"/>
      <c r="AVP41" s="1172"/>
      <c r="AVQ41" s="1172"/>
      <c r="AVR41" s="1172"/>
      <c r="AVS41" s="1172"/>
      <c r="AVT41" s="1172"/>
      <c r="AVU41" s="1172"/>
      <c r="AVV41" s="1172"/>
      <c r="AVW41" s="1172"/>
      <c r="AVX41" s="1172"/>
      <c r="AVY41" s="1172"/>
      <c r="AVZ41" s="1172"/>
      <c r="AWA41" s="1172"/>
      <c r="AWB41" s="1172"/>
      <c r="AWC41" s="1172"/>
      <c r="AWD41" s="1172"/>
      <c r="AWE41" s="1172"/>
      <c r="AWF41" s="1172"/>
      <c r="AWG41" s="1172"/>
      <c r="AWH41" s="1172"/>
      <c r="AWI41" s="1172"/>
      <c r="AWJ41" s="1172"/>
      <c r="AWK41" s="1172"/>
      <c r="AWL41" s="1172"/>
      <c r="AWM41" s="1172"/>
      <c r="AWN41" s="1172"/>
      <c r="AWO41" s="1172"/>
      <c r="AWP41" s="1172"/>
      <c r="AWQ41" s="1172"/>
      <c r="AWR41" s="1172"/>
      <c r="AWS41" s="1172"/>
      <c r="AWT41" s="1172"/>
      <c r="AWU41" s="1172"/>
      <c r="AWV41" s="1172"/>
      <c r="AWW41" s="1172"/>
      <c r="AWX41" s="1172"/>
      <c r="AWY41" s="1172"/>
      <c r="AWZ41" s="1172"/>
      <c r="AXA41" s="1172"/>
      <c r="AXB41" s="1172"/>
      <c r="AXC41" s="1172"/>
      <c r="AXD41" s="1172"/>
      <c r="AXE41" s="1172"/>
      <c r="AXF41" s="1172"/>
      <c r="AXG41" s="1172"/>
      <c r="AXH41" s="1172"/>
      <c r="AXI41" s="1172"/>
      <c r="AXJ41" s="1172"/>
      <c r="AXK41" s="1172"/>
      <c r="AXL41" s="1172"/>
      <c r="AXM41" s="1172"/>
      <c r="AXN41" s="1172"/>
      <c r="AXO41" s="1172"/>
      <c r="AXP41" s="1172"/>
      <c r="AXQ41" s="1172"/>
      <c r="AXR41" s="1172"/>
      <c r="AXS41" s="1172"/>
      <c r="AXT41" s="1172"/>
      <c r="AXU41" s="1172"/>
      <c r="AXV41" s="1172"/>
      <c r="AXW41" s="1172"/>
      <c r="AXX41" s="1172"/>
      <c r="AXY41" s="1172"/>
      <c r="AXZ41" s="1172"/>
      <c r="AYA41" s="1172"/>
      <c r="AYB41" s="1172"/>
      <c r="AYC41" s="1172"/>
      <c r="AYD41" s="1172"/>
      <c r="AYE41" s="1172"/>
      <c r="AYF41" s="1172"/>
      <c r="AYG41" s="1172"/>
      <c r="AYH41" s="1172"/>
      <c r="AYI41" s="1172"/>
      <c r="AYJ41" s="1172"/>
      <c r="AYK41" s="1172"/>
      <c r="AYL41" s="1172"/>
      <c r="AYM41" s="1172"/>
      <c r="AYN41" s="1172"/>
      <c r="AYO41" s="1172"/>
      <c r="AYP41" s="1172"/>
      <c r="AYQ41" s="1172"/>
      <c r="AYR41" s="1172"/>
      <c r="AYS41" s="1172"/>
      <c r="AYT41" s="1172"/>
      <c r="AYU41" s="1172"/>
      <c r="AYV41" s="1172"/>
      <c r="AYW41" s="1172"/>
      <c r="AYX41" s="1172"/>
      <c r="AYY41" s="1172"/>
      <c r="AYZ41" s="1172"/>
      <c r="AZA41" s="1172"/>
      <c r="AZB41" s="1172"/>
      <c r="AZC41" s="1172"/>
      <c r="AZD41" s="1172"/>
      <c r="AZE41" s="1172"/>
      <c r="AZF41" s="1172"/>
      <c r="AZG41" s="1172"/>
      <c r="AZH41" s="1172"/>
      <c r="AZI41" s="1172"/>
      <c r="AZJ41" s="1172"/>
      <c r="AZK41" s="1172"/>
      <c r="AZL41" s="1172"/>
      <c r="AZM41" s="1172"/>
      <c r="AZN41" s="1172"/>
      <c r="AZO41" s="1172"/>
      <c r="AZP41" s="1172"/>
      <c r="AZQ41" s="1172"/>
      <c r="AZR41" s="1172"/>
      <c r="AZS41" s="1172"/>
      <c r="AZT41" s="1172"/>
      <c r="AZU41" s="1172"/>
      <c r="AZV41" s="1172"/>
      <c r="AZW41" s="1172"/>
      <c r="AZX41" s="1172"/>
      <c r="AZY41" s="1172"/>
      <c r="AZZ41" s="1172"/>
      <c r="BAA41" s="1172"/>
      <c r="BAB41" s="1172"/>
      <c r="BAC41" s="1172"/>
      <c r="BAD41" s="1172"/>
      <c r="BAE41" s="1172"/>
      <c r="BAF41" s="1172"/>
      <c r="BAG41" s="1172"/>
      <c r="BAH41" s="1172"/>
      <c r="BAI41" s="1172"/>
      <c r="BAJ41" s="1172"/>
      <c r="BAK41" s="1172"/>
      <c r="BAL41" s="1172"/>
      <c r="BAM41" s="1172"/>
      <c r="BAN41" s="1172"/>
      <c r="BAO41" s="1172"/>
      <c r="BAP41" s="1172"/>
      <c r="BAQ41" s="1172"/>
      <c r="BAR41" s="1172"/>
      <c r="BAS41" s="1172"/>
      <c r="BAT41" s="1172"/>
      <c r="BAU41" s="1172"/>
      <c r="BAV41" s="1172"/>
      <c r="BAW41" s="1172"/>
      <c r="BAX41" s="1172"/>
      <c r="BAY41" s="1172"/>
      <c r="BAZ41" s="1172"/>
      <c r="BBA41" s="1172"/>
      <c r="BBB41" s="1172"/>
      <c r="BBC41" s="1172"/>
      <c r="BBD41" s="1172"/>
      <c r="BBE41" s="1172"/>
      <c r="BBF41" s="1172"/>
      <c r="BBG41" s="1172"/>
      <c r="BBH41" s="1172"/>
      <c r="BBI41" s="1172"/>
      <c r="BBJ41" s="1172"/>
      <c r="BBK41" s="1172"/>
      <c r="BBL41" s="1172"/>
      <c r="BBM41" s="1172"/>
      <c r="BBN41" s="1172"/>
      <c r="BBO41" s="1172"/>
      <c r="BBP41" s="1172"/>
      <c r="BBQ41" s="1172"/>
      <c r="BBR41" s="1172"/>
      <c r="BBS41" s="1172"/>
      <c r="BBT41" s="1172"/>
      <c r="BBU41" s="1172"/>
      <c r="BBV41" s="1172"/>
      <c r="BBW41" s="1172"/>
      <c r="BBX41" s="1172"/>
      <c r="BBY41" s="1172"/>
      <c r="BBZ41" s="1172"/>
      <c r="BCA41" s="1172"/>
      <c r="BCB41" s="1172"/>
      <c r="BCC41" s="1172"/>
      <c r="BCD41" s="1172"/>
      <c r="BCE41" s="1172"/>
      <c r="BCF41" s="1172"/>
      <c r="BCG41" s="1172"/>
      <c r="BCH41" s="1172"/>
      <c r="BCI41" s="1172"/>
      <c r="BCJ41" s="1172"/>
      <c r="BCK41" s="1172"/>
      <c r="BCL41" s="1172"/>
      <c r="BCM41" s="1172"/>
      <c r="BCN41" s="1172"/>
      <c r="BCO41" s="1172"/>
      <c r="BCP41" s="1172"/>
      <c r="BCQ41" s="1172"/>
      <c r="BCR41" s="1172"/>
      <c r="BCS41" s="1172"/>
      <c r="BCT41" s="1172"/>
      <c r="BCU41" s="1172"/>
      <c r="BCV41" s="1172"/>
      <c r="BCW41" s="1172"/>
      <c r="BCX41" s="1172"/>
      <c r="BCY41" s="1172"/>
      <c r="BCZ41" s="1172"/>
      <c r="BDA41" s="1172"/>
      <c r="BDB41" s="1172"/>
      <c r="BDC41" s="1172"/>
      <c r="BDD41" s="1172"/>
      <c r="BDE41" s="1172"/>
      <c r="BDF41" s="1172"/>
      <c r="BDG41" s="1172"/>
      <c r="BDH41" s="1172"/>
      <c r="BDI41" s="1172"/>
      <c r="BDJ41" s="1172"/>
      <c r="BDK41" s="1172"/>
      <c r="BDL41" s="1172"/>
      <c r="BDM41" s="1172"/>
      <c r="BDN41" s="1172"/>
      <c r="BDO41" s="1172"/>
      <c r="BDP41" s="1172"/>
      <c r="BDQ41" s="1172"/>
      <c r="BDR41" s="1172"/>
      <c r="BDS41" s="1172"/>
      <c r="BDT41" s="1172"/>
      <c r="BDU41" s="1172"/>
      <c r="BDV41" s="1172"/>
      <c r="BDW41" s="1172"/>
      <c r="BDX41" s="1172"/>
      <c r="BDY41" s="1172"/>
      <c r="BDZ41" s="1172"/>
      <c r="BEA41" s="1172"/>
      <c r="BEB41" s="1172"/>
      <c r="BEC41" s="1172"/>
      <c r="BED41" s="1172"/>
      <c r="BEE41" s="1172"/>
      <c r="BEF41" s="1172"/>
      <c r="BEG41" s="1172"/>
      <c r="BEH41" s="1172"/>
      <c r="BEI41" s="1172"/>
      <c r="BEJ41" s="1172"/>
      <c r="BEK41" s="1172"/>
      <c r="BEL41" s="1172"/>
      <c r="BEM41" s="1172"/>
      <c r="BEN41" s="1172"/>
      <c r="BEO41" s="1172"/>
      <c r="BEP41" s="1172"/>
      <c r="BEQ41" s="1172"/>
      <c r="BER41" s="1172"/>
      <c r="BES41" s="1172"/>
      <c r="BET41" s="1172"/>
      <c r="BEU41" s="1172"/>
      <c r="BEV41" s="1172"/>
      <c r="BEW41" s="1172"/>
      <c r="BEX41" s="1172"/>
      <c r="BEY41" s="1172"/>
      <c r="BEZ41" s="1172"/>
      <c r="BFA41" s="1172"/>
      <c r="BFB41" s="1172"/>
      <c r="BFC41" s="1172"/>
      <c r="BFD41" s="1172"/>
      <c r="BFE41" s="1172"/>
      <c r="BFF41" s="1172"/>
      <c r="BFG41" s="1172"/>
      <c r="BFH41" s="1172"/>
      <c r="BFI41" s="1172"/>
      <c r="BFJ41" s="1172"/>
      <c r="BFK41" s="1172"/>
      <c r="BFL41" s="1172"/>
      <c r="BFM41" s="1172"/>
      <c r="BFN41" s="1172"/>
      <c r="BFO41" s="1172"/>
      <c r="BFP41" s="1172"/>
      <c r="BFQ41" s="1172"/>
      <c r="BFR41" s="1172"/>
      <c r="BFS41" s="1172"/>
      <c r="BFT41" s="1172"/>
      <c r="BFU41" s="1172"/>
      <c r="BFV41" s="1172"/>
      <c r="BFW41" s="1172"/>
      <c r="BFX41" s="1172"/>
      <c r="BFY41" s="1172"/>
      <c r="BFZ41" s="1172"/>
      <c r="BGA41" s="1172"/>
      <c r="BGB41" s="1172"/>
      <c r="BGC41" s="1172"/>
      <c r="BGD41" s="1172"/>
      <c r="BGE41" s="1172"/>
      <c r="BGF41" s="1172"/>
      <c r="BGG41" s="1172"/>
      <c r="BGH41" s="1172"/>
      <c r="BGI41" s="1172"/>
      <c r="BGJ41" s="1172"/>
      <c r="BGK41" s="1172"/>
      <c r="BGL41" s="1172"/>
      <c r="BGM41" s="1172"/>
      <c r="BGN41" s="1172"/>
      <c r="BGO41" s="1172"/>
      <c r="BGP41" s="1172"/>
      <c r="BGQ41" s="1172"/>
      <c r="BGR41" s="1172"/>
      <c r="BGS41" s="1172"/>
      <c r="BGT41" s="1172"/>
      <c r="BGU41" s="1172"/>
      <c r="BGV41" s="1172"/>
      <c r="BGW41" s="1172"/>
      <c r="BGX41" s="1172"/>
      <c r="BGY41" s="1172"/>
      <c r="BGZ41" s="1172"/>
      <c r="BHA41" s="1172"/>
      <c r="BHB41" s="1172"/>
      <c r="BHC41" s="1172"/>
      <c r="BHD41" s="1172"/>
      <c r="BHE41" s="1172"/>
      <c r="BHF41" s="1172"/>
      <c r="BHG41" s="1172"/>
      <c r="BHH41" s="1172"/>
      <c r="BHI41" s="1172"/>
      <c r="BHJ41" s="1172"/>
      <c r="BHK41" s="1172"/>
      <c r="BHL41" s="1172"/>
      <c r="BHM41" s="1172"/>
      <c r="BHN41" s="1172"/>
      <c r="BHO41" s="1172"/>
      <c r="BHP41" s="1172"/>
      <c r="BHQ41" s="1172"/>
      <c r="BHR41" s="1172"/>
      <c r="BHS41" s="1172"/>
      <c r="BHT41" s="1172"/>
      <c r="BHU41" s="1172"/>
      <c r="BHV41" s="1172"/>
      <c r="BHW41" s="1172"/>
      <c r="BHX41" s="1172"/>
      <c r="BHY41" s="1172"/>
      <c r="BHZ41" s="1172"/>
      <c r="BIA41" s="1172"/>
      <c r="BIB41" s="1172"/>
      <c r="BIC41" s="1172"/>
      <c r="BID41" s="1172"/>
      <c r="BIE41" s="1172"/>
      <c r="BIF41" s="1172"/>
      <c r="BIG41" s="1172"/>
      <c r="BIH41" s="1172"/>
      <c r="BII41" s="1172"/>
      <c r="BIJ41" s="1172"/>
      <c r="BIK41" s="1172"/>
      <c r="BIL41" s="1172"/>
      <c r="BIM41" s="1172"/>
      <c r="BIN41" s="1172"/>
      <c r="BIO41" s="1172"/>
      <c r="BIP41" s="1172"/>
      <c r="BIQ41" s="1172"/>
      <c r="BIR41" s="1172"/>
      <c r="BIS41" s="1172"/>
      <c r="BIT41" s="1172"/>
      <c r="BIU41" s="1172"/>
      <c r="BIV41" s="1172"/>
      <c r="BIW41" s="1172"/>
      <c r="BIX41" s="1172"/>
      <c r="BIY41" s="1172"/>
      <c r="BIZ41" s="1172"/>
      <c r="BJA41" s="1172"/>
      <c r="BJB41" s="1172"/>
      <c r="BJC41" s="1172"/>
      <c r="BJD41" s="1172"/>
      <c r="BJE41" s="1172"/>
      <c r="BJF41" s="1172"/>
      <c r="BJG41" s="1172"/>
      <c r="BJH41" s="1172"/>
      <c r="BJI41" s="1172"/>
      <c r="BJJ41" s="1172"/>
      <c r="BJK41" s="1172"/>
      <c r="BJL41" s="1172"/>
      <c r="BJM41" s="1172"/>
      <c r="BJN41" s="1172"/>
      <c r="BJO41" s="1172"/>
      <c r="BJP41" s="1172"/>
      <c r="BJQ41" s="1172"/>
      <c r="BJR41" s="1172"/>
      <c r="BJS41" s="1172"/>
      <c r="BJT41" s="1172"/>
      <c r="BJU41" s="1172"/>
      <c r="BJV41" s="1172"/>
      <c r="BJW41" s="1172"/>
      <c r="BJX41" s="1172"/>
      <c r="BJY41" s="1172"/>
      <c r="BJZ41" s="1172"/>
      <c r="BKA41" s="1172"/>
      <c r="BKB41" s="1172"/>
      <c r="BKC41" s="1172"/>
      <c r="BKD41" s="1172"/>
      <c r="BKE41" s="1172"/>
      <c r="BKF41" s="1172"/>
      <c r="BKG41" s="1172"/>
      <c r="BKH41" s="1172"/>
      <c r="BKI41" s="1172"/>
      <c r="BKJ41" s="1172"/>
      <c r="BKK41" s="1172"/>
      <c r="BKL41" s="1172"/>
      <c r="BKM41" s="1172"/>
      <c r="BKN41" s="1172"/>
      <c r="BKO41" s="1172"/>
      <c r="BKP41" s="1172"/>
      <c r="BKQ41" s="1172"/>
      <c r="BKR41" s="1172"/>
      <c r="BKS41" s="1172"/>
      <c r="BKT41" s="1172"/>
      <c r="BKU41" s="1172"/>
      <c r="BKV41" s="1172"/>
      <c r="BKW41" s="1172"/>
      <c r="BKX41" s="1172"/>
      <c r="BKY41" s="1172"/>
      <c r="BKZ41" s="1172"/>
      <c r="BLA41" s="1172"/>
      <c r="BLB41" s="1172"/>
      <c r="BLC41" s="1172"/>
      <c r="BLD41" s="1172"/>
      <c r="BLE41" s="1172"/>
      <c r="BLF41" s="1172"/>
      <c r="BLG41" s="1172"/>
      <c r="BLH41" s="1172"/>
      <c r="BLI41" s="1172"/>
      <c r="BLJ41" s="1172"/>
      <c r="BLK41" s="1172"/>
      <c r="BLL41" s="1172"/>
      <c r="BLM41" s="1172"/>
      <c r="BLN41" s="1172"/>
      <c r="BLO41" s="1172"/>
      <c r="BLP41" s="1172"/>
      <c r="BLQ41" s="1172"/>
      <c r="BLR41" s="1172"/>
      <c r="BLS41" s="1172"/>
      <c r="BLT41" s="1172"/>
      <c r="BLU41" s="1172"/>
      <c r="BLV41" s="1172"/>
      <c r="BLW41" s="1172"/>
      <c r="BLX41" s="1172"/>
      <c r="BLY41" s="1172"/>
      <c r="BLZ41" s="1172"/>
      <c r="BMA41" s="1172"/>
      <c r="BMB41" s="1172"/>
      <c r="BMC41" s="1172"/>
      <c r="BMD41" s="1172"/>
      <c r="BME41" s="1172"/>
      <c r="BMF41" s="1172"/>
      <c r="BMG41" s="1172"/>
      <c r="BMH41" s="1172"/>
      <c r="BMI41" s="1172"/>
      <c r="BMJ41" s="1172"/>
      <c r="BMK41" s="1172"/>
      <c r="BML41" s="1172"/>
      <c r="BMM41" s="1172"/>
      <c r="BMN41" s="1172"/>
      <c r="BMO41" s="1172"/>
      <c r="BMP41" s="1172"/>
      <c r="BMQ41" s="1172"/>
      <c r="BMR41" s="1172"/>
      <c r="BMS41" s="1172"/>
      <c r="BMT41" s="1172"/>
      <c r="BMU41" s="1172"/>
      <c r="BMV41" s="1172"/>
      <c r="BMW41" s="1172"/>
      <c r="BMX41" s="1172"/>
      <c r="BMY41" s="1172"/>
      <c r="BMZ41" s="1172"/>
      <c r="BNA41" s="1172"/>
      <c r="BNB41" s="1172"/>
      <c r="BNC41" s="1172"/>
      <c r="BND41" s="1172"/>
      <c r="BNE41" s="1172"/>
      <c r="BNF41" s="1172"/>
      <c r="BNG41" s="1172"/>
      <c r="BNH41" s="1172"/>
      <c r="BNI41" s="1172"/>
      <c r="BNJ41" s="1172"/>
      <c r="BNK41" s="1172"/>
      <c r="BNL41" s="1172"/>
      <c r="BNM41" s="1172"/>
      <c r="BNN41" s="1172"/>
      <c r="BNO41" s="1172"/>
      <c r="BNP41" s="1172"/>
      <c r="BNQ41" s="1172"/>
      <c r="BNR41" s="1172"/>
      <c r="BNS41" s="1172"/>
      <c r="BNT41" s="1172"/>
      <c r="BNU41" s="1172"/>
      <c r="BNV41" s="1172"/>
      <c r="BNW41" s="1172"/>
      <c r="BNX41" s="1172"/>
      <c r="BNY41" s="1172"/>
      <c r="BNZ41" s="1172"/>
      <c r="BOA41" s="1172"/>
      <c r="BOB41" s="1172"/>
      <c r="BOC41" s="1172"/>
      <c r="BOD41" s="1172"/>
      <c r="BOE41" s="1172"/>
      <c r="BOF41" s="1172"/>
      <c r="BOG41" s="1172"/>
      <c r="BOH41" s="1172"/>
      <c r="BOI41" s="1172"/>
      <c r="BOJ41" s="1172"/>
      <c r="BOK41" s="1172"/>
      <c r="BOL41" s="1172"/>
      <c r="BOM41" s="1172"/>
      <c r="BON41" s="1172"/>
      <c r="BOO41" s="1172"/>
      <c r="BOP41" s="1172"/>
      <c r="BOQ41" s="1172"/>
      <c r="BOR41" s="1172"/>
      <c r="BOS41" s="1172"/>
      <c r="BOT41" s="1172"/>
      <c r="BOU41" s="1172"/>
      <c r="BOV41" s="1172"/>
      <c r="BOW41" s="1172"/>
      <c r="BOX41" s="1172"/>
      <c r="BOY41" s="1172"/>
      <c r="BOZ41" s="1172"/>
      <c r="BPA41" s="1172"/>
      <c r="BPB41" s="1172"/>
      <c r="BPC41" s="1172"/>
      <c r="BPD41" s="1172"/>
      <c r="BPE41" s="1172"/>
      <c r="BPF41" s="1172"/>
      <c r="BPG41" s="1172"/>
      <c r="BPH41" s="1172"/>
      <c r="BPI41" s="1172"/>
      <c r="BPJ41" s="1172"/>
      <c r="BPK41" s="1172"/>
      <c r="BPL41" s="1172"/>
      <c r="BPM41" s="1172"/>
      <c r="BPN41" s="1172"/>
      <c r="BPO41" s="1172"/>
      <c r="BPP41" s="1172"/>
      <c r="BPQ41" s="1172"/>
      <c r="BPR41" s="1172"/>
      <c r="BPS41" s="1172"/>
      <c r="BPT41" s="1172"/>
      <c r="BPU41" s="1172"/>
      <c r="BPV41" s="1172"/>
      <c r="BPW41" s="1172"/>
      <c r="BPX41" s="1172"/>
      <c r="BPY41" s="1172"/>
      <c r="BPZ41" s="1172"/>
      <c r="BQA41" s="1172"/>
      <c r="BQB41" s="1172"/>
      <c r="BQC41" s="1172"/>
      <c r="BQD41" s="1172"/>
      <c r="BQE41" s="1172"/>
      <c r="BQF41" s="1172"/>
      <c r="BQG41" s="1172"/>
      <c r="BQH41" s="1172"/>
      <c r="BQI41" s="1172"/>
      <c r="BQJ41" s="1172"/>
      <c r="BQK41" s="1172"/>
      <c r="BQL41" s="1172"/>
      <c r="BQM41" s="1172"/>
      <c r="BQN41" s="1172"/>
      <c r="BQO41" s="1172"/>
      <c r="BQP41" s="1172"/>
      <c r="BQQ41" s="1172"/>
      <c r="BQR41" s="1172"/>
      <c r="BQS41" s="1172"/>
      <c r="BQT41" s="1172"/>
      <c r="BQU41" s="1172"/>
      <c r="BQV41" s="1172"/>
      <c r="BQW41" s="1172"/>
      <c r="BQX41" s="1172"/>
      <c r="BQY41" s="1172"/>
      <c r="BQZ41" s="1172"/>
      <c r="BRA41" s="1172"/>
      <c r="BRB41" s="1172"/>
      <c r="BRC41" s="1172"/>
      <c r="BRD41" s="1172"/>
      <c r="BRE41" s="1172"/>
      <c r="BRF41" s="1172"/>
      <c r="BRG41" s="1172"/>
      <c r="BRH41" s="1172"/>
      <c r="BRI41" s="1172"/>
      <c r="BRJ41" s="1172"/>
      <c r="BRK41" s="1172"/>
      <c r="BRL41" s="1172"/>
      <c r="BRM41" s="1172"/>
      <c r="BRN41" s="1172"/>
      <c r="BRO41" s="1172"/>
      <c r="BRP41" s="1172"/>
      <c r="BRQ41" s="1172"/>
      <c r="BRR41" s="1172"/>
      <c r="BRS41" s="1172"/>
      <c r="BRT41" s="1172"/>
      <c r="BRU41" s="1172"/>
      <c r="BRV41" s="1172"/>
      <c r="BRW41" s="1172"/>
      <c r="BRX41" s="1172"/>
      <c r="BRY41" s="1172"/>
      <c r="BRZ41" s="1172"/>
      <c r="BSA41" s="1172"/>
      <c r="BSB41" s="1172"/>
      <c r="BSC41" s="1172"/>
      <c r="BSD41" s="1172"/>
      <c r="BSE41" s="1172"/>
      <c r="BSF41" s="1172"/>
      <c r="BSG41" s="1172"/>
      <c r="BSH41" s="1172"/>
      <c r="BSI41" s="1172"/>
      <c r="BSJ41" s="1172"/>
      <c r="BSK41" s="1172"/>
      <c r="BSL41" s="1172"/>
      <c r="BSM41" s="1172"/>
      <c r="BSN41" s="1172"/>
      <c r="BSO41" s="1172"/>
      <c r="BSP41" s="1172"/>
      <c r="BSQ41" s="1172"/>
      <c r="BSR41" s="1172"/>
      <c r="BSS41" s="1172"/>
      <c r="BST41" s="1172"/>
      <c r="BSU41" s="1172"/>
      <c r="BSV41" s="1172"/>
      <c r="BSW41" s="1172"/>
      <c r="BSX41" s="1172"/>
      <c r="BSY41" s="1172"/>
      <c r="BSZ41" s="1172"/>
      <c r="BTA41" s="1172"/>
      <c r="BTB41" s="1172"/>
      <c r="BTC41" s="1172"/>
      <c r="BTD41" s="1172"/>
      <c r="BTE41" s="1172"/>
      <c r="BTF41" s="1172"/>
      <c r="BTG41" s="1172"/>
      <c r="BTH41" s="1172"/>
      <c r="BTI41" s="1172"/>
      <c r="BTJ41" s="1172"/>
      <c r="BTK41" s="1172"/>
      <c r="BTL41" s="1172"/>
      <c r="BTM41" s="1172"/>
      <c r="BTN41" s="1172"/>
      <c r="BTO41" s="1172"/>
      <c r="BTP41" s="1172"/>
      <c r="BTQ41" s="1172"/>
      <c r="BTR41" s="1172"/>
      <c r="BTS41" s="1172"/>
      <c r="BTT41" s="1172"/>
      <c r="BTU41" s="1172"/>
      <c r="BTV41" s="1172"/>
      <c r="BTW41" s="1172"/>
      <c r="BTX41" s="1172"/>
      <c r="BTY41" s="1172"/>
      <c r="BTZ41" s="1172"/>
      <c r="BUA41" s="1172"/>
      <c r="BUB41" s="1172"/>
      <c r="BUC41" s="1172"/>
      <c r="BUD41" s="1172"/>
      <c r="BUE41" s="1172"/>
      <c r="BUF41" s="1172"/>
      <c r="BUG41" s="1172"/>
      <c r="BUH41" s="1172"/>
      <c r="BUI41" s="1172"/>
      <c r="BUJ41" s="1172"/>
      <c r="BUK41" s="1172"/>
      <c r="BUL41" s="1172"/>
      <c r="BUM41" s="1172"/>
      <c r="BUN41" s="1172"/>
      <c r="BUO41" s="1172"/>
      <c r="BUP41" s="1172"/>
      <c r="BUQ41" s="1172"/>
      <c r="BUR41" s="1172"/>
      <c r="BUS41" s="1172"/>
      <c r="BUT41" s="1172"/>
      <c r="BUU41" s="1172"/>
      <c r="BUV41" s="1172"/>
      <c r="BUW41" s="1172"/>
      <c r="BUX41" s="1172"/>
      <c r="BUY41" s="1172"/>
      <c r="BUZ41" s="1172"/>
      <c r="BVA41" s="1172"/>
      <c r="BVB41" s="1172"/>
      <c r="BVC41" s="1172"/>
      <c r="BVD41" s="1172"/>
      <c r="BVE41" s="1172"/>
      <c r="BVF41" s="1172"/>
      <c r="BVG41" s="1172"/>
      <c r="BVH41" s="1172"/>
      <c r="BVI41" s="1172"/>
      <c r="BVJ41" s="1172"/>
      <c r="BVK41" s="1172"/>
      <c r="BVL41" s="1172"/>
      <c r="BVM41" s="1172"/>
      <c r="BVN41" s="1172"/>
      <c r="BVO41" s="1172"/>
      <c r="BVP41" s="1172"/>
      <c r="BVQ41" s="1172"/>
      <c r="BVR41" s="1172"/>
      <c r="BVS41" s="1172"/>
      <c r="BVT41" s="1172"/>
      <c r="BVU41" s="1172"/>
      <c r="BVV41" s="1172"/>
      <c r="BVW41" s="1172"/>
      <c r="BVX41" s="1172"/>
      <c r="BVY41" s="1172"/>
      <c r="BVZ41" s="1172"/>
      <c r="BWA41" s="1172"/>
      <c r="BWB41" s="1172"/>
      <c r="BWC41" s="1172"/>
      <c r="BWD41" s="1172"/>
      <c r="BWE41" s="1172"/>
      <c r="BWF41" s="1172"/>
      <c r="BWG41" s="1172"/>
      <c r="BWH41" s="1172"/>
      <c r="BWI41" s="1172"/>
      <c r="BWJ41" s="1172"/>
      <c r="BWK41" s="1172"/>
      <c r="BWL41" s="1172"/>
      <c r="BWM41" s="1172"/>
      <c r="BWN41" s="1172"/>
      <c r="BWO41" s="1172"/>
      <c r="BWP41" s="1172"/>
      <c r="BWQ41" s="1172"/>
      <c r="BWR41" s="1172"/>
      <c r="BWS41" s="1172"/>
      <c r="BWT41" s="1172"/>
      <c r="BWU41" s="1172"/>
      <c r="BWV41" s="1172"/>
      <c r="BWW41" s="1172"/>
      <c r="BWX41" s="1172"/>
      <c r="BWY41" s="1172"/>
      <c r="BWZ41" s="1172"/>
      <c r="BXA41" s="1172"/>
      <c r="BXB41" s="1172"/>
      <c r="BXC41" s="1172"/>
      <c r="BXD41" s="1172"/>
      <c r="BXE41" s="1172"/>
      <c r="BXF41" s="1172"/>
      <c r="BXG41" s="1172"/>
      <c r="BXH41" s="1172"/>
      <c r="BXI41" s="1172"/>
      <c r="BXJ41" s="1172"/>
      <c r="BXK41" s="1172"/>
      <c r="BXL41" s="1172"/>
      <c r="BXM41" s="1172"/>
      <c r="BXN41" s="1172"/>
      <c r="BXO41" s="1172"/>
      <c r="BXP41" s="1172"/>
      <c r="BXQ41" s="1172"/>
      <c r="BXR41" s="1172"/>
      <c r="BXS41" s="1172"/>
      <c r="BXT41" s="1172"/>
      <c r="BXU41" s="1172"/>
      <c r="BXV41" s="1172"/>
      <c r="BXW41" s="1172"/>
      <c r="BXX41" s="1172"/>
      <c r="BXY41" s="1172"/>
      <c r="BXZ41" s="1172"/>
      <c r="BYA41" s="1172"/>
      <c r="BYB41" s="1172"/>
      <c r="BYC41" s="1172"/>
      <c r="BYD41" s="1172"/>
      <c r="BYE41" s="1172"/>
      <c r="BYF41" s="1172"/>
      <c r="BYG41" s="1172"/>
      <c r="BYH41" s="1172"/>
      <c r="BYI41" s="1172"/>
      <c r="BYJ41" s="1172"/>
      <c r="BYK41" s="1172"/>
      <c r="BYL41" s="1172"/>
      <c r="BYM41" s="1172"/>
      <c r="BYN41" s="1172"/>
      <c r="BYO41" s="1172"/>
      <c r="BYP41" s="1172"/>
      <c r="BYQ41" s="1172"/>
      <c r="BYR41" s="1172"/>
      <c r="BYS41" s="1172"/>
      <c r="BYT41" s="1172"/>
      <c r="BYU41" s="1172"/>
      <c r="BYV41" s="1172"/>
      <c r="BYW41" s="1172"/>
      <c r="BYX41" s="1172"/>
      <c r="BYY41" s="1172"/>
      <c r="BYZ41" s="1172"/>
      <c r="BZA41" s="1172"/>
      <c r="BZB41" s="1172"/>
      <c r="BZC41" s="1172"/>
      <c r="BZD41" s="1172"/>
      <c r="BZE41" s="1172"/>
      <c r="BZF41" s="1172"/>
      <c r="BZG41" s="1172"/>
      <c r="BZH41" s="1172"/>
      <c r="BZI41" s="1172"/>
      <c r="BZJ41" s="1172"/>
      <c r="BZK41" s="1172"/>
      <c r="BZL41" s="1172"/>
      <c r="BZM41" s="1172"/>
      <c r="BZN41" s="1172"/>
      <c r="BZO41" s="1172"/>
      <c r="BZP41" s="1172"/>
      <c r="BZQ41" s="1172"/>
      <c r="BZR41" s="1172"/>
      <c r="BZS41" s="1172"/>
      <c r="BZT41" s="1172"/>
      <c r="BZU41" s="1172"/>
      <c r="BZV41" s="1172"/>
      <c r="BZW41" s="1172"/>
      <c r="BZX41" s="1172"/>
      <c r="BZY41" s="1172"/>
      <c r="BZZ41" s="1172"/>
      <c r="CAA41" s="1172"/>
      <c r="CAB41" s="1172"/>
      <c r="CAC41" s="1172"/>
      <c r="CAD41" s="1172"/>
      <c r="CAE41" s="1172"/>
      <c r="CAF41" s="1172"/>
      <c r="CAG41" s="1172"/>
      <c r="CAH41" s="1172"/>
      <c r="CAI41" s="1172"/>
      <c r="CAJ41" s="1172"/>
      <c r="CAK41" s="1172"/>
      <c r="CAL41" s="1172"/>
      <c r="CAM41" s="1172"/>
      <c r="CAN41" s="1172"/>
      <c r="CAO41" s="1172"/>
      <c r="CAP41" s="1172"/>
      <c r="CAQ41" s="1172"/>
      <c r="CAR41" s="1172"/>
      <c r="CAS41" s="1172"/>
      <c r="CAT41" s="1172"/>
      <c r="CAU41" s="1172"/>
      <c r="CAV41" s="1172"/>
      <c r="CAW41" s="1172"/>
      <c r="CAX41" s="1172"/>
      <c r="CAY41" s="1172"/>
      <c r="CAZ41" s="1172"/>
      <c r="CBA41" s="1172"/>
      <c r="CBB41" s="1172"/>
      <c r="CBC41" s="1172"/>
      <c r="CBD41" s="1172"/>
      <c r="CBE41" s="1172"/>
      <c r="CBF41" s="1172"/>
      <c r="CBG41" s="1172"/>
      <c r="CBH41" s="1172"/>
      <c r="CBI41" s="1172"/>
      <c r="CBJ41" s="1172"/>
      <c r="CBK41" s="1172"/>
      <c r="CBL41" s="1172"/>
      <c r="CBM41" s="1172"/>
      <c r="CBN41" s="1172"/>
      <c r="CBO41" s="1172"/>
      <c r="CBP41" s="1172"/>
      <c r="CBQ41" s="1172"/>
      <c r="CBR41" s="1172"/>
      <c r="CBS41" s="1172"/>
      <c r="CBT41" s="1172"/>
      <c r="CBU41" s="1172"/>
      <c r="CBV41" s="1172"/>
      <c r="CBW41" s="1172"/>
      <c r="CBX41" s="1172"/>
      <c r="CBY41" s="1172"/>
      <c r="CBZ41" s="1172"/>
      <c r="CCA41" s="1172"/>
      <c r="CCB41" s="1172"/>
      <c r="CCC41" s="1172"/>
      <c r="CCD41" s="1172"/>
      <c r="CCE41" s="1172"/>
      <c r="CCF41" s="1172"/>
      <c r="CCG41" s="1172"/>
      <c r="CCH41" s="1172"/>
      <c r="CCI41" s="1172"/>
      <c r="CCJ41" s="1172"/>
      <c r="CCK41" s="1172"/>
      <c r="CCL41" s="1172"/>
      <c r="CCM41" s="1172"/>
      <c r="CCN41" s="1172"/>
      <c r="CCO41" s="1172"/>
      <c r="CCP41" s="1172"/>
      <c r="CCQ41" s="1172"/>
      <c r="CCR41" s="1172"/>
      <c r="CCS41" s="1172"/>
      <c r="CCT41" s="1172"/>
      <c r="CCU41" s="1172"/>
      <c r="CCV41" s="1172"/>
      <c r="CCW41" s="1172"/>
      <c r="CCX41" s="1172"/>
      <c r="CCY41" s="1172"/>
      <c r="CCZ41" s="1172"/>
      <c r="CDA41" s="1172"/>
      <c r="CDB41" s="1172"/>
      <c r="CDC41" s="1172"/>
      <c r="CDD41" s="1172"/>
      <c r="CDE41" s="1172"/>
      <c r="CDF41" s="1172"/>
      <c r="CDG41" s="1172"/>
      <c r="CDH41" s="1172"/>
      <c r="CDI41" s="1172"/>
      <c r="CDJ41" s="1172"/>
      <c r="CDK41" s="1172"/>
      <c r="CDL41" s="1172"/>
      <c r="CDM41" s="1172"/>
      <c r="CDN41" s="1172"/>
      <c r="CDO41" s="1172"/>
      <c r="CDP41" s="1172"/>
      <c r="CDQ41" s="1172"/>
      <c r="CDR41" s="1172"/>
      <c r="CDS41" s="1172"/>
      <c r="CDT41" s="1172"/>
      <c r="CDU41" s="1172"/>
      <c r="CDV41" s="1172"/>
      <c r="CDW41" s="1172"/>
      <c r="CDX41" s="1172"/>
      <c r="CDY41" s="1172"/>
      <c r="CDZ41" s="1172"/>
      <c r="CEA41" s="1172"/>
      <c r="CEB41" s="1172"/>
      <c r="CEC41" s="1172"/>
      <c r="CED41" s="1172"/>
      <c r="CEE41" s="1172"/>
      <c r="CEF41" s="1172"/>
      <c r="CEG41" s="1172"/>
      <c r="CEH41" s="1172"/>
      <c r="CEI41" s="1172"/>
      <c r="CEJ41" s="1172"/>
      <c r="CEK41" s="1172"/>
      <c r="CEL41" s="1172"/>
      <c r="CEM41" s="1172"/>
      <c r="CEN41" s="1172"/>
      <c r="CEO41" s="1172"/>
      <c r="CEP41" s="1172"/>
      <c r="CEQ41" s="1172"/>
      <c r="CER41" s="1172"/>
      <c r="CES41" s="1172"/>
      <c r="CET41" s="1172"/>
      <c r="CEU41" s="1172"/>
      <c r="CEV41" s="1172"/>
      <c r="CEW41" s="1172"/>
      <c r="CEX41" s="1172"/>
      <c r="CEY41" s="1172"/>
      <c r="CEZ41" s="1172"/>
      <c r="CFA41" s="1172"/>
      <c r="CFB41" s="1172"/>
      <c r="CFC41" s="1172"/>
      <c r="CFD41" s="1172"/>
      <c r="CFE41" s="1172"/>
      <c r="CFF41" s="1172"/>
      <c r="CFG41" s="1172"/>
      <c r="CFH41" s="1172"/>
      <c r="CFI41" s="1172"/>
      <c r="CFJ41" s="1172"/>
      <c r="CFK41" s="1172"/>
      <c r="CFL41" s="1172"/>
      <c r="CFM41" s="1172"/>
      <c r="CFN41" s="1172"/>
      <c r="CFO41" s="1172"/>
      <c r="CFP41" s="1172"/>
      <c r="CFQ41" s="1172"/>
      <c r="CFR41" s="1172"/>
      <c r="CFS41" s="1172"/>
      <c r="CFT41" s="1172"/>
      <c r="CFU41" s="1172"/>
      <c r="CFV41" s="1172"/>
      <c r="CFW41" s="1172"/>
      <c r="CFX41" s="1172"/>
      <c r="CFY41" s="1172"/>
      <c r="CFZ41" s="1172"/>
      <c r="CGA41" s="1172"/>
      <c r="CGB41" s="1172"/>
      <c r="CGC41" s="1172"/>
      <c r="CGD41" s="1172"/>
      <c r="CGE41" s="1172"/>
      <c r="CGF41" s="1172"/>
      <c r="CGG41" s="1172"/>
      <c r="CGH41" s="1172"/>
      <c r="CGI41" s="1172"/>
      <c r="CGJ41" s="1172"/>
      <c r="CGK41" s="1172"/>
      <c r="CGL41" s="1172"/>
      <c r="CGM41" s="1172"/>
      <c r="CGN41" s="1172"/>
      <c r="CGO41" s="1172"/>
      <c r="CGP41" s="1172"/>
      <c r="CGQ41" s="1172"/>
      <c r="CGR41" s="1172"/>
      <c r="CGS41" s="1172"/>
      <c r="CGT41" s="1172"/>
      <c r="CGU41" s="1172"/>
      <c r="CGV41" s="1172"/>
      <c r="CGW41" s="1172"/>
      <c r="CGX41" s="1172"/>
      <c r="CGY41" s="1172"/>
      <c r="CGZ41" s="1172"/>
      <c r="CHA41" s="1172"/>
      <c r="CHB41" s="1172"/>
      <c r="CHC41" s="1172"/>
      <c r="CHD41" s="1172"/>
      <c r="CHE41" s="1172"/>
      <c r="CHF41" s="1172"/>
      <c r="CHG41" s="1172"/>
      <c r="CHH41" s="1172"/>
      <c r="CHI41" s="1172"/>
      <c r="CHJ41" s="1172"/>
      <c r="CHK41" s="1172"/>
      <c r="CHL41" s="1172"/>
      <c r="CHM41" s="1172"/>
      <c r="CHN41" s="1172"/>
      <c r="CHO41" s="1172"/>
      <c r="CHP41" s="1172"/>
      <c r="CHQ41" s="1172"/>
      <c r="CHR41" s="1172"/>
      <c r="CHS41" s="1172"/>
      <c r="CHT41" s="1172"/>
      <c r="CHU41" s="1172"/>
      <c r="CHV41" s="1172"/>
      <c r="CHW41" s="1172"/>
      <c r="CHX41" s="1172"/>
      <c r="CHY41" s="1172"/>
      <c r="CHZ41" s="1172"/>
      <c r="CIA41" s="1172"/>
      <c r="CIB41" s="1172"/>
      <c r="CIC41" s="1172"/>
      <c r="CID41" s="1172"/>
      <c r="CIE41" s="1172"/>
      <c r="CIF41" s="1172"/>
      <c r="CIG41" s="1172"/>
      <c r="CIH41" s="1172"/>
      <c r="CII41" s="1172"/>
      <c r="CIJ41" s="1172"/>
      <c r="CIK41" s="1172"/>
      <c r="CIL41" s="1172"/>
      <c r="CIM41" s="1172"/>
      <c r="CIN41" s="1172"/>
      <c r="CIO41" s="1172"/>
      <c r="CIP41" s="1172"/>
      <c r="CIQ41" s="1172"/>
      <c r="CIR41" s="1172"/>
      <c r="CIS41" s="1172"/>
      <c r="CIT41" s="1172"/>
      <c r="CIU41" s="1172"/>
      <c r="CIV41" s="1172"/>
      <c r="CIW41" s="1172"/>
      <c r="CIX41" s="1172"/>
      <c r="CIY41" s="1172"/>
      <c r="CIZ41" s="1172"/>
      <c r="CJA41" s="1172"/>
      <c r="CJB41" s="1172"/>
      <c r="CJC41" s="1172"/>
      <c r="CJD41" s="1172"/>
      <c r="CJE41" s="1172"/>
      <c r="CJF41" s="1172"/>
      <c r="CJG41" s="1172"/>
      <c r="CJH41" s="1172"/>
      <c r="CJI41" s="1172"/>
      <c r="CJJ41" s="1172"/>
      <c r="CJK41" s="1172"/>
      <c r="CJL41" s="1172"/>
      <c r="CJM41" s="1172"/>
      <c r="CJN41" s="1172"/>
      <c r="CJO41" s="1172"/>
      <c r="CJP41" s="1172"/>
      <c r="CJQ41" s="1172"/>
      <c r="CJR41" s="1172"/>
      <c r="CJS41" s="1172"/>
      <c r="CJT41" s="1172"/>
      <c r="CJU41" s="1172"/>
      <c r="CJV41" s="1172"/>
      <c r="CJW41" s="1172"/>
      <c r="CJX41" s="1172"/>
      <c r="CJY41" s="1172"/>
      <c r="CJZ41" s="1172"/>
      <c r="CKA41" s="1172"/>
      <c r="CKB41" s="1172"/>
      <c r="CKC41" s="1172"/>
      <c r="CKD41" s="1172"/>
      <c r="CKE41" s="1172"/>
      <c r="CKF41" s="1172"/>
      <c r="CKG41" s="1172"/>
      <c r="CKH41" s="1172"/>
      <c r="CKI41" s="1172"/>
      <c r="CKJ41" s="1172"/>
      <c r="CKK41" s="1172"/>
      <c r="CKL41" s="1172"/>
      <c r="CKM41" s="1172"/>
      <c r="CKN41" s="1172"/>
      <c r="CKO41" s="1172"/>
      <c r="CKP41" s="1172"/>
      <c r="CKQ41" s="1172"/>
      <c r="CKR41" s="1172"/>
      <c r="CKS41" s="1172"/>
      <c r="CKT41" s="1172"/>
      <c r="CKU41" s="1172"/>
      <c r="CKV41" s="1172"/>
      <c r="CKW41" s="1172"/>
      <c r="CKX41" s="1172"/>
      <c r="CKY41" s="1172"/>
      <c r="CKZ41" s="1172"/>
      <c r="CLA41" s="1172"/>
      <c r="CLB41" s="1172"/>
      <c r="CLC41" s="1172"/>
      <c r="CLD41" s="1172"/>
      <c r="CLE41" s="1172"/>
      <c r="CLF41" s="1172"/>
      <c r="CLG41" s="1172"/>
      <c r="CLH41" s="1172"/>
      <c r="CLI41" s="1172"/>
      <c r="CLJ41" s="1172"/>
      <c r="CLK41" s="1172"/>
      <c r="CLL41" s="1172"/>
      <c r="CLM41" s="1172"/>
      <c r="CLN41" s="1172"/>
      <c r="CLO41" s="1172"/>
      <c r="CLP41" s="1172"/>
      <c r="CLQ41" s="1172"/>
      <c r="CLR41" s="1172"/>
      <c r="CLS41" s="1172"/>
      <c r="CLT41" s="1172"/>
      <c r="CLU41" s="1172"/>
      <c r="CLV41" s="1172"/>
      <c r="CLW41" s="1172"/>
      <c r="CLX41" s="1172"/>
      <c r="CLY41" s="1172"/>
      <c r="CLZ41" s="1172"/>
      <c r="CMA41" s="1172"/>
      <c r="CMB41" s="1172"/>
      <c r="CMC41" s="1172"/>
      <c r="CMD41" s="1172"/>
      <c r="CME41" s="1172"/>
      <c r="CMF41" s="1172"/>
      <c r="CMG41" s="1172"/>
      <c r="CMH41" s="1172"/>
      <c r="CMI41" s="1172"/>
      <c r="CMJ41" s="1172"/>
      <c r="CMK41" s="1172"/>
      <c r="CML41" s="1172"/>
      <c r="CMM41" s="1172"/>
      <c r="CMN41" s="1172"/>
      <c r="CMO41" s="1172"/>
      <c r="CMP41" s="1172"/>
      <c r="CMQ41" s="1172"/>
      <c r="CMR41" s="1172"/>
      <c r="CMS41" s="1172"/>
      <c r="CMT41" s="1172"/>
      <c r="CMU41" s="1172"/>
      <c r="CMV41" s="1172"/>
      <c r="CMW41" s="1172"/>
      <c r="CMX41" s="1172"/>
      <c r="CMY41" s="1172"/>
      <c r="CMZ41" s="1172"/>
      <c r="CNA41" s="1172"/>
      <c r="CNB41" s="1172"/>
      <c r="CNC41" s="1172"/>
      <c r="CND41" s="1172"/>
      <c r="CNE41" s="1172"/>
      <c r="CNF41" s="1172"/>
      <c r="CNG41" s="1172"/>
      <c r="CNH41" s="1172"/>
      <c r="CNI41" s="1172"/>
      <c r="CNJ41" s="1172"/>
      <c r="CNK41" s="1172"/>
      <c r="CNL41" s="1172"/>
      <c r="CNM41" s="1172"/>
      <c r="CNN41" s="1172"/>
      <c r="CNO41" s="1172"/>
      <c r="CNP41" s="1172"/>
      <c r="CNQ41" s="1172"/>
      <c r="CNR41" s="1172"/>
      <c r="CNS41" s="1172"/>
      <c r="CNT41" s="1172"/>
      <c r="CNU41" s="1172"/>
      <c r="CNV41" s="1172"/>
      <c r="CNW41" s="1172"/>
      <c r="CNX41" s="1172"/>
      <c r="CNY41" s="1172"/>
      <c r="CNZ41" s="1172"/>
      <c r="COA41" s="1172"/>
      <c r="COB41" s="1172"/>
      <c r="COC41" s="1172"/>
      <c r="COD41" s="1172"/>
      <c r="COE41" s="1172"/>
      <c r="COF41" s="1172"/>
      <c r="COG41" s="1172"/>
      <c r="COH41" s="1172"/>
      <c r="COI41" s="1172"/>
      <c r="COJ41" s="1172"/>
      <c r="COK41" s="1172"/>
      <c r="COL41" s="1172"/>
      <c r="COM41" s="1172"/>
      <c r="CON41" s="1172"/>
      <c r="COO41" s="1172"/>
      <c r="COP41" s="1172"/>
      <c r="COQ41" s="1172"/>
      <c r="COR41" s="1172"/>
      <c r="COS41" s="1172"/>
      <c r="COT41" s="1172"/>
      <c r="COU41" s="1172"/>
      <c r="COV41" s="1172"/>
      <c r="COW41" s="1172"/>
      <c r="COX41" s="1172"/>
      <c r="COY41" s="1172"/>
      <c r="COZ41" s="1172"/>
      <c r="CPA41" s="1172"/>
      <c r="CPB41" s="1172"/>
      <c r="CPC41" s="1172"/>
      <c r="CPD41" s="1172"/>
      <c r="CPE41" s="1172"/>
      <c r="CPF41" s="1172"/>
      <c r="CPG41" s="1172"/>
      <c r="CPH41" s="1172"/>
      <c r="CPI41" s="1172"/>
      <c r="CPJ41" s="1172"/>
      <c r="CPK41" s="1172"/>
      <c r="CPL41" s="1172"/>
      <c r="CPM41" s="1172"/>
      <c r="CPN41" s="1172"/>
      <c r="CPO41" s="1172"/>
      <c r="CPP41" s="1172"/>
      <c r="CPQ41" s="1172"/>
      <c r="CPR41" s="1172"/>
      <c r="CPS41" s="1172"/>
      <c r="CPT41" s="1172"/>
      <c r="CPU41" s="1172"/>
      <c r="CPV41" s="1172"/>
      <c r="CPW41" s="1172"/>
      <c r="CPX41" s="1172"/>
      <c r="CPY41" s="1172"/>
      <c r="CPZ41" s="1172"/>
      <c r="CQA41" s="1172"/>
      <c r="CQB41" s="1172"/>
      <c r="CQC41" s="1172"/>
      <c r="CQD41" s="1172"/>
      <c r="CQE41" s="1172"/>
      <c r="CQF41" s="1172"/>
      <c r="CQG41" s="1172"/>
      <c r="CQH41" s="1172"/>
      <c r="CQI41" s="1172"/>
      <c r="CQJ41" s="1172"/>
      <c r="CQK41" s="1172"/>
      <c r="CQL41" s="1172"/>
      <c r="CQM41" s="1172"/>
      <c r="CQN41" s="1172"/>
      <c r="CQO41" s="1172"/>
      <c r="CQP41" s="1172"/>
      <c r="CQQ41" s="1172"/>
      <c r="CQR41" s="1172"/>
      <c r="CQS41" s="1172"/>
      <c r="CQT41" s="1172"/>
      <c r="CQU41" s="1172"/>
      <c r="CQV41" s="1172"/>
      <c r="CQW41" s="1172"/>
      <c r="CQX41" s="1172"/>
      <c r="CQY41" s="1172"/>
      <c r="CQZ41" s="1172"/>
      <c r="CRA41" s="1172"/>
      <c r="CRB41" s="1172"/>
      <c r="CRC41" s="1172"/>
      <c r="CRD41" s="1172"/>
      <c r="CRE41" s="1172"/>
      <c r="CRF41" s="1172"/>
      <c r="CRG41" s="1172"/>
      <c r="CRH41" s="1172"/>
      <c r="CRI41" s="1172"/>
      <c r="CRJ41" s="1172"/>
      <c r="CRK41" s="1172"/>
      <c r="CRL41" s="1172"/>
      <c r="CRM41" s="1172"/>
      <c r="CRN41" s="1172"/>
      <c r="CRO41" s="1172"/>
      <c r="CRP41" s="1172"/>
      <c r="CRQ41" s="1172"/>
      <c r="CRR41" s="1172"/>
      <c r="CRS41" s="1172"/>
      <c r="CRT41" s="1172"/>
      <c r="CRU41" s="1172"/>
      <c r="CRV41" s="1172"/>
      <c r="CRW41" s="1172"/>
      <c r="CRX41" s="1172"/>
      <c r="CRY41" s="1172"/>
      <c r="CRZ41" s="1172"/>
      <c r="CSA41" s="1172"/>
      <c r="CSB41" s="1172"/>
      <c r="CSC41" s="1172"/>
      <c r="CSD41" s="1172"/>
      <c r="CSE41" s="1172"/>
      <c r="CSF41" s="1172"/>
      <c r="CSG41" s="1172"/>
      <c r="CSH41" s="1172"/>
      <c r="CSI41" s="1172"/>
      <c r="CSJ41" s="1172"/>
      <c r="CSK41" s="1172"/>
      <c r="CSL41" s="1172"/>
      <c r="CSM41" s="1172"/>
      <c r="CSN41" s="1172"/>
      <c r="CSO41" s="1172"/>
      <c r="CSP41" s="1172"/>
      <c r="CSQ41" s="1172"/>
      <c r="CSR41" s="1172"/>
      <c r="CSS41" s="1172"/>
      <c r="CST41" s="1172"/>
      <c r="CSU41" s="1172"/>
      <c r="CSV41" s="1172"/>
      <c r="CSW41" s="1172"/>
      <c r="CSX41" s="1172"/>
      <c r="CSY41" s="1172"/>
      <c r="CSZ41" s="1172"/>
      <c r="CTA41" s="1172"/>
      <c r="CTB41" s="1172"/>
      <c r="CTC41" s="1172"/>
      <c r="CTD41" s="1172"/>
      <c r="CTE41" s="1172"/>
      <c r="CTF41" s="1172"/>
      <c r="CTG41" s="1172"/>
      <c r="CTH41" s="1172"/>
      <c r="CTI41" s="1172"/>
      <c r="CTJ41" s="1172"/>
      <c r="CTK41" s="1172"/>
      <c r="CTL41" s="1172"/>
      <c r="CTM41" s="1172"/>
      <c r="CTN41" s="1172"/>
      <c r="CTO41" s="1172"/>
      <c r="CTP41" s="1172"/>
      <c r="CTQ41" s="1172"/>
      <c r="CTR41" s="1172"/>
      <c r="CTS41" s="1172"/>
      <c r="CTT41" s="1172"/>
      <c r="CTU41" s="1172"/>
      <c r="CTV41" s="1172"/>
      <c r="CTW41" s="1172"/>
      <c r="CTX41" s="1172"/>
      <c r="CTY41" s="1172"/>
      <c r="CTZ41" s="1172"/>
      <c r="CUA41" s="1172"/>
      <c r="CUB41" s="1172"/>
      <c r="CUC41" s="1172"/>
      <c r="CUD41" s="1172"/>
      <c r="CUE41" s="1172"/>
      <c r="CUF41" s="1172"/>
      <c r="CUG41" s="1172"/>
      <c r="CUH41" s="1172"/>
      <c r="CUI41" s="1172"/>
      <c r="CUJ41" s="1172"/>
      <c r="CUK41" s="1172"/>
      <c r="CUL41" s="1172"/>
      <c r="CUM41" s="1172"/>
      <c r="CUN41" s="1172"/>
      <c r="CUO41" s="1172"/>
      <c r="CUP41" s="1172"/>
      <c r="CUQ41" s="1172"/>
      <c r="CUR41" s="1172"/>
      <c r="CUS41" s="1172"/>
      <c r="CUT41" s="1172"/>
      <c r="CUU41" s="1172"/>
      <c r="CUV41" s="1172"/>
      <c r="CUW41" s="1172"/>
      <c r="CUX41" s="1172"/>
      <c r="CUY41" s="1172"/>
      <c r="CUZ41" s="1172"/>
      <c r="CVA41" s="1172"/>
      <c r="CVB41" s="1172"/>
      <c r="CVC41" s="1172"/>
      <c r="CVD41" s="1172"/>
      <c r="CVE41" s="1172"/>
      <c r="CVF41" s="1172"/>
      <c r="CVG41" s="1172"/>
      <c r="CVH41" s="1172"/>
      <c r="CVI41" s="1172"/>
      <c r="CVJ41" s="1172"/>
      <c r="CVK41" s="1172"/>
      <c r="CVL41" s="1172"/>
      <c r="CVM41" s="1172"/>
      <c r="CVN41" s="1172"/>
      <c r="CVO41" s="1172"/>
      <c r="CVP41" s="1172"/>
      <c r="CVQ41" s="1172"/>
      <c r="CVR41" s="1172"/>
      <c r="CVS41" s="1172"/>
      <c r="CVT41" s="1172"/>
      <c r="CVU41" s="1172"/>
      <c r="CVV41" s="1172"/>
      <c r="CVW41" s="1172"/>
      <c r="CVX41" s="1172"/>
      <c r="CVY41" s="1172"/>
      <c r="CVZ41" s="1172"/>
      <c r="CWA41" s="1172"/>
      <c r="CWB41" s="1172"/>
      <c r="CWC41" s="1172"/>
      <c r="CWD41" s="1172"/>
      <c r="CWE41" s="1172"/>
      <c r="CWF41" s="1172"/>
      <c r="CWG41" s="1172"/>
      <c r="CWH41" s="1172"/>
      <c r="CWI41" s="1172"/>
      <c r="CWJ41" s="1172"/>
      <c r="CWK41" s="1172"/>
      <c r="CWL41" s="1172"/>
      <c r="CWM41" s="1172"/>
      <c r="CWN41" s="1172"/>
      <c r="CWO41" s="1172"/>
      <c r="CWP41" s="1172"/>
      <c r="CWQ41" s="1172"/>
      <c r="CWR41" s="1172"/>
      <c r="CWS41" s="1172"/>
      <c r="CWT41" s="1172"/>
      <c r="CWU41" s="1172"/>
      <c r="CWV41" s="1172"/>
      <c r="CWW41" s="1172"/>
      <c r="CWX41" s="1172"/>
      <c r="CWY41" s="1172"/>
      <c r="CWZ41" s="1172"/>
      <c r="CXA41" s="1172"/>
      <c r="CXB41" s="1172"/>
      <c r="CXC41" s="1172"/>
      <c r="CXD41" s="1172"/>
      <c r="CXE41" s="1172"/>
      <c r="CXF41" s="1172"/>
      <c r="CXG41" s="1172"/>
      <c r="CXH41" s="1172"/>
      <c r="CXI41" s="1172"/>
      <c r="CXJ41" s="1172"/>
      <c r="CXK41" s="1172"/>
      <c r="CXL41" s="1172"/>
      <c r="CXM41" s="1172"/>
      <c r="CXN41" s="1172"/>
      <c r="CXO41" s="1172"/>
      <c r="CXP41" s="1172"/>
      <c r="CXQ41" s="1172"/>
      <c r="CXR41" s="1172"/>
      <c r="CXS41" s="1172"/>
      <c r="CXT41" s="1172"/>
      <c r="CXU41" s="1172"/>
      <c r="CXV41" s="1172"/>
      <c r="CXW41" s="1172"/>
      <c r="CXX41" s="1172"/>
      <c r="CXY41" s="1172"/>
      <c r="CXZ41" s="1172"/>
      <c r="CYA41" s="1172"/>
      <c r="CYB41" s="1172"/>
      <c r="CYC41" s="1172"/>
      <c r="CYD41" s="1172"/>
      <c r="CYE41" s="1172"/>
      <c r="CYF41" s="1172"/>
      <c r="CYG41" s="1172"/>
      <c r="CYH41" s="1172"/>
      <c r="CYI41" s="1172"/>
      <c r="CYJ41" s="1172"/>
      <c r="CYK41" s="1172"/>
      <c r="CYL41" s="1172"/>
      <c r="CYM41" s="1172"/>
      <c r="CYN41" s="1172"/>
      <c r="CYO41" s="1172"/>
      <c r="CYP41" s="1172"/>
      <c r="CYQ41" s="1172"/>
      <c r="CYR41" s="1172"/>
      <c r="CYS41" s="1172"/>
      <c r="CYT41" s="1172"/>
      <c r="CYU41" s="1172"/>
      <c r="CYV41" s="1172"/>
      <c r="CYW41" s="1172"/>
      <c r="CYX41" s="1172"/>
      <c r="CYY41" s="1172"/>
      <c r="CYZ41" s="1172"/>
      <c r="CZA41" s="1172"/>
      <c r="CZB41" s="1172"/>
      <c r="CZC41" s="1172"/>
      <c r="CZD41" s="1172"/>
      <c r="CZE41" s="1172"/>
      <c r="CZF41" s="1172"/>
      <c r="CZG41" s="1172"/>
      <c r="CZH41" s="1172"/>
      <c r="CZI41" s="1172"/>
      <c r="CZJ41" s="1172"/>
      <c r="CZK41" s="1172"/>
      <c r="CZL41" s="1172"/>
      <c r="CZM41" s="1172"/>
      <c r="CZN41" s="1172"/>
      <c r="CZO41" s="1172"/>
      <c r="CZP41" s="1172"/>
      <c r="CZQ41" s="1172"/>
      <c r="CZR41" s="1172"/>
      <c r="CZS41" s="1172"/>
      <c r="CZT41" s="1172"/>
      <c r="CZU41" s="1172"/>
      <c r="CZV41" s="1172"/>
      <c r="CZW41" s="1172"/>
      <c r="CZX41" s="1172"/>
      <c r="CZY41" s="1172"/>
      <c r="CZZ41" s="1172"/>
      <c r="DAA41" s="1172"/>
      <c r="DAB41" s="1172"/>
      <c r="DAC41" s="1172"/>
      <c r="DAD41" s="1172"/>
      <c r="DAE41" s="1172"/>
      <c r="DAF41" s="1172"/>
      <c r="DAG41" s="1172"/>
      <c r="DAH41" s="1172"/>
      <c r="DAI41" s="1172"/>
      <c r="DAJ41" s="1172"/>
      <c r="DAK41" s="1172"/>
      <c r="DAL41" s="1172"/>
      <c r="DAM41" s="1172"/>
      <c r="DAN41" s="1172"/>
      <c r="DAO41" s="1172"/>
      <c r="DAP41" s="1172"/>
      <c r="DAQ41" s="1172"/>
      <c r="DAR41" s="1172"/>
      <c r="DAS41" s="1172"/>
      <c r="DAT41" s="1172"/>
      <c r="DAU41" s="1172"/>
      <c r="DAV41" s="1172"/>
      <c r="DAW41" s="1172"/>
      <c r="DAX41" s="1172"/>
      <c r="DAY41" s="1172"/>
      <c r="DAZ41" s="1172"/>
      <c r="DBA41" s="1172"/>
      <c r="DBB41" s="1172"/>
      <c r="DBC41" s="1172"/>
      <c r="DBD41" s="1172"/>
      <c r="DBE41" s="1172"/>
      <c r="DBF41" s="1172"/>
      <c r="DBG41" s="1172"/>
      <c r="DBH41" s="1172"/>
      <c r="DBI41" s="1172"/>
      <c r="DBJ41" s="1172"/>
      <c r="DBK41" s="1172"/>
      <c r="DBL41" s="1172"/>
      <c r="DBM41" s="1172"/>
      <c r="DBN41" s="1172"/>
      <c r="DBO41" s="1172"/>
      <c r="DBP41" s="1172"/>
      <c r="DBQ41" s="1172"/>
      <c r="DBR41" s="1172"/>
      <c r="DBS41" s="1172"/>
      <c r="DBT41" s="1172"/>
      <c r="DBU41" s="1172"/>
      <c r="DBV41" s="1172"/>
      <c r="DBW41" s="1172"/>
      <c r="DBX41" s="1172"/>
      <c r="DBY41" s="1172"/>
      <c r="DBZ41" s="1172"/>
      <c r="DCA41" s="1172"/>
      <c r="DCB41" s="1172"/>
      <c r="DCC41" s="1172"/>
      <c r="DCD41" s="1172"/>
      <c r="DCE41" s="1172"/>
      <c r="DCF41" s="1172"/>
      <c r="DCG41" s="1172"/>
      <c r="DCH41" s="1172"/>
      <c r="DCI41" s="1172"/>
      <c r="DCJ41" s="1172"/>
      <c r="DCK41" s="1172"/>
      <c r="DCL41" s="1172"/>
      <c r="DCM41" s="1172"/>
      <c r="DCN41" s="1172"/>
      <c r="DCO41" s="1172"/>
      <c r="DCP41" s="1172"/>
      <c r="DCQ41" s="1172"/>
      <c r="DCR41" s="1172"/>
      <c r="DCS41" s="1172"/>
      <c r="DCT41" s="1172"/>
      <c r="DCU41" s="1172"/>
      <c r="DCV41" s="1172"/>
      <c r="DCW41" s="1172"/>
      <c r="DCX41" s="1172"/>
      <c r="DCY41" s="1172"/>
      <c r="DCZ41" s="1172"/>
      <c r="DDA41" s="1172"/>
      <c r="DDB41" s="1172"/>
      <c r="DDC41" s="1172"/>
      <c r="DDD41" s="1172"/>
      <c r="DDE41" s="1172"/>
      <c r="DDF41" s="1172"/>
      <c r="DDG41" s="1172"/>
      <c r="DDH41" s="1172"/>
      <c r="DDI41" s="1172"/>
      <c r="DDJ41" s="1172"/>
      <c r="DDK41" s="1172"/>
      <c r="DDL41" s="1172"/>
      <c r="DDM41" s="1172"/>
      <c r="DDN41" s="1172"/>
      <c r="DDO41" s="1172"/>
      <c r="DDP41" s="1172"/>
      <c r="DDQ41" s="1172"/>
      <c r="DDR41" s="1172"/>
      <c r="DDS41" s="1172"/>
      <c r="DDT41" s="1172"/>
      <c r="DDU41" s="1172"/>
      <c r="DDV41" s="1172"/>
      <c r="DDW41" s="1172"/>
      <c r="DDX41" s="1172"/>
      <c r="DDY41" s="1172"/>
      <c r="DDZ41" s="1172"/>
      <c r="DEA41" s="1172"/>
      <c r="DEB41" s="1172"/>
      <c r="DEC41" s="1172"/>
      <c r="DED41" s="1172"/>
      <c r="DEE41" s="1172"/>
      <c r="DEF41" s="1172"/>
      <c r="DEG41" s="1172"/>
      <c r="DEH41" s="1172"/>
      <c r="DEI41" s="1172"/>
      <c r="DEJ41" s="1172"/>
      <c r="DEK41" s="1172"/>
      <c r="DEL41" s="1172"/>
      <c r="DEM41" s="1172"/>
      <c r="DEN41" s="1172"/>
      <c r="DEO41" s="1172"/>
      <c r="DEP41" s="1172"/>
      <c r="DEQ41" s="1172"/>
      <c r="DER41" s="1172"/>
      <c r="DES41" s="1172"/>
      <c r="DET41" s="1172"/>
      <c r="DEU41" s="1172"/>
      <c r="DEV41" s="1172"/>
      <c r="DEW41" s="1172"/>
      <c r="DEX41" s="1172"/>
      <c r="DEY41" s="1172"/>
      <c r="DEZ41" s="1172"/>
      <c r="DFA41" s="1172"/>
      <c r="DFB41" s="1172"/>
      <c r="DFC41" s="1172"/>
      <c r="DFD41" s="1172"/>
      <c r="DFE41" s="1172"/>
      <c r="DFF41" s="1172"/>
      <c r="DFG41" s="1172"/>
      <c r="DFH41" s="1172"/>
      <c r="DFI41" s="1172"/>
      <c r="DFJ41" s="1172"/>
      <c r="DFK41" s="1172"/>
      <c r="DFL41" s="1172"/>
      <c r="DFM41" s="1172"/>
      <c r="DFN41" s="1172"/>
      <c r="DFO41" s="1172"/>
      <c r="DFP41" s="1172"/>
      <c r="DFQ41" s="1172"/>
      <c r="DFR41" s="1172"/>
      <c r="DFS41" s="1172"/>
      <c r="DFT41" s="1172"/>
      <c r="DFU41" s="1172"/>
      <c r="DFV41" s="1172"/>
      <c r="DFW41" s="1172"/>
      <c r="DFX41" s="1172"/>
      <c r="DFY41" s="1172"/>
      <c r="DFZ41" s="1172"/>
      <c r="DGA41" s="1172"/>
      <c r="DGB41" s="1172"/>
      <c r="DGC41" s="1172"/>
      <c r="DGD41" s="1172"/>
      <c r="DGE41" s="1172"/>
      <c r="DGF41" s="1172"/>
      <c r="DGG41" s="1172"/>
      <c r="DGH41" s="1172"/>
      <c r="DGI41" s="1172"/>
      <c r="DGJ41" s="1172"/>
      <c r="DGK41" s="1172"/>
      <c r="DGL41" s="1172"/>
      <c r="DGM41" s="1172"/>
      <c r="DGN41" s="1172"/>
      <c r="DGO41" s="1172"/>
      <c r="DGP41" s="1172"/>
      <c r="DGQ41" s="1172"/>
      <c r="DGR41" s="1172"/>
      <c r="DGS41" s="1172"/>
      <c r="DGT41" s="1172"/>
      <c r="DGU41" s="1172"/>
      <c r="DGV41" s="1172"/>
      <c r="DGW41" s="1172"/>
      <c r="DGX41" s="1172"/>
      <c r="DGY41" s="1172"/>
      <c r="DGZ41" s="1172"/>
      <c r="DHA41" s="1172"/>
      <c r="DHB41" s="1172"/>
      <c r="DHC41" s="1172"/>
      <c r="DHD41" s="1172"/>
      <c r="DHE41" s="1172"/>
      <c r="DHF41" s="1172"/>
      <c r="DHG41" s="1172"/>
      <c r="DHH41" s="1172"/>
      <c r="DHI41" s="1172"/>
      <c r="DHJ41" s="1172"/>
      <c r="DHK41" s="1172"/>
      <c r="DHL41" s="1172"/>
      <c r="DHM41" s="1172"/>
      <c r="DHN41" s="1172"/>
      <c r="DHO41" s="1172"/>
      <c r="DHP41" s="1172"/>
      <c r="DHQ41" s="1172"/>
      <c r="DHR41" s="1172"/>
      <c r="DHS41" s="1172"/>
      <c r="DHT41" s="1172"/>
      <c r="DHU41" s="1172"/>
      <c r="DHV41" s="1172"/>
      <c r="DHW41" s="1172"/>
      <c r="DHX41" s="1172"/>
      <c r="DHY41" s="1172"/>
      <c r="DHZ41" s="1172"/>
      <c r="DIA41" s="1172"/>
      <c r="DIB41" s="1172"/>
      <c r="DIC41" s="1172"/>
      <c r="DID41" s="1172"/>
      <c r="DIE41" s="1172"/>
      <c r="DIF41" s="1172"/>
      <c r="DIG41" s="1172"/>
      <c r="DIH41" s="1172"/>
      <c r="DII41" s="1172"/>
      <c r="DIJ41" s="1172"/>
      <c r="DIK41" s="1172"/>
      <c r="DIL41" s="1172"/>
      <c r="DIM41" s="1172"/>
      <c r="DIN41" s="1172"/>
      <c r="DIO41" s="1172"/>
      <c r="DIP41" s="1172"/>
      <c r="DIQ41" s="1172"/>
      <c r="DIR41" s="1172"/>
      <c r="DIS41" s="1172"/>
      <c r="DIT41" s="1172"/>
      <c r="DIU41" s="1172"/>
      <c r="DIV41" s="1172"/>
      <c r="DIW41" s="1172"/>
      <c r="DIX41" s="1172"/>
      <c r="DIY41" s="1172"/>
      <c r="DIZ41" s="1172"/>
      <c r="DJA41" s="1172"/>
      <c r="DJB41" s="1172"/>
      <c r="DJC41" s="1172"/>
      <c r="DJD41" s="1172"/>
      <c r="DJE41" s="1172"/>
      <c r="DJF41" s="1172"/>
      <c r="DJG41" s="1172"/>
      <c r="DJH41" s="1172"/>
      <c r="DJI41" s="1172"/>
      <c r="DJJ41" s="1172"/>
      <c r="DJK41" s="1172"/>
      <c r="DJL41" s="1172"/>
      <c r="DJM41" s="1172"/>
      <c r="DJN41" s="1172"/>
      <c r="DJO41" s="1172"/>
      <c r="DJP41" s="1172"/>
      <c r="DJQ41" s="1172"/>
      <c r="DJR41" s="1172"/>
      <c r="DJS41" s="1172"/>
      <c r="DJT41" s="1172"/>
      <c r="DJU41" s="1172"/>
      <c r="DJV41" s="1172"/>
      <c r="DJW41" s="1172"/>
      <c r="DJX41" s="1172"/>
      <c r="DJY41" s="1172"/>
      <c r="DJZ41" s="1172"/>
      <c r="DKA41" s="1172"/>
      <c r="DKB41" s="1172"/>
      <c r="DKC41" s="1172"/>
      <c r="DKD41" s="1172"/>
      <c r="DKE41" s="1172"/>
      <c r="DKF41" s="1172"/>
      <c r="DKG41" s="1172"/>
      <c r="DKH41" s="1172"/>
      <c r="DKI41" s="1172"/>
      <c r="DKJ41" s="1172"/>
      <c r="DKK41" s="1172"/>
      <c r="DKL41" s="1172"/>
      <c r="DKM41" s="1172"/>
      <c r="DKN41" s="1172"/>
      <c r="DKO41" s="1172"/>
      <c r="DKP41" s="1172"/>
      <c r="DKQ41" s="1172"/>
      <c r="DKR41" s="1172"/>
      <c r="DKS41" s="1172"/>
      <c r="DKT41" s="1172"/>
      <c r="DKU41" s="1172"/>
      <c r="DKV41" s="1172"/>
      <c r="DKW41" s="1172"/>
      <c r="DKX41" s="1172"/>
      <c r="DKY41" s="1172"/>
      <c r="DKZ41" s="1172"/>
      <c r="DLA41" s="1172"/>
      <c r="DLB41" s="1172"/>
      <c r="DLC41" s="1172"/>
      <c r="DLD41" s="1172"/>
      <c r="DLE41" s="1172"/>
      <c r="DLF41" s="1172"/>
      <c r="DLG41" s="1172"/>
      <c r="DLH41" s="1172"/>
      <c r="DLI41" s="1172"/>
      <c r="DLJ41" s="1172"/>
      <c r="DLK41" s="1172"/>
      <c r="DLL41" s="1172"/>
      <c r="DLM41" s="1172"/>
      <c r="DLN41" s="1172"/>
      <c r="DLO41" s="1172"/>
      <c r="DLP41" s="1172"/>
      <c r="DLQ41" s="1172"/>
      <c r="DLR41" s="1172"/>
      <c r="DLS41" s="1172"/>
      <c r="DLT41" s="1172"/>
      <c r="DLU41" s="1172"/>
      <c r="DLV41" s="1172"/>
      <c r="DLW41" s="1172"/>
      <c r="DLX41" s="1172"/>
      <c r="DLY41" s="1172"/>
      <c r="DLZ41" s="1172"/>
      <c r="DMA41" s="1172"/>
      <c r="DMB41" s="1172"/>
      <c r="DMC41" s="1172"/>
      <c r="DMD41" s="1172"/>
      <c r="DME41" s="1172"/>
      <c r="DMF41" s="1172"/>
      <c r="DMG41" s="1172"/>
      <c r="DMH41" s="1172"/>
      <c r="DMI41" s="1172"/>
      <c r="DMJ41" s="1172"/>
      <c r="DMK41" s="1172"/>
      <c r="DML41" s="1172"/>
      <c r="DMM41" s="1172"/>
      <c r="DMN41" s="1172"/>
      <c r="DMO41" s="1172"/>
      <c r="DMP41" s="1172"/>
      <c r="DMQ41" s="1172"/>
      <c r="DMR41" s="1172"/>
      <c r="DMS41" s="1172"/>
      <c r="DMT41" s="1172"/>
      <c r="DMU41" s="1172"/>
      <c r="DMV41" s="1172"/>
      <c r="DMW41" s="1172"/>
      <c r="DMX41" s="1172"/>
      <c r="DMY41" s="1172"/>
      <c r="DMZ41" s="1172"/>
      <c r="DNA41" s="1172"/>
      <c r="DNB41" s="1172"/>
      <c r="DNC41" s="1172"/>
      <c r="DND41" s="1172"/>
      <c r="DNE41" s="1172"/>
      <c r="DNF41" s="1172"/>
      <c r="DNG41" s="1172"/>
      <c r="DNH41" s="1172"/>
      <c r="DNI41" s="1172"/>
      <c r="DNJ41" s="1172"/>
      <c r="DNK41" s="1172"/>
      <c r="DNL41" s="1172"/>
      <c r="DNM41" s="1172"/>
      <c r="DNN41" s="1172"/>
      <c r="DNO41" s="1172"/>
      <c r="DNP41" s="1172"/>
      <c r="DNQ41" s="1172"/>
      <c r="DNR41" s="1172"/>
      <c r="DNS41" s="1172"/>
      <c r="DNT41" s="1172"/>
      <c r="DNU41" s="1172"/>
      <c r="DNV41" s="1172"/>
      <c r="DNW41" s="1172"/>
      <c r="DNX41" s="1172"/>
      <c r="DNY41" s="1172"/>
      <c r="DNZ41" s="1172"/>
      <c r="DOA41" s="1172"/>
      <c r="DOB41" s="1172"/>
      <c r="DOC41" s="1172"/>
      <c r="DOD41" s="1172"/>
      <c r="DOE41" s="1172"/>
      <c r="DOF41" s="1172"/>
      <c r="DOG41" s="1172"/>
      <c r="DOH41" s="1172"/>
      <c r="DOI41" s="1172"/>
      <c r="DOJ41" s="1172"/>
      <c r="DOK41" s="1172"/>
      <c r="DOL41" s="1172"/>
      <c r="DOM41" s="1172"/>
      <c r="DON41" s="1172"/>
      <c r="DOO41" s="1172"/>
      <c r="DOP41" s="1172"/>
      <c r="DOQ41" s="1172"/>
      <c r="DOR41" s="1172"/>
      <c r="DOS41" s="1172"/>
      <c r="DOT41" s="1172"/>
      <c r="DOU41" s="1172"/>
      <c r="DOV41" s="1172"/>
      <c r="DOW41" s="1172"/>
      <c r="DOX41" s="1172"/>
      <c r="DOY41" s="1172"/>
      <c r="DOZ41" s="1172"/>
      <c r="DPA41" s="1172"/>
      <c r="DPB41" s="1172"/>
      <c r="DPC41" s="1172"/>
      <c r="DPD41" s="1172"/>
      <c r="DPE41" s="1172"/>
      <c r="DPF41" s="1172"/>
      <c r="DPG41" s="1172"/>
      <c r="DPH41" s="1172"/>
      <c r="DPI41" s="1172"/>
      <c r="DPJ41" s="1172"/>
      <c r="DPK41" s="1172"/>
      <c r="DPL41" s="1172"/>
      <c r="DPM41" s="1172"/>
      <c r="DPN41" s="1172"/>
      <c r="DPO41" s="1172"/>
      <c r="DPP41" s="1172"/>
      <c r="DPQ41" s="1172"/>
      <c r="DPR41" s="1172"/>
      <c r="DPS41" s="1172"/>
      <c r="DPT41" s="1172"/>
      <c r="DPU41" s="1172"/>
      <c r="DPV41" s="1172"/>
      <c r="DPW41" s="1172"/>
      <c r="DPX41" s="1172"/>
      <c r="DPY41" s="1172"/>
      <c r="DPZ41" s="1172"/>
      <c r="DQA41" s="1172"/>
      <c r="DQB41" s="1172"/>
      <c r="DQC41" s="1172"/>
      <c r="DQD41" s="1172"/>
      <c r="DQE41" s="1172"/>
      <c r="DQF41" s="1172"/>
      <c r="DQG41" s="1172"/>
      <c r="DQH41" s="1172"/>
      <c r="DQI41" s="1172"/>
      <c r="DQJ41" s="1172"/>
      <c r="DQK41" s="1172"/>
      <c r="DQL41" s="1172"/>
      <c r="DQM41" s="1172"/>
      <c r="DQN41" s="1172"/>
      <c r="DQO41" s="1172"/>
      <c r="DQP41" s="1172"/>
      <c r="DQQ41" s="1172"/>
      <c r="DQR41" s="1172"/>
      <c r="DQS41" s="1172"/>
      <c r="DQT41" s="1172"/>
      <c r="DQU41" s="1172"/>
      <c r="DQV41" s="1172"/>
      <c r="DQW41" s="1172"/>
      <c r="DQX41" s="1172"/>
      <c r="DQY41" s="1172"/>
      <c r="DQZ41" s="1172"/>
      <c r="DRA41" s="1172"/>
      <c r="DRB41" s="1172"/>
      <c r="DRC41" s="1172"/>
      <c r="DRD41" s="1172"/>
      <c r="DRE41" s="1172"/>
      <c r="DRF41" s="1172"/>
      <c r="DRG41" s="1172"/>
      <c r="DRH41" s="1172"/>
      <c r="DRI41" s="1172"/>
      <c r="DRJ41" s="1172"/>
      <c r="DRK41" s="1172"/>
      <c r="DRL41" s="1172"/>
      <c r="DRM41" s="1172"/>
      <c r="DRN41" s="1172"/>
      <c r="DRO41" s="1172"/>
      <c r="DRP41" s="1172"/>
      <c r="DRQ41" s="1172"/>
      <c r="DRR41" s="1172"/>
      <c r="DRS41" s="1172"/>
      <c r="DRT41" s="1172"/>
      <c r="DRU41" s="1172"/>
      <c r="DRV41" s="1172"/>
      <c r="DRW41" s="1172"/>
      <c r="DRX41" s="1172"/>
      <c r="DRY41" s="1172"/>
      <c r="DRZ41" s="1172"/>
      <c r="DSA41" s="1172"/>
      <c r="DSB41" s="1172"/>
      <c r="DSC41" s="1172"/>
      <c r="DSD41" s="1172"/>
      <c r="DSE41" s="1172"/>
      <c r="DSF41" s="1172"/>
      <c r="DSG41" s="1172"/>
      <c r="DSH41" s="1172"/>
      <c r="DSI41" s="1172"/>
      <c r="DSJ41" s="1172"/>
      <c r="DSK41" s="1172"/>
      <c r="DSL41" s="1172"/>
      <c r="DSM41" s="1172"/>
      <c r="DSN41" s="1172"/>
      <c r="DSO41" s="1172"/>
      <c r="DSP41" s="1172"/>
      <c r="DSQ41" s="1172"/>
      <c r="DSR41" s="1172"/>
      <c r="DSS41" s="1172"/>
      <c r="DST41" s="1172"/>
      <c r="DSU41" s="1172"/>
      <c r="DSV41" s="1172"/>
      <c r="DSW41" s="1172"/>
      <c r="DSX41" s="1172"/>
      <c r="DSY41" s="1172"/>
      <c r="DSZ41" s="1172"/>
      <c r="DTA41" s="1172"/>
      <c r="DTB41" s="1172"/>
      <c r="DTC41" s="1172"/>
      <c r="DTD41" s="1172"/>
      <c r="DTE41" s="1172"/>
      <c r="DTF41" s="1172"/>
      <c r="DTG41" s="1172"/>
      <c r="DTH41" s="1172"/>
      <c r="DTI41" s="1172"/>
      <c r="DTJ41" s="1172"/>
      <c r="DTK41" s="1172"/>
      <c r="DTL41" s="1172"/>
      <c r="DTM41" s="1172"/>
      <c r="DTN41" s="1172"/>
      <c r="DTO41" s="1172"/>
      <c r="DTP41" s="1172"/>
      <c r="DTQ41" s="1172"/>
      <c r="DTR41" s="1172"/>
      <c r="DTS41" s="1172"/>
      <c r="DTT41" s="1172"/>
      <c r="DTU41" s="1172"/>
      <c r="DTV41" s="1172"/>
      <c r="DTW41" s="1172"/>
      <c r="DTX41" s="1172"/>
      <c r="DTY41" s="1172"/>
      <c r="DTZ41" s="1172"/>
      <c r="DUA41" s="1172"/>
      <c r="DUB41" s="1172"/>
      <c r="DUC41" s="1172"/>
      <c r="DUD41" s="1172"/>
      <c r="DUE41" s="1172"/>
      <c r="DUF41" s="1172"/>
      <c r="DUG41" s="1172"/>
      <c r="DUH41" s="1172"/>
      <c r="DUI41" s="1172"/>
      <c r="DUJ41" s="1172"/>
      <c r="DUK41" s="1172"/>
      <c r="DUL41" s="1172"/>
      <c r="DUM41" s="1172"/>
      <c r="DUN41" s="1172"/>
      <c r="DUO41" s="1172"/>
      <c r="DUP41" s="1172"/>
      <c r="DUQ41" s="1172"/>
      <c r="DUR41" s="1172"/>
      <c r="DUS41" s="1172"/>
      <c r="DUT41" s="1172"/>
      <c r="DUU41" s="1172"/>
      <c r="DUV41" s="1172"/>
      <c r="DUW41" s="1172"/>
      <c r="DUX41" s="1172"/>
      <c r="DUY41" s="1172"/>
      <c r="DUZ41" s="1172"/>
      <c r="DVA41" s="1172"/>
      <c r="DVB41" s="1172"/>
      <c r="DVC41" s="1172"/>
      <c r="DVD41" s="1172"/>
      <c r="DVE41" s="1172"/>
      <c r="DVF41" s="1172"/>
      <c r="DVG41" s="1172"/>
      <c r="DVH41" s="1172"/>
      <c r="DVI41" s="1172"/>
      <c r="DVJ41" s="1172"/>
      <c r="DVK41" s="1172"/>
      <c r="DVL41" s="1172"/>
      <c r="DVM41" s="1172"/>
      <c r="DVN41" s="1172"/>
      <c r="DVO41" s="1172"/>
      <c r="DVP41" s="1172"/>
      <c r="DVQ41" s="1172"/>
      <c r="DVR41" s="1172"/>
      <c r="DVS41" s="1172"/>
      <c r="DVT41" s="1172"/>
      <c r="DVU41" s="1172"/>
      <c r="DVV41" s="1172"/>
      <c r="DVW41" s="1172"/>
      <c r="DVX41" s="1172"/>
      <c r="DVY41" s="1172"/>
      <c r="DVZ41" s="1172"/>
      <c r="DWA41" s="1172"/>
      <c r="DWB41" s="1172"/>
      <c r="DWC41" s="1172"/>
      <c r="DWD41" s="1172"/>
      <c r="DWE41" s="1172"/>
      <c r="DWF41" s="1172"/>
      <c r="DWG41" s="1172"/>
      <c r="DWH41" s="1172"/>
      <c r="DWI41" s="1172"/>
      <c r="DWJ41" s="1172"/>
      <c r="DWK41" s="1172"/>
      <c r="DWL41" s="1172"/>
      <c r="DWM41" s="1172"/>
      <c r="DWN41" s="1172"/>
      <c r="DWO41" s="1172"/>
      <c r="DWP41" s="1172"/>
      <c r="DWQ41" s="1172"/>
      <c r="DWR41" s="1172"/>
      <c r="DWS41" s="1172"/>
      <c r="DWT41" s="1172"/>
      <c r="DWU41" s="1172"/>
      <c r="DWV41" s="1172"/>
      <c r="DWW41" s="1172"/>
      <c r="DWX41" s="1172"/>
      <c r="DWY41" s="1172"/>
      <c r="DWZ41" s="1172"/>
      <c r="DXA41" s="1172"/>
      <c r="DXB41" s="1172"/>
      <c r="DXC41" s="1172"/>
      <c r="DXD41" s="1172"/>
      <c r="DXE41" s="1172"/>
      <c r="DXF41" s="1172"/>
      <c r="DXG41" s="1172"/>
      <c r="DXH41" s="1172"/>
      <c r="DXI41" s="1172"/>
      <c r="DXJ41" s="1172"/>
      <c r="DXK41" s="1172"/>
      <c r="DXL41" s="1172"/>
      <c r="DXM41" s="1172"/>
      <c r="DXN41" s="1172"/>
      <c r="DXO41" s="1172"/>
      <c r="DXP41" s="1172"/>
      <c r="DXQ41" s="1172"/>
      <c r="DXR41" s="1172"/>
      <c r="DXS41" s="1172"/>
      <c r="DXT41" s="1172"/>
      <c r="DXU41" s="1172"/>
      <c r="DXV41" s="1172"/>
      <c r="DXW41" s="1172"/>
      <c r="DXX41" s="1172"/>
      <c r="DXY41" s="1172"/>
      <c r="DXZ41" s="1172"/>
      <c r="DYA41" s="1172"/>
      <c r="DYB41" s="1172"/>
      <c r="DYC41" s="1172"/>
      <c r="DYD41" s="1172"/>
      <c r="DYE41" s="1172"/>
      <c r="DYF41" s="1172"/>
      <c r="DYG41" s="1172"/>
      <c r="DYH41" s="1172"/>
      <c r="DYI41" s="1172"/>
      <c r="DYJ41" s="1172"/>
      <c r="DYK41" s="1172"/>
      <c r="DYL41" s="1172"/>
      <c r="DYM41" s="1172"/>
      <c r="DYN41" s="1172"/>
      <c r="DYO41" s="1172"/>
      <c r="DYP41" s="1172"/>
      <c r="DYQ41" s="1172"/>
      <c r="DYR41" s="1172"/>
      <c r="DYS41" s="1172"/>
      <c r="DYT41" s="1172"/>
      <c r="DYU41" s="1172"/>
      <c r="DYV41" s="1172"/>
      <c r="DYW41" s="1172"/>
      <c r="DYX41" s="1172"/>
      <c r="DYY41" s="1172"/>
      <c r="DYZ41" s="1172"/>
      <c r="DZA41" s="1172"/>
      <c r="DZB41" s="1172"/>
      <c r="DZC41" s="1172"/>
      <c r="DZD41" s="1172"/>
      <c r="DZE41" s="1172"/>
      <c r="DZF41" s="1172"/>
      <c r="DZG41" s="1172"/>
      <c r="DZH41" s="1172"/>
      <c r="DZI41" s="1172"/>
      <c r="DZJ41" s="1172"/>
      <c r="DZK41" s="1172"/>
      <c r="DZL41" s="1172"/>
      <c r="DZM41" s="1172"/>
      <c r="DZN41" s="1172"/>
      <c r="DZO41" s="1172"/>
      <c r="DZP41" s="1172"/>
      <c r="DZQ41" s="1172"/>
      <c r="DZR41" s="1172"/>
      <c r="DZS41" s="1172"/>
      <c r="DZT41" s="1172"/>
      <c r="DZU41" s="1172"/>
      <c r="DZV41" s="1172"/>
      <c r="DZW41" s="1172"/>
      <c r="DZX41" s="1172"/>
      <c r="DZY41" s="1172"/>
      <c r="DZZ41" s="1172"/>
      <c r="EAA41" s="1172"/>
      <c r="EAB41" s="1172"/>
      <c r="EAC41" s="1172"/>
      <c r="EAD41" s="1172"/>
      <c r="EAE41" s="1172"/>
      <c r="EAF41" s="1172"/>
      <c r="EAG41" s="1172"/>
      <c r="EAH41" s="1172"/>
      <c r="EAI41" s="1172"/>
      <c r="EAJ41" s="1172"/>
      <c r="EAK41" s="1172"/>
      <c r="EAL41" s="1172"/>
      <c r="EAM41" s="1172"/>
      <c r="EAN41" s="1172"/>
      <c r="EAO41" s="1172"/>
      <c r="EAP41" s="1172"/>
      <c r="EAQ41" s="1172"/>
      <c r="EAR41" s="1172"/>
      <c r="EAS41" s="1172"/>
      <c r="EAT41" s="1172"/>
      <c r="EAU41" s="1172"/>
      <c r="EAV41" s="1172"/>
      <c r="EAW41" s="1172"/>
      <c r="EAX41" s="1172"/>
      <c r="EAY41" s="1172"/>
      <c r="EAZ41" s="1172"/>
      <c r="EBA41" s="1172"/>
      <c r="EBB41" s="1172"/>
      <c r="EBC41" s="1172"/>
      <c r="EBD41" s="1172"/>
      <c r="EBE41" s="1172"/>
      <c r="EBF41" s="1172"/>
      <c r="EBG41" s="1172"/>
      <c r="EBH41" s="1172"/>
      <c r="EBI41" s="1172"/>
      <c r="EBJ41" s="1172"/>
      <c r="EBK41" s="1172"/>
      <c r="EBL41" s="1172"/>
      <c r="EBM41" s="1172"/>
      <c r="EBN41" s="1172"/>
      <c r="EBO41" s="1172"/>
      <c r="EBP41" s="1172"/>
      <c r="EBQ41" s="1172"/>
      <c r="EBR41" s="1172"/>
      <c r="EBS41" s="1172"/>
      <c r="EBT41" s="1172"/>
      <c r="EBU41" s="1172"/>
      <c r="EBV41" s="1172"/>
      <c r="EBW41" s="1172"/>
      <c r="EBX41" s="1172"/>
      <c r="EBY41" s="1172"/>
      <c r="EBZ41" s="1172"/>
      <c r="ECA41" s="1172"/>
      <c r="ECB41" s="1172"/>
      <c r="ECC41" s="1172"/>
      <c r="ECD41" s="1172"/>
      <c r="ECE41" s="1172"/>
      <c r="ECF41" s="1172"/>
      <c r="ECG41" s="1172"/>
      <c r="ECH41" s="1172"/>
      <c r="ECI41" s="1172"/>
      <c r="ECJ41" s="1172"/>
      <c r="ECK41" s="1172"/>
      <c r="ECL41" s="1172"/>
      <c r="ECM41" s="1172"/>
      <c r="ECN41" s="1172"/>
      <c r="ECO41" s="1172"/>
      <c r="ECP41" s="1172"/>
      <c r="ECQ41" s="1172"/>
      <c r="ECR41" s="1172"/>
      <c r="ECS41" s="1172"/>
      <c r="ECT41" s="1172"/>
      <c r="ECU41" s="1172"/>
      <c r="ECV41" s="1172"/>
      <c r="ECW41" s="1172"/>
      <c r="ECX41" s="1172"/>
      <c r="ECY41" s="1172"/>
      <c r="ECZ41" s="1172"/>
      <c r="EDA41" s="1172"/>
      <c r="EDB41" s="1172"/>
      <c r="EDC41" s="1172"/>
      <c r="EDD41" s="1172"/>
      <c r="EDE41" s="1172"/>
      <c r="EDF41" s="1172"/>
      <c r="EDG41" s="1172"/>
      <c r="EDH41" s="1172"/>
      <c r="EDI41" s="1172"/>
      <c r="EDJ41" s="1172"/>
      <c r="EDK41" s="1172"/>
      <c r="EDL41" s="1172"/>
      <c r="EDM41" s="1172"/>
      <c r="EDN41" s="1172"/>
      <c r="EDO41" s="1172"/>
      <c r="EDP41" s="1172"/>
      <c r="EDQ41" s="1172"/>
      <c r="EDR41" s="1172"/>
      <c r="EDS41" s="1172"/>
      <c r="EDT41" s="1172"/>
      <c r="EDU41" s="1172"/>
      <c r="EDV41" s="1172"/>
      <c r="EDW41" s="1172"/>
      <c r="EDX41" s="1172"/>
      <c r="EDY41" s="1172"/>
      <c r="EDZ41" s="1172"/>
      <c r="EEA41" s="1172"/>
      <c r="EEB41" s="1172"/>
      <c r="EEC41" s="1172"/>
      <c r="EED41" s="1172"/>
      <c r="EEE41" s="1172"/>
      <c r="EEF41" s="1172"/>
      <c r="EEG41" s="1172"/>
      <c r="EEH41" s="1172"/>
      <c r="EEI41" s="1172"/>
      <c r="EEJ41" s="1172"/>
      <c r="EEK41" s="1172"/>
      <c r="EEL41" s="1172"/>
      <c r="EEM41" s="1172"/>
      <c r="EEN41" s="1172"/>
      <c r="EEO41" s="1172"/>
      <c r="EEP41" s="1172"/>
      <c r="EEQ41" s="1172"/>
      <c r="EER41" s="1172"/>
      <c r="EES41" s="1172"/>
      <c r="EET41" s="1172"/>
      <c r="EEU41" s="1172"/>
      <c r="EEV41" s="1172"/>
      <c r="EEW41" s="1172"/>
      <c r="EEX41" s="1172"/>
      <c r="EEY41" s="1172"/>
      <c r="EEZ41" s="1172"/>
      <c r="EFA41" s="1172"/>
      <c r="EFB41" s="1172"/>
      <c r="EFC41" s="1172"/>
      <c r="EFD41" s="1172"/>
      <c r="EFE41" s="1172"/>
      <c r="EFF41" s="1172"/>
      <c r="EFG41" s="1172"/>
      <c r="EFH41" s="1172"/>
      <c r="EFI41" s="1172"/>
      <c r="EFJ41" s="1172"/>
      <c r="EFK41" s="1172"/>
      <c r="EFL41" s="1172"/>
      <c r="EFM41" s="1172"/>
      <c r="EFN41" s="1172"/>
      <c r="EFO41" s="1172"/>
      <c r="EFP41" s="1172"/>
      <c r="EFQ41" s="1172"/>
      <c r="EFR41" s="1172"/>
      <c r="EFS41" s="1172"/>
      <c r="EFT41" s="1172"/>
      <c r="EFU41" s="1172"/>
      <c r="EFV41" s="1172"/>
      <c r="EFW41" s="1172"/>
      <c r="EFX41" s="1172"/>
      <c r="EFY41" s="1172"/>
      <c r="EFZ41" s="1172"/>
      <c r="EGA41" s="1172"/>
      <c r="EGB41" s="1172"/>
      <c r="EGC41" s="1172"/>
      <c r="EGD41" s="1172"/>
      <c r="EGE41" s="1172"/>
      <c r="EGF41" s="1172"/>
      <c r="EGG41" s="1172"/>
      <c r="EGH41" s="1172"/>
      <c r="EGI41" s="1172"/>
      <c r="EGJ41" s="1172"/>
      <c r="EGK41" s="1172"/>
      <c r="EGL41" s="1172"/>
      <c r="EGM41" s="1172"/>
      <c r="EGN41" s="1172"/>
      <c r="EGO41" s="1172"/>
      <c r="EGP41" s="1172"/>
      <c r="EGQ41" s="1172"/>
      <c r="EGR41" s="1172"/>
      <c r="EGS41" s="1172"/>
      <c r="EGT41" s="1172"/>
      <c r="EGU41" s="1172"/>
      <c r="EGV41" s="1172"/>
      <c r="EGW41" s="1172"/>
      <c r="EGX41" s="1172"/>
      <c r="EGY41" s="1172"/>
      <c r="EGZ41" s="1172"/>
      <c r="EHA41" s="1172"/>
      <c r="EHB41" s="1172"/>
      <c r="EHC41" s="1172"/>
      <c r="EHD41" s="1172"/>
      <c r="EHE41" s="1172"/>
      <c r="EHF41" s="1172"/>
      <c r="EHG41" s="1172"/>
      <c r="EHH41" s="1172"/>
      <c r="EHI41" s="1172"/>
      <c r="EHJ41" s="1172"/>
      <c r="EHK41" s="1172"/>
      <c r="EHL41" s="1172"/>
      <c r="EHM41" s="1172"/>
      <c r="EHN41" s="1172"/>
      <c r="EHO41" s="1172"/>
      <c r="EHP41" s="1172"/>
      <c r="EHQ41" s="1172"/>
      <c r="EHR41" s="1172"/>
      <c r="EHS41" s="1172"/>
      <c r="EHT41" s="1172"/>
      <c r="EHU41" s="1172"/>
      <c r="EHV41" s="1172"/>
      <c r="EHW41" s="1172"/>
      <c r="EHX41" s="1172"/>
      <c r="EHY41" s="1172"/>
      <c r="EHZ41" s="1172"/>
      <c r="EIA41" s="1172"/>
      <c r="EIB41" s="1172"/>
      <c r="EIC41" s="1172"/>
      <c r="EID41" s="1172"/>
      <c r="EIE41" s="1172"/>
      <c r="EIF41" s="1172"/>
      <c r="EIG41" s="1172"/>
      <c r="EIH41" s="1172"/>
      <c r="EII41" s="1172"/>
      <c r="EIJ41" s="1172"/>
      <c r="EIK41" s="1172"/>
      <c r="EIL41" s="1172"/>
      <c r="EIM41" s="1172"/>
      <c r="EIN41" s="1172"/>
      <c r="EIO41" s="1172"/>
      <c r="EIP41" s="1172"/>
      <c r="EIQ41" s="1172"/>
      <c r="EIR41" s="1172"/>
      <c r="EIS41" s="1172"/>
      <c r="EIT41" s="1172"/>
      <c r="EIU41" s="1172"/>
      <c r="EIV41" s="1172"/>
      <c r="EIW41" s="1172"/>
      <c r="EIX41" s="1172"/>
      <c r="EIY41" s="1172"/>
      <c r="EIZ41" s="1172"/>
      <c r="EJA41" s="1172"/>
      <c r="EJB41" s="1172"/>
      <c r="EJC41" s="1172"/>
      <c r="EJD41" s="1172"/>
      <c r="EJE41" s="1172"/>
      <c r="EJF41" s="1172"/>
      <c r="EJG41" s="1172"/>
      <c r="EJH41" s="1172"/>
      <c r="EJI41" s="1172"/>
      <c r="EJJ41" s="1172"/>
      <c r="EJK41" s="1172"/>
      <c r="EJL41" s="1172"/>
      <c r="EJM41" s="1172"/>
      <c r="EJN41" s="1172"/>
      <c r="EJO41" s="1172"/>
      <c r="EJP41" s="1172"/>
      <c r="EJQ41" s="1172"/>
      <c r="EJR41" s="1172"/>
      <c r="EJS41" s="1172"/>
      <c r="EJT41" s="1172"/>
      <c r="EJU41" s="1172"/>
      <c r="EJV41" s="1172"/>
      <c r="EJW41" s="1172"/>
      <c r="EJX41" s="1172"/>
      <c r="EJY41" s="1172"/>
      <c r="EJZ41" s="1172"/>
      <c r="EKA41" s="1172"/>
      <c r="EKB41" s="1172"/>
      <c r="EKC41" s="1172"/>
      <c r="EKD41" s="1172"/>
      <c r="EKE41" s="1172"/>
      <c r="EKF41" s="1172"/>
      <c r="EKG41" s="1172"/>
      <c r="EKH41" s="1172"/>
      <c r="EKI41" s="1172"/>
      <c r="EKJ41" s="1172"/>
      <c r="EKK41" s="1172"/>
      <c r="EKL41" s="1172"/>
      <c r="EKM41" s="1172"/>
      <c r="EKN41" s="1172"/>
      <c r="EKO41" s="1172"/>
      <c r="EKP41" s="1172"/>
      <c r="EKQ41" s="1172"/>
      <c r="EKR41" s="1172"/>
      <c r="EKS41" s="1172"/>
      <c r="EKT41" s="1172"/>
      <c r="EKU41" s="1172"/>
      <c r="EKV41" s="1172"/>
      <c r="EKW41" s="1172"/>
      <c r="EKX41" s="1172"/>
      <c r="EKY41" s="1172"/>
      <c r="EKZ41" s="1172"/>
      <c r="ELA41" s="1172"/>
      <c r="ELB41" s="1172"/>
      <c r="ELC41" s="1172"/>
      <c r="ELD41" s="1172"/>
      <c r="ELE41" s="1172"/>
      <c r="ELF41" s="1172"/>
      <c r="ELG41" s="1172"/>
      <c r="ELH41" s="1172"/>
      <c r="ELI41" s="1172"/>
      <c r="ELJ41" s="1172"/>
      <c r="ELK41" s="1172"/>
      <c r="ELL41" s="1172"/>
      <c r="ELM41" s="1172"/>
      <c r="ELN41" s="1172"/>
      <c r="ELO41" s="1172"/>
      <c r="ELP41" s="1172"/>
      <c r="ELQ41" s="1172"/>
      <c r="ELR41" s="1172"/>
      <c r="ELS41" s="1172"/>
      <c r="ELT41" s="1172"/>
      <c r="ELU41" s="1172"/>
      <c r="ELV41" s="1172"/>
      <c r="ELW41" s="1172"/>
      <c r="ELX41" s="1172"/>
      <c r="ELY41" s="1172"/>
      <c r="ELZ41" s="1172"/>
      <c r="EMA41" s="1172"/>
      <c r="EMB41" s="1172"/>
      <c r="EMC41" s="1172"/>
      <c r="EMD41" s="1172"/>
      <c r="EME41" s="1172"/>
      <c r="EMF41" s="1172"/>
      <c r="EMG41" s="1172"/>
      <c r="EMH41" s="1172"/>
      <c r="EMI41" s="1172"/>
      <c r="EMJ41" s="1172"/>
      <c r="EMK41" s="1172"/>
      <c r="EML41" s="1172"/>
      <c r="EMM41" s="1172"/>
      <c r="EMN41" s="1172"/>
      <c r="EMO41" s="1172"/>
      <c r="EMP41" s="1172"/>
      <c r="EMQ41" s="1172"/>
      <c r="EMR41" s="1172"/>
      <c r="EMS41" s="1172"/>
      <c r="EMT41" s="1172"/>
      <c r="EMU41" s="1172"/>
      <c r="EMV41" s="1172"/>
      <c r="EMW41" s="1172"/>
      <c r="EMX41" s="1172"/>
      <c r="EMY41" s="1172"/>
      <c r="EMZ41" s="1172"/>
      <c r="ENA41" s="1172"/>
      <c r="ENB41" s="1172"/>
      <c r="ENC41" s="1172"/>
      <c r="END41" s="1172"/>
      <c r="ENE41" s="1172"/>
      <c r="ENF41" s="1172"/>
      <c r="ENG41" s="1172"/>
      <c r="ENH41" s="1172"/>
      <c r="ENI41" s="1172"/>
      <c r="ENJ41" s="1172"/>
      <c r="ENK41" s="1172"/>
      <c r="ENL41" s="1172"/>
      <c r="ENM41" s="1172"/>
      <c r="ENN41" s="1172"/>
      <c r="ENO41" s="1172"/>
      <c r="ENP41" s="1172"/>
      <c r="ENQ41" s="1172"/>
      <c r="ENR41" s="1172"/>
      <c r="ENS41" s="1172"/>
      <c r="ENT41" s="1172"/>
      <c r="ENU41" s="1172"/>
      <c r="ENV41" s="1172"/>
      <c r="ENW41" s="1172"/>
      <c r="ENX41" s="1172"/>
      <c r="ENY41" s="1172"/>
      <c r="ENZ41" s="1172"/>
      <c r="EOA41" s="1172"/>
      <c r="EOB41" s="1172"/>
      <c r="EOC41" s="1172"/>
      <c r="EOD41" s="1172"/>
      <c r="EOE41" s="1172"/>
      <c r="EOF41" s="1172"/>
      <c r="EOG41" s="1172"/>
      <c r="EOH41" s="1172"/>
      <c r="EOI41" s="1172"/>
      <c r="EOJ41" s="1172"/>
      <c r="EOK41" s="1172"/>
      <c r="EOL41" s="1172"/>
      <c r="EOM41" s="1172"/>
      <c r="EON41" s="1172"/>
      <c r="EOO41" s="1172"/>
      <c r="EOP41" s="1172"/>
      <c r="EOQ41" s="1172"/>
      <c r="EOR41" s="1172"/>
      <c r="EOS41" s="1172"/>
      <c r="EOT41" s="1172"/>
      <c r="EOU41" s="1172"/>
      <c r="EOV41" s="1172"/>
      <c r="EOW41" s="1172"/>
      <c r="EOX41" s="1172"/>
      <c r="EOY41" s="1172"/>
      <c r="EOZ41" s="1172"/>
      <c r="EPA41" s="1172"/>
      <c r="EPB41" s="1172"/>
      <c r="EPC41" s="1172"/>
      <c r="EPD41" s="1172"/>
      <c r="EPE41" s="1172"/>
      <c r="EPF41" s="1172"/>
      <c r="EPG41" s="1172"/>
      <c r="EPH41" s="1172"/>
      <c r="EPI41" s="1172"/>
      <c r="EPJ41" s="1172"/>
      <c r="EPK41" s="1172"/>
      <c r="EPL41" s="1172"/>
      <c r="EPM41" s="1172"/>
      <c r="EPN41" s="1172"/>
      <c r="EPO41" s="1172"/>
      <c r="EPP41" s="1172"/>
      <c r="EPQ41" s="1172"/>
      <c r="EPR41" s="1172"/>
      <c r="EPS41" s="1172"/>
      <c r="EPT41" s="1172"/>
      <c r="EPU41" s="1172"/>
      <c r="EPV41" s="1172"/>
      <c r="EPW41" s="1172"/>
      <c r="EPX41" s="1172"/>
      <c r="EPY41" s="1172"/>
      <c r="EPZ41" s="1172"/>
      <c r="EQA41" s="1172"/>
      <c r="EQB41" s="1172"/>
      <c r="EQC41" s="1172"/>
      <c r="EQD41" s="1172"/>
      <c r="EQE41" s="1172"/>
      <c r="EQF41" s="1172"/>
      <c r="EQG41" s="1172"/>
      <c r="EQH41" s="1172"/>
      <c r="EQI41" s="1172"/>
      <c r="EQJ41" s="1172"/>
      <c r="EQK41" s="1172"/>
      <c r="EQL41" s="1172"/>
      <c r="EQM41" s="1172"/>
      <c r="EQN41" s="1172"/>
      <c r="EQO41" s="1172"/>
      <c r="EQP41" s="1172"/>
      <c r="EQQ41" s="1172"/>
      <c r="EQR41" s="1172"/>
      <c r="EQS41" s="1172"/>
      <c r="EQT41" s="1172"/>
      <c r="EQU41" s="1172"/>
      <c r="EQV41" s="1172"/>
      <c r="EQW41" s="1172"/>
      <c r="EQX41" s="1172"/>
      <c r="EQY41" s="1172"/>
      <c r="EQZ41" s="1172"/>
      <c r="ERA41" s="1172"/>
      <c r="ERB41" s="1172"/>
      <c r="ERC41" s="1172"/>
      <c r="ERD41" s="1172"/>
      <c r="ERE41" s="1172"/>
      <c r="ERF41" s="1172"/>
      <c r="ERG41" s="1172"/>
      <c r="ERH41" s="1172"/>
      <c r="ERI41" s="1172"/>
      <c r="ERJ41" s="1172"/>
      <c r="ERK41" s="1172"/>
      <c r="ERL41" s="1172"/>
      <c r="ERM41" s="1172"/>
      <c r="ERN41" s="1172"/>
      <c r="ERO41" s="1172"/>
      <c r="ERP41" s="1172"/>
      <c r="ERQ41" s="1172"/>
      <c r="ERR41" s="1172"/>
      <c r="ERS41" s="1172"/>
      <c r="ERT41" s="1172"/>
      <c r="ERU41" s="1172"/>
      <c r="ERV41" s="1172"/>
      <c r="ERW41" s="1172"/>
      <c r="ERX41" s="1172"/>
      <c r="ERY41" s="1172"/>
      <c r="ERZ41" s="1172"/>
      <c r="ESA41" s="1172"/>
      <c r="ESB41" s="1172"/>
      <c r="ESC41" s="1172"/>
      <c r="ESD41" s="1172"/>
      <c r="ESE41" s="1172"/>
      <c r="ESF41" s="1172"/>
      <c r="ESG41" s="1172"/>
      <c r="ESH41" s="1172"/>
      <c r="ESI41" s="1172"/>
      <c r="ESJ41" s="1172"/>
      <c r="ESK41" s="1172"/>
      <c r="ESL41" s="1172"/>
      <c r="ESM41" s="1172"/>
      <c r="ESN41" s="1172"/>
      <c r="ESO41" s="1172"/>
      <c r="ESP41" s="1172"/>
      <c r="ESQ41" s="1172"/>
      <c r="ESR41" s="1172"/>
      <c r="ESS41" s="1172"/>
      <c r="EST41" s="1172"/>
      <c r="ESU41" s="1172"/>
      <c r="ESV41" s="1172"/>
      <c r="ESW41" s="1172"/>
      <c r="ESX41" s="1172"/>
      <c r="ESY41" s="1172"/>
      <c r="ESZ41" s="1172"/>
      <c r="ETA41" s="1172"/>
      <c r="ETB41" s="1172"/>
      <c r="ETC41" s="1172"/>
      <c r="ETD41" s="1172"/>
      <c r="ETE41" s="1172"/>
      <c r="ETF41" s="1172"/>
      <c r="ETG41" s="1172"/>
      <c r="ETH41" s="1172"/>
      <c r="ETI41" s="1172"/>
      <c r="ETJ41" s="1172"/>
      <c r="ETK41" s="1172"/>
      <c r="ETL41" s="1172"/>
      <c r="ETM41" s="1172"/>
      <c r="ETN41" s="1172"/>
      <c r="ETO41" s="1172"/>
      <c r="ETP41" s="1172"/>
      <c r="ETQ41" s="1172"/>
      <c r="ETR41" s="1172"/>
      <c r="ETS41" s="1172"/>
      <c r="ETT41" s="1172"/>
      <c r="ETU41" s="1172"/>
      <c r="ETV41" s="1172"/>
      <c r="ETW41" s="1172"/>
      <c r="ETX41" s="1172"/>
      <c r="ETY41" s="1172"/>
      <c r="ETZ41" s="1172"/>
      <c r="EUA41" s="1172"/>
      <c r="EUB41" s="1172"/>
      <c r="EUC41" s="1172"/>
      <c r="EUD41" s="1172"/>
      <c r="EUE41" s="1172"/>
      <c r="EUF41" s="1172"/>
      <c r="EUG41" s="1172"/>
      <c r="EUH41" s="1172"/>
      <c r="EUI41" s="1172"/>
      <c r="EUJ41" s="1172"/>
      <c r="EUK41" s="1172"/>
      <c r="EUL41" s="1172"/>
      <c r="EUM41" s="1172"/>
      <c r="EUN41" s="1172"/>
      <c r="EUO41" s="1172"/>
      <c r="EUP41" s="1172"/>
      <c r="EUQ41" s="1172"/>
      <c r="EUR41" s="1172"/>
      <c r="EUS41" s="1172"/>
      <c r="EUT41" s="1172"/>
      <c r="EUU41" s="1172"/>
      <c r="EUV41" s="1172"/>
      <c r="EUW41" s="1172"/>
      <c r="EUX41" s="1172"/>
      <c r="EUY41" s="1172"/>
      <c r="EUZ41" s="1172"/>
      <c r="EVA41" s="1172"/>
      <c r="EVB41" s="1172"/>
      <c r="EVC41" s="1172"/>
      <c r="EVD41" s="1172"/>
      <c r="EVE41" s="1172"/>
      <c r="EVF41" s="1172"/>
      <c r="EVG41" s="1172"/>
      <c r="EVH41" s="1172"/>
      <c r="EVI41" s="1172"/>
      <c r="EVJ41" s="1172"/>
      <c r="EVK41" s="1172"/>
      <c r="EVL41" s="1172"/>
      <c r="EVM41" s="1172"/>
      <c r="EVN41" s="1172"/>
      <c r="EVO41" s="1172"/>
      <c r="EVP41" s="1172"/>
      <c r="EVQ41" s="1172"/>
      <c r="EVR41" s="1172"/>
      <c r="EVS41" s="1172"/>
      <c r="EVT41" s="1172"/>
      <c r="EVU41" s="1172"/>
      <c r="EVV41" s="1172"/>
      <c r="EVW41" s="1172"/>
      <c r="EVX41" s="1172"/>
      <c r="EVY41" s="1172"/>
      <c r="EVZ41" s="1172"/>
      <c r="EWA41" s="1172"/>
      <c r="EWB41" s="1172"/>
      <c r="EWC41" s="1172"/>
      <c r="EWD41" s="1172"/>
      <c r="EWE41" s="1172"/>
      <c r="EWF41" s="1172"/>
      <c r="EWG41" s="1172"/>
      <c r="EWH41" s="1172"/>
      <c r="EWI41" s="1172"/>
      <c r="EWJ41" s="1172"/>
      <c r="EWK41" s="1172"/>
      <c r="EWL41" s="1172"/>
      <c r="EWM41" s="1172"/>
      <c r="EWN41" s="1172"/>
      <c r="EWO41" s="1172"/>
      <c r="EWP41" s="1172"/>
      <c r="EWQ41" s="1172"/>
      <c r="EWR41" s="1172"/>
      <c r="EWS41" s="1172"/>
      <c r="EWT41" s="1172"/>
      <c r="EWU41" s="1172"/>
      <c r="EWV41" s="1172"/>
      <c r="EWW41" s="1172"/>
      <c r="EWX41" s="1172"/>
      <c r="EWY41" s="1172"/>
      <c r="EWZ41" s="1172"/>
      <c r="EXA41" s="1172"/>
      <c r="EXB41" s="1172"/>
      <c r="EXC41" s="1172"/>
      <c r="EXD41" s="1172"/>
      <c r="EXE41" s="1172"/>
      <c r="EXF41" s="1172"/>
      <c r="EXG41" s="1172"/>
      <c r="EXH41" s="1172"/>
      <c r="EXI41" s="1172"/>
      <c r="EXJ41" s="1172"/>
      <c r="EXK41" s="1172"/>
      <c r="EXL41" s="1172"/>
      <c r="EXM41" s="1172"/>
      <c r="EXN41" s="1172"/>
      <c r="EXO41" s="1172"/>
      <c r="EXP41" s="1172"/>
      <c r="EXQ41" s="1172"/>
      <c r="EXR41" s="1172"/>
      <c r="EXS41" s="1172"/>
      <c r="EXT41" s="1172"/>
      <c r="EXU41" s="1172"/>
      <c r="EXV41" s="1172"/>
      <c r="EXW41" s="1172"/>
      <c r="EXX41" s="1172"/>
      <c r="EXY41" s="1172"/>
      <c r="EXZ41" s="1172"/>
      <c r="EYA41" s="1172"/>
      <c r="EYB41" s="1172"/>
      <c r="EYC41" s="1172"/>
      <c r="EYD41" s="1172"/>
      <c r="EYE41" s="1172"/>
      <c r="EYF41" s="1172"/>
      <c r="EYG41" s="1172"/>
      <c r="EYH41" s="1172"/>
      <c r="EYI41" s="1172"/>
      <c r="EYJ41" s="1172"/>
      <c r="EYK41" s="1172"/>
      <c r="EYL41" s="1172"/>
      <c r="EYM41" s="1172"/>
      <c r="EYN41" s="1172"/>
      <c r="EYO41" s="1172"/>
      <c r="EYP41" s="1172"/>
      <c r="EYQ41" s="1172"/>
      <c r="EYR41" s="1172"/>
      <c r="EYS41" s="1172"/>
      <c r="EYT41" s="1172"/>
      <c r="EYU41" s="1172"/>
      <c r="EYV41" s="1172"/>
      <c r="EYW41" s="1172"/>
      <c r="EYX41" s="1172"/>
      <c r="EYY41" s="1172"/>
      <c r="EYZ41" s="1172"/>
      <c r="EZA41" s="1172"/>
      <c r="EZB41" s="1172"/>
      <c r="EZC41" s="1172"/>
      <c r="EZD41" s="1172"/>
      <c r="EZE41" s="1172"/>
      <c r="EZF41" s="1172"/>
      <c r="EZG41" s="1172"/>
      <c r="EZH41" s="1172"/>
      <c r="EZI41" s="1172"/>
      <c r="EZJ41" s="1172"/>
      <c r="EZK41" s="1172"/>
      <c r="EZL41" s="1172"/>
      <c r="EZM41" s="1172"/>
      <c r="EZN41" s="1172"/>
      <c r="EZO41" s="1172"/>
      <c r="EZP41" s="1172"/>
      <c r="EZQ41" s="1172"/>
      <c r="EZR41" s="1172"/>
      <c r="EZS41" s="1172"/>
      <c r="EZT41" s="1172"/>
      <c r="EZU41" s="1172"/>
      <c r="EZV41" s="1172"/>
      <c r="EZW41" s="1172"/>
      <c r="EZX41" s="1172"/>
      <c r="EZY41" s="1172"/>
      <c r="EZZ41" s="1172"/>
      <c r="FAA41" s="1172"/>
      <c r="FAB41" s="1172"/>
      <c r="FAC41" s="1172"/>
      <c r="FAD41" s="1172"/>
      <c r="FAE41" s="1172"/>
      <c r="FAF41" s="1172"/>
      <c r="FAG41" s="1172"/>
      <c r="FAH41" s="1172"/>
      <c r="FAI41" s="1172"/>
      <c r="FAJ41" s="1172"/>
      <c r="FAK41" s="1172"/>
      <c r="FAL41" s="1172"/>
      <c r="FAM41" s="1172"/>
      <c r="FAN41" s="1172"/>
      <c r="FAO41" s="1172"/>
      <c r="FAP41" s="1172"/>
      <c r="FAQ41" s="1172"/>
      <c r="FAR41" s="1172"/>
      <c r="FAS41" s="1172"/>
      <c r="FAT41" s="1172"/>
      <c r="FAU41" s="1172"/>
      <c r="FAV41" s="1172"/>
      <c r="FAW41" s="1172"/>
      <c r="FAX41" s="1172"/>
      <c r="FAY41" s="1172"/>
      <c r="FAZ41" s="1172"/>
      <c r="FBA41" s="1172"/>
      <c r="FBB41" s="1172"/>
      <c r="FBC41" s="1172"/>
      <c r="FBD41" s="1172"/>
      <c r="FBE41" s="1172"/>
      <c r="FBF41" s="1172"/>
      <c r="FBG41" s="1172"/>
      <c r="FBH41" s="1172"/>
      <c r="FBI41" s="1172"/>
      <c r="FBJ41" s="1172"/>
      <c r="FBK41" s="1172"/>
      <c r="FBL41" s="1172"/>
      <c r="FBM41" s="1172"/>
      <c r="FBN41" s="1172"/>
      <c r="FBO41" s="1172"/>
      <c r="FBP41" s="1172"/>
      <c r="FBQ41" s="1172"/>
      <c r="FBR41" s="1172"/>
      <c r="FBS41" s="1172"/>
      <c r="FBT41" s="1172"/>
      <c r="FBU41" s="1172"/>
      <c r="FBV41" s="1172"/>
      <c r="FBW41" s="1172"/>
      <c r="FBX41" s="1172"/>
      <c r="FBY41" s="1172"/>
      <c r="FBZ41" s="1172"/>
      <c r="FCA41" s="1172"/>
      <c r="FCB41" s="1172"/>
      <c r="FCC41" s="1172"/>
      <c r="FCD41" s="1172"/>
      <c r="FCE41" s="1172"/>
      <c r="FCF41" s="1172"/>
      <c r="FCG41" s="1172"/>
      <c r="FCH41" s="1172"/>
      <c r="FCI41" s="1172"/>
      <c r="FCJ41" s="1172"/>
      <c r="FCK41" s="1172"/>
      <c r="FCL41" s="1172"/>
      <c r="FCM41" s="1172"/>
      <c r="FCN41" s="1172"/>
      <c r="FCO41" s="1172"/>
      <c r="FCP41" s="1172"/>
      <c r="FCQ41" s="1172"/>
      <c r="FCR41" s="1172"/>
      <c r="FCS41" s="1172"/>
      <c r="FCT41" s="1172"/>
      <c r="FCU41" s="1172"/>
      <c r="FCV41" s="1172"/>
      <c r="FCW41" s="1172"/>
      <c r="FCX41" s="1172"/>
      <c r="FCY41" s="1172"/>
      <c r="FCZ41" s="1172"/>
      <c r="FDA41" s="1172"/>
      <c r="FDB41" s="1172"/>
      <c r="FDC41" s="1172"/>
      <c r="FDD41" s="1172"/>
      <c r="FDE41" s="1172"/>
      <c r="FDF41" s="1172"/>
      <c r="FDG41" s="1172"/>
      <c r="FDH41" s="1172"/>
      <c r="FDI41" s="1172"/>
      <c r="FDJ41" s="1172"/>
      <c r="FDK41" s="1172"/>
      <c r="FDL41" s="1172"/>
      <c r="FDM41" s="1172"/>
      <c r="FDN41" s="1172"/>
      <c r="FDO41" s="1172"/>
      <c r="FDP41" s="1172"/>
      <c r="FDQ41" s="1172"/>
      <c r="FDR41" s="1172"/>
      <c r="FDS41" s="1172"/>
      <c r="FDT41" s="1172"/>
      <c r="FDU41" s="1172"/>
      <c r="FDV41" s="1172"/>
      <c r="FDW41" s="1172"/>
      <c r="FDX41" s="1172"/>
      <c r="FDY41" s="1172"/>
      <c r="FDZ41" s="1172"/>
      <c r="FEA41" s="1172"/>
      <c r="FEB41" s="1172"/>
      <c r="FEC41" s="1172"/>
      <c r="FED41" s="1172"/>
      <c r="FEE41" s="1172"/>
      <c r="FEF41" s="1172"/>
      <c r="FEG41" s="1172"/>
      <c r="FEH41" s="1172"/>
      <c r="FEI41" s="1172"/>
      <c r="FEJ41" s="1172"/>
      <c r="FEK41" s="1172"/>
      <c r="FEL41" s="1172"/>
      <c r="FEM41" s="1172"/>
      <c r="FEN41" s="1172"/>
      <c r="FEO41" s="1172"/>
      <c r="FEP41" s="1172"/>
      <c r="FEQ41" s="1172"/>
      <c r="FER41" s="1172"/>
      <c r="FES41" s="1172"/>
      <c r="FET41" s="1172"/>
      <c r="FEU41" s="1172"/>
      <c r="FEV41" s="1172"/>
      <c r="FEW41" s="1172"/>
      <c r="FEX41" s="1172"/>
      <c r="FEY41" s="1172"/>
      <c r="FEZ41" s="1172"/>
      <c r="FFA41" s="1172"/>
      <c r="FFB41" s="1172"/>
      <c r="FFC41" s="1172"/>
      <c r="FFD41" s="1172"/>
      <c r="FFE41" s="1172"/>
      <c r="FFF41" s="1172"/>
      <c r="FFG41" s="1172"/>
      <c r="FFH41" s="1172"/>
      <c r="FFI41" s="1172"/>
      <c r="FFJ41" s="1172"/>
      <c r="FFK41" s="1172"/>
      <c r="FFL41" s="1172"/>
      <c r="FFM41" s="1172"/>
      <c r="FFN41" s="1172"/>
      <c r="FFO41" s="1172"/>
      <c r="FFP41" s="1172"/>
      <c r="FFQ41" s="1172"/>
      <c r="FFR41" s="1172"/>
      <c r="FFS41" s="1172"/>
      <c r="FFT41" s="1172"/>
      <c r="FFU41" s="1172"/>
      <c r="FFV41" s="1172"/>
      <c r="FFW41" s="1172"/>
      <c r="FFX41" s="1172"/>
      <c r="FFY41" s="1172"/>
      <c r="FFZ41" s="1172"/>
      <c r="FGA41" s="1172"/>
      <c r="FGB41" s="1172"/>
      <c r="FGC41" s="1172"/>
      <c r="FGD41" s="1172"/>
      <c r="FGE41" s="1172"/>
      <c r="FGF41" s="1172"/>
      <c r="FGG41" s="1172"/>
      <c r="FGH41" s="1172"/>
      <c r="FGI41" s="1172"/>
      <c r="FGJ41" s="1172"/>
      <c r="FGK41" s="1172"/>
      <c r="FGL41" s="1172"/>
      <c r="FGM41" s="1172"/>
      <c r="FGN41" s="1172"/>
      <c r="FGO41" s="1172"/>
      <c r="FGP41" s="1172"/>
      <c r="FGQ41" s="1172"/>
      <c r="FGR41" s="1172"/>
      <c r="FGS41" s="1172"/>
      <c r="FGT41" s="1172"/>
      <c r="FGU41" s="1172"/>
      <c r="FGV41" s="1172"/>
      <c r="FGW41" s="1172"/>
      <c r="FGX41" s="1172"/>
      <c r="FGY41" s="1172"/>
      <c r="FGZ41" s="1172"/>
      <c r="FHA41" s="1172"/>
      <c r="FHB41" s="1172"/>
      <c r="FHC41" s="1172"/>
      <c r="FHD41" s="1172"/>
      <c r="FHE41" s="1172"/>
      <c r="FHF41" s="1172"/>
      <c r="FHG41" s="1172"/>
      <c r="FHH41" s="1172"/>
      <c r="FHI41" s="1172"/>
      <c r="FHJ41" s="1172"/>
      <c r="FHK41" s="1172"/>
      <c r="FHL41" s="1172"/>
      <c r="FHM41" s="1172"/>
      <c r="FHN41" s="1172"/>
      <c r="FHO41" s="1172"/>
      <c r="FHP41" s="1172"/>
      <c r="FHQ41" s="1172"/>
      <c r="FHR41" s="1172"/>
      <c r="FHS41" s="1172"/>
      <c r="FHT41" s="1172"/>
      <c r="FHU41" s="1172"/>
      <c r="FHV41" s="1172"/>
      <c r="FHW41" s="1172"/>
      <c r="FHX41" s="1172"/>
      <c r="FHY41" s="1172"/>
      <c r="FHZ41" s="1172"/>
      <c r="FIA41" s="1172"/>
      <c r="FIB41" s="1172"/>
      <c r="FIC41" s="1172"/>
      <c r="FID41" s="1172"/>
      <c r="FIE41" s="1172"/>
      <c r="FIF41" s="1172"/>
      <c r="FIG41" s="1172"/>
      <c r="FIH41" s="1172"/>
      <c r="FII41" s="1172"/>
      <c r="FIJ41" s="1172"/>
      <c r="FIK41" s="1172"/>
      <c r="FIL41" s="1172"/>
      <c r="FIM41" s="1172"/>
      <c r="FIN41" s="1172"/>
      <c r="FIO41" s="1172"/>
      <c r="FIP41" s="1172"/>
      <c r="FIQ41" s="1172"/>
      <c r="FIR41" s="1172"/>
      <c r="FIS41" s="1172"/>
      <c r="FIT41" s="1172"/>
      <c r="FIU41" s="1172"/>
      <c r="FIV41" s="1172"/>
      <c r="FIW41" s="1172"/>
      <c r="FIX41" s="1172"/>
      <c r="FIY41" s="1172"/>
      <c r="FIZ41" s="1172"/>
      <c r="FJA41" s="1172"/>
      <c r="FJB41" s="1172"/>
      <c r="FJC41" s="1172"/>
      <c r="FJD41" s="1172"/>
      <c r="FJE41" s="1172"/>
      <c r="FJF41" s="1172"/>
      <c r="FJG41" s="1172"/>
      <c r="FJH41" s="1172"/>
      <c r="FJI41" s="1172"/>
      <c r="FJJ41" s="1172"/>
      <c r="FJK41" s="1172"/>
      <c r="FJL41" s="1172"/>
      <c r="FJM41" s="1172"/>
      <c r="FJN41" s="1172"/>
      <c r="FJO41" s="1172"/>
      <c r="FJP41" s="1172"/>
      <c r="FJQ41" s="1172"/>
      <c r="FJR41" s="1172"/>
      <c r="FJS41" s="1172"/>
      <c r="FJT41" s="1172"/>
      <c r="FJU41" s="1172"/>
      <c r="FJV41" s="1172"/>
      <c r="FJW41" s="1172"/>
      <c r="FJX41" s="1172"/>
      <c r="FJY41" s="1172"/>
      <c r="FJZ41" s="1172"/>
      <c r="FKA41" s="1172"/>
      <c r="FKB41" s="1172"/>
      <c r="FKC41" s="1172"/>
      <c r="FKD41" s="1172"/>
      <c r="FKE41" s="1172"/>
      <c r="FKF41" s="1172"/>
      <c r="FKG41" s="1172"/>
      <c r="FKH41" s="1172"/>
      <c r="FKI41" s="1172"/>
      <c r="FKJ41" s="1172"/>
      <c r="FKK41" s="1172"/>
      <c r="FKL41" s="1172"/>
      <c r="FKM41" s="1172"/>
      <c r="FKN41" s="1172"/>
      <c r="FKO41" s="1172"/>
      <c r="FKP41" s="1172"/>
      <c r="FKQ41" s="1172"/>
      <c r="FKR41" s="1172"/>
      <c r="FKS41" s="1172"/>
      <c r="FKT41" s="1172"/>
      <c r="FKU41" s="1172"/>
      <c r="FKV41" s="1172"/>
      <c r="FKW41" s="1172"/>
      <c r="FKX41" s="1172"/>
      <c r="FKY41" s="1172"/>
      <c r="FKZ41" s="1172"/>
      <c r="FLA41" s="1172"/>
      <c r="FLB41" s="1172"/>
      <c r="FLC41" s="1172"/>
      <c r="FLD41" s="1172"/>
      <c r="FLE41" s="1172"/>
      <c r="FLF41" s="1172"/>
      <c r="FLG41" s="1172"/>
      <c r="FLH41" s="1172"/>
      <c r="FLI41" s="1172"/>
      <c r="FLJ41" s="1172"/>
      <c r="FLK41" s="1172"/>
      <c r="FLL41" s="1172"/>
      <c r="FLM41" s="1172"/>
      <c r="FLN41" s="1172"/>
      <c r="FLO41" s="1172"/>
      <c r="FLP41" s="1172"/>
      <c r="FLQ41" s="1172"/>
      <c r="FLR41" s="1172"/>
      <c r="FLS41" s="1172"/>
      <c r="FLT41" s="1172"/>
      <c r="FLU41" s="1172"/>
      <c r="FLV41" s="1172"/>
      <c r="FLW41" s="1172"/>
      <c r="FLX41" s="1172"/>
      <c r="FLY41" s="1172"/>
      <c r="FLZ41" s="1172"/>
      <c r="FMA41" s="1172"/>
      <c r="FMB41" s="1172"/>
      <c r="FMC41" s="1172"/>
      <c r="FMD41" s="1172"/>
      <c r="FME41" s="1172"/>
      <c r="FMF41" s="1172"/>
      <c r="FMG41" s="1172"/>
      <c r="FMH41" s="1172"/>
      <c r="FMI41" s="1172"/>
      <c r="FMJ41" s="1172"/>
      <c r="FMK41" s="1172"/>
      <c r="FML41" s="1172"/>
      <c r="FMM41" s="1172"/>
      <c r="FMN41" s="1172"/>
      <c r="FMO41" s="1172"/>
      <c r="FMP41" s="1172"/>
      <c r="FMQ41" s="1172"/>
      <c r="FMR41" s="1172"/>
      <c r="FMS41" s="1172"/>
      <c r="FMT41" s="1172"/>
      <c r="FMU41" s="1172"/>
      <c r="FMV41" s="1172"/>
      <c r="FMW41" s="1172"/>
      <c r="FMX41" s="1172"/>
      <c r="FMY41" s="1172"/>
      <c r="FMZ41" s="1172"/>
      <c r="FNA41" s="1172"/>
      <c r="FNB41" s="1172"/>
      <c r="FNC41" s="1172"/>
      <c r="FND41" s="1172"/>
      <c r="FNE41" s="1172"/>
      <c r="FNF41" s="1172"/>
      <c r="FNG41" s="1172"/>
      <c r="FNH41" s="1172"/>
      <c r="FNI41" s="1172"/>
      <c r="FNJ41" s="1172"/>
      <c r="FNK41" s="1172"/>
      <c r="FNL41" s="1172"/>
      <c r="FNM41" s="1172"/>
      <c r="FNN41" s="1172"/>
      <c r="FNO41" s="1172"/>
      <c r="FNP41" s="1172"/>
      <c r="FNQ41" s="1172"/>
      <c r="FNR41" s="1172"/>
      <c r="FNS41" s="1172"/>
      <c r="FNT41" s="1172"/>
      <c r="FNU41" s="1172"/>
      <c r="FNV41" s="1172"/>
      <c r="FNW41" s="1172"/>
      <c r="FNX41" s="1172"/>
      <c r="FNY41" s="1172"/>
      <c r="FNZ41" s="1172"/>
      <c r="FOA41" s="1172"/>
      <c r="FOB41" s="1172"/>
      <c r="FOC41" s="1172"/>
      <c r="FOD41" s="1172"/>
      <c r="FOE41" s="1172"/>
      <c r="FOF41" s="1172"/>
      <c r="FOG41" s="1172"/>
      <c r="FOH41" s="1172"/>
      <c r="FOI41" s="1172"/>
      <c r="FOJ41" s="1172"/>
      <c r="FOK41" s="1172"/>
      <c r="FOL41" s="1172"/>
      <c r="FOM41" s="1172"/>
      <c r="FON41" s="1172"/>
      <c r="FOO41" s="1172"/>
      <c r="FOP41" s="1172"/>
      <c r="FOQ41" s="1172"/>
      <c r="FOR41" s="1172"/>
      <c r="FOS41" s="1172"/>
      <c r="FOT41" s="1172"/>
      <c r="FOU41" s="1172"/>
      <c r="FOV41" s="1172"/>
      <c r="FOW41" s="1172"/>
      <c r="FOX41" s="1172"/>
      <c r="FOY41" s="1172"/>
      <c r="FOZ41" s="1172"/>
      <c r="FPA41" s="1172"/>
      <c r="FPB41" s="1172"/>
      <c r="FPC41" s="1172"/>
      <c r="FPD41" s="1172"/>
      <c r="FPE41" s="1172"/>
      <c r="FPF41" s="1172"/>
      <c r="FPG41" s="1172"/>
      <c r="FPH41" s="1172"/>
      <c r="FPI41" s="1172"/>
      <c r="FPJ41" s="1172"/>
      <c r="FPK41" s="1172"/>
      <c r="FPL41" s="1172"/>
      <c r="FPM41" s="1172"/>
      <c r="FPN41" s="1172"/>
      <c r="FPO41" s="1172"/>
      <c r="FPP41" s="1172"/>
      <c r="FPQ41" s="1172"/>
      <c r="FPR41" s="1172"/>
      <c r="FPS41" s="1172"/>
      <c r="FPT41" s="1172"/>
      <c r="FPU41" s="1172"/>
      <c r="FPV41" s="1172"/>
      <c r="FPW41" s="1172"/>
      <c r="FPX41" s="1172"/>
      <c r="FPY41" s="1172"/>
      <c r="FPZ41" s="1172"/>
      <c r="FQA41" s="1172"/>
      <c r="FQB41" s="1172"/>
      <c r="FQC41" s="1172"/>
      <c r="FQD41" s="1172"/>
      <c r="FQE41" s="1172"/>
      <c r="FQF41" s="1172"/>
      <c r="FQG41" s="1172"/>
      <c r="FQH41" s="1172"/>
      <c r="FQI41" s="1172"/>
      <c r="FQJ41" s="1172"/>
      <c r="FQK41" s="1172"/>
      <c r="FQL41" s="1172"/>
      <c r="FQM41" s="1172"/>
      <c r="FQN41" s="1172"/>
      <c r="FQO41" s="1172"/>
      <c r="FQP41" s="1172"/>
      <c r="FQQ41" s="1172"/>
      <c r="FQR41" s="1172"/>
      <c r="FQS41" s="1172"/>
      <c r="FQT41" s="1172"/>
      <c r="FQU41" s="1172"/>
      <c r="FQV41" s="1172"/>
      <c r="FQW41" s="1172"/>
      <c r="FQX41" s="1172"/>
      <c r="FQY41" s="1172"/>
      <c r="FQZ41" s="1172"/>
      <c r="FRA41" s="1172"/>
      <c r="FRB41" s="1172"/>
      <c r="FRC41" s="1172"/>
      <c r="FRD41" s="1172"/>
      <c r="FRE41" s="1172"/>
      <c r="FRF41" s="1172"/>
      <c r="FRG41" s="1172"/>
      <c r="FRH41" s="1172"/>
      <c r="FRI41" s="1172"/>
      <c r="FRJ41" s="1172"/>
      <c r="FRK41" s="1172"/>
      <c r="FRL41" s="1172"/>
      <c r="FRM41" s="1172"/>
      <c r="FRN41" s="1172"/>
      <c r="FRO41" s="1172"/>
      <c r="FRP41" s="1172"/>
      <c r="FRQ41" s="1172"/>
      <c r="FRR41" s="1172"/>
      <c r="FRS41" s="1172"/>
      <c r="FRT41" s="1172"/>
      <c r="FRU41" s="1172"/>
      <c r="FRV41" s="1172"/>
      <c r="FRW41" s="1172"/>
      <c r="FRX41" s="1172"/>
      <c r="FRY41" s="1172"/>
      <c r="FRZ41" s="1172"/>
      <c r="FSA41" s="1172"/>
      <c r="FSB41" s="1172"/>
      <c r="FSC41" s="1172"/>
      <c r="FSD41" s="1172"/>
      <c r="FSE41" s="1172"/>
      <c r="FSF41" s="1172"/>
      <c r="FSG41" s="1172"/>
      <c r="FSH41" s="1172"/>
      <c r="FSI41" s="1172"/>
      <c r="FSJ41" s="1172"/>
      <c r="FSK41" s="1172"/>
      <c r="FSL41" s="1172"/>
      <c r="FSM41" s="1172"/>
      <c r="FSN41" s="1172"/>
      <c r="FSO41" s="1172"/>
      <c r="FSP41" s="1172"/>
      <c r="FSQ41" s="1172"/>
      <c r="FSR41" s="1172"/>
      <c r="FSS41" s="1172"/>
      <c r="FST41" s="1172"/>
      <c r="FSU41" s="1172"/>
      <c r="FSV41" s="1172"/>
      <c r="FSW41" s="1172"/>
      <c r="FSX41" s="1172"/>
      <c r="FSY41" s="1172"/>
      <c r="FSZ41" s="1172"/>
      <c r="FTA41" s="1172"/>
      <c r="FTB41" s="1172"/>
      <c r="FTC41" s="1172"/>
      <c r="FTD41" s="1172"/>
      <c r="FTE41" s="1172"/>
      <c r="FTF41" s="1172"/>
      <c r="FTG41" s="1172"/>
      <c r="FTH41" s="1172"/>
      <c r="FTI41" s="1172"/>
      <c r="FTJ41" s="1172"/>
      <c r="FTK41" s="1172"/>
      <c r="FTL41" s="1172"/>
      <c r="FTM41" s="1172"/>
      <c r="FTN41" s="1172"/>
      <c r="FTO41" s="1172"/>
      <c r="FTP41" s="1172"/>
      <c r="FTQ41" s="1172"/>
      <c r="FTR41" s="1172"/>
      <c r="FTS41" s="1172"/>
      <c r="FTT41" s="1172"/>
      <c r="FTU41" s="1172"/>
      <c r="FTV41" s="1172"/>
      <c r="FTW41" s="1172"/>
      <c r="FTX41" s="1172"/>
      <c r="FTY41" s="1172"/>
      <c r="FTZ41" s="1172"/>
      <c r="FUA41" s="1172"/>
      <c r="FUB41" s="1172"/>
      <c r="FUC41" s="1172"/>
      <c r="FUD41" s="1172"/>
      <c r="FUE41" s="1172"/>
      <c r="FUF41" s="1172"/>
      <c r="FUG41" s="1172"/>
      <c r="FUH41" s="1172"/>
      <c r="FUI41" s="1172"/>
      <c r="FUJ41" s="1172"/>
      <c r="FUK41" s="1172"/>
      <c r="FUL41" s="1172"/>
      <c r="FUM41" s="1172"/>
      <c r="FUN41" s="1172"/>
      <c r="FUO41" s="1172"/>
      <c r="FUP41" s="1172"/>
      <c r="FUQ41" s="1172"/>
      <c r="FUR41" s="1172"/>
      <c r="FUS41" s="1172"/>
      <c r="FUT41" s="1172"/>
      <c r="FUU41" s="1172"/>
      <c r="FUV41" s="1172"/>
      <c r="FUW41" s="1172"/>
      <c r="FUX41" s="1172"/>
      <c r="FUY41" s="1172"/>
      <c r="FUZ41" s="1172"/>
      <c r="FVA41" s="1172"/>
      <c r="FVB41" s="1172"/>
      <c r="FVC41" s="1172"/>
      <c r="FVD41" s="1172"/>
      <c r="FVE41" s="1172"/>
      <c r="FVF41" s="1172"/>
      <c r="FVG41" s="1172"/>
      <c r="FVH41" s="1172"/>
      <c r="FVI41" s="1172"/>
      <c r="FVJ41" s="1172"/>
      <c r="FVK41" s="1172"/>
      <c r="FVL41" s="1172"/>
      <c r="FVM41" s="1172"/>
      <c r="FVN41" s="1172"/>
      <c r="FVO41" s="1172"/>
      <c r="FVP41" s="1172"/>
      <c r="FVQ41" s="1172"/>
      <c r="FVR41" s="1172"/>
      <c r="FVS41" s="1172"/>
      <c r="FVT41" s="1172"/>
      <c r="FVU41" s="1172"/>
      <c r="FVV41" s="1172"/>
      <c r="FVW41" s="1172"/>
      <c r="FVX41" s="1172"/>
      <c r="FVY41" s="1172"/>
      <c r="FVZ41" s="1172"/>
      <c r="FWA41" s="1172"/>
      <c r="FWB41" s="1172"/>
      <c r="FWC41" s="1172"/>
      <c r="FWD41" s="1172"/>
      <c r="FWE41" s="1172"/>
      <c r="FWF41" s="1172"/>
      <c r="FWG41" s="1172"/>
      <c r="FWH41" s="1172"/>
      <c r="FWI41" s="1172"/>
      <c r="FWJ41" s="1172"/>
      <c r="FWK41" s="1172"/>
      <c r="FWL41" s="1172"/>
      <c r="FWM41" s="1172"/>
      <c r="FWN41" s="1172"/>
      <c r="FWO41" s="1172"/>
      <c r="FWP41" s="1172"/>
      <c r="FWQ41" s="1172"/>
      <c r="FWR41" s="1172"/>
      <c r="FWS41" s="1172"/>
      <c r="FWT41" s="1172"/>
      <c r="FWU41" s="1172"/>
      <c r="FWV41" s="1172"/>
      <c r="FWW41" s="1172"/>
      <c r="FWX41" s="1172"/>
      <c r="FWY41" s="1172"/>
      <c r="FWZ41" s="1172"/>
      <c r="FXA41" s="1172"/>
      <c r="FXB41" s="1172"/>
      <c r="FXC41" s="1172"/>
      <c r="FXD41" s="1172"/>
      <c r="FXE41" s="1172"/>
      <c r="FXF41" s="1172"/>
      <c r="FXG41" s="1172"/>
      <c r="FXH41" s="1172"/>
      <c r="FXI41" s="1172"/>
      <c r="FXJ41" s="1172"/>
      <c r="FXK41" s="1172"/>
      <c r="FXL41" s="1172"/>
      <c r="FXM41" s="1172"/>
      <c r="FXN41" s="1172"/>
      <c r="FXO41" s="1172"/>
      <c r="FXP41" s="1172"/>
      <c r="FXQ41" s="1172"/>
      <c r="FXR41" s="1172"/>
      <c r="FXS41" s="1172"/>
      <c r="FXT41" s="1172"/>
      <c r="FXU41" s="1172"/>
      <c r="FXV41" s="1172"/>
      <c r="FXW41" s="1172"/>
      <c r="FXX41" s="1172"/>
      <c r="FXY41" s="1172"/>
      <c r="FXZ41" s="1172"/>
      <c r="FYA41" s="1172"/>
      <c r="FYB41" s="1172"/>
      <c r="FYC41" s="1172"/>
      <c r="FYD41" s="1172"/>
      <c r="FYE41" s="1172"/>
      <c r="FYF41" s="1172"/>
      <c r="FYG41" s="1172"/>
      <c r="FYH41" s="1172"/>
      <c r="FYI41" s="1172"/>
      <c r="FYJ41" s="1172"/>
      <c r="FYK41" s="1172"/>
      <c r="FYL41" s="1172"/>
      <c r="FYM41" s="1172"/>
      <c r="FYN41" s="1172"/>
      <c r="FYO41" s="1172"/>
      <c r="FYP41" s="1172"/>
      <c r="FYQ41" s="1172"/>
      <c r="FYR41" s="1172"/>
      <c r="FYS41" s="1172"/>
      <c r="FYT41" s="1172"/>
      <c r="FYU41" s="1172"/>
      <c r="FYV41" s="1172"/>
      <c r="FYW41" s="1172"/>
      <c r="FYX41" s="1172"/>
      <c r="FYY41" s="1172"/>
      <c r="FYZ41" s="1172"/>
      <c r="FZA41" s="1172"/>
      <c r="FZB41" s="1172"/>
      <c r="FZC41" s="1172"/>
      <c r="FZD41" s="1172"/>
      <c r="FZE41" s="1172"/>
      <c r="FZF41" s="1172"/>
      <c r="FZG41" s="1172"/>
      <c r="FZH41" s="1172"/>
      <c r="FZI41" s="1172"/>
      <c r="FZJ41" s="1172"/>
      <c r="FZK41" s="1172"/>
      <c r="FZL41" s="1172"/>
      <c r="FZM41" s="1172"/>
      <c r="FZN41" s="1172"/>
      <c r="FZO41" s="1172"/>
      <c r="FZP41" s="1172"/>
      <c r="FZQ41" s="1172"/>
      <c r="FZR41" s="1172"/>
      <c r="FZS41" s="1172"/>
      <c r="FZT41" s="1172"/>
      <c r="FZU41" s="1172"/>
      <c r="FZV41" s="1172"/>
      <c r="FZW41" s="1172"/>
      <c r="FZX41" s="1172"/>
      <c r="FZY41" s="1172"/>
      <c r="FZZ41" s="1172"/>
      <c r="GAA41" s="1172"/>
      <c r="GAB41" s="1172"/>
      <c r="GAC41" s="1172"/>
      <c r="GAD41" s="1172"/>
      <c r="GAE41" s="1172"/>
      <c r="GAF41" s="1172"/>
      <c r="GAG41" s="1172"/>
      <c r="GAH41" s="1172"/>
      <c r="GAI41" s="1172"/>
      <c r="GAJ41" s="1172"/>
      <c r="GAK41" s="1172"/>
      <c r="GAL41" s="1172"/>
      <c r="GAM41" s="1172"/>
      <c r="GAN41" s="1172"/>
      <c r="GAO41" s="1172"/>
      <c r="GAP41" s="1172"/>
      <c r="GAQ41" s="1172"/>
      <c r="GAR41" s="1172"/>
      <c r="GAS41" s="1172"/>
      <c r="GAT41" s="1172"/>
      <c r="GAU41" s="1172"/>
      <c r="GAV41" s="1172"/>
      <c r="GAW41" s="1172"/>
      <c r="GAX41" s="1172"/>
      <c r="GAY41" s="1172"/>
      <c r="GAZ41" s="1172"/>
      <c r="GBA41" s="1172"/>
      <c r="GBB41" s="1172"/>
      <c r="GBC41" s="1172"/>
      <c r="GBD41" s="1172"/>
      <c r="GBE41" s="1172"/>
      <c r="GBF41" s="1172"/>
      <c r="GBG41" s="1172"/>
      <c r="GBH41" s="1172"/>
      <c r="GBI41" s="1172"/>
      <c r="GBJ41" s="1172"/>
      <c r="GBK41" s="1172"/>
      <c r="GBL41" s="1172"/>
      <c r="GBM41" s="1172"/>
      <c r="GBN41" s="1172"/>
      <c r="GBO41" s="1172"/>
      <c r="GBP41" s="1172"/>
      <c r="GBQ41" s="1172"/>
      <c r="GBR41" s="1172"/>
      <c r="GBS41" s="1172"/>
      <c r="GBT41" s="1172"/>
      <c r="GBU41" s="1172"/>
      <c r="GBV41" s="1172"/>
      <c r="GBW41" s="1172"/>
      <c r="GBX41" s="1172"/>
      <c r="GBY41" s="1172"/>
      <c r="GBZ41" s="1172"/>
      <c r="GCA41" s="1172"/>
      <c r="GCB41" s="1172"/>
      <c r="GCC41" s="1172"/>
      <c r="GCD41" s="1172"/>
      <c r="GCE41" s="1172"/>
      <c r="GCF41" s="1172"/>
      <c r="GCG41" s="1172"/>
      <c r="GCH41" s="1172"/>
      <c r="GCI41" s="1172"/>
      <c r="GCJ41" s="1172"/>
      <c r="GCK41" s="1172"/>
      <c r="GCL41" s="1172"/>
      <c r="GCM41" s="1172"/>
      <c r="GCN41" s="1172"/>
      <c r="GCO41" s="1172"/>
      <c r="GCP41" s="1172"/>
      <c r="GCQ41" s="1172"/>
      <c r="GCR41" s="1172"/>
      <c r="GCS41" s="1172"/>
      <c r="GCT41" s="1172"/>
      <c r="GCU41" s="1172"/>
      <c r="GCV41" s="1172"/>
      <c r="GCW41" s="1172"/>
      <c r="GCX41" s="1172"/>
      <c r="GCY41" s="1172"/>
      <c r="GCZ41" s="1172"/>
      <c r="GDA41" s="1172"/>
      <c r="GDB41" s="1172"/>
      <c r="GDC41" s="1172"/>
      <c r="GDD41" s="1172"/>
      <c r="GDE41" s="1172"/>
      <c r="GDF41" s="1172"/>
      <c r="GDG41" s="1172"/>
      <c r="GDH41" s="1172"/>
      <c r="GDI41" s="1172"/>
      <c r="GDJ41" s="1172"/>
      <c r="GDK41" s="1172"/>
      <c r="GDL41" s="1172"/>
      <c r="GDM41" s="1172"/>
      <c r="GDN41" s="1172"/>
      <c r="GDO41" s="1172"/>
      <c r="GDP41" s="1172"/>
      <c r="GDQ41" s="1172"/>
      <c r="GDR41" s="1172"/>
      <c r="GDS41" s="1172"/>
      <c r="GDT41" s="1172"/>
      <c r="GDU41" s="1172"/>
      <c r="GDV41" s="1172"/>
      <c r="GDW41" s="1172"/>
      <c r="GDX41" s="1172"/>
      <c r="GDY41" s="1172"/>
      <c r="GDZ41" s="1172"/>
      <c r="GEA41" s="1172"/>
      <c r="GEB41" s="1172"/>
      <c r="GEC41" s="1172"/>
      <c r="GED41" s="1172"/>
      <c r="GEE41" s="1172"/>
      <c r="GEF41" s="1172"/>
      <c r="GEG41" s="1172"/>
      <c r="GEH41" s="1172"/>
      <c r="GEI41" s="1172"/>
      <c r="GEJ41" s="1172"/>
      <c r="GEK41" s="1172"/>
      <c r="GEL41" s="1172"/>
      <c r="GEM41" s="1172"/>
      <c r="GEN41" s="1172"/>
      <c r="GEO41" s="1172"/>
      <c r="GEP41" s="1172"/>
      <c r="GEQ41" s="1172"/>
      <c r="GER41" s="1172"/>
      <c r="GES41" s="1172"/>
      <c r="GET41" s="1172"/>
      <c r="GEU41" s="1172"/>
      <c r="GEV41" s="1172"/>
      <c r="GEW41" s="1172"/>
      <c r="GEX41" s="1172"/>
      <c r="GEY41" s="1172"/>
      <c r="GEZ41" s="1172"/>
      <c r="GFA41" s="1172"/>
      <c r="GFB41" s="1172"/>
      <c r="GFC41" s="1172"/>
      <c r="GFD41" s="1172"/>
      <c r="GFE41" s="1172"/>
      <c r="GFF41" s="1172"/>
      <c r="GFG41" s="1172"/>
      <c r="GFH41" s="1172"/>
      <c r="GFI41" s="1172"/>
      <c r="GFJ41" s="1172"/>
      <c r="GFK41" s="1172"/>
      <c r="GFL41" s="1172"/>
      <c r="GFM41" s="1172"/>
      <c r="GFN41" s="1172"/>
      <c r="GFO41" s="1172"/>
      <c r="GFP41" s="1172"/>
      <c r="GFQ41" s="1172"/>
      <c r="GFR41" s="1172"/>
      <c r="GFS41" s="1172"/>
      <c r="GFT41" s="1172"/>
      <c r="GFU41" s="1172"/>
      <c r="GFV41" s="1172"/>
      <c r="GFW41" s="1172"/>
      <c r="GFX41" s="1172"/>
      <c r="GFY41" s="1172"/>
      <c r="GFZ41" s="1172"/>
      <c r="GGA41" s="1172"/>
      <c r="GGB41" s="1172"/>
      <c r="GGC41" s="1172"/>
      <c r="GGD41" s="1172"/>
      <c r="GGE41" s="1172"/>
      <c r="GGF41" s="1172"/>
      <c r="GGG41" s="1172"/>
      <c r="GGH41" s="1172"/>
      <c r="GGI41" s="1172"/>
      <c r="GGJ41" s="1172"/>
      <c r="GGK41" s="1172"/>
      <c r="GGL41" s="1172"/>
      <c r="GGM41" s="1172"/>
      <c r="GGN41" s="1172"/>
      <c r="GGO41" s="1172"/>
      <c r="GGP41" s="1172"/>
      <c r="GGQ41" s="1172"/>
      <c r="GGR41" s="1172"/>
      <c r="GGS41" s="1172"/>
      <c r="GGT41" s="1172"/>
      <c r="GGU41" s="1172"/>
      <c r="GGV41" s="1172"/>
      <c r="GGW41" s="1172"/>
      <c r="GGX41" s="1172"/>
      <c r="GGY41" s="1172"/>
      <c r="GGZ41" s="1172"/>
      <c r="GHA41" s="1172"/>
      <c r="GHB41" s="1172"/>
      <c r="GHC41" s="1172"/>
      <c r="GHD41" s="1172"/>
      <c r="GHE41" s="1172"/>
      <c r="GHF41" s="1172"/>
      <c r="GHG41" s="1172"/>
      <c r="GHH41" s="1172"/>
      <c r="GHI41" s="1172"/>
      <c r="GHJ41" s="1172"/>
      <c r="GHK41" s="1172"/>
      <c r="GHL41" s="1172"/>
      <c r="GHM41" s="1172"/>
      <c r="GHN41" s="1172"/>
      <c r="GHO41" s="1172"/>
      <c r="GHP41" s="1172"/>
      <c r="GHQ41" s="1172"/>
      <c r="GHR41" s="1172"/>
      <c r="GHS41" s="1172"/>
      <c r="GHT41" s="1172"/>
      <c r="GHU41" s="1172"/>
      <c r="GHV41" s="1172"/>
      <c r="GHW41" s="1172"/>
      <c r="GHX41" s="1172"/>
      <c r="GHY41" s="1172"/>
      <c r="GHZ41" s="1172"/>
      <c r="GIA41" s="1172"/>
      <c r="GIB41" s="1172"/>
      <c r="GIC41" s="1172"/>
      <c r="GID41" s="1172"/>
      <c r="GIE41" s="1172"/>
      <c r="GIF41" s="1172"/>
      <c r="GIG41" s="1172"/>
      <c r="GIH41" s="1172"/>
      <c r="GII41" s="1172"/>
      <c r="GIJ41" s="1172"/>
      <c r="GIK41" s="1172"/>
      <c r="GIL41" s="1172"/>
      <c r="GIM41" s="1172"/>
      <c r="GIN41" s="1172"/>
      <c r="GIO41" s="1172"/>
      <c r="GIP41" s="1172"/>
      <c r="GIQ41" s="1172"/>
      <c r="GIR41" s="1172"/>
      <c r="GIS41" s="1172"/>
      <c r="GIT41" s="1172"/>
      <c r="GIU41" s="1172"/>
      <c r="GIV41" s="1172"/>
      <c r="GIW41" s="1172"/>
      <c r="GIX41" s="1172"/>
      <c r="GIY41" s="1172"/>
      <c r="GIZ41" s="1172"/>
      <c r="GJA41" s="1172"/>
      <c r="GJB41" s="1172"/>
      <c r="GJC41" s="1172"/>
      <c r="GJD41" s="1172"/>
      <c r="GJE41" s="1172"/>
      <c r="GJF41" s="1172"/>
      <c r="GJG41" s="1172"/>
      <c r="GJH41" s="1172"/>
      <c r="GJI41" s="1172"/>
      <c r="GJJ41" s="1172"/>
      <c r="GJK41" s="1172"/>
      <c r="GJL41" s="1172"/>
      <c r="GJM41" s="1172"/>
      <c r="GJN41" s="1172"/>
      <c r="GJO41" s="1172"/>
      <c r="GJP41" s="1172"/>
      <c r="GJQ41" s="1172"/>
      <c r="GJR41" s="1172"/>
      <c r="GJS41" s="1172"/>
      <c r="GJT41" s="1172"/>
      <c r="GJU41" s="1172"/>
      <c r="GJV41" s="1172"/>
      <c r="GJW41" s="1172"/>
      <c r="GJX41" s="1172"/>
      <c r="GJY41" s="1172"/>
      <c r="GJZ41" s="1172"/>
      <c r="GKA41" s="1172"/>
      <c r="GKB41" s="1172"/>
      <c r="GKC41" s="1172"/>
      <c r="GKD41" s="1172"/>
      <c r="GKE41" s="1172"/>
      <c r="GKF41" s="1172"/>
      <c r="GKG41" s="1172"/>
      <c r="GKH41" s="1172"/>
      <c r="GKI41" s="1172"/>
      <c r="GKJ41" s="1172"/>
      <c r="GKK41" s="1172"/>
      <c r="GKL41" s="1172"/>
      <c r="GKM41" s="1172"/>
      <c r="GKN41" s="1172"/>
      <c r="GKO41" s="1172"/>
      <c r="GKP41" s="1172"/>
      <c r="GKQ41" s="1172"/>
      <c r="GKR41" s="1172"/>
      <c r="GKS41" s="1172"/>
      <c r="GKT41" s="1172"/>
      <c r="GKU41" s="1172"/>
      <c r="GKV41" s="1172"/>
      <c r="GKW41" s="1172"/>
      <c r="GKX41" s="1172"/>
      <c r="GKY41" s="1172"/>
      <c r="GKZ41" s="1172"/>
      <c r="GLA41" s="1172"/>
      <c r="GLB41" s="1172"/>
      <c r="GLC41" s="1172"/>
      <c r="GLD41" s="1172"/>
      <c r="GLE41" s="1172"/>
      <c r="GLF41" s="1172"/>
      <c r="GLG41" s="1172"/>
      <c r="GLH41" s="1172"/>
      <c r="GLI41" s="1172"/>
      <c r="GLJ41" s="1172"/>
      <c r="GLK41" s="1172"/>
      <c r="GLL41" s="1172"/>
      <c r="GLM41" s="1172"/>
      <c r="GLN41" s="1172"/>
      <c r="GLO41" s="1172"/>
      <c r="GLP41" s="1172"/>
      <c r="GLQ41" s="1172"/>
      <c r="GLR41" s="1172"/>
      <c r="GLS41" s="1172"/>
      <c r="GLT41" s="1172"/>
      <c r="GLU41" s="1172"/>
      <c r="GLV41" s="1172"/>
      <c r="GLW41" s="1172"/>
      <c r="GLX41" s="1172"/>
      <c r="GLY41" s="1172"/>
      <c r="GLZ41" s="1172"/>
      <c r="GMA41" s="1172"/>
      <c r="GMB41" s="1172"/>
      <c r="GMC41" s="1172"/>
      <c r="GMD41" s="1172"/>
      <c r="GME41" s="1172"/>
      <c r="GMF41" s="1172"/>
      <c r="GMG41" s="1172"/>
      <c r="GMH41" s="1172"/>
      <c r="GMI41" s="1172"/>
      <c r="GMJ41" s="1172"/>
      <c r="GMK41" s="1172"/>
      <c r="GML41" s="1172"/>
      <c r="GMM41" s="1172"/>
      <c r="GMN41" s="1172"/>
      <c r="GMO41" s="1172"/>
      <c r="GMP41" s="1172"/>
      <c r="GMQ41" s="1172"/>
      <c r="GMR41" s="1172"/>
      <c r="GMS41" s="1172"/>
      <c r="GMT41" s="1172"/>
      <c r="GMU41" s="1172"/>
      <c r="GMV41" s="1172"/>
      <c r="GMW41" s="1172"/>
      <c r="GMX41" s="1172"/>
      <c r="GMY41" s="1172"/>
      <c r="GMZ41" s="1172"/>
      <c r="GNA41" s="1172"/>
      <c r="GNB41" s="1172"/>
      <c r="GNC41" s="1172"/>
      <c r="GND41" s="1172"/>
      <c r="GNE41" s="1172"/>
      <c r="GNF41" s="1172"/>
      <c r="GNG41" s="1172"/>
      <c r="GNH41" s="1172"/>
      <c r="GNI41" s="1172"/>
      <c r="GNJ41" s="1172"/>
      <c r="GNK41" s="1172"/>
      <c r="GNL41" s="1172"/>
      <c r="GNM41" s="1172"/>
      <c r="GNN41" s="1172"/>
      <c r="GNO41" s="1172"/>
      <c r="GNP41" s="1172"/>
      <c r="GNQ41" s="1172"/>
      <c r="GNR41" s="1172"/>
      <c r="GNS41" s="1172"/>
      <c r="GNT41" s="1172"/>
      <c r="GNU41" s="1172"/>
      <c r="GNV41" s="1172"/>
      <c r="GNW41" s="1172"/>
      <c r="GNX41" s="1172"/>
      <c r="GNY41" s="1172"/>
      <c r="GNZ41" s="1172"/>
      <c r="GOA41" s="1172"/>
      <c r="GOB41" s="1172"/>
      <c r="GOC41" s="1172"/>
      <c r="GOD41" s="1172"/>
      <c r="GOE41" s="1172"/>
      <c r="GOF41" s="1172"/>
      <c r="GOG41" s="1172"/>
      <c r="GOH41" s="1172"/>
      <c r="GOI41" s="1172"/>
      <c r="GOJ41" s="1172"/>
      <c r="GOK41" s="1172"/>
      <c r="GOL41" s="1172"/>
      <c r="GOM41" s="1172"/>
      <c r="GON41" s="1172"/>
      <c r="GOO41" s="1172"/>
      <c r="GOP41" s="1172"/>
      <c r="GOQ41" s="1172"/>
      <c r="GOR41" s="1172"/>
      <c r="GOS41" s="1172"/>
      <c r="GOT41" s="1172"/>
      <c r="GOU41" s="1172"/>
      <c r="GOV41" s="1172"/>
      <c r="GOW41" s="1172"/>
      <c r="GOX41" s="1172"/>
      <c r="GOY41" s="1172"/>
      <c r="GOZ41" s="1172"/>
      <c r="GPA41" s="1172"/>
      <c r="GPB41" s="1172"/>
      <c r="GPC41" s="1172"/>
      <c r="GPD41" s="1172"/>
      <c r="GPE41" s="1172"/>
      <c r="GPF41" s="1172"/>
      <c r="GPG41" s="1172"/>
      <c r="GPH41" s="1172"/>
      <c r="GPI41" s="1172"/>
      <c r="GPJ41" s="1172"/>
      <c r="GPK41" s="1172"/>
      <c r="GPL41" s="1172"/>
      <c r="GPM41" s="1172"/>
      <c r="GPN41" s="1172"/>
      <c r="GPO41" s="1172"/>
      <c r="GPP41" s="1172"/>
      <c r="GPQ41" s="1172"/>
      <c r="GPR41" s="1172"/>
      <c r="GPS41" s="1172"/>
      <c r="GPT41" s="1172"/>
      <c r="GPU41" s="1172"/>
      <c r="GPV41" s="1172"/>
      <c r="GPW41" s="1172"/>
      <c r="GPX41" s="1172"/>
      <c r="GPY41" s="1172"/>
      <c r="GPZ41" s="1172"/>
      <c r="GQA41" s="1172"/>
      <c r="GQB41" s="1172"/>
      <c r="GQC41" s="1172"/>
      <c r="GQD41" s="1172"/>
      <c r="GQE41" s="1172"/>
      <c r="GQF41" s="1172"/>
      <c r="GQG41" s="1172"/>
      <c r="GQH41" s="1172"/>
      <c r="GQI41" s="1172"/>
      <c r="GQJ41" s="1172"/>
      <c r="GQK41" s="1172"/>
      <c r="GQL41" s="1172"/>
      <c r="GQM41" s="1172"/>
      <c r="GQN41" s="1172"/>
      <c r="GQO41" s="1172"/>
      <c r="GQP41" s="1172"/>
      <c r="GQQ41" s="1172"/>
      <c r="GQR41" s="1172"/>
      <c r="GQS41" s="1172"/>
      <c r="GQT41" s="1172"/>
      <c r="GQU41" s="1172"/>
      <c r="GQV41" s="1172"/>
      <c r="GQW41" s="1172"/>
      <c r="GQX41" s="1172"/>
      <c r="GQY41" s="1172"/>
      <c r="GQZ41" s="1172"/>
      <c r="GRA41" s="1172"/>
      <c r="GRB41" s="1172"/>
      <c r="GRC41" s="1172"/>
      <c r="GRD41" s="1172"/>
      <c r="GRE41" s="1172"/>
      <c r="GRF41" s="1172"/>
      <c r="GRG41" s="1172"/>
      <c r="GRH41" s="1172"/>
      <c r="GRI41" s="1172"/>
      <c r="GRJ41" s="1172"/>
      <c r="GRK41" s="1172"/>
      <c r="GRL41" s="1172"/>
      <c r="GRM41" s="1172"/>
      <c r="GRN41" s="1172"/>
      <c r="GRO41" s="1172"/>
      <c r="GRP41" s="1172"/>
      <c r="GRQ41" s="1172"/>
      <c r="GRR41" s="1172"/>
      <c r="GRS41" s="1172"/>
      <c r="GRT41" s="1172"/>
      <c r="GRU41" s="1172"/>
      <c r="GRV41" s="1172"/>
      <c r="GRW41" s="1172"/>
      <c r="GRX41" s="1172"/>
      <c r="GRY41" s="1172"/>
      <c r="GRZ41" s="1172"/>
      <c r="GSA41" s="1172"/>
      <c r="GSB41" s="1172"/>
      <c r="GSC41" s="1172"/>
      <c r="GSD41" s="1172"/>
      <c r="GSE41" s="1172"/>
      <c r="GSF41" s="1172"/>
      <c r="GSG41" s="1172"/>
      <c r="GSH41" s="1172"/>
      <c r="GSI41" s="1172"/>
      <c r="GSJ41" s="1172"/>
      <c r="GSK41" s="1172"/>
      <c r="GSL41" s="1172"/>
      <c r="GSM41" s="1172"/>
      <c r="GSN41" s="1172"/>
      <c r="GSO41" s="1172"/>
      <c r="GSP41" s="1172"/>
      <c r="GSQ41" s="1172"/>
      <c r="GSR41" s="1172"/>
      <c r="GSS41" s="1172"/>
      <c r="GST41" s="1172"/>
      <c r="GSU41" s="1172"/>
      <c r="GSV41" s="1172"/>
      <c r="GSW41" s="1172"/>
      <c r="GSX41" s="1172"/>
      <c r="GSY41" s="1172"/>
      <c r="GSZ41" s="1172"/>
      <c r="GTA41" s="1172"/>
      <c r="GTB41" s="1172"/>
      <c r="GTC41" s="1172"/>
      <c r="GTD41" s="1172"/>
      <c r="GTE41" s="1172"/>
      <c r="GTF41" s="1172"/>
      <c r="GTG41" s="1172"/>
      <c r="GTH41" s="1172"/>
      <c r="GTI41" s="1172"/>
      <c r="GTJ41" s="1172"/>
      <c r="GTK41" s="1172"/>
      <c r="GTL41" s="1172"/>
      <c r="GTM41" s="1172"/>
      <c r="GTN41" s="1172"/>
      <c r="GTO41" s="1172"/>
      <c r="GTP41" s="1172"/>
      <c r="GTQ41" s="1172"/>
      <c r="GTR41" s="1172"/>
      <c r="GTS41" s="1172"/>
      <c r="GTT41" s="1172"/>
      <c r="GTU41" s="1172"/>
      <c r="GTV41" s="1172"/>
      <c r="GTW41" s="1172"/>
      <c r="GTX41" s="1172"/>
      <c r="GTY41" s="1172"/>
      <c r="GTZ41" s="1172"/>
      <c r="GUA41" s="1172"/>
      <c r="GUB41" s="1172"/>
      <c r="GUC41" s="1172"/>
      <c r="GUD41" s="1172"/>
      <c r="GUE41" s="1172"/>
      <c r="GUF41" s="1172"/>
      <c r="GUG41" s="1172"/>
      <c r="GUH41" s="1172"/>
      <c r="GUI41" s="1172"/>
      <c r="GUJ41" s="1172"/>
      <c r="GUK41" s="1172"/>
      <c r="GUL41" s="1172"/>
      <c r="GUM41" s="1172"/>
      <c r="GUN41" s="1172"/>
      <c r="GUO41" s="1172"/>
      <c r="GUP41" s="1172"/>
      <c r="GUQ41" s="1172"/>
      <c r="GUR41" s="1172"/>
      <c r="GUS41" s="1172"/>
      <c r="GUT41" s="1172"/>
      <c r="GUU41" s="1172"/>
      <c r="GUV41" s="1172"/>
      <c r="GUW41" s="1172"/>
      <c r="GUX41" s="1172"/>
      <c r="GUY41" s="1172"/>
      <c r="GUZ41" s="1172"/>
      <c r="GVA41" s="1172"/>
      <c r="GVB41" s="1172"/>
      <c r="GVC41" s="1172"/>
      <c r="GVD41" s="1172"/>
      <c r="GVE41" s="1172"/>
      <c r="GVF41" s="1172"/>
      <c r="GVG41" s="1172"/>
      <c r="GVH41" s="1172"/>
      <c r="GVI41" s="1172"/>
      <c r="GVJ41" s="1172"/>
      <c r="GVK41" s="1172"/>
      <c r="GVL41" s="1172"/>
      <c r="GVM41" s="1172"/>
      <c r="GVN41" s="1172"/>
      <c r="GVO41" s="1172"/>
      <c r="GVP41" s="1172"/>
      <c r="GVQ41" s="1172"/>
      <c r="GVR41" s="1172"/>
      <c r="GVS41" s="1172"/>
      <c r="GVT41" s="1172"/>
      <c r="GVU41" s="1172"/>
      <c r="GVV41" s="1172"/>
      <c r="GVW41" s="1172"/>
      <c r="GVX41" s="1172"/>
      <c r="GVY41" s="1172"/>
      <c r="GVZ41" s="1172"/>
      <c r="GWA41" s="1172"/>
      <c r="GWB41" s="1172"/>
      <c r="GWC41" s="1172"/>
      <c r="GWD41" s="1172"/>
      <c r="GWE41" s="1172"/>
      <c r="GWF41" s="1172"/>
      <c r="GWG41" s="1172"/>
      <c r="GWH41" s="1172"/>
      <c r="GWI41" s="1172"/>
      <c r="GWJ41" s="1172"/>
      <c r="GWK41" s="1172"/>
      <c r="GWL41" s="1172"/>
      <c r="GWM41" s="1172"/>
      <c r="GWN41" s="1172"/>
      <c r="GWO41" s="1172"/>
      <c r="GWP41" s="1172"/>
      <c r="GWQ41" s="1172"/>
      <c r="GWR41" s="1172"/>
      <c r="GWS41" s="1172"/>
      <c r="GWT41" s="1172"/>
      <c r="GWU41" s="1172"/>
      <c r="GWV41" s="1172"/>
      <c r="GWW41" s="1172"/>
      <c r="GWX41" s="1172"/>
      <c r="GWY41" s="1172"/>
      <c r="GWZ41" s="1172"/>
      <c r="GXA41" s="1172"/>
      <c r="GXB41" s="1172"/>
      <c r="GXC41" s="1172"/>
      <c r="GXD41" s="1172"/>
      <c r="GXE41" s="1172"/>
      <c r="GXF41" s="1172"/>
      <c r="GXG41" s="1172"/>
      <c r="GXH41" s="1172"/>
      <c r="GXI41" s="1172"/>
      <c r="GXJ41" s="1172"/>
      <c r="GXK41" s="1172"/>
      <c r="GXL41" s="1172"/>
      <c r="GXM41" s="1172"/>
      <c r="GXN41" s="1172"/>
      <c r="GXO41" s="1172"/>
      <c r="GXP41" s="1172"/>
      <c r="GXQ41" s="1172"/>
      <c r="GXR41" s="1172"/>
      <c r="GXS41" s="1172"/>
      <c r="GXT41" s="1172"/>
      <c r="GXU41" s="1172"/>
      <c r="GXV41" s="1172"/>
      <c r="GXW41" s="1172"/>
      <c r="GXX41" s="1172"/>
      <c r="GXY41" s="1172"/>
      <c r="GXZ41" s="1172"/>
      <c r="GYA41" s="1172"/>
      <c r="GYB41" s="1172"/>
      <c r="GYC41" s="1172"/>
      <c r="GYD41" s="1172"/>
      <c r="GYE41" s="1172"/>
      <c r="GYF41" s="1172"/>
      <c r="GYG41" s="1172"/>
      <c r="GYH41" s="1172"/>
      <c r="GYI41" s="1172"/>
      <c r="GYJ41" s="1172"/>
      <c r="GYK41" s="1172"/>
      <c r="GYL41" s="1172"/>
      <c r="GYM41" s="1172"/>
      <c r="GYN41" s="1172"/>
      <c r="GYO41" s="1172"/>
      <c r="GYP41" s="1172"/>
      <c r="GYQ41" s="1172"/>
      <c r="GYR41" s="1172"/>
      <c r="GYS41" s="1172"/>
      <c r="GYT41" s="1172"/>
      <c r="GYU41" s="1172"/>
      <c r="GYV41" s="1172"/>
      <c r="GYW41" s="1172"/>
      <c r="GYX41" s="1172"/>
      <c r="GYY41" s="1172"/>
      <c r="GYZ41" s="1172"/>
      <c r="GZA41" s="1172"/>
      <c r="GZB41" s="1172"/>
      <c r="GZC41" s="1172"/>
      <c r="GZD41" s="1172"/>
      <c r="GZE41" s="1172"/>
      <c r="GZF41" s="1172"/>
      <c r="GZG41" s="1172"/>
      <c r="GZH41" s="1172"/>
      <c r="GZI41" s="1172"/>
      <c r="GZJ41" s="1172"/>
      <c r="GZK41" s="1172"/>
      <c r="GZL41" s="1172"/>
      <c r="GZM41" s="1172"/>
      <c r="GZN41" s="1172"/>
      <c r="GZO41" s="1172"/>
      <c r="GZP41" s="1172"/>
      <c r="GZQ41" s="1172"/>
      <c r="GZR41" s="1172"/>
      <c r="GZS41" s="1172"/>
      <c r="GZT41" s="1172"/>
      <c r="GZU41" s="1172"/>
      <c r="GZV41" s="1172"/>
      <c r="GZW41" s="1172"/>
      <c r="GZX41" s="1172"/>
      <c r="GZY41" s="1172"/>
      <c r="GZZ41" s="1172"/>
      <c r="HAA41" s="1172"/>
      <c r="HAB41" s="1172"/>
      <c r="HAC41" s="1172"/>
      <c r="HAD41" s="1172"/>
      <c r="HAE41" s="1172"/>
      <c r="HAF41" s="1172"/>
      <c r="HAG41" s="1172"/>
      <c r="HAH41" s="1172"/>
      <c r="HAI41" s="1172"/>
      <c r="HAJ41" s="1172"/>
      <c r="HAK41" s="1172"/>
      <c r="HAL41" s="1172"/>
      <c r="HAM41" s="1172"/>
      <c r="HAN41" s="1172"/>
      <c r="HAO41" s="1172"/>
      <c r="HAP41" s="1172"/>
      <c r="HAQ41" s="1172"/>
      <c r="HAR41" s="1172"/>
      <c r="HAS41" s="1172"/>
      <c r="HAT41" s="1172"/>
      <c r="HAU41" s="1172"/>
      <c r="HAV41" s="1172"/>
      <c r="HAW41" s="1172"/>
      <c r="HAX41" s="1172"/>
      <c r="HAY41" s="1172"/>
      <c r="HAZ41" s="1172"/>
      <c r="HBA41" s="1172"/>
      <c r="HBB41" s="1172"/>
      <c r="HBC41" s="1172"/>
      <c r="HBD41" s="1172"/>
      <c r="HBE41" s="1172"/>
      <c r="HBF41" s="1172"/>
      <c r="HBG41" s="1172"/>
      <c r="HBH41" s="1172"/>
      <c r="HBI41" s="1172"/>
      <c r="HBJ41" s="1172"/>
      <c r="HBK41" s="1172"/>
      <c r="HBL41" s="1172"/>
      <c r="HBM41" s="1172"/>
      <c r="HBN41" s="1172"/>
      <c r="HBO41" s="1172"/>
      <c r="HBP41" s="1172"/>
      <c r="HBQ41" s="1172"/>
      <c r="HBR41" s="1172"/>
      <c r="HBS41" s="1172"/>
      <c r="HBT41" s="1172"/>
      <c r="HBU41" s="1172"/>
      <c r="HBV41" s="1172"/>
      <c r="HBW41" s="1172"/>
      <c r="HBX41" s="1172"/>
      <c r="HBY41" s="1172"/>
      <c r="HBZ41" s="1172"/>
      <c r="HCA41" s="1172"/>
      <c r="HCB41" s="1172"/>
      <c r="HCC41" s="1172"/>
      <c r="HCD41" s="1172"/>
      <c r="HCE41" s="1172"/>
      <c r="HCF41" s="1172"/>
      <c r="HCG41" s="1172"/>
      <c r="HCH41" s="1172"/>
      <c r="HCI41" s="1172"/>
      <c r="HCJ41" s="1172"/>
      <c r="HCK41" s="1172"/>
      <c r="HCL41" s="1172"/>
      <c r="HCM41" s="1172"/>
      <c r="HCN41" s="1172"/>
      <c r="HCO41" s="1172"/>
      <c r="HCP41" s="1172"/>
      <c r="HCQ41" s="1172"/>
      <c r="HCR41" s="1172"/>
      <c r="HCS41" s="1172"/>
      <c r="HCT41" s="1172"/>
      <c r="HCU41" s="1172"/>
      <c r="HCV41" s="1172"/>
      <c r="HCW41" s="1172"/>
      <c r="HCX41" s="1172"/>
      <c r="HCY41" s="1172"/>
      <c r="HCZ41" s="1172"/>
      <c r="HDA41" s="1172"/>
      <c r="HDB41" s="1172"/>
      <c r="HDC41" s="1172"/>
      <c r="HDD41" s="1172"/>
      <c r="HDE41" s="1172"/>
      <c r="HDF41" s="1172"/>
      <c r="HDG41" s="1172"/>
      <c r="HDH41" s="1172"/>
      <c r="HDI41" s="1172"/>
      <c r="HDJ41" s="1172"/>
      <c r="HDK41" s="1172"/>
      <c r="HDL41" s="1172"/>
      <c r="HDM41" s="1172"/>
      <c r="HDN41" s="1172"/>
      <c r="HDO41" s="1172"/>
      <c r="HDP41" s="1172"/>
      <c r="HDQ41" s="1172"/>
      <c r="HDR41" s="1172"/>
      <c r="HDS41" s="1172"/>
      <c r="HDT41" s="1172"/>
      <c r="HDU41" s="1172"/>
      <c r="HDV41" s="1172"/>
      <c r="HDW41" s="1172"/>
      <c r="HDX41" s="1172"/>
      <c r="HDY41" s="1172"/>
      <c r="HDZ41" s="1172"/>
      <c r="HEA41" s="1172"/>
      <c r="HEB41" s="1172"/>
      <c r="HEC41" s="1172"/>
      <c r="HED41" s="1172"/>
      <c r="HEE41" s="1172"/>
      <c r="HEF41" s="1172"/>
      <c r="HEG41" s="1172"/>
      <c r="HEH41" s="1172"/>
      <c r="HEI41" s="1172"/>
      <c r="HEJ41" s="1172"/>
      <c r="HEK41" s="1172"/>
      <c r="HEL41" s="1172"/>
      <c r="HEM41" s="1172"/>
      <c r="HEN41" s="1172"/>
      <c r="HEO41" s="1172"/>
      <c r="HEP41" s="1172"/>
      <c r="HEQ41" s="1172"/>
      <c r="HER41" s="1172"/>
      <c r="HES41" s="1172"/>
      <c r="HET41" s="1172"/>
      <c r="HEU41" s="1172"/>
      <c r="HEV41" s="1172"/>
      <c r="HEW41" s="1172"/>
      <c r="HEX41" s="1172"/>
      <c r="HEY41" s="1172"/>
      <c r="HEZ41" s="1172"/>
      <c r="HFA41" s="1172"/>
      <c r="HFB41" s="1172"/>
      <c r="HFC41" s="1172"/>
      <c r="HFD41" s="1172"/>
      <c r="HFE41" s="1172"/>
      <c r="HFF41" s="1172"/>
      <c r="HFG41" s="1172"/>
      <c r="HFH41" s="1172"/>
      <c r="HFI41" s="1172"/>
      <c r="HFJ41" s="1172"/>
      <c r="HFK41" s="1172"/>
      <c r="HFL41" s="1172"/>
      <c r="HFM41" s="1172"/>
      <c r="HFN41" s="1172"/>
      <c r="HFO41" s="1172"/>
      <c r="HFP41" s="1172"/>
      <c r="HFQ41" s="1172"/>
      <c r="HFR41" s="1172"/>
      <c r="HFS41" s="1172"/>
      <c r="HFT41" s="1172"/>
      <c r="HFU41" s="1172"/>
      <c r="HFV41" s="1172"/>
      <c r="HFW41" s="1172"/>
      <c r="HFX41" s="1172"/>
      <c r="HFY41" s="1172"/>
      <c r="HFZ41" s="1172"/>
      <c r="HGA41" s="1172"/>
      <c r="HGB41" s="1172"/>
      <c r="HGC41" s="1172"/>
      <c r="HGD41" s="1172"/>
      <c r="HGE41" s="1172"/>
      <c r="HGF41" s="1172"/>
      <c r="HGG41" s="1172"/>
      <c r="HGH41" s="1172"/>
      <c r="HGI41" s="1172"/>
      <c r="HGJ41" s="1172"/>
      <c r="HGK41" s="1172"/>
      <c r="HGL41" s="1172"/>
      <c r="HGM41" s="1172"/>
      <c r="HGN41" s="1172"/>
      <c r="HGO41" s="1172"/>
      <c r="HGP41" s="1172"/>
      <c r="HGQ41" s="1172"/>
      <c r="HGR41" s="1172"/>
      <c r="HGS41" s="1172"/>
      <c r="HGT41" s="1172"/>
      <c r="HGU41" s="1172"/>
      <c r="HGV41" s="1172"/>
      <c r="HGW41" s="1172"/>
      <c r="HGX41" s="1172"/>
      <c r="HGY41" s="1172"/>
      <c r="HGZ41" s="1172"/>
      <c r="HHA41" s="1172"/>
      <c r="HHB41" s="1172"/>
      <c r="HHC41" s="1172"/>
      <c r="HHD41" s="1172"/>
      <c r="HHE41" s="1172"/>
      <c r="HHF41" s="1172"/>
      <c r="HHG41" s="1172"/>
      <c r="HHH41" s="1172"/>
      <c r="HHI41" s="1172"/>
      <c r="HHJ41" s="1172"/>
      <c r="HHK41" s="1172"/>
      <c r="HHL41" s="1172"/>
      <c r="HHM41" s="1172"/>
      <c r="HHN41" s="1172"/>
      <c r="HHO41" s="1172"/>
      <c r="HHP41" s="1172"/>
      <c r="HHQ41" s="1172"/>
      <c r="HHR41" s="1172"/>
      <c r="HHS41" s="1172"/>
      <c r="HHT41" s="1172"/>
      <c r="HHU41" s="1172"/>
      <c r="HHV41" s="1172"/>
      <c r="HHW41" s="1172"/>
      <c r="HHX41" s="1172"/>
      <c r="HHY41" s="1172"/>
      <c r="HHZ41" s="1172"/>
      <c r="HIA41" s="1172"/>
      <c r="HIB41" s="1172"/>
      <c r="HIC41" s="1172"/>
      <c r="HID41" s="1172"/>
      <c r="HIE41" s="1172"/>
      <c r="HIF41" s="1172"/>
      <c r="HIG41" s="1172"/>
      <c r="HIH41" s="1172"/>
      <c r="HII41" s="1172"/>
      <c r="HIJ41" s="1172"/>
      <c r="HIK41" s="1172"/>
      <c r="HIL41" s="1172"/>
      <c r="HIM41" s="1172"/>
      <c r="HIN41" s="1172"/>
      <c r="HIO41" s="1172"/>
      <c r="HIP41" s="1172"/>
      <c r="HIQ41" s="1172"/>
      <c r="HIR41" s="1172"/>
      <c r="HIS41" s="1172"/>
      <c r="HIT41" s="1172"/>
      <c r="HIU41" s="1172"/>
      <c r="HIV41" s="1172"/>
      <c r="HIW41" s="1172"/>
      <c r="HIX41" s="1172"/>
      <c r="HIY41" s="1172"/>
      <c r="HIZ41" s="1172"/>
      <c r="HJA41" s="1172"/>
      <c r="HJB41" s="1172"/>
      <c r="HJC41" s="1172"/>
      <c r="HJD41" s="1172"/>
      <c r="HJE41" s="1172"/>
      <c r="HJF41" s="1172"/>
      <c r="HJG41" s="1172"/>
      <c r="HJH41" s="1172"/>
      <c r="HJI41" s="1172"/>
      <c r="HJJ41" s="1172"/>
      <c r="HJK41" s="1172"/>
      <c r="HJL41" s="1172"/>
      <c r="HJM41" s="1172"/>
      <c r="HJN41" s="1172"/>
      <c r="HJO41" s="1172"/>
      <c r="HJP41" s="1172"/>
      <c r="HJQ41" s="1172"/>
      <c r="HJR41" s="1172"/>
      <c r="HJS41" s="1172"/>
      <c r="HJT41" s="1172"/>
      <c r="HJU41" s="1172"/>
      <c r="HJV41" s="1172"/>
      <c r="HJW41" s="1172"/>
      <c r="HJX41" s="1172"/>
      <c r="HJY41" s="1172"/>
      <c r="HJZ41" s="1172"/>
      <c r="HKA41" s="1172"/>
      <c r="HKB41" s="1172"/>
      <c r="HKC41" s="1172"/>
      <c r="HKD41" s="1172"/>
      <c r="HKE41" s="1172"/>
      <c r="HKF41" s="1172"/>
      <c r="HKG41" s="1172"/>
      <c r="HKH41" s="1172"/>
      <c r="HKI41" s="1172"/>
      <c r="HKJ41" s="1172"/>
      <c r="HKK41" s="1172"/>
      <c r="HKL41" s="1172"/>
      <c r="HKM41" s="1172"/>
      <c r="HKN41" s="1172"/>
      <c r="HKO41" s="1172"/>
      <c r="HKP41" s="1172"/>
      <c r="HKQ41" s="1172"/>
      <c r="HKR41" s="1172"/>
      <c r="HKS41" s="1172"/>
      <c r="HKT41" s="1172"/>
      <c r="HKU41" s="1172"/>
      <c r="HKV41" s="1172"/>
      <c r="HKW41" s="1172"/>
      <c r="HKX41" s="1172"/>
      <c r="HKY41" s="1172"/>
      <c r="HKZ41" s="1172"/>
      <c r="HLA41" s="1172"/>
      <c r="HLB41" s="1172"/>
      <c r="HLC41" s="1172"/>
      <c r="HLD41" s="1172"/>
      <c r="HLE41" s="1172"/>
      <c r="HLF41" s="1172"/>
      <c r="HLG41" s="1172"/>
      <c r="HLH41" s="1172"/>
      <c r="HLI41" s="1172"/>
      <c r="HLJ41" s="1172"/>
      <c r="HLK41" s="1172"/>
      <c r="HLL41" s="1172"/>
      <c r="HLM41" s="1172"/>
      <c r="HLN41" s="1172"/>
      <c r="HLO41" s="1172"/>
      <c r="HLP41" s="1172"/>
      <c r="HLQ41" s="1172"/>
      <c r="HLR41" s="1172"/>
      <c r="HLS41" s="1172"/>
      <c r="HLT41" s="1172"/>
      <c r="HLU41" s="1172"/>
      <c r="HLV41" s="1172"/>
      <c r="HLW41" s="1172"/>
      <c r="HLX41" s="1172"/>
      <c r="HLY41" s="1172"/>
      <c r="HLZ41" s="1172"/>
      <c r="HMA41" s="1172"/>
      <c r="HMB41" s="1172"/>
      <c r="HMC41" s="1172"/>
      <c r="HMD41" s="1172"/>
      <c r="HME41" s="1172"/>
      <c r="HMF41" s="1172"/>
      <c r="HMG41" s="1172"/>
      <c r="HMH41" s="1172"/>
      <c r="HMI41" s="1172"/>
      <c r="HMJ41" s="1172"/>
      <c r="HMK41" s="1172"/>
      <c r="HML41" s="1172"/>
      <c r="HMM41" s="1172"/>
      <c r="HMN41" s="1172"/>
      <c r="HMO41" s="1172"/>
      <c r="HMP41" s="1172"/>
      <c r="HMQ41" s="1172"/>
      <c r="HMR41" s="1172"/>
      <c r="HMS41" s="1172"/>
      <c r="HMT41" s="1172"/>
      <c r="HMU41" s="1172"/>
      <c r="HMV41" s="1172"/>
      <c r="HMW41" s="1172"/>
      <c r="HMX41" s="1172"/>
      <c r="HMY41" s="1172"/>
      <c r="HMZ41" s="1172"/>
      <c r="HNA41" s="1172"/>
      <c r="HNB41" s="1172"/>
      <c r="HNC41" s="1172"/>
      <c r="HND41" s="1172"/>
      <c r="HNE41" s="1172"/>
      <c r="HNF41" s="1172"/>
      <c r="HNG41" s="1172"/>
      <c r="HNH41" s="1172"/>
      <c r="HNI41" s="1172"/>
      <c r="HNJ41" s="1172"/>
      <c r="HNK41" s="1172"/>
      <c r="HNL41" s="1172"/>
      <c r="HNM41" s="1172"/>
      <c r="HNN41" s="1172"/>
      <c r="HNO41" s="1172"/>
      <c r="HNP41" s="1172"/>
      <c r="HNQ41" s="1172"/>
      <c r="HNR41" s="1172"/>
      <c r="HNS41" s="1172"/>
      <c r="HNT41" s="1172"/>
      <c r="HNU41" s="1172"/>
      <c r="HNV41" s="1172"/>
      <c r="HNW41" s="1172"/>
      <c r="HNX41" s="1172"/>
      <c r="HNY41" s="1172"/>
      <c r="HNZ41" s="1172"/>
      <c r="HOA41" s="1172"/>
      <c r="HOB41" s="1172"/>
      <c r="HOC41" s="1172"/>
      <c r="HOD41" s="1172"/>
      <c r="HOE41" s="1172"/>
      <c r="HOF41" s="1172"/>
      <c r="HOG41" s="1172"/>
      <c r="HOH41" s="1172"/>
      <c r="HOI41" s="1172"/>
      <c r="HOJ41" s="1172"/>
      <c r="HOK41" s="1172"/>
      <c r="HOL41" s="1172"/>
      <c r="HOM41" s="1172"/>
      <c r="HON41" s="1172"/>
      <c r="HOO41" s="1172"/>
      <c r="HOP41" s="1172"/>
      <c r="HOQ41" s="1172"/>
      <c r="HOR41" s="1172"/>
      <c r="HOS41" s="1172"/>
      <c r="HOT41" s="1172"/>
      <c r="HOU41" s="1172"/>
      <c r="HOV41" s="1172"/>
      <c r="HOW41" s="1172"/>
      <c r="HOX41" s="1172"/>
      <c r="HOY41" s="1172"/>
      <c r="HOZ41" s="1172"/>
      <c r="HPA41" s="1172"/>
      <c r="HPB41" s="1172"/>
      <c r="HPC41" s="1172"/>
      <c r="HPD41" s="1172"/>
      <c r="HPE41" s="1172"/>
      <c r="HPF41" s="1172"/>
      <c r="HPG41" s="1172"/>
      <c r="HPH41" s="1172"/>
      <c r="HPI41" s="1172"/>
      <c r="HPJ41" s="1172"/>
      <c r="HPK41" s="1172"/>
      <c r="HPL41" s="1172"/>
      <c r="HPM41" s="1172"/>
      <c r="HPN41" s="1172"/>
      <c r="HPO41" s="1172"/>
      <c r="HPP41" s="1172"/>
      <c r="HPQ41" s="1172"/>
      <c r="HPR41" s="1172"/>
      <c r="HPS41" s="1172"/>
      <c r="HPT41" s="1172"/>
      <c r="HPU41" s="1172"/>
      <c r="HPV41" s="1172"/>
      <c r="HPW41" s="1172"/>
      <c r="HPX41" s="1172"/>
      <c r="HPY41" s="1172"/>
      <c r="HPZ41" s="1172"/>
      <c r="HQA41" s="1172"/>
      <c r="HQB41" s="1172"/>
      <c r="HQC41" s="1172"/>
      <c r="HQD41" s="1172"/>
      <c r="HQE41" s="1172"/>
      <c r="HQF41" s="1172"/>
      <c r="HQG41" s="1172"/>
      <c r="HQH41" s="1172"/>
      <c r="HQI41" s="1172"/>
      <c r="HQJ41" s="1172"/>
      <c r="HQK41" s="1172"/>
      <c r="HQL41" s="1172"/>
      <c r="HQM41" s="1172"/>
      <c r="HQN41" s="1172"/>
      <c r="HQO41" s="1172"/>
      <c r="HQP41" s="1172"/>
      <c r="HQQ41" s="1172"/>
      <c r="HQR41" s="1172"/>
      <c r="HQS41" s="1172"/>
      <c r="HQT41" s="1172"/>
      <c r="HQU41" s="1172"/>
      <c r="HQV41" s="1172"/>
      <c r="HQW41" s="1172"/>
      <c r="HQX41" s="1172"/>
      <c r="HQY41" s="1172"/>
      <c r="HQZ41" s="1172"/>
      <c r="HRA41" s="1172"/>
      <c r="HRB41" s="1172"/>
      <c r="HRC41" s="1172"/>
      <c r="HRD41" s="1172"/>
      <c r="HRE41" s="1172"/>
      <c r="HRF41" s="1172"/>
      <c r="HRG41" s="1172"/>
      <c r="HRH41" s="1172"/>
      <c r="HRI41" s="1172"/>
      <c r="HRJ41" s="1172"/>
      <c r="HRK41" s="1172"/>
      <c r="HRL41" s="1172"/>
      <c r="HRM41" s="1172"/>
      <c r="HRN41" s="1172"/>
      <c r="HRO41" s="1172"/>
      <c r="HRP41" s="1172"/>
      <c r="HRQ41" s="1172"/>
      <c r="HRR41" s="1172"/>
      <c r="HRS41" s="1172"/>
      <c r="HRT41" s="1172"/>
      <c r="HRU41" s="1172"/>
      <c r="HRV41" s="1172"/>
      <c r="HRW41" s="1172"/>
      <c r="HRX41" s="1172"/>
      <c r="HRY41" s="1172"/>
      <c r="HRZ41" s="1172"/>
      <c r="HSA41" s="1172"/>
      <c r="HSB41" s="1172"/>
      <c r="HSC41" s="1172"/>
      <c r="HSD41" s="1172"/>
      <c r="HSE41" s="1172"/>
      <c r="HSF41" s="1172"/>
      <c r="HSG41" s="1172"/>
      <c r="HSH41" s="1172"/>
      <c r="HSI41" s="1172"/>
      <c r="HSJ41" s="1172"/>
      <c r="HSK41" s="1172"/>
      <c r="HSL41" s="1172"/>
      <c r="HSM41" s="1172"/>
      <c r="HSN41" s="1172"/>
      <c r="HSO41" s="1172"/>
      <c r="HSP41" s="1172"/>
      <c r="HSQ41" s="1172"/>
      <c r="HSR41" s="1172"/>
      <c r="HSS41" s="1172"/>
      <c r="HST41" s="1172"/>
      <c r="HSU41" s="1172"/>
      <c r="HSV41" s="1172"/>
      <c r="HSW41" s="1172"/>
      <c r="HSX41" s="1172"/>
      <c r="HSY41" s="1172"/>
      <c r="HSZ41" s="1172"/>
      <c r="HTA41" s="1172"/>
      <c r="HTB41" s="1172"/>
      <c r="HTC41" s="1172"/>
      <c r="HTD41" s="1172"/>
      <c r="HTE41" s="1172"/>
      <c r="HTF41" s="1172"/>
      <c r="HTG41" s="1172"/>
      <c r="HTH41" s="1172"/>
      <c r="HTI41" s="1172"/>
      <c r="HTJ41" s="1172"/>
      <c r="HTK41" s="1172"/>
      <c r="HTL41" s="1172"/>
      <c r="HTM41" s="1172"/>
      <c r="HTN41" s="1172"/>
      <c r="HTO41" s="1172"/>
      <c r="HTP41" s="1172"/>
      <c r="HTQ41" s="1172"/>
      <c r="HTR41" s="1172"/>
      <c r="HTS41" s="1172"/>
      <c r="HTT41" s="1172"/>
      <c r="HTU41" s="1172"/>
      <c r="HTV41" s="1172"/>
      <c r="HTW41" s="1172"/>
      <c r="HTX41" s="1172"/>
      <c r="HTY41" s="1172"/>
      <c r="HTZ41" s="1172"/>
      <c r="HUA41" s="1172"/>
      <c r="HUB41" s="1172"/>
      <c r="HUC41" s="1172"/>
      <c r="HUD41" s="1172"/>
      <c r="HUE41" s="1172"/>
      <c r="HUF41" s="1172"/>
      <c r="HUG41" s="1172"/>
      <c r="HUH41" s="1172"/>
      <c r="HUI41" s="1172"/>
      <c r="HUJ41" s="1172"/>
      <c r="HUK41" s="1172"/>
      <c r="HUL41" s="1172"/>
      <c r="HUM41" s="1172"/>
      <c r="HUN41" s="1172"/>
      <c r="HUO41" s="1172"/>
      <c r="HUP41" s="1172"/>
      <c r="HUQ41" s="1172"/>
      <c r="HUR41" s="1172"/>
      <c r="HUS41" s="1172"/>
      <c r="HUT41" s="1172"/>
      <c r="HUU41" s="1172"/>
      <c r="HUV41" s="1172"/>
      <c r="HUW41" s="1172"/>
      <c r="HUX41" s="1172"/>
      <c r="HUY41" s="1172"/>
      <c r="HUZ41" s="1172"/>
      <c r="HVA41" s="1172"/>
      <c r="HVB41" s="1172"/>
      <c r="HVC41" s="1172"/>
      <c r="HVD41" s="1172"/>
      <c r="HVE41" s="1172"/>
      <c r="HVF41" s="1172"/>
      <c r="HVG41" s="1172"/>
      <c r="HVH41" s="1172"/>
      <c r="HVI41" s="1172"/>
      <c r="HVJ41" s="1172"/>
      <c r="HVK41" s="1172"/>
      <c r="HVL41" s="1172"/>
      <c r="HVM41" s="1172"/>
      <c r="HVN41" s="1172"/>
      <c r="HVO41" s="1172"/>
      <c r="HVP41" s="1172"/>
      <c r="HVQ41" s="1172"/>
      <c r="HVR41" s="1172"/>
      <c r="HVS41" s="1172"/>
      <c r="HVT41" s="1172"/>
      <c r="HVU41" s="1172"/>
      <c r="HVV41" s="1172"/>
      <c r="HVW41" s="1172"/>
      <c r="HVX41" s="1172"/>
      <c r="HVY41" s="1172"/>
      <c r="HVZ41" s="1172"/>
      <c r="HWA41" s="1172"/>
      <c r="HWB41" s="1172"/>
      <c r="HWC41" s="1172"/>
      <c r="HWD41" s="1172"/>
      <c r="HWE41" s="1172"/>
      <c r="HWF41" s="1172"/>
      <c r="HWG41" s="1172"/>
      <c r="HWH41" s="1172"/>
      <c r="HWI41" s="1172"/>
      <c r="HWJ41" s="1172"/>
      <c r="HWK41" s="1172"/>
      <c r="HWL41" s="1172"/>
      <c r="HWM41" s="1172"/>
      <c r="HWN41" s="1172"/>
      <c r="HWO41" s="1172"/>
      <c r="HWP41" s="1172"/>
      <c r="HWQ41" s="1172"/>
      <c r="HWR41" s="1172"/>
      <c r="HWS41" s="1172"/>
      <c r="HWT41" s="1172"/>
      <c r="HWU41" s="1172"/>
      <c r="HWV41" s="1172"/>
      <c r="HWW41" s="1172"/>
      <c r="HWX41" s="1172"/>
      <c r="HWY41" s="1172"/>
      <c r="HWZ41" s="1172"/>
      <c r="HXA41" s="1172"/>
      <c r="HXB41" s="1172"/>
      <c r="HXC41" s="1172"/>
      <c r="HXD41" s="1172"/>
      <c r="HXE41" s="1172"/>
      <c r="HXF41" s="1172"/>
      <c r="HXG41" s="1172"/>
      <c r="HXH41" s="1172"/>
      <c r="HXI41" s="1172"/>
      <c r="HXJ41" s="1172"/>
      <c r="HXK41" s="1172"/>
      <c r="HXL41" s="1172"/>
      <c r="HXM41" s="1172"/>
      <c r="HXN41" s="1172"/>
      <c r="HXO41" s="1172"/>
      <c r="HXP41" s="1172"/>
      <c r="HXQ41" s="1172"/>
      <c r="HXR41" s="1172"/>
      <c r="HXS41" s="1172"/>
      <c r="HXT41" s="1172"/>
      <c r="HXU41" s="1172"/>
      <c r="HXV41" s="1172"/>
      <c r="HXW41" s="1172"/>
      <c r="HXX41" s="1172"/>
      <c r="HXY41" s="1172"/>
      <c r="HXZ41" s="1172"/>
      <c r="HYA41" s="1172"/>
      <c r="HYB41" s="1172"/>
      <c r="HYC41" s="1172"/>
      <c r="HYD41" s="1172"/>
      <c r="HYE41" s="1172"/>
      <c r="HYF41" s="1172"/>
      <c r="HYG41" s="1172"/>
      <c r="HYH41" s="1172"/>
      <c r="HYI41" s="1172"/>
      <c r="HYJ41" s="1172"/>
      <c r="HYK41" s="1172"/>
      <c r="HYL41" s="1172"/>
      <c r="HYM41" s="1172"/>
      <c r="HYN41" s="1172"/>
      <c r="HYO41" s="1172"/>
      <c r="HYP41" s="1172"/>
      <c r="HYQ41" s="1172"/>
      <c r="HYR41" s="1172"/>
      <c r="HYS41" s="1172"/>
      <c r="HYT41" s="1172"/>
      <c r="HYU41" s="1172"/>
      <c r="HYV41" s="1172"/>
      <c r="HYW41" s="1172"/>
      <c r="HYX41" s="1172"/>
      <c r="HYY41" s="1172"/>
      <c r="HYZ41" s="1172"/>
      <c r="HZA41" s="1172"/>
      <c r="HZB41" s="1172"/>
      <c r="HZC41" s="1172"/>
      <c r="HZD41" s="1172"/>
      <c r="HZE41" s="1172"/>
      <c r="HZF41" s="1172"/>
      <c r="HZG41" s="1172"/>
      <c r="HZH41" s="1172"/>
      <c r="HZI41" s="1172"/>
      <c r="HZJ41" s="1172"/>
      <c r="HZK41" s="1172"/>
      <c r="HZL41" s="1172"/>
      <c r="HZM41" s="1172"/>
      <c r="HZN41" s="1172"/>
      <c r="HZO41" s="1172"/>
      <c r="HZP41" s="1172"/>
      <c r="HZQ41" s="1172"/>
      <c r="HZR41" s="1172"/>
      <c r="HZS41" s="1172"/>
      <c r="HZT41" s="1172"/>
      <c r="HZU41" s="1172"/>
      <c r="HZV41" s="1172"/>
      <c r="HZW41" s="1172"/>
      <c r="HZX41" s="1172"/>
      <c r="HZY41" s="1172"/>
      <c r="HZZ41" s="1172"/>
      <c r="IAA41" s="1172"/>
      <c r="IAB41" s="1172"/>
      <c r="IAC41" s="1172"/>
      <c r="IAD41" s="1172"/>
      <c r="IAE41" s="1172"/>
      <c r="IAF41" s="1172"/>
      <c r="IAG41" s="1172"/>
      <c r="IAH41" s="1172"/>
      <c r="IAI41" s="1172"/>
      <c r="IAJ41" s="1172"/>
      <c r="IAK41" s="1172"/>
      <c r="IAL41" s="1172"/>
      <c r="IAM41" s="1172"/>
      <c r="IAN41" s="1172"/>
      <c r="IAO41" s="1172"/>
      <c r="IAP41" s="1172"/>
      <c r="IAQ41" s="1172"/>
      <c r="IAR41" s="1172"/>
      <c r="IAS41" s="1172"/>
      <c r="IAT41" s="1172"/>
      <c r="IAU41" s="1172"/>
      <c r="IAV41" s="1172"/>
      <c r="IAW41" s="1172"/>
      <c r="IAX41" s="1172"/>
      <c r="IAY41" s="1172"/>
      <c r="IAZ41" s="1172"/>
      <c r="IBA41" s="1172"/>
      <c r="IBB41" s="1172"/>
      <c r="IBC41" s="1172"/>
      <c r="IBD41" s="1172"/>
      <c r="IBE41" s="1172"/>
      <c r="IBF41" s="1172"/>
      <c r="IBG41" s="1172"/>
      <c r="IBH41" s="1172"/>
      <c r="IBI41" s="1172"/>
      <c r="IBJ41" s="1172"/>
      <c r="IBK41" s="1172"/>
      <c r="IBL41" s="1172"/>
      <c r="IBM41" s="1172"/>
      <c r="IBN41" s="1172"/>
      <c r="IBO41" s="1172"/>
      <c r="IBP41" s="1172"/>
      <c r="IBQ41" s="1172"/>
      <c r="IBR41" s="1172"/>
      <c r="IBS41" s="1172"/>
      <c r="IBT41" s="1172"/>
      <c r="IBU41" s="1172"/>
      <c r="IBV41" s="1172"/>
      <c r="IBW41" s="1172"/>
      <c r="IBX41" s="1172"/>
      <c r="IBY41" s="1172"/>
      <c r="IBZ41" s="1172"/>
      <c r="ICA41" s="1172"/>
      <c r="ICB41" s="1172"/>
      <c r="ICC41" s="1172"/>
      <c r="ICD41" s="1172"/>
      <c r="ICE41" s="1172"/>
      <c r="ICF41" s="1172"/>
      <c r="ICG41" s="1172"/>
      <c r="ICH41" s="1172"/>
      <c r="ICI41" s="1172"/>
      <c r="ICJ41" s="1172"/>
      <c r="ICK41" s="1172"/>
      <c r="ICL41" s="1172"/>
      <c r="ICM41" s="1172"/>
      <c r="ICN41" s="1172"/>
      <c r="ICO41" s="1172"/>
      <c r="ICP41" s="1172"/>
      <c r="ICQ41" s="1172"/>
      <c r="ICR41" s="1172"/>
      <c r="ICS41" s="1172"/>
      <c r="ICT41" s="1172"/>
      <c r="ICU41" s="1172"/>
      <c r="ICV41" s="1172"/>
      <c r="ICW41" s="1172"/>
      <c r="ICX41" s="1172"/>
      <c r="ICY41" s="1172"/>
      <c r="ICZ41" s="1172"/>
      <c r="IDA41" s="1172"/>
      <c r="IDB41" s="1172"/>
      <c r="IDC41" s="1172"/>
      <c r="IDD41" s="1172"/>
      <c r="IDE41" s="1172"/>
      <c r="IDF41" s="1172"/>
      <c r="IDG41" s="1172"/>
      <c r="IDH41" s="1172"/>
      <c r="IDI41" s="1172"/>
      <c r="IDJ41" s="1172"/>
      <c r="IDK41" s="1172"/>
      <c r="IDL41" s="1172"/>
      <c r="IDM41" s="1172"/>
      <c r="IDN41" s="1172"/>
      <c r="IDO41" s="1172"/>
      <c r="IDP41" s="1172"/>
      <c r="IDQ41" s="1172"/>
      <c r="IDR41" s="1172"/>
      <c r="IDS41" s="1172"/>
      <c r="IDT41" s="1172"/>
      <c r="IDU41" s="1172"/>
      <c r="IDV41" s="1172"/>
      <c r="IDW41" s="1172"/>
      <c r="IDX41" s="1172"/>
      <c r="IDY41" s="1172"/>
      <c r="IDZ41" s="1172"/>
      <c r="IEA41" s="1172"/>
      <c r="IEB41" s="1172"/>
      <c r="IEC41" s="1172"/>
      <c r="IED41" s="1172"/>
      <c r="IEE41" s="1172"/>
      <c r="IEF41" s="1172"/>
      <c r="IEG41" s="1172"/>
      <c r="IEH41" s="1172"/>
      <c r="IEI41" s="1172"/>
      <c r="IEJ41" s="1172"/>
      <c r="IEK41" s="1172"/>
      <c r="IEL41" s="1172"/>
      <c r="IEM41" s="1172"/>
      <c r="IEN41" s="1172"/>
      <c r="IEO41" s="1172"/>
      <c r="IEP41" s="1172"/>
      <c r="IEQ41" s="1172"/>
      <c r="IER41" s="1172"/>
      <c r="IES41" s="1172"/>
      <c r="IET41" s="1172"/>
      <c r="IEU41" s="1172"/>
      <c r="IEV41" s="1172"/>
      <c r="IEW41" s="1172"/>
      <c r="IEX41" s="1172"/>
      <c r="IEY41" s="1172"/>
      <c r="IEZ41" s="1172"/>
      <c r="IFA41" s="1172"/>
      <c r="IFB41" s="1172"/>
      <c r="IFC41" s="1172"/>
      <c r="IFD41" s="1172"/>
      <c r="IFE41" s="1172"/>
      <c r="IFF41" s="1172"/>
      <c r="IFG41" s="1172"/>
      <c r="IFH41" s="1172"/>
      <c r="IFI41" s="1172"/>
      <c r="IFJ41" s="1172"/>
      <c r="IFK41" s="1172"/>
      <c r="IFL41" s="1172"/>
      <c r="IFM41" s="1172"/>
      <c r="IFN41" s="1172"/>
      <c r="IFO41" s="1172"/>
      <c r="IFP41" s="1172"/>
      <c r="IFQ41" s="1172"/>
      <c r="IFR41" s="1172"/>
      <c r="IFS41" s="1172"/>
      <c r="IFT41" s="1172"/>
      <c r="IFU41" s="1172"/>
      <c r="IFV41" s="1172"/>
      <c r="IFW41" s="1172"/>
      <c r="IFX41" s="1172"/>
      <c r="IFY41" s="1172"/>
      <c r="IFZ41" s="1172"/>
      <c r="IGA41" s="1172"/>
      <c r="IGB41" s="1172"/>
      <c r="IGC41" s="1172"/>
      <c r="IGD41" s="1172"/>
      <c r="IGE41" s="1172"/>
      <c r="IGF41" s="1172"/>
      <c r="IGG41" s="1172"/>
      <c r="IGH41" s="1172"/>
      <c r="IGI41" s="1172"/>
      <c r="IGJ41" s="1172"/>
      <c r="IGK41" s="1172"/>
      <c r="IGL41" s="1172"/>
      <c r="IGM41" s="1172"/>
      <c r="IGN41" s="1172"/>
      <c r="IGO41" s="1172"/>
      <c r="IGP41" s="1172"/>
      <c r="IGQ41" s="1172"/>
      <c r="IGR41" s="1172"/>
      <c r="IGS41" s="1172"/>
      <c r="IGT41" s="1172"/>
      <c r="IGU41" s="1172"/>
      <c r="IGV41" s="1172"/>
      <c r="IGW41" s="1172"/>
      <c r="IGX41" s="1172"/>
      <c r="IGY41" s="1172"/>
      <c r="IGZ41" s="1172"/>
      <c r="IHA41" s="1172"/>
      <c r="IHB41" s="1172"/>
      <c r="IHC41" s="1172"/>
      <c r="IHD41" s="1172"/>
      <c r="IHE41" s="1172"/>
      <c r="IHF41" s="1172"/>
      <c r="IHG41" s="1172"/>
      <c r="IHH41" s="1172"/>
      <c r="IHI41" s="1172"/>
      <c r="IHJ41" s="1172"/>
      <c r="IHK41" s="1172"/>
      <c r="IHL41" s="1172"/>
      <c r="IHM41" s="1172"/>
      <c r="IHN41" s="1172"/>
      <c r="IHO41" s="1172"/>
      <c r="IHP41" s="1172"/>
      <c r="IHQ41" s="1172"/>
      <c r="IHR41" s="1172"/>
      <c r="IHS41" s="1172"/>
      <c r="IHT41" s="1172"/>
      <c r="IHU41" s="1172"/>
      <c r="IHV41" s="1172"/>
      <c r="IHW41" s="1172"/>
      <c r="IHX41" s="1172"/>
      <c r="IHY41" s="1172"/>
      <c r="IHZ41" s="1172"/>
      <c r="IIA41" s="1172"/>
      <c r="IIB41" s="1172"/>
      <c r="IIC41" s="1172"/>
      <c r="IID41" s="1172"/>
      <c r="IIE41" s="1172"/>
      <c r="IIF41" s="1172"/>
      <c r="IIG41" s="1172"/>
      <c r="IIH41" s="1172"/>
      <c r="III41" s="1172"/>
      <c r="IIJ41" s="1172"/>
      <c r="IIK41" s="1172"/>
      <c r="IIL41" s="1172"/>
      <c r="IIM41" s="1172"/>
      <c r="IIN41" s="1172"/>
      <c r="IIO41" s="1172"/>
      <c r="IIP41" s="1172"/>
      <c r="IIQ41" s="1172"/>
      <c r="IIR41" s="1172"/>
      <c r="IIS41" s="1172"/>
      <c r="IIT41" s="1172"/>
      <c r="IIU41" s="1172"/>
      <c r="IIV41" s="1172"/>
      <c r="IIW41" s="1172"/>
      <c r="IIX41" s="1172"/>
      <c r="IIY41" s="1172"/>
      <c r="IIZ41" s="1172"/>
      <c r="IJA41" s="1172"/>
      <c r="IJB41" s="1172"/>
      <c r="IJC41" s="1172"/>
      <c r="IJD41" s="1172"/>
      <c r="IJE41" s="1172"/>
      <c r="IJF41" s="1172"/>
      <c r="IJG41" s="1172"/>
      <c r="IJH41" s="1172"/>
      <c r="IJI41" s="1172"/>
      <c r="IJJ41" s="1172"/>
      <c r="IJK41" s="1172"/>
      <c r="IJL41" s="1172"/>
      <c r="IJM41" s="1172"/>
      <c r="IJN41" s="1172"/>
      <c r="IJO41" s="1172"/>
      <c r="IJP41" s="1172"/>
      <c r="IJQ41" s="1172"/>
      <c r="IJR41" s="1172"/>
      <c r="IJS41" s="1172"/>
      <c r="IJT41" s="1172"/>
      <c r="IJU41" s="1172"/>
      <c r="IJV41" s="1172"/>
      <c r="IJW41" s="1172"/>
      <c r="IJX41" s="1172"/>
      <c r="IJY41" s="1172"/>
      <c r="IJZ41" s="1172"/>
      <c r="IKA41" s="1172"/>
      <c r="IKB41" s="1172"/>
      <c r="IKC41" s="1172"/>
      <c r="IKD41" s="1172"/>
      <c r="IKE41" s="1172"/>
      <c r="IKF41" s="1172"/>
      <c r="IKG41" s="1172"/>
      <c r="IKH41" s="1172"/>
      <c r="IKI41" s="1172"/>
      <c r="IKJ41" s="1172"/>
      <c r="IKK41" s="1172"/>
      <c r="IKL41" s="1172"/>
      <c r="IKM41" s="1172"/>
      <c r="IKN41" s="1172"/>
      <c r="IKO41" s="1172"/>
      <c r="IKP41" s="1172"/>
      <c r="IKQ41" s="1172"/>
      <c r="IKR41" s="1172"/>
      <c r="IKS41" s="1172"/>
      <c r="IKT41" s="1172"/>
      <c r="IKU41" s="1172"/>
      <c r="IKV41" s="1172"/>
      <c r="IKW41" s="1172"/>
      <c r="IKX41" s="1172"/>
      <c r="IKY41" s="1172"/>
      <c r="IKZ41" s="1172"/>
      <c r="ILA41" s="1172"/>
      <c r="ILB41" s="1172"/>
      <c r="ILC41" s="1172"/>
      <c r="ILD41" s="1172"/>
      <c r="ILE41" s="1172"/>
      <c r="ILF41" s="1172"/>
      <c r="ILG41" s="1172"/>
      <c r="ILH41" s="1172"/>
      <c r="ILI41" s="1172"/>
      <c r="ILJ41" s="1172"/>
      <c r="ILK41" s="1172"/>
      <c r="ILL41" s="1172"/>
      <c r="ILM41" s="1172"/>
      <c r="ILN41" s="1172"/>
      <c r="ILO41" s="1172"/>
      <c r="ILP41" s="1172"/>
      <c r="ILQ41" s="1172"/>
      <c r="ILR41" s="1172"/>
      <c r="ILS41" s="1172"/>
      <c r="ILT41" s="1172"/>
      <c r="ILU41" s="1172"/>
      <c r="ILV41" s="1172"/>
      <c r="ILW41" s="1172"/>
      <c r="ILX41" s="1172"/>
      <c r="ILY41" s="1172"/>
      <c r="ILZ41" s="1172"/>
      <c r="IMA41" s="1172"/>
      <c r="IMB41" s="1172"/>
      <c r="IMC41" s="1172"/>
      <c r="IMD41" s="1172"/>
      <c r="IME41" s="1172"/>
      <c r="IMF41" s="1172"/>
      <c r="IMG41" s="1172"/>
      <c r="IMH41" s="1172"/>
      <c r="IMI41" s="1172"/>
      <c r="IMJ41" s="1172"/>
      <c r="IMK41" s="1172"/>
      <c r="IML41" s="1172"/>
      <c r="IMM41" s="1172"/>
      <c r="IMN41" s="1172"/>
      <c r="IMO41" s="1172"/>
      <c r="IMP41" s="1172"/>
      <c r="IMQ41" s="1172"/>
      <c r="IMR41" s="1172"/>
      <c r="IMS41" s="1172"/>
      <c r="IMT41" s="1172"/>
      <c r="IMU41" s="1172"/>
      <c r="IMV41" s="1172"/>
      <c r="IMW41" s="1172"/>
      <c r="IMX41" s="1172"/>
      <c r="IMY41" s="1172"/>
      <c r="IMZ41" s="1172"/>
      <c r="INA41" s="1172"/>
      <c r="INB41" s="1172"/>
      <c r="INC41" s="1172"/>
      <c r="IND41" s="1172"/>
      <c r="INE41" s="1172"/>
      <c r="INF41" s="1172"/>
      <c r="ING41" s="1172"/>
      <c r="INH41" s="1172"/>
      <c r="INI41" s="1172"/>
      <c r="INJ41" s="1172"/>
      <c r="INK41" s="1172"/>
      <c r="INL41" s="1172"/>
      <c r="INM41" s="1172"/>
      <c r="INN41" s="1172"/>
      <c r="INO41" s="1172"/>
      <c r="INP41" s="1172"/>
      <c r="INQ41" s="1172"/>
      <c r="INR41" s="1172"/>
      <c r="INS41" s="1172"/>
      <c r="INT41" s="1172"/>
      <c r="INU41" s="1172"/>
      <c r="INV41" s="1172"/>
      <c r="INW41" s="1172"/>
      <c r="INX41" s="1172"/>
      <c r="INY41" s="1172"/>
      <c r="INZ41" s="1172"/>
      <c r="IOA41" s="1172"/>
      <c r="IOB41" s="1172"/>
      <c r="IOC41" s="1172"/>
      <c r="IOD41" s="1172"/>
      <c r="IOE41" s="1172"/>
      <c r="IOF41" s="1172"/>
      <c r="IOG41" s="1172"/>
      <c r="IOH41" s="1172"/>
      <c r="IOI41" s="1172"/>
      <c r="IOJ41" s="1172"/>
      <c r="IOK41" s="1172"/>
      <c r="IOL41" s="1172"/>
      <c r="IOM41" s="1172"/>
      <c r="ION41" s="1172"/>
      <c r="IOO41" s="1172"/>
      <c r="IOP41" s="1172"/>
      <c r="IOQ41" s="1172"/>
      <c r="IOR41" s="1172"/>
      <c r="IOS41" s="1172"/>
      <c r="IOT41" s="1172"/>
      <c r="IOU41" s="1172"/>
      <c r="IOV41" s="1172"/>
      <c r="IOW41" s="1172"/>
      <c r="IOX41" s="1172"/>
      <c r="IOY41" s="1172"/>
      <c r="IOZ41" s="1172"/>
      <c r="IPA41" s="1172"/>
      <c r="IPB41" s="1172"/>
      <c r="IPC41" s="1172"/>
      <c r="IPD41" s="1172"/>
      <c r="IPE41" s="1172"/>
      <c r="IPF41" s="1172"/>
      <c r="IPG41" s="1172"/>
      <c r="IPH41" s="1172"/>
      <c r="IPI41" s="1172"/>
      <c r="IPJ41" s="1172"/>
      <c r="IPK41" s="1172"/>
      <c r="IPL41" s="1172"/>
      <c r="IPM41" s="1172"/>
      <c r="IPN41" s="1172"/>
      <c r="IPO41" s="1172"/>
      <c r="IPP41" s="1172"/>
      <c r="IPQ41" s="1172"/>
      <c r="IPR41" s="1172"/>
      <c r="IPS41" s="1172"/>
      <c r="IPT41" s="1172"/>
      <c r="IPU41" s="1172"/>
      <c r="IPV41" s="1172"/>
      <c r="IPW41" s="1172"/>
      <c r="IPX41" s="1172"/>
      <c r="IPY41" s="1172"/>
      <c r="IPZ41" s="1172"/>
      <c r="IQA41" s="1172"/>
      <c r="IQB41" s="1172"/>
      <c r="IQC41" s="1172"/>
      <c r="IQD41" s="1172"/>
      <c r="IQE41" s="1172"/>
      <c r="IQF41" s="1172"/>
      <c r="IQG41" s="1172"/>
      <c r="IQH41" s="1172"/>
      <c r="IQI41" s="1172"/>
      <c r="IQJ41" s="1172"/>
      <c r="IQK41" s="1172"/>
      <c r="IQL41" s="1172"/>
      <c r="IQM41" s="1172"/>
      <c r="IQN41" s="1172"/>
      <c r="IQO41" s="1172"/>
      <c r="IQP41" s="1172"/>
      <c r="IQQ41" s="1172"/>
      <c r="IQR41" s="1172"/>
      <c r="IQS41" s="1172"/>
      <c r="IQT41" s="1172"/>
      <c r="IQU41" s="1172"/>
      <c r="IQV41" s="1172"/>
      <c r="IQW41" s="1172"/>
      <c r="IQX41" s="1172"/>
      <c r="IQY41" s="1172"/>
      <c r="IQZ41" s="1172"/>
      <c r="IRA41" s="1172"/>
      <c r="IRB41" s="1172"/>
      <c r="IRC41" s="1172"/>
      <c r="IRD41" s="1172"/>
      <c r="IRE41" s="1172"/>
      <c r="IRF41" s="1172"/>
      <c r="IRG41" s="1172"/>
      <c r="IRH41" s="1172"/>
      <c r="IRI41" s="1172"/>
      <c r="IRJ41" s="1172"/>
      <c r="IRK41" s="1172"/>
      <c r="IRL41" s="1172"/>
      <c r="IRM41" s="1172"/>
      <c r="IRN41" s="1172"/>
      <c r="IRO41" s="1172"/>
      <c r="IRP41" s="1172"/>
      <c r="IRQ41" s="1172"/>
      <c r="IRR41" s="1172"/>
      <c r="IRS41" s="1172"/>
      <c r="IRT41" s="1172"/>
      <c r="IRU41" s="1172"/>
      <c r="IRV41" s="1172"/>
      <c r="IRW41" s="1172"/>
      <c r="IRX41" s="1172"/>
      <c r="IRY41" s="1172"/>
      <c r="IRZ41" s="1172"/>
      <c r="ISA41" s="1172"/>
      <c r="ISB41" s="1172"/>
      <c r="ISC41" s="1172"/>
      <c r="ISD41" s="1172"/>
      <c r="ISE41" s="1172"/>
      <c r="ISF41" s="1172"/>
      <c r="ISG41" s="1172"/>
      <c r="ISH41" s="1172"/>
      <c r="ISI41" s="1172"/>
      <c r="ISJ41" s="1172"/>
      <c r="ISK41" s="1172"/>
      <c r="ISL41" s="1172"/>
      <c r="ISM41" s="1172"/>
      <c r="ISN41" s="1172"/>
      <c r="ISO41" s="1172"/>
      <c r="ISP41" s="1172"/>
      <c r="ISQ41" s="1172"/>
      <c r="ISR41" s="1172"/>
      <c r="ISS41" s="1172"/>
      <c r="IST41" s="1172"/>
      <c r="ISU41" s="1172"/>
      <c r="ISV41" s="1172"/>
      <c r="ISW41" s="1172"/>
      <c r="ISX41" s="1172"/>
      <c r="ISY41" s="1172"/>
      <c r="ISZ41" s="1172"/>
      <c r="ITA41" s="1172"/>
      <c r="ITB41" s="1172"/>
      <c r="ITC41" s="1172"/>
      <c r="ITD41" s="1172"/>
      <c r="ITE41" s="1172"/>
      <c r="ITF41" s="1172"/>
      <c r="ITG41" s="1172"/>
      <c r="ITH41" s="1172"/>
      <c r="ITI41" s="1172"/>
      <c r="ITJ41" s="1172"/>
      <c r="ITK41" s="1172"/>
      <c r="ITL41" s="1172"/>
      <c r="ITM41" s="1172"/>
      <c r="ITN41" s="1172"/>
      <c r="ITO41" s="1172"/>
      <c r="ITP41" s="1172"/>
      <c r="ITQ41" s="1172"/>
      <c r="ITR41" s="1172"/>
      <c r="ITS41" s="1172"/>
      <c r="ITT41" s="1172"/>
      <c r="ITU41" s="1172"/>
      <c r="ITV41" s="1172"/>
      <c r="ITW41" s="1172"/>
      <c r="ITX41" s="1172"/>
      <c r="ITY41" s="1172"/>
      <c r="ITZ41" s="1172"/>
      <c r="IUA41" s="1172"/>
      <c r="IUB41" s="1172"/>
      <c r="IUC41" s="1172"/>
      <c r="IUD41" s="1172"/>
      <c r="IUE41" s="1172"/>
      <c r="IUF41" s="1172"/>
      <c r="IUG41" s="1172"/>
      <c r="IUH41" s="1172"/>
      <c r="IUI41" s="1172"/>
      <c r="IUJ41" s="1172"/>
      <c r="IUK41" s="1172"/>
      <c r="IUL41" s="1172"/>
      <c r="IUM41" s="1172"/>
      <c r="IUN41" s="1172"/>
      <c r="IUO41" s="1172"/>
      <c r="IUP41" s="1172"/>
      <c r="IUQ41" s="1172"/>
      <c r="IUR41" s="1172"/>
      <c r="IUS41" s="1172"/>
      <c r="IUT41" s="1172"/>
      <c r="IUU41" s="1172"/>
      <c r="IUV41" s="1172"/>
      <c r="IUW41" s="1172"/>
      <c r="IUX41" s="1172"/>
      <c r="IUY41" s="1172"/>
      <c r="IUZ41" s="1172"/>
      <c r="IVA41" s="1172"/>
      <c r="IVB41" s="1172"/>
      <c r="IVC41" s="1172"/>
      <c r="IVD41" s="1172"/>
      <c r="IVE41" s="1172"/>
      <c r="IVF41" s="1172"/>
      <c r="IVG41" s="1172"/>
      <c r="IVH41" s="1172"/>
      <c r="IVI41" s="1172"/>
      <c r="IVJ41" s="1172"/>
      <c r="IVK41" s="1172"/>
      <c r="IVL41" s="1172"/>
      <c r="IVM41" s="1172"/>
      <c r="IVN41" s="1172"/>
      <c r="IVO41" s="1172"/>
      <c r="IVP41" s="1172"/>
      <c r="IVQ41" s="1172"/>
      <c r="IVR41" s="1172"/>
      <c r="IVS41" s="1172"/>
      <c r="IVT41" s="1172"/>
      <c r="IVU41" s="1172"/>
      <c r="IVV41" s="1172"/>
      <c r="IVW41" s="1172"/>
      <c r="IVX41" s="1172"/>
      <c r="IVY41" s="1172"/>
      <c r="IVZ41" s="1172"/>
      <c r="IWA41" s="1172"/>
      <c r="IWB41" s="1172"/>
      <c r="IWC41" s="1172"/>
      <c r="IWD41" s="1172"/>
      <c r="IWE41" s="1172"/>
      <c r="IWF41" s="1172"/>
      <c r="IWG41" s="1172"/>
      <c r="IWH41" s="1172"/>
      <c r="IWI41" s="1172"/>
      <c r="IWJ41" s="1172"/>
      <c r="IWK41" s="1172"/>
      <c r="IWL41" s="1172"/>
      <c r="IWM41" s="1172"/>
      <c r="IWN41" s="1172"/>
      <c r="IWO41" s="1172"/>
      <c r="IWP41" s="1172"/>
      <c r="IWQ41" s="1172"/>
      <c r="IWR41" s="1172"/>
      <c r="IWS41" s="1172"/>
      <c r="IWT41" s="1172"/>
      <c r="IWU41" s="1172"/>
      <c r="IWV41" s="1172"/>
      <c r="IWW41" s="1172"/>
      <c r="IWX41" s="1172"/>
      <c r="IWY41" s="1172"/>
      <c r="IWZ41" s="1172"/>
      <c r="IXA41" s="1172"/>
      <c r="IXB41" s="1172"/>
      <c r="IXC41" s="1172"/>
      <c r="IXD41" s="1172"/>
      <c r="IXE41" s="1172"/>
      <c r="IXF41" s="1172"/>
      <c r="IXG41" s="1172"/>
      <c r="IXH41" s="1172"/>
      <c r="IXI41" s="1172"/>
      <c r="IXJ41" s="1172"/>
      <c r="IXK41" s="1172"/>
      <c r="IXL41" s="1172"/>
      <c r="IXM41" s="1172"/>
      <c r="IXN41" s="1172"/>
      <c r="IXO41" s="1172"/>
      <c r="IXP41" s="1172"/>
      <c r="IXQ41" s="1172"/>
      <c r="IXR41" s="1172"/>
      <c r="IXS41" s="1172"/>
      <c r="IXT41" s="1172"/>
      <c r="IXU41" s="1172"/>
      <c r="IXV41" s="1172"/>
      <c r="IXW41" s="1172"/>
      <c r="IXX41" s="1172"/>
      <c r="IXY41" s="1172"/>
      <c r="IXZ41" s="1172"/>
      <c r="IYA41" s="1172"/>
      <c r="IYB41" s="1172"/>
      <c r="IYC41" s="1172"/>
      <c r="IYD41" s="1172"/>
      <c r="IYE41" s="1172"/>
      <c r="IYF41" s="1172"/>
      <c r="IYG41" s="1172"/>
      <c r="IYH41" s="1172"/>
      <c r="IYI41" s="1172"/>
      <c r="IYJ41" s="1172"/>
      <c r="IYK41" s="1172"/>
      <c r="IYL41" s="1172"/>
      <c r="IYM41" s="1172"/>
      <c r="IYN41" s="1172"/>
      <c r="IYO41" s="1172"/>
      <c r="IYP41" s="1172"/>
      <c r="IYQ41" s="1172"/>
      <c r="IYR41" s="1172"/>
      <c r="IYS41" s="1172"/>
      <c r="IYT41" s="1172"/>
      <c r="IYU41" s="1172"/>
      <c r="IYV41" s="1172"/>
      <c r="IYW41" s="1172"/>
      <c r="IYX41" s="1172"/>
      <c r="IYY41" s="1172"/>
      <c r="IYZ41" s="1172"/>
      <c r="IZA41" s="1172"/>
      <c r="IZB41" s="1172"/>
      <c r="IZC41" s="1172"/>
      <c r="IZD41" s="1172"/>
      <c r="IZE41" s="1172"/>
      <c r="IZF41" s="1172"/>
      <c r="IZG41" s="1172"/>
      <c r="IZH41" s="1172"/>
      <c r="IZI41" s="1172"/>
      <c r="IZJ41" s="1172"/>
      <c r="IZK41" s="1172"/>
      <c r="IZL41" s="1172"/>
      <c r="IZM41" s="1172"/>
      <c r="IZN41" s="1172"/>
      <c r="IZO41" s="1172"/>
      <c r="IZP41" s="1172"/>
      <c r="IZQ41" s="1172"/>
      <c r="IZR41" s="1172"/>
      <c r="IZS41" s="1172"/>
      <c r="IZT41" s="1172"/>
      <c r="IZU41" s="1172"/>
      <c r="IZV41" s="1172"/>
      <c r="IZW41" s="1172"/>
      <c r="IZX41" s="1172"/>
      <c r="IZY41" s="1172"/>
      <c r="IZZ41" s="1172"/>
      <c r="JAA41" s="1172"/>
      <c r="JAB41" s="1172"/>
      <c r="JAC41" s="1172"/>
      <c r="JAD41" s="1172"/>
      <c r="JAE41" s="1172"/>
      <c r="JAF41" s="1172"/>
      <c r="JAG41" s="1172"/>
      <c r="JAH41" s="1172"/>
      <c r="JAI41" s="1172"/>
      <c r="JAJ41" s="1172"/>
      <c r="JAK41" s="1172"/>
      <c r="JAL41" s="1172"/>
      <c r="JAM41" s="1172"/>
      <c r="JAN41" s="1172"/>
      <c r="JAO41" s="1172"/>
      <c r="JAP41" s="1172"/>
      <c r="JAQ41" s="1172"/>
      <c r="JAR41" s="1172"/>
      <c r="JAS41" s="1172"/>
      <c r="JAT41" s="1172"/>
      <c r="JAU41" s="1172"/>
      <c r="JAV41" s="1172"/>
      <c r="JAW41" s="1172"/>
      <c r="JAX41" s="1172"/>
      <c r="JAY41" s="1172"/>
      <c r="JAZ41" s="1172"/>
      <c r="JBA41" s="1172"/>
      <c r="JBB41" s="1172"/>
      <c r="JBC41" s="1172"/>
      <c r="JBD41" s="1172"/>
      <c r="JBE41" s="1172"/>
      <c r="JBF41" s="1172"/>
      <c r="JBG41" s="1172"/>
      <c r="JBH41" s="1172"/>
      <c r="JBI41" s="1172"/>
      <c r="JBJ41" s="1172"/>
      <c r="JBK41" s="1172"/>
      <c r="JBL41" s="1172"/>
      <c r="JBM41" s="1172"/>
      <c r="JBN41" s="1172"/>
      <c r="JBO41" s="1172"/>
      <c r="JBP41" s="1172"/>
      <c r="JBQ41" s="1172"/>
      <c r="JBR41" s="1172"/>
      <c r="JBS41" s="1172"/>
      <c r="JBT41" s="1172"/>
      <c r="JBU41" s="1172"/>
      <c r="JBV41" s="1172"/>
      <c r="JBW41" s="1172"/>
      <c r="JBX41" s="1172"/>
      <c r="JBY41" s="1172"/>
      <c r="JBZ41" s="1172"/>
      <c r="JCA41" s="1172"/>
      <c r="JCB41" s="1172"/>
      <c r="JCC41" s="1172"/>
      <c r="JCD41" s="1172"/>
      <c r="JCE41" s="1172"/>
      <c r="JCF41" s="1172"/>
      <c r="JCG41" s="1172"/>
      <c r="JCH41" s="1172"/>
      <c r="JCI41" s="1172"/>
      <c r="JCJ41" s="1172"/>
      <c r="JCK41" s="1172"/>
      <c r="JCL41" s="1172"/>
      <c r="JCM41" s="1172"/>
      <c r="JCN41" s="1172"/>
      <c r="JCO41" s="1172"/>
      <c r="JCP41" s="1172"/>
      <c r="JCQ41" s="1172"/>
      <c r="JCR41" s="1172"/>
      <c r="JCS41" s="1172"/>
      <c r="JCT41" s="1172"/>
      <c r="JCU41" s="1172"/>
      <c r="JCV41" s="1172"/>
      <c r="JCW41" s="1172"/>
      <c r="JCX41" s="1172"/>
      <c r="JCY41" s="1172"/>
      <c r="JCZ41" s="1172"/>
      <c r="JDA41" s="1172"/>
      <c r="JDB41" s="1172"/>
      <c r="JDC41" s="1172"/>
      <c r="JDD41" s="1172"/>
      <c r="JDE41" s="1172"/>
      <c r="JDF41" s="1172"/>
      <c r="JDG41" s="1172"/>
      <c r="JDH41" s="1172"/>
      <c r="JDI41" s="1172"/>
      <c r="JDJ41" s="1172"/>
      <c r="JDK41" s="1172"/>
      <c r="JDL41" s="1172"/>
      <c r="JDM41" s="1172"/>
      <c r="JDN41" s="1172"/>
      <c r="JDO41" s="1172"/>
      <c r="JDP41" s="1172"/>
      <c r="JDQ41" s="1172"/>
      <c r="JDR41" s="1172"/>
      <c r="JDS41" s="1172"/>
      <c r="JDT41" s="1172"/>
      <c r="JDU41" s="1172"/>
      <c r="JDV41" s="1172"/>
      <c r="JDW41" s="1172"/>
      <c r="JDX41" s="1172"/>
      <c r="JDY41" s="1172"/>
      <c r="JDZ41" s="1172"/>
      <c r="JEA41" s="1172"/>
      <c r="JEB41" s="1172"/>
      <c r="JEC41" s="1172"/>
      <c r="JED41" s="1172"/>
      <c r="JEE41" s="1172"/>
      <c r="JEF41" s="1172"/>
      <c r="JEG41" s="1172"/>
      <c r="JEH41" s="1172"/>
      <c r="JEI41" s="1172"/>
      <c r="JEJ41" s="1172"/>
      <c r="JEK41" s="1172"/>
      <c r="JEL41" s="1172"/>
      <c r="JEM41" s="1172"/>
      <c r="JEN41" s="1172"/>
      <c r="JEO41" s="1172"/>
      <c r="JEP41" s="1172"/>
      <c r="JEQ41" s="1172"/>
      <c r="JER41" s="1172"/>
      <c r="JES41" s="1172"/>
      <c r="JET41" s="1172"/>
      <c r="JEU41" s="1172"/>
      <c r="JEV41" s="1172"/>
      <c r="JEW41" s="1172"/>
      <c r="JEX41" s="1172"/>
      <c r="JEY41" s="1172"/>
      <c r="JEZ41" s="1172"/>
      <c r="JFA41" s="1172"/>
      <c r="JFB41" s="1172"/>
      <c r="JFC41" s="1172"/>
      <c r="JFD41" s="1172"/>
      <c r="JFE41" s="1172"/>
      <c r="JFF41" s="1172"/>
      <c r="JFG41" s="1172"/>
      <c r="JFH41" s="1172"/>
      <c r="JFI41" s="1172"/>
      <c r="JFJ41" s="1172"/>
      <c r="JFK41" s="1172"/>
      <c r="JFL41" s="1172"/>
      <c r="JFM41" s="1172"/>
      <c r="JFN41" s="1172"/>
      <c r="JFO41" s="1172"/>
      <c r="JFP41" s="1172"/>
      <c r="JFQ41" s="1172"/>
      <c r="JFR41" s="1172"/>
      <c r="JFS41" s="1172"/>
      <c r="JFT41" s="1172"/>
      <c r="JFU41" s="1172"/>
      <c r="JFV41" s="1172"/>
      <c r="JFW41" s="1172"/>
      <c r="JFX41" s="1172"/>
      <c r="JFY41" s="1172"/>
      <c r="JFZ41" s="1172"/>
      <c r="JGA41" s="1172"/>
      <c r="JGB41" s="1172"/>
      <c r="JGC41" s="1172"/>
      <c r="JGD41" s="1172"/>
      <c r="JGE41" s="1172"/>
      <c r="JGF41" s="1172"/>
      <c r="JGG41" s="1172"/>
      <c r="JGH41" s="1172"/>
      <c r="JGI41" s="1172"/>
      <c r="JGJ41" s="1172"/>
      <c r="JGK41" s="1172"/>
      <c r="JGL41" s="1172"/>
      <c r="JGM41" s="1172"/>
      <c r="JGN41" s="1172"/>
      <c r="JGO41" s="1172"/>
      <c r="JGP41" s="1172"/>
      <c r="JGQ41" s="1172"/>
      <c r="JGR41" s="1172"/>
      <c r="JGS41" s="1172"/>
      <c r="JGT41" s="1172"/>
      <c r="JGU41" s="1172"/>
      <c r="JGV41" s="1172"/>
      <c r="JGW41" s="1172"/>
      <c r="JGX41" s="1172"/>
      <c r="JGY41" s="1172"/>
      <c r="JGZ41" s="1172"/>
      <c r="JHA41" s="1172"/>
      <c r="JHB41" s="1172"/>
      <c r="JHC41" s="1172"/>
      <c r="JHD41" s="1172"/>
      <c r="JHE41" s="1172"/>
      <c r="JHF41" s="1172"/>
      <c r="JHG41" s="1172"/>
      <c r="JHH41" s="1172"/>
      <c r="JHI41" s="1172"/>
      <c r="JHJ41" s="1172"/>
      <c r="JHK41" s="1172"/>
      <c r="JHL41" s="1172"/>
      <c r="JHM41" s="1172"/>
      <c r="JHN41" s="1172"/>
      <c r="JHO41" s="1172"/>
      <c r="JHP41" s="1172"/>
      <c r="JHQ41" s="1172"/>
      <c r="JHR41" s="1172"/>
      <c r="JHS41" s="1172"/>
      <c r="JHT41" s="1172"/>
      <c r="JHU41" s="1172"/>
      <c r="JHV41" s="1172"/>
      <c r="JHW41" s="1172"/>
      <c r="JHX41" s="1172"/>
      <c r="JHY41" s="1172"/>
      <c r="JHZ41" s="1172"/>
      <c r="JIA41" s="1172"/>
      <c r="JIB41" s="1172"/>
      <c r="JIC41" s="1172"/>
      <c r="JID41" s="1172"/>
      <c r="JIE41" s="1172"/>
      <c r="JIF41" s="1172"/>
      <c r="JIG41" s="1172"/>
      <c r="JIH41" s="1172"/>
      <c r="JII41" s="1172"/>
      <c r="JIJ41" s="1172"/>
      <c r="JIK41" s="1172"/>
      <c r="JIL41" s="1172"/>
      <c r="JIM41" s="1172"/>
      <c r="JIN41" s="1172"/>
      <c r="JIO41" s="1172"/>
      <c r="JIP41" s="1172"/>
      <c r="JIQ41" s="1172"/>
      <c r="JIR41" s="1172"/>
      <c r="JIS41" s="1172"/>
      <c r="JIT41" s="1172"/>
      <c r="JIU41" s="1172"/>
      <c r="JIV41" s="1172"/>
      <c r="JIW41" s="1172"/>
      <c r="JIX41" s="1172"/>
      <c r="JIY41" s="1172"/>
      <c r="JIZ41" s="1172"/>
      <c r="JJA41" s="1172"/>
      <c r="JJB41" s="1172"/>
      <c r="JJC41" s="1172"/>
      <c r="JJD41" s="1172"/>
      <c r="JJE41" s="1172"/>
      <c r="JJF41" s="1172"/>
      <c r="JJG41" s="1172"/>
      <c r="JJH41" s="1172"/>
      <c r="JJI41" s="1172"/>
      <c r="JJJ41" s="1172"/>
      <c r="JJK41" s="1172"/>
      <c r="JJL41" s="1172"/>
      <c r="JJM41" s="1172"/>
      <c r="JJN41" s="1172"/>
      <c r="JJO41" s="1172"/>
      <c r="JJP41" s="1172"/>
      <c r="JJQ41" s="1172"/>
      <c r="JJR41" s="1172"/>
      <c r="JJS41" s="1172"/>
      <c r="JJT41" s="1172"/>
      <c r="JJU41" s="1172"/>
      <c r="JJV41" s="1172"/>
      <c r="JJW41" s="1172"/>
      <c r="JJX41" s="1172"/>
      <c r="JJY41" s="1172"/>
      <c r="JJZ41" s="1172"/>
      <c r="JKA41" s="1172"/>
      <c r="JKB41" s="1172"/>
      <c r="JKC41" s="1172"/>
      <c r="JKD41" s="1172"/>
      <c r="JKE41" s="1172"/>
      <c r="JKF41" s="1172"/>
      <c r="JKG41" s="1172"/>
      <c r="JKH41" s="1172"/>
      <c r="JKI41" s="1172"/>
      <c r="JKJ41" s="1172"/>
      <c r="JKK41" s="1172"/>
      <c r="JKL41" s="1172"/>
      <c r="JKM41" s="1172"/>
      <c r="JKN41" s="1172"/>
      <c r="JKO41" s="1172"/>
      <c r="JKP41" s="1172"/>
      <c r="JKQ41" s="1172"/>
      <c r="JKR41" s="1172"/>
      <c r="JKS41" s="1172"/>
      <c r="JKT41" s="1172"/>
      <c r="JKU41" s="1172"/>
      <c r="JKV41" s="1172"/>
      <c r="JKW41" s="1172"/>
      <c r="JKX41" s="1172"/>
      <c r="JKY41" s="1172"/>
      <c r="JKZ41" s="1172"/>
      <c r="JLA41" s="1172"/>
      <c r="JLB41" s="1172"/>
      <c r="JLC41" s="1172"/>
      <c r="JLD41" s="1172"/>
      <c r="JLE41" s="1172"/>
      <c r="JLF41" s="1172"/>
      <c r="JLG41" s="1172"/>
      <c r="JLH41" s="1172"/>
      <c r="JLI41" s="1172"/>
      <c r="JLJ41" s="1172"/>
      <c r="JLK41" s="1172"/>
      <c r="JLL41" s="1172"/>
      <c r="JLM41" s="1172"/>
      <c r="JLN41" s="1172"/>
      <c r="JLO41" s="1172"/>
      <c r="JLP41" s="1172"/>
      <c r="JLQ41" s="1172"/>
      <c r="JLR41" s="1172"/>
      <c r="JLS41" s="1172"/>
      <c r="JLT41" s="1172"/>
      <c r="JLU41" s="1172"/>
      <c r="JLV41" s="1172"/>
      <c r="JLW41" s="1172"/>
      <c r="JLX41" s="1172"/>
      <c r="JLY41" s="1172"/>
      <c r="JLZ41" s="1172"/>
      <c r="JMA41" s="1172"/>
      <c r="JMB41" s="1172"/>
      <c r="JMC41" s="1172"/>
      <c r="JMD41" s="1172"/>
      <c r="JME41" s="1172"/>
      <c r="JMF41" s="1172"/>
      <c r="JMG41" s="1172"/>
      <c r="JMH41" s="1172"/>
      <c r="JMI41" s="1172"/>
      <c r="JMJ41" s="1172"/>
      <c r="JMK41" s="1172"/>
      <c r="JML41" s="1172"/>
      <c r="JMM41" s="1172"/>
      <c r="JMN41" s="1172"/>
      <c r="JMO41" s="1172"/>
      <c r="JMP41" s="1172"/>
      <c r="JMQ41" s="1172"/>
      <c r="JMR41" s="1172"/>
      <c r="JMS41" s="1172"/>
      <c r="JMT41" s="1172"/>
      <c r="JMU41" s="1172"/>
      <c r="JMV41" s="1172"/>
      <c r="JMW41" s="1172"/>
      <c r="JMX41" s="1172"/>
      <c r="JMY41" s="1172"/>
      <c r="JMZ41" s="1172"/>
      <c r="JNA41" s="1172"/>
      <c r="JNB41" s="1172"/>
      <c r="JNC41" s="1172"/>
      <c r="JND41" s="1172"/>
      <c r="JNE41" s="1172"/>
      <c r="JNF41" s="1172"/>
      <c r="JNG41" s="1172"/>
      <c r="JNH41" s="1172"/>
      <c r="JNI41" s="1172"/>
      <c r="JNJ41" s="1172"/>
      <c r="JNK41" s="1172"/>
      <c r="JNL41" s="1172"/>
      <c r="JNM41" s="1172"/>
      <c r="JNN41" s="1172"/>
      <c r="JNO41" s="1172"/>
      <c r="JNP41" s="1172"/>
      <c r="JNQ41" s="1172"/>
      <c r="JNR41" s="1172"/>
      <c r="JNS41" s="1172"/>
      <c r="JNT41" s="1172"/>
      <c r="JNU41" s="1172"/>
      <c r="JNV41" s="1172"/>
      <c r="JNW41" s="1172"/>
      <c r="JNX41" s="1172"/>
      <c r="JNY41" s="1172"/>
      <c r="JNZ41" s="1172"/>
      <c r="JOA41" s="1172"/>
      <c r="JOB41" s="1172"/>
      <c r="JOC41" s="1172"/>
      <c r="JOD41" s="1172"/>
      <c r="JOE41" s="1172"/>
      <c r="JOF41" s="1172"/>
      <c r="JOG41" s="1172"/>
      <c r="JOH41" s="1172"/>
      <c r="JOI41" s="1172"/>
      <c r="JOJ41" s="1172"/>
      <c r="JOK41" s="1172"/>
      <c r="JOL41" s="1172"/>
      <c r="JOM41" s="1172"/>
      <c r="JON41" s="1172"/>
      <c r="JOO41" s="1172"/>
      <c r="JOP41" s="1172"/>
      <c r="JOQ41" s="1172"/>
      <c r="JOR41" s="1172"/>
      <c r="JOS41" s="1172"/>
      <c r="JOT41" s="1172"/>
      <c r="JOU41" s="1172"/>
      <c r="JOV41" s="1172"/>
      <c r="JOW41" s="1172"/>
      <c r="JOX41" s="1172"/>
      <c r="JOY41" s="1172"/>
      <c r="JOZ41" s="1172"/>
      <c r="JPA41" s="1172"/>
      <c r="JPB41" s="1172"/>
      <c r="JPC41" s="1172"/>
      <c r="JPD41" s="1172"/>
      <c r="JPE41" s="1172"/>
      <c r="JPF41" s="1172"/>
      <c r="JPG41" s="1172"/>
      <c r="JPH41" s="1172"/>
      <c r="JPI41" s="1172"/>
      <c r="JPJ41" s="1172"/>
      <c r="JPK41" s="1172"/>
      <c r="JPL41" s="1172"/>
      <c r="JPM41" s="1172"/>
      <c r="JPN41" s="1172"/>
      <c r="JPO41" s="1172"/>
      <c r="JPP41" s="1172"/>
      <c r="JPQ41" s="1172"/>
      <c r="JPR41" s="1172"/>
      <c r="JPS41" s="1172"/>
      <c r="JPT41" s="1172"/>
      <c r="JPU41" s="1172"/>
      <c r="JPV41" s="1172"/>
      <c r="JPW41" s="1172"/>
      <c r="JPX41" s="1172"/>
      <c r="JPY41" s="1172"/>
      <c r="JPZ41" s="1172"/>
      <c r="JQA41" s="1172"/>
      <c r="JQB41" s="1172"/>
      <c r="JQC41" s="1172"/>
      <c r="JQD41" s="1172"/>
      <c r="JQE41" s="1172"/>
      <c r="JQF41" s="1172"/>
      <c r="JQG41" s="1172"/>
      <c r="JQH41" s="1172"/>
      <c r="JQI41" s="1172"/>
      <c r="JQJ41" s="1172"/>
      <c r="JQK41" s="1172"/>
      <c r="JQL41" s="1172"/>
      <c r="JQM41" s="1172"/>
      <c r="JQN41" s="1172"/>
      <c r="JQO41" s="1172"/>
      <c r="JQP41" s="1172"/>
      <c r="JQQ41" s="1172"/>
      <c r="JQR41" s="1172"/>
      <c r="JQS41" s="1172"/>
      <c r="JQT41" s="1172"/>
      <c r="JQU41" s="1172"/>
      <c r="JQV41" s="1172"/>
      <c r="JQW41" s="1172"/>
      <c r="JQX41" s="1172"/>
      <c r="JQY41" s="1172"/>
      <c r="JQZ41" s="1172"/>
      <c r="JRA41" s="1172"/>
      <c r="JRB41" s="1172"/>
      <c r="JRC41" s="1172"/>
      <c r="JRD41" s="1172"/>
      <c r="JRE41" s="1172"/>
      <c r="JRF41" s="1172"/>
      <c r="JRG41" s="1172"/>
      <c r="JRH41" s="1172"/>
      <c r="JRI41" s="1172"/>
      <c r="JRJ41" s="1172"/>
      <c r="JRK41" s="1172"/>
      <c r="JRL41" s="1172"/>
      <c r="JRM41" s="1172"/>
      <c r="JRN41" s="1172"/>
      <c r="JRO41" s="1172"/>
      <c r="JRP41" s="1172"/>
      <c r="JRQ41" s="1172"/>
      <c r="JRR41" s="1172"/>
      <c r="JRS41" s="1172"/>
      <c r="JRT41" s="1172"/>
      <c r="JRU41" s="1172"/>
      <c r="JRV41" s="1172"/>
      <c r="JRW41" s="1172"/>
      <c r="JRX41" s="1172"/>
      <c r="JRY41" s="1172"/>
      <c r="JRZ41" s="1172"/>
      <c r="JSA41" s="1172"/>
      <c r="JSB41" s="1172"/>
      <c r="JSC41" s="1172"/>
      <c r="JSD41" s="1172"/>
      <c r="JSE41" s="1172"/>
      <c r="JSF41" s="1172"/>
      <c r="JSG41" s="1172"/>
      <c r="JSH41" s="1172"/>
      <c r="JSI41" s="1172"/>
      <c r="JSJ41" s="1172"/>
      <c r="JSK41" s="1172"/>
      <c r="JSL41" s="1172"/>
      <c r="JSM41" s="1172"/>
      <c r="JSN41" s="1172"/>
      <c r="JSO41" s="1172"/>
      <c r="JSP41" s="1172"/>
      <c r="JSQ41" s="1172"/>
      <c r="JSR41" s="1172"/>
      <c r="JSS41" s="1172"/>
      <c r="JST41" s="1172"/>
      <c r="JSU41" s="1172"/>
      <c r="JSV41" s="1172"/>
      <c r="JSW41" s="1172"/>
      <c r="JSX41" s="1172"/>
      <c r="JSY41" s="1172"/>
      <c r="JSZ41" s="1172"/>
      <c r="JTA41" s="1172"/>
      <c r="JTB41" s="1172"/>
      <c r="JTC41" s="1172"/>
      <c r="JTD41" s="1172"/>
      <c r="JTE41" s="1172"/>
      <c r="JTF41" s="1172"/>
      <c r="JTG41" s="1172"/>
      <c r="JTH41" s="1172"/>
      <c r="JTI41" s="1172"/>
      <c r="JTJ41" s="1172"/>
      <c r="JTK41" s="1172"/>
      <c r="JTL41" s="1172"/>
      <c r="JTM41" s="1172"/>
      <c r="JTN41" s="1172"/>
      <c r="JTO41" s="1172"/>
      <c r="JTP41" s="1172"/>
      <c r="JTQ41" s="1172"/>
      <c r="JTR41" s="1172"/>
      <c r="JTS41" s="1172"/>
      <c r="JTT41" s="1172"/>
      <c r="JTU41" s="1172"/>
      <c r="JTV41" s="1172"/>
      <c r="JTW41" s="1172"/>
      <c r="JTX41" s="1172"/>
      <c r="JTY41" s="1172"/>
      <c r="JTZ41" s="1172"/>
      <c r="JUA41" s="1172"/>
      <c r="JUB41" s="1172"/>
      <c r="JUC41" s="1172"/>
      <c r="JUD41" s="1172"/>
      <c r="JUE41" s="1172"/>
      <c r="JUF41" s="1172"/>
      <c r="JUG41" s="1172"/>
      <c r="JUH41" s="1172"/>
      <c r="JUI41" s="1172"/>
      <c r="JUJ41" s="1172"/>
      <c r="JUK41" s="1172"/>
      <c r="JUL41" s="1172"/>
      <c r="JUM41" s="1172"/>
      <c r="JUN41" s="1172"/>
      <c r="JUO41" s="1172"/>
      <c r="JUP41" s="1172"/>
      <c r="JUQ41" s="1172"/>
      <c r="JUR41" s="1172"/>
      <c r="JUS41" s="1172"/>
      <c r="JUT41" s="1172"/>
      <c r="JUU41" s="1172"/>
      <c r="JUV41" s="1172"/>
      <c r="JUW41" s="1172"/>
      <c r="JUX41" s="1172"/>
      <c r="JUY41" s="1172"/>
      <c r="JUZ41" s="1172"/>
      <c r="JVA41" s="1172"/>
      <c r="JVB41" s="1172"/>
      <c r="JVC41" s="1172"/>
      <c r="JVD41" s="1172"/>
      <c r="JVE41" s="1172"/>
      <c r="JVF41" s="1172"/>
      <c r="JVG41" s="1172"/>
      <c r="JVH41" s="1172"/>
      <c r="JVI41" s="1172"/>
      <c r="JVJ41" s="1172"/>
      <c r="JVK41" s="1172"/>
      <c r="JVL41" s="1172"/>
      <c r="JVM41" s="1172"/>
      <c r="JVN41" s="1172"/>
      <c r="JVO41" s="1172"/>
      <c r="JVP41" s="1172"/>
      <c r="JVQ41" s="1172"/>
      <c r="JVR41" s="1172"/>
      <c r="JVS41" s="1172"/>
      <c r="JVT41" s="1172"/>
      <c r="JVU41" s="1172"/>
      <c r="JVV41" s="1172"/>
      <c r="JVW41" s="1172"/>
      <c r="JVX41" s="1172"/>
      <c r="JVY41" s="1172"/>
      <c r="JVZ41" s="1172"/>
      <c r="JWA41" s="1172"/>
      <c r="JWB41" s="1172"/>
      <c r="JWC41" s="1172"/>
      <c r="JWD41" s="1172"/>
      <c r="JWE41" s="1172"/>
      <c r="JWF41" s="1172"/>
      <c r="JWG41" s="1172"/>
      <c r="JWH41" s="1172"/>
      <c r="JWI41" s="1172"/>
      <c r="JWJ41" s="1172"/>
      <c r="JWK41" s="1172"/>
      <c r="JWL41" s="1172"/>
      <c r="JWM41" s="1172"/>
      <c r="JWN41" s="1172"/>
      <c r="JWO41" s="1172"/>
      <c r="JWP41" s="1172"/>
      <c r="JWQ41" s="1172"/>
      <c r="JWR41" s="1172"/>
      <c r="JWS41" s="1172"/>
      <c r="JWT41" s="1172"/>
      <c r="JWU41" s="1172"/>
      <c r="JWV41" s="1172"/>
      <c r="JWW41" s="1172"/>
      <c r="JWX41" s="1172"/>
      <c r="JWY41" s="1172"/>
      <c r="JWZ41" s="1172"/>
      <c r="JXA41" s="1172"/>
      <c r="JXB41" s="1172"/>
      <c r="JXC41" s="1172"/>
      <c r="JXD41" s="1172"/>
      <c r="JXE41" s="1172"/>
      <c r="JXF41" s="1172"/>
      <c r="JXG41" s="1172"/>
      <c r="JXH41" s="1172"/>
      <c r="JXI41" s="1172"/>
      <c r="JXJ41" s="1172"/>
      <c r="JXK41" s="1172"/>
      <c r="JXL41" s="1172"/>
      <c r="JXM41" s="1172"/>
      <c r="JXN41" s="1172"/>
      <c r="JXO41" s="1172"/>
      <c r="JXP41" s="1172"/>
      <c r="JXQ41" s="1172"/>
      <c r="JXR41" s="1172"/>
      <c r="JXS41" s="1172"/>
      <c r="JXT41" s="1172"/>
      <c r="JXU41" s="1172"/>
      <c r="JXV41" s="1172"/>
      <c r="JXW41" s="1172"/>
      <c r="JXX41" s="1172"/>
      <c r="JXY41" s="1172"/>
      <c r="JXZ41" s="1172"/>
      <c r="JYA41" s="1172"/>
      <c r="JYB41" s="1172"/>
      <c r="JYC41" s="1172"/>
      <c r="JYD41" s="1172"/>
      <c r="JYE41" s="1172"/>
      <c r="JYF41" s="1172"/>
      <c r="JYG41" s="1172"/>
      <c r="JYH41" s="1172"/>
      <c r="JYI41" s="1172"/>
      <c r="JYJ41" s="1172"/>
      <c r="JYK41" s="1172"/>
      <c r="JYL41" s="1172"/>
      <c r="JYM41" s="1172"/>
      <c r="JYN41" s="1172"/>
      <c r="JYO41" s="1172"/>
      <c r="JYP41" s="1172"/>
      <c r="JYQ41" s="1172"/>
      <c r="JYR41" s="1172"/>
      <c r="JYS41" s="1172"/>
      <c r="JYT41" s="1172"/>
      <c r="JYU41" s="1172"/>
      <c r="JYV41" s="1172"/>
      <c r="JYW41" s="1172"/>
      <c r="JYX41" s="1172"/>
      <c r="JYY41" s="1172"/>
      <c r="JYZ41" s="1172"/>
      <c r="JZA41" s="1172"/>
      <c r="JZB41" s="1172"/>
      <c r="JZC41" s="1172"/>
      <c r="JZD41" s="1172"/>
      <c r="JZE41" s="1172"/>
      <c r="JZF41" s="1172"/>
      <c r="JZG41" s="1172"/>
      <c r="JZH41" s="1172"/>
      <c r="JZI41" s="1172"/>
      <c r="JZJ41" s="1172"/>
      <c r="JZK41" s="1172"/>
      <c r="JZL41" s="1172"/>
      <c r="JZM41" s="1172"/>
      <c r="JZN41" s="1172"/>
      <c r="JZO41" s="1172"/>
      <c r="JZP41" s="1172"/>
      <c r="JZQ41" s="1172"/>
      <c r="JZR41" s="1172"/>
      <c r="JZS41" s="1172"/>
      <c r="JZT41" s="1172"/>
      <c r="JZU41" s="1172"/>
      <c r="JZV41" s="1172"/>
      <c r="JZW41" s="1172"/>
      <c r="JZX41" s="1172"/>
      <c r="JZY41" s="1172"/>
      <c r="JZZ41" s="1172"/>
      <c r="KAA41" s="1172"/>
      <c r="KAB41" s="1172"/>
      <c r="KAC41" s="1172"/>
      <c r="KAD41" s="1172"/>
      <c r="KAE41" s="1172"/>
      <c r="KAF41" s="1172"/>
      <c r="KAG41" s="1172"/>
      <c r="KAH41" s="1172"/>
      <c r="KAI41" s="1172"/>
      <c r="KAJ41" s="1172"/>
      <c r="KAK41" s="1172"/>
      <c r="KAL41" s="1172"/>
      <c r="KAM41" s="1172"/>
      <c r="KAN41" s="1172"/>
      <c r="KAO41" s="1172"/>
      <c r="KAP41" s="1172"/>
      <c r="KAQ41" s="1172"/>
      <c r="KAR41" s="1172"/>
      <c r="KAS41" s="1172"/>
      <c r="KAT41" s="1172"/>
      <c r="KAU41" s="1172"/>
      <c r="KAV41" s="1172"/>
      <c r="KAW41" s="1172"/>
      <c r="KAX41" s="1172"/>
      <c r="KAY41" s="1172"/>
      <c r="KAZ41" s="1172"/>
      <c r="KBA41" s="1172"/>
      <c r="KBB41" s="1172"/>
      <c r="KBC41" s="1172"/>
      <c r="KBD41" s="1172"/>
      <c r="KBE41" s="1172"/>
      <c r="KBF41" s="1172"/>
      <c r="KBG41" s="1172"/>
      <c r="KBH41" s="1172"/>
      <c r="KBI41" s="1172"/>
      <c r="KBJ41" s="1172"/>
      <c r="KBK41" s="1172"/>
      <c r="KBL41" s="1172"/>
      <c r="KBM41" s="1172"/>
      <c r="KBN41" s="1172"/>
      <c r="KBO41" s="1172"/>
      <c r="KBP41" s="1172"/>
      <c r="KBQ41" s="1172"/>
      <c r="KBR41" s="1172"/>
      <c r="KBS41" s="1172"/>
      <c r="KBT41" s="1172"/>
      <c r="KBU41" s="1172"/>
      <c r="KBV41" s="1172"/>
      <c r="KBW41" s="1172"/>
      <c r="KBX41" s="1172"/>
      <c r="KBY41" s="1172"/>
      <c r="KBZ41" s="1172"/>
      <c r="KCA41" s="1172"/>
      <c r="KCB41" s="1172"/>
      <c r="KCC41" s="1172"/>
      <c r="KCD41" s="1172"/>
      <c r="KCE41" s="1172"/>
      <c r="KCF41" s="1172"/>
      <c r="KCG41" s="1172"/>
      <c r="KCH41" s="1172"/>
      <c r="KCI41" s="1172"/>
      <c r="KCJ41" s="1172"/>
      <c r="KCK41" s="1172"/>
      <c r="KCL41" s="1172"/>
      <c r="KCM41" s="1172"/>
      <c r="KCN41" s="1172"/>
      <c r="KCO41" s="1172"/>
      <c r="KCP41" s="1172"/>
      <c r="KCQ41" s="1172"/>
      <c r="KCR41" s="1172"/>
      <c r="KCS41" s="1172"/>
      <c r="KCT41" s="1172"/>
      <c r="KCU41" s="1172"/>
      <c r="KCV41" s="1172"/>
      <c r="KCW41" s="1172"/>
      <c r="KCX41" s="1172"/>
      <c r="KCY41" s="1172"/>
      <c r="KCZ41" s="1172"/>
      <c r="KDA41" s="1172"/>
      <c r="KDB41" s="1172"/>
      <c r="KDC41" s="1172"/>
      <c r="KDD41" s="1172"/>
      <c r="KDE41" s="1172"/>
      <c r="KDF41" s="1172"/>
      <c r="KDG41" s="1172"/>
      <c r="KDH41" s="1172"/>
      <c r="KDI41" s="1172"/>
      <c r="KDJ41" s="1172"/>
      <c r="KDK41" s="1172"/>
      <c r="KDL41" s="1172"/>
      <c r="KDM41" s="1172"/>
      <c r="KDN41" s="1172"/>
      <c r="KDO41" s="1172"/>
      <c r="KDP41" s="1172"/>
      <c r="KDQ41" s="1172"/>
      <c r="KDR41" s="1172"/>
      <c r="KDS41" s="1172"/>
      <c r="KDT41" s="1172"/>
      <c r="KDU41" s="1172"/>
      <c r="KDV41" s="1172"/>
      <c r="KDW41" s="1172"/>
      <c r="KDX41" s="1172"/>
      <c r="KDY41" s="1172"/>
      <c r="KDZ41" s="1172"/>
      <c r="KEA41" s="1172"/>
      <c r="KEB41" s="1172"/>
      <c r="KEC41" s="1172"/>
      <c r="KED41" s="1172"/>
      <c r="KEE41" s="1172"/>
      <c r="KEF41" s="1172"/>
      <c r="KEG41" s="1172"/>
      <c r="KEH41" s="1172"/>
      <c r="KEI41" s="1172"/>
      <c r="KEJ41" s="1172"/>
      <c r="KEK41" s="1172"/>
      <c r="KEL41" s="1172"/>
      <c r="KEM41" s="1172"/>
      <c r="KEN41" s="1172"/>
      <c r="KEO41" s="1172"/>
      <c r="KEP41" s="1172"/>
      <c r="KEQ41" s="1172"/>
      <c r="KER41" s="1172"/>
      <c r="KES41" s="1172"/>
      <c r="KET41" s="1172"/>
      <c r="KEU41" s="1172"/>
      <c r="KEV41" s="1172"/>
      <c r="KEW41" s="1172"/>
      <c r="KEX41" s="1172"/>
      <c r="KEY41" s="1172"/>
      <c r="KEZ41" s="1172"/>
      <c r="KFA41" s="1172"/>
      <c r="KFB41" s="1172"/>
      <c r="KFC41" s="1172"/>
      <c r="KFD41" s="1172"/>
      <c r="KFE41" s="1172"/>
      <c r="KFF41" s="1172"/>
      <c r="KFG41" s="1172"/>
      <c r="KFH41" s="1172"/>
      <c r="KFI41" s="1172"/>
      <c r="KFJ41" s="1172"/>
      <c r="KFK41" s="1172"/>
      <c r="KFL41" s="1172"/>
      <c r="KFM41" s="1172"/>
      <c r="KFN41" s="1172"/>
      <c r="KFO41" s="1172"/>
      <c r="KFP41" s="1172"/>
      <c r="KFQ41" s="1172"/>
      <c r="KFR41" s="1172"/>
      <c r="KFS41" s="1172"/>
      <c r="KFT41" s="1172"/>
      <c r="KFU41" s="1172"/>
      <c r="KFV41" s="1172"/>
      <c r="KFW41" s="1172"/>
      <c r="KFX41" s="1172"/>
      <c r="KFY41" s="1172"/>
      <c r="KFZ41" s="1172"/>
      <c r="KGA41" s="1172"/>
      <c r="KGB41" s="1172"/>
      <c r="KGC41" s="1172"/>
      <c r="KGD41" s="1172"/>
      <c r="KGE41" s="1172"/>
      <c r="KGF41" s="1172"/>
      <c r="KGG41" s="1172"/>
      <c r="KGH41" s="1172"/>
      <c r="KGI41" s="1172"/>
      <c r="KGJ41" s="1172"/>
      <c r="KGK41" s="1172"/>
      <c r="KGL41" s="1172"/>
      <c r="KGM41" s="1172"/>
      <c r="KGN41" s="1172"/>
      <c r="KGO41" s="1172"/>
      <c r="KGP41" s="1172"/>
      <c r="KGQ41" s="1172"/>
      <c r="KGR41" s="1172"/>
      <c r="KGS41" s="1172"/>
      <c r="KGT41" s="1172"/>
      <c r="KGU41" s="1172"/>
      <c r="KGV41" s="1172"/>
      <c r="KGW41" s="1172"/>
      <c r="KGX41" s="1172"/>
      <c r="KGY41" s="1172"/>
      <c r="KGZ41" s="1172"/>
      <c r="KHA41" s="1172"/>
      <c r="KHB41" s="1172"/>
      <c r="KHC41" s="1172"/>
      <c r="KHD41" s="1172"/>
      <c r="KHE41" s="1172"/>
      <c r="KHF41" s="1172"/>
      <c r="KHG41" s="1172"/>
      <c r="KHH41" s="1172"/>
      <c r="KHI41" s="1172"/>
      <c r="KHJ41" s="1172"/>
      <c r="KHK41" s="1172"/>
      <c r="KHL41" s="1172"/>
      <c r="KHM41" s="1172"/>
      <c r="KHN41" s="1172"/>
      <c r="KHO41" s="1172"/>
      <c r="KHP41" s="1172"/>
      <c r="KHQ41" s="1172"/>
      <c r="KHR41" s="1172"/>
      <c r="KHS41" s="1172"/>
      <c r="KHT41" s="1172"/>
      <c r="KHU41" s="1172"/>
      <c r="KHV41" s="1172"/>
      <c r="KHW41" s="1172"/>
      <c r="KHX41" s="1172"/>
      <c r="KHY41" s="1172"/>
      <c r="KHZ41" s="1172"/>
      <c r="KIA41" s="1172"/>
      <c r="KIB41" s="1172"/>
      <c r="KIC41" s="1172"/>
      <c r="KID41" s="1172"/>
      <c r="KIE41" s="1172"/>
      <c r="KIF41" s="1172"/>
      <c r="KIG41" s="1172"/>
      <c r="KIH41" s="1172"/>
      <c r="KII41" s="1172"/>
      <c r="KIJ41" s="1172"/>
      <c r="KIK41" s="1172"/>
      <c r="KIL41" s="1172"/>
      <c r="KIM41" s="1172"/>
      <c r="KIN41" s="1172"/>
      <c r="KIO41" s="1172"/>
      <c r="KIP41" s="1172"/>
      <c r="KIQ41" s="1172"/>
      <c r="KIR41" s="1172"/>
      <c r="KIS41" s="1172"/>
      <c r="KIT41" s="1172"/>
      <c r="KIU41" s="1172"/>
      <c r="KIV41" s="1172"/>
      <c r="KIW41" s="1172"/>
      <c r="KIX41" s="1172"/>
      <c r="KIY41" s="1172"/>
      <c r="KIZ41" s="1172"/>
      <c r="KJA41" s="1172"/>
      <c r="KJB41" s="1172"/>
      <c r="KJC41" s="1172"/>
      <c r="KJD41" s="1172"/>
      <c r="KJE41" s="1172"/>
      <c r="KJF41" s="1172"/>
      <c r="KJG41" s="1172"/>
      <c r="KJH41" s="1172"/>
      <c r="KJI41" s="1172"/>
      <c r="KJJ41" s="1172"/>
      <c r="KJK41" s="1172"/>
      <c r="KJL41" s="1172"/>
      <c r="KJM41" s="1172"/>
      <c r="KJN41" s="1172"/>
      <c r="KJO41" s="1172"/>
      <c r="KJP41" s="1172"/>
      <c r="KJQ41" s="1172"/>
      <c r="KJR41" s="1172"/>
      <c r="KJS41" s="1172"/>
      <c r="KJT41" s="1172"/>
      <c r="KJU41" s="1172"/>
      <c r="KJV41" s="1172"/>
      <c r="KJW41" s="1172"/>
      <c r="KJX41" s="1172"/>
      <c r="KJY41" s="1172"/>
      <c r="KJZ41" s="1172"/>
      <c r="KKA41" s="1172"/>
      <c r="KKB41" s="1172"/>
      <c r="KKC41" s="1172"/>
      <c r="KKD41" s="1172"/>
      <c r="KKE41" s="1172"/>
      <c r="KKF41" s="1172"/>
      <c r="KKG41" s="1172"/>
      <c r="KKH41" s="1172"/>
      <c r="KKI41" s="1172"/>
      <c r="KKJ41" s="1172"/>
      <c r="KKK41" s="1172"/>
      <c r="KKL41" s="1172"/>
      <c r="KKM41" s="1172"/>
      <c r="KKN41" s="1172"/>
      <c r="KKO41" s="1172"/>
      <c r="KKP41" s="1172"/>
      <c r="KKQ41" s="1172"/>
      <c r="KKR41" s="1172"/>
      <c r="KKS41" s="1172"/>
      <c r="KKT41" s="1172"/>
      <c r="KKU41" s="1172"/>
      <c r="KKV41" s="1172"/>
      <c r="KKW41" s="1172"/>
      <c r="KKX41" s="1172"/>
      <c r="KKY41" s="1172"/>
      <c r="KKZ41" s="1172"/>
      <c r="KLA41" s="1172"/>
      <c r="KLB41" s="1172"/>
      <c r="KLC41" s="1172"/>
      <c r="KLD41" s="1172"/>
      <c r="KLE41" s="1172"/>
      <c r="KLF41" s="1172"/>
      <c r="KLG41" s="1172"/>
      <c r="KLH41" s="1172"/>
      <c r="KLI41" s="1172"/>
      <c r="KLJ41" s="1172"/>
      <c r="KLK41" s="1172"/>
      <c r="KLL41" s="1172"/>
      <c r="KLM41" s="1172"/>
      <c r="KLN41" s="1172"/>
      <c r="KLO41" s="1172"/>
      <c r="KLP41" s="1172"/>
      <c r="KLQ41" s="1172"/>
      <c r="KLR41" s="1172"/>
      <c r="KLS41" s="1172"/>
      <c r="KLT41" s="1172"/>
      <c r="KLU41" s="1172"/>
      <c r="KLV41" s="1172"/>
      <c r="KLW41" s="1172"/>
      <c r="KLX41" s="1172"/>
      <c r="KLY41" s="1172"/>
      <c r="KLZ41" s="1172"/>
      <c r="KMA41" s="1172"/>
      <c r="KMB41" s="1172"/>
      <c r="KMC41" s="1172"/>
      <c r="KMD41" s="1172"/>
      <c r="KME41" s="1172"/>
      <c r="KMF41" s="1172"/>
      <c r="KMG41" s="1172"/>
      <c r="KMH41" s="1172"/>
      <c r="KMI41" s="1172"/>
      <c r="KMJ41" s="1172"/>
      <c r="KMK41" s="1172"/>
      <c r="KML41" s="1172"/>
      <c r="KMM41" s="1172"/>
      <c r="KMN41" s="1172"/>
      <c r="KMO41" s="1172"/>
      <c r="KMP41" s="1172"/>
      <c r="KMQ41" s="1172"/>
      <c r="KMR41" s="1172"/>
      <c r="KMS41" s="1172"/>
      <c r="KMT41" s="1172"/>
      <c r="KMU41" s="1172"/>
      <c r="KMV41" s="1172"/>
      <c r="KMW41" s="1172"/>
      <c r="KMX41" s="1172"/>
      <c r="KMY41" s="1172"/>
      <c r="KMZ41" s="1172"/>
      <c r="KNA41" s="1172"/>
      <c r="KNB41" s="1172"/>
      <c r="KNC41" s="1172"/>
      <c r="KND41" s="1172"/>
      <c r="KNE41" s="1172"/>
      <c r="KNF41" s="1172"/>
      <c r="KNG41" s="1172"/>
      <c r="KNH41" s="1172"/>
      <c r="KNI41" s="1172"/>
      <c r="KNJ41" s="1172"/>
      <c r="KNK41" s="1172"/>
      <c r="KNL41" s="1172"/>
      <c r="KNM41" s="1172"/>
      <c r="KNN41" s="1172"/>
      <c r="KNO41" s="1172"/>
      <c r="KNP41" s="1172"/>
      <c r="KNQ41" s="1172"/>
      <c r="KNR41" s="1172"/>
      <c r="KNS41" s="1172"/>
      <c r="KNT41" s="1172"/>
      <c r="KNU41" s="1172"/>
      <c r="KNV41" s="1172"/>
      <c r="KNW41" s="1172"/>
      <c r="KNX41" s="1172"/>
      <c r="KNY41" s="1172"/>
      <c r="KNZ41" s="1172"/>
      <c r="KOA41" s="1172"/>
      <c r="KOB41" s="1172"/>
      <c r="KOC41" s="1172"/>
      <c r="KOD41" s="1172"/>
      <c r="KOE41" s="1172"/>
      <c r="KOF41" s="1172"/>
      <c r="KOG41" s="1172"/>
      <c r="KOH41" s="1172"/>
      <c r="KOI41" s="1172"/>
      <c r="KOJ41" s="1172"/>
      <c r="KOK41" s="1172"/>
      <c r="KOL41" s="1172"/>
      <c r="KOM41" s="1172"/>
      <c r="KON41" s="1172"/>
      <c r="KOO41" s="1172"/>
      <c r="KOP41" s="1172"/>
      <c r="KOQ41" s="1172"/>
      <c r="KOR41" s="1172"/>
      <c r="KOS41" s="1172"/>
      <c r="KOT41" s="1172"/>
      <c r="KOU41" s="1172"/>
      <c r="KOV41" s="1172"/>
      <c r="KOW41" s="1172"/>
      <c r="KOX41" s="1172"/>
      <c r="KOY41" s="1172"/>
      <c r="KOZ41" s="1172"/>
      <c r="KPA41" s="1172"/>
      <c r="KPB41" s="1172"/>
      <c r="KPC41" s="1172"/>
      <c r="KPD41" s="1172"/>
      <c r="KPE41" s="1172"/>
      <c r="KPF41" s="1172"/>
      <c r="KPG41" s="1172"/>
      <c r="KPH41" s="1172"/>
      <c r="KPI41" s="1172"/>
      <c r="KPJ41" s="1172"/>
      <c r="KPK41" s="1172"/>
      <c r="KPL41" s="1172"/>
      <c r="KPM41" s="1172"/>
      <c r="KPN41" s="1172"/>
      <c r="KPO41" s="1172"/>
      <c r="KPP41" s="1172"/>
      <c r="KPQ41" s="1172"/>
      <c r="KPR41" s="1172"/>
      <c r="KPS41" s="1172"/>
      <c r="KPT41" s="1172"/>
      <c r="KPU41" s="1172"/>
      <c r="KPV41" s="1172"/>
      <c r="KPW41" s="1172"/>
      <c r="KPX41" s="1172"/>
      <c r="KPY41" s="1172"/>
      <c r="KPZ41" s="1172"/>
      <c r="KQA41" s="1172"/>
      <c r="KQB41" s="1172"/>
      <c r="KQC41" s="1172"/>
      <c r="KQD41" s="1172"/>
      <c r="KQE41" s="1172"/>
      <c r="KQF41" s="1172"/>
      <c r="KQG41" s="1172"/>
      <c r="KQH41" s="1172"/>
      <c r="KQI41" s="1172"/>
      <c r="KQJ41" s="1172"/>
      <c r="KQK41" s="1172"/>
      <c r="KQL41" s="1172"/>
      <c r="KQM41" s="1172"/>
      <c r="KQN41" s="1172"/>
      <c r="KQO41" s="1172"/>
      <c r="KQP41" s="1172"/>
      <c r="KQQ41" s="1172"/>
      <c r="KQR41" s="1172"/>
      <c r="KQS41" s="1172"/>
      <c r="KQT41" s="1172"/>
      <c r="KQU41" s="1172"/>
      <c r="KQV41" s="1172"/>
      <c r="KQW41" s="1172"/>
      <c r="KQX41" s="1172"/>
      <c r="KQY41" s="1172"/>
      <c r="KQZ41" s="1172"/>
      <c r="KRA41" s="1172"/>
      <c r="KRB41" s="1172"/>
      <c r="KRC41" s="1172"/>
      <c r="KRD41" s="1172"/>
      <c r="KRE41" s="1172"/>
      <c r="KRF41" s="1172"/>
      <c r="KRG41" s="1172"/>
      <c r="KRH41" s="1172"/>
      <c r="KRI41" s="1172"/>
      <c r="KRJ41" s="1172"/>
      <c r="KRK41" s="1172"/>
      <c r="KRL41" s="1172"/>
      <c r="KRM41" s="1172"/>
      <c r="KRN41" s="1172"/>
      <c r="KRO41" s="1172"/>
      <c r="KRP41" s="1172"/>
      <c r="KRQ41" s="1172"/>
      <c r="KRR41" s="1172"/>
      <c r="KRS41" s="1172"/>
      <c r="KRT41" s="1172"/>
      <c r="KRU41" s="1172"/>
      <c r="KRV41" s="1172"/>
      <c r="KRW41" s="1172"/>
      <c r="KRX41" s="1172"/>
      <c r="KRY41" s="1172"/>
      <c r="KRZ41" s="1172"/>
      <c r="KSA41" s="1172"/>
      <c r="KSB41" s="1172"/>
      <c r="KSC41" s="1172"/>
      <c r="KSD41" s="1172"/>
      <c r="KSE41" s="1172"/>
      <c r="KSF41" s="1172"/>
      <c r="KSG41" s="1172"/>
      <c r="KSH41" s="1172"/>
      <c r="KSI41" s="1172"/>
      <c r="KSJ41" s="1172"/>
      <c r="KSK41" s="1172"/>
      <c r="KSL41" s="1172"/>
      <c r="KSM41" s="1172"/>
      <c r="KSN41" s="1172"/>
      <c r="KSO41" s="1172"/>
      <c r="KSP41" s="1172"/>
      <c r="KSQ41" s="1172"/>
      <c r="KSR41" s="1172"/>
      <c r="KSS41" s="1172"/>
      <c r="KST41" s="1172"/>
      <c r="KSU41" s="1172"/>
      <c r="KSV41" s="1172"/>
      <c r="KSW41" s="1172"/>
      <c r="KSX41" s="1172"/>
      <c r="KSY41" s="1172"/>
      <c r="KSZ41" s="1172"/>
      <c r="KTA41" s="1172"/>
      <c r="KTB41" s="1172"/>
      <c r="KTC41" s="1172"/>
      <c r="KTD41" s="1172"/>
      <c r="KTE41" s="1172"/>
      <c r="KTF41" s="1172"/>
      <c r="KTG41" s="1172"/>
      <c r="KTH41" s="1172"/>
      <c r="KTI41" s="1172"/>
      <c r="KTJ41" s="1172"/>
      <c r="KTK41" s="1172"/>
      <c r="KTL41" s="1172"/>
      <c r="KTM41" s="1172"/>
      <c r="KTN41" s="1172"/>
      <c r="KTO41" s="1172"/>
      <c r="KTP41" s="1172"/>
      <c r="KTQ41" s="1172"/>
      <c r="KTR41" s="1172"/>
      <c r="KTS41" s="1172"/>
      <c r="KTT41" s="1172"/>
      <c r="KTU41" s="1172"/>
      <c r="KTV41" s="1172"/>
      <c r="KTW41" s="1172"/>
      <c r="KTX41" s="1172"/>
      <c r="KTY41" s="1172"/>
      <c r="KTZ41" s="1172"/>
      <c r="KUA41" s="1172"/>
      <c r="KUB41" s="1172"/>
      <c r="KUC41" s="1172"/>
      <c r="KUD41" s="1172"/>
      <c r="KUE41" s="1172"/>
      <c r="KUF41" s="1172"/>
      <c r="KUG41" s="1172"/>
      <c r="KUH41" s="1172"/>
      <c r="KUI41" s="1172"/>
      <c r="KUJ41" s="1172"/>
      <c r="KUK41" s="1172"/>
      <c r="KUL41" s="1172"/>
      <c r="KUM41" s="1172"/>
      <c r="KUN41" s="1172"/>
      <c r="KUO41" s="1172"/>
      <c r="KUP41" s="1172"/>
      <c r="KUQ41" s="1172"/>
      <c r="KUR41" s="1172"/>
      <c r="KUS41" s="1172"/>
      <c r="KUT41" s="1172"/>
      <c r="KUU41" s="1172"/>
      <c r="KUV41" s="1172"/>
      <c r="KUW41" s="1172"/>
      <c r="KUX41" s="1172"/>
      <c r="KUY41" s="1172"/>
      <c r="KUZ41" s="1172"/>
      <c r="KVA41" s="1172"/>
      <c r="KVB41" s="1172"/>
      <c r="KVC41" s="1172"/>
      <c r="KVD41" s="1172"/>
      <c r="KVE41" s="1172"/>
      <c r="KVF41" s="1172"/>
      <c r="KVG41" s="1172"/>
      <c r="KVH41" s="1172"/>
      <c r="KVI41" s="1172"/>
      <c r="KVJ41" s="1172"/>
      <c r="KVK41" s="1172"/>
      <c r="KVL41" s="1172"/>
      <c r="KVM41" s="1172"/>
      <c r="KVN41" s="1172"/>
      <c r="KVO41" s="1172"/>
      <c r="KVP41" s="1172"/>
      <c r="KVQ41" s="1172"/>
      <c r="KVR41" s="1172"/>
      <c r="KVS41" s="1172"/>
      <c r="KVT41" s="1172"/>
      <c r="KVU41" s="1172"/>
      <c r="KVV41" s="1172"/>
      <c r="KVW41" s="1172"/>
      <c r="KVX41" s="1172"/>
      <c r="KVY41" s="1172"/>
      <c r="KVZ41" s="1172"/>
      <c r="KWA41" s="1172"/>
      <c r="KWB41" s="1172"/>
      <c r="KWC41" s="1172"/>
      <c r="KWD41" s="1172"/>
      <c r="KWE41" s="1172"/>
      <c r="KWF41" s="1172"/>
      <c r="KWG41" s="1172"/>
      <c r="KWH41" s="1172"/>
      <c r="KWI41" s="1172"/>
      <c r="KWJ41" s="1172"/>
      <c r="KWK41" s="1172"/>
      <c r="KWL41" s="1172"/>
      <c r="KWM41" s="1172"/>
      <c r="KWN41" s="1172"/>
      <c r="KWO41" s="1172"/>
      <c r="KWP41" s="1172"/>
      <c r="KWQ41" s="1172"/>
      <c r="KWR41" s="1172"/>
      <c r="KWS41" s="1172"/>
      <c r="KWT41" s="1172"/>
      <c r="KWU41" s="1172"/>
      <c r="KWV41" s="1172"/>
      <c r="KWW41" s="1172"/>
      <c r="KWX41" s="1172"/>
      <c r="KWY41" s="1172"/>
      <c r="KWZ41" s="1172"/>
      <c r="KXA41" s="1172"/>
      <c r="KXB41" s="1172"/>
      <c r="KXC41" s="1172"/>
      <c r="KXD41" s="1172"/>
      <c r="KXE41" s="1172"/>
      <c r="KXF41" s="1172"/>
      <c r="KXG41" s="1172"/>
      <c r="KXH41" s="1172"/>
      <c r="KXI41" s="1172"/>
      <c r="KXJ41" s="1172"/>
      <c r="KXK41" s="1172"/>
      <c r="KXL41" s="1172"/>
      <c r="KXM41" s="1172"/>
      <c r="KXN41" s="1172"/>
      <c r="KXO41" s="1172"/>
      <c r="KXP41" s="1172"/>
      <c r="KXQ41" s="1172"/>
      <c r="KXR41" s="1172"/>
      <c r="KXS41" s="1172"/>
      <c r="KXT41" s="1172"/>
      <c r="KXU41" s="1172"/>
      <c r="KXV41" s="1172"/>
      <c r="KXW41" s="1172"/>
      <c r="KXX41" s="1172"/>
      <c r="KXY41" s="1172"/>
      <c r="KXZ41" s="1172"/>
      <c r="KYA41" s="1172"/>
      <c r="KYB41" s="1172"/>
      <c r="KYC41" s="1172"/>
      <c r="KYD41" s="1172"/>
      <c r="KYE41" s="1172"/>
      <c r="KYF41" s="1172"/>
      <c r="KYG41" s="1172"/>
      <c r="KYH41" s="1172"/>
      <c r="KYI41" s="1172"/>
      <c r="KYJ41" s="1172"/>
      <c r="KYK41" s="1172"/>
      <c r="KYL41" s="1172"/>
      <c r="KYM41" s="1172"/>
      <c r="KYN41" s="1172"/>
      <c r="KYO41" s="1172"/>
      <c r="KYP41" s="1172"/>
      <c r="KYQ41" s="1172"/>
      <c r="KYR41" s="1172"/>
      <c r="KYS41" s="1172"/>
      <c r="KYT41" s="1172"/>
      <c r="KYU41" s="1172"/>
      <c r="KYV41" s="1172"/>
      <c r="KYW41" s="1172"/>
      <c r="KYX41" s="1172"/>
      <c r="KYY41" s="1172"/>
      <c r="KYZ41" s="1172"/>
      <c r="KZA41" s="1172"/>
      <c r="KZB41" s="1172"/>
      <c r="KZC41" s="1172"/>
      <c r="KZD41" s="1172"/>
      <c r="KZE41" s="1172"/>
      <c r="KZF41" s="1172"/>
      <c r="KZG41" s="1172"/>
      <c r="KZH41" s="1172"/>
      <c r="KZI41" s="1172"/>
      <c r="KZJ41" s="1172"/>
      <c r="KZK41" s="1172"/>
      <c r="KZL41" s="1172"/>
      <c r="KZM41" s="1172"/>
      <c r="KZN41" s="1172"/>
      <c r="KZO41" s="1172"/>
      <c r="KZP41" s="1172"/>
      <c r="KZQ41" s="1172"/>
      <c r="KZR41" s="1172"/>
      <c r="KZS41" s="1172"/>
      <c r="KZT41" s="1172"/>
      <c r="KZU41" s="1172"/>
      <c r="KZV41" s="1172"/>
      <c r="KZW41" s="1172"/>
      <c r="KZX41" s="1172"/>
      <c r="KZY41" s="1172"/>
      <c r="KZZ41" s="1172"/>
      <c r="LAA41" s="1172"/>
      <c r="LAB41" s="1172"/>
      <c r="LAC41" s="1172"/>
      <c r="LAD41" s="1172"/>
      <c r="LAE41" s="1172"/>
      <c r="LAF41" s="1172"/>
      <c r="LAG41" s="1172"/>
      <c r="LAH41" s="1172"/>
      <c r="LAI41" s="1172"/>
      <c r="LAJ41" s="1172"/>
      <c r="LAK41" s="1172"/>
      <c r="LAL41" s="1172"/>
      <c r="LAM41" s="1172"/>
      <c r="LAN41" s="1172"/>
      <c r="LAO41" s="1172"/>
      <c r="LAP41" s="1172"/>
      <c r="LAQ41" s="1172"/>
      <c r="LAR41" s="1172"/>
      <c r="LAS41" s="1172"/>
      <c r="LAT41" s="1172"/>
      <c r="LAU41" s="1172"/>
      <c r="LAV41" s="1172"/>
      <c r="LAW41" s="1172"/>
      <c r="LAX41" s="1172"/>
      <c r="LAY41" s="1172"/>
      <c r="LAZ41" s="1172"/>
      <c r="LBA41" s="1172"/>
      <c r="LBB41" s="1172"/>
      <c r="LBC41" s="1172"/>
      <c r="LBD41" s="1172"/>
      <c r="LBE41" s="1172"/>
      <c r="LBF41" s="1172"/>
      <c r="LBG41" s="1172"/>
      <c r="LBH41" s="1172"/>
      <c r="LBI41" s="1172"/>
      <c r="LBJ41" s="1172"/>
      <c r="LBK41" s="1172"/>
      <c r="LBL41" s="1172"/>
      <c r="LBM41" s="1172"/>
      <c r="LBN41" s="1172"/>
      <c r="LBO41" s="1172"/>
      <c r="LBP41" s="1172"/>
      <c r="LBQ41" s="1172"/>
      <c r="LBR41" s="1172"/>
      <c r="LBS41" s="1172"/>
      <c r="LBT41" s="1172"/>
      <c r="LBU41" s="1172"/>
      <c r="LBV41" s="1172"/>
      <c r="LBW41" s="1172"/>
      <c r="LBX41" s="1172"/>
      <c r="LBY41" s="1172"/>
      <c r="LBZ41" s="1172"/>
      <c r="LCA41" s="1172"/>
      <c r="LCB41" s="1172"/>
      <c r="LCC41" s="1172"/>
      <c r="LCD41" s="1172"/>
      <c r="LCE41" s="1172"/>
      <c r="LCF41" s="1172"/>
      <c r="LCG41" s="1172"/>
      <c r="LCH41" s="1172"/>
      <c r="LCI41" s="1172"/>
      <c r="LCJ41" s="1172"/>
      <c r="LCK41" s="1172"/>
      <c r="LCL41" s="1172"/>
      <c r="LCM41" s="1172"/>
      <c r="LCN41" s="1172"/>
      <c r="LCO41" s="1172"/>
      <c r="LCP41" s="1172"/>
      <c r="LCQ41" s="1172"/>
      <c r="LCR41" s="1172"/>
      <c r="LCS41" s="1172"/>
      <c r="LCT41" s="1172"/>
      <c r="LCU41" s="1172"/>
      <c r="LCV41" s="1172"/>
      <c r="LCW41" s="1172"/>
      <c r="LCX41" s="1172"/>
      <c r="LCY41" s="1172"/>
      <c r="LCZ41" s="1172"/>
      <c r="LDA41" s="1172"/>
      <c r="LDB41" s="1172"/>
      <c r="LDC41" s="1172"/>
      <c r="LDD41" s="1172"/>
      <c r="LDE41" s="1172"/>
      <c r="LDF41" s="1172"/>
      <c r="LDG41" s="1172"/>
      <c r="LDH41" s="1172"/>
      <c r="LDI41" s="1172"/>
      <c r="LDJ41" s="1172"/>
      <c r="LDK41" s="1172"/>
      <c r="LDL41" s="1172"/>
      <c r="LDM41" s="1172"/>
      <c r="LDN41" s="1172"/>
      <c r="LDO41" s="1172"/>
      <c r="LDP41" s="1172"/>
      <c r="LDQ41" s="1172"/>
      <c r="LDR41" s="1172"/>
      <c r="LDS41" s="1172"/>
      <c r="LDT41" s="1172"/>
      <c r="LDU41" s="1172"/>
      <c r="LDV41" s="1172"/>
      <c r="LDW41" s="1172"/>
      <c r="LDX41" s="1172"/>
      <c r="LDY41" s="1172"/>
      <c r="LDZ41" s="1172"/>
      <c r="LEA41" s="1172"/>
      <c r="LEB41" s="1172"/>
      <c r="LEC41" s="1172"/>
      <c r="LED41" s="1172"/>
      <c r="LEE41" s="1172"/>
      <c r="LEF41" s="1172"/>
      <c r="LEG41" s="1172"/>
      <c r="LEH41" s="1172"/>
      <c r="LEI41" s="1172"/>
      <c r="LEJ41" s="1172"/>
      <c r="LEK41" s="1172"/>
      <c r="LEL41" s="1172"/>
      <c r="LEM41" s="1172"/>
      <c r="LEN41" s="1172"/>
      <c r="LEO41" s="1172"/>
      <c r="LEP41" s="1172"/>
      <c r="LEQ41" s="1172"/>
      <c r="LER41" s="1172"/>
      <c r="LES41" s="1172"/>
      <c r="LET41" s="1172"/>
      <c r="LEU41" s="1172"/>
      <c r="LEV41" s="1172"/>
      <c r="LEW41" s="1172"/>
      <c r="LEX41" s="1172"/>
      <c r="LEY41" s="1172"/>
      <c r="LEZ41" s="1172"/>
      <c r="LFA41" s="1172"/>
      <c r="LFB41" s="1172"/>
      <c r="LFC41" s="1172"/>
      <c r="LFD41" s="1172"/>
      <c r="LFE41" s="1172"/>
      <c r="LFF41" s="1172"/>
      <c r="LFG41" s="1172"/>
      <c r="LFH41" s="1172"/>
      <c r="LFI41" s="1172"/>
      <c r="LFJ41" s="1172"/>
      <c r="LFK41" s="1172"/>
      <c r="LFL41" s="1172"/>
      <c r="LFM41" s="1172"/>
      <c r="LFN41" s="1172"/>
      <c r="LFO41" s="1172"/>
      <c r="LFP41" s="1172"/>
      <c r="LFQ41" s="1172"/>
      <c r="LFR41" s="1172"/>
      <c r="LFS41" s="1172"/>
      <c r="LFT41" s="1172"/>
      <c r="LFU41" s="1172"/>
      <c r="LFV41" s="1172"/>
      <c r="LFW41" s="1172"/>
      <c r="LFX41" s="1172"/>
      <c r="LFY41" s="1172"/>
      <c r="LFZ41" s="1172"/>
      <c r="LGA41" s="1172"/>
      <c r="LGB41" s="1172"/>
      <c r="LGC41" s="1172"/>
      <c r="LGD41" s="1172"/>
      <c r="LGE41" s="1172"/>
      <c r="LGF41" s="1172"/>
      <c r="LGG41" s="1172"/>
      <c r="LGH41" s="1172"/>
      <c r="LGI41" s="1172"/>
      <c r="LGJ41" s="1172"/>
      <c r="LGK41" s="1172"/>
      <c r="LGL41" s="1172"/>
      <c r="LGM41" s="1172"/>
      <c r="LGN41" s="1172"/>
      <c r="LGO41" s="1172"/>
      <c r="LGP41" s="1172"/>
      <c r="LGQ41" s="1172"/>
      <c r="LGR41" s="1172"/>
      <c r="LGS41" s="1172"/>
      <c r="LGT41" s="1172"/>
      <c r="LGU41" s="1172"/>
      <c r="LGV41" s="1172"/>
      <c r="LGW41" s="1172"/>
      <c r="LGX41" s="1172"/>
      <c r="LGY41" s="1172"/>
      <c r="LGZ41" s="1172"/>
      <c r="LHA41" s="1172"/>
      <c r="LHB41" s="1172"/>
      <c r="LHC41" s="1172"/>
      <c r="LHD41" s="1172"/>
      <c r="LHE41" s="1172"/>
      <c r="LHF41" s="1172"/>
      <c r="LHG41" s="1172"/>
      <c r="LHH41" s="1172"/>
      <c r="LHI41" s="1172"/>
      <c r="LHJ41" s="1172"/>
      <c r="LHK41" s="1172"/>
      <c r="LHL41" s="1172"/>
      <c r="LHM41" s="1172"/>
      <c r="LHN41" s="1172"/>
      <c r="LHO41" s="1172"/>
      <c r="LHP41" s="1172"/>
      <c r="LHQ41" s="1172"/>
      <c r="LHR41" s="1172"/>
      <c r="LHS41" s="1172"/>
      <c r="LHT41" s="1172"/>
      <c r="LHU41" s="1172"/>
      <c r="LHV41" s="1172"/>
      <c r="LHW41" s="1172"/>
      <c r="LHX41" s="1172"/>
      <c r="LHY41" s="1172"/>
      <c r="LHZ41" s="1172"/>
      <c r="LIA41" s="1172"/>
      <c r="LIB41" s="1172"/>
      <c r="LIC41" s="1172"/>
      <c r="LID41" s="1172"/>
      <c r="LIE41" s="1172"/>
      <c r="LIF41" s="1172"/>
      <c r="LIG41" s="1172"/>
      <c r="LIH41" s="1172"/>
      <c r="LII41" s="1172"/>
      <c r="LIJ41" s="1172"/>
      <c r="LIK41" s="1172"/>
      <c r="LIL41" s="1172"/>
      <c r="LIM41" s="1172"/>
      <c r="LIN41" s="1172"/>
      <c r="LIO41" s="1172"/>
      <c r="LIP41" s="1172"/>
      <c r="LIQ41" s="1172"/>
      <c r="LIR41" s="1172"/>
      <c r="LIS41" s="1172"/>
      <c r="LIT41" s="1172"/>
      <c r="LIU41" s="1172"/>
      <c r="LIV41" s="1172"/>
      <c r="LIW41" s="1172"/>
      <c r="LIX41" s="1172"/>
      <c r="LIY41" s="1172"/>
      <c r="LIZ41" s="1172"/>
      <c r="LJA41" s="1172"/>
      <c r="LJB41" s="1172"/>
      <c r="LJC41" s="1172"/>
      <c r="LJD41" s="1172"/>
      <c r="LJE41" s="1172"/>
      <c r="LJF41" s="1172"/>
      <c r="LJG41" s="1172"/>
      <c r="LJH41" s="1172"/>
      <c r="LJI41" s="1172"/>
      <c r="LJJ41" s="1172"/>
      <c r="LJK41" s="1172"/>
      <c r="LJL41" s="1172"/>
      <c r="LJM41" s="1172"/>
      <c r="LJN41" s="1172"/>
      <c r="LJO41" s="1172"/>
      <c r="LJP41" s="1172"/>
      <c r="LJQ41" s="1172"/>
      <c r="LJR41" s="1172"/>
      <c r="LJS41" s="1172"/>
      <c r="LJT41" s="1172"/>
      <c r="LJU41" s="1172"/>
      <c r="LJV41" s="1172"/>
      <c r="LJW41" s="1172"/>
      <c r="LJX41" s="1172"/>
      <c r="LJY41" s="1172"/>
      <c r="LJZ41" s="1172"/>
      <c r="LKA41" s="1172"/>
      <c r="LKB41" s="1172"/>
      <c r="LKC41" s="1172"/>
      <c r="LKD41" s="1172"/>
      <c r="LKE41" s="1172"/>
      <c r="LKF41" s="1172"/>
      <c r="LKG41" s="1172"/>
      <c r="LKH41" s="1172"/>
      <c r="LKI41" s="1172"/>
      <c r="LKJ41" s="1172"/>
      <c r="LKK41" s="1172"/>
      <c r="LKL41" s="1172"/>
      <c r="LKM41" s="1172"/>
      <c r="LKN41" s="1172"/>
      <c r="LKO41" s="1172"/>
      <c r="LKP41" s="1172"/>
      <c r="LKQ41" s="1172"/>
      <c r="LKR41" s="1172"/>
      <c r="LKS41" s="1172"/>
      <c r="LKT41" s="1172"/>
      <c r="LKU41" s="1172"/>
      <c r="LKV41" s="1172"/>
      <c r="LKW41" s="1172"/>
      <c r="LKX41" s="1172"/>
      <c r="LKY41" s="1172"/>
      <c r="LKZ41" s="1172"/>
      <c r="LLA41" s="1172"/>
      <c r="LLB41" s="1172"/>
      <c r="LLC41" s="1172"/>
      <c r="LLD41" s="1172"/>
      <c r="LLE41" s="1172"/>
      <c r="LLF41" s="1172"/>
      <c r="LLG41" s="1172"/>
      <c r="LLH41" s="1172"/>
      <c r="LLI41" s="1172"/>
      <c r="LLJ41" s="1172"/>
      <c r="LLK41" s="1172"/>
      <c r="LLL41" s="1172"/>
      <c r="LLM41" s="1172"/>
      <c r="LLN41" s="1172"/>
      <c r="LLO41" s="1172"/>
      <c r="LLP41" s="1172"/>
      <c r="LLQ41" s="1172"/>
      <c r="LLR41" s="1172"/>
      <c r="LLS41" s="1172"/>
      <c r="LLT41" s="1172"/>
      <c r="LLU41" s="1172"/>
      <c r="LLV41" s="1172"/>
      <c r="LLW41" s="1172"/>
      <c r="LLX41" s="1172"/>
      <c r="LLY41" s="1172"/>
      <c r="LLZ41" s="1172"/>
      <c r="LMA41" s="1172"/>
      <c r="LMB41" s="1172"/>
      <c r="LMC41" s="1172"/>
      <c r="LMD41" s="1172"/>
      <c r="LME41" s="1172"/>
      <c r="LMF41" s="1172"/>
      <c r="LMG41" s="1172"/>
      <c r="LMH41" s="1172"/>
      <c r="LMI41" s="1172"/>
      <c r="LMJ41" s="1172"/>
      <c r="LMK41" s="1172"/>
      <c r="LML41" s="1172"/>
      <c r="LMM41" s="1172"/>
      <c r="LMN41" s="1172"/>
      <c r="LMO41" s="1172"/>
      <c r="LMP41" s="1172"/>
      <c r="LMQ41" s="1172"/>
      <c r="LMR41" s="1172"/>
      <c r="LMS41" s="1172"/>
      <c r="LMT41" s="1172"/>
      <c r="LMU41" s="1172"/>
      <c r="LMV41" s="1172"/>
      <c r="LMW41" s="1172"/>
      <c r="LMX41" s="1172"/>
      <c r="LMY41" s="1172"/>
      <c r="LMZ41" s="1172"/>
      <c r="LNA41" s="1172"/>
      <c r="LNB41" s="1172"/>
      <c r="LNC41" s="1172"/>
      <c r="LND41" s="1172"/>
      <c r="LNE41" s="1172"/>
      <c r="LNF41" s="1172"/>
      <c r="LNG41" s="1172"/>
      <c r="LNH41" s="1172"/>
      <c r="LNI41" s="1172"/>
      <c r="LNJ41" s="1172"/>
      <c r="LNK41" s="1172"/>
      <c r="LNL41" s="1172"/>
      <c r="LNM41" s="1172"/>
      <c r="LNN41" s="1172"/>
      <c r="LNO41" s="1172"/>
      <c r="LNP41" s="1172"/>
      <c r="LNQ41" s="1172"/>
      <c r="LNR41" s="1172"/>
      <c r="LNS41" s="1172"/>
      <c r="LNT41" s="1172"/>
      <c r="LNU41" s="1172"/>
      <c r="LNV41" s="1172"/>
      <c r="LNW41" s="1172"/>
      <c r="LNX41" s="1172"/>
      <c r="LNY41" s="1172"/>
      <c r="LNZ41" s="1172"/>
      <c r="LOA41" s="1172"/>
      <c r="LOB41" s="1172"/>
      <c r="LOC41" s="1172"/>
      <c r="LOD41" s="1172"/>
      <c r="LOE41" s="1172"/>
      <c r="LOF41" s="1172"/>
      <c r="LOG41" s="1172"/>
      <c r="LOH41" s="1172"/>
      <c r="LOI41" s="1172"/>
      <c r="LOJ41" s="1172"/>
      <c r="LOK41" s="1172"/>
      <c r="LOL41" s="1172"/>
      <c r="LOM41" s="1172"/>
      <c r="LON41" s="1172"/>
      <c r="LOO41" s="1172"/>
      <c r="LOP41" s="1172"/>
      <c r="LOQ41" s="1172"/>
      <c r="LOR41" s="1172"/>
      <c r="LOS41" s="1172"/>
      <c r="LOT41" s="1172"/>
      <c r="LOU41" s="1172"/>
      <c r="LOV41" s="1172"/>
      <c r="LOW41" s="1172"/>
      <c r="LOX41" s="1172"/>
      <c r="LOY41" s="1172"/>
      <c r="LOZ41" s="1172"/>
      <c r="LPA41" s="1172"/>
      <c r="LPB41" s="1172"/>
      <c r="LPC41" s="1172"/>
      <c r="LPD41" s="1172"/>
      <c r="LPE41" s="1172"/>
      <c r="LPF41" s="1172"/>
      <c r="LPG41" s="1172"/>
      <c r="LPH41" s="1172"/>
      <c r="LPI41" s="1172"/>
      <c r="LPJ41" s="1172"/>
      <c r="LPK41" s="1172"/>
      <c r="LPL41" s="1172"/>
      <c r="LPM41" s="1172"/>
      <c r="LPN41" s="1172"/>
      <c r="LPO41" s="1172"/>
      <c r="LPP41" s="1172"/>
      <c r="LPQ41" s="1172"/>
      <c r="LPR41" s="1172"/>
      <c r="LPS41" s="1172"/>
      <c r="LPT41" s="1172"/>
      <c r="LPU41" s="1172"/>
      <c r="LPV41" s="1172"/>
      <c r="LPW41" s="1172"/>
      <c r="LPX41" s="1172"/>
      <c r="LPY41" s="1172"/>
      <c r="LPZ41" s="1172"/>
      <c r="LQA41" s="1172"/>
      <c r="LQB41" s="1172"/>
      <c r="LQC41" s="1172"/>
      <c r="LQD41" s="1172"/>
      <c r="LQE41" s="1172"/>
      <c r="LQF41" s="1172"/>
      <c r="LQG41" s="1172"/>
      <c r="LQH41" s="1172"/>
      <c r="LQI41" s="1172"/>
      <c r="LQJ41" s="1172"/>
      <c r="LQK41" s="1172"/>
      <c r="LQL41" s="1172"/>
      <c r="LQM41" s="1172"/>
      <c r="LQN41" s="1172"/>
      <c r="LQO41" s="1172"/>
      <c r="LQP41" s="1172"/>
      <c r="LQQ41" s="1172"/>
      <c r="LQR41" s="1172"/>
      <c r="LQS41" s="1172"/>
      <c r="LQT41" s="1172"/>
      <c r="LQU41" s="1172"/>
      <c r="LQV41" s="1172"/>
      <c r="LQW41" s="1172"/>
      <c r="LQX41" s="1172"/>
      <c r="LQY41" s="1172"/>
      <c r="LQZ41" s="1172"/>
      <c r="LRA41" s="1172"/>
      <c r="LRB41" s="1172"/>
      <c r="LRC41" s="1172"/>
      <c r="LRD41" s="1172"/>
      <c r="LRE41" s="1172"/>
      <c r="LRF41" s="1172"/>
      <c r="LRG41" s="1172"/>
      <c r="LRH41" s="1172"/>
      <c r="LRI41" s="1172"/>
      <c r="LRJ41" s="1172"/>
      <c r="LRK41" s="1172"/>
      <c r="LRL41" s="1172"/>
      <c r="LRM41" s="1172"/>
      <c r="LRN41" s="1172"/>
      <c r="LRO41" s="1172"/>
      <c r="LRP41" s="1172"/>
      <c r="LRQ41" s="1172"/>
      <c r="LRR41" s="1172"/>
      <c r="LRS41" s="1172"/>
      <c r="LRT41" s="1172"/>
      <c r="LRU41" s="1172"/>
      <c r="LRV41" s="1172"/>
      <c r="LRW41" s="1172"/>
      <c r="LRX41" s="1172"/>
      <c r="LRY41" s="1172"/>
      <c r="LRZ41" s="1172"/>
      <c r="LSA41" s="1172"/>
      <c r="LSB41" s="1172"/>
      <c r="LSC41" s="1172"/>
      <c r="LSD41" s="1172"/>
      <c r="LSE41" s="1172"/>
      <c r="LSF41" s="1172"/>
      <c r="LSG41" s="1172"/>
      <c r="LSH41" s="1172"/>
      <c r="LSI41" s="1172"/>
      <c r="LSJ41" s="1172"/>
      <c r="LSK41" s="1172"/>
      <c r="LSL41" s="1172"/>
      <c r="LSM41" s="1172"/>
      <c r="LSN41" s="1172"/>
      <c r="LSO41" s="1172"/>
      <c r="LSP41" s="1172"/>
      <c r="LSQ41" s="1172"/>
      <c r="LSR41" s="1172"/>
      <c r="LSS41" s="1172"/>
      <c r="LST41" s="1172"/>
      <c r="LSU41" s="1172"/>
      <c r="LSV41" s="1172"/>
      <c r="LSW41" s="1172"/>
      <c r="LSX41" s="1172"/>
      <c r="LSY41" s="1172"/>
      <c r="LSZ41" s="1172"/>
      <c r="LTA41" s="1172"/>
      <c r="LTB41" s="1172"/>
      <c r="LTC41" s="1172"/>
      <c r="LTD41" s="1172"/>
      <c r="LTE41" s="1172"/>
      <c r="LTF41" s="1172"/>
      <c r="LTG41" s="1172"/>
      <c r="LTH41" s="1172"/>
      <c r="LTI41" s="1172"/>
      <c r="LTJ41" s="1172"/>
      <c r="LTK41" s="1172"/>
      <c r="LTL41" s="1172"/>
      <c r="LTM41" s="1172"/>
      <c r="LTN41" s="1172"/>
      <c r="LTO41" s="1172"/>
      <c r="LTP41" s="1172"/>
      <c r="LTQ41" s="1172"/>
      <c r="LTR41" s="1172"/>
      <c r="LTS41" s="1172"/>
      <c r="LTT41" s="1172"/>
      <c r="LTU41" s="1172"/>
      <c r="LTV41" s="1172"/>
      <c r="LTW41" s="1172"/>
      <c r="LTX41" s="1172"/>
      <c r="LTY41" s="1172"/>
      <c r="LTZ41" s="1172"/>
      <c r="LUA41" s="1172"/>
      <c r="LUB41" s="1172"/>
      <c r="LUC41" s="1172"/>
      <c r="LUD41" s="1172"/>
      <c r="LUE41" s="1172"/>
      <c r="LUF41" s="1172"/>
      <c r="LUG41" s="1172"/>
      <c r="LUH41" s="1172"/>
      <c r="LUI41" s="1172"/>
      <c r="LUJ41" s="1172"/>
      <c r="LUK41" s="1172"/>
      <c r="LUL41" s="1172"/>
      <c r="LUM41" s="1172"/>
      <c r="LUN41" s="1172"/>
      <c r="LUO41" s="1172"/>
      <c r="LUP41" s="1172"/>
      <c r="LUQ41" s="1172"/>
      <c r="LUR41" s="1172"/>
      <c r="LUS41" s="1172"/>
      <c r="LUT41" s="1172"/>
      <c r="LUU41" s="1172"/>
      <c r="LUV41" s="1172"/>
      <c r="LUW41" s="1172"/>
      <c r="LUX41" s="1172"/>
      <c r="LUY41" s="1172"/>
      <c r="LUZ41" s="1172"/>
      <c r="LVA41" s="1172"/>
      <c r="LVB41" s="1172"/>
      <c r="LVC41" s="1172"/>
      <c r="LVD41" s="1172"/>
      <c r="LVE41" s="1172"/>
      <c r="LVF41" s="1172"/>
      <c r="LVG41" s="1172"/>
      <c r="LVH41" s="1172"/>
      <c r="LVI41" s="1172"/>
      <c r="LVJ41" s="1172"/>
      <c r="LVK41" s="1172"/>
      <c r="LVL41" s="1172"/>
      <c r="LVM41" s="1172"/>
      <c r="LVN41" s="1172"/>
      <c r="LVO41" s="1172"/>
      <c r="LVP41" s="1172"/>
      <c r="LVQ41" s="1172"/>
      <c r="LVR41" s="1172"/>
      <c r="LVS41" s="1172"/>
      <c r="LVT41" s="1172"/>
      <c r="LVU41" s="1172"/>
      <c r="LVV41" s="1172"/>
      <c r="LVW41" s="1172"/>
      <c r="LVX41" s="1172"/>
      <c r="LVY41" s="1172"/>
      <c r="LVZ41" s="1172"/>
      <c r="LWA41" s="1172"/>
      <c r="LWB41" s="1172"/>
      <c r="LWC41" s="1172"/>
      <c r="LWD41" s="1172"/>
      <c r="LWE41" s="1172"/>
      <c r="LWF41" s="1172"/>
      <c r="LWG41" s="1172"/>
      <c r="LWH41" s="1172"/>
      <c r="LWI41" s="1172"/>
      <c r="LWJ41" s="1172"/>
      <c r="LWK41" s="1172"/>
      <c r="LWL41" s="1172"/>
      <c r="LWM41" s="1172"/>
      <c r="LWN41" s="1172"/>
      <c r="LWO41" s="1172"/>
      <c r="LWP41" s="1172"/>
      <c r="LWQ41" s="1172"/>
      <c r="LWR41" s="1172"/>
      <c r="LWS41" s="1172"/>
      <c r="LWT41" s="1172"/>
      <c r="LWU41" s="1172"/>
      <c r="LWV41" s="1172"/>
      <c r="LWW41" s="1172"/>
      <c r="LWX41" s="1172"/>
      <c r="LWY41" s="1172"/>
      <c r="LWZ41" s="1172"/>
      <c r="LXA41" s="1172"/>
      <c r="LXB41" s="1172"/>
      <c r="LXC41" s="1172"/>
      <c r="LXD41" s="1172"/>
      <c r="LXE41" s="1172"/>
      <c r="LXF41" s="1172"/>
      <c r="LXG41" s="1172"/>
      <c r="LXH41" s="1172"/>
      <c r="LXI41" s="1172"/>
      <c r="LXJ41" s="1172"/>
      <c r="LXK41" s="1172"/>
      <c r="LXL41" s="1172"/>
      <c r="LXM41" s="1172"/>
      <c r="LXN41" s="1172"/>
      <c r="LXO41" s="1172"/>
      <c r="LXP41" s="1172"/>
      <c r="LXQ41" s="1172"/>
      <c r="LXR41" s="1172"/>
      <c r="LXS41" s="1172"/>
      <c r="LXT41" s="1172"/>
      <c r="LXU41" s="1172"/>
      <c r="LXV41" s="1172"/>
      <c r="LXW41" s="1172"/>
      <c r="LXX41" s="1172"/>
      <c r="LXY41" s="1172"/>
      <c r="LXZ41" s="1172"/>
      <c r="LYA41" s="1172"/>
      <c r="LYB41" s="1172"/>
      <c r="LYC41" s="1172"/>
      <c r="LYD41" s="1172"/>
      <c r="LYE41" s="1172"/>
      <c r="LYF41" s="1172"/>
      <c r="LYG41" s="1172"/>
      <c r="LYH41" s="1172"/>
      <c r="LYI41" s="1172"/>
      <c r="LYJ41" s="1172"/>
      <c r="LYK41" s="1172"/>
      <c r="LYL41" s="1172"/>
      <c r="LYM41" s="1172"/>
      <c r="LYN41" s="1172"/>
      <c r="LYO41" s="1172"/>
      <c r="LYP41" s="1172"/>
      <c r="LYQ41" s="1172"/>
      <c r="LYR41" s="1172"/>
      <c r="LYS41" s="1172"/>
      <c r="LYT41" s="1172"/>
      <c r="LYU41" s="1172"/>
      <c r="LYV41" s="1172"/>
      <c r="LYW41" s="1172"/>
      <c r="LYX41" s="1172"/>
      <c r="LYY41" s="1172"/>
      <c r="LYZ41" s="1172"/>
      <c r="LZA41" s="1172"/>
      <c r="LZB41" s="1172"/>
      <c r="LZC41" s="1172"/>
      <c r="LZD41" s="1172"/>
      <c r="LZE41" s="1172"/>
      <c r="LZF41" s="1172"/>
      <c r="LZG41" s="1172"/>
      <c r="LZH41" s="1172"/>
      <c r="LZI41" s="1172"/>
      <c r="LZJ41" s="1172"/>
      <c r="LZK41" s="1172"/>
      <c r="LZL41" s="1172"/>
      <c r="LZM41" s="1172"/>
      <c r="LZN41" s="1172"/>
      <c r="LZO41" s="1172"/>
      <c r="LZP41" s="1172"/>
      <c r="LZQ41" s="1172"/>
      <c r="LZR41" s="1172"/>
      <c r="LZS41" s="1172"/>
      <c r="LZT41" s="1172"/>
      <c r="LZU41" s="1172"/>
      <c r="LZV41" s="1172"/>
      <c r="LZW41" s="1172"/>
      <c r="LZX41" s="1172"/>
      <c r="LZY41" s="1172"/>
      <c r="LZZ41" s="1172"/>
      <c r="MAA41" s="1172"/>
      <c r="MAB41" s="1172"/>
      <c r="MAC41" s="1172"/>
      <c r="MAD41" s="1172"/>
      <c r="MAE41" s="1172"/>
      <c r="MAF41" s="1172"/>
      <c r="MAG41" s="1172"/>
      <c r="MAH41" s="1172"/>
      <c r="MAI41" s="1172"/>
      <c r="MAJ41" s="1172"/>
      <c r="MAK41" s="1172"/>
      <c r="MAL41" s="1172"/>
      <c r="MAM41" s="1172"/>
      <c r="MAN41" s="1172"/>
      <c r="MAO41" s="1172"/>
      <c r="MAP41" s="1172"/>
      <c r="MAQ41" s="1172"/>
      <c r="MAR41" s="1172"/>
      <c r="MAS41" s="1172"/>
      <c r="MAT41" s="1172"/>
      <c r="MAU41" s="1172"/>
      <c r="MAV41" s="1172"/>
      <c r="MAW41" s="1172"/>
      <c r="MAX41" s="1172"/>
      <c r="MAY41" s="1172"/>
      <c r="MAZ41" s="1172"/>
      <c r="MBA41" s="1172"/>
      <c r="MBB41" s="1172"/>
      <c r="MBC41" s="1172"/>
      <c r="MBD41" s="1172"/>
      <c r="MBE41" s="1172"/>
      <c r="MBF41" s="1172"/>
      <c r="MBG41" s="1172"/>
      <c r="MBH41" s="1172"/>
      <c r="MBI41" s="1172"/>
      <c r="MBJ41" s="1172"/>
      <c r="MBK41" s="1172"/>
      <c r="MBL41" s="1172"/>
      <c r="MBM41" s="1172"/>
      <c r="MBN41" s="1172"/>
      <c r="MBO41" s="1172"/>
      <c r="MBP41" s="1172"/>
      <c r="MBQ41" s="1172"/>
      <c r="MBR41" s="1172"/>
      <c r="MBS41" s="1172"/>
      <c r="MBT41" s="1172"/>
      <c r="MBU41" s="1172"/>
      <c r="MBV41" s="1172"/>
      <c r="MBW41" s="1172"/>
      <c r="MBX41" s="1172"/>
      <c r="MBY41" s="1172"/>
      <c r="MBZ41" s="1172"/>
      <c r="MCA41" s="1172"/>
      <c r="MCB41" s="1172"/>
      <c r="MCC41" s="1172"/>
      <c r="MCD41" s="1172"/>
      <c r="MCE41" s="1172"/>
      <c r="MCF41" s="1172"/>
      <c r="MCG41" s="1172"/>
      <c r="MCH41" s="1172"/>
      <c r="MCI41" s="1172"/>
      <c r="MCJ41" s="1172"/>
      <c r="MCK41" s="1172"/>
      <c r="MCL41" s="1172"/>
      <c r="MCM41" s="1172"/>
      <c r="MCN41" s="1172"/>
      <c r="MCO41" s="1172"/>
      <c r="MCP41" s="1172"/>
      <c r="MCQ41" s="1172"/>
      <c r="MCR41" s="1172"/>
      <c r="MCS41" s="1172"/>
      <c r="MCT41" s="1172"/>
      <c r="MCU41" s="1172"/>
      <c r="MCV41" s="1172"/>
      <c r="MCW41" s="1172"/>
      <c r="MCX41" s="1172"/>
      <c r="MCY41" s="1172"/>
      <c r="MCZ41" s="1172"/>
      <c r="MDA41" s="1172"/>
      <c r="MDB41" s="1172"/>
      <c r="MDC41" s="1172"/>
      <c r="MDD41" s="1172"/>
      <c r="MDE41" s="1172"/>
      <c r="MDF41" s="1172"/>
      <c r="MDG41" s="1172"/>
      <c r="MDH41" s="1172"/>
      <c r="MDI41" s="1172"/>
      <c r="MDJ41" s="1172"/>
      <c r="MDK41" s="1172"/>
      <c r="MDL41" s="1172"/>
      <c r="MDM41" s="1172"/>
      <c r="MDN41" s="1172"/>
      <c r="MDO41" s="1172"/>
      <c r="MDP41" s="1172"/>
      <c r="MDQ41" s="1172"/>
      <c r="MDR41" s="1172"/>
      <c r="MDS41" s="1172"/>
      <c r="MDT41" s="1172"/>
      <c r="MDU41" s="1172"/>
      <c r="MDV41" s="1172"/>
      <c r="MDW41" s="1172"/>
      <c r="MDX41" s="1172"/>
      <c r="MDY41" s="1172"/>
      <c r="MDZ41" s="1172"/>
      <c r="MEA41" s="1172"/>
      <c r="MEB41" s="1172"/>
      <c r="MEC41" s="1172"/>
      <c r="MED41" s="1172"/>
      <c r="MEE41" s="1172"/>
      <c r="MEF41" s="1172"/>
      <c r="MEG41" s="1172"/>
      <c r="MEH41" s="1172"/>
      <c r="MEI41" s="1172"/>
      <c r="MEJ41" s="1172"/>
      <c r="MEK41" s="1172"/>
      <c r="MEL41" s="1172"/>
      <c r="MEM41" s="1172"/>
      <c r="MEN41" s="1172"/>
      <c r="MEO41" s="1172"/>
      <c r="MEP41" s="1172"/>
      <c r="MEQ41" s="1172"/>
      <c r="MER41" s="1172"/>
      <c r="MES41" s="1172"/>
      <c r="MET41" s="1172"/>
      <c r="MEU41" s="1172"/>
      <c r="MEV41" s="1172"/>
      <c r="MEW41" s="1172"/>
      <c r="MEX41" s="1172"/>
      <c r="MEY41" s="1172"/>
      <c r="MEZ41" s="1172"/>
      <c r="MFA41" s="1172"/>
      <c r="MFB41" s="1172"/>
      <c r="MFC41" s="1172"/>
      <c r="MFD41" s="1172"/>
      <c r="MFE41" s="1172"/>
      <c r="MFF41" s="1172"/>
      <c r="MFG41" s="1172"/>
      <c r="MFH41" s="1172"/>
      <c r="MFI41" s="1172"/>
      <c r="MFJ41" s="1172"/>
      <c r="MFK41" s="1172"/>
      <c r="MFL41" s="1172"/>
      <c r="MFM41" s="1172"/>
      <c r="MFN41" s="1172"/>
      <c r="MFO41" s="1172"/>
      <c r="MFP41" s="1172"/>
      <c r="MFQ41" s="1172"/>
      <c r="MFR41" s="1172"/>
      <c r="MFS41" s="1172"/>
      <c r="MFT41" s="1172"/>
      <c r="MFU41" s="1172"/>
      <c r="MFV41" s="1172"/>
      <c r="MFW41" s="1172"/>
      <c r="MFX41" s="1172"/>
      <c r="MFY41" s="1172"/>
      <c r="MFZ41" s="1172"/>
      <c r="MGA41" s="1172"/>
      <c r="MGB41" s="1172"/>
      <c r="MGC41" s="1172"/>
      <c r="MGD41" s="1172"/>
      <c r="MGE41" s="1172"/>
      <c r="MGF41" s="1172"/>
      <c r="MGG41" s="1172"/>
      <c r="MGH41" s="1172"/>
      <c r="MGI41" s="1172"/>
      <c r="MGJ41" s="1172"/>
      <c r="MGK41" s="1172"/>
      <c r="MGL41" s="1172"/>
      <c r="MGM41" s="1172"/>
      <c r="MGN41" s="1172"/>
      <c r="MGO41" s="1172"/>
      <c r="MGP41" s="1172"/>
      <c r="MGQ41" s="1172"/>
      <c r="MGR41" s="1172"/>
      <c r="MGS41" s="1172"/>
      <c r="MGT41" s="1172"/>
      <c r="MGU41" s="1172"/>
      <c r="MGV41" s="1172"/>
      <c r="MGW41" s="1172"/>
      <c r="MGX41" s="1172"/>
      <c r="MGY41" s="1172"/>
      <c r="MGZ41" s="1172"/>
      <c r="MHA41" s="1172"/>
      <c r="MHB41" s="1172"/>
      <c r="MHC41" s="1172"/>
      <c r="MHD41" s="1172"/>
      <c r="MHE41" s="1172"/>
      <c r="MHF41" s="1172"/>
      <c r="MHG41" s="1172"/>
      <c r="MHH41" s="1172"/>
      <c r="MHI41" s="1172"/>
      <c r="MHJ41" s="1172"/>
      <c r="MHK41" s="1172"/>
      <c r="MHL41" s="1172"/>
      <c r="MHM41" s="1172"/>
      <c r="MHN41" s="1172"/>
      <c r="MHO41" s="1172"/>
      <c r="MHP41" s="1172"/>
      <c r="MHQ41" s="1172"/>
      <c r="MHR41" s="1172"/>
      <c r="MHS41" s="1172"/>
      <c r="MHT41" s="1172"/>
      <c r="MHU41" s="1172"/>
      <c r="MHV41" s="1172"/>
      <c r="MHW41" s="1172"/>
      <c r="MHX41" s="1172"/>
      <c r="MHY41" s="1172"/>
      <c r="MHZ41" s="1172"/>
      <c r="MIA41" s="1172"/>
      <c r="MIB41" s="1172"/>
      <c r="MIC41" s="1172"/>
      <c r="MID41" s="1172"/>
      <c r="MIE41" s="1172"/>
      <c r="MIF41" s="1172"/>
      <c r="MIG41" s="1172"/>
      <c r="MIH41" s="1172"/>
      <c r="MII41" s="1172"/>
      <c r="MIJ41" s="1172"/>
      <c r="MIK41" s="1172"/>
      <c r="MIL41" s="1172"/>
      <c r="MIM41" s="1172"/>
      <c r="MIN41" s="1172"/>
      <c r="MIO41" s="1172"/>
      <c r="MIP41" s="1172"/>
      <c r="MIQ41" s="1172"/>
      <c r="MIR41" s="1172"/>
      <c r="MIS41" s="1172"/>
      <c r="MIT41" s="1172"/>
      <c r="MIU41" s="1172"/>
      <c r="MIV41" s="1172"/>
      <c r="MIW41" s="1172"/>
      <c r="MIX41" s="1172"/>
      <c r="MIY41" s="1172"/>
      <c r="MIZ41" s="1172"/>
      <c r="MJA41" s="1172"/>
      <c r="MJB41" s="1172"/>
      <c r="MJC41" s="1172"/>
      <c r="MJD41" s="1172"/>
      <c r="MJE41" s="1172"/>
      <c r="MJF41" s="1172"/>
      <c r="MJG41" s="1172"/>
      <c r="MJH41" s="1172"/>
      <c r="MJI41" s="1172"/>
      <c r="MJJ41" s="1172"/>
      <c r="MJK41" s="1172"/>
      <c r="MJL41" s="1172"/>
      <c r="MJM41" s="1172"/>
      <c r="MJN41" s="1172"/>
      <c r="MJO41" s="1172"/>
      <c r="MJP41" s="1172"/>
      <c r="MJQ41" s="1172"/>
      <c r="MJR41" s="1172"/>
      <c r="MJS41" s="1172"/>
      <c r="MJT41" s="1172"/>
      <c r="MJU41" s="1172"/>
      <c r="MJV41" s="1172"/>
      <c r="MJW41" s="1172"/>
      <c r="MJX41" s="1172"/>
      <c r="MJY41" s="1172"/>
      <c r="MJZ41" s="1172"/>
      <c r="MKA41" s="1172"/>
      <c r="MKB41" s="1172"/>
      <c r="MKC41" s="1172"/>
      <c r="MKD41" s="1172"/>
      <c r="MKE41" s="1172"/>
      <c r="MKF41" s="1172"/>
      <c r="MKG41" s="1172"/>
      <c r="MKH41" s="1172"/>
      <c r="MKI41" s="1172"/>
      <c r="MKJ41" s="1172"/>
      <c r="MKK41" s="1172"/>
      <c r="MKL41" s="1172"/>
      <c r="MKM41" s="1172"/>
      <c r="MKN41" s="1172"/>
      <c r="MKO41" s="1172"/>
      <c r="MKP41" s="1172"/>
      <c r="MKQ41" s="1172"/>
      <c r="MKR41" s="1172"/>
      <c r="MKS41" s="1172"/>
      <c r="MKT41" s="1172"/>
      <c r="MKU41" s="1172"/>
      <c r="MKV41" s="1172"/>
      <c r="MKW41" s="1172"/>
      <c r="MKX41" s="1172"/>
      <c r="MKY41" s="1172"/>
      <c r="MKZ41" s="1172"/>
      <c r="MLA41" s="1172"/>
      <c r="MLB41" s="1172"/>
      <c r="MLC41" s="1172"/>
      <c r="MLD41" s="1172"/>
      <c r="MLE41" s="1172"/>
      <c r="MLF41" s="1172"/>
      <c r="MLG41" s="1172"/>
      <c r="MLH41" s="1172"/>
      <c r="MLI41" s="1172"/>
      <c r="MLJ41" s="1172"/>
      <c r="MLK41" s="1172"/>
      <c r="MLL41" s="1172"/>
      <c r="MLM41" s="1172"/>
      <c r="MLN41" s="1172"/>
      <c r="MLO41" s="1172"/>
      <c r="MLP41" s="1172"/>
      <c r="MLQ41" s="1172"/>
      <c r="MLR41" s="1172"/>
      <c r="MLS41" s="1172"/>
      <c r="MLT41" s="1172"/>
      <c r="MLU41" s="1172"/>
      <c r="MLV41" s="1172"/>
      <c r="MLW41" s="1172"/>
      <c r="MLX41" s="1172"/>
      <c r="MLY41" s="1172"/>
      <c r="MLZ41" s="1172"/>
      <c r="MMA41" s="1172"/>
      <c r="MMB41" s="1172"/>
      <c r="MMC41" s="1172"/>
      <c r="MMD41" s="1172"/>
      <c r="MME41" s="1172"/>
      <c r="MMF41" s="1172"/>
      <c r="MMG41" s="1172"/>
      <c r="MMH41" s="1172"/>
      <c r="MMI41" s="1172"/>
      <c r="MMJ41" s="1172"/>
      <c r="MMK41" s="1172"/>
      <c r="MML41" s="1172"/>
      <c r="MMM41" s="1172"/>
      <c r="MMN41" s="1172"/>
      <c r="MMO41" s="1172"/>
      <c r="MMP41" s="1172"/>
      <c r="MMQ41" s="1172"/>
      <c r="MMR41" s="1172"/>
      <c r="MMS41" s="1172"/>
      <c r="MMT41" s="1172"/>
      <c r="MMU41" s="1172"/>
      <c r="MMV41" s="1172"/>
      <c r="MMW41" s="1172"/>
      <c r="MMX41" s="1172"/>
      <c r="MMY41" s="1172"/>
      <c r="MMZ41" s="1172"/>
      <c r="MNA41" s="1172"/>
      <c r="MNB41" s="1172"/>
      <c r="MNC41" s="1172"/>
      <c r="MND41" s="1172"/>
      <c r="MNE41" s="1172"/>
      <c r="MNF41" s="1172"/>
      <c r="MNG41" s="1172"/>
      <c r="MNH41" s="1172"/>
      <c r="MNI41" s="1172"/>
      <c r="MNJ41" s="1172"/>
      <c r="MNK41" s="1172"/>
      <c r="MNL41" s="1172"/>
      <c r="MNM41" s="1172"/>
      <c r="MNN41" s="1172"/>
      <c r="MNO41" s="1172"/>
      <c r="MNP41" s="1172"/>
      <c r="MNQ41" s="1172"/>
      <c r="MNR41" s="1172"/>
      <c r="MNS41" s="1172"/>
      <c r="MNT41" s="1172"/>
      <c r="MNU41" s="1172"/>
      <c r="MNV41" s="1172"/>
      <c r="MNW41" s="1172"/>
      <c r="MNX41" s="1172"/>
      <c r="MNY41" s="1172"/>
      <c r="MNZ41" s="1172"/>
      <c r="MOA41" s="1172"/>
      <c r="MOB41" s="1172"/>
      <c r="MOC41" s="1172"/>
      <c r="MOD41" s="1172"/>
      <c r="MOE41" s="1172"/>
      <c r="MOF41" s="1172"/>
      <c r="MOG41" s="1172"/>
      <c r="MOH41" s="1172"/>
      <c r="MOI41" s="1172"/>
      <c r="MOJ41" s="1172"/>
      <c r="MOK41" s="1172"/>
      <c r="MOL41" s="1172"/>
      <c r="MOM41" s="1172"/>
      <c r="MON41" s="1172"/>
      <c r="MOO41" s="1172"/>
      <c r="MOP41" s="1172"/>
      <c r="MOQ41" s="1172"/>
      <c r="MOR41" s="1172"/>
      <c r="MOS41" s="1172"/>
      <c r="MOT41" s="1172"/>
      <c r="MOU41" s="1172"/>
      <c r="MOV41" s="1172"/>
      <c r="MOW41" s="1172"/>
      <c r="MOX41" s="1172"/>
      <c r="MOY41" s="1172"/>
      <c r="MOZ41" s="1172"/>
      <c r="MPA41" s="1172"/>
      <c r="MPB41" s="1172"/>
      <c r="MPC41" s="1172"/>
      <c r="MPD41" s="1172"/>
      <c r="MPE41" s="1172"/>
      <c r="MPF41" s="1172"/>
      <c r="MPG41" s="1172"/>
      <c r="MPH41" s="1172"/>
      <c r="MPI41" s="1172"/>
      <c r="MPJ41" s="1172"/>
      <c r="MPK41" s="1172"/>
      <c r="MPL41" s="1172"/>
      <c r="MPM41" s="1172"/>
      <c r="MPN41" s="1172"/>
      <c r="MPO41" s="1172"/>
      <c r="MPP41" s="1172"/>
      <c r="MPQ41" s="1172"/>
      <c r="MPR41" s="1172"/>
      <c r="MPS41" s="1172"/>
      <c r="MPT41" s="1172"/>
      <c r="MPU41" s="1172"/>
      <c r="MPV41" s="1172"/>
      <c r="MPW41" s="1172"/>
      <c r="MPX41" s="1172"/>
      <c r="MPY41" s="1172"/>
      <c r="MPZ41" s="1172"/>
      <c r="MQA41" s="1172"/>
      <c r="MQB41" s="1172"/>
      <c r="MQC41" s="1172"/>
      <c r="MQD41" s="1172"/>
      <c r="MQE41" s="1172"/>
      <c r="MQF41" s="1172"/>
      <c r="MQG41" s="1172"/>
      <c r="MQH41" s="1172"/>
      <c r="MQI41" s="1172"/>
      <c r="MQJ41" s="1172"/>
      <c r="MQK41" s="1172"/>
      <c r="MQL41" s="1172"/>
      <c r="MQM41" s="1172"/>
      <c r="MQN41" s="1172"/>
      <c r="MQO41" s="1172"/>
      <c r="MQP41" s="1172"/>
      <c r="MQQ41" s="1172"/>
      <c r="MQR41" s="1172"/>
      <c r="MQS41" s="1172"/>
      <c r="MQT41" s="1172"/>
      <c r="MQU41" s="1172"/>
      <c r="MQV41" s="1172"/>
      <c r="MQW41" s="1172"/>
      <c r="MQX41" s="1172"/>
      <c r="MQY41" s="1172"/>
      <c r="MQZ41" s="1172"/>
      <c r="MRA41" s="1172"/>
      <c r="MRB41" s="1172"/>
      <c r="MRC41" s="1172"/>
      <c r="MRD41" s="1172"/>
      <c r="MRE41" s="1172"/>
      <c r="MRF41" s="1172"/>
      <c r="MRG41" s="1172"/>
      <c r="MRH41" s="1172"/>
      <c r="MRI41" s="1172"/>
      <c r="MRJ41" s="1172"/>
      <c r="MRK41" s="1172"/>
      <c r="MRL41" s="1172"/>
      <c r="MRM41" s="1172"/>
      <c r="MRN41" s="1172"/>
      <c r="MRO41" s="1172"/>
      <c r="MRP41" s="1172"/>
      <c r="MRQ41" s="1172"/>
      <c r="MRR41" s="1172"/>
      <c r="MRS41" s="1172"/>
      <c r="MRT41" s="1172"/>
      <c r="MRU41" s="1172"/>
      <c r="MRV41" s="1172"/>
      <c r="MRW41" s="1172"/>
      <c r="MRX41" s="1172"/>
      <c r="MRY41" s="1172"/>
      <c r="MRZ41" s="1172"/>
      <c r="MSA41" s="1172"/>
      <c r="MSB41" s="1172"/>
      <c r="MSC41" s="1172"/>
      <c r="MSD41" s="1172"/>
      <c r="MSE41" s="1172"/>
      <c r="MSF41" s="1172"/>
      <c r="MSG41" s="1172"/>
      <c r="MSH41" s="1172"/>
      <c r="MSI41" s="1172"/>
      <c r="MSJ41" s="1172"/>
      <c r="MSK41" s="1172"/>
      <c r="MSL41" s="1172"/>
      <c r="MSM41" s="1172"/>
      <c r="MSN41" s="1172"/>
      <c r="MSO41" s="1172"/>
      <c r="MSP41" s="1172"/>
      <c r="MSQ41" s="1172"/>
      <c r="MSR41" s="1172"/>
      <c r="MSS41" s="1172"/>
      <c r="MST41" s="1172"/>
      <c r="MSU41" s="1172"/>
      <c r="MSV41" s="1172"/>
      <c r="MSW41" s="1172"/>
      <c r="MSX41" s="1172"/>
      <c r="MSY41" s="1172"/>
      <c r="MSZ41" s="1172"/>
      <c r="MTA41" s="1172"/>
      <c r="MTB41" s="1172"/>
      <c r="MTC41" s="1172"/>
      <c r="MTD41" s="1172"/>
      <c r="MTE41" s="1172"/>
      <c r="MTF41" s="1172"/>
      <c r="MTG41" s="1172"/>
      <c r="MTH41" s="1172"/>
      <c r="MTI41" s="1172"/>
      <c r="MTJ41" s="1172"/>
      <c r="MTK41" s="1172"/>
      <c r="MTL41" s="1172"/>
      <c r="MTM41" s="1172"/>
      <c r="MTN41" s="1172"/>
      <c r="MTO41" s="1172"/>
      <c r="MTP41" s="1172"/>
      <c r="MTQ41" s="1172"/>
      <c r="MTR41" s="1172"/>
      <c r="MTS41" s="1172"/>
      <c r="MTT41" s="1172"/>
      <c r="MTU41" s="1172"/>
      <c r="MTV41" s="1172"/>
      <c r="MTW41" s="1172"/>
      <c r="MTX41" s="1172"/>
      <c r="MTY41" s="1172"/>
      <c r="MTZ41" s="1172"/>
      <c r="MUA41" s="1172"/>
      <c r="MUB41" s="1172"/>
      <c r="MUC41" s="1172"/>
      <c r="MUD41" s="1172"/>
      <c r="MUE41" s="1172"/>
      <c r="MUF41" s="1172"/>
      <c r="MUG41" s="1172"/>
      <c r="MUH41" s="1172"/>
      <c r="MUI41" s="1172"/>
      <c r="MUJ41" s="1172"/>
      <c r="MUK41" s="1172"/>
      <c r="MUL41" s="1172"/>
      <c r="MUM41" s="1172"/>
      <c r="MUN41" s="1172"/>
      <c r="MUO41" s="1172"/>
      <c r="MUP41" s="1172"/>
      <c r="MUQ41" s="1172"/>
      <c r="MUR41" s="1172"/>
      <c r="MUS41" s="1172"/>
      <c r="MUT41" s="1172"/>
      <c r="MUU41" s="1172"/>
      <c r="MUV41" s="1172"/>
      <c r="MUW41" s="1172"/>
      <c r="MUX41" s="1172"/>
      <c r="MUY41" s="1172"/>
      <c r="MUZ41" s="1172"/>
      <c r="MVA41" s="1172"/>
      <c r="MVB41" s="1172"/>
      <c r="MVC41" s="1172"/>
      <c r="MVD41" s="1172"/>
      <c r="MVE41" s="1172"/>
      <c r="MVF41" s="1172"/>
      <c r="MVG41" s="1172"/>
      <c r="MVH41" s="1172"/>
      <c r="MVI41" s="1172"/>
      <c r="MVJ41" s="1172"/>
      <c r="MVK41" s="1172"/>
      <c r="MVL41" s="1172"/>
      <c r="MVM41" s="1172"/>
      <c r="MVN41" s="1172"/>
      <c r="MVO41" s="1172"/>
      <c r="MVP41" s="1172"/>
      <c r="MVQ41" s="1172"/>
      <c r="MVR41" s="1172"/>
      <c r="MVS41" s="1172"/>
      <c r="MVT41" s="1172"/>
      <c r="MVU41" s="1172"/>
      <c r="MVV41" s="1172"/>
      <c r="MVW41" s="1172"/>
      <c r="MVX41" s="1172"/>
      <c r="MVY41" s="1172"/>
      <c r="MVZ41" s="1172"/>
      <c r="MWA41" s="1172"/>
      <c r="MWB41" s="1172"/>
      <c r="MWC41" s="1172"/>
      <c r="MWD41" s="1172"/>
      <c r="MWE41" s="1172"/>
      <c r="MWF41" s="1172"/>
      <c r="MWG41" s="1172"/>
      <c r="MWH41" s="1172"/>
      <c r="MWI41" s="1172"/>
      <c r="MWJ41" s="1172"/>
      <c r="MWK41" s="1172"/>
      <c r="MWL41" s="1172"/>
      <c r="MWM41" s="1172"/>
      <c r="MWN41" s="1172"/>
      <c r="MWO41" s="1172"/>
      <c r="MWP41" s="1172"/>
      <c r="MWQ41" s="1172"/>
      <c r="MWR41" s="1172"/>
      <c r="MWS41" s="1172"/>
      <c r="MWT41" s="1172"/>
      <c r="MWU41" s="1172"/>
      <c r="MWV41" s="1172"/>
      <c r="MWW41" s="1172"/>
      <c r="MWX41" s="1172"/>
      <c r="MWY41" s="1172"/>
      <c r="MWZ41" s="1172"/>
      <c r="MXA41" s="1172"/>
      <c r="MXB41" s="1172"/>
      <c r="MXC41" s="1172"/>
      <c r="MXD41" s="1172"/>
      <c r="MXE41" s="1172"/>
      <c r="MXF41" s="1172"/>
      <c r="MXG41" s="1172"/>
      <c r="MXH41" s="1172"/>
      <c r="MXI41" s="1172"/>
      <c r="MXJ41" s="1172"/>
      <c r="MXK41" s="1172"/>
      <c r="MXL41" s="1172"/>
      <c r="MXM41" s="1172"/>
      <c r="MXN41" s="1172"/>
      <c r="MXO41" s="1172"/>
      <c r="MXP41" s="1172"/>
      <c r="MXQ41" s="1172"/>
      <c r="MXR41" s="1172"/>
      <c r="MXS41" s="1172"/>
      <c r="MXT41" s="1172"/>
      <c r="MXU41" s="1172"/>
      <c r="MXV41" s="1172"/>
      <c r="MXW41" s="1172"/>
      <c r="MXX41" s="1172"/>
      <c r="MXY41" s="1172"/>
      <c r="MXZ41" s="1172"/>
      <c r="MYA41" s="1172"/>
      <c r="MYB41" s="1172"/>
      <c r="MYC41" s="1172"/>
      <c r="MYD41" s="1172"/>
      <c r="MYE41" s="1172"/>
      <c r="MYF41" s="1172"/>
      <c r="MYG41" s="1172"/>
      <c r="MYH41" s="1172"/>
      <c r="MYI41" s="1172"/>
      <c r="MYJ41" s="1172"/>
      <c r="MYK41" s="1172"/>
      <c r="MYL41" s="1172"/>
      <c r="MYM41" s="1172"/>
      <c r="MYN41" s="1172"/>
      <c r="MYO41" s="1172"/>
      <c r="MYP41" s="1172"/>
      <c r="MYQ41" s="1172"/>
      <c r="MYR41" s="1172"/>
      <c r="MYS41" s="1172"/>
      <c r="MYT41" s="1172"/>
      <c r="MYU41" s="1172"/>
      <c r="MYV41" s="1172"/>
      <c r="MYW41" s="1172"/>
      <c r="MYX41" s="1172"/>
      <c r="MYY41" s="1172"/>
      <c r="MYZ41" s="1172"/>
      <c r="MZA41" s="1172"/>
      <c r="MZB41" s="1172"/>
      <c r="MZC41" s="1172"/>
      <c r="MZD41" s="1172"/>
      <c r="MZE41" s="1172"/>
      <c r="MZF41" s="1172"/>
      <c r="MZG41" s="1172"/>
      <c r="MZH41" s="1172"/>
      <c r="MZI41" s="1172"/>
      <c r="MZJ41" s="1172"/>
      <c r="MZK41" s="1172"/>
      <c r="MZL41" s="1172"/>
      <c r="MZM41" s="1172"/>
      <c r="MZN41" s="1172"/>
      <c r="MZO41" s="1172"/>
      <c r="MZP41" s="1172"/>
      <c r="MZQ41" s="1172"/>
      <c r="MZR41" s="1172"/>
      <c r="MZS41" s="1172"/>
      <c r="MZT41" s="1172"/>
      <c r="MZU41" s="1172"/>
      <c r="MZV41" s="1172"/>
      <c r="MZW41" s="1172"/>
      <c r="MZX41" s="1172"/>
      <c r="MZY41" s="1172"/>
      <c r="MZZ41" s="1172"/>
      <c r="NAA41" s="1172"/>
      <c r="NAB41" s="1172"/>
      <c r="NAC41" s="1172"/>
      <c r="NAD41" s="1172"/>
      <c r="NAE41" s="1172"/>
      <c r="NAF41" s="1172"/>
      <c r="NAG41" s="1172"/>
      <c r="NAH41" s="1172"/>
      <c r="NAI41" s="1172"/>
      <c r="NAJ41" s="1172"/>
      <c r="NAK41" s="1172"/>
      <c r="NAL41" s="1172"/>
      <c r="NAM41" s="1172"/>
      <c r="NAN41" s="1172"/>
      <c r="NAO41" s="1172"/>
      <c r="NAP41" s="1172"/>
      <c r="NAQ41" s="1172"/>
      <c r="NAR41" s="1172"/>
      <c r="NAS41" s="1172"/>
      <c r="NAT41" s="1172"/>
      <c r="NAU41" s="1172"/>
      <c r="NAV41" s="1172"/>
      <c r="NAW41" s="1172"/>
      <c r="NAX41" s="1172"/>
      <c r="NAY41" s="1172"/>
      <c r="NAZ41" s="1172"/>
      <c r="NBA41" s="1172"/>
      <c r="NBB41" s="1172"/>
      <c r="NBC41" s="1172"/>
      <c r="NBD41" s="1172"/>
      <c r="NBE41" s="1172"/>
      <c r="NBF41" s="1172"/>
      <c r="NBG41" s="1172"/>
      <c r="NBH41" s="1172"/>
      <c r="NBI41" s="1172"/>
      <c r="NBJ41" s="1172"/>
      <c r="NBK41" s="1172"/>
      <c r="NBL41" s="1172"/>
      <c r="NBM41" s="1172"/>
      <c r="NBN41" s="1172"/>
      <c r="NBO41" s="1172"/>
      <c r="NBP41" s="1172"/>
      <c r="NBQ41" s="1172"/>
      <c r="NBR41" s="1172"/>
      <c r="NBS41" s="1172"/>
      <c r="NBT41" s="1172"/>
      <c r="NBU41" s="1172"/>
      <c r="NBV41" s="1172"/>
      <c r="NBW41" s="1172"/>
      <c r="NBX41" s="1172"/>
      <c r="NBY41" s="1172"/>
      <c r="NBZ41" s="1172"/>
      <c r="NCA41" s="1172"/>
      <c r="NCB41" s="1172"/>
      <c r="NCC41" s="1172"/>
      <c r="NCD41" s="1172"/>
      <c r="NCE41" s="1172"/>
      <c r="NCF41" s="1172"/>
      <c r="NCG41" s="1172"/>
      <c r="NCH41" s="1172"/>
      <c r="NCI41" s="1172"/>
      <c r="NCJ41" s="1172"/>
      <c r="NCK41" s="1172"/>
      <c r="NCL41" s="1172"/>
      <c r="NCM41" s="1172"/>
      <c r="NCN41" s="1172"/>
      <c r="NCO41" s="1172"/>
      <c r="NCP41" s="1172"/>
      <c r="NCQ41" s="1172"/>
      <c r="NCR41" s="1172"/>
      <c r="NCS41" s="1172"/>
      <c r="NCT41" s="1172"/>
      <c r="NCU41" s="1172"/>
      <c r="NCV41" s="1172"/>
      <c r="NCW41" s="1172"/>
      <c r="NCX41" s="1172"/>
      <c r="NCY41" s="1172"/>
      <c r="NCZ41" s="1172"/>
      <c r="NDA41" s="1172"/>
      <c r="NDB41" s="1172"/>
      <c r="NDC41" s="1172"/>
      <c r="NDD41" s="1172"/>
      <c r="NDE41" s="1172"/>
      <c r="NDF41" s="1172"/>
      <c r="NDG41" s="1172"/>
      <c r="NDH41" s="1172"/>
      <c r="NDI41" s="1172"/>
      <c r="NDJ41" s="1172"/>
      <c r="NDK41" s="1172"/>
      <c r="NDL41" s="1172"/>
      <c r="NDM41" s="1172"/>
      <c r="NDN41" s="1172"/>
      <c r="NDO41" s="1172"/>
      <c r="NDP41" s="1172"/>
      <c r="NDQ41" s="1172"/>
      <c r="NDR41" s="1172"/>
      <c r="NDS41" s="1172"/>
      <c r="NDT41" s="1172"/>
      <c r="NDU41" s="1172"/>
      <c r="NDV41" s="1172"/>
      <c r="NDW41" s="1172"/>
      <c r="NDX41" s="1172"/>
      <c r="NDY41" s="1172"/>
      <c r="NDZ41" s="1172"/>
      <c r="NEA41" s="1172"/>
      <c r="NEB41" s="1172"/>
      <c r="NEC41" s="1172"/>
      <c r="NED41" s="1172"/>
      <c r="NEE41" s="1172"/>
      <c r="NEF41" s="1172"/>
      <c r="NEG41" s="1172"/>
      <c r="NEH41" s="1172"/>
      <c r="NEI41" s="1172"/>
      <c r="NEJ41" s="1172"/>
      <c r="NEK41" s="1172"/>
      <c r="NEL41" s="1172"/>
      <c r="NEM41" s="1172"/>
      <c r="NEN41" s="1172"/>
      <c r="NEO41" s="1172"/>
      <c r="NEP41" s="1172"/>
      <c r="NEQ41" s="1172"/>
      <c r="NER41" s="1172"/>
      <c r="NES41" s="1172"/>
      <c r="NET41" s="1172"/>
      <c r="NEU41" s="1172"/>
      <c r="NEV41" s="1172"/>
      <c r="NEW41" s="1172"/>
      <c r="NEX41" s="1172"/>
      <c r="NEY41" s="1172"/>
      <c r="NEZ41" s="1172"/>
      <c r="NFA41" s="1172"/>
      <c r="NFB41" s="1172"/>
      <c r="NFC41" s="1172"/>
      <c r="NFD41" s="1172"/>
      <c r="NFE41" s="1172"/>
      <c r="NFF41" s="1172"/>
      <c r="NFG41" s="1172"/>
      <c r="NFH41" s="1172"/>
      <c r="NFI41" s="1172"/>
      <c r="NFJ41" s="1172"/>
      <c r="NFK41" s="1172"/>
      <c r="NFL41" s="1172"/>
      <c r="NFM41" s="1172"/>
      <c r="NFN41" s="1172"/>
      <c r="NFO41" s="1172"/>
      <c r="NFP41" s="1172"/>
      <c r="NFQ41" s="1172"/>
      <c r="NFR41" s="1172"/>
      <c r="NFS41" s="1172"/>
      <c r="NFT41" s="1172"/>
      <c r="NFU41" s="1172"/>
      <c r="NFV41" s="1172"/>
      <c r="NFW41" s="1172"/>
      <c r="NFX41" s="1172"/>
      <c r="NFY41" s="1172"/>
      <c r="NFZ41" s="1172"/>
      <c r="NGA41" s="1172"/>
      <c r="NGB41" s="1172"/>
      <c r="NGC41" s="1172"/>
      <c r="NGD41" s="1172"/>
      <c r="NGE41" s="1172"/>
      <c r="NGF41" s="1172"/>
      <c r="NGG41" s="1172"/>
      <c r="NGH41" s="1172"/>
      <c r="NGI41" s="1172"/>
      <c r="NGJ41" s="1172"/>
      <c r="NGK41" s="1172"/>
      <c r="NGL41" s="1172"/>
      <c r="NGM41" s="1172"/>
      <c r="NGN41" s="1172"/>
      <c r="NGO41" s="1172"/>
      <c r="NGP41" s="1172"/>
      <c r="NGQ41" s="1172"/>
      <c r="NGR41" s="1172"/>
      <c r="NGS41" s="1172"/>
      <c r="NGT41" s="1172"/>
      <c r="NGU41" s="1172"/>
      <c r="NGV41" s="1172"/>
      <c r="NGW41" s="1172"/>
      <c r="NGX41" s="1172"/>
      <c r="NGY41" s="1172"/>
      <c r="NGZ41" s="1172"/>
      <c r="NHA41" s="1172"/>
      <c r="NHB41" s="1172"/>
      <c r="NHC41" s="1172"/>
      <c r="NHD41" s="1172"/>
      <c r="NHE41" s="1172"/>
      <c r="NHF41" s="1172"/>
      <c r="NHG41" s="1172"/>
      <c r="NHH41" s="1172"/>
      <c r="NHI41" s="1172"/>
      <c r="NHJ41" s="1172"/>
      <c r="NHK41" s="1172"/>
      <c r="NHL41" s="1172"/>
      <c r="NHM41" s="1172"/>
      <c r="NHN41" s="1172"/>
      <c r="NHO41" s="1172"/>
      <c r="NHP41" s="1172"/>
      <c r="NHQ41" s="1172"/>
      <c r="NHR41" s="1172"/>
      <c r="NHS41" s="1172"/>
      <c r="NHT41" s="1172"/>
      <c r="NHU41" s="1172"/>
      <c r="NHV41" s="1172"/>
      <c r="NHW41" s="1172"/>
      <c r="NHX41" s="1172"/>
      <c r="NHY41" s="1172"/>
      <c r="NHZ41" s="1172"/>
      <c r="NIA41" s="1172"/>
      <c r="NIB41" s="1172"/>
      <c r="NIC41" s="1172"/>
      <c r="NID41" s="1172"/>
      <c r="NIE41" s="1172"/>
      <c r="NIF41" s="1172"/>
      <c r="NIG41" s="1172"/>
      <c r="NIH41" s="1172"/>
      <c r="NII41" s="1172"/>
      <c r="NIJ41" s="1172"/>
      <c r="NIK41" s="1172"/>
      <c r="NIL41" s="1172"/>
      <c r="NIM41" s="1172"/>
      <c r="NIN41" s="1172"/>
      <c r="NIO41" s="1172"/>
      <c r="NIP41" s="1172"/>
      <c r="NIQ41" s="1172"/>
      <c r="NIR41" s="1172"/>
      <c r="NIS41" s="1172"/>
      <c r="NIT41" s="1172"/>
      <c r="NIU41" s="1172"/>
      <c r="NIV41" s="1172"/>
      <c r="NIW41" s="1172"/>
      <c r="NIX41" s="1172"/>
      <c r="NIY41" s="1172"/>
      <c r="NIZ41" s="1172"/>
      <c r="NJA41" s="1172"/>
      <c r="NJB41" s="1172"/>
      <c r="NJC41" s="1172"/>
      <c r="NJD41" s="1172"/>
      <c r="NJE41" s="1172"/>
      <c r="NJF41" s="1172"/>
      <c r="NJG41" s="1172"/>
      <c r="NJH41" s="1172"/>
      <c r="NJI41" s="1172"/>
      <c r="NJJ41" s="1172"/>
      <c r="NJK41" s="1172"/>
      <c r="NJL41" s="1172"/>
      <c r="NJM41" s="1172"/>
      <c r="NJN41" s="1172"/>
      <c r="NJO41" s="1172"/>
      <c r="NJP41" s="1172"/>
      <c r="NJQ41" s="1172"/>
      <c r="NJR41" s="1172"/>
      <c r="NJS41" s="1172"/>
      <c r="NJT41" s="1172"/>
      <c r="NJU41" s="1172"/>
      <c r="NJV41" s="1172"/>
      <c r="NJW41" s="1172"/>
      <c r="NJX41" s="1172"/>
      <c r="NJY41" s="1172"/>
      <c r="NJZ41" s="1172"/>
      <c r="NKA41" s="1172"/>
      <c r="NKB41" s="1172"/>
      <c r="NKC41" s="1172"/>
      <c r="NKD41" s="1172"/>
      <c r="NKE41" s="1172"/>
      <c r="NKF41" s="1172"/>
      <c r="NKG41" s="1172"/>
      <c r="NKH41" s="1172"/>
      <c r="NKI41" s="1172"/>
      <c r="NKJ41" s="1172"/>
      <c r="NKK41" s="1172"/>
      <c r="NKL41" s="1172"/>
      <c r="NKM41" s="1172"/>
      <c r="NKN41" s="1172"/>
      <c r="NKO41" s="1172"/>
      <c r="NKP41" s="1172"/>
      <c r="NKQ41" s="1172"/>
      <c r="NKR41" s="1172"/>
      <c r="NKS41" s="1172"/>
      <c r="NKT41" s="1172"/>
      <c r="NKU41" s="1172"/>
      <c r="NKV41" s="1172"/>
      <c r="NKW41" s="1172"/>
      <c r="NKX41" s="1172"/>
      <c r="NKY41" s="1172"/>
      <c r="NKZ41" s="1172"/>
      <c r="NLA41" s="1172"/>
      <c r="NLB41" s="1172"/>
      <c r="NLC41" s="1172"/>
      <c r="NLD41" s="1172"/>
      <c r="NLE41" s="1172"/>
      <c r="NLF41" s="1172"/>
      <c r="NLG41" s="1172"/>
      <c r="NLH41" s="1172"/>
      <c r="NLI41" s="1172"/>
      <c r="NLJ41" s="1172"/>
      <c r="NLK41" s="1172"/>
      <c r="NLL41" s="1172"/>
      <c r="NLM41" s="1172"/>
      <c r="NLN41" s="1172"/>
      <c r="NLO41" s="1172"/>
      <c r="NLP41" s="1172"/>
      <c r="NLQ41" s="1172"/>
      <c r="NLR41" s="1172"/>
      <c r="NLS41" s="1172"/>
      <c r="NLT41" s="1172"/>
      <c r="NLU41" s="1172"/>
      <c r="NLV41" s="1172"/>
      <c r="NLW41" s="1172"/>
      <c r="NLX41" s="1172"/>
      <c r="NLY41" s="1172"/>
      <c r="NLZ41" s="1172"/>
      <c r="NMA41" s="1172"/>
      <c r="NMB41" s="1172"/>
      <c r="NMC41" s="1172"/>
      <c r="NMD41" s="1172"/>
      <c r="NME41" s="1172"/>
      <c r="NMF41" s="1172"/>
      <c r="NMG41" s="1172"/>
      <c r="NMH41" s="1172"/>
      <c r="NMI41" s="1172"/>
      <c r="NMJ41" s="1172"/>
      <c r="NMK41" s="1172"/>
      <c r="NML41" s="1172"/>
      <c r="NMM41" s="1172"/>
      <c r="NMN41" s="1172"/>
      <c r="NMO41" s="1172"/>
      <c r="NMP41" s="1172"/>
      <c r="NMQ41" s="1172"/>
      <c r="NMR41" s="1172"/>
      <c r="NMS41" s="1172"/>
      <c r="NMT41" s="1172"/>
      <c r="NMU41" s="1172"/>
      <c r="NMV41" s="1172"/>
      <c r="NMW41" s="1172"/>
      <c r="NMX41" s="1172"/>
      <c r="NMY41" s="1172"/>
      <c r="NMZ41" s="1172"/>
      <c r="NNA41" s="1172"/>
      <c r="NNB41" s="1172"/>
      <c r="NNC41" s="1172"/>
      <c r="NND41" s="1172"/>
      <c r="NNE41" s="1172"/>
      <c r="NNF41" s="1172"/>
      <c r="NNG41" s="1172"/>
      <c r="NNH41" s="1172"/>
      <c r="NNI41" s="1172"/>
      <c r="NNJ41" s="1172"/>
      <c r="NNK41" s="1172"/>
      <c r="NNL41" s="1172"/>
      <c r="NNM41" s="1172"/>
      <c r="NNN41" s="1172"/>
      <c r="NNO41" s="1172"/>
      <c r="NNP41" s="1172"/>
      <c r="NNQ41" s="1172"/>
      <c r="NNR41" s="1172"/>
      <c r="NNS41" s="1172"/>
      <c r="NNT41" s="1172"/>
      <c r="NNU41" s="1172"/>
      <c r="NNV41" s="1172"/>
      <c r="NNW41" s="1172"/>
      <c r="NNX41" s="1172"/>
      <c r="NNY41" s="1172"/>
      <c r="NNZ41" s="1172"/>
      <c r="NOA41" s="1172"/>
      <c r="NOB41" s="1172"/>
      <c r="NOC41" s="1172"/>
      <c r="NOD41" s="1172"/>
      <c r="NOE41" s="1172"/>
      <c r="NOF41" s="1172"/>
      <c r="NOG41" s="1172"/>
      <c r="NOH41" s="1172"/>
      <c r="NOI41" s="1172"/>
      <c r="NOJ41" s="1172"/>
      <c r="NOK41" s="1172"/>
      <c r="NOL41" s="1172"/>
      <c r="NOM41" s="1172"/>
      <c r="NON41" s="1172"/>
      <c r="NOO41" s="1172"/>
      <c r="NOP41" s="1172"/>
      <c r="NOQ41" s="1172"/>
      <c r="NOR41" s="1172"/>
      <c r="NOS41" s="1172"/>
      <c r="NOT41" s="1172"/>
      <c r="NOU41" s="1172"/>
      <c r="NOV41" s="1172"/>
      <c r="NOW41" s="1172"/>
      <c r="NOX41" s="1172"/>
      <c r="NOY41" s="1172"/>
      <c r="NOZ41" s="1172"/>
      <c r="NPA41" s="1172"/>
      <c r="NPB41" s="1172"/>
      <c r="NPC41" s="1172"/>
      <c r="NPD41" s="1172"/>
      <c r="NPE41" s="1172"/>
      <c r="NPF41" s="1172"/>
      <c r="NPG41" s="1172"/>
      <c r="NPH41" s="1172"/>
      <c r="NPI41" s="1172"/>
      <c r="NPJ41" s="1172"/>
      <c r="NPK41" s="1172"/>
      <c r="NPL41" s="1172"/>
      <c r="NPM41" s="1172"/>
      <c r="NPN41" s="1172"/>
      <c r="NPO41" s="1172"/>
      <c r="NPP41" s="1172"/>
      <c r="NPQ41" s="1172"/>
      <c r="NPR41" s="1172"/>
      <c r="NPS41" s="1172"/>
      <c r="NPT41" s="1172"/>
      <c r="NPU41" s="1172"/>
      <c r="NPV41" s="1172"/>
      <c r="NPW41" s="1172"/>
      <c r="NPX41" s="1172"/>
      <c r="NPY41" s="1172"/>
      <c r="NPZ41" s="1172"/>
      <c r="NQA41" s="1172"/>
      <c r="NQB41" s="1172"/>
      <c r="NQC41" s="1172"/>
      <c r="NQD41" s="1172"/>
      <c r="NQE41" s="1172"/>
      <c r="NQF41" s="1172"/>
      <c r="NQG41" s="1172"/>
      <c r="NQH41" s="1172"/>
      <c r="NQI41" s="1172"/>
      <c r="NQJ41" s="1172"/>
      <c r="NQK41" s="1172"/>
      <c r="NQL41" s="1172"/>
      <c r="NQM41" s="1172"/>
      <c r="NQN41" s="1172"/>
      <c r="NQO41" s="1172"/>
      <c r="NQP41" s="1172"/>
      <c r="NQQ41" s="1172"/>
      <c r="NQR41" s="1172"/>
      <c r="NQS41" s="1172"/>
      <c r="NQT41" s="1172"/>
      <c r="NQU41" s="1172"/>
      <c r="NQV41" s="1172"/>
      <c r="NQW41" s="1172"/>
      <c r="NQX41" s="1172"/>
      <c r="NQY41" s="1172"/>
      <c r="NQZ41" s="1172"/>
      <c r="NRA41" s="1172"/>
      <c r="NRB41" s="1172"/>
      <c r="NRC41" s="1172"/>
      <c r="NRD41" s="1172"/>
      <c r="NRE41" s="1172"/>
      <c r="NRF41" s="1172"/>
      <c r="NRG41" s="1172"/>
      <c r="NRH41" s="1172"/>
      <c r="NRI41" s="1172"/>
      <c r="NRJ41" s="1172"/>
      <c r="NRK41" s="1172"/>
      <c r="NRL41" s="1172"/>
      <c r="NRM41" s="1172"/>
      <c r="NRN41" s="1172"/>
      <c r="NRO41" s="1172"/>
      <c r="NRP41" s="1172"/>
      <c r="NRQ41" s="1172"/>
      <c r="NRR41" s="1172"/>
      <c r="NRS41" s="1172"/>
      <c r="NRT41" s="1172"/>
      <c r="NRU41" s="1172"/>
      <c r="NRV41" s="1172"/>
      <c r="NRW41" s="1172"/>
      <c r="NRX41" s="1172"/>
      <c r="NRY41" s="1172"/>
      <c r="NRZ41" s="1172"/>
      <c r="NSA41" s="1172"/>
      <c r="NSB41" s="1172"/>
      <c r="NSC41" s="1172"/>
      <c r="NSD41" s="1172"/>
      <c r="NSE41" s="1172"/>
      <c r="NSF41" s="1172"/>
      <c r="NSG41" s="1172"/>
      <c r="NSH41" s="1172"/>
      <c r="NSI41" s="1172"/>
      <c r="NSJ41" s="1172"/>
      <c r="NSK41" s="1172"/>
      <c r="NSL41" s="1172"/>
      <c r="NSM41" s="1172"/>
      <c r="NSN41" s="1172"/>
      <c r="NSO41" s="1172"/>
      <c r="NSP41" s="1172"/>
      <c r="NSQ41" s="1172"/>
      <c r="NSR41" s="1172"/>
      <c r="NSS41" s="1172"/>
      <c r="NST41" s="1172"/>
      <c r="NSU41" s="1172"/>
      <c r="NSV41" s="1172"/>
      <c r="NSW41" s="1172"/>
      <c r="NSX41" s="1172"/>
      <c r="NSY41" s="1172"/>
      <c r="NSZ41" s="1172"/>
      <c r="NTA41" s="1172"/>
      <c r="NTB41" s="1172"/>
      <c r="NTC41" s="1172"/>
      <c r="NTD41" s="1172"/>
      <c r="NTE41" s="1172"/>
      <c r="NTF41" s="1172"/>
      <c r="NTG41" s="1172"/>
      <c r="NTH41" s="1172"/>
      <c r="NTI41" s="1172"/>
      <c r="NTJ41" s="1172"/>
      <c r="NTK41" s="1172"/>
      <c r="NTL41" s="1172"/>
      <c r="NTM41" s="1172"/>
      <c r="NTN41" s="1172"/>
      <c r="NTO41" s="1172"/>
      <c r="NTP41" s="1172"/>
      <c r="NTQ41" s="1172"/>
      <c r="NTR41" s="1172"/>
      <c r="NTS41" s="1172"/>
      <c r="NTT41" s="1172"/>
      <c r="NTU41" s="1172"/>
      <c r="NTV41" s="1172"/>
      <c r="NTW41" s="1172"/>
      <c r="NTX41" s="1172"/>
      <c r="NTY41" s="1172"/>
      <c r="NTZ41" s="1172"/>
      <c r="NUA41" s="1172"/>
      <c r="NUB41" s="1172"/>
      <c r="NUC41" s="1172"/>
      <c r="NUD41" s="1172"/>
      <c r="NUE41" s="1172"/>
      <c r="NUF41" s="1172"/>
      <c r="NUG41" s="1172"/>
      <c r="NUH41" s="1172"/>
      <c r="NUI41" s="1172"/>
      <c r="NUJ41" s="1172"/>
      <c r="NUK41" s="1172"/>
      <c r="NUL41" s="1172"/>
      <c r="NUM41" s="1172"/>
      <c r="NUN41" s="1172"/>
      <c r="NUO41" s="1172"/>
      <c r="NUP41" s="1172"/>
      <c r="NUQ41" s="1172"/>
      <c r="NUR41" s="1172"/>
      <c r="NUS41" s="1172"/>
      <c r="NUT41" s="1172"/>
      <c r="NUU41" s="1172"/>
      <c r="NUV41" s="1172"/>
      <c r="NUW41" s="1172"/>
      <c r="NUX41" s="1172"/>
      <c r="NUY41" s="1172"/>
      <c r="NUZ41" s="1172"/>
      <c r="NVA41" s="1172"/>
      <c r="NVB41" s="1172"/>
      <c r="NVC41" s="1172"/>
      <c r="NVD41" s="1172"/>
      <c r="NVE41" s="1172"/>
      <c r="NVF41" s="1172"/>
      <c r="NVG41" s="1172"/>
      <c r="NVH41" s="1172"/>
      <c r="NVI41" s="1172"/>
      <c r="NVJ41" s="1172"/>
      <c r="NVK41" s="1172"/>
      <c r="NVL41" s="1172"/>
      <c r="NVM41" s="1172"/>
      <c r="NVN41" s="1172"/>
      <c r="NVO41" s="1172"/>
      <c r="NVP41" s="1172"/>
      <c r="NVQ41" s="1172"/>
      <c r="NVR41" s="1172"/>
      <c r="NVS41" s="1172"/>
      <c r="NVT41" s="1172"/>
      <c r="NVU41" s="1172"/>
      <c r="NVV41" s="1172"/>
      <c r="NVW41" s="1172"/>
      <c r="NVX41" s="1172"/>
      <c r="NVY41" s="1172"/>
      <c r="NVZ41" s="1172"/>
      <c r="NWA41" s="1172"/>
      <c r="NWB41" s="1172"/>
      <c r="NWC41" s="1172"/>
      <c r="NWD41" s="1172"/>
      <c r="NWE41" s="1172"/>
      <c r="NWF41" s="1172"/>
      <c r="NWG41" s="1172"/>
      <c r="NWH41" s="1172"/>
      <c r="NWI41" s="1172"/>
      <c r="NWJ41" s="1172"/>
      <c r="NWK41" s="1172"/>
      <c r="NWL41" s="1172"/>
      <c r="NWM41" s="1172"/>
      <c r="NWN41" s="1172"/>
      <c r="NWO41" s="1172"/>
      <c r="NWP41" s="1172"/>
      <c r="NWQ41" s="1172"/>
      <c r="NWR41" s="1172"/>
      <c r="NWS41" s="1172"/>
      <c r="NWT41" s="1172"/>
      <c r="NWU41" s="1172"/>
      <c r="NWV41" s="1172"/>
      <c r="NWW41" s="1172"/>
      <c r="NWX41" s="1172"/>
      <c r="NWY41" s="1172"/>
      <c r="NWZ41" s="1172"/>
      <c r="NXA41" s="1172"/>
      <c r="NXB41" s="1172"/>
      <c r="NXC41" s="1172"/>
      <c r="NXD41" s="1172"/>
      <c r="NXE41" s="1172"/>
      <c r="NXF41" s="1172"/>
      <c r="NXG41" s="1172"/>
      <c r="NXH41" s="1172"/>
      <c r="NXI41" s="1172"/>
      <c r="NXJ41" s="1172"/>
      <c r="NXK41" s="1172"/>
      <c r="NXL41" s="1172"/>
      <c r="NXM41" s="1172"/>
      <c r="NXN41" s="1172"/>
      <c r="NXO41" s="1172"/>
      <c r="NXP41" s="1172"/>
      <c r="NXQ41" s="1172"/>
      <c r="NXR41" s="1172"/>
      <c r="NXS41" s="1172"/>
      <c r="NXT41" s="1172"/>
      <c r="NXU41" s="1172"/>
      <c r="NXV41" s="1172"/>
      <c r="NXW41" s="1172"/>
      <c r="NXX41" s="1172"/>
      <c r="NXY41" s="1172"/>
      <c r="NXZ41" s="1172"/>
      <c r="NYA41" s="1172"/>
      <c r="NYB41" s="1172"/>
      <c r="NYC41" s="1172"/>
      <c r="NYD41" s="1172"/>
      <c r="NYE41" s="1172"/>
      <c r="NYF41" s="1172"/>
      <c r="NYG41" s="1172"/>
      <c r="NYH41" s="1172"/>
      <c r="NYI41" s="1172"/>
      <c r="NYJ41" s="1172"/>
      <c r="NYK41" s="1172"/>
      <c r="NYL41" s="1172"/>
      <c r="NYM41" s="1172"/>
      <c r="NYN41" s="1172"/>
      <c r="NYO41" s="1172"/>
      <c r="NYP41" s="1172"/>
      <c r="NYQ41" s="1172"/>
      <c r="NYR41" s="1172"/>
      <c r="NYS41" s="1172"/>
      <c r="NYT41" s="1172"/>
      <c r="NYU41" s="1172"/>
      <c r="NYV41" s="1172"/>
      <c r="NYW41" s="1172"/>
      <c r="NYX41" s="1172"/>
      <c r="NYY41" s="1172"/>
      <c r="NYZ41" s="1172"/>
      <c r="NZA41" s="1172"/>
      <c r="NZB41" s="1172"/>
      <c r="NZC41" s="1172"/>
      <c r="NZD41" s="1172"/>
      <c r="NZE41" s="1172"/>
      <c r="NZF41" s="1172"/>
      <c r="NZG41" s="1172"/>
      <c r="NZH41" s="1172"/>
      <c r="NZI41" s="1172"/>
      <c r="NZJ41" s="1172"/>
      <c r="NZK41" s="1172"/>
      <c r="NZL41" s="1172"/>
      <c r="NZM41" s="1172"/>
      <c r="NZN41" s="1172"/>
      <c r="NZO41" s="1172"/>
      <c r="NZP41" s="1172"/>
      <c r="NZQ41" s="1172"/>
      <c r="NZR41" s="1172"/>
      <c r="NZS41" s="1172"/>
      <c r="NZT41" s="1172"/>
      <c r="NZU41" s="1172"/>
      <c r="NZV41" s="1172"/>
      <c r="NZW41" s="1172"/>
      <c r="NZX41" s="1172"/>
      <c r="NZY41" s="1172"/>
      <c r="NZZ41" s="1172"/>
      <c r="OAA41" s="1172"/>
      <c r="OAB41" s="1172"/>
      <c r="OAC41" s="1172"/>
      <c r="OAD41" s="1172"/>
      <c r="OAE41" s="1172"/>
      <c r="OAF41" s="1172"/>
      <c r="OAG41" s="1172"/>
      <c r="OAH41" s="1172"/>
      <c r="OAI41" s="1172"/>
      <c r="OAJ41" s="1172"/>
      <c r="OAK41" s="1172"/>
      <c r="OAL41" s="1172"/>
      <c r="OAM41" s="1172"/>
      <c r="OAN41" s="1172"/>
      <c r="OAO41" s="1172"/>
      <c r="OAP41" s="1172"/>
      <c r="OAQ41" s="1172"/>
      <c r="OAR41" s="1172"/>
      <c r="OAS41" s="1172"/>
      <c r="OAT41" s="1172"/>
      <c r="OAU41" s="1172"/>
      <c r="OAV41" s="1172"/>
      <c r="OAW41" s="1172"/>
      <c r="OAX41" s="1172"/>
      <c r="OAY41" s="1172"/>
      <c r="OAZ41" s="1172"/>
      <c r="OBA41" s="1172"/>
      <c r="OBB41" s="1172"/>
      <c r="OBC41" s="1172"/>
      <c r="OBD41" s="1172"/>
      <c r="OBE41" s="1172"/>
      <c r="OBF41" s="1172"/>
      <c r="OBG41" s="1172"/>
      <c r="OBH41" s="1172"/>
      <c r="OBI41" s="1172"/>
      <c r="OBJ41" s="1172"/>
      <c r="OBK41" s="1172"/>
      <c r="OBL41" s="1172"/>
      <c r="OBM41" s="1172"/>
      <c r="OBN41" s="1172"/>
      <c r="OBO41" s="1172"/>
      <c r="OBP41" s="1172"/>
      <c r="OBQ41" s="1172"/>
      <c r="OBR41" s="1172"/>
      <c r="OBS41" s="1172"/>
      <c r="OBT41" s="1172"/>
      <c r="OBU41" s="1172"/>
      <c r="OBV41" s="1172"/>
      <c r="OBW41" s="1172"/>
      <c r="OBX41" s="1172"/>
      <c r="OBY41" s="1172"/>
      <c r="OBZ41" s="1172"/>
      <c r="OCA41" s="1172"/>
      <c r="OCB41" s="1172"/>
      <c r="OCC41" s="1172"/>
      <c r="OCD41" s="1172"/>
      <c r="OCE41" s="1172"/>
      <c r="OCF41" s="1172"/>
      <c r="OCG41" s="1172"/>
      <c r="OCH41" s="1172"/>
      <c r="OCI41" s="1172"/>
      <c r="OCJ41" s="1172"/>
      <c r="OCK41" s="1172"/>
      <c r="OCL41" s="1172"/>
      <c r="OCM41" s="1172"/>
      <c r="OCN41" s="1172"/>
      <c r="OCO41" s="1172"/>
      <c r="OCP41" s="1172"/>
      <c r="OCQ41" s="1172"/>
      <c r="OCR41" s="1172"/>
      <c r="OCS41" s="1172"/>
      <c r="OCT41" s="1172"/>
      <c r="OCU41" s="1172"/>
      <c r="OCV41" s="1172"/>
      <c r="OCW41" s="1172"/>
      <c r="OCX41" s="1172"/>
      <c r="OCY41" s="1172"/>
      <c r="OCZ41" s="1172"/>
      <c r="ODA41" s="1172"/>
      <c r="ODB41" s="1172"/>
      <c r="ODC41" s="1172"/>
      <c r="ODD41" s="1172"/>
      <c r="ODE41" s="1172"/>
      <c r="ODF41" s="1172"/>
      <c r="ODG41" s="1172"/>
      <c r="ODH41" s="1172"/>
      <c r="ODI41" s="1172"/>
      <c r="ODJ41" s="1172"/>
      <c r="ODK41" s="1172"/>
      <c r="ODL41" s="1172"/>
      <c r="ODM41" s="1172"/>
      <c r="ODN41" s="1172"/>
      <c r="ODO41" s="1172"/>
      <c r="ODP41" s="1172"/>
      <c r="ODQ41" s="1172"/>
      <c r="ODR41" s="1172"/>
      <c r="ODS41" s="1172"/>
      <c r="ODT41" s="1172"/>
      <c r="ODU41" s="1172"/>
      <c r="ODV41" s="1172"/>
      <c r="ODW41" s="1172"/>
      <c r="ODX41" s="1172"/>
      <c r="ODY41" s="1172"/>
      <c r="ODZ41" s="1172"/>
      <c r="OEA41" s="1172"/>
      <c r="OEB41" s="1172"/>
      <c r="OEC41" s="1172"/>
      <c r="OED41" s="1172"/>
      <c r="OEE41" s="1172"/>
      <c r="OEF41" s="1172"/>
      <c r="OEG41" s="1172"/>
      <c r="OEH41" s="1172"/>
      <c r="OEI41" s="1172"/>
      <c r="OEJ41" s="1172"/>
      <c r="OEK41" s="1172"/>
      <c r="OEL41" s="1172"/>
      <c r="OEM41" s="1172"/>
      <c r="OEN41" s="1172"/>
      <c r="OEO41" s="1172"/>
      <c r="OEP41" s="1172"/>
      <c r="OEQ41" s="1172"/>
      <c r="OER41" s="1172"/>
      <c r="OES41" s="1172"/>
      <c r="OET41" s="1172"/>
      <c r="OEU41" s="1172"/>
      <c r="OEV41" s="1172"/>
      <c r="OEW41" s="1172"/>
      <c r="OEX41" s="1172"/>
      <c r="OEY41" s="1172"/>
      <c r="OEZ41" s="1172"/>
      <c r="OFA41" s="1172"/>
      <c r="OFB41" s="1172"/>
      <c r="OFC41" s="1172"/>
      <c r="OFD41" s="1172"/>
      <c r="OFE41" s="1172"/>
      <c r="OFF41" s="1172"/>
      <c r="OFG41" s="1172"/>
      <c r="OFH41" s="1172"/>
      <c r="OFI41" s="1172"/>
      <c r="OFJ41" s="1172"/>
      <c r="OFK41" s="1172"/>
      <c r="OFL41" s="1172"/>
      <c r="OFM41" s="1172"/>
      <c r="OFN41" s="1172"/>
      <c r="OFO41" s="1172"/>
      <c r="OFP41" s="1172"/>
      <c r="OFQ41" s="1172"/>
      <c r="OFR41" s="1172"/>
      <c r="OFS41" s="1172"/>
      <c r="OFT41" s="1172"/>
      <c r="OFU41" s="1172"/>
      <c r="OFV41" s="1172"/>
      <c r="OFW41" s="1172"/>
      <c r="OFX41" s="1172"/>
      <c r="OFY41" s="1172"/>
      <c r="OFZ41" s="1172"/>
      <c r="OGA41" s="1172"/>
      <c r="OGB41" s="1172"/>
      <c r="OGC41" s="1172"/>
      <c r="OGD41" s="1172"/>
      <c r="OGE41" s="1172"/>
      <c r="OGF41" s="1172"/>
      <c r="OGG41" s="1172"/>
      <c r="OGH41" s="1172"/>
      <c r="OGI41" s="1172"/>
      <c r="OGJ41" s="1172"/>
      <c r="OGK41" s="1172"/>
      <c r="OGL41" s="1172"/>
      <c r="OGM41" s="1172"/>
      <c r="OGN41" s="1172"/>
      <c r="OGO41" s="1172"/>
      <c r="OGP41" s="1172"/>
      <c r="OGQ41" s="1172"/>
      <c r="OGR41" s="1172"/>
      <c r="OGS41" s="1172"/>
      <c r="OGT41" s="1172"/>
      <c r="OGU41" s="1172"/>
      <c r="OGV41" s="1172"/>
      <c r="OGW41" s="1172"/>
      <c r="OGX41" s="1172"/>
      <c r="OGY41" s="1172"/>
      <c r="OGZ41" s="1172"/>
      <c r="OHA41" s="1172"/>
      <c r="OHB41" s="1172"/>
      <c r="OHC41" s="1172"/>
      <c r="OHD41" s="1172"/>
      <c r="OHE41" s="1172"/>
      <c r="OHF41" s="1172"/>
      <c r="OHG41" s="1172"/>
      <c r="OHH41" s="1172"/>
      <c r="OHI41" s="1172"/>
      <c r="OHJ41" s="1172"/>
      <c r="OHK41" s="1172"/>
      <c r="OHL41" s="1172"/>
      <c r="OHM41" s="1172"/>
      <c r="OHN41" s="1172"/>
      <c r="OHO41" s="1172"/>
      <c r="OHP41" s="1172"/>
      <c r="OHQ41" s="1172"/>
      <c r="OHR41" s="1172"/>
      <c r="OHS41" s="1172"/>
      <c r="OHT41" s="1172"/>
      <c r="OHU41" s="1172"/>
      <c r="OHV41" s="1172"/>
      <c r="OHW41" s="1172"/>
      <c r="OHX41" s="1172"/>
      <c r="OHY41" s="1172"/>
      <c r="OHZ41" s="1172"/>
      <c r="OIA41" s="1172"/>
      <c r="OIB41" s="1172"/>
      <c r="OIC41" s="1172"/>
      <c r="OID41" s="1172"/>
      <c r="OIE41" s="1172"/>
      <c r="OIF41" s="1172"/>
      <c r="OIG41" s="1172"/>
      <c r="OIH41" s="1172"/>
      <c r="OII41" s="1172"/>
      <c r="OIJ41" s="1172"/>
      <c r="OIK41" s="1172"/>
      <c r="OIL41" s="1172"/>
      <c r="OIM41" s="1172"/>
      <c r="OIN41" s="1172"/>
      <c r="OIO41" s="1172"/>
      <c r="OIP41" s="1172"/>
      <c r="OIQ41" s="1172"/>
      <c r="OIR41" s="1172"/>
      <c r="OIS41" s="1172"/>
      <c r="OIT41" s="1172"/>
      <c r="OIU41" s="1172"/>
      <c r="OIV41" s="1172"/>
      <c r="OIW41" s="1172"/>
      <c r="OIX41" s="1172"/>
      <c r="OIY41" s="1172"/>
      <c r="OIZ41" s="1172"/>
      <c r="OJA41" s="1172"/>
      <c r="OJB41" s="1172"/>
      <c r="OJC41" s="1172"/>
      <c r="OJD41" s="1172"/>
      <c r="OJE41" s="1172"/>
      <c r="OJF41" s="1172"/>
      <c r="OJG41" s="1172"/>
      <c r="OJH41" s="1172"/>
      <c r="OJI41" s="1172"/>
      <c r="OJJ41" s="1172"/>
      <c r="OJK41" s="1172"/>
      <c r="OJL41" s="1172"/>
      <c r="OJM41" s="1172"/>
      <c r="OJN41" s="1172"/>
      <c r="OJO41" s="1172"/>
      <c r="OJP41" s="1172"/>
      <c r="OJQ41" s="1172"/>
      <c r="OJR41" s="1172"/>
      <c r="OJS41" s="1172"/>
      <c r="OJT41" s="1172"/>
      <c r="OJU41" s="1172"/>
      <c r="OJV41" s="1172"/>
      <c r="OJW41" s="1172"/>
      <c r="OJX41" s="1172"/>
      <c r="OJY41" s="1172"/>
      <c r="OJZ41" s="1172"/>
      <c r="OKA41" s="1172"/>
      <c r="OKB41" s="1172"/>
      <c r="OKC41" s="1172"/>
      <c r="OKD41" s="1172"/>
      <c r="OKE41" s="1172"/>
      <c r="OKF41" s="1172"/>
      <c r="OKG41" s="1172"/>
      <c r="OKH41" s="1172"/>
      <c r="OKI41" s="1172"/>
      <c r="OKJ41" s="1172"/>
      <c r="OKK41" s="1172"/>
      <c r="OKL41" s="1172"/>
      <c r="OKM41" s="1172"/>
      <c r="OKN41" s="1172"/>
      <c r="OKO41" s="1172"/>
      <c r="OKP41" s="1172"/>
      <c r="OKQ41" s="1172"/>
      <c r="OKR41" s="1172"/>
      <c r="OKS41" s="1172"/>
      <c r="OKT41" s="1172"/>
      <c r="OKU41" s="1172"/>
      <c r="OKV41" s="1172"/>
      <c r="OKW41" s="1172"/>
      <c r="OKX41" s="1172"/>
      <c r="OKY41" s="1172"/>
      <c r="OKZ41" s="1172"/>
      <c r="OLA41" s="1172"/>
      <c r="OLB41" s="1172"/>
      <c r="OLC41" s="1172"/>
      <c r="OLD41" s="1172"/>
      <c r="OLE41" s="1172"/>
      <c r="OLF41" s="1172"/>
      <c r="OLG41" s="1172"/>
      <c r="OLH41" s="1172"/>
      <c r="OLI41" s="1172"/>
      <c r="OLJ41" s="1172"/>
      <c r="OLK41" s="1172"/>
      <c r="OLL41" s="1172"/>
      <c r="OLM41" s="1172"/>
      <c r="OLN41" s="1172"/>
      <c r="OLO41" s="1172"/>
      <c r="OLP41" s="1172"/>
      <c r="OLQ41" s="1172"/>
      <c r="OLR41" s="1172"/>
      <c r="OLS41" s="1172"/>
      <c r="OLT41" s="1172"/>
      <c r="OLU41" s="1172"/>
      <c r="OLV41" s="1172"/>
      <c r="OLW41" s="1172"/>
      <c r="OLX41" s="1172"/>
      <c r="OLY41" s="1172"/>
      <c r="OLZ41" s="1172"/>
      <c r="OMA41" s="1172"/>
      <c r="OMB41" s="1172"/>
      <c r="OMC41" s="1172"/>
      <c r="OMD41" s="1172"/>
      <c r="OME41" s="1172"/>
      <c r="OMF41" s="1172"/>
      <c r="OMG41" s="1172"/>
      <c r="OMH41" s="1172"/>
      <c r="OMI41" s="1172"/>
      <c r="OMJ41" s="1172"/>
      <c r="OMK41" s="1172"/>
      <c r="OML41" s="1172"/>
      <c r="OMM41" s="1172"/>
      <c r="OMN41" s="1172"/>
      <c r="OMO41" s="1172"/>
      <c r="OMP41" s="1172"/>
      <c r="OMQ41" s="1172"/>
      <c r="OMR41" s="1172"/>
      <c r="OMS41" s="1172"/>
      <c r="OMT41" s="1172"/>
      <c r="OMU41" s="1172"/>
      <c r="OMV41" s="1172"/>
      <c r="OMW41" s="1172"/>
      <c r="OMX41" s="1172"/>
      <c r="OMY41" s="1172"/>
      <c r="OMZ41" s="1172"/>
      <c r="ONA41" s="1172"/>
      <c r="ONB41" s="1172"/>
      <c r="ONC41" s="1172"/>
      <c r="OND41" s="1172"/>
      <c r="ONE41" s="1172"/>
      <c r="ONF41" s="1172"/>
      <c r="ONG41" s="1172"/>
      <c r="ONH41" s="1172"/>
      <c r="ONI41" s="1172"/>
      <c r="ONJ41" s="1172"/>
      <c r="ONK41" s="1172"/>
      <c r="ONL41" s="1172"/>
      <c r="ONM41" s="1172"/>
      <c r="ONN41" s="1172"/>
      <c r="ONO41" s="1172"/>
      <c r="ONP41" s="1172"/>
      <c r="ONQ41" s="1172"/>
      <c r="ONR41" s="1172"/>
      <c r="ONS41" s="1172"/>
      <c r="ONT41" s="1172"/>
      <c r="ONU41" s="1172"/>
      <c r="ONV41" s="1172"/>
      <c r="ONW41" s="1172"/>
      <c r="ONX41" s="1172"/>
      <c r="ONY41" s="1172"/>
      <c r="ONZ41" s="1172"/>
      <c r="OOA41" s="1172"/>
      <c r="OOB41" s="1172"/>
      <c r="OOC41" s="1172"/>
      <c r="OOD41" s="1172"/>
      <c r="OOE41" s="1172"/>
      <c r="OOF41" s="1172"/>
      <c r="OOG41" s="1172"/>
      <c r="OOH41" s="1172"/>
      <c r="OOI41" s="1172"/>
      <c r="OOJ41" s="1172"/>
      <c r="OOK41" s="1172"/>
      <c r="OOL41" s="1172"/>
      <c r="OOM41" s="1172"/>
      <c r="OON41" s="1172"/>
      <c r="OOO41" s="1172"/>
      <c r="OOP41" s="1172"/>
      <c r="OOQ41" s="1172"/>
      <c r="OOR41" s="1172"/>
      <c r="OOS41" s="1172"/>
      <c r="OOT41" s="1172"/>
      <c r="OOU41" s="1172"/>
      <c r="OOV41" s="1172"/>
      <c r="OOW41" s="1172"/>
      <c r="OOX41" s="1172"/>
      <c r="OOY41" s="1172"/>
      <c r="OOZ41" s="1172"/>
      <c r="OPA41" s="1172"/>
      <c r="OPB41" s="1172"/>
      <c r="OPC41" s="1172"/>
      <c r="OPD41" s="1172"/>
      <c r="OPE41" s="1172"/>
      <c r="OPF41" s="1172"/>
      <c r="OPG41" s="1172"/>
      <c r="OPH41" s="1172"/>
      <c r="OPI41" s="1172"/>
      <c r="OPJ41" s="1172"/>
      <c r="OPK41" s="1172"/>
      <c r="OPL41" s="1172"/>
      <c r="OPM41" s="1172"/>
      <c r="OPN41" s="1172"/>
      <c r="OPO41" s="1172"/>
      <c r="OPP41" s="1172"/>
      <c r="OPQ41" s="1172"/>
      <c r="OPR41" s="1172"/>
      <c r="OPS41" s="1172"/>
      <c r="OPT41" s="1172"/>
      <c r="OPU41" s="1172"/>
      <c r="OPV41" s="1172"/>
      <c r="OPW41" s="1172"/>
      <c r="OPX41" s="1172"/>
      <c r="OPY41" s="1172"/>
      <c r="OPZ41" s="1172"/>
      <c r="OQA41" s="1172"/>
      <c r="OQB41" s="1172"/>
      <c r="OQC41" s="1172"/>
      <c r="OQD41" s="1172"/>
      <c r="OQE41" s="1172"/>
      <c r="OQF41" s="1172"/>
      <c r="OQG41" s="1172"/>
      <c r="OQH41" s="1172"/>
      <c r="OQI41" s="1172"/>
      <c r="OQJ41" s="1172"/>
      <c r="OQK41" s="1172"/>
      <c r="OQL41" s="1172"/>
      <c r="OQM41" s="1172"/>
      <c r="OQN41" s="1172"/>
      <c r="OQO41" s="1172"/>
      <c r="OQP41" s="1172"/>
      <c r="OQQ41" s="1172"/>
      <c r="OQR41" s="1172"/>
      <c r="OQS41" s="1172"/>
      <c r="OQT41" s="1172"/>
      <c r="OQU41" s="1172"/>
      <c r="OQV41" s="1172"/>
      <c r="OQW41" s="1172"/>
      <c r="OQX41" s="1172"/>
      <c r="OQY41" s="1172"/>
      <c r="OQZ41" s="1172"/>
      <c r="ORA41" s="1172"/>
      <c r="ORB41" s="1172"/>
      <c r="ORC41" s="1172"/>
      <c r="ORD41" s="1172"/>
      <c r="ORE41" s="1172"/>
      <c r="ORF41" s="1172"/>
      <c r="ORG41" s="1172"/>
      <c r="ORH41" s="1172"/>
      <c r="ORI41" s="1172"/>
      <c r="ORJ41" s="1172"/>
      <c r="ORK41" s="1172"/>
      <c r="ORL41" s="1172"/>
      <c r="ORM41" s="1172"/>
      <c r="ORN41" s="1172"/>
      <c r="ORO41" s="1172"/>
      <c r="ORP41" s="1172"/>
      <c r="ORQ41" s="1172"/>
      <c r="ORR41" s="1172"/>
      <c r="ORS41" s="1172"/>
      <c r="ORT41" s="1172"/>
      <c r="ORU41" s="1172"/>
      <c r="ORV41" s="1172"/>
      <c r="ORW41" s="1172"/>
      <c r="ORX41" s="1172"/>
      <c r="ORY41" s="1172"/>
      <c r="ORZ41" s="1172"/>
      <c r="OSA41" s="1172"/>
      <c r="OSB41" s="1172"/>
      <c r="OSC41" s="1172"/>
      <c r="OSD41" s="1172"/>
      <c r="OSE41" s="1172"/>
      <c r="OSF41" s="1172"/>
      <c r="OSG41" s="1172"/>
      <c r="OSH41" s="1172"/>
      <c r="OSI41" s="1172"/>
      <c r="OSJ41" s="1172"/>
      <c r="OSK41" s="1172"/>
      <c r="OSL41" s="1172"/>
      <c r="OSM41" s="1172"/>
      <c r="OSN41" s="1172"/>
      <c r="OSO41" s="1172"/>
      <c r="OSP41" s="1172"/>
      <c r="OSQ41" s="1172"/>
      <c r="OSR41" s="1172"/>
      <c r="OSS41" s="1172"/>
      <c r="OST41" s="1172"/>
      <c r="OSU41" s="1172"/>
      <c r="OSV41" s="1172"/>
      <c r="OSW41" s="1172"/>
      <c r="OSX41" s="1172"/>
      <c r="OSY41" s="1172"/>
      <c r="OSZ41" s="1172"/>
      <c r="OTA41" s="1172"/>
      <c r="OTB41" s="1172"/>
      <c r="OTC41" s="1172"/>
      <c r="OTD41" s="1172"/>
      <c r="OTE41" s="1172"/>
      <c r="OTF41" s="1172"/>
      <c r="OTG41" s="1172"/>
      <c r="OTH41" s="1172"/>
      <c r="OTI41" s="1172"/>
      <c r="OTJ41" s="1172"/>
      <c r="OTK41" s="1172"/>
      <c r="OTL41" s="1172"/>
      <c r="OTM41" s="1172"/>
      <c r="OTN41" s="1172"/>
      <c r="OTO41" s="1172"/>
      <c r="OTP41" s="1172"/>
      <c r="OTQ41" s="1172"/>
      <c r="OTR41" s="1172"/>
      <c r="OTS41" s="1172"/>
      <c r="OTT41" s="1172"/>
      <c r="OTU41" s="1172"/>
      <c r="OTV41" s="1172"/>
      <c r="OTW41" s="1172"/>
      <c r="OTX41" s="1172"/>
      <c r="OTY41" s="1172"/>
      <c r="OTZ41" s="1172"/>
      <c r="OUA41" s="1172"/>
      <c r="OUB41" s="1172"/>
      <c r="OUC41" s="1172"/>
      <c r="OUD41" s="1172"/>
      <c r="OUE41" s="1172"/>
      <c r="OUF41" s="1172"/>
      <c r="OUG41" s="1172"/>
      <c r="OUH41" s="1172"/>
      <c r="OUI41" s="1172"/>
      <c r="OUJ41" s="1172"/>
      <c r="OUK41" s="1172"/>
      <c r="OUL41" s="1172"/>
      <c r="OUM41" s="1172"/>
      <c r="OUN41" s="1172"/>
      <c r="OUO41" s="1172"/>
      <c r="OUP41" s="1172"/>
      <c r="OUQ41" s="1172"/>
      <c r="OUR41" s="1172"/>
      <c r="OUS41" s="1172"/>
      <c r="OUT41" s="1172"/>
      <c r="OUU41" s="1172"/>
      <c r="OUV41" s="1172"/>
      <c r="OUW41" s="1172"/>
      <c r="OUX41" s="1172"/>
      <c r="OUY41" s="1172"/>
      <c r="OUZ41" s="1172"/>
      <c r="OVA41" s="1172"/>
      <c r="OVB41" s="1172"/>
      <c r="OVC41" s="1172"/>
      <c r="OVD41" s="1172"/>
      <c r="OVE41" s="1172"/>
      <c r="OVF41" s="1172"/>
      <c r="OVG41" s="1172"/>
      <c r="OVH41" s="1172"/>
      <c r="OVI41" s="1172"/>
      <c r="OVJ41" s="1172"/>
      <c r="OVK41" s="1172"/>
      <c r="OVL41" s="1172"/>
      <c r="OVM41" s="1172"/>
      <c r="OVN41" s="1172"/>
      <c r="OVO41" s="1172"/>
      <c r="OVP41" s="1172"/>
      <c r="OVQ41" s="1172"/>
      <c r="OVR41" s="1172"/>
      <c r="OVS41" s="1172"/>
      <c r="OVT41" s="1172"/>
      <c r="OVU41" s="1172"/>
      <c r="OVV41" s="1172"/>
      <c r="OVW41" s="1172"/>
      <c r="OVX41" s="1172"/>
      <c r="OVY41" s="1172"/>
      <c r="OVZ41" s="1172"/>
      <c r="OWA41" s="1172"/>
      <c r="OWB41" s="1172"/>
      <c r="OWC41" s="1172"/>
      <c r="OWD41" s="1172"/>
      <c r="OWE41" s="1172"/>
      <c r="OWF41" s="1172"/>
      <c r="OWG41" s="1172"/>
      <c r="OWH41" s="1172"/>
      <c r="OWI41" s="1172"/>
      <c r="OWJ41" s="1172"/>
      <c r="OWK41" s="1172"/>
      <c r="OWL41" s="1172"/>
      <c r="OWM41" s="1172"/>
      <c r="OWN41" s="1172"/>
      <c r="OWO41" s="1172"/>
      <c r="OWP41" s="1172"/>
      <c r="OWQ41" s="1172"/>
      <c r="OWR41" s="1172"/>
      <c r="OWS41" s="1172"/>
      <c r="OWT41" s="1172"/>
      <c r="OWU41" s="1172"/>
      <c r="OWV41" s="1172"/>
      <c r="OWW41" s="1172"/>
      <c r="OWX41" s="1172"/>
      <c r="OWY41" s="1172"/>
      <c r="OWZ41" s="1172"/>
      <c r="OXA41" s="1172"/>
      <c r="OXB41" s="1172"/>
      <c r="OXC41" s="1172"/>
      <c r="OXD41" s="1172"/>
      <c r="OXE41" s="1172"/>
      <c r="OXF41" s="1172"/>
      <c r="OXG41" s="1172"/>
      <c r="OXH41" s="1172"/>
      <c r="OXI41" s="1172"/>
      <c r="OXJ41" s="1172"/>
      <c r="OXK41" s="1172"/>
      <c r="OXL41" s="1172"/>
      <c r="OXM41" s="1172"/>
      <c r="OXN41" s="1172"/>
      <c r="OXO41" s="1172"/>
      <c r="OXP41" s="1172"/>
      <c r="OXQ41" s="1172"/>
      <c r="OXR41" s="1172"/>
      <c r="OXS41" s="1172"/>
      <c r="OXT41" s="1172"/>
      <c r="OXU41" s="1172"/>
      <c r="OXV41" s="1172"/>
      <c r="OXW41" s="1172"/>
      <c r="OXX41" s="1172"/>
      <c r="OXY41" s="1172"/>
      <c r="OXZ41" s="1172"/>
      <c r="OYA41" s="1172"/>
      <c r="OYB41" s="1172"/>
      <c r="OYC41" s="1172"/>
      <c r="OYD41" s="1172"/>
      <c r="OYE41" s="1172"/>
      <c r="OYF41" s="1172"/>
      <c r="OYG41" s="1172"/>
      <c r="OYH41" s="1172"/>
      <c r="OYI41" s="1172"/>
      <c r="OYJ41" s="1172"/>
      <c r="OYK41" s="1172"/>
      <c r="OYL41" s="1172"/>
      <c r="OYM41" s="1172"/>
      <c r="OYN41" s="1172"/>
      <c r="OYO41" s="1172"/>
      <c r="OYP41" s="1172"/>
      <c r="OYQ41" s="1172"/>
      <c r="OYR41" s="1172"/>
      <c r="OYS41" s="1172"/>
      <c r="OYT41" s="1172"/>
      <c r="OYU41" s="1172"/>
      <c r="OYV41" s="1172"/>
      <c r="OYW41" s="1172"/>
      <c r="OYX41" s="1172"/>
      <c r="OYY41" s="1172"/>
      <c r="OYZ41" s="1172"/>
      <c r="OZA41" s="1172"/>
      <c r="OZB41" s="1172"/>
      <c r="OZC41" s="1172"/>
      <c r="OZD41" s="1172"/>
      <c r="OZE41" s="1172"/>
      <c r="OZF41" s="1172"/>
      <c r="OZG41" s="1172"/>
      <c r="OZH41" s="1172"/>
      <c r="OZI41" s="1172"/>
      <c r="OZJ41" s="1172"/>
      <c r="OZK41" s="1172"/>
      <c r="OZL41" s="1172"/>
      <c r="OZM41" s="1172"/>
      <c r="OZN41" s="1172"/>
      <c r="OZO41" s="1172"/>
      <c r="OZP41" s="1172"/>
      <c r="OZQ41" s="1172"/>
      <c r="OZR41" s="1172"/>
      <c r="OZS41" s="1172"/>
      <c r="OZT41" s="1172"/>
      <c r="OZU41" s="1172"/>
      <c r="OZV41" s="1172"/>
      <c r="OZW41" s="1172"/>
      <c r="OZX41" s="1172"/>
      <c r="OZY41" s="1172"/>
      <c r="OZZ41" s="1172"/>
      <c r="PAA41" s="1172"/>
      <c r="PAB41" s="1172"/>
      <c r="PAC41" s="1172"/>
      <c r="PAD41" s="1172"/>
      <c r="PAE41" s="1172"/>
      <c r="PAF41" s="1172"/>
      <c r="PAG41" s="1172"/>
      <c r="PAH41" s="1172"/>
      <c r="PAI41" s="1172"/>
      <c r="PAJ41" s="1172"/>
      <c r="PAK41" s="1172"/>
      <c r="PAL41" s="1172"/>
      <c r="PAM41" s="1172"/>
      <c r="PAN41" s="1172"/>
      <c r="PAO41" s="1172"/>
      <c r="PAP41" s="1172"/>
      <c r="PAQ41" s="1172"/>
      <c r="PAR41" s="1172"/>
      <c r="PAS41" s="1172"/>
      <c r="PAT41" s="1172"/>
      <c r="PAU41" s="1172"/>
      <c r="PAV41" s="1172"/>
      <c r="PAW41" s="1172"/>
      <c r="PAX41" s="1172"/>
      <c r="PAY41" s="1172"/>
      <c r="PAZ41" s="1172"/>
      <c r="PBA41" s="1172"/>
      <c r="PBB41" s="1172"/>
      <c r="PBC41" s="1172"/>
      <c r="PBD41" s="1172"/>
      <c r="PBE41" s="1172"/>
      <c r="PBF41" s="1172"/>
      <c r="PBG41" s="1172"/>
      <c r="PBH41" s="1172"/>
      <c r="PBI41" s="1172"/>
      <c r="PBJ41" s="1172"/>
      <c r="PBK41" s="1172"/>
      <c r="PBL41" s="1172"/>
      <c r="PBM41" s="1172"/>
      <c r="PBN41" s="1172"/>
      <c r="PBO41" s="1172"/>
      <c r="PBP41" s="1172"/>
      <c r="PBQ41" s="1172"/>
      <c r="PBR41" s="1172"/>
      <c r="PBS41" s="1172"/>
      <c r="PBT41" s="1172"/>
      <c r="PBU41" s="1172"/>
      <c r="PBV41" s="1172"/>
      <c r="PBW41" s="1172"/>
      <c r="PBX41" s="1172"/>
      <c r="PBY41" s="1172"/>
      <c r="PBZ41" s="1172"/>
      <c r="PCA41" s="1172"/>
      <c r="PCB41" s="1172"/>
      <c r="PCC41" s="1172"/>
      <c r="PCD41" s="1172"/>
      <c r="PCE41" s="1172"/>
      <c r="PCF41" s="1172"/>
      <c r="PCG41" s="1172"/>
      <c r="PCH41" s="1172"/>
      <c r="PCI41" s="1172"/>
      <c r="PCJ41" s="1172"/>
      <c r="PCK41" s="1172"/>
      <c r="PCL41" s="1172"/>
      <c r="PCM41" s="1172"/>
      <c r="PCN41" s="1172"/>
      <c r="PCO41" s="1172"/>
      <c r="PCP41" s="1172"/>
      <c r="PCQ41" s="1172"/>
      <c r="PCR41" s="1172"/>
      <c r="PCS41" s="1172"/>
      <c r="PCT41" s="1172"/>
      <c r="PCU41" s="1172"/>
      <c r="PCV41" s="1172"/>
      <c r="PCW41" s="1172"/>
      <c r="PCX41" s="1172"/>
      <c r="PCY41" s="1172"/>
      <c r="PCZ41" s="1172"/>
      <c r="PDA41" s="1172"/>
      <c r="PDB41" s="1172"/>
      <c r="PDC41" s="1172"/>
      <c r="PDD41" s="1172"/>
      <c r="PDE41" s="1172"/>
      <c r="PDF41" s="1172"/>
      <c r="PDG41" s="1172"/>
      <c r="PDH41" s="1172"/>
      <c r="PDI41" s="1172"/>
      <c r="PDJ41" s="1172"/>
      <c r="PDK41" s="1172"/>
      <c r="PDL41" s="1172"/>
      <c r="PDM41" s="1172"/>
      <c r="PDN41" s="1172"/>
      <c r="PDO41" s="1172"/>
      <c r="PDP41" s="1172"/>
      <c r="PDQ41" s="1172"/>
      <c r="PDR41" s="1172"/>
      <c r="PDS41" s="1172"/>
      <c r="PDT41" s="1172"/>
      <c r="PDU41" s="1172"/>
      <c r="PDV41" s="1172"/>
      <c r="PDW41" s="1172"/>
      <c r="PDX41" s="1172"/>
      <c r="PDY41" s="1172"/>
      <c r="PDZ41" s="1172"/>
      <c r="PEA41" s="1172"/>
      <c r="PEB41" s="1172"/>
      <c r="PEC41" s="1172"/>
      <c r="PED41" s="1172"/>
      <c r="PEE41" s="1172"/>
      <c r="PEF41" s="1172"/>
      <c r="PEG41" s="1172"/>
      <c r="PEH41" s="1172"/>
      <c r="PEI41" s="1172"/>
      <c r="PEJ41" s="1172"/>
      <c r="PEK41" s="1172"/>
      <c r="PEL41" s="1172"/>
      <c r="PEM41" s="1172"/>
      <c r="PEN41" s="1172"/>
      <c r="PEO41" s="1172"/>
      <c r="PEP41" s="1172"/>
      <c r="PEQ41" s="1172"/>
      <c r="PER41" s="1172"/>
      <c r="PES41" s="1172"/>
      <c r="PET41" s="1172"/>
      <c r="PEU41" s="1172"/>
      <c r="PEV41" s="1172"/>
      <c r="PEW41" s="1172"/>
      <c r="PEX41" s="1172"/>
      <c r="PEY41" s="1172"/>
      <c r="PEZ41" s="1172"/>
      <c r="PFA41" s="1172"/>
      <c r="PFB41" s="1172"/>
      <c r="PFC41" s="1172"/>
      <c r="PFD41" s="1172"/>
      <c r="PFE41" s="1172"/>
      <c r="PFF41" s="1172"/>
      <c r="PFG41" s="1172"/>
      <c r="PFH41" s="1172"/>
      <c r="PFI41" s="1172"/>
      <c r="PFJ41" s="1172"/>
      <c r="PFK41" s="1172"/>
      <c r="PFL41" s="1172"/>
      <c r="PFM41" s="1172"/>
      <c r="PFN41" s="1172"/>
      <c r="PFO41" s="1172"/>
      <c r="PFP41" s="1172"/>
      <c r="PFQ41" s="1172"/>
      <c r="PFR41" s="1172"/>
      <c r="PFS41" s="1172"/>
      <c r="PFT41" s="1172"/>
      <c r="PFU41" s="1172"/>
      <c r="PFV41" s="1172"/>
      <c r="PFW41" s="1172"/>
      <c r="PFX41" s="1172"/>
      <c r="PFY41" s="1172"/>
      <c r="PFZ41" s="1172"/>
      <c r="PGA41" s="1172"/>
      <c r="PGB41" s="1172"/>
      <c r="PGC41" s="1172"/>
      <c r="PGD41" s="1172"/>
      <c r="PGE41" s="1172"/>
      <c r="PGF41" s="1172"/>
      <c r="PGG41" s="1172"/>
      <c r="PGH41" s="1172"/>
      <c r="PGI41" s="1172"/>
      <c r="PGJ41" s="1172"/>
      <c r="PGK41" s="1172"/>
      <c r="PGL41" s="1172"/>
      <c r="PGM41" s="1172"/>
      <c r="PGN41" s="1172"/>
      <c r="PGO41" s="1172"/>
      <c r="PGP41" s="1172"/>
      <c r="PGQ41" s="1172"/>
      <c r="PGR41" s="1172"/>
      <c r="PGS41" s="1172"/>
      <c r="PGT41" s="1172"/>
      <c r="PGU41" s="1172"/>
      <c r="PGV41" s="1172"/>
      <c r="PGW41" s="1172"/>
      <c r="PGX41" s="1172"/>
      <c r="PGY41" s="1172"/>
      <c r="PGZ41" s="1172"/>
      <c r="PHA41" s="1172"/>
      <c r="PHB41" s="1172"/>
      <c r="PHC41" s="1172"/>
      <c r="PHD41" s="1172"/>
      <c r="PHE41" s="1172"/>
      <c r="PHF41" s="1172"/>
      <c r="PHG41" s="1172"/>
      <c r="PHH41" s="1172"/>
      <c r="PHI41" s="1172"/>
      <c r="PHJ41" s="1172"/>
      <c r="PHK41" s="1172"/>
      <c r="PHL41" s="1172"/>
      <c r="PHM41" s="1172"/>
      <c r="PHN41" s="1172"/>
      <c r="PHO41" s="1172"/>
      <c r="PHP41" s="1172"/>
      <c r="PHQ41" s="1172"/>
      <c r="PHR41" s="1172"/>
      <c r="PHS41" s="1172"/>
      <c r="PHT41" s="1172"/>
      <c r="PHU41" s="1172"/>
      <c r="PHV41" s="1172"/>
      <c r="PHW41" s="1172"/>
      <c r="PHX41" s="1172"/>
      <c r="PHY41" s="1172"/>
      <c r="PHZ41" s="1172"/>
      <c r="PIA41" s="1172"/>
      <c r="PIB41" s="1172"/>
      <c r="PIC41" s="1172"/>
      <c r="PID41" s="1172"/>
      <c r="PIE41" s="1172"/>
      <c r="PIF41" s="1172"/>
      <c r="PIG41" s="1172"/>
      <c r="PIH41" s="1172"/>
      <c r="PII41" s="1172"/>
      <c r="PIJ41" s="1172"/>
      <c r="PIK41" s="1172"/>
      <c r="PIL41" s="1172"/>
      <c r="PIM41" s="1172"/>
      <c r="PIN41" s="1172"/>
      <c r="PIO41" s="1172"/>
      <c r="PIP41" s="1172"/>
      <c r="PIQ41" s="1172"/>
      <c r="PIR41" s="1172"/>
      <c r="PIS41" s="1172"/>
      <c r="PIT41" s="1172"/>
      <c r="PIU41" s="1172"/>
      <c r="PIV41" s="1172"/>
      <c r="PIW41" s="1172"/>
      <c r="PIX41" s="1172"/>
      <c r="PIY41" s="1172"/>
      <c r="PIZ41" s="1172"/>
      <c r="PJA41" s="1172"/>
      <c r="PJB41" s="1172"/>
      <c r="PJC41" s="1172"/>
      <c r="PJD41" s="1172"/>
      <c r="PJE41" s="1172"/>
      <c r="PJF41" s="1172"/>
      <c r="PJG41" s="1172"/>
      <c r="PJH41" s="1172"/>
      <c r="PJI41" s="1172"/>
      <c r="PJJ41" s="1172"/>
      <c r="PJK41" s="1172"/>
      <c r="PJL41" s="1172"/>
      <c r="PJM41" s="1172"/>
      <c r="PJN41" s="1172"/>
      <c r="PJO41" s="1172"/>
      <c r="PJP41" s="1172"/>
      <c r="PJQ41" s="1172"/>
      <c r="PJR41" s="1172"/>
      <c r="PJS41" s="1172"/>
      <c r="PJT41" s="1172"/>
      <c r="PJU41" s="1172"/>
      <c r="PJV41" s="1172"/>
      <c r="PJW41" s="1172"/>
      <c r="PJX41" s="1172"/>
      <c r="PJY41" s="1172"/>
      <c r="PJZ41" s="1172"/>
      <c r="PKA41" s="1172"/>
      <c r="PKB41" s="1172"/>
      <c r="PKC41" s="1172"/>
      <c r="PKD41" s="1172"/>
      <c r="PKE41" s="1172"/>
      <c r="PKF41" s="1172"/>
      <c r="PKG41" s="1172"/>
      <c r="PKH41" s="1172"/>
      <c r="PKI41" s="1172"/>
      <c r="PKJ41" s="1172"/>
      <c r="PKK41" s="1172"/>
      <c r="PKL41" s="1172"/>
      <c r="PKM41" s="1172"/>
      <c r="PKN41" s="1172"/>
      <c r="PKO41" s="1172"/>
      <c r="PKP41" s="1172"/>
      <c r="PKQ41" s="1172"/>
      <c r="PKR41" s="1172"/>
      <c r="PKS41" s="1172"/>
      <c r="PKT41" s="1172"/>
      <c r="PKU41" s="1172"/>
      <c r="PKV41" s="1172"/>
      <c r="PKW41" s="1172"/>
      <c r="PKX41" s="1172"/>
      <c r="PKY41" s="1172"/>
      <c r="PKZ41" s="1172"/>
      <c r="PLA41" s="1172"/>
      <c r="PLB41" s="1172"/>
      <c r="PLC41" s="1172"/>
      <c r="PLD41" s="1172"/>
      <c r="PLE41" s="1172"/>
      <c r="PLF41" s="1172"/>
      <c r="PLG41" s="1172"/>
      <c r="PLH41" s="1172"/>
      <c r="PLI41" s="1172"/>
      <c r="PLJ41" s="1172"/>
      <c r="PLK41" s="1172"/>
      <c r="PLL41" s="1172"/>
      <c r="PLM41" s="1172"/>
      <c r="PLN41" s="1172"/>
      <c r="PLO41" s="1172"/>
      <c r="PLP41" s="1172"/>
      <c r="PLQ41" s="1172"/>
      <c r="PLR41" s="1172"/>
      <c r="PLS41" s="1172"/>
      <c r="PLT41" s="1172"/>
      <c r="PLU41" s="1172"/>
      <c r="PLV41" s="1172"/>
      <c r="PLW41" s="1172"/>
      <c r="PLX41" s="1172"/>
      <c r="PLY41" s="1172"/>
      <c r="PLZ41" s="1172"/>
      <c r="PMA41" s="1172"/>
      <c r="PMB41" s="1172"/>
      <c r="PMC41" s="1172"/>
      <c r="PMD41" s="1172"/>
      <c r="PME41" s="1172"/>
      <c r="PMF41" s="1172"/>
      <c r="PMG41" s="1172"/>
      <c r="PMH41" s="1172"/>
      <c r="PMI41" s="1172"/>
      <c r="PMJ41" s="1172"/>
      <c r="PMK41" s="1172"/>
      <c r="PML41" s="1172"/>
      <c r="PMM41" s="1172"/>
      <c r="PMN41" s="1172"/>
      <c r="PMO41" s="1172"/>
      <c r="PMP41" s="1172"/>
      <c r="PMQ41" s="1172"/>
      <c r="PMR41" s="1172"/>
      <c r="PMS41" s="1172"/>
      <c r="PMT41" s="1172"/>
      <c r="PMU41" s="1172"/>
      <c r="PMV41" s="1172"/>
      <c r="PMW41" s="1172"/>
      <c r="PMX41" s="1172"/>
      <c r="PMY41" s="1172"/>
      <c r="PMZ41" s="1172"/>
      <c r="PNA41" s="1172"/>
      <c r="PNB41" s="1172"/>
      <c r="PNC41" s="1172"/>
      <c r="PND41" s="1172"/>
      <c r="PNE41" s="1172"/>
      <c r="PNF41" s="1172"/>
      <c r="PNG41" s="1172"/>
      <c r="PNH41" s="1172"/>
      <c r="PNI41" s="1172"/>
      <c r="PNJ41" s="1172"/>
      <c r="PNK41" s="1172"/>
      <c r="PNL41" s="1172"/>
      <c r="PNM41" s="1172"/>
      <c r="PNN41" s="1172"/>
      <c r="PNO41" s="1172"/>
      <c r="PNP41" s="1172"/>
      <c r="PNQ41" s="1172"/>
      <c r="PNR41" s="1172"/>
      <c r="PNS41" s="1172"/>
      <c r="PNT41" s="1172"/>
      <c r="PNU41" s="1172"/>
      <c r="PNV41" s="1172"/>
      <c r="PNW41" s="1172"/>
      <c r="PNX41" s="1172"/>
      <c r="PNY41" s="1172"/>
      <c r="PNZ41" s="1172"/>
      <c r="POA41" s="1172"/>
      <c r="POB41" s="1172"/>
      <c r="POC41" s="1172"/>
      <c r="POD41" s="1172"/>
      <c r="POE41" s="1172"/>
      <c r="POF41" s="1172"/>
      <c r="POG41" s="1172"/>
      <c r="POH41" s="1172"/>
      <c r="POI41" s="1172"/>
      <c r="POJ41" s="1172"/>
      <c r="POK41" s="1172"/>
      <c r="POL41" s="1172"/>
      <c r="POM41" s="1172"/>
      <c r="PON41" s="1172"/>
      <c r="POO41" s="1172"/>
      <c r="POP41" s="1172"/>
      <c r="POQ41" s="1172"/>
      <c r="POR41" s="1172"/>
      <c r="POS41" s="1172"/>
      <c r="POT41" s="1172"/>
      <c r="POU41" s="1172"/>
      <c r="POV41" s="1172"/>
      <c r="POW41" s="1172"/>
      <c r="POX41" s="1172"/>
      <c r="POY41" s="1172"/>
      <c r="POZ41" s="1172"/>
      <c r="PPA41" s="1172"/>
      <c r="PPB41" s="1172"/>
      <c r="PPC41" s="1172"/>
      <c r="PPD41" s="1172"/>
      <c r="PPE41" s="1172"/>
      <c r="PPF41" s="1172"/>
      <c r="PPG41" s="1172"/>
      <c r="PPH41" s="1172"/>
      <c r="PPI41" s="1172"/>
      <c r="PPJ41" s="1172"/>
      <c r="PPK41" s="1172"/>
      <c r="PPL41" s="1172"/>
      <c r="PPM41" s="1172"/>
      <c r="PPN41" s="1172"/>
      <c r="PPO41" s="1172"/>
      <c r="PPP41" s="1172"/>
      <c r="PPQ41" s="1172"/>
      <c r="PPR41" s="1172"/>
      <c r="PPS41" s="1172"/>
      <c r="PPT41" s="1172"/>
      <c r="PPU41" s="1172"/>
      <c r="PPV41" s="1172"/>
      <c r="PPW41" s="1172"/>
      <c r="PPX41" s="1172"/>
      <c r="PPY41" s="1172"/>
      <c r="PPZ41" s="1172"/>
      <c r="PQA41" s="1172"/>
      <c r="PQB41" s="1172"/>
      <c r="PQC41" s="1172"/>
      <c r="PQD41" s="1172"/>
      <c r="PQE41" s="1172"/>
      <c r="PQF41" s="1172"/>
      <c r="PQG41" s="1172"/>
      <c r="PQH41" s="1172"/>
      <c r="PQI41" s="1172"/>
      <c r="PQJ41" s="1172"/>
      <c r="PQK41" s="1172"/>
      <c r="PQL41" s="1172"/>
      <c r="PQM41" s="1172"/>
      <c r="PQN41" s="1172"/>
      <c r="PQO41" s="1172"/>
      <c r="PQP41" s="1172"/>
      <c r="PQQ41" s="1172"/>
      <c r="PQR41" s="1172"/>
      <c r="PQS41" s="1172"/>
      <c r="PQT41" s="1172"/>
      <c r="PQU41" s="1172"/>
      <c r="PQV41" s="1172"/>
      <c r="PQW41" s="1172"/>
      <c r="PQX41" s="1172"/>
      <c r="PQY41" s="1172"/>
      <c r="PQZ41" s="1172"/>
      <c r="PRA41" s="1172"/>
      <c r="PRB41" s="1172"/>
      <c r="PRC41" s="1172"/>
      <c r="PRD41" s="1172"/>
      <c r="PRE41" s="1172"/>
      <c r="PRF41" s="1172"/>
      <c r="PRG41" s="1172"/>
      <c r="PRH41" s="1172"/>
      <c r="PRI41" s="1172"/>
      <c r="PRJ41" s="1172"/>
      <c r="PRK41" s="1172"/>
      <c r="PRL41" s="1172"/>
      <c r="PRM41" s="1172"/>
      <c r="PRN41" s="1172"/>
      <c r="PRO41" s="1172"/>
      <c r="PRP41" s="1172"/>
      <c r="PRQ41" s="1172"/>
      <c r="PRR41" s="1172"/>
      <c r="PRS41" s="1172"/>
      <c r="PRT41" s="1172"/>
      <c r="PRU41" s="1172"/>
      <c r="PRV41" s="1172"/>
      <c r="PRW41" s="1172"/>
      <c r="PRX41" s="1172"/>
      <c r="PRY41" s="1172"/>
      <c r="PRZ41" s="1172"/>
      <c r="PSA41" s="1172"/>
      <c r="PSB41" s="1172"/>
      <c r="PSC41" s="1172"/>
      <c r="PSD41" s="1172"/>
      <c r="PSE41" s="1172"/>
      <c r="PSF41" s="1172"/>
      <c r="PSG41" s="1172"/>
      <c r="PSH41" s="1172"/>
      <c r="PSI41" s="1172"/>
      <c r="PSJ41" s="1172"/>
      <c r="PSK41" s="1172"/>
      <c r="PSL41" s="1172"/>
      <c r="PSM41" s="1172"/>
      <c r="PSN41" s="1172"/>
      <c r="PSO41" s="1172"/>
      <c r="PSP41" s="1172"/>
      <c r="PSQ41" s="1172"/>
      <c r="PSR41" s="1172"/>
      <c r="PSS41" s="1172"/>
      <c r="PST41" s="1172"/>
      <c r="PSU41" s="1172"/>
      <c r="PSV41" s="1172"/>
      <c r="PSW41" s="1172"/>
      <c r="PSX41" s="1172"/>
      <c r="PSY41" s="1172"/>
      <c r="PSZ41" s="1172"/>
      <c r="PTA41" s="1172"/>
      <c r="PTB41" s="1172"/>
      <c r="PTC41" s="1172"/>
      <c r="PTD41" s="1172"/>
      <c r="PTE41" s="1172"/>
      <c r="PTF41" s="1172"/>
      <c r="PTG41" s="1172"/>
      <c r="PTH41" s="1172"/>
      <c r="PTI41" s="1172"/>
      <c r="PTJ41" s="1172"/>
      <c r="PTK41" s="1172"/>
      <c r="PTL41" s="1172"/>
      <c r="PTM41" s="1172"/>
      <c r="PTN41" s="1172"/>
      <c r="PTO41" s="1172"/>
      <c r="PTP41" s="1172"/>
      <c r="PTQ41" s="1172"/>
      <c r="PTR41" s="1172"/>
      <c r="PTS41" s="1172"/>
      <c r="PTT41" s="1172"/>
      <c r="PTU41" s="1172"/>
      <c r="PTV41" s="1172"/>
      <c r="PTW41" s="1172"/>
      <c r="PTX41" s="1172"/>
      <c r="PTY41" s="1172"/>
      <c r="PTZ41" s="1172"/>
      <c r="PUA41" s="1172"/>
      <c r="PUB41" s="1172"/>
      <c r="PUC41" s="1172"/>
      <c r="PUD41" s="1172"/>
      <c r="PUE41" s="1172"/>
      <c r="PUF41" s="1172"/>
      <c r="PUG41" s="1172"/>
      <c r="PUH41" s="1172"/>
      <c r="PUI41" s="1172"/>
      <c r="PUJ41" s="1172"/>
      <c r="PUK41" s="1172"/>
      <c r="PUL41" s="1172"/>
      <c r="PUM41" s="1172"/>
      <c r="PUN41" s="1172"/>
      <c r="PUO41" s="1172"/>
      <c r="PUP41" s="1172"/>
      <c r="PUQ41" s="1172"/>
      <c r="PUR41" s="1172"/>
      <c r="PUS41" s="1172"/>
      <c r="PUT41" s="1172"/>
      <c r="PUU41" s="1172"/>
      <c r="PUV41" s="1172"/>
      <c r="PUW41" s="1172"/>
      <c r="PUX41" s="1172"/>
      <c r="PUY41" s="1172"/>
      <c r="PUZ41" s="1172"/>
      <c r="PVA41" s="1172"/>
      <c r="PVB41" s="1172"/>
      <c r="PVC41" s="1172"/>
      <c r="PVD41" s="1172"/>
      <c r="PVE41" s="1172"/>
      <c r="PVF41" s="1172"/>
      <c r="PVG41" s="1172"/>
      <c r="PVH41" s="1172"/>
      <c r="PVI41" s="1172"/>
      <c r="PVJ41" s="1172"/>
      <c r="PVK41" s="1172"/>
      <c r="PVL41" s="1172"/>
      <c r="PVM41" s="1172"/>
      <c r="PVN41" s="1172"/>
      <c r="PVO41" s="1172"/>
      <c r="PVP41" s="1172"/>
      <c r="PVQ41" s="1172"/>
      <c r="PVR41" s="1172"/>
      <c r="PVS41" s="1172"/>
      <c r="PVT41" s="1172"/>
      <c r="PVU41" s="1172"/>
      <c r="PVV41" s="1172"/>
      <c r="PVW41" s="1172"/>
      <c r="PVX41" s="1172"/>
      <c r="PVY41" s="1172"/>
      <c r="PVZ41" s="1172"/>
      <c r="PWA41" s="1172"/>
      <c r="PWB41" s="1172"/>
      <c r="PWC41" s="1172"/>
      <c r="PWD41" s="1172"/>
      <c r="PWE41" s="1172"/>
      <c r="PWF41" s="1172"/>
      <c r="PWG41" s="1172"/>
      <c r="PWH41" s="1172"/>
      <c r="PWI41" s="1172"/>
      <c r="PWJ41" s="1172"/>
      <c r="PWK41" s="1172"/>
      <c r="PWL41" s="1172"/>
      <c r="PWM41" s="1172"/>
      <c r="PWN41" s="1172"/>
      <c r="PWO41" s="1172"/>
      <c r="PWP41" s="1172"/>
      <c r="PWQ41" s="1172"/>
      <c r="PWR41" s="1172"/>
      <c r="PWS41" s="1172"/>
      <c r="PWT41" s="1172"/>
      <c r="PWU41" s="1172"/>
      <c r="PWV41" s="1172"/>
      <c r="PWW41" s="1172"/>
      <c r="PWX41" s="1172"/>
      <c r="PWY41" s="1172"/>
      <c r="PWZ41" s="1172"/>
      <c r="PXA41" s="1172"/>
      <c r="PXB41" s="1172"/>
      <c r="PXC41" s="1172"/>
      <c r="PXD41" s="1172"/>
      <c r="PXE41" s="1172"/>
      <c r="PXF41" s="1172"/>
      <c r="PXG41" s="1172"/>
      <c r="PXH41" s="1172"/>
      <c r="PXI41" s="1172"/>
      <c r="PXJ41" s="1172"/>
      <c r="PXK41" s="1172"/>
      <c r="PXL41" s="1172"/>
      <c r="PXM41" s="1172"/>
      <c r="PXN41" s="1172"/>
      <c r="PXO41" s="1172"/>
      <c r="PXP41" s="1172"/>
      <c r="PXQ41" s="1172"/>
      <c r="PXR41" s="1172"/>
      <c r="PXS41" s="1172"/>
      <c r="PXT41" s="1172"/>
      <c r="PXU41" s="1172"/>
      <c r="PXV41" s="1172"/>
      <c r="PXW41" s="1172"/>
      <c r="PXX41" s="1172"/>
      <c r="PXY41" s="1172"/>
      <c r="PXZ41" s="1172"/>
      <c r="PYA41" s="1172"/>
      <c r="PYB41" s="1172"/>
      <c r="PYC41" s="1172"/>
      <c r="PYD41" s="1172"/>
      <c r="PYE41" s="1172"/>
      <c r="PYF41" s="1172"/>
      <c r="PYG41" s="1172"/>
      <c r="PYH41" s="1172"/>
      <c r="PYI41" s="1172"/>
      <c r="PYJ41" s="1172"/>
      <c r="PYK41" s="1172"/>
      <c r="PYL41" s="1172"/>
      <c r="PYM41" s="1172"/>
      <c r="PYN41" s="1172"/>
      <c r="PYO41" s="1172"/>
      <c r="PYP41" s="1172"/>
      <c r="PYQ41" s="1172"/>
      <c r="PYR41" s="1172"/>
      <c r="PYS41" s="1172"/>
      <c r="PYT41" s="1172"/>
      <c r="PYU41" s="1172"/>
      <c r="PYV41" s="1172"/>
      <c r="PYW41" s="1172"/>
      <c r="PYX41" s="1172"/>
      <c r="PYY41" s="1172"/>
      <c r="PYZ41" s="1172"/>
      <c r="PZA41" s="1172"/>
      <c r="PZB41" s="1172"/>
      <c r="PZC41" s="1172"/>
      <c r="PZD41" s="1172"/>
      <c r="PZE41" s="1172"/>
      <c r="PZF41" s="1172"/>
      <c r="PZG41" s="1172"/>
      <c r="PZH41" s="1172"/>
      <c r="PZI41" s="1172"/>
      <c r="PZJ41" s="1172"/>
      <c r="PZK41" s="1172"/>
      <c r="PZL41" s="1172"/>
      <c r="PZM41" s="1172"/>
      <c r="PZN41" s="1172"/>
      <c r="PZO41" s="1172"/>
      <c r="PZP41" s="1172"/>
      <c r="PZQ41" s="1172"/>
      <c r="PZR41" s="1172"/>
      <c r="PZS41" s="1172"/>
      <c r="PZT41" s="1172"/>
      <c r="PZU41" s="1172"/>
      <c r="PZV41" s="1172"/>
      <c r="PZW41" s="1172"/>
      <c r="PZX41" s="1172"/>
      <c r="PZY41" s="1172"/>
      <c r="PZZ41" s="1172"/>
      <c r="QAA41" s="1172"/>
      <c r="QAB41" s="1172"/>
      <c r="QAC41" s="1172"/>
      <c r="QAD41" s="1172"/>
      <c r="QAE41" s="1172"/>
      <c r="QAF41" s="1172"/>
      <c r="QAG41" s="1172"/>
      <c r="QAH41" s="1172"/>
      <c r="QAI41" s="1172"/>
      <c r="QAJ41" s="1172"/>
      <c r="QAK41" s="1172"/>
      <c r="QAL41" s="1172"/>
      <c r="QAM41" s="1172"/>
      <c r="QAN41" s="1172"/>
      <c r="QAO41" s="1172"/>
      <c r="QAP41" s="1172"/>
      <c r="QAQ41" s="1172"/>
      <c r="QAR41" s="1172"/>
      <c r="QAS41" s="1172"/>
      <c r="QAT41" s="1172"/>
      <c r="QAU41" s="1172"/>
      <c r="QAV41" s="1172"/>
      <c r="QAW41" s="1172"/>
      <c r="QAX41" s="1172"/>
      <c r="QAY41" s="1172"/>
      <c r="QAZ41" s="1172"/>
      <c r="QBA41" s="1172"/>
      <c r="QBB41" s="1172"/>
      <c r="QBC41" s="1172"/>
      <c r="QBD41" s="1172"/>
      <c r="QBE41" s="1172"/>
      <c r="QBF41" s="1172"/>
      <c r="QBG41" s="1172"/>
      <c r="QBH41" s="1172"/>
      <c r="QBI41" s="1172"/>
      <c r="QBJ41" s="1172"/>
      <c r="QBK41" s="1172"/>
      <c r="QBL41" s="1172"/>
      <c r="QBM41" s="1172"/>
      <c r="QBN41" s="1172"/>
      <c r="QBO41" s="1172"/>
      <c r="QBP41" s="1172"/>
      <c r="QBQ41" s="1172"/>
      <c r="QBR41" s="1172"/>
      <c r="QBS41" s="1172"/>
      <c r="QBT41" s="1172"/>
      <c r="QBU41" s="1172"/>
      <c r="QBV41" s="1172"/>
      <c r="QBW41" s="1172"/>
      <c r="QBX41" s="1172"/>
      <c r="QBY41" s="1172"/>
      <c r="QBZ41" s="1172"/>
      <c r="QCA41" s="1172"/>
      <c r="QCB41" s="1172"/>
      <c r="QCC41" s="1172"/>
      <c r="QCD41" s="1172"/>
      <c r="QCE41" s="1172"/>
      <c r="QCF41" s="1172"/>
      <c r="QCG41" s="1172"/>
      <c r="QCH41" s="1172"/>
      <c r="QCI41" s="1172"/>
      <c r="QCJ41" s="1172"/>
      <c r="QCK41" s="1172"/>
      <c r="QCL41" s="1172"/>
      <c r="QCM41" s="1172"/>
      <c r="QCN41" s="1172"/>
      <c r="QCO41" s="1172"/>
      <c r="QCP41" s="1172"/>
      <c r="QCQ41" s="1172"/>
      <c r="QCR41" s="1172"/>
      <c r="QCS41" s="1172"/>
      <c r="QCT41" s="1172"/>
      <c r="QCU41" s="1172"/>
      <c r="QCV41" s="1172"/>
      <c r="QCW41" s="1172"/>
      <c r="QCX41" s="1172"/>
      <c r="QCY41" s="1172"/>
      <c r="QCZ41" s="1172"/>
      <c r="QDA41" s="1172"/>
      <c r="QDB41" s="1172"/>
      <c r="QDC41" s="1172"/>
      <c r="QDD41" s="1172"/>
      <c r="QDE41" s="1172"/>
      <c r="QDF41" s="1172"/>
      <c r="QDG41" s="1172"/>
      <c r="QDH41" s="1172"/>
      <c r="QDI41" s="1172"/>
      <c r="QDJ41" s="1172"/>
      <c r="QDK41" s="1172"/>
      <c r="QDL41" s="1172"/>
      <c r="QDM41" s="1172"/>
      <c r="QDN41" s="1172"/>
      <c r="QDO41" s="1172"/>
      <c r="QDP41" s="1172"/>
      <c r="QDQ41" s="1172"/>
      <c r="QDR41" s="1172"/>
      <c r="QDS41" s="1172"/>
      <c r="QDT41" s="1172"/>
      <c r="QDU41" s="1172"/>
      <c r="QDV41" s="1172"/>
      <c r="QDW41" s="1172"/>
      <c r="QDX41" s="1172"/>
      <c r="QDY41" s="1172"/>
      <c r="QDZ41" s="1172"/>
      <c r="QEA41" s="1172"/>
      <c r="QEB41" s="1172"/>
      <c r="QEC41" s="1172"/>
      <c r="QED41" s="1172"/>
      <c r="QEE41" s="1172"/>
      <c r="QEF41" s="1172"/>
      <c r="QEG41" s="1172"/>
      <c r="QEH41" s="1172"/>
      <c r="QEI41" s="1172"/>
      <c r="QEJ41" s="1172"/>
      <c r="QEK41" s="1172"/>
      <c r="QEL41" s="1172"/>
      <c r="QEM41" s="1172"/>
      <c r="QEN41" s="1172"/>
      <c r="QEO41" s="1172"/>
      <c r="QEP41" s="1172"/>
      <c r="QEQ41" s="1172"/>
      <c r="QER41" s="1172"/>
      <c r="QES41" s="1172"/>
      <c r="QET41" s="1172"/>
      <c r="QEU41" s="1172"/>
      <c r="QEV41" s="1172"/>
      <c r="QEW41" s="1172"/>
      <c r="QEX41" s="1172"/>
      <c r="QEY41" s="1172"/>
      <c r="QEZ41" s="1172"/>
      <c r="QFA41" s="1172"/>
      <c r="QFB41" s="1172"/>
      <c r="QFC41" s="1172"/>
      <c r="QFD41" s="1172"/>
      <c r="QFE41" s="1172"/>
      <c r="QFF41" s="1172"/>
      <c r="QFG41" s="1172"/>
      <c r="QFH41" s="1172"/>
      <c r="QFI41" s="1172"/>
      <c r="QFJ41" s="1172"/>
      <c r="QFK41" s="1172"/>
      <c r="QFL41" s="1172"/>
      <c r="QFM41" s="1172"/>
      <c r="QFN41" s="1172"/>
      <c r="QFO41" s="1172"/>
      <c r="QFP41" s="1172"/>
      <c r="QFQ41" s="1172"/>
      <c r="QFR41" s="1172"/>
      <c r="QFS41" s="1172"/>
      <c r="QFT41" s="1172"/>
      <c r="QFU41" s="1172"/>
      <c r="QFV41" s="1172"/>
      <c r="QFW41" s="1172"/>
      <c r="QFX41" s="1172"/>
      <c r="QFY41" s="1172"/>
      <c r="QFZ41" s="1172"/>
      <c r="QGA41" s="1172"/>
      <c r="QGB41" s="1172"/>
      <c r="QGC41" s="1172"/>
      <c r="QGD41" s="1172"/>
      <c r="QGE41" s="1172"/>
      <c r="QGF41" s="1172"/>
      <c r="QGG41" s="1172"/>
      <c r="QGH41" s="1172"/>
      <c r="QGI41" s="1172"/>
      <c r="QGJ41" s="1172"/>
      <c r="QGK41" s="1172"/>
      <c r="QGL41" s="1172"/>
      <c r="QGM41" s="1172"/>
      <c r="QGN41" s="1172"/>
      <c r="QGO41" s="1172"/>
      <c r="QGP41" s="1172"/>
      <c r="QGQ41" s="1172"/>
      <c r="QGR41" s="1172"/>
      <c r="QGS41" s="1172"/>
      <c r="QGT41" s="1172"/>
      <c r="QGU41" s="1172"/>
      <c r="QGV41" s="1172"/>
      <c r="QGW41" s="1172"/>
      <c r="QGX41" s="1172"/>
      <c r="QGY41" s="1172"/>
      <c r="QGZ41" s="1172"/>
      <c r="QHA41" s="1172"/>
      <c r="QHB41" s="1172"/>
      <c r="QHC41" s="1172"/>
      <c r="QHD41" s="1172"/>
      <c r="QHE41" s="1172"/>
      <c r="QHF41" s="1172"/>
      <c r="QHG41" s="1172"/>
      <c r="QHH41" s="1172"/>
      <c r="QHI41" s="1172"/>
      <c r="QHJ41" s="1172"/>
      <c r="QHK41" s="1172"/>
      <c r="QHL41" s="1172"/>
      <c r="QHM41" s="1172"/>
      <c r="QHN41" s="1172"/>
      <c r="QHO41" s="1172"/>
      <c r="QHP41" s="1172"/>
      <c r="QHQ41" s="1172"/>
      <c r="QHR41" s="1172"/>
      <c r="QHS41" s="1172"/>
      <c r="QHT41" s="1172"/>
      <c r="QHU41" s="1172"/>
      <c r="QHV41" s="1172"/>
      <c r="QHW41" s="1172"/>
      <c r="QHX41" s="1172"/>
      <c r="QHY41" s="1172"/>
      <c r="QHZ41" s="1172"/>
      <c r="QIA41" s="1172"/>
      <c r="QIB41" s="1172"/>
      <c r="QIC41" s="1172"/>
      <c r="QID41" s="1172"/>
      <c r="QIE41" s="1172"/>
      <c r="QIF41" s="1172"/>
      <c r="QIG41" s="1172"/>
      <c r="QIH41" s="1172"/>
      <c r="QII41" s="1172"/>
      <c r="QIJ41" s="1172"/>
      <c r="QIK41" s="1172"/>
      <c r="QIL41" s="1172"/>
      <c r="QIM41" s="1172"/>
      <c r="QIN41" s="1172"/>
      <c r="QIO41" s="1172"/>
      <c r="QIP41" s="1172"/>
      <c r="QIQ41" s="1172"/>
      <c r="QIR41" s="1172"/>
      <c r="QIS41" s="1172"/>
      <c r="QIT41" s="1172"/>
      <c r="QIU41" s="1172"/>
      <c r="QIV41" s="1172"/>
      <c r="QIW41" s="1172"/>
      <c r="QIX41" s="1172"/>
      <c r="QIY41" s="1172"/>
      <c r="QIZ41" s="1172"/>
      <c r="QJA41" s="1172"/>
      <c r="QJB41" s="1172"/>
      <c r="QJC41" s="1172"/>
      <c r="QJD41" s="1172"/>
      <c r="QJE41" s="1172"/>
      <c r="QJF41" s="1172"/>
      <c r="QJG41" s="1172"/>
      <c r="QJH41" s="1172"/>
      <c r="QJI41" s="1172"/>
      <c r="QJJ41" s="1172"/>
      <c r="QJK41" s="1172"/>
      <c r="QJL41" s="1172"/>
      <c r="QJM41" s="1172"/>
      <c r="QJN41" s="1172"/>
      <c r="QJO41" s="1172"/>
      <c r="QJP41" s="1172"/>
      <c r="QJQ41" s="1172"/>
      <c r="QJR41" s="1172"/>
      <c r="QJS41" s="1172"/>
      <c r="QJT41" s="1172"/>
      <c r="QJU41" s="1172"/>
      <c r="QJV41" s="1172"/>
      <c r="QJW41" s="1172"/>
      <c r="QJX41" s="1172"/>
      <c r="QJY41" s="1172"/>
      <c r="QJZ41" s="1172"/>
      <c r="QKA41" s="1172"/>
      <c r="QKB41" s="1172"/>
      <c r="QKC41" s="1172"/>
      <c r="QKD41" s="1172"/>
      <c r="QKE41" s="1172"/>
      <c r="QKF41" s="1172"/>
      <c r="QKG41" s="1172"/>
      <c r="QKH41" s="1172"/>
      <c r="QKI41" s="1172"/>
      <c r="QKJ41" s="1172"/>
      <c r="QKK41" s="1172"/>
      <c r="QKL41" s="1172"/>
      <c r="QKM41" s="1172"/>
      <c r="QKN41" s="1172"/>
      <c r="QKO41" s="1172"/>
      <c r="QKP41" s="1172"/>
      <c r="QKQ41" s="1172"/>
      <c r="QKR41" s="1172"/>
      <c r="QKS41" s="1172"/>
      <c r="QKT41" s="1172"/>
      <c r="QKU41" s="1172"/>
      <c r="QKV41" s="1172"/>
      <c r="QKW41" s="1172"/>
      <c r="QKX41" s="1172"/>
      <c r="QKY41" s="1172"/>
      <c r="QKZ41" s="1172"/>
      <c r="QLA41" s="1172"/>
      <c r="QLB41" s="1172"/>
      <c r="QLC41" s="1172"/>
      <c r="QLD41" s="1172"/>
      <c r="QLE41" s="1172"/>
      <c r="QLF41" s="1172"/>
      <c r="QLG41" s="1172"/>
      <c r="QLH41" s="1172"/>
      <c r="QLI41" s="1172"/>
      <c r="QLJ41" s="1172"/>
      <c r="QLK41" s="1172"/>
      <c r="QLL41" s="1172"/>
      <c r="QLM41" s="1172"/>
      <c r="QLN41" s="1172"/>
      <c r="QLO41" s="1172"/>
      <c r="QLP41" s="1172"/>
      <c r="QLQ41" s="1172"/>
      <c r="QLR41" s="1172"/>
      <c r="QLS41" s="1172"/>
      <c r="QLT41" s="1172"/>
      <c r="QLU41" s="1172"/>
      <c r="QLV41" s="1172"/>
      <c r="QLW41" s="1172"/>
      <c r="QLX41" s="1172"/>
      <c r="QLY41" s="1172"/>
      <c r="QLZ41" s="1172"/>
      <c r="QMA41" s="1172"/>
      <c r="QMB41" s="1172"/>
      <c r="QMC41" s="1172"/>
      <c r="QMD41" s="1172"/>
      <c r="QME41" s="1172"/>
      <c r="QMF41" s="1172"/>
      <c r="QMG41" s="1172"/>
      <c r="QMH41" s="1172"/>
      <c r="QMI41" s="1172"/>
      <c r="QMJ41" s="1172"/>
      <c r="QMK41" s="1172"/>
      <c r="QML41" s="1172"/>
      <c r="QMM41" s="1172"/>
      <c r="QMN41" s="1172"/>
      <c r="QMO41" s="1172"/>
      <c r="QMP41" s="1172"/>
      <c r="QMQ41" s="1172"/>
      <c r="QMR41" s="1172"/>
      <c r="QMS41" s="1172"/>
      <c r="QMT41" s="1172"/>
      <c r="QMU41" s="1172"/>
      <c r="QMV41" s="1172"/>
      <c r="QMW41" s="1172"/>
      <c r="QMX41" s="1172"/>
      <c r="QMY41" s="1172"/>
      <c r="QMZ41" s="1172"/>
      <c r="QNA41" s="1172"/>
      <c r="QNB41" s="1172"/>
      <c r="QNC41" s="1172"/>
      <c r="QND41" s="1172"/>
      <c r="QNE41" s="1172"/>
      <c r="QNF41" s="1172"/>
      <c r="QNG41" s="1172"/>
      <c r="QNH41" s="1172"/>
      <c r="QNI41" s="1172"/>
      <c r="QNJ41" s="1172"/>
      <c r="QNK41" s="1172"/>
      <c r="QNL41" s="1172"/>
      <c r="QNM41" s="1172"/>
      <c r="QNN41" s="1172"/>
      <c r="QNO41" s="1172"/>
      <c r="QNP41" s="1172"/>
      <c r="QNQ41" s="1172"/>
      <c r="QNR41" s="1172"/>
      <c r="QNS41" s="1172"/>
      <c r="QNT41" s="1172"/>
      <c r="QNU41" s="1172"/>
      <c r="QNV41" s="1172"/>
      <c r="QNW41" s="1172"/>
      <c r="QNX41" s="1172"/>
      <c r="QNY41" s="1172"/>
      <c r="QNZ41" s="1172"/>
      <c r="QOA41" s="1172"/>
      <c r="QOB41" s="1172"/>
      <c r="QOC41" s="1172"/>
      <c r="QOD41" s="1172"/>
      <c r="QOE41" s="1172"/>
      <c r="QOF41" s="1172"/>
      <c r="QOG41" s="1172"/>
      <c r="QOH41" s="1172"/>
      <c r="QOI41" s="1172"/>
      <c r="QOJ41" s="1172"/>
      <c r="QOK41" s="1172"/>
      <c r="QOL41" s="1172"/>
      <c r="QOM41" s="1172"/>
      <c r="QON41" s="1172"/>
      <c r="QOO41" s="1172"/>
      <c r="QOP41" s="1172"/>
      <c r="QOQ41" s="1172"/>
      <c r="QOR41" s="1172"/>
      <c r="QOS41" s="1172"/>
      <c r="QOT41" s="1172"/>
      <c r="QOU41" s="1172"/>
      <c r="QOV41" s="1172"/>
      <c r="QOW41" s="1172"/>
      <c r="QOX41" s="1172"/>
      <c r="QOY41" s="1172"/>
      <c r="QOZ41" s="1172"/>
      <c r="QPA41" s="1172"/>
      <c r="QPB41" s="1172"/>
      <c r="QPC41" s="1172"/>
      <c r="QPD41" s="1172"/>
      <c r="QPE41" s="1172"/>
      <c r="QPF41" s="1172"/>
      <c r="QPG41" s="1172"/>
      <c r="QPH41" s="1172"/>
      <c r="QPI41" s="1172"/>
      <c r="QPJ41" s="1172"/>
      <c r="QPK41" s="1172"/>
      <c r="QPL41" s="1172"/>
      <c r="QPM41" s="1172"/>
      <c r="QPN41" s="1172"/>
      <c r="QPO41" s="1172"/>
      <c r="QPP41" s="1172"/>
      <c r="QPQ41" s="1172"/>
      <c r="QPR41" s="1172"/>
      <c r="QPS41" s="1172"/>
      <c r="QPT41" s="1172"/>
      <c r="QPU41" s="1172"/>
      <c r="QPV41" s="1172"/>
      <c r="QPW41" s="1172"/>
      <c r="QPX41" s="1172"/>
      <c r="QPY41" s="1172"/>
      <c r="QPZ41" s="1172"/>
      <c r="QQA41" s="1172"/>
      <c r="QQB41" s="1172"/>
      <c r="QQC41" s="1172"/>
      <c r="QQD41" s="1172"/>
      <c r="QQE41" s="1172"/>
      <c r="QQF41" s="1172"/>
      <c r="QQG41" s="1172"/>
      <c r="QQH41" s="1172"/>
      <c r="QQI41" s="1172"/>
      <c r="QQJ41" s="1172"/>
      <c r="QQK41" s="1172"/>
      <c r="QQL41" s="1172"/>
      <c r="QQM41" s="1172"/>
      <c r="QQN41" s="1172"/>
      <c r="QQO41" s="1172"/>
      <c r="QQP41" s="1172"/>
      <c r="QQQ41" s="1172"/>
      <c r="QQR41" s="1172"/>
      <c r="QQS41" s="1172"/>
      <c r="QQT41" s="1172"/>
      <c r="QQU41" s="1172"/>
      <c r="QQV41" s="1172"/>
      <c r="QQW41" s="1172"/>
      <c r="QQX41" s="1172"/>
      <c r="QQY41" s="1172"/>
      <c r="QQZ41" s="1172"/>
      <c r="QRA41" s="1172"/>
      <c r="QRB41" s="1172"/>
      <c r="QRC41" s="1172"/>
      <c r="QRD41" s="1172"/>
      <c r="QRE41" s="1172"/>
      <c r="QRF41" s="1172"/>
      <c r="QRG41" s="1172"/>
      <c r="QRH41" s="1172"/>
      <c r="QRI41" s="1172"/>
      <c r="QRJ41" s="1172"/>
      <c r="QRK41" s="1172"/>
      <c r="QRL41" s="1172"/>
      <c r="QRM41" s="1172"/>
      <c r="QRN41" s="1172"/>
      <c r="QRO41" s="1172"/>
      <c r="QRP41" s="1172"/>
      <c r="QRQ41" s="1172"/>
      <c r="QRR41" s="1172"/>
      <c r="QRS41" s="1172"/>
      <c r="QRT41" s="1172"/>
      <c r="QRU41" s="1172"/>
      <c r="QRV41" s="1172"/>
      <c r="QRW41" s="1172"/>
      <c r="QRX41" s="1172"/>
      <c r="QRY41" s="1172"/>
      <c r="QRZ41" s="1172"/>
      <c r="QSA41" s="1172"/>
      <c r="QSB41" s="1172"/>
      <c r="QSC41" s="1172"/>
      <c r="QSD41" s="1172"/>
      <c r="QSE41" s="1172"/>
      <c r="QSF41" s="1172"/>
      <c r="QSG41" s="1172"/>
      <c r="QSH41" s="1172"/>
      <c r="QSI41" s="1172"/>
      <c r="QSJ41" s="1172"/>
      <c r="QSK41" s="1172"/>
      <c r="QSL41" s="1172"/>
      <c r="QSM41" s="1172"/>
      <c r="QSN41" s="1172"/>
      <c r="QSO41" s="1172"/>
      <c r="QSP41" s="1172"/>
      <c r="QSQ41" s="1172"/>
      <c r="QSR41" s="1172"/>
      <c r="QSS41" s="1172"/>
      <c r="QST41" s="1172"/>
      <c r="QSU41" s="1172"/>
      <c r="QSV41" s="1172"/>
      <c r="QSW41" s="1172"/>
      <c r="QSX41" s="1172"/>
      <c r="QSY41" s="1172"/>
      <c r="QSZ41" s="1172"/>
      <c r="QTA41" s="1172"/>
      <c r="QTB41" s="1172"/>
      <c r="QTC41" s="1172"/>
      <c r="QTD41" s="1172"/>
      <c r="QTE41" s="1172"/>
      <c r="QTF41" s="1172"/>
      <c r="QTG41" s="1172"/>
      <c r="QTH41" s="1172"/>
      <c r="QTI41" s="1172"/>
      <c r="QTJ41" s="1172"/>
      <c r="QTK41" s="1172"/>
      <c r="QTL41" s="1172"/>
      <c r="QTM41" s="1172"/>
      <c r="QTN41" s="1172"/>
      <c r="QTO41" s="1172"/>
      <c r="QTP41" s="1172"/>
      <c r="QTQ41" s="1172"/>
      <c r="QTR41" s="1172"/>
      <c r="QTS41" s="1172"/>
      <c r="QTT41" s="1172"/>
      <c r="QTU41" s="1172"/>
      <c r="QTV41" s="1172"/>
      <c r="QTW41" s="1172"/>
      <c r="QTX41" s="1172"/>
      <c r="QTY41" s="1172"/>
      <c r="QTZ41" s="1172"/>
      <c r="QUA41" s="1172"/>
      <c r="QUB41" s="1172"/>
      <c r="QUC41" s="1172"/>
      <c r="QUD41" s="1172"/>
      <c r="QUE41" s="1172"/>
      <c r="QUF41" s="1172"/>
      <c r="QUG41" s="1172"/>
      <c r="QUH41" s="1172"/>
      <c r="QUI41" s="1172"/>
      <c r="QUJ41" s="1172"/>
      <c r="QUK41" s="1172"/>
      <c r="QUL41" s="1172"/>
      <c r="QUM41" s="1172"/>
      <c r="QUN41" s="1172"/>
      <c r="QUO41" s="1172"/>
      <c r="QUP41" s="1172"/>
      <c r="QUQ41" s="1172"/>
      <c r="QUR41" s="1172"/>
      <c r="QUS41" s="1172"/>
      <c r="QUT41" s="1172"/>
      <c r="QUU41" s="1172"/>
      <c r="QUV41" s="1172"/>
      <c r="QUW41" s="1172"/>
      <c r="QUX41" s="1172"/>
      <c r="QUY41" s="1172"/>
      <c r="QUZ41" s="1172"/>
      <c r="QVA41" s="1172"/>
      <c r="QVB41" s="1172"/>
      <c r="QVC41" s="1172"/>
      <c r="QVD41" s="1172"/>
      <c r="QVE41" s="1172"/>
      <c r="QVF41" s="1172"/>
      <c r="QVG41" s="1172"/>
      <c r="QVH41" s="1172"/>
      <c r="QVI41" s="1172"/>
      <c r="QVJ41" s="1172"/>
      <c r="QVK41" s="1172"/>
      <c r="QVL41" s="1172"/>
      <c r="QVM41" s="1172"/>
      <c r="QVN41" s="1172"/>
      <c r="QVO41" s="1172"/>
      <c r="QVP41" s="1172"/>
      <c r="QVQ41" s="1172"/>
      <c r="QVR41" s="1172"/>
      <c r="QVS41" s="1172"/>
      <c r="QVT41" s="1172"/>
      <c r="QVU41" s="1172"/>
      <c r="QVV41" s="1172"/>
      <c r="QVW41" s="1172"/>
      <c r="QVX41" s="1172"/>
      <c r="QVY41" s="1172"/>
      <c r="QVZ41" s="1172"/>
      <c r="QWA41" s="1172"/>
      <c r="QWB41" s="1172"/>
      <c r="QWC41" s="1172"/>
      <c r="QWD41" s="1172"/>
      <c r="QWE41" s="1172"/>
      <c r="QWF41" s="1172"/>
      <c r="QWG41" s="1172"/>
      <c r="QWH41" s="1172"/>
      <c r="QWI41" s="1172"/>
      <c r="QWJ41" s="1172"/>
      <c r="QWK41" s="1172"/>
      <c r="QWL41" s="1172"/>
      <c r="QWM41" s="1172"/>
      <c r="QWN41" s="1172"/>
      <c r="QWO41" s="1172"/>
      <c r="QWP41" s="1172"/>
      <c r="QWQ41" s="1172"/>
      <c r="QWR41" s="1172"/>
      <c r="QWS41" s="1172"/>
      <c r="QWT41" s="1172"/>
      <c r="QWU41" s="1172"/>
      <c r="QWV41" s="1172"/>
      <c r="QWW41" s="1172"/>
      <c r="QWX41" s="1172"/>
      <c r="QWY41" s="1172"/>
      <c r="QWZ41" s="1172"/>
      <c r="QXA41" s="1172"/>
      <c r="QXB41" s="1172"/>
      <c r="QXC41" s="1172"/>
      <c r="QXD41" s="1172"/>
      <c r="QXE41" s="1172"/>
      <c r="QXF41" s="1172"/>
      <c r="QXG41" s="1172"/>
      <c r="QXH41" s="1172"/>
      <c r="QXI41" s="1172"/>
      <c r="QXJ41" s="1172"/>
      <c r="QXK41" s="1172"/>
      <c r="QXL41" s="1172"/>
      <c r="QXM41" s="1172"/>
      <c r="QXN41" s="1172"/>
      <c r="QXO41" s="1172"/>
      <c r="QXP41" s="1172"/>
      <c r="QXQ41" s="1172"/>
      <c r="QXR41" s="1172"/>
      <c r="QXS41" s="1172"/>
      <c r="QXT41" s="1172"/>
      <c r="QXU41" s="1172"/>
      <c r="QXV41" s="1172"/>
      <c r="QXW41" s="1172"/>
      <c r="QXX41" s="1172"/>
      <c r="QXY41" s="1172"/>
      <c r="QXZ41" s="1172"/>
      <c r="QYA41" s="1172"/>
      <c r="QYB41" s="1172"/>
      <c r="QYC41" s="1172"/>
      <c r="QYD41" s="1172"/>
      <c r="QYE41" s="1172"/>
      <c r="QYF41" s="1172"/>
      <c r="QYG41" s="1172"/>
      <c r="QYH41" s="1172"/>
      <c r="QYI41" s="1172"/>
      <c r="QYJ41" s="1172"/>
      <c r="QYK41" s="1172"/>
      <c r="QYL41" s="1172"/>
      <c r="QYM41" s="1172"/>
      <c r="QYN41" s="1172"/>
      <c r="QYO41" s="1172"/>
      <c r="QYP41" s="1172"/>
      <c r="QYQ41" s="1172"/>
      <c r="QYR41" s="1172"/>
      <c r="QYS41" s="1172"/>
      <c r="QYT41" s="1172"/>
      <c r="QYU41" s="1172"/>
      <c r="QYV41" s="1172"/>
      <c r="QYW41" s="1172"/>
      <c r="QYX41" s="1172"/>
      <c r="QYY41" s="1172"/>
      <c r="QYZ41" s="1172"/>
      <c r="QZA41" s="1172"/>
      <c r="QZB41" s="1172"/>
      <c r="QZC41" s="1172"/>
      <c r="QZD41" s="1172"/>
      <c r="QZE41" s="1172"/>
      <c r="QZF41" s="1172"/>
      <c r="QZG41" s="1172"/>
      <c r="QZH41" s="1172"/>
      <c r="QZI41" s="1172"/>
      <c r="QZJ41" s="1172"/>
      <c r="QZK41" s="1172"/>
      <c r="QZL41" s="1172"/>
      <c r="QZM41" s="1172"/>
      <c r="QZN41" s="1172"/>
      <c r="QZO41" s="1172"/>
      <c r="QZP41" s="1172"/>
      <c r="QZQ41" s="1172"/>
      <c r="QZR41" s="1172"/>
      <c r="QZS41" s="1172"/>
      <c r="QZT41" s="1172"/>
      <c r="QZU41" s="1172"/>
      <c r="QZV41" s="1172"/>
      <c r="QZW41" s="1172"/>
      <c r="QZX41" s="1172"/>
      <c r="QZY41" s="1172"/>
      <c r="QZZ41" s="1172"/>
      <c r="RAA41" s="1172"/>
      <c r="RAB41" s="1172"/>
      <c r="RAC41" s="1172"/>
      <c r="RAD41" s="1172"/>
      <c r="RAE41" s="1172"/>
      <c r="RAF41" s="1172"/>
      <c r="RAG41" s="1172"/>
      <c r="RAH41" s="1172"/>
      <c r="RAI41" s="1172"/>
      <c r="RAJ41" s="1172"/>
      <c r="RAK41" s="1172"/>
      <c r="RAL41" s="1172"/>
      <c r="RAM41" s="1172"/>
      <c r="RAN41" s="1172"/>
      <c r="RAO41" s="1172"/>
      <c r="RAP41" s="1172"/>
      <c r="RAQ41" s="1172"/>
      <c r="RAR41" s="1172"/>
      <c r="RAS41" s="1172"/>
      <c r="RAT41" s="1172"/>
      <c r="RAU41" s="1172"/>
      <c r="RAV41" s="1172"/>
      <c r="RAW41" s="1172"/>
      <c r="RAX41" s="1172"/>
      <c r="RAY41" s="1172"/>
      <c r="RAZ41" s="1172"/>
      <c r="RBA41" s="1172"/>
      <c r="RBB41" s="1172"/>
      <c r="RBC41" s="1172"/>
      <c r="RBD41" s="1172"/>
      <c r="RBE41" s="1172"/>
      <c r="RBF41" s="1172"/>
      <c r="RBG41" s="1172"/>
      <c r="RBH41" s="1172"/>
      <c r="RBI41" s="1172"/>
      <c r="RBJ41" s="1172"/>
      <c r="RBK41" s="1172"/>
      <c r="RBL41" s="1172"/>
      <c r="RBM41" s="1172"/>
      <c r="RBN41" s="1172"/>
      <c r="RBO41" s="1172"/>
      <c r="RBP41" s="1172"/>
      <c r="RBQ41" s="1172"/>
      <c r="RBR41" s="1172"/>
      <c r="RBS41" s="1172"/>
      <c r="RBT41" s="1172"/>
      <c r="RBU41" s="1172"/>
      <c r="RBV41" s="1172"/>
      <c r="RBW41" s="1172"/>
      <c r="RBX41" s="1172"/>
      <c r="RBY41" s="1172"/>
      <c r="RBZ41" s="1172"/>
      <c r="RCA41" s="1172"/>
      <c r="RCB41" s="1172"/>
      <c r="RCC41" s="1172"/>
      <c r="RCD41" s="1172"/>
      <c r="RCE41" s="1172"/>
      <c r="RCF41" s="1172"/>
      <c r="RCG41" s="1172"/>
      <c r="RCH41" s="1172"/>
      <c r="RCI41" s="1172"/>
      <c r="RCJ41" s="1172"/>
      <c r="RCK41" s="1172"/>
      <c r="RCL41" s="1172"/>
      <c r="RCM41" s="1172"/>
      <c r="RCN41" s="1172"/>
      <c r="RCO41" s="1172"/>
      <c r="RCP41" s="1172"/>
      <c r="RCQ41" s="1172"/>
      <c r="RCR41" s="1172"/>
      <c r="RCS41" s="1172"/>
      <c r="RCT41" s="1172"/>
      <c r="RCU41" s="1172"/>
      <c r="RCV41" s="1172"/>
      <c r="RCW41" s="1172"/>
      <c r="RCX41" s="1172"/>
      <c r="RCY41" s="1172"/>
      <c r="RCZ41" s="1172"/>
      <c r="RDA41" s="1172"/>
      <c r="RDB41" s="1172"/>
      <c r="RDC41" s="1172"/>
      <c r="RDD41" s="1172"/>
      <c r="RDE41" s="1172"/>
      <c r="RDF41" s="1172"/>
      <c r="RDG41" s="1172"/>
      <c r="RDH41" s="1172"/>
      <c r="RDI41" s="1172"/>
      <c r="RDJ41" s="1172"/>
      <c r="RDK41" s="1172"/>
      <c r="RDL41" s="1172"/>
      <c r="RDM41" s="1172"/>
      <c r="RDN41" s="1172"/>
      <c r="RDO41" s="1172"/>
      <c r="RDP41" s="1172"/>
      <c r="RDQ41" s="1172"/>
      <c r="RDR41" s="1172"/>
      <c r="RDS41" s="1172"/>
      <c r="RDT41" s="1172"/>
      <c r="RDU41" s="1172"/>
      <c r="RDV41" s="1172"/>
      <c r="RDW41" s="1172"/>
      <c r="RDX41" s="1172"/>
      <c r="RDY41" s="1172"/>
      <c r="RDZ41" s="1172"/>
      <c r="REA41" s="1172"/>
      <c r="REB41" s="1172"/>
      <c r="REC41" s="1172"/>
      <c r="RED41" s="1172"/>
      <c r="REE41" s="1172"/>
      <c r="REF41" s="1172"/>
      <c r="REG41" s="1172"/>
      <c r="REH41" s="1172"/>
      <c r="REI41" s="1172"/>
      <c r="REJ41" s="1172"/>
      <c r="REK41" s="1172"/>
      <c r="REL41" s="1172"/>
      <c r="REM41" s="1172"/>
      <c r="REN41" s="1172"/>
      <c r="REO41" s="1172"/>
      <c r="REP41" s="1172"/>
      <c r="REQ41" s="1172"/>
      <c r="RER41" s="1172"/>
      <c r="RES41" s="1172"/>
      <c r="RET41" s="1172"/>
      <c r="REU41" s="1172"/>
      <c r="REV41" s="1172"/>
      <c r="REW41" s="1172"/>
      <c r="REX41" s="1172"/>
      <c r="REY41" s="1172"/>
      <c r="REZ41" s="1172"/>
      <c r="RFA41" s="1172"/>
      <c r="RFB41" s="1172"/>
      <c r="RFC41" s="1172"/>
      <c r="RFD41" s="1172"/>
      <c r="RFE41" s="1172"/>
      <c r="RFF41" s="1172"/>
      <c r="RFG41" s="1172"/>
      <c r="RFH41" s="1172"/>
      <c r="RFI41" s="1172"/>
      <c r="RFJ41" s="1172"/>
      <c r="RFK41" s="1172"/>
      <c r="RFL41" s="1172"/>
      <c r="RFM41" s="1172"/>
      <c r="RFN41" s="1172"/>
      <c r="RFO41" s="1172"/>
      <c r="RFP41" s="1172"/>
      <c r="RFQ41" s="1172"/>
      <c r="RFR41" s="1172"/>
      <c r="RFS41" s="1172"/>
      <c r="RFT41" s="1172"/>
      <c r="RFU41" s="1172"/>
      <c r="RFV41" s="1172"/>
      <c r="RFW41" s="1172"/>
      <c r="RFX41" s="1172"/>
      <c r="RFY41" s="1172"/>
      <c r="RFZ41" s="1172"/>
      <c r="RGA41" s="1172"/>
      <c r="RGB41" s="1172"/>
      <c r="RGC41" s="1172"/>
      <c r="RGD41" s="1172"/>
      <c r="RGE41" s="1172"/>
      <c r="RGF41" s="1172"/>
      <c r="RGG41" s="1172"/>
      <c r="RGH41" s="1172"/>
      <c r="RGI41" s="1172"/>
      <c r="RGJ41" s="1172"/>
      <c r="RGK41" s="1172"/>
      <c r="RGL41" s="1172"/>
      <c r="RGM41" s="1172"/>
      <c r="RGN41" s="1172"/>
      <c r="RGO41" s="1172"/>
      <c r="RGP41" s="1172"/>
      <c r="RGQ41" s="1172"/>
      <c r="RGR41" s="1172"/>
      <c r="RGS41" s="1172"/>
      <c r="RGT41" s="1172"/>
      <c r="RGU41" s="1172"/>
      <c r="RGV41" s="1172"/>
      <c r="RGW41" s="1172"/>
      <c r="RGX41" s="1172"/>
      <c r="RGY41" s="1172"/>
      <c r="RGZ41" s="1172"/>
      <c r="RHA41" s="1172"/>
      <c r="RHB41" s="1172"/>
      <c r="RHC41" s="1172"/>
      <c r="RHD41" s="1172"/>
      <c r="RHE41" s="1172"/>
      <c r="RHF41" s="1172"/>
      <c r="RHG41" s="1172"/>
      <c r="RHH41" s="1172"/>
      <c r="RHI41" s="1172"/>
      <c r="RHJ41" s="1172"/>
      <c r="RHK41" s="1172"/>
      <c r="RHL41" s="1172"/>
      <c r="RHM41" s="1172"/>
      <c r="RHN41" s="1172"/>
      <c r="RHO41" s="1172"/>
      <c r="RHP41" s="1172"/>
      <c r="RHQ41" s="1172"/>
      <c r="RHR41" s="1172"/>
      <c r="RHS41" s="1172"/>
      <c r="RHT41" s="1172"/>
      <c r="RHU41" s="1172"/>
      <c r="RHV41" s="1172"/>
      <c r="RHW41" s="1172"/>
      <c r="RHX41" s="1172"/>
      <c r="RHY41" s="1172"/>
      <c r="RHZ41" s="1172"/>
      <c r="RIA41" s="1172"/>
      <c r="RIB41" s="1172"/>
      <c r="RIC41" s="1172"/>
      <c r="RID41" s="1172"/>
      <c r="RIE41" s="1172"/>
      <c r="RIF41" s="1172"/>
      <c r="RIG41" s="1172"/>
      <c r="RIH41" s="1172"/>
      <c r="RII41" s="1172"/>
      <c r="RIJ41" s="1172"/>
      <c r="RIK41" s="1172"/>
      <c r="RIL41" s="1172"/>
      <c r="RIM41" s="1172"/>
      <c r="RIN41" s="1172"/>
      <c r="RIO41" s="1172"/>
      <c r="RIP41" s="1172"/>
      <c r="RIQ41" s="1172"/>
      <c r="RIR41" s="1172"/>
      <c r="RIS41" s="1172"/>
      <c r="RIT41" s="1172"/>
      <c r="RIU41" s="1172"/>
      <c r="RIV41" s="1172"/>
      <c r="RIW41" s="1172"/>
      <c r="RIX41" s="1172"/>
      <c r="RIY41" s="1172"/>
      <c r="RIZ41" s="1172"/>
      <c r="RJA41" s="1172"/>
      <c r="RJB41" s="1172"/>
      <c r="RJC41" s="1172"/>
      <c r="RJD41" s="1172"/>
      <c r="RJE41" s="1172"/>
      <c r="RJF41" s="1172"/>
      <c r="RJG41" s="1172"/>
      <c r="RJH41" s="1172"/>
      <c r="RJI41" s="1172"/>
      <c r="RJJ41" s="1172"/>
      <c r="RJK41" s="1172"/>
      <c r="RJL41" s="1172"/>
      <c r="RJM41" s="1172"/>
      <c r="RJN41" s="1172"/>
      <c r="RJO41" s="1172"/>
      <c r="RJP41" s="1172"/>
      <c r="RJQ41" s="1172"/>
      <c r="RJR41" s="1172"/>
      <c r="RJS41" s="1172"/>
      <c r="RJT41" s="1172"/>
      <c r="RJU41" s="1172"/>
      <c r="RJV41" s="1172"/>
      <c r="RJW41" s="1172"/>
      <c r="RJX41" s="1172"/>
      <c r="RJY41" s="1172"/>
      <c r="RJZ41" s="1172"/>
      <c r="RKA41" s="1172"/>
      <c r="RKB41" s="1172"/>
      <c r="RKC41" s="1172"/>
      <c r="RKD41" s="1172"/>
      <c r="RKE41" s="1172"/>
      <c r="RKF41" s="1172"/>
      <c r="RKG41" s="1172"/>
      <c r="RKH41" s="1172"/>
      <c r="RKI41" s="1172"/>
      <c r="RKJ41" s="1172"/>
      <c r="RKK41" s="1172"/>
      <c r="RKL41" s="1172"/>
      <c r="RKM41" s="1172"/>
      <c r="RKN41" s="1172"/>
      <c r="RKO41" s="1172"/>
      <c r="RKP41" s="1172"/>
      <c r="RKQ41" s="1172"/>
      <c r="RKR41" s="1172"/>
      <c r="RKS41" s="1172"/>
      <c r="RKT41" s="1172"/>
      <c r="RKU41" s="1172"/>
      <c r="RKV41" s="1172"/>
      <c r="RKW41" s="1172"/>
      <c r="RKX41" s="1172"/>
      <c r="RKY41" s="1172"/>
      <c r="RKZ41" s="1172"/>
      <c r="RLA41" s="1172"/>
      <c r="RLB41" s="1172"/>
      <c r="RLC41" s="1172"/>
      <c r="RLD41" s="1172"/>
      <c r="RLE41" s="1172"/>
      <c r="RLF41" s="1172"/>
      <c r="RLG41" s="1172"/>
      <c r="RLH41" s="1172"/>
      <c r="RLI41" s="1172"/>
      <c r="RLJ41" s="1172"/>
      <c r="RLK41" s="1172"/>
      <c r="RLL41" s="1172"/>
      <c r="RLM41" s="1172"/>
      <c r="RLN41" s="1172"/>
      <c r="RLO41" s="1172"/>
      <c r="RLP41" s="1172"/>
      <c r="RLQ41" s="1172"/>
      <c r="RLR41" s="1172"/>
      <c r="RLS41" s="1172"/>
      <c r="RLT41" s="1172"/>
      <c r="RLU41" s="1172"/>
      <c r="RLV41" s="1172"/>
      <c r="RLW41" s="1172"/>
      <c r="RLX41" s="1172"/>
      <c r="RLY41" s="1172"/>
      <c r="RLZ41" s="1172"/>
      <c r="RMA41" s="1172"/>
      <c r="RMB41" s="1172"/>
      <c r="RMC41" s="1172"/>
      <c r="RMD41" s="1172"/>
      <c r="RME41" s="1172"/>
      <c r="RMF41" s="1172"/>
      <c r="RMG41" s="1172"/>
      <c r="RMH41" s="1172"/>
      <c r="RMI41" s="1172"/>
      <c r="RMJ41" s="1172"/>
      <c r="RMK41" s="1172"/>
      <c r="RML41" s="1172"/>
      <c r="RMM41" s="1172"/>
      <c r="RMN41" s="1172"/>
      <c r="RMO41" s="1172"/>
      <c r="RMP41" s="1172"/>
      <c r="RMQ41" s="1172"/>
      <c r="RMR41" s="1172"/>
      <c r="RMS41" s="1172"/>
      <c r="RMT41" s="1172"/>
      <c r="RMU41" s="1172"/>
      <c r="RMV41" s="1172"/>
      <c r="RMW41" s="1172"/>
      <c r="RMX41" s="1172"/>
      <c r="RMY41" s="1172"/>
      <c r="RMZ41" s="1172"/>
      <c r="RNA41" s="1172"/>
      <c r="RNB41" s="1172"/>
      <c r="RNC41" s="1172"/>
      <c r="RND41" s="1172"/>
      <c r="RNE41" s="1172"/>
      <c r="RNF41" s="1172"/>
      <c r="RNG41" s="1172"/>
      <c r="RNH41" s="1172"/>
      <c r="RNI41" s="1172"/>
      <c r="RNJ41" s="1172"/>
      <c r="RNK41" s="1172"/>
      <c r="RNL41" s="1172"/>
      <c r="RNM41" s="1172"/>
      <c r="RNN41" s="1172"/>
      <c r="RNO41" s="1172"/>
      <c r="RNP41" s="1172"/>
      <c r="RNQ41" s="1172"/>
      <c r="RNR41" s="1172"/>
      <c r="RNS41" s="1172"/>
      <c r="RNT41" s="1172"/>
      <c r="RNU41" s="1172"/>
      <c r="RNV41" s="1172"/>
      <c r="RNW41" s="1172"/>
      <c r="RNX41" s="1172"/>
      <c r="RNY41" s="1172"/>
      <c r="RNZ41" s="1172"/>
      <c r="ROA41" s="1172"/>
      <c r="ROB41" s="1172"/>
      <c r="ROC41" s="1172"/>
      <c r="ROD41" s="1172"/>
      <c r="ROE41" s="1172"/>
      <c r="ROF41" s="1172"/>
      <c r="ROG41" s="1172"/>
      <c r="ROH41" s="1172"/>
      <c r="ROI41" s="1172"/>
      <c r="ROJ41" s="1172"/>
      <c r="ROK41" s="1172"/>
      <c r="ROL41" s="1172"/>
      <c r="ROM41" s="1172"/>
      <c r="RON41" s="1172"/>
      <c r="ROO41" s="1172"/>
      <c r="ROP41" s="1172"/>
      <c r="ROQ41" s="1172"/>
      <c r="ROR41" s="1172"/>
      <c r="ROS41" s="1172"/>
      <c r="ROT41" s="1172"/>
      <c r="ROU41" s="1172"/>
      <c r="ROV41" s="1172"/>
      <c r="ROW41" s="1172"/>
      <c r="ROX41" s="1172"/>
      <c r="ROY41" s="1172"/>
      <c r="ROZ41" s="1172"/>
      <c r="RPA41" s="1172"/>
      <c r="RPB41" s="1172"/>
      <c r="RPC41" s="1172"/>
      <c r="RPD41" s="1172"/>
      <c r="RPE41" s="1172"/>
      <c r="RPF41" s="1172"/>
      <c r="RPG41" s="1172"/>
      <c r="RPH41" s="1172"/>
      <c r="RPI41" s="1172"/>
      <c r="RPJ41" s="1172"/>
      <c r="RPK41" s="1172"/>
      <c r="RPL41" s="1172"/>
      <c r="RPM41" s="1172"/>
      <c r="RPN41" s="1172"/>
      <c r="RPO41" s="1172"/>
      <c r="RPP41" s="1172"/>
      <c r="RPQ41" s="1172"/>
      <c r="RPR41" s="1172"/>
      <c r="RPS41" s="1172"/>
      <c r="RPT41" s="1172"/>
      <c r="RPU41" s="1172"/>
      <c r="RPV41" s="1172"/>
      <c r="RPW41" s="1172"/>
      <c r="RPX41" s="1172"/>
      <c r="RPY41" s="1172"/>
      <c r="RPZ41" s="1172"/>
      <c r="RQA41" s="1172"/>
      <c r="RQB41" s="1172"/>
      <c r="RQC41" s="1172"/>
      <c r="RQD41" s="1172"/>
      <c r="RQE41" s="1172"/>
      <c r="RQF41" s="1172"/>
      <c r="RQG41" s="1172"/>
      <c r="RQH41" s="1172"/>
      <c r="RQI41" s="1172"/>
      <c r="RQJ41" s="1172"/>
      <c r="RQK41" s="1172"/>
      <c r="RQL41" s="1172"/>
      <c r="RQM41" s="1172"/>
      <c r="RQN41" s="1172"/>
      <c r="RQO41" s="1172"/>
      <c r="RQP41" s="1172"/>
      <c r="RQQ41" s="1172"/>
      <c r="RQR41" s="1172"/>
      <c r="RQS41" s="1172"/>
      <c r="RQT41" s="1172"/>
      <c r="RQU41" s="1172"/>
      <c r="RQV41" s="1172"/>
      <c r="RQW41" s="1172"/>
      <c r="RQX41" s="1172"/>
      <c r="RQY41" s="1172"/>
      <c r="RQZ41" s="1172"/>
      <c r="RRA41" s="1172"/>
      <c r="RRB41" s="1172"/>
      <c r="RRC41" s="1172"/>
      <c r="RRD41" s="1172"/>
      <c r="RRE41" s="1172"/>
      <c r="RRF41" s="1172"/>
      <c r="RRG41" s="1172"/>
      <c r="RRH41" s="1172"/>
      <c r="RRI41" s="1172"/>
      <c r="RRJ41" s="1172"/>
      <c r="RRK41" s="1172"/>
      <c r="RRL41" s="1172"/>
      <c r="RRM41" s="1172"/>
      <c r="RRN41" s="1172"/>
      <c r="RRO41" s="1172"/>
      <c r="RRP41" s="1172"/>
      <c r="RRQ41" s="1172"/>
      <c r="RRR41" s="1172"/>
      <c r="RRS41" s="1172"/>
      <c r="RRT41" s="1172"/>
      <c r="RRU41" s="1172"/>
      <c r="RRV41" s="1172"/>
      <c r="RRW41" s="1172"/>
      <c r="RRX41" s="1172"/>
      <c r="RRY41" s="1172"/>
      <c r="RRZ41" s="1172"/>
      <c r="RSA41" s="1172"/>
      <c r="RSB41" s="1172"/>
      <c r="RSC41" s="1172"/>
      <c r="RSD41" s="1172"/>
      <c r="RSE41" s="1172"/>
      <c r="RSF41" s="1172"/>
      <c r="RSG41" s="1172"/>
      <c r="RSH41" s="1172"/>
      <c r="RSI41" s="1172"/>
      <c r="RSJ41" s="1172"/>
      <c r="RSK41" s="1172"/>
      <c r="RSL41" s="1172"/>
      <c r="RSM41" s="1172"/>
      <c r="RSN41" s="1172"/>
      <c r="RSO41" s="1172"/>
      <c r="RSP41" s="1172"/>
      <c r="RSQ41" s="1172"/>
      <c r="RSR41" s="1172"/>
      <c r="RSS41" s="1172"/>
      <c r="RST41" s="1172"/>
      <c r="RSU41" s="1172"/>
      <c r="RSV41" s="1172"/>
      <c r="RSW41" s="1172"/>
      <c r="RSX41" s="1172"/>
      <c r="RSY41" s="1172"/>
      <c r="RSZ41" s="1172"/>
      <c r="RTA41" s="1172"/>
      <c r="RTB41" s="1172"/>
      <c r="RTC41" s="1172"/>
      <c r="RTD41" s="1172"/>
      <c r="RTE41" s="1172"/>
      <c r="RTF41" s="1172"/>
      <c r="RTG41" s="1172"/>
      <c r="RTH41" s="1172"/>
      <c r="RTI41" s="1172"/>
      <c r="RTJ41" s="1172"/>
      <c r="RTK41" s="1172"/>
      <c r="RTL41" s="1172"/>
      <c r="RTM41" s="1172"/>
      <c r="RTN41" s="1172"/>
      <c r="RTO41" s="1172"/>
      <c r="RTP41" s="1172"/>
      <c r="RTQ41" s="1172"/>
      <c r="RTR41" s="1172"/>
      <c r="RTS41" s="1172"/>
      <c r="RTT41" s="1172"/>
      <c r="RTU41" s="1172"/>
      <c r="RTV41" s="1172"/>
      <c r="RTW41" s="1172"/>
      <c r="RTX41" s="1172"/>
      <c r="RTY41" s="1172"/>
      <c r="RTZ41" s="1172"/>
      <c r="RUA41" s="1172"/>
      <c r="RUB41" s="1172"/>
      <c r="RUC41" s="1172"/>
      <c r="RUD41" s="1172"/>
      <c r="RUE41" s="1172"/>
      <c r="RUF41" s="1172"/>
      <c r="RUG41" s="1172"/>
      <c r="RUH41" s="1172"/>
      <c r="RUI41" s="1172"/>
      <c r="RUJ41" s="1172"/>
      <c r="RUK41" s="1172"/>
      <c r="RUL41" s="1172"/>
      <c r="RUM41" s="1172"/>
      <c r="RUN41" s="1172"/>
      <c r="RUO41" s="1172"/>
      <c r="RUP41" s="1172"/>
      <c r="RUQ41" s="1172"/>
      <c r="RUR41" s="1172"/>
      <c r="RUS41" s="1172"/>
      <c r="RUT41" s="1172"/>
      <c r="RUU41" s="1172"/>
      <c r="RUV41" s="1172"/>
      <c r="RUW41" s="1172"/>
      <c r="RUX41" s="1172"/>
      <c r="RUY41" s="1172"/>
      <c r="RUZ41" s="1172"/>
      <c r="RVA41" s="1172"/>
      <c r="RVB41" s="1172"/>
      <c r="RVC41" s="1172"/>
      <c r="RVD41" s="1172"/>
      <c r="RVE41" s="1172"/>
      <c r="RVF41" s="1172"/>
      <c r="RVG41" s="1172"/>
      <c r="RVH41" s="1172"/>
      <c r="RVI41" s="1172"/>
      <c r="RVJ41" s="1172"/>
      <c r="RVK41" s="1172"/>
      <c r="RVL41" s="1172"/>
      <c r="RVM41" s="1172"/>
      <c r="RVN41" s="1172"/>
      <c r="RVO41" s="1172"/>
      <c r="RVP41" s="1172"/>
      <c r="RVQ41" s="1172"/>
      <c r="RVR41" s="1172"/>
      <c r="RVS41" s="1172"/>
      <c r="RVT41" s="1172"/>
      <c r="RVU41" s="1172"/>
      <c r="RVV41" s="1172"/>
      <c r="RVW41" s="1172"/>
      <c r="RVX41" s="1172"/>
      <c r="RVY41" s="1172"/>
      <c r="RVZ41" s="1172"/>
      <c r="RWA41" s="1172"/>
      <c r="RWB41" s="1172"/>
      <c r="RWC41" s="1172"/>
      <c r="RWD41" s="1172"/>
      <c r="RWE41" s="1172"/>
      <c r="RWF41" s="1172"/>
      <c r="RWG41" s="1172"/>
      <c r="RWH41" s="1172"/>
      <c r="RWI41" s="1172"/>
      <c r="RWJ41" s="1172"/>
      <c r="RWK41" s="1172"/>
      <c r="RWL41" s="1172"/>
      <c r="RWM41" s="1172"/>
      <c r="RWN41" s="1172"/>
      <c r="RWO41" s="1172"/>
      <c r="RWP41" s="1172"/>
      <c r="RWQ41" s="1172"/>
      <c r="RWR41" s="1172"/>
      <c r="RWS41" s="1172"/>
      <c r="RWT41" s="1172"/>
      <c r="RWU41" s="1172"/>
      <c r="RWV41" s="1172"/>
      <c r="RWW41" s="1172"/>
      <c r="RWX41" s="1172"/>
      <c r="RWY41" s="1172"/>
      <c r="RWZ41" s="1172"/>
      <c r="RXA41" s="1172"/>
      <c r="RXB41" s="1172"/>
      <c r="RXC41" s="1172"/>
      <c r="RXD41" s="1172"/>
      <c r="RXE41" s="1172"/>
      <c r="RXF41" s="1172"/>
      <c r="RXG41" s="1172"/>
      <c r="RXH41" s="1172"/>
      <c r="RXI41" s="1172"/>
      <c r="RXJ41" s="1172"/>
      <c r="RXK41" s="1172"/>
      <c r="RXL41" s="1172"/>
      <c r="RXM41" s="1172"/>
      <c r="RXN41" s="1172"/>
      <c r="RXO41" s="1172"/>
      <c r="RXP41" s="1172"/>
      <c r="RXQ41" s="1172"/>
      <c r="RXR41" s="1172"/>
      <c r="RXS41" s="1172"/>
      <c r="RXT41" s="1172"/>
      <c r="RXU41" s="1172"/>
      <c r="RXV41" s="1172"/>
      <c r="RXW41" s="1172"/>
      <c r="RXX41" s="1172"/>
      <c r="RXY41" s="1172"/>
      <c r="RXZ41" s="1172"/>
      <c r="RYA41" s="1172"/>
      <c r="RYB41" s="1172"/>
      <c r="RYC41" s="1172"/>
      <c r="RYD41" s="1172"/>
      <c r="RYE41" s="1172"/>
      <c r="RYF41" s="1172"/>
      <c r="RYG41" s="1172"/>
      <c r="RYH41" s="1172"/>
      <c r="RYI41" s="1172"/>
      <c r="RYJ41" s="1172"/>
      <c r="RYK41" s="1172"/>
      <c r="RYL41" s="1172"/>
      <c r="RYM41" s="1172"/>
      <c r="RYN41" s="1172"/>
      <c r="RYO41" s="1172"/>
      <c r="RYP41" s="1172"/>
      <c r="RYQ41" s="1172"/>
      <c r="RYR41" s="1172"/>
      <c r="RYS41" s="1172"/>
      <c r="RYT41" s="1172"/>
      <c r="RYU41" s="1172"/>
      <c r="RYV41" s="1172"/>
      <c r="RYW41" s="1172"/>
      <c r="RYX41" s="1172"/>
      <c r="RYY41" s="1172"/>
      <c r="RYZ41" s="1172"/>
      <c r="RZA41" s="1172"/>
      <c r="RZB41" s="1172"/>
      <c r="RZC41" s="1172"/>
      <c r="RZD41" s="1172"/>
      <c r="RZE41" s="1172"/>
      <c r="RZF41" s="1172"/>
      <c r="RZG41" s="1172"/>
      <c r="RZH41" s="1172"/>
      <c r="RZI41" s="1172"/>
      <c r="RZJ41" s="1172"/>
      <c r="RZK41" s="1172"/>
      <c r="RZL41" s="1172"/>
      <c r="RZM41" s="1172"/>
      <c r="RZN41" s="1172"/>
      <c r="RZO41" s="1172"/>
      <c r="RZP41" s="1172"/>
      <c r="RZQ41" s="1172"/>
      <c r="RZR41" s="1172"/>
      <c r="RZS41" s="1172"/>
      <c r="RZT41" s="1172"/>
      <c r="RZU41" s="1172"/>
      <c r="RZV41" s="1172"/>
      <c r="RZW41" s="1172"/>
      <c r="RZX41" s="1172"/>
      <c r="RZY41" s="1172"/>
      <c r="RZZ41" s="1172"/>
      <c r="SAA41" s="1172"/>
      <c r="SAB41" s="1172"/>
      <c r="SAC41" s="1172"/>
      <c r="SAD41" s="1172"/>
      <c r="SAE41" s="1172"/>
      <c r="SAF41" s="1172"/>
      <c r="SAG41" s="1172"/>
      <c r="SAH41" s="1172"/>
      <c r="SAI41" s="1172"/>
      <c r="SAJ41" s="1172"/>
      <c r="SAK41" s="1172"/>
      <c r="SAL41" s="1172"/>
      <c r="SAM41" s="1172"/>
      <c r="SAN41" s="1172"/>
      <c r="SAO41" s="1172"/>
      <c r="SAP41" s="1172"/>
      <c r="SAQ41" s="1172"/>
      <c r="SAR41" s="1172"/>
      <c r="SAS41" s="1172"/>
      <c r="SAT41" s="1172"/>
      <c r="SAU41" s="1172"/>
      <c r="SAV41" s="1172"/>
      <c r="SAW41" s="1172"/>
      <c r="SAX41" s="1172"/>
      <c r="SAY41" s="1172"/>
      <c r="SAZ41" s="1172"/>
      <c r="SBA41" s="1172"/>
      <c r="SBB41" s="1172"/>
      <c r="SBC41" s="1172"/>
      <c r="SBD41" s="1172"/>
      <c r="SBE41" s="1172"/>
      <c r="SBF41" s="1172"/>
      <c r="SBG41" s="1172"/>
      <c r="SBH41" s="1172"/>
      <c r="SBI41" s="1172"/>
      <c r="SBJ41" s="1172"/>
      <c r="SBK41" s="1172"/>
      <c r="SBL41" s="1172"/>
      <c r="SBM41" s="1172"/>
      <c r="SBN41" s="1172"/>
      <c r="SBO41" s="1172"/>
      <c r="SBP41" s="1172"/>
      <c r="SBQ41" s="1172"/>
      <c r="SBR41" s="1172"/>
      <c r="SBS41" s="1172"/>
      <c r="SBT41" s="1172"/>
      <c r="SBU41" s="1172"/>
      <c r="SBV41" s="1172"/>
      <c r="SBW41" s="1172"/>
      <c r="SBX41" s="1172"/>
      <c r="SBY41" s="1172"/>
      <c r="SBZ41" s="1172"/>
      <c r="SCA41" s="1172"/>
      <c r="SCB41" s="1172"/>
      <c r="SCC41" s="1172"/>
      <c r="SCD41" s="1172"/>
      <c r="SCE41" s="1172"/>
      <c r="SCF41" s="1172"/>
      <c r="SCG41" s="1172"/>
      <c r="SCH41" s="1172"/>
      <c r="SCI41" s="1172"/>
      <c r="SCJ41" s="1172"/>
      <c r="SCK41" s="1172"/>
      <c r="SCL41" s="1172"/>
      <c r="SCM41" s="1172"/>
      <c r="SCN41" s="1172"/>
      <c r="SCO41" s="1172"/>
      <c r="SCP41" s="1172"/>
      <c r="SCQ41" s="1172"/>
      <c r="SCR41" s="1172"/>
      <c r="SCS41" s="1172"/>
      <c r="SCT41" s="1172"/>
      <c r="SCU41" s="1172"/>
      <c r="SCV41" s="1172"/>
      <c r="SCW41" s="1172"/>
      <c r="SCX41" s="1172"/>
      <c r="SCY41" s="1172"/>
      <c r="SCZ41" s="1172"/>
      <c r="SDA41" s="1172"/>
      <c r="SDB41" s="1172"/>
      <c r="SDC41" s="1172"/>
      <c r="SDD41" s="1172"/>
      <c r="SDE41" s="1172"/>
      <c r="SDF41" s="1172"/>
      <c r="SDG41" s="1172"/>
      <c r="SDH41" s="1172"/>
      <c r="SDI41" s="1172"/>
      <c r="SDJ41" s="1172"/>
      <c r="SDK41" s="1172"/>
      <c r="SDL41" s="1172"/>
      <c r="SDM41" s="1172"/>
      <c r="SDN41" s="1172"/>
      <c r="SDO41" s="1172"/>
      <c r="SDP41" s="1172"/>
      <c r="SDQ41" s="1172"/>
      <c r="SDR41" s="1172"/>
      <c r="SDS41" s="1172"/>
      <c r="SDT41" s="1172"/>
      <c r="SDU41" s="1172"/>
      <c r="SDV41" s="1172"/>
      <c r="SDW41" s="1172"/>
      <c r="SDX41" s="1172"/>
      <c r="SDY41" s="1172"/>
      <c r="SDZ41" s="1172"/>
      <c r="SEA41" s="1172"/>
      <c r="SEB41" s="1172"/>
      <c r="SEC41" s="1172"/>
      <c r="SED41" s="1172"/>
      <c r="SEE41" s="1172"/>
      <c r="SEF41" s="1172"/>
      <c r="SEG41" s="1172"/>
      <c r="SEH41" s="1172"/>
      <c r="SEI41" s="1172"/>
      <c r="SEJ41" s="1172"/>
      <c r="SEK41" s="1172"/>
      <c r="SEL41" s="1172"/>
      <c r="SEM41" s="1172"/>
      <c r="SEN41" s="1172"/>
      <c r="SEO41" s="1172"/>
      <c r="SEP41" s="1172"/>
      <c r="SEQ41" s="1172"/>
      <c r="SER41" s="1172"/>
      <c r="SES41" s="1172"/>
      <c r="SET41" s="1172"/>
      <c r="SEU41" s="1172"/>
      <c r="SEV41" s="1172"/>
      <c r="SEW41" s="1172"/>
      <c r="SEX41" s="1172"/>
      <c r="SEY41" s="1172"/>
      <c r="SEZ41" s="1172"/>
      <c r="SFA41" s="1172"/>
      <c r="SFB41" s="1172"/>
      <c r="SFC41" s="1172"/>
      <c r="SFD41" s="1172"/>
      <c r="SFE41" s="1172"/>
      <c r="SFF41" s="1172"/>
      <c r="SFG41" s="1172"/>
      <c r="SFH41" s="1172"/>
      <c r="SFI41" s="1172"/>
      <c r="SFJ41" s="1172"/>
      <c r="SFK41" s="1172"/>
      <c r="SFL41" s="1172"/>
      <c r="SFM41" s="1172"/>
      <c r="SFN41" s="1172"/>
      <c r="SFO41" s="1172"/>
      <c r="SFP41" s="1172"/>
      <c r="SFQ41" s="1172"/>
      <c r="SFR41" s="1172"/>
      <c r="SFS41" s="1172"/>
      <c r="SFT41" s="1172"/>
      <c r="SFU41" s="1172"/>
      <c r="SFV41" s="1172"/>
      <c r="SFW41" s="1172"/>
      <c r="SFX41" s="1172"/>
      <c r="SFY41" s="1172"/>
      <c r="SFZ41" s="1172"/>
      <c r="SGA41" s="1172"/>
      <c r="SGB41" s="1172"/>
      <c r="SGC41" s="1172"/>
      <c r="SGD41" s="1172"/>
      <c r="SGE41" s="1172"/>
      <c r="SGF41" s="1172"/>
      <c r="SGG41" s="1172"/>
      <c r="SGH41" s="1172"/>
      <c r="SGI41" s="1172"/>
      <c r="SGJ41" s="1172"/>
      <c r="SGK41" s="1172"/>
      <c r="SGL41" s="1172"/>
      <c r="SGM41" s="1172"/>
      <c r="SGN41" s="1172"/>
      <c r="SGO41" s="1172"/>
      <c r="SGP41" s="1172"/>
      <c r="SGQ41" s="1172"/>
      <c r="SGR41" s="1172"/>
      <c r="SGS41" s="1172"/>
      <c r="SGT41" s="1172"/>
      <c r="SGU41" s="1172"/>
      <c r="SGV41" s="1172"/>
      <c r="SGW41" s="1172"/>
      <c r="SGX41" s="1172"/>
      <c r="SGY41" s="1172"/>
      <c r="SGZ41" s="1172"/>
      <c r="SHA41" s="1172"/>
      <c r="SHB41" s="1172"/>
      <c r="SHC41" s="1172"/>
      <c r="SHD41" s="1172"/>
      <c r="SHE41" s="1172"/>
      <c r="SHF41" s="1172"/>
      <c r="SHG41" s="1172"/>
      <c r="SHH41" s="1172"/>
      <c r="SHI41" s="1172"/>
      <c r="SHJ41" s="1172"/>
      <c r="SHK41" s="1172"/>
      <c r="SHL41" s="1172"/>
      <c r="SHM41" s="1172"/>
      <c r="SHN41" s="1172"/>
      <c r="SHO41" s="1172"/>
      <c r="SHP41" s="1172"/>
      <c r="SHQ41" s="1172"/>
      <c r="SHR41" s="1172"/>
      <c r="SHS41" s="1172"/>
      <c r="SHT41" s="1172"/>
      <c r="SHU41" s="1172"/>
      <c r="SHV41" s="1172"/>
      <c r="SHW41" s="1172"/>
      <c r="SHX41" s="1172"/>
      <c r="SHY41" s="1172"/>
      <c r="SHZ41" s="1172"/>
      <c r="SIA41" s="1172"/>
      <c r="SIB41" s="1172"/>
      <c r="SIC41" s="1172"/>
      <c r="SID41" s="1172"/>
      <c r="SIE41" s="1172"/>
      <c r="SIF41" s="1172"/>
      <c r="SIG41" s="1172"/>
      <c r="SIH41" s="1172"/>
      <c r="SII41" s="1172"/>
      <c r="SIJ41" s="1172"/>
      <c r="SIK41" s="1172"/>
      <c r="SIL41" s="1172"/>
      <c r="SIM41" s="1172"/>
      <c r="SIN41" s="1172"/>
      <c r="SIO41" s="1172"/>
      <c r="SIP41" s="1172"/>
      <c r="SIQ41" s="1172"/>
      <c r="SIR41" s="1172"/>
      <c r="SIS41" s="1172"/>
      <c r="SIT41" s="1172"/>
      <c r="SIU41" s="1172"/>
      <c r="SIV41" s="1172"/>
      <c r="SIW41" s="1172"/>
      <c r="SIX41" s="1172"/>
      <c r="SIY41" s="1172"/>
      <c r="SIZ41" s="1172"/>
      <c r="SJA41" s="1172"/>
      <c r="SJB41" s="1172"/>
      <c r="SJC41" s="1172"/>
      <c r="SJD41" s="1172"/>
      <c r="SJE41" s="1172"/>
      <c r="SJF41" s="1172"/>
      <c r="SJG41" s="1172"/>
      <c r="SJH41" s="1172"/>
      <c r="SJI41" s="1172"/>
      <c r="SJJ41" s="1172"/>
      <c r="SJK41" s="1172"/>
      <c r="SJL41" s="1172"/>
      <c r="SJM41" s="1172"/>
      <c r="SJN41" s="1172"/>
      <c r="SJO41" s="1172"/>
      <c r="SJP41" s="1172"/>
      <c r="SJQ41" s="1172"/>
      <c r="SJR41" s="1172"/>
      <c r="SJS41" s="1172"/>
      <c r="SJT41" s="1172"/>
      <c r="SJU41" s="1172"/>
      <c r="SJV41" s="1172"/>
      <c r="SJW41" s="1172"/>
      <c r="SJX41" s="1172"/>
      <c r="SJY41" s="1172"/>
      <c r="SJZ41" s="1172"/>
      <c r="SKA41" s="1172"/>
      <c r="SKB41" s="1172"/>
      <c r="SKC41" s="1172"/>
      <c r="SKD41" s="1172"/>
      <c r="SKE41" s="1172"/>
      <c r="SKF41" s="1172"/>
      <c r="SKG41" s="1172"/>
      <c r="SKH41" s="1172"/>
      <c r="SKI41" s="1172"/>
      <c r="SKJ41" s="1172"/>
      <c r="SKK41" s="1172"/>
      <c r="SKL41" s="1172"/>
      <c r="SKM41" s="1172"/>
      <c r="SKN41" s="1172"/>
      <c r="SKO41" s="1172"/>
      <c r="SKP41" s="1172"/>
      <c r="SKQ41" s="1172"/>
      <c r="SKR41" s="1172"/>
      <c r="SKS41" s="1172"/>
      <c r="SKT41" s="1172"/>
      <c r="SKU41" s="1172"/>
      <c r="SKV41" s="1172"/>
      <c r="SKW41" s="1172"/>
      <c r="SKX41" s="1172"/>
      <c r="SKY41" s="1172"/>
      <c r="SKZ41" s="1172"/>
      <c r="SLA41" s="1172"/>
      <c r="SLB41" s="1172"/>
      <c r="SLC41" s="1172"/>
      <c r="SLD41" s="1172"/>
      <c r="SLE41" s="1172"/>
      <c r="SLF41" s="1172"/>
      <c r="SLG41" s="1172"/>
      <c r="SLH41" s="1172"/>
      <c r="SLI41" s="1172"/>
      <c r="SLJ41" s="1172"/>
      <c r="SLK41" s="1172"/>
      <c r="SLL41" s="1172"/>
      <c r="SLM41" s="1172"/>
      <c r="SLN41" s="1172"/>
      <c r="SLO41" s="1172"/>
      <c r="SLP41" s="1172"/>
      <c r="SLQ41" s="1172"/>
      <c r="SLR41" s="1172"/>
      <c r="SLS41" s="1172"/>
      <c r="SLT41" s="1172"/>
      <c r="SLU41" s="1172"/>
      <c r="SLV41" s="1172"/>
      <c r="SLW41" s="1172"/>
      <c r="SLX41" s="1172"/>
      <c r="SLY41" s="1172"/>
      <c r="SLZ41" s="1172"/>
      <c r="SMA41" s="1172"/>
      <c r="SMB41" s="1172"/>
      <c r="SMC41" s="1172"/>
      <c r="SMD41" s="1172"/>
      <c r="SME41" s="1172"/>
      <c r="SMF41" s="1172"/>
      <c r="SMG41" s="1172"/>
      <c r="SMH41" s="1172"/>
      <c r="SMI41" s="1172"/>
      <c r="SMJ41" s="1172"/>
      <c r="SMK41" s="1172"/>
      <c r="SML41" s="1172"/>
      <c r="SMM41" s="1172"/>
      <c r="SMN41" s="1172"/>
      <c r="SMO41" s="1172"/>
      <c r="SMP41" s="1172"/>
      <c r="SMQ41" s="1172"/>
      <c r="SMR41" s="1172"/>
      <c r="SMS41" s="1172"/>
      <c r="SMT41" s="1172"/>
      <c r="SMU41" s="1172"/>
      <c r="SMV41" s="1172"/>
      <c r="SMW41" s="1172"/>
      <c r="SMX41" s="1172"/>
      <c r="SMY41" s="1172"/>
      <c r="SMZ41" s="1172"/>
      <c r="SNA41" s="1172"/>
      <c r="SNB41" s="1172"/>
      <c r="SNC41" s="1172"/>
      <c r="SND41" s="1172"/>
      <c r="SNE41" s="1172"/>
      <c r="SNF41" s="1172"/>
      <c r="SNG41" s="1172"/>
      <c r="SNH41" s="1172"/>
      <c r="SNI41" s="1172"/>
      <c r="SNJ41" s="1172"/>
      <c r="SNK41" s="1172"/>
      <c r="SNL41" s="1172"/>
      <c r="SNM41" s="1172"/>
      <c r="SNN41" s="1172"/>
      <c r="SNO41" s="1172"/>
      <c r="SNP41" s="1172"/>
      <c r="SNQ41" s="1172"/>
      <c r="SNR41" s="1172"/>
      <c r="SNS41" s="1172"/>
      <c r="SNT41" s="1172"/>
      <c r="SNU41" s="1172"/>
      <c r="SNV41" s="1172"/>
      <c r="SNW41" s="1172"/>
      <c r="SNX41" s="1172"/>
      <c r="SNY41" s="1172"/>
      <c r="SNZ41" s="1172"/>
      <c r="SOA41" s="1172"/>
      <c r="SOB41" s="1172"/>
      <c r="SOC41" s="1172"/>
      <c r="SOD41" s="1172"/>
      <c r="SOE41" s="1172"/>
      <c r="SOF41" s="1172"/>
      <c r="SOG41" s="1172"/>
      <c r="SOH41" s="1172"/>
      <c r="SOI41" s="1172"/>
      <c r="SOJ41" s="1172"/>
      <c r="SOK41" s="1172"/>
      <c r="SOL41" s="1172"/>
      <c r="SOM41" s="1172"/>
      <c r="SON41" s="1172"/>
      <c r="SOO41" s="1172"/>
      <c r="SOP41" s="1172"/>
      <c r="SOQ41" s="1172"/>
      <c r="SOR41" s="1172"/>
      <c r="SOS41" s="1172"/>
      <c r="SOT41" s="1172"/>
      <c r="SOU41" s="1172"/>
      <c r="SOV41" s="1172"/>
      <c r="SOW41" s="1172"/>
      <c r="SOX41" s="1172"/>
      <c r="SOY41" s="1172"/>
      <c r="SOZ41" s="1172"/>
      <c r="SPA41" s="1172"/>
      <c r="SPB41" s="1172"/>
      <c r="SPC41" s="1172"/>
      <c r="SPD41" s="1172"/>
      <c r="SPE41" s="1172"/>
      <c r="SPF41" s="1172"/>
      <c r="SPG41" s="1172"/>
      <c r="SPH41" s="1172"/>
      <c r="SPI41" s="1172"/>
      <c r="SPJ41" s="1172"/>
      <c r="SPK41" s="1172"/>
      <c r="SPL41" s="1172"/>
      <c r="SPM41" s="1172"/>
      <c r="SPN41" s="1172"/>
      <c r="SPO41" s="1172"/>
      <c r="SPP41" s="1172"/>
      <c r="SPQ41" s="1172"/>
      <c r="SPR41" s="1172"/>
      <c r="SPS41" s="1172"/>
      <c r="SPT41" s="1172"/>
      <c r="SPU41" s="1172"/>
      <c r="SPV41" s="1172"/>
      <c r="SPW41" s="1172"/>
      <c r="SPX41" s="1172"/>
      <c r="SPY41" s="1172"/>
      <c r="SPZ41" s="1172"/>
      <c r="SQA41" s="1172"/>
      <c r="SQB41" s="1172"/>
      <c r="SQC41" s="1172"/>
      <c r="SQD41" s="1172"/>
      <c r="SQE41" s="1172"/>
      <c r="SQF41" s="1172"/>
      <c r="SQG41" s="1172"/>
      <c r="SQH41" s="1172"/>
      <c r="SQI41" s="1172"/>
      <c r="SQJ41" s="1172"/>
      <c r="SQK41" s="1172"/>
      <c r="SQL41" s="1172"/>
      <c r="SQM41" s="1172"/>
      <c r="SQN41" s="1172"/>
      <c r="SQO41" s="1172"/>
      <c r="SQP41" s="1172"/>
      <c r="SQQ41" s="1172"/>
      <c r="SQR41" s="1172"/>
      <c r="SQS41" s="1172"/>
      <c r="SQT41" s="1172"/>
      <c r="SQU41" s="1172"/>
      <c r="SQV41" s="1172"/>
      <c r="SQW41" s="1172"/>
      <c r="SQX41" s="1172"/>
      <c r="SQY41" s="1172"/>
      <c r="SQZ41" s="1172"/>
      <c r="SRA41" s="1172"/>
      <c r="SRB41" s="1172"/>
      <c r="SRC41" s="1172"/>
      <c r="SRD41" s="1172"/>
      <c r="SRE41" s="1172"/>
      <c r="SRF41" s="1172"/>
      <c r="SRG41" s="1172"/>
      <c r="SRH41" s="1172"/>
      <c r="SRI41" s="1172"/>
      <c r="SRJ41" s="1172"/>
      <c r="SRK41" s="1172"/>
      <c r="SRL41" s="1172"/>
      <c r="SRM41" s="1172"/>
      <c r="SRN41" s="1172"/>
      <c r="SRO41" s="1172"/>
      <c r="SRP41" s="1172"/>
      <c r="SRQ41" s="1172"/>
      <c r="SRR41" s="1172"/>
      <c r="SRS41" s="1172"/>
      <c r="SRT41" s="1172"/>
      <c r="SRU41" s="1172"/>
      <c r="SRV41" s="1172"/>
      <c r="SRW41" s="1172"/>
      <c r="SRX41" s="1172"/>
      <c r="SRY41" s="1172"/>
      <c r="SRZ41" s="1172"/>
      <c r="SSA41" s="1172"/>
      <c r="SSB41" s="1172"/>
      <c r="SSC41" s="1172"/>
      <c r="SSD41" s="1172"/>
      <c r="SSE41" s="1172"/>
      <c r="SSF41" s="1172"/>
      <c r="SSG41" s="1172"/>
      <c r="SSH41" s="1172"/>
      <c r="SSI41" s="1172"/>
      <c r="SSJ41" s="1172"/>
      <c r="SSK41" s="1172"/>
      <c r="SSL41" s="1172"/>
      <c r="SSM41" s="1172"/>
      <c r="SSN41" s="1172"/>
      <c r="SSO41" s="1172"/>
      <c r="SSP41" s="1172"/>
      <c r="SSQ41" s="1172"/>
      <c r="SSR41" s="1172"/>
      <c r="SSS41" s="1172"/>
      <c r="SST41" s="1172"/>
      <c r="SSU41" s="1172"/>
      <c r="SSV41" s="1172"/>
      <c r="SSW41" s="1172"/>
      <c r="SSX41" s="1172"/>
      <c r="SSY41" s="1172"/>
      <c r="SSZ41" s="1172"/>
      <c r="STA41" s="1172"/>
      <c r="STB41" s="1172"/>
      <c r="STC41" s="1172"/>
      <c r="STD41" s="1172"/>
      <c r="STE41" s="1172"/>
      <c r="STF41" s="1172"/>
      <c r="STG41" s="1172"/>
      <c r="STH41" s="1172"/>
      <c r="STI41" s="1172"/>
      <c r="STJ41" s="1172"/>
      <c r="STK41" s="1172"/>
      <c r="STL41" s="1172"/>
      <c r="STM41" s="1172"/>
      <c r="STN41" s="1172"/>
      <c r="STO41" s="1172"/>
      <c r="STP41" s="1172"/>
      <c r="STQ41" s="1172"/>
      <c r="STR41" s="1172"/>
      <c r="STS41" s="1172"/>
      <c r="STT41" s="1172"/>
      <c r="STU41" s="1172"/>
      <c r="STV41" s="1172"/>
      <c r="STW41" s="1172"/>
      <c r="STX41" s="1172"/>
      <c r="STY41" s="1172"/>
      <c r="STZ41" s="1172"/>
      <c r="SUA41" s="1172"/>
      <c r="SUB41" s="1172"/>
      <c r="SUC41" s="1172"/>
      <c r="SUD41" s="1172"/>
      <c r="SUE41" s="1172"/>
      <c r="SUF41" s="1172"/>
      <c r="SUG41" s="1172"/>
      <c r="SUH41" s="1172"/>
      <c r="SUI41" s="1172"/>
      <c r="SUJ41" s="1172"/>
      <c r="SUK41" s="1172"/>
      <c r="SUL41" s="1172"/>
      <c r="SUM41" s="1172"/>
      <c r="SUN41" s="1172"/>
      <c r="SUO41" s="1172"/>
      <c r="SUP41" s="1172"/>
      <c r="SUQ41" s="1172"/>
      <c r="SUR41" s="1172"/>
      <c r="SUS41" s="1172"/>
      <c r="SUT41" s="1172"/>
      <c r="SUU41" s="1172"/>
      <c r="SUV41" s="1172"/>
      <c r="SUW41" s="1172"/>
      <c r="SUX41" s="1172"/>
      <c r="SUY41" s="1172"/>
      <c r="SUZ41" s="1172"/>
      <c r="SVA41" s="1172"/>
      <c r="SVB41" s="1172"/>
      <c r="SVC41" s="1172"/>
      <c r="SVD41" s="1172"/>
      <c r="SVE41" s="1172"/>
      <c r="SVF41" s="1172"/>
      <c r="SVG41" s="1172"/>
      <c r="SVH41" s="1172"/>
      <c r="SVI41" s="1172"/>
      <c r="SVJ41" s="1172"/>
      <c r="SVK41" s="1172"/>
      <c r="SVL41" s="1172"/>
      <c r="SVM41" s="1172"/>
      <c r="SVN41" s="1172"/>
      <c r="SVO41" s="1172"/>
      <c r="SVP41" s="1172"/>
      <c r="SVQ41" s="1172"/>
      <c r="SVR41" s="1172"/>
      <c r="SVS41" s="1172"/>
      <c r="SVT41" s="1172"/>
      <c r="SVU41" s="1172"/>
      <c r="SVV41" s="1172"/>
      <c r="SVW41" s="1172"/>
      <c r="SVX41" s="1172"/>
      <c r="SVY41" s="1172"/>
      <c r="SVZ41" s="1172"/>
      <c r="SWA41" s="1172"/>
      <c r="SWB41" s="1172"/>
      <c r="SWC41" s="1172"/>
      <c r="SWD41" s="1172"/>
      <c r="SWE41" s="1172"/>
      <c r="SWF41" s="1172"/>
      <c r="SWG41" s="1172"/>
      <c r="SWH41" s="1172"/>
      <c r="SWI41" s="1172"/>
      <c r="SWJ41" s="1172"/>
      <c r="SWK41" s="1172"/>
      <c r="SWL41" s="1172"/>
      <c r="SWM41" s="1172"/>
      <c r="SWN41" s="1172"/>
      <c r="SWO41" s="1172"/>
      <c r="SWP41" s="1172"/>
      <c r="SWQ41" s="1172"/>
      <c r="SWR41" s="1172"/>
      <c r="SWS41" s="1172"/>
      <c r="SWT41" s="1172"/>
      <c r="SWU41" s="1172"/>
      <c r="SWV41" s="1172"/>
      <c r="SWW41" s="1172"/>
      <c r="SWX41" s="1172"/>
      <c r="SWY41" s="1172"/>
      <c r="SWZ41" s="1172"/>
      <c r="SXA41" s="1172"/>
      <c r="SXB41" s="1172"/>
      <c r="SXC41" s="1172"/>
      <c r="SXD41" s="1172"/>
      <c r="SXE41" s="1172"/>
      <c r="SXF41" s="1172"/>
      <c r="SXG41" s="1172"/>
      <c r="SXH41" s="1172"/>
      <c r="SXI41" s="1172"/>
      <c r="SXJ41" s="1172"/>
      <c r="SXK41" s="1172"/>
      <c r="SXL41" s="1172"/>
      <c r="SXM41" s="1172"/>
      <c r="SXN41" s="1172"/>
      <c r="SXO41" s="1172"/>
      <c r="SXP41" s="1172"/>
      <c r="SXQ41" s="1172"/>
      <c r="SXR41" s="1172"/>
      <c r="SXS41" s="1172"/>
      <c r="SXT41" s="1172"/>
      <c r="SXU41" s="1172"/>
      <c r="SXV41" s="1172"/>
      <c r="SXW41" s="1172"/>
      <c r="SXX41" s="1172"/>
      <c r="SXY41" s="1172"/>
      <c r="SXZ41" s="1172"/>
      <c r="SYA41" s="1172"/>
      <c r="SYB41" s="1172"/>
      <c r="SYC41" s="1172"/>
      <c r="SYD41" s="1172"/>
      <c r="SYE41" s="1172"/>
      <c r="SYF41" s="1172"/>
      <c r="SYG41" s="1172"/>
      <c r="SYH41" s="1172"/>
      <c r="SYI41" s="1172"/>
      <c r="SYJ41" s="1172"/>
      <c r="SYK41" s="1172"/>
      <c r="SYL41" s="1172"/>
      <c r="SYM41" s="1172"/>
      <c r="SYN41" s="1172"/>
      <c r="SYO41" s="1172"/>
      <c r="SYP41" s="1172"/>
      <c r="SYQ41" s="1172"/>
      <c r="SYR41" s="1172"/>
      <c r="SYS41" s="1172"/>
      <c r="SYT41" s="1172"/>
      <c r="SYU41" s="1172"/>
      <c r="SYV41" s="1172"/>
      <c r="SYW41" s="1172"/>
      <c r="SYX41" s="1172"/>
      <c r="SYY41" s="1172"/>
      <c r="SYZ41" s="1172"/>
      <c r="SZA41" s="1172"/>
      <c r="SZB41" s="1172"/>
      <c r="SZC41" s="1172"/>
      <c r="SZD41" s="1172"/>
      <c r="SZE41" s="1172"/>
      <c r="SZF41" s="1172"/>
      <c r="SZG41" s="1172"/>
      <c r="SZH41" s="1172"/>
      <c r="SZI41" s="1172"/>
      <c r="SZJ41" s="1172"/>
      <c r="SZK41" s="1172"/>
      <c r="SZL41" s="1172"/>
      <c r="SZM41" s="1172"/>
      <c r="SZN41" s="1172"/>
      <c r="SZO41" s="1172"/>
      <c r="SZP41" s="1172"/>
      <c r="SZQ41" s="1172"/>
      <c r="SZR41" s="1172"/>
      <c r="SZS41" s="1172"/>
      <c r="SZT41" s="1172"/>
      <c r="SZU41" s="1172"/>
      <c r="SZV41" s="1172"/>
      <c r="SZW41" s="1172"/>
      <c r="SZX41" s="1172"/>
      <c r="SZY41" s="1172"/>
      <c r="SZZ41" s="1172"/>
      <c r="TAA41" s="1172"/>
      <c r="TAB41" s="1172"/>
      <c r="TAC41" s="1172"/>
      <c r="TAD41" s="1172"/>
      <c r="TAE41" s="1172"/>
      <c r="TAF41" s="1172"/>
      <c r="TAG41" s="1172"/>
      <c r="TAH41" s="1172"/>
      <c r="TAI41" s="1172"/>
      <c r="TAJ41" s="1172"/>
      <c r="TAK41" s="1172"/>
      <c r="TAL41" s="1172"/>
      <c r="TAM41" s="1172"/>
      <c r="TAN41" s="1172"/>
      <c r="TAO41" s="1172"/>
      <c r="TAP41" s="1172"/>
      <c r="TAQ41" s="1172"/>
      <c r="TAR41" s="1172"/>
      <c r="TAS41" s="1172"/>
      <c r="TAT41" s="1172"/>
      <c r="TAU41" s="1172"/>
      <c r="TAV41" s="1172"/>
      <c r="TAW41" s="1172"/>
      <c r="TAX41" s="1172"/>
      <c r="TAY41" s="1172"/>
      <c r="TAZ41" s="1172"/>
      <c r="TBA41" s="1172"/>
      <c r="TBB41" s="1172"/>
      <c r="TBC41" s="1172"/>
      <c r="TBD41" s="1172"/>
      <c r="TBE41" s="1172"/>
      <c r="TBF41" s="1172"/>
      <c r="TBG41" s="1172"/>
      <c r="TBH41" s="1172"/>
      <c r="TBI41" s="1172"/>
      <c r="TBJ41" s="1172"/>
      <c r="TBK41" s="1172"/>
      <c r="TBL41" s="1172"/>
      <c r="TBM41" s="1172"/>
      <c r="TBN41" s="1172"/>
      <c r="TBO41" s="1172"/>
      <c r="TBP41" s="1172"/>
      <c r="TBQ41" s="1172"/>
      <c r="TBR41" s="1172"/>
      <c r="TBS41" s="1172"/>
      <c r="TBT41" s="1172"/>
      <c r="TBU41" s="1172"/>
      <c r="TBV41" s="1172"/>
      <c r="TBW41" s="1172"/>
      <c r="TBX41" s="1172"/>
      <c r="TBY41" s="1172"/>
      <c r="TBZ41" s="1172"/>
      <c r="TCA41" s="1172"/>
      <c r="TCB41" s="1172"/>
      <c r="TCC41" s="1172"/>
      <c r="TCD41" s="1172"/>
      <c r="TCE41" s="1172"/>
      <c r="TCF41" s="1172"/>
      <c r="TCG41" s="1172"/>
      <c r="TCH41" s="1172"/>
      <c r="TCI41" s="1172"/>
      <c r="TCJ41" s="1172"/>
      <c r="TCK41" s="1172"/>
      <c r="TCL41" s="1172"/>
      <c r="TCM41" s="1172"/>
      <c r="TCN41" s="1172"/>
      <c r="TCO41" s="1172"/>
      <c r="TCP41" s="1172"/>
      <c r="TCQ41" s="1172"/>
      <c r="TCR41" s="1172"/>
      <c r="TCS41" s="1172"/>
      <c r="TCT41" s="1172"/>
      <c r="TCU41" s="1172"/>
      <c r="TCV41" s="1172"/>
      <c r="TCW41" s="1172"/>
      <c r="TCX41" s="1172"/>
      <c r="TCY41" s="1172"/>
      <c r="TCZ41" s="1172"/>
      <c r="TDA41" s="1172"/>
      <c r="TDB41" s="1172"/>
      <c r="TDC41" s="1172"/>
      <c r="TDD41" s="1172"/>
      <c r="TDE41" s="1172"/>
      <c r="TDF41" s="1172"/>
      <c r="TDG41" s="1172"/>
      <c r="TDH41" s="1172"/>
      <c r="TDI41" s="1172"/>
      <c r="TDJ41" s="1172"/>
      <c r="TDK41" s="1172"/>
      <c r="TDL41" s="1172"/>
      <c r="TDM41" s="1172"/>
      <c r="TDN41" s="1172"/>
      <c r="TDO41" s="1172"/>
      <c r="TDP41" s="1172"/>
      <c r="TDQ41" s="1172"/>
      <c r="TDR41" s="1172"/>
      <c r="TDS41" s="1172"/>
      <c r="TDT41" s="1172"/>
      <c r="TDU41" s="1172"/>
      <c r="TDV41" s="1172"/>
      <c r="TDW41" s="1172"/>
      <c r="TDX41" s="1172"/>
      <c r="TDY41" s="1172"/>
      <c r="TDZ41" s="1172"/>
      <c r="TEA41" s="1172"/>
      <c r="TEB41" s="1172"/>
      <c r="TEC41" s="1172"/>
      <c r="TED41" s="1172"/>
      <c r="TEE41" s="1172"/>
      <c r="TEF41" s="1172"/>
      <c r="TEG41" s="1172"/>
      <c r="TEH41" s="1172"/>
      <c r="TEI41" s="1172"/>
      <c r="TEJ41" s="1172"/>
      <c r="TEK41" s="1172"/>
      <c r="TEL41" s="1172"/>
      <c r="TEM41" s="1172"/>
      <c r="TEN41" s="1172"/>
      <c r="TEO41" s="1172"/>
      <c r="TEP41" s="1172"/>
      <c r="TEQ41" s="1172"/>
      <c r="TER41" s="1172"/>
      <c r="TES41" s="1172"/>
      <c r="TET41" s="1172"/>
      <c r="TEU41" s="1172"/>
      <c r="TEV41" s="1172"/>
      <c r="TEW41" s="1172"/>
      <c r="TEX41" s="1172"/>
      <c r="TEY41" s="1172"/>
      <c r="TEZ41" s="1172"/>
      <c r="TFA41" s="1172"/>
      <c r="TFB41" s="1172"/>
      <c r="TFC41" s="1172"/>
      <c r="TFD41" s="1172"/>
      <c r="TFE41" s="1172"/>
      <c r="TFF41" s="1172"/>
      <c r="TFG41" s="1172"/>
      <c r="TFH41" s="1172"/>
      <c r="TFI41" s="1172"/>
      <c r="TFJ41" s="1172"/>
      <c r="TFK41" s="1172"/>
      <c r="TFL41" s="1172"/>
      <c r="TFM41" s="1172"/>
      <c r="TFN41" s="1172"/>
      <c r="TFO41" s="1172"/>
      <c r="TFP41" s="1172"/>
      <c r="TFQ41" s="1172"/>
      <c r="TFR41" s="1172"/>
      <c r="TFS41" s="1172"/>
      <c r="TFT41" s="1172"/>
      <c r="TFU41" s="1172"/>
      <c r="TFV41" s="1172"/>
      <c r="TFW41" s="1172"/>
      <c r="TFX41" s="1172"/>
      <c r="TFY41" s="1172"/>
      <c r="TFZ41" s="1172"/>
      <c r="TGA41" s="1172"/>
      <c r="TGB41" s="1172"/>
      <c r="TGC41" s="1172"/>
      <c r="TGD41" s="1172"/>
      <c r="TGE41" s="1172"/>
      <c r="TGF41" s="1172"/>
      <c r="TGG41" s="1172"/>
      <c r="TGH41" s="1172"/>
      <c r="TGI41" s="1172"/>
      <c r="TGJ41" s="1172"/>
      <c r="TGK41" s="1172"/>
      <c r="TGL41" s="1172"/>
      <c r="TGM41" s="1172"/>
      <c r="TGN41" s="1172"/>
      <c r="TGO41" s="1172"/>
      <c r="TGP41" s="1172"/>
      <c r="TGQ41" s="1172"/>
      <c r="TGR41" s="1172"/>
      <c r="TGS41" s="1172"/>
      <c r="TGT41" s="1172"/>
      <c r="TGU41" s="1172"/>
      <c r="TGV41" s="1172"/>
      <c r="TGW41" s="1172"/>
      <c r="TGX41" s="1172"/>
      <c r="TGY41" s="1172"/>
      <c r="TGZ41" s="1172"/>
      <c r="THA41" s="1172"/>
      <c r="THB41" s="1172"/>
      <c r="THC41" s="1172"/>
      <c r="THD41" s="1172"/>
      <c r="THE41" s="1172"/>
      <c r="THF41" s="1172"/>
      <c r="THG41" s="1172"/>
      <c r="THH41" s="1172"/>
      <c r="THI41" s="1172"/>
      <c r="THJ41" s="1172"/>
      <c r="THK41" s="1172"/>
      <c r="THL41" s="1172"/>
      <c r="THM41" s="1172"/>
      <c r="THN41" s="1172"/>
      <c r="THO41" s="1172"/>
      <c r="THP41" s="1172"/>
      <c r="THQ41" s="1172"/>
      <c r="THR41" s="1172"/>
      <c r="THS41" s="1172"/>
      <c r="THT41" s="1172"/>
      <c r="THU41" s="1172"/>
      <c r="THV41" s="1172"/>
      <c r="THW41" s="1172"/>
      <c r="THX41" s="1172"/>
      <c r="THY41" s="1172"/>
      <c r="THZ41" s="1172"/>
      <c r="TIA41" s="1172"/>
      <c r="TIB41" s="1172"/>
      <c r="TIC41" s="1172"/>
      <c r="TID41" s="1172"/>
      <c r="TIE41" s="1172"/>
      <c r="TIF41" s="1172"/>
      <c r="TIG41" s="1172"/>
      <c r="TIH41" s="1172"/>
      <c r="TII41" s="1172"/>
      <c r="TIJ41" s="1172"/>
      <c r="TIK41" s="1172"/>
      <c r="TIL41" s="1172"/>
      <c r="TIM41" s="1172"/>
      <c r="TIN41" s="1172"/>
      <c r="TIO41" s="1172"/>
      <c r="TIP41" s="1172"/>
      <c r="TIQ41" s="1172"/>
      <c r="TIR41" s="1172"/>
      <c r="TIS41" s="1172"/>
      <c r="TIT41" s="1172"/>
      <c r="TIU41" s="1172"/>
      <c r="TIV41" s="1172"/>
      <c r="TIW41" s="1172"/>
      <c r="TIX41" s="1172"/>
      <c r="TIY41" s="1172"/>
      <c r="TIZ41" s="1172"/>
      <c r="TJA41" s="1172"/>
      <c r="TJB41" s="1172"/>
      <c r="TJC41" s="1172"/>
      <c r="TJD41" s="1172"/>
      <c r="TJE41" s="1172"/>
      <c r="TJF41" s="1172"/>
      <c r="TJG41" s="1172"/>
      <c r="TJH41" s="1172"/>
      <c r="TJI41" s="1172"/>
      <c r="TJJ41" s="1172"/>
      <c r="TJK41" s="1172"/>
      <c r="TJL41" s="1172"/>
      <c r="TJM41" s="1172"/>
      <c r="TJN41" s="1172"/>
      <c r="TJO41" s="1172"/>
      <c r="TJP41" s="1172"/>
      <c r="TJQ41" s="1172"/>
      <c r="TJR41" s="1172"/>
      <c r="TJS41" s="1172"/>
      <c r="TJT41" s="1172"/>
      <c r="TJU41" s="1172"/>
      <c r="TJV41" s="1172"/>
      <c r="TJW41" s="1172"/>
      <c r="TJX41" s="1172"/>
      <c r="TJY41" s="1172"/>
      <c r="TJZ41" s="1172"/>
      <c r="TKA41" s="1172"/>
      <c r="TKB41" s="1172"/>
      <c r="TKC41" s="1172"/>
      <c r="TKD41" s="1172"/>
      <c r="TKE41" s="1172"/>
      <c r="TKF41" s="1172"/>
      <c r="TKG41" s="1172"/>
      <c r="TKH41" s="1172"/>
      <c r="TKI41" s="1172"/>
      <c r="TKJ41" s="1172"/>
      <c r="TKK41" s="1172"/>
      <c r="TKL41" s="1172"/>
      <c r="TKM41" s="1172"/>
      <c r="TKN41" s="1172"/>
      <c r="TKO41" s="1172"/>
      <c r="TKP41" s="1172"/>
      <c r="TKQ41" s="1172"/>
      <c r="TKR41" s="1172"/>
      <c r="TKS41" s="1172"/>
      <c r="TKT41" s="1172"/>
      <c r="TKU41" s="1172"/>
      <c r="TKV41" s="1172"/>
      <c r="TKW41" s="1172"/>
      <c r="TKX41" s="1172"/>
      <c r="TKY41" s="1172"/>
      <c r="TKZ41" s="1172"/>
      <c r="TLA41" s="1172"/>
      <c r="TLB41" s="1172"/>
      <c r="TLC41" s="1172"/>
      <c r="TLD41" s="1172"/>
      <c r="TLE41" s="1172"/>
      <c r="TLF41" s="1172"/>
      <c r="TLG41" s="1172"/>
      <c r="TLH41" s="1172"/>
      <c r="TLI41" s="1172"/>
      <c r="TLJ41" s="1172"/>
      <c r="TLK41" s="1172"/>
      <c r="TLL41" s="1172"/>
      <c r="TLM41" s="1172"/>
      <c r="TLN41" s="1172"/>
      <c r="TLO41" s="1172"/>
      <c r="TLP41" s="1172"/>
      <c r="TLQ41" s="1172"/>
      <c r="TLR41" s="1172"/>
      <c r="TLS41" s="1172"/>
      <c r="TLT41" s="1172"/>
      <c r="TLU41" s="1172"/>
      <c r="TLV41" s="1172"/>
      <c r="TLW41" s="1172"/>
      <c r="TLX41" s="1172"/>
      <c r="TLY41" s="1172"/>
      <c r="TLZ41" s="1172"/>
      <c r="TMA41" s="1172"/>
      <c r="TMB41" s="1172"/>
      <c r="TMC41" s="1172"/>
      <c r="TMD41" s="1172"/>
      <c r="TME41" s="1172"/>
      <c r="TMF41" s="1172"/>
      <c r="TMG41" s="1172"/>
      <c r="TMH41" s="1172"/>
      <c r="TMI41" s="1172"/>
      <c r="TMJ41" s="1172"/>
      <c r="TMK41" s="1172"/>
      <c r="TML41" s="1172"/>
      <c r="TMM41" s="1172"/>
      <c r="TMN41" s="1172"/>
      <c r="TMO41" s="1172"/>
      <c r="TMP41" s="1172"/>
      <c r="TMQ41" s="1172"/>
      <c r="TMR41" s="1172"/>
      <c r="TMS41" s="1172"/>
      <c r="TMT41" s="1172"/>
      <c r="TMU41" s="1172"/>
      <c r="TMV41" s="1172"/>
      <c r="TMW41" s="1172"/>
      <c r="TMX41" s="1172"/>
      <c r="TMY41" s="1172"/>
      <c r="TMZ41" s="1172"/>
      <c r="TNA41" s="1172"/>
      <c r="TNB41" s="1172"/>
      <c r="TNC41" s="1172"/>
      <c r="TND41" s="1172"/>
      <c r="TNE41" s="1172"/>
      <c r="TNF41" s="1172"/>
      <c r="TNG41" s="1172"/>
      <c r="TNH41" s="1172"/>
      <c r="TNI41" s="1172"/>
      <c r="TNJ41" s="1172"/>
      <c r="TNK41" s="1172"/>
      <c r="TNL41" s="1172"/>
      <c r="TNM41" s="1172"/>
      <c r="TNN41" s="1172"/>
      <c r="TNO41" s="1172"/>
      <c r="TNP41" s="1172"/>
      <c r="TNQ41" s="1172"/>
      <c r="TNR41" s="1172"/>
      <c r="TNS41" s="1172"/>
      <c r="TNT41" s="1172"/>
      <c r="TNU41" s="1172"/>
      <c r="TNV41" s="1172"/>
      <c r="TNW41" s="1172"/>
      <c r="TNX41" s="1172"/>
      <c r="TNY41" s="1172"/>
      <c r="TNZ41" s="1172"/>
      <c r="TOA41" s="1172"/>
      <c r="TOB41" s="1172"/>
      <c r="TOC41" s="1172"/>
      <c r="TOD41" s="1172"/>
      <c r="TOE41" s="1172"/>
      <c r="TOF41" s="1172"/>
      <c r="TOG41" s="1172"/>
      <c r="TOH41" s="1172"/>
      <c r="TOI41" s="1172"/>
      <c r="TOJ41" s="1172"/>
      <c r="TOK41" s="1172"/>
      <c r="TOL41" s="1172"/>
      <c r="TOM41" s="1172"/>
      <c r="TON41" s="1172"/>
      <c r="TOO41" s="1172"/>
      <c r="TOP41" s="1172"/>
      <c r="TOQ41" s="1172"/>
      <c r="TOR41" s="1172"/>
      <c r="TOS41" s="1172"/>
      <c r="TOT41" s="1172"/>
      <c r="TOU41" s="1172"/>
      <c r="TOV41" s="1172"/>
      <c r="TOW41" s="1172"/>
      <c r="TOX41" s="1172"/>
      <c r="TOY41" s="1172"/>
      <c r="TOZ41" s="1172"/>
      <c r="TPA41" s="1172"/>
      <c r="TPB41" s="1172"/>
      <c r="TPC41" s="1172"/>
      <c r="TPD41" s="1172"/>
      <c r="TPE41" s="1172"/>
      <c r="TPF41" s="1172"/>
      <c r="TPG41" s="1172"/>
      <c r="TPH41" s="1172"/>
      <c r="TPI41" s="1172"/>
      <c r="TPJ41" s="1172"/>
      <c r="TPK41" s="1172"/>
      <c r="TPL41" s="1172"/>
      <c r="TPM41" s="1172"/>
      <c r="TPN41" s="1172"/>
      <c r="TPO41" s="1172"/>
      <c r="TPP41" s="1172"/>
      <c r="TPQ41" s="1172"/>
      <c r="TPR41" s="1172"/>
      <c r="TPS41" s="1172"/>
      <c r="TPT41" s="1172"/>
      <c r="TPU41" s="1172"/>
      <c r="TPV41" s="1172"/>
      <c r="TPW41" s="1172"/>
      <c r="TPX41" s="1172"/>
      <c r="TPY41" s="1172"/>
      <c r="TPZ41" s="1172"/>
      <c r="TQA41" s="1172"/>
      <c r="TQB41" s="1172"/>
      <c r="TQC41" s="1172"/>
      <c r="TQD41" s="1172"/>
      <c r="TQE41" s="1172"/>
      <c r="TQF41" s="1172"/>
      <c r="TQG41" s="1172"/>
      <c r="TQH41" s="1172"/>
      <c r="TQI41" s="1172"/>
      <c r="TQJ41" s="1172"/>
      <c r="TQK41" s="1172"/>
      <c r="TQL41" s="1172"/>
      <c r="TQM41" s="1172"/>
      <c r="TQN41" s="1172"/>
      <c r="TQO41" s="1172"/>
      <c r="TQP41" s="1172"/>
      <c r="TQQ41" s="1172"/>
      <c r="TQR41" s="1172"/>
      <c r="TQS41" s="1172"/>
      <c r="TQT41" s="1172"/>
      <c r="TQU41" s="1172"/>
      <c r="TQV41" s="1172"/>
      <c r="TQW41" s="1172"/>
      <c r="TQX41" s="1172"/>
      <c r="TQY41" s="1172"/>
      <c r="TQZ41" s="1172"/>
      <c r="TRA41" s="1172"/>
      <c r="TRB41" s="1172"/>
      <c r="TRC41" s="1172"/>
      <c r="TRD41" s="1172"/>
      <c r="TRE41" s="1172"/>
      <c r="TRF41" s="1172"/>
      <c r="TRG41" s="1172"/>
      <c r="TRH41" s="1172"/>
      <c r="TRI41" s="1172"/>
      <c r="TRJ41" s="1172"/>
      <c r="TRK41" s="1172"/>
      <c r="TRL41" s="1172"/>
      <c r="TRM41" s="1172"/>
      <c r="TRN41" s="1172"/>
      <c r="TRO41" s="1172"/>
      <c r="TRP41" s="1172"/>
      <c r="TRQ41" s="1172"/>
      <c r="TRR41" s="1172"/>
      <c r="TRS41" s="1172"/>
      <c r="TRT41" s="1172"/>
      <c r="TRU41" s="1172"/>
      <c r="TRV41" s="1172"/>
      <c r="TRW41" s="1172"/>
      <c r="TRX41" s="1172"/>
      <c r="TRY41" s="1172"/>
      <c r="TRZ41" s="1172"/>
      <c r="TSA41" s="1172"/>
      <c r="TSB41" s="1172"/>
      <c r="TSC41" s="1172"/>
      <c r="TSD41" s="1172"/>
      <c r="TSE41" s="1172"/>
      <c r="TSF41" s="1172"/>
      <c r="TSG41" s="1172"/>
      <c r="TSH41" s="1172"/>
      <c r="TSI41" s="1172"/>
      <c r="TSJ41" s="1172"/>
      <c r="TSK41" s="1172"/>
      <c r="TSL41" s="1172"/>
      <c r="TSM41" s="1172"/>
      <c r="TSN41" s="1172"/>
      <c r="TSO41" s="1172"/>
      <c r="TSP41" s="1172"/>
      <c r="TSQ41" s="1172"/>
      <c r="TSR41" s="1172"/>
      <c r="TSS41" s="1172"/>
      <c r="TST41" s="1172"/>
      <c r="TSU41" s="1172"/>
      <c r="TSV41" s="1172"/>
      <c r="TSW41" s="1172"/>
      <c r="TSX41" s="1172"/>
      <c r="TSY41" s="1172"/>
      <c r="TSZ41" s="1172"/>
      <c r="TTA41" s="1172"/>
      <c r="TTB41" s="1172"/>
      <c r="TTC41" s="1172"/>
      <c r="TTD41" s="1172"/>
      <c r="TTE41" s="1172"/>
      <c r="TTF41" s="1172"/>
      <c r="TTG41" s="1172"/>
      <c r="TTH41" s="1172"/>
      <c r="TTI41" s="1172"/>
      <c r="TTJ41" s="1172"/>
      <c r="TTK41" s="1172"/>
      <c r="TTL41" s="1172"/>
      <c r="TTM41" s="1172"/>
      <c r="TTN41" s="1172"/>
      <c r="TTO41" s="1172"/>
      <c r="TTP41" s="1172"/>
      <c r="TTQ41" s="1172"/>
      <c r="TTR41" s="1172"/>
      <c r="TTS41" s="1172"/>
      <c r="TTT41" s="1172"/>
      <c r="TTU41" s="1172"/>
      <c r="TTV41" s="1172"/>
      <c r="TTW41" s="1172"/>
      <c r="TTX41" s="1172"/>
      <c r="TTY41" s="1172"/>
      <c r="TTZ41" s="1172"/>
      <c r="TUA41" s="1172"/>
      <c r="TUB41" s="1172"/>
      <c r="TUC41" s="1172"/>
      <c r="TUD41" s="1172"/>
      <c r="TUE41" s="1172"/>
      <c r="TUF41" s="1172"/>
      <c r="TUG41" s="1172"/>
      <c r="TUH41" s="1172"/>
      <c r="TUI41" s="1172"/>
      <c r="TUJ41" s="1172"/>
      <c r="TUK41" s="1172"/>
      <c r="TUL41" s="1172"/>
      <c r="TUM41" s="1172"/>
      <c r="TUN41" s="1172"/>
      <c r="TUO41" s="1172"/>
      <c r="TUP41" s="1172"/>
      <c r="TUQ41" s="1172"/>
      <c r="TUR41" s="1172"/>
      <c r="TUS41" s="1172"/>
      <c r="TUT41" s="1172"/>
      <c r="TUU41" s="1172"/>
      <c r="TUV41" s="1172"/>
      <c r="TUW41" s="1172"/>
      <c r="TUX41" s="1172"/>
      <c r="TUY41" s="1172"/>
      <c r="TUZ41" s="1172"/>
      <c r="TVA41" s="1172"/>
      <c r="TVB41" s="1172"/>
      <c r="TVC41" s="1172"/>
      <c r="TVD41" s="1172"/>
      <c r="TVE41" s="1172"/>
      <c r="TVF41" s="1172"/>
      <c r="TVG41" s="1172"/>
      <c r="TVH41" s="1172"/>
      <c r="TVI41" s="1172"/>
      <c r="TVJ41" s="1172"/>
      <c r="TVK41" s="1172"/>
      <c r="TVL41" s="1172"/>
      <c r="TVM41" s="1172"/>
      <c r="TVN41" s="1172"/>
      <c r="TVO41" s="1172"/>
      <c r="TVP41" s="1172"/>
      <c r="TVQ41" s="1172"/>
      <c r="TVR41" s="1172"/>
      <c r="TVS41" s="1172"/>
      <c r="TVT41" s="1172"/>
      <c r="TVU41" s="1172"/>
      <c r="TVV41" s="1172"/>
      <c r="TVW41" s="1172"/>
      <c r="TVX41" s="1172"/>
      <c r="TVY41" s="1172"/>
      <c r="TVZ41" s="1172"/>
      <c r="TWA41" s="1172"/>
      <c r="TWB41" s="1172"/>
      <c r="TWC41" s="1172"/>
      <c r="TWD41" s="1172"/>
      <c r="TWE41" s="1172"/>
      <c r="TWF41" s="1172"/>
      <c r="TWG41" s="1172"/>
      <c r="TWH41" s="1172"/>
      <c r="TWI41" s="1172"/>
      <c r="TWJ41" s="1172"/>
      <c r="TWK41" s="1172"/>
      <c r="TWL41" s="1172"/>
      <c r="TWM41" s="1172"/>
      <c r="TWN41" s="1172"/>
      <c r="TWO41" s="1172"/>
      <c r="TWP41" s="1172"/>
      <c r="TWQ41" s="1172"/>
      <c r="TWR41" s="1172"/>
      <c r="TWS41" s="1172"/>
      <c r="TWT41" s="1172"/>
      <c r="TWU41" s="1172"/>
      <c r="TWV41" s="1172"/>
      <c r="TWW41" s="1172"/>
      <c r="TWX41" s="1172"/>
      <c r="TWY41" s="1172"/>
      <c r="TWZ41" s="1172"/>
      <c r="TXA41" s="1172"/>
      <c r="TXB41" s="1172"/>
      <c r="TXC41" s="1172"/>
      <c r="TXD41" s="1172"/>
      <c r="TXE41" s="1172"/>
      <c r="TXF41" s="1172"/>
      <c r="TXG41" s="1172"/>
      <c r="TXH41" s="1172"/>
      <c r="TXI41" s="1172"/>
      <c r="TXJ41" s="1172"/>
      <c r="TXK41" s="1172"/>
      <c r="TXL41" s="1172"/>
      <c r="TXM41" s="1172"/>
      <c r="TXN41" s="1172"/>
      <c r="TXO41" s="1172"/>
      <c r="TXP41" s="1172"/>
      <c r="TXQ41" s="1172"/>
      <c r="TXR41" s="1172"/>
      <c r="TXS41" s="1172"/>
      <c r="TXT41" s="1172"/>
      <c r="TXU41" s="1172"/>
      <c r="TXV41" s="1172"/>
      <c r="TXW41" s="1172"/>
      <c r="TXX41" s="1172"/>
      <c r="TXY41" s="1172"/>
      <c r="TXZ41" s="1172"/>
      <c r="TYA41" s="1172"/>
      <c r="TYB41" s="1172"/>
      <c r="TYC41" s="1172"/>
      <c r="TYD41" s="1172"/>
      <c r="TYE41" s="1172"/>
      <c r="TYF41" s="1172"/>
      <c r="TYG41" s="1172"/>
      <c r="TYH41" s="1172"/>
      <c r="TYI41" s="1172"/>
      <c r="TYJ41" s="1172"/>
      <c r="TYK41" s="1172"/>
      <c r="TYL41" s="1172"/>
      <c r="TYM41" s="1172"/>
      <c r="TYN41" s="1172"/>
      <c r="TYO41" s="1172"/>
      <c r="TYP41" s="1172"/>
      <c r="TYQ41" s="1172"/>
      <c r="TYR41" s="1172"/>
      <c r="TYS41" s="1172"/>
      <c r="TYT41" s="1172"/>
      <c r="TYU41" s="1172"/>
      <c r="TYV41" s="1172"/>
      <c r="TYW41" s="1172"/>
      <c r="TYX41" s="1172"/>
      <c r="TYY41" s="1172"/>
      <c r="TYZ41" s="1172"/>
      <c r="TZA41" s="1172"/>
      <c r="TZB41" s="1172"/>
      <c r="TZC41" s="1172"/>
      <c r="TZD41" s="1172"/>
      <c r="TZE41" s="1172"/>
      <c r="TZF41" s="1172"/>
      <c r="TZG41" s="1172"/>
      <c r="TZH41" s="1172"/>
      <c r="TZI41" s="1172"/>
      <c r="TZJ41" s="1172"/>
      <c r="TZK41" s="1172"/>
      <c r="TZL41" s="1172"/>
      <c r="TZM41" s="1172"/>
      <c r="TZN41" s="1172"/>
      <c r="TZO41" s="1172"/>
      <c r="TZP41" s="1172"/>
      <c r="TZQ41" s="1172"/>
      <c r="TZR41" s="1172"/>
      <c r="TZS41" s="1172"/>
      <c r="TZT41" s="1172"/>
      <c r="TZU41" s="1172"/>
      <c r="TZV41" s="1172"/>
      <c r="TZW41" s="1172"/>
      <c r="TZX41" s="1172"/>
      <c r="TZY41" s="1172"/>
      <c r="TZZ41" s="1172"/>
      <c r="UAA41" s="1172"/>
      <c r="UAB41" s="1172"/>
      <c r="UAC41" s="1172"/>
      <c r="UAD41" s="1172"/>
      <c r="UAE41" s="1172"/>
      <c r="UAF41" s="1172"/>
      <c r="UAG41" s="1172"/>
      <c r="UAH41" s="1172"/>
      <c r="UAI41" s="1172"/>
      <c r="UAJ41" s="1172"/>
      <c r="UAK41" s="1172"/>
      <c r="UAL41" s="1172"/>
      <c r="UAM41" s="1172"/>
      <c r="UAN41" s="1172"/>
      <c r="UAO41" s="1172"/>
      <c r="UAP41" s="1172"/>
      <c r="UAQ41" s="1172"/>
      <c r="UAR41" s="1172"/>
      <c r="UAS41" s="1172"/>
      <c r="UAT41" s="1172"/>
      <c r="UAU41" s="1172"/>
      <c r="UAV41" s="1172"/>
      <c r="UAW41" s="1172"/>
      <c r="UAX41" s="1172"/>
      <c r="UAY41" s="1172"/>
      <c r="UAZ41" s="1172"/>
      <c r="UBA41" s="1172"/>
      <c r="UBB41" s="1172"/>
      <c r="UBC41" s="1172"/>
      <c r="UBD41" s="1172"/>
      <c r="UBE41" s="1172"/>
      <c r="UBF41" s="1172"/>
      <c r="UBG41" s="1172"/>
      <c r="UBH41" s="1172"/>
      <c r="UBI41" s="1172"/>
      <c r="UBJ41" s="1172"/>
      <c r="UBK41" s="1172"/>
      <c r="UBL41" s="1172"/>
      <c r="UBM41" s="1172"/>
      <c r="UBN41" s="1172"/>
      <c r="UBO41" s="1172"/>
      <c r="UBP41" s="1172"/>
      <c r="UBQ41" s="1172"/>
      <c r="UBR41" s="1172"/>
      <c r="UBS41" s="1172"/>
      <c r="UBT41" s="1172"/>
      <c r="UBU41" s="1172"/>
      <c r="UBV41" s="1172"/>
      <c r="UBW41" s="1172"/>
      <c r="UBX41" s="1172"/>
      <c r="UBY41" s="1172"/>
      <c r="UBZ41" s="1172"/>
      <c r="UCA41" s="1172"/>
      <c r="UCB41" s="1172"/>
      <c r="UCC41" s="1172"/>
      <c r="UCD41" s="1172"/>
      <c r="UCE41" s="1172"/>
      <c r="UCF41" s="1172"/>
      <c r="UCG41" s="1172"/>
      <c r="UCH41" s="1172"/>
      <c r="UCI41" s="1172"/>
      <c r="UCJ41" s="1172"/>
      <c r="UCK41" s="1172"/>
      <c r="UCL41" s="1172"/>
      <c r="UCM41" s="1172"/>
      <c r="UCN41" s="1172"/>
      <c r="UCO41" s="1172"/>
      <c r="UCP41" s="1172"/>
      <c r="UCQ41" s="1172"/>
      <c r="UCR41" s="1172"/>
      <c r="UCS41" s="1172"/>
      <c r="UCT41" s="1172"/>
      <c r="UCU41" s="1172"/>
      <c r="UCV41" s="1172"/>
      <c r="UCW41" s="1172"/>
      <c r="UCX41" s="1172"/>
      <c r="UCY41" s="1172"/>
      <c r="UCZ41" s="1172"/>
      <c r="UDA41" s="1172"/>
      <c r="UDB41" s="1172"/>
      <c r="UDC41" s="1172"/>
      <c r="UDD41" s="1172"/>
      <c r="UDE41" s="1172"/>
      <c r="UDF41" s="1172"/>
      <c r="UDG41" s="1172"/>
      <c r="UDH41" s="1172"/>
      <c r="UDI41" s="1172"/>
      <c r="UDJ41" s="1172"/>
      <c r="UDK41" s="1172"/>
      <c r="UDL41" s="1172"/>
      <c r="UDM41" s="1172"/>
      <c r="UDN41" s="1172"/>
      <c r="UDO41" s="1172"/>
      <c r="UDP41" s="1172"/>
      <c r="UDQ41" s="1172"/>
      <c r="UDR41" s="1172"/>
      <c r="UDS41" s="1172"/>
      <c r="UDT41" s="1172"/>
      <c r="UDU41" s="1172"/>
      <c r="UDV41" s="1172"/>
      <c r="UDW41" s="1172"/>
      <c r="UDX41" s="1172"/>
      <c r="UDY41" s="1172"/>
      <c r="UDZ41" s="1172"/>
      <c r="UEA41" s="1172"/>
      <c r="UEB41" s="1172"/>
      <c r="UEC41" s="1172"/>
      <c r="UED41" s="1172"/>
      <c r="UEE41" s="1172"/>
      <c r="UEF41" s="1172"/>
      <c r="UEG41" s="1172"/>
      <c r="UEH41" s="1172"/>
      <c r="UEI41" s="1172"/>
      <c r="UEJ41" s="1172"/>
      <c r="UEK41" s="1172"/>
      <c r="UEL41" s="1172"/>
      <c r="UEM41" s="1172"/>
      <c r="UEN41" s="1172"/>
      <c r="UEO41" s="1172"/>
      <c r="UEP41" s="1172"/>
      <c r="UEQ41" s="1172"/>
      <c r="UER41" s="1172"/>
      <c r="UES41" s="1172"/>
      <c r="UET41" s="1172"/>
      <c r="UEU41" s="1172"/>
      <c r="UEV41" s="1172"/>
      <c r="UEW41" s="1172"/>
      <c r="UEX41" s="1172"/>
      <c r="UEY41" s="1172"/>
      <c r="UEZ41" s="1172"/>
      <c r="UFA41" s="1172"/>
      <c r="UFB41" s="1172"/>
      <c r="UFC41" s="1172"/>
      <c r="UFD41" s="1172"/>
      <c r="UFE41" s="1172"/>
      <c r="UFF41" s="1172"/>
      <c r="UFG41" s="1172"/>
      <c r="UFH41" s="1172"/>
      <c r="UFI41" s="1172"/>
      <c r="UFJ41" s="1172"/>
      <c r="UFK41" s="1172"/>
      <c r="UFL41" s="1172"/>
      <c r="UFM41" s="1172"/>
      <c r="UFN41" s="1172"/>
      <c r="UFO41" s="1172"/>
      <c r="UFP41" s="1172"/>
      <c r="UFQ41" s="1172"/>
      <c r="UFR41" s="1172"/>
      <c r="UFS41" s="1172"/>
      <c r="UFT41" s="1172"/>
      <c r="UFU41" s="1172"/>
      <c r="UFV41" s="1172"/>
      <c r="UFW41" s="1172"/>
      <c r="UFX41" s="1172"/>
      <c r="UFY41" s="1172"/>
      <c r="UFZ41" s="1172"/>
      <c r="UGA41" s="1172"/>
      <c r="UGB41" s="1172"/>
      <c r="UGC41" s="1172"/>
      <c r="UGD41" s="1172"/>
      <c r="UGE41" s="1172"/>
      <c r="UGF41" s="1172"/>
      <c r="UGG41" s="1172"/>
      <c r="UGH41" s="1172"/>
      <c r="UGI41" s="1172"/>
      <c r="UGJ41" s="1172"/>
      <c r="UGK41" s="1172"/>
      <c r="UGL41" s="1172"/>
      <c r="UGM41" s="1172"/>
      <c r="UGN41" s="1172"/>
      <c r="UGO41" s="1172"/>
      <c r="UGP41" s="1172"/>
      <c r="UGQ41" s="1172"/>
      <c r="UGR41" s="1172"/>
      <c r="UGS41" s="1172"/>
      <c r="UGT41" s="1172"/>
      <c r="UGU41" s="1172"/>
      <c r="UGV41" s="1172"/>
      <c r="UGW41" s="1172"/>
      <c r="UGX41" s="1172"/>
      <c r="UGY41" s="1172"/>
      <c r="UGZ41" s="1172"/>
      <c r="UHA41" s="1172"/>
      <c r="UHB41" s="1172"/>
      <c r="UHC41" s="1172"/>
      <c r="UHD41" s="1172"/>
      <c r="UHE41" s="1172"/>
      <c r="UHF41" s="1172"/>
      <c r="UHG41" s="1172"/>
      <c r="UHH41" s="1172"/>
      <c r="UHI41" s="1172"/>
      <c r="UHJ41" s="1172"/>
      <c r="UHK41" s="1172"/>
      <c r="UHL41" s="1172"/>
      <c r="UHM41" s="1172"/>
      <c r="UHN41" s="1172"/>
      <c r="UHO41" s="1172"/>
      <c r="UHP41" s="1172"/>
      <c r="UHQ41" s="1172"/>
      <c r="UHR41" s="1172"/>
      <c r="UHS41" s="1172"/>
      <c r="UHT41" s="1172"/>
      <c r="UHU41" s="1172"/>
      <c r="UHV41" s="1172"/>
      <c r="UHW41" s="1172"/>
      <c r="UHX41" s="1172"/>
      <c r="UHY41" s="1172"/>
      <c r="UHZ41" s="1172"/>
      <c r="UIA41" s="1172"/>
      <c r="UIB41" s="1172"/>
      <c r="UIC41" s="1172"/>
      <c r="UID41" s="1172"/>
      <c r="UIE41" s="1172"/>
      <c r="UIF41" s="1172"/>
      <c r="UIG41" s="1172"/>
      <c r="UIH41" s="1172"/>
      <c r="UII41" s="1172"/>
      <c r="UIJ41" s="1172"/>
      <c r="UIK41" s="1172"/>
      <c r="UIL41" s="1172"/>
      <c r="UIM41" s="1172"/>
      <c r="UIN41" s="1172"/>
      <c r="UIO41" s="1172"/>
      <c r="UIP41" s="1172"/>
      <c r="UIQ41" s="1172"/>
      <c r="UIR41" s="1172"/>
      <c r="UIS41" s="1172"/>
      <c r="UIT41" s="1172"/>
      <c r="UIU41" s="1172"/>
      <c r="UIV41" s="1172"/>
      <c r="UIW41" s="1172"/>
      <c r="UIX41" s="1172"/>
      <c r="UIY41" s="1172"/>
      <c r="UIZ41" s="1172"/>
      <c r="UJA41" s="1172"/>
      <c r="UJB41" s="1172"/>
      <c r="UJC41" s="1172"/>
      <c r="UJD41" s="1172"/>
      <c r="UJE41" s="1172"/>
      <c r="UJF41" s="1172"/>
      <c r="UJG41" s="1172"/>
      <c r="UJH41" s="1172"/>
      <c r="UJI41" s="1172"/>
      <c r="UJJ41" s="1172"/>
      <c r="UJK41" s="1172"/>
      <c r="UJL41" s="1172"/>
      <c r="UJM41" s="1172"/>
      <c r="UJN41" s="1172"/>
      <c r="UJO41" s="1172"/>
      <c r="UJP41" s="1172"/>
      <c r="UJQ41" s="1172"/>
      <c r="UJR41" s="1172"/>
      <c r="UJS41" s="1172"/>
      <c r="UJT41" s="1172"/>
      <c r="UJU41" s="1172"/>
      <c r="UJV41" s="1172"/>
      <c r="UJW41" s="1172"/>
      <c r="UJX41" s="1172"/>
      <c r="UJY41" s="1172"/>
      <c r="UJZ41" s="1172"/>
      <c r="UKA41" s="1172"/>
      <c r="UKB41" s="1172"/>
      <c r="UKC41" s="1172"/>
      <c r="UKD41" s="1172"/>
      <c r="UKE41" s="1172"/>
      <c r="UKF41" s="1172"/>
      <c r="UKG41" s="1172"/>
      <c r="UKH41" s="1172"/>
      <c r="UKI41" s="1172"/>
      <c r="UKJ41" s="1172"/>
      <c r="UKK41" s="1172"/>
      <c r="UKL41" s="1172"/>
      <c r="UKM41" s="1172"/>
      <c r="UKN41" s="1172"/>
      <c r="UKO41" s="1172"/>
      <c r="UKP41" s="1172"/>
      <c r="UKQ41" s="1172"/>
      <c r="UKR41" s="1172"/>
      <c r="UKS41" s="1172"/>
      <c r="UKT41" s="1172"/>
      <c r="UKU41" s="1172"/>
      <c r="UKV41" s="1172"/>
      <c r="UKW41" s="1172"/>
      <c r="UKX41" s="1172"/>
      <c r="UKY41" s="1172"/>
      <c r="UKZ41" s="1172"/>
      <c r="ULA41" s="1172"/>
      <c r="ULB41" s="1172"/>
      <c r="ULC41" s="1172"/>
      <c r="ULD41" s="1172"/>
      <c r="ULE41" s="1172"/>
      <c r="ULF41" s="1172"/>
      <c r="ULG41" s="1172"/>
      <c r="ULH41" s="1172"/>
      <c r="ULI41" s="1172"/>
      <c r="ULJ41" s="1172"/>
      <c r="ULK41" s="1172"/>
      <c r="ULL41" s="1172"/>
      <c r="ULM41" s="1172"/>
      <c r="ULN41" s="1172"/>
      <c r="ULO41" s="1172"/>
      <c r="ULP41" s="1172"/>
      <c r="ULQ41" s="1172"/>
      <c r="ULR41" s="1172"/>
      <c r="ULS41" s="1172"/>
      <c r="ULT41" s="1172"/>
      <c r="ULU41" s="1172"/>
      <c r="ULV41" s="1172"/>
      <c r="ULW41" s="1172"/>
      <c r="ULX41" s="1172"/>
      <c r="ULY41" s="1172"/>
      <c r="ULZ41" s="1172"/>
      <c r="UMA41" s="1172"/>
      <c r="UMB41" s="1172"/>
      <c r="UMC41" s="1172"/>
      <c r="UMD41" s="1172"/>
      <c r="UME41" s="1172"/>
      <c r="UMF41" s="1172"/>
      <c r="UMG41" s="1172"/>
      <c r="UMH41" s="1172"/>
      <c r="UMI41" s="1172"/>
      <c r="UMJ41" s="1172"/>
      <c r="UMK41" s="1172"/>
      <c r="UML41" s="1172"/>
      <c r="UMM41" s="1172"/>
      <c r="UMN41" s="1172"/>
      <c r="UMO41" s="1172"/>
      <c r="UMP41" s="1172"/>
      <c r="UMQ41" s="1172"/>
      <c r="UMR41" s="1172"/>
      <c r="UMS41" s="1172"/>
      <c r="UMT41" s="1172"/>
      <c r="UMU41" s="1172"/>
      <c r="UMV41" s="1172"/>
      <c r="UMW41" s="1172"/>
      <c r="UMX41" s="1172"/>
      <c r="UMY41" s="1172"/>
      <c r="UMZ41" s="1172"/>
      <c r="UNA41" s="1172"/>
      <c r="UNB41" s="1172"/>
      <c r="UNC41" s="1172"/>
      <c r="UND41" s="1172"/>
      <c r="UNE41" s="1172"/>
      <c r="UNF41" s="1172"/>
      <c r="UNG41" s="1172"/>
      <c r="UNH41" s="1172"/>
      <c r="UNI41" s="1172"/>
      <c r="UNJ41" s="1172"/>
      <c r="UNK41" s="1172"/>
      <c r="UNL41" s="1172"/>
      <c r="UNM41" s="1172"/>
      <c r="UNN41" s="1172"/>
      <c r="UNO41" s="1172"/>
      <c r="UNP41" s="1172"/>
      <c r="UNQ41" s="1172"/>
      <c r="UNR41" s="1172"/>
      <c r="UNS41" s="1172"/>
      <c r="UNT41" s="1172"/>
      <c r="UNU41" s="1172"/>
      <c r="UNV41" s="1172"/>
      <c r="UNW41" s="1172"/>
      <c r="UNX41" s="1172"/>
      <c r="UNY41" s="1172"/>
      <c r="UNZ41" s="1172"/>
      <c r="UOA41" s="1172"/>
      <c r="UOB41" s="1172"/>
      <c r="UOC41" s="1172"/>
      <c r="UOD41" s="1172"/>
      <c r="UOE41" s="1172"/>
      <c r="UOF41" s="1172"/>
      <c r="UOG41" s="1172"/>
      <c r="UOH41" s="1172"/>
      <c r="UOI41" s="1172"/>
      <c r="UOJ41" s="1172"/>
      <c r="UOK41" s="1172"/>
      <c r="UOL41" s="1172"/>
      <c r="UOM41" s="1172"/>
      <c r="UON41" s="1172"/>
      <c r="UOO41" s="1172"/>
      <c r="UOP41" s="1172"/>
      <c r="UOQ41" s="1172"/>
      <c r="UOR41" s="1172"/>
      <c r="UOS41" s="1172"/>
      <c r="UOT41" s="1172"/>
      <c r="UOU41" s="1172"/>
      <c r="UOV41" s="1172"/>
      <c r="UOW41" s="1172"/>
      <c r="UOX41" s="1172"/>
      <c r="UOY41" s="1172"/>
      <c r="UOZ41" s="1172"/>
      <c r="UPA41" s="1172"/>
      <c r="UPB41" s="1172"/>
      <c r="UPC41" s="1172"/>
      <c r="UPD41" s="1172"/>
      <c r="UPE41" s="1172"/>
      <c r="UPF41" s="1172"/>
      <c r="UPG41" s="1172"/>
      <c r="UPH41" s="1172"/>
      <c r="UPI41" s="1172"/>
      <c r="UPJ41" s="1172"/>
      <c r="UPK41" s="1172"/>
      <c r="UPL41" s="1172"/>
      <c r="UPM41" s="1172"/>
      <c r="UPN41" s="1172"/>
      <c r="UPO41" s="1172"/>
      <c r="UPP41" s="1172"/>
      <c r="UPQ41" s="1172"/>
      <c r="UPR41" s="1172"/>
      <c r="UPS41" s="1172"/>
      <c r="UPT41" s="1172"/>
      <c r="UPU41" s="1172"/>
      <c r="UPV41" s="1172"/>
      <c r="UPW41" s="1172"/>
      <c r="UPX41" s="1172"/>
      <c r="UPY41" s="1172"/>
      <c r="UPZ41" s="1172"/>
      <c r="UQA41" s="1172"/>
      <c r="UQB41" s="1172"/>
      <c r="UQC41" s="1172"/>
      <c r="UQD41" s="1172"/>
      <c r="UQE41" s="1172"/>
      <c r="UQF41" s="1172"/>
      <c r="UQG41" s="1172"/>
      <c r="UQH41" s="1172"/>
      <c r="UQI41" s="1172"/>
      <c r="UQJ41" s="1172"/>
      <c r="UQK41" s="1172"/>
      <c r="UQL41" s="1172"/>
      <c r="UQM41" s="1172"/>
      <c r="UQN41" s="1172"/>
      <c r="UQO41" s="1172"/>
      <c r="UQP41" s="1172"/>
      <c r="UQQ41" s="1172"/>
      <c r="UQR41" s="1172"/>
      <c r="UQS41" s="1172"/>
      <c r="UQT41" s="1172"/>
      <c r="UQU41" s="1172"/>
      <c r="UQV41" s="1172"/>
      <c r="UQW41" s="1172"/>
      <c r="UQX41" s="1172"/>
      <c r="UQY41" s="1172"/>
      <c r="UQZ41" s="1172"/>
      <c r="URA41" s="1172"/>
      <c r="URB41" s="1172"/>
      <c r="URC41" s="1172"/>
      <c r="URD41" s="1172"/>
      <c r="URE41" s="1172"/>
      <c r="URF41" s="1172"/>
      <c r="URG41" s="1172"/>
      <c r="URH41" s="1172"/>
      <c r="URI41" s="1172"/>
      <c r="URJ41" s="1172"/>
      <c r="URK41" s="1172"/>
      <c r="URL41" s="1172"/>
      <c r="URM41" s="1172"/>
      <c r="URN41" s="1172"/>
      <c r="URO41" s="1172"/>
      <c r="URP41" s="1172"/>
      <c r="URQ41" s="1172"/>
      <c r="URR41" s="1172"/>
      <c r="URS41" s="1172"/>
      <c r="URT41" s="1172"/>
      <c r="URU41" s="1172"/>
      <c r="URV41" s="1172"/>
      <c r="URW41" s="1172"/>
      <c r="URX41" s="1172"/>
      <c r="URY41" s="1172"/>
      <c r="URZ41" s="1172"/>
      <c r="USA41" s="1172"/>
      <c r="USB41" s="1172"/>
      <c r="USC41" s="1172"/>
      <c r="USD41" s="1172"/>
      <c r="USE41" s="1172"/>
      <c r="USF41" s="1172"/>
      <c r="USG41" s="1172"/>
      <c r="USH41" s="1172"/>
      <c r="USI41" s="1172"/>
      <c r="USJ41" s="1172"/>
      <c r="USK41" s="1172"/>
      <c r="USL41" s="1172"/>
      <c r="USM41" s="1172"/>
      <c r="USN41" s="1172"/>
      <c r="USO41" s="1172"/>
      <c r="USP41" s="1172"/>
      <c r="USQ41" s="1172"/>
      <c r="USR41" s="1172"/>
      <c r="USS41" s="1172"/>
      <c r="UST41" s="1172"/>
      <c r="USU41" s="1172"/>
      <c r="USV41" s="1172"/>
      <c r="USW41" s="1172"/>
      <c r="USX41" s="1172"/>
      <c r="USY41" s="1172"/>
      <c r="USZ41" s="1172"/>
      <c r="UTA41" s="1172"/>
      <c r="UTB41" s="1172"/>
      <c r="UTC41" s="1172"/>
      <c r="UTD41" s="1172"/>
      <c r="UTE41" s="1172"/>
      <c r="UTF41" s="1172"/>
      <c r="UTG41" s="1172"/>
      <c r="UTH41" s="1172"/>
      <c r="UTI41" s="1172"/>
      <c r="UTJ41" s="1172"/>
      <c r="UTK41" s="1172"/>
      <c r="UTL41" s="1172"/>
      <c r="UTM41" s="1172"/>
      <c r="UTN41" s="1172"/>
      <c r="UTO41" s="1172"/>
      <c r="UTP41" s="1172"/>
      <c r="UTQ41" s="1172"/>
      <c r="UTR41" s="1172"/>
      <c r="UTS41" s="1172"/>
      <c r="UTT41" s="1172"/>
      <c r="UTU41" s="1172"/>
      <c r="UTV41" s="1172"/>
      <c r="UTW41" s="1172"/>
      <c r="UTX41" s="1172"/>
      <c r="UTY41" s="1172"/>
      <c r="UTZ41" s="1172"/>
      <c r="UUA41" s="1172"/>
      <c r="UUB41" s="1172"/>
      <c r="UUC41" s="1172"/>
      <c r="UUD41" s="1172"/>
      <c r="UUE41" s="1172"/>
      <c r="UUF41" s="1172"/>
      <c r="UUG41" s="1172"/>
      <c r="UUH41" s="1172"/>
      <c r="UUI41" s="1172"/>
      <c r="UUJ41" s="1172"/>
      <c r="UUK41" s="1172"/>
      <c r="UUL41" s="1172"/>
      <c r="UUM41" s="1172"/>
      <c r="UUN41" s="1172"/>
      <c r="UUO41" s="1172"/>
      <c r="UUP41" s="1172"/>
      <c r="UUQ41" s="1172"/>
      <c r="UUR41" s="1172"/>
      <c r="UUS41" s="1172"/>
      <c r="UUT41" s="1172"/>
      <c r="UUU41" s="1172"/>
      <c r="UUV41" s="1172"/>
      <c r="UUW41" s="1172"/>
      <c r="UUX41" s="1172"/>
      <c r="UUY41" s="1172"/>
      <c r="UUZ41" s="1172"/>
      <c r="UVA41" s="1172"/>
      <c r="UVB41" s="1172"/>
      <c r="UVC41" s="1172"/>
      <c r="UVD41" s="1172"/>
      <c r="UVE41" s="1172"/>
      <c r="UVF41" s="1172"/>
      <c r="UVG41" s="1172"/>
      <c r="UVH41" s="1172"/>
      <c r="UVI41" s="1172"/>
      <c r="UVJ41" s="1172"/>
      <c r="UVK41" s="1172"/>
      <c r="UVL41" s="1172"/>
      <c r="UVM41" s="1172"/>
      <c r="UVN41" s="1172"/>
      <c r="UVO41" s="1172"/>
      <c r="UVP41" s="1172"/>
      <c r="UVQ41" s="1172"/>
      <c r="UVR41" s="1172"/>
      <c r="UVS41" s="1172"/>
      <c r="UVT41" s="1172"/>
      <c r="UVU41" s="1172"/>
      <c r="UVV41" s="1172"/>
      <c r="UVW41" s="1172"/>
      <c r="UVX41" s="1172"/>
      <c r="UVY41" s="1172"/>
      <c r="UVZ41" s="1172"/>
      <c r="UWA41" s="1172"/>
      <c r="UWB41" s="1172"/>
      <c r="UWC41" s="1172"/>
      <c r="UWD41" s="1172"/>
      <c r="UWE41" s="1172"/>
      <c r="UWF41" s="1172"/>
      <c r="UWG41" s="1172"/>
      <c r="UWH41" s="1172"/>
      <c r="UWI41" s="1172"/>
      <c r="UWJ41" s="1172"/>
      <c r="UWK41" s="1172"/>
      <c r="UWL41" s="1172"/>
      <c r="UWM41" s="1172"/>
      <c r="UWN41" s="1172"/>
      <c r="UWO41" s="1172"/>
      <c r="UWP41" s="1172"/>
      <c r="UWQ41" s="1172"/>
      <c r="UWR41" s="1172"/>
      <c r="UWS41" s="1172"/>
      <c r="UWT41" s="1172"/>
      <c r="UWU41" s="1172"/>
      <c r="UWV41" s="1172"/>
      <c r="UWW41" s="1172"/>
      <c r="UWX41" s="1172"/>
      <c r="UWY41" s="1172"/>
      <c r="UWZ41" s="1172"/>
      <c r="UXA41" s="1172"/>
      <c r="UXB41" s="1172"/>
      <c r="UXC41" s="1172"/>
      <c r="UXD41" s="1172"/>
      <c r="UXE41" s="1172"/>
      <c r="UXF41" s="1172"/>
      <c r="UXG41" s="1172"/>
      <c r="UXH41" s="1172"/>
      <c r="UXI41" s="1172"/>
      <c r="UXJ41" s="1172"/>
      <c r="UXK41" s="1172"/>
      <c r="UXL41" s="1172"/>
      <c r="UXM41" s="1172"/>
      <c r="UXN41" s="1172"/>
      <c r="UXO41" s="1172"/>
      <c r="UXP41" s="1172"/>
      <c r="UXQ41" s="1172"/>
      <c r="UXR41" s="1172"/>
      <c r="UXS41" s="1172"/>
      <c r="UXT41" s="1172"/>
      <c r="UXU41" s="1172"/>
      <c r="UXV41" s="1172"/>
      <c r="UXW41" s="1172"/>
      <c r="UXX41" s="1172"/>
      <c r="UXY41" s="1172"/>
      <c r="UXZ41" s="1172"/>
      <c r="UYA41" s="1172"/>
      <c r="UYB41" s="1172"/>
      <c r="UYC41" s="1172"/>
      <c r="UYD41" s="1172"/>
      <c r="UYE41" s="1172"/>
      <c r="UYF41" s="1172"/>
      <c r="UYG41" s="1172"/>
      <c r="UYH41" s="1172"/>
      <c r="UYI41" s="1172"/>
      <c r="UYJ41" s="1172"/>
      <c r="UYK41" s="1172"/>
      <c r="UYL41" s="1172"/>
      <c r="UYM41" s="1172"/>
      <c r="UYN41" s="1172"/>
      <c r="UYO41" s="1172"/>
      <c r="UYP41" s="1172"/>
      <c r="UYQ41" s="1172"/>
      <c r="UYR41" s="1172"/>
      <c r="UYS41" s="1172"/>
      <c r="UYT41" s="1172"/>
      <c r="UYU41" s="1172"/>
      <c r="UYV41" s="1172"/>
      <c r="UYW41" s="1172"/>
      <c r="UYX41" s="1172"/>
      <c r="UYY41" s="1172"/>
      <c r="UYZ41" s="1172"/>
      <c r="UZA41" s="1172"/>
      <c r="UZB41" s="1172"/>
      <c r="UZC41" s="1172"/>
      <c r="UZD41" s="1172"/>
      <c r="UZE41" s="1172"/>
      <c r="UZF41" s="1172"/>
      <c r="UZG41" s="1172"/>
      <c r="UZH41" s="1172"/>
      <c r="UZI41" s="1172"/>
      <c r="UZJ41" s="1172"/>
      <c r="UZK41" s="1172"/>
      <c r="UZL41" s="1172"/>
      <c r="UZM41" s="1172"/>
      <c r="UZN41" s="1172"/>
      <c r="UZO41" s="1172"/>
      <c r="UZP41" s="1172"/>
      <c r="UZQ41" s="1172"/>
      <c r="UZR41" s="1172"/>
      <c r="UZS41" s="1172"/>
      <c r="UZT41" s="1172"/>
      <c r="UZU41" s="1172"/>
      <c r="UZV41" s="1172"/>
      <c r="UZW41" s="1172"/>
      <c r="UZX41" s="1172"/>
      <c r="UZY41" s="1172"/>
      <c r="UZZ41" s="1172"/>
      <c r="VAA41" s="1172"/>
      <c r="VAB41" s="1172"/>
      <c r="VAC41" s="1172"/>
      <c r="VAD41" s="1172"/>
      <c r="VAE41" s="1172"/>
      <c r="VAF41" s="1172"/>
      <c r="VAG41" s="1172"/>
      <c r="VAH41" s="1172"/>
      <c r="VAI41" s="1172"/>
      <c r="VAJ41" s="1172"/>
      <c r="VAK41" s="1172"/>
      <c r="VAL41" s="1172"/>
      <c r="VAM41" s="1172"/>
      <c r="VAN41" s="1172"/>
      <c r="VAO41" s="1172"/>
      <c r="VAP41" s="1172"/>
      <c r="VAQ41" s="1172"/>
      <c r="VAR41" s="1172"/>
      <c r="VAS41" s="1172"/>
      <c r="VAT41" s="1172"/>
      <c r="VAU41" s="1172"/>
      <c r="VAV41" s="1172"/>
      <c r="VAW41" s="1172"/>
      <c r="VAX41" s="1172"/>
      <c r="VAY41" s="1172"/>
      <c r="VAZ41" s="1172"/>
      <c r="VBA41" s="1172"/>
      <c r="VBB41" s="1172"/>
      <c r="VBC41" s="1172"/>
      <c r="VBD41" s="1172"/>
      <c r="VBE41" s="1172"/>
      <c r="VBF41" s="1172"/>
      <c r="VBG41" s="1172"/>
      <c r="VBH41" s="1172"/>
      <c r="VBI41" s="1172"/>
      <c r="VBJ41" s="1172"/>
      <c r="VBK41" s="1172"/>
      <c r="VBL41" s="1172"/>
      <c r="VBM41" s="1172"/>
      <c r="VBN41" s="1172"/>
      <c r="VBO41" s="1172"/>
      <c r="VBP41" s="1172"/>
      <c r="VBQ41" s="1172"/>
      <c r="VBR41" s="1172"/>
      <c r="VBS41" s="1172"/>
      <c r="VBT41" s="1172"/>
      <c r="VBU41" s="1172"/>
      <c r="VBV41" s="1172"/>
      <c r="VBW41" s="1172"/>
      <c r="VBX41" s="1172"/>
      <c r="VBY41" s="1172"/>
      <c r="VBZ41" s="1172"/>
      <c r="VCA41" s="1172"/>
      <c r="VCB41" s="1172"/>
      <c r="VCC41" s="1172"/>
      <c r="VCD41" s="1172"/>
      <c r="VCE41" s="1172"/>
      <c r="VCF41" s="1172"/>
      <c r="VCG41" s="1172"/>
      <c r="VCH41" s="1172"/>
      <c r="VCI41" s="1172"/>
      <c r="VCJ41" s="1172"/>
      <c r="VCK41" s="1172"/>
      <c r="VCL41" s="1172"/>
      <c r="VCM41" s="1172"/>
      <c r="VCN41" s="1172"/>
      <c r="VCO41" s="1172"/>
      <c r="VCP41" s="1172"/>
      <c r="VCQ41" s="1172"/>
      <c r="VCR41" s="1172"/>
      <c r="VCS41" s="1172"/>
      <c r="VCT41" s="1172"/>
      <c r="VCU41" s="1172"/>
      <c r="VCV41" s="1172"/>
      <c r="VCW41" s="1172"/>
      <c r="VCX41" s="1172"/>
      <c r="VCY41" s="1172"/>
      <c r="VCZ41" s="1172"/>
      <c r="VDA41" s="1172"/>
      <c r="VDB41" s="1172"/>
      <c r="VDC41" s="1172"/>
      <c r="VDD41" s="1172"/>
      <c r="VDE41" s="1172"/>
      <c r="VDF41" s="1172"/>
      <c r="VDG41" s="1172"/>
      <c r="VDH41" s="1172"/>
      <c r="VDI41" s="1172"/>
      <c r="VDJ41" s="1172"/>
      <c r="VDK41" s="1172"/>
      <c r="VDL41" s="1172"/>
      <c r="VDM41" s="1172"/>
      <c r="VDN41" s="1172"/>
      <c r="VDO41" s="1172"/>
      <c r="VDP41" s="1172"/>
      <c r="VDQ41" s="1172"/>
      <c r="VDR41" s="1172"/>
      <c r="VDS41" s="1172"/>
      <c r="VDT41" s="1172"/>
      <c r="VDU41" s="1172"/>
      <c r="VDV41" s="1172"/>
      <c r="VDW41" s="1172"/>
      <c r="VDX41" s="1172"/>
      <c r="VDY41" s="1172"/>
      <c r="VDZ41" s="1172"/>
      <c r="VEA41" s="1172"/>
      <c r="VEB41" s="1172"/>
      <c r="VEC41" s="1172"/>
      <c r="VED41" s="1172"/>
      <c r="VEE41" s="1172"/>
      <c r="VEF41" s="1172"/>
      <c r="VEG41" s="1172"/>
      <c r="VEH41" s="1172"/>
      <c r="VEI41" s="1172"/>
      <c r="VEJ41" s="1172"/>
      <c r="VEK41" s="1172"/>
      <c r="VEL41" s="1172"/>
      <c r="VEM41" s="1172"/>
      <c r="VEN41" s="1172"/>
      <c r="VEO41" s="1172"/>
      <c r="VEP41" s="1172"/>
      <c r="VEQ41" s="1172"/>
      <c r="VER41" s="1172"/>
      <c r="VES41" s="1172"/>
      <c r="VET41" s="1172"/>
      <c r="VEU41" s="1172"/>
      <c r="VEV41" s="1172"/>
      <c r="VEW41" s="1172"/>
      <c r="VEX41" s="1172"/>
      <c r="VEY41" s="1172"/>
      <c r="VEZ41" s="1172"/>
      <c r="VFA41" s="1172"/>
      <c r="VFB41" s="1172"/>
      <c r="VFC41" s="1172"/>
      <c r="VFD41" s="1172"/>
      <c r="VFE41" s="1172"/>
      <c r="VFF41" s="1172"/>
      <c r="VFG41" s="1172"/>
      <c r="VFH41" s="1172"/>
      <c r="VFI41" s="1172"/>
      <c r="VFJ41" s="1172"/>
      <c r="VFK41" s="1172"/>
      <c r="VFL41" s="1172"/>
      <c r="VFM41" s="1172"/>
      <c r="VFN41" s="1172"/>
      <c r="VFO41" s="1172"/>
      <c r="VFP41" s="1172"/>
      <c r="VFQ41" s="1172"/>
      <c r="VFR41" s="1172"/>
      <c r="VFS41" s="1172"/>
      <c r="VFT41" s="1172"/>
      <c r="VFU41" s="1172"/>
      <c r="VFV41" s="1172"/>
      <c r="VFW41" s="1172"/>
      <c r="VFX41" s="1172"/>
      <c r="VFY41" s="1172"/>
      <c r="VFZ41" s="1172"/>
      <c r="VGA41" s="1172"/>
      <c r="VGB41" s="1172"/>
      <c r="VGC41" s="1172"/>
      <c r="VGD41" s="1172"/>
      <c r="VGE41" s="1172"/>
      <c r="VGF41" s="1172"/>
      <c r="VGG41" s="1172"/>
      <c r="VGH41" s="1172"/>
      <c r="VGI41" s="1172"/>
      <c r="VGJ41" s="1172"/>
      <c r="VGK41" s="1172"/>
      <c r="VGL41" s="1172"/>
      <c r="VGM41" s="1172"/>
      <c r="VGN41" s="1172"/>
      <c r="VGO41" s="1172"/>
      <c r="VGP41" s="1172"/>
      <c r="VGQ41" s="1172"/>
      <c r="VGR41" s="1172"/>
      <c r="VGS41" s="1172"/>
      <c r="VGT41" s="1172"/>
      <c r="VGU41" s="1172"/>
      <c r="VGV41" s="1172"/>
      <c r="VGW41" s="1172"/>
      <c r="VGX41" s="1172"/>
      <c r="VGY41" s="1172"/>
      <c r="VGZ41" s="1172"/>
      <c r="VHA41" s="1172"/>
      <c r="VHB41" s="1172"/>
      <c r="VHC41" s="1172"/>
      <c r="VHD41" s="1172"/>
      <c r="VHE41" s="1172"/>
      <c r="VHF41" s="1172"/>
      <c r="VHG41" s="1172"/>
      <c r="VHH41" s="1172"/>
      <c r="VHI41" s="1172"/>
      <c r="VHJ41" s="1172"/>
      <c r="VHK41" s="1172"/>
      <c r="VHL41" s="1172"/>
      <c r="VHM41" s="1172"/>
      <c r="VHN41" s="1172"/>
      <c r="VHO41" s="1172"/>
      <c r="VHP41" s="1172"/>
      <c r="VHQ41" s="1172"/>
      <c r="VHR41" s="1172"/>
      <c r="VHS41" s="1172"/>
      <c r="VHT41" s="1172"/>
      <c r="VHU41" s="1172"/>
      <c r="VHV41" s="1172"/>
      <c r="VHW41" s="1172"/>
      <c r="VHX41" s="1172"/>
      <c r="VHY41" s="1172"/>
      <c r="VHZ41" s="1172"/>
      <c r="VIA41" s="1172"/>
      <c r="VIB41" s="1172"/>
      <c r="VIC41" s="1172"/>
      <c r="VID41" s="1172"/>
      <c r="VIE41" s="1172"/>
      <c r="VIF41" s="1172"/>
      <c r="VIG41" s="1172"/>
      <c r="VIH41" s="1172"/>
      <c r="VII41" s="1172"/>
      <c r="VIJ41" s="1172"/>
      <c r="VIK41" s="1172"/>
      <c r="VIL41" s="1172"/>
      <c r="VIM41" s="1172"/>
      <c r="VIN41" s="1172"/>
      <c r="VIO41" s="1172"/>
      <c r="VIP41" s="1172"/>
      <c r="VIQ41" s="1172"/>
      <c r="VIR41" s="1172"/>
      <c r="VIS41" s="1172"/>
      <c r="VIT41" s="1172"/>
      <c r="VIU41" s="1172"/>
      <c r="VIV41" s="1172"/>
      <c r="VIW41" s="1172"/>
      <c r="VIX41" s="1172"/>
      <c r="VIY41" s="1172"/>
      <c r="VIZ41" s="1172"/>
      <c r="VJA41" s="1172"/>
      <c r="VJB41" s="1172"/>
      <c r="VJC41" s="1172"/>
      <c r="VJD41" s="1172"/>
      <c r="VJE41" s="1172"/>
      <c r="VJF41" s="1172"/>
      <c r="VJG41" s="1172"/>
      <c r="VJH41" s="1172"/>
      <c r="VJI41" s="1172"/>
      <c r="VJJ41" s="1172"/>
      <c r="VJK41" s="1172"/>
      <c r="VJL41" s="1172"/>
      <c r="VJM41" s="1172"/>
      <c r="VJN41" s="1172"/>
      <c r="VJO41" s="1172"/>
      <c r="VJP41" s="1172"/>
      <c r="VJQ41" s="1172"/>
      <c r="VJR41" s="1172"/>
      <c r="VJS41" s="1172"/>
      <c r="VJT41" s="1172"/>
      <c r="VJU41" s="1172"/>
      <c r="VJV41" s="1172"/>
      <c r="VJW41" s="1172"/>
      <c r="VJX41" s="1172"/>
      <c r="VJY41" s="1172"/>
      <c r="VJZ41" s="1172"/>
      <c r="VKA41" s="1172"/>
      <c r="VKB41" s="1172"/>
      <c r="VKC41" s="1172"/>
      <c r="VKD41" s="1172"/>
      <c r="VKE41" s="1172"/>
      <c r="VKF41" s="1172"/>
      <c r="VKG41" s="1172"/>
      <c r="VKH41" s="1172"/>
      <c r="VKI41" s="1172"/>
      <c r="VKJ41" s="1172"/>
      <c r="VKK41" s="1172"/>
      <c r="VKL41" s="1172"/>
      <c r="VKM41" s="1172"/>
      <c r="VKN41" s="1172"/>
      <c r="VKO41" s="1172"/>
      <c r="VKP41" s="1172"/>
      <c r="VKQ41" s="1172"/>
      <c r="VKR41" s="1172"/>
      <c r="VKS41" s="1172"/>
      <c r="VKT41" s="1172"/>
      <c r="VKU41" s="1172"/>
      <c r="VKV41" s="1172"/>
      <c r="VKW41" s="1172"/>
      <c r="VKX41" s="1172"/>
      <c r="VKY41" s="1172"/>
      <c r="VKZ41" s="1172"/>
      <c r="VLA41" s="1172"/>
      <c r="VLB41" s="1172"/>
      <c r="VLC41" s="1172"/>
      <c r="VLD41" s="1172"/>
      <c r="VLE41" s="1172"/>
      <c r="VLF41" s="1172"/>
      <c r="VLG41" s="1172"/>
      <c r="VLH41" s="1172"/>
      <c r="VLI41" s="1172"/>
      <c r="VLJ41" s="1172"/>
      <c r="VLK41" s="1172"/>
      <c r="VLL41" s="1172"/>
      <c r="VLM41" s="1172"/>
      <c r="VLN41" s="1172"/>
      <c r="VLO41" s="1172"/>
      <c r="VLP41" s="1172"/>
      <c r="VLQ41" s="1172"/>
      <c r="VLR41" s="1172"/>
      <c r="VLS41" s="1172"/>
      <c r="VLT41" s="1172"/>
      <c r="VLU41" s="1172"/>
      <c r="VLV41" s="1172"/>
      <c r="VLW41" s="1172"/>
      <c r="VLX41" s="1172"/>
      <c r="VLY41" s="1172"/>
      <c r="VLZ41" s="1172"/>
      <c r="VMA41" s="1172"/>
      <c r="VMB41" s="1172"/>
      <c r="VMC41" s="1172"/>
      <c r="VMD41" s="1172"/>
      <c r="VME41" s="1172"/>
      <c r="VMF41" s="1172"/>
      <c r="VMG41" s="1172"/>
      <c r="VMH41" s="1172"/>
      <c r="VMI41" s="1172"/>
      <c r="VMJ41" s="1172"/>
      <c r="VMK41" s="1172"/>
      <c r="VML41" s="1172"/>
      <c r="VMM41" s="1172"/>
      <c r="VMN41" s="1172"/>
      <c r="VMO41" s="1172"/>
      <c r="VMP41" s="1172"/>
      <c r="VMQ41" s="1172"/>
      <c r="VMR41" s="1172"/>
      <c r="VMS41" s="1172"/>
      <c r="VMT41" s="1172"/>
      <c r="VMU41" s="1172"/>
      <c r="VMV41" s="1172"/>
      <c r="VMW41" s="1172"/>
      <c r="VMX41" s="1172"/>
      <c r="VMY41" s="1172"/>
      <c r="VMZ41" s="1172"/>
      <c r="VNA41" s="1172"/>
      <c r="VNB41" s="1172"/>
      <c r="VNC41" s="1172"/>
      <c r="VND41" s="1172"/>
      <c r="VNE41" s="1172"/>
      <c r="VNF41" s="1172"/>
      <c r="VNG41" s="1172"/>
      <c r="VNH41" s="1172"/>
      <c r="VNI41" s="1172"/>
      <c r="VNJ41" s="1172"/>
      <c r="VNK41" s="1172"/>
      <c r="VNL41" s="1172"/>
      <c r="VNM41" s="1172"/>
      <c r="VNN41" s="1172"/>
      <c r="VNO41" s="1172"/>
      <c r="VNP41" s="1172"/>
      <c r="VNQ41" s="1172"/>
      <c r="VNR41" s="1172"/>
      <c r="VNS41" s="1172"/>
      <c r="VNT41" s="1172"/>
      <c r="VNU41" s="1172"/>
      <c r="VNV41" s="1172"/>
      <c r="VNW41" s="1172"/>
      <c r="VNX41" s="1172"/>
      <c r="VNY41" s="1172"/>
      <c r="VNZ41" s="1172"/>
      <c r="VOA41" s="1172"/>
      <c r="VOB41" s="1172"/>
      <c r="VOC41" s="1172"/>
      <c r="VOD41" s="1172"/>
      <c r="VOE41" s="1172"/>
      <c r="VOF41" s="1172"/>
      <c r="VOG41" s="1172"/>
      <c r="VOH41" s="1172"/>
      <c r="VOI41" s="1172"/>
      <c r="VOJ41" s="1172"/>
      <c r="VOK41" s="1172"/>
      <c r="VOL41" s="1172"/>
      <c r="VOM41" s="1172"/>
      <c r="VON41" s="1172"/>
      <c r="VOO41" s="1172"/>
      <c r="VOP41" s="1172"/>
      <c r="VOQ41" s="1172"/>
      <c r="VOR41" s="1172"/>
      <c r="VOS41" s="1172"/>
      <c r="VOT41" s="1172"/>
      <c r="VOU41" s="1172"/>
      <c r="VOV41" s="1172"/>
      <c r="VOW41" s="1172"/>
      <c r="VOX41" s="1172"/>
      <c r="VOY41" s="1172"/>
      <c r="VOZ41" s="1172"/>
      <c r="VPA41" s="1172"/>
      <c r="VPB41" s="1172"/>
      <c r="VPC41" s="1172"/>
      <c r="VPD41" s="1172"/>
      <c r="VPE41" s="1172"/>
      <c r="VPF41" s="1172"/>
      <c r="VPG41" s="1172"/>
      <c r="VPH41" s="1172"/>
      <c r="VPI41" s="1172"/>
      <c r="VPJ41" s="1172"/>
      <c r="VPK41" s="1172"/>
      <c r="VPL41" s="1172"/>
      <c r="VPM41" s="1172"/>
      <c r="VPN41" s="1172"/>
      <c r="VPO41" s="1172"/>
      <c r="VPP41" s="1172"/>
      <c r="VPQ41" s="1172"/>
      <c r="VPR41" s="1172"/>
      <c r="VPS41" s="1172"/>
      <c r="VPT41" s="1172"/>
      <c r="VPU41" s="1172"/>
      <c r="VPV41" s="1172"/>
      <c r="VPW41" s="1172"/>
      <c r="VPX41" s="1172"/>
      <c r="VPY41" s="1172"/>
      <c r="VPZ41" s="1172"/>
      <c r="VQA41" s="1172"/>
      <c r="VQB41" s="1172"/>
      <c r="VQC41" s="1172"/>
      <c r="VQD41" s="1172"/>
      <c r="VQE41" s="1172"/>
      <c r="VQF41" s="1172"/>
      <c r="VQG41" s="1172"/>
      <c r="VQH41" s="1172"/>
      <c r="VQI41" s="1172"/>
      <c r="VQJ41" s="1172"/>
      <c r="VQK41" s="1172"/>
      <c r="VQL41" s="1172"/>
      <c r="VQM41" s="1172"/>
      <c r="VQN41" s="1172"/>
      <c r="VQO41" s="1172"/>
      <c r="VQP41" s="1172"/>
      <c r="VQQ41" s="1172"/>
      <c r="VQR41" s="1172"/>
      <c r="VQS41" s="1172"/>
      <c r="VQT41" s="1172"/>
      <c r="VQU41" s="1172"/>
      <c r="VQV41" s="1172"/>
      <c r="VQW41" s="1172"/>
      <c r="VQX41" s="1172"/>
      <c r="VQY41" s="1172"/>
      <c r="VQZ41" s="1172"/>
      <c r="VRA41" s="1172"/>
      <c r="VRB41" s="1172"/>
      <c r="VRC41" s="1172"/>
      <c r="VRD41" s="1172"/>
      <c r="VRE41" s="1172"/>
      <c r="VRF41" s="1172"/>
      <c r="VRG41" s="1172"/>
      <c r="VRH41" s="1172"/>
      <c r="VRI41" s="1172"/>
      <c r="VRJ41" s="1172"/>
      <c r="VRK41" s="1172"/>
      <c r="VRL41" s="1172"/>
      <c r="VRM41" s="1172"/>
      <c r="VRN41" s="1172"/>
      <c r="VRO41" s="1172"/>
      <c r="VRP41" s="1172"/>
      <c r="VRQ41" s="1172"/>
      <c r="VRR41" s="1172"/>
      <c r="VRS41" s="1172"/>
      <c r="VRT41" s="1172"/>
      <c r="VRU41" s="1172"/>
      <c r="VRV41" s="1172"/>
      <c r="VRW41" s="1172"/>
      <c r="VRX41" s="1172"/>
      <c r="VRY41" s="1172"/>
      <c r="VRZ41" s="1172"/>
      <c r="VSA41" s="1172"/>
      <c r="VSB41" s="1172"/>
      <c r="VSC41" s="1172"/>
      <c r="VSD41" s="1172"/>
      <c r="VSE41" s="1172"/>
      <c r="VSF41" s="1172"/>
      <c r="VSG41" s="1172"/>
      <c r="VSH41" s="1172"/>
      <c r="VSI41" s="1172"/>
      <c r="VSJ41" s="1172"/>
      <c r="VSK41" s="1172"/>
      <c r="VSL41" s="1172"/>
      <c r="VSM41" s="1172"/>
      <c r="VSN41" s="1172"/>
      <c r="VSO41" s="1172"/>
      <c r="VSP41" s="1172"/>
      <c r="VSQ41" s="1172"/>
      <c r="VSR41" s="1172"/>
      <c r="VSS41" s="1172"/>
      <c r="VST41" s="1172"/>
      <c r="VSU41" s="1172"/>
      <c r="VSV41" s="1172"/>
      <c r="VSW41" s="1172"/>
      <c r="VSX41" s="1172"/>
      <c r="VSY41" s="1172"/>
      <c r="VSZ41" s="1172"/>
      <c r="VTA41" s="1172"/>
      <c r="VTB41" s="1172"/>
      <c r="VTC41" s="1172"/>
      <c r="VTD41" s="1172"/>
      <c r="VTE41" s="1172"/>
      <c r="VTF41" s="1172"/>
      <c r="VTG41" s="1172"/>
      <c r="VTH41" s="1172"/>
      <c r="VTI41" s="1172"/>
      <c r="VTJ41" s="1172"/>
      <c r="VTK41" s="1172"/>
      <c r="VTL41" s="1172"/>
      <c r="VTM41" s="1172"/>
      <c r="VTN41" s="1172"/>
      <c r="VTO41" s="1172"/>
      <c r="VTP41" s="1172"/>
      <c r="VTQ41" s="1172"/>
      <c r="VTR41" s="1172"/>
      <c r="VTS41" s="1172"/>
      <c r="VTT41" s="1172"/>
      <c r="VTU41" s="1172"/>
      <c r="VTV41" s="1172"/>
      <c r="VTW41" s="1172"/>
      <c r="VTX41" s="1172"/>
      <c r="VTY41" s="1172"/>
      <c r="VTZ41" s="1172"/>
      <c r="VUA41" s="1172"/>
      <c r="VUB41" s="1172"/>
      <c r="VUC41" s="1172"/>
      <c r="VUD41" s="1172"/>
      <c r="VUE41" s="1172"/>
      <c r="VUF41" s="1172"/>
      <c r="VUG41" s="1172"/>
      <c r="VUH41" s="1172"/>
      <c r="VUI41" s="1172"/>
      <c r="VUJ41" s="1172"/>
      <c r="VUK41" s="1172"/>
      <c r="VUL41" s="1172"/>
      <c r="VUM41" s="1172"/>
      <c r="VUN41" s="1172"/>
      <c r="VUO41" s="1172"/>
      <c r="VUP41" s="1172"/>
      <c r="VUQ41" s="1172"/>
      <c r="VUR41" s="1172"/>
      <c r="VUS41" s="1172"/>
      <c r="VUT41" s="1172"/>
      <c r="VUU41" s="1172"/>
      <c r="VUV41" s="1172"/>
      <c r="VUW41" s="1172"/>
      <c r="VUX41" s="1172"/>
      <c r="VUY41" s="1172"/>
      <c r="VUZ41" s="1172"/>
      <c r="VVA41" s="1172"/>
      <c r="VVB41" s="1172"/>
      <c r="VVC41" s="1172"/>
      <c r="VVD41" s="1172"/>
      <c r="VVE41" s="1172"/>
      <c r="VVF41" s="1172"/>
      <c r="VVG41" s="1172"/>
      <c r="VVH41" s="1172"/>
      <c r="VVI41" s="1172"/>
      <c r="VVJ41" s="1172"/>
      <c r="VVK41" s="1172"/>
      <c r="VVL41" s="1172"/>
      <c r="VVM41" s="1172"/>
      <c r="VVN41" s="1172"/>
      <c r="VVO41" s="1172"/>
      <c r="VVP41" s="1172"/>
      <c r="VVQ41" s="1172"/>
      <c r="VVR41" s="1172"/>
      <c r="VVS41" s="1172"/>
      <c r="VVT41" s="1172"/>
      <c r="VVU41" s="1172"/>
      <c r="VVV41" s="1172"/>
      <c r="VVW41" s="1172"/>
      <c r="VVX41" s="1172"/>
      <c r="VVY41" s="1172"/>
      <c r="VVZ41" s="1172"/>
      <c r="VWA41" s="1172"/>
      <c r="VWB41" s="1172"/>
      <c r="VWC41" s="1172"/>
      <c r="VWD41" s="1172"/>
      <c r="VWE41" s="1172"/>
      <c r="VWF41" s="1172"/>
      <c r="VWG41" s="1172"/>
      <c r="VWH41" s="1172"/>
      <c r="VWI41" s="1172"/>
      <c r="VWJ41" s="1172"/>
      <c r="VWK41" s="1172"/>
      <c r="VWL41" s="1172"/>
      <c r="VWM41" s="1172"/>
      <c r="VWN41" s="1172"/>
      <c r="VWO41" s="1172"/>
      <c r="VWP41" s="1172"/>
      <c r="VWQ41" s="1172"/>
      <c r="VWR41" s="1172"/>
      <c r="VWS41" s="1172"/>
      <c r="VWT41" s="1172"/>
      <c r="VWU41" s="1172"/>
      <c r="VWV41" s="1172"/>
      <c r="VWW41" s="1172"/>
      <c r="VWX41" s="1172"/>
      <c r="VWY41" s="1172"/>
      <c r="VWZ41" s="1172"/>
      <c r="VXA41" s="1172"/>
      <c r="VXB41" s="1172"/>
      <c r="VXC41" s="1172"/>
      <c r="VXD41" s="1172"/>
      <c r="VXE41" s="1172"/>
      <c r="VXF41" s="1172"/>
      <c r="VXG41" s="1172"/>
      <c r="VXH41" s="1172"/>
      <c r="VXI41" s="1172"/>
      <c r="VXJ41" s="1172"/>
      <c r="VXK41" s="1172"/>
      <c r="VXL41" s="1172"/>
      <c r="VXM41" s="1172"/>
      <c r="VXN41" s="1172"/>
      <c r="VXO41" s="1172"/>
      <c r="VXP41" s="1172"/>
      <c r="VXQ41" s="1172"/>
      <c r="VXR41" s="1172"/>
      <c r="VXS41" s="1172"/>
      <c r="VXT41" s="1172"/>
      <c r="VXU41" s="1172"/>
      <c r="VXV41" s="1172"/>
      <c r="VXW41" s="1172"/>
      <c r="VXX41" s="1172"/>
      <c r="VXY41" s="1172"/>
      <c r="VXZ41" s="1172"/>
      <c r="VYA41" s="1172"/>
      <c r="VYB41" s="1172"/>
      <c r="VYC41" s="1172"/>
      <c r="VYD41" s="1172"/>
      <c r="VYE41" s="1172"/>
      <c r="VYF41" s="1172"/>
      <c r="VYG41" s="1172"/>
      <c r="VYH41" s="1172"/>
      <c r="VYI41" s="1172"/>
      <c r="VYJ41" s="1172"/>
      <c r="VYK41" s="1172"/>
      <c r="VYL41" s="1172"/>
      <c r="VYM41" s="1172"/>
      <c r="VYN41" s="1172"/>
      <c r="VYO41" s="1172"/>
      <c r="VYP41" s="1172"/>
      <c r="VYQ41" s="1172"/>
      <c r="VYR41" s="1172"/>
      <c r="VYS41" s="1172"/>
      <c r="VYT41" s="1172"/>
      <c r="VYU41" s="1172"/>
      <c r="VYV41" s="1172"/>
      <c r="VYW41" s="1172"/>
      <c r="VYX41" s="1172"/>
      <c r="VYY41" s="1172"/>
      <c r="VYZ41" s="1172"/>
      <c r="VZA41" s="1172"/>
      <c r="VZB41" s="1172"/>
      <c r="VZC41" s="1172"/>
      <c r="VZD41" s="1172"/>
      <c r="VZE41" s="1172"/>
      <c r="VZF41" s="1172"/>
      <c r="VZG41" s="1172"/>
      <c r="VZH41" s="1172"/>
      <c r="VZI41" s="1172"/>
      <c r="VZJ41" s="1172"/>
      <c r="VZK41" s="1172"/>
      <c r="VZL41" s="1172"/>
      <c r="VZM41" s="1172"/>
      <c r="VZN41" s="1172"/>
      <c r="VZO41" s="1172"/>
      <c r="VZP41" s="1172"/>
      <c r="VZQ41" s="1172"/>
      <c r="VZR41" s="1172"/>
      <c r="VZS41" s="1172"/>
      <c r="VZT41" s="1172"/>
      <c r="VZU41" s="1172"/>
      <c r="VZV41" s="1172"/>
      <c r="VZW41" s="1172"/>
      <c r="VZX41" s="1172"/>
      <c r="VZY41" s="1172"/>
      <c r="VZZ41" s="1172"/>
      <c r="WAA41" s="1172"/>
      <c r="WAB41" s="1172"/>
      <c r="WAC41" s="1172"/>
      <c r="WAD41" s="1172"/>
      <c r="WAE41" s="1172"/>
      <c r="WAF41" s="1172"/>
      <c r="WAG41" s="1172"/>
      <c r="WAH41" s="1172"/>
      <c r="WAI41" s="1172"/>
      <c r="WAJ41" s="1172"/>
      <c r="WAK41" s="1172"/>
      <c r="WAL41" s="1172"/>
      <c r="WAM41" s="1172"/>
      <c r="WAN41" s="1172"/>
      <c r="WAO41" s="1172"/>
      <c r="WAP41" s="1172"/>
      <c r="WAQ41" s="1172"/>
      <c r="WAR41" s="1172"/>
      <c r="WAS41" s="1172"/>
      <c r="WAT41" s="1172"/>
      <c r="WAU41" s="1172"/>
      <c r="WAV41" s="1172"/>
      <c r="WAW41" s="1172"/>
      <c r="WAX41" s="1172"/>
      <c r="WAY41" s="1172"/>
      <c r="WAZ41" s="1172"/>
      <c r="WBA41" s="1172"/>
      <c r="WBB41" s="1172"/>
      <c r="WBC41" s="1172"/>
      <c r="WBD41" s="1172"/>
      <c r="WBE41" s="1172"/>
      <c r="WBF41" s="1172"/>
      <c r="WBG41" s="1172"/>
      <c r="WBH41" s="1172"/>
      <c r="WBI41" s="1172"/>
      <c r="WBJ41" s="1172"/>
      <c r="WBK41" s="1172"/>
      <c r="WBL41" s="1172"/>
      <c r="WBM41" s="1172"/>
      <c r="WBN41" s="1172"/>
      <c r="WBO41" s="1172"/>
      <c r="WBP41" s="1172"/>
      <c r="WBQ41" s="1172"/>
      <c r="WBR41" s="1172"/>
      <c r="WBS41" s="1172"/>
      <c r="WBT41" s="1172"/>
      <c r="WBU41" s="1172"/>
      <c r="WBV41" s="1172"/>
      <c r="WBW41" s="1172"/>
      <c r="WBX41" s="1172"/>
      <c r="WBY41" s="1172"/>
      <c r="WBZ41" s="1172"/>
      <c r="WCA41" s="1172"/>
      <c r="WCB41" s="1172"/>
      <c r="WCC41" s="1172"/>
      <c r="WCD41" s="1172"/>
      <c r="WCE41" s="1172"/>
      <c r="WCF41" s="1172"/>
      <c r="WCG41" s="1172"/>
      <c r="WCH41" s="1172"/>
      <c r="WCI41" s="1172"/>
      <c r="WCJ41" s="1172"/>
      <c r="WCK41" s="1172"/>
      <c r="WCL41" s="1172"/>
      <c r="WCM41" s="1172"/>
      <c r="WCN41" s="1172"/>
      <c r="WCO41" s="1172"/>
      <c r="WCP41" s="1172"/>
      <c r="WCQ41" s="1172"/>
      <c r="WCR41" s="1172"/>
      <c r="WCS41" s="1172"/>
      <c r="WCT41" s="1172"/>
      <c r="WCU41" s="1172"/>
      <c r="WCV41" s="1172"/>
      <c r="WCW41" s="1172"/>
      <c r="WCX41" s="1172"/>
      <c r="WCY41" s="1172"/>
      <c r="WCZ41" s="1172"/>
      <c r="WDA41" s="1172"/>
      <c r="WDB41" s="1172"/>
      <c r="WDC41" s="1172"/>
      <c r="WDD41" s="1172"/>
      <c r="WDE41" s="1172"/>
      <c r="WDF41" s="1172"/>
      <c r="WDG41" s="1172"/>
      <c r="WDH41" s="1172"/>
      <c r="WDI41" s="1172"/>
      <c r="WDJ41" s="1172"/>
      <c r="WDK41" s="1172"/>
      <c r="WDL41" s="1172"/>
      <c r="WDM41" s="1172"/>
      <c r="WDN41" s="1172"/>
      <c r="WDO41" s="1172"/>
      <c r="WDP41" s="1172"/>
      <c r="WDQ41" s="1172"/>
      <c r="WDR41" s="1172"/>
      <c r="WDS41" s="1172"/>
      <c r="WDT41" s="1172"/>
      <c r="WDU41" s="1172"/>
      <c r="WDV41" s="1172"/>
      <c r="WDW41" s="1172"/>
      <c r="WDX41" s="1172"/>
      <c r="WDY41" s="1172"/>
      <c r="WDZ41" s="1172"/>
      <c r="WEA41" s="1172"/>
      <c r="WEB41" s="1172"/>
      <c r="WEC41" s="1172"/>
      <c r="WED41" s="1172"/>
      <c r="WEE41" s="1172"/>
      <c r="WEF41" s="1172"/>
      <c r="WEG41" s="1172"/>
      <c r="WEH41" s="1172"/>
      <c r="WEI41" s="1172"/>
      <c r="WEJ41" s="1172"/>
      <c r="WEK41" s="1172"/>
      <c r="WEL41" s="1172"/>
      <c r="WEM41" s="1172"/>
      <c r="WEN41" s="1172"/>
      <c r="WEO41" s="1172"/>
      <c r="WEP41" s="1172"/>
      <c r="WEQ41" s="1172"/>
      <c r="WER41" s="1172"/>
      <c r="WES41" s="1172"/>
      <c r="WET41" s="1172"/>
      <c r="WEU41" s="1172"/>
      <c r="WEV41" s="1172"/>
      <c r="WEW41" s="1172"/>
      <c r="WEX41" s="1172"/>
      <c r="WEY41" s="1172"/>
      <c r="WEZ41" s="1172"/>
      <c r="WFA41" s="1172"/>
      <c r="WFB41" s="1172"/>
      <c r="WFC41" s="1172"/>
      <c r="WFD41" s="1172"/>
      <c r="WFE41" s="1172"/>
      <c r="WFF41" s="1172"/>
      <c r="WFG41" s="1172"/>
      <c r="WFH41" s="1172"/>
      <c r="WFI41" s="1172"/>
      <c r="WFJ41" s="1172"/>
      <c r="WFK41" s="1172"/>
      <c r="WFL41" s="1172"/>
      <c r="WFM41" s="1172"/>
      <c r="WFN41" s="1172"/>
      <c r="WFO41" s="1172"/>
      <c r="WFP41" s="1172"/>
      <c r="WFQ41" s="1172"/>
      <c r="WFR41" s="1172"/>
      <c r="WFS41" s="1172"/>
      <c r="WFT41" s="1172"/>
      <c r="WFU41" s="1172"/>
      <c r="WFV41" s="1172"/>
      <c r="WFW41" s="1172"/>
      <c r="WFX41" s="1172"/>
      <c r="WFY41" s="1172"/>
      <c r="WFZ41" s="1172"/>
      <c r="WGA41" s="1172"/>
      <c r="WGB41" s="1172"/>
      <c r="WGC41" s="1172"/>
      <c r="WGD41" s="1172"/>
      <c r="WGE41" s="1172"/>
      <c r="WGF41" s="1172"/>
      <c r="WGG41" s="1172"/>
      <c r="WGH41" s="1172"/>
      <c r="WGI41" s="1172"/>
      <c r="WGJ41" s="1172"/>
      <c r="WGK41" s="1172"/>
      <c r="WGL41" s="1172"/>
      <c r="WGM41" s="1172"/>
      <c r="WGN41" s="1172"/>
      <c r="WGO41" s="1172"/>
      <c r="WGP41" s="1172"/>
      <c r="WGQ41" s="1172"/>
      <c r="WGR41" s="1172"/>
      <c r="WGS41" s="1172"/>
      <c r="WGT41" s="1172"/>
      <c r="WGU41" s="1172"/>
      <c r="WGV41" s="1172"/>
      <c r="WGW41" s="1172"/>
      <c r="WGX41" s="1172"/>
      <c r="WGY41" s="1172"/>
      <c r="WGZ41" s="1172"/>
      <c r="WHA41" s="1172"/>
      <c r="WHB41" s="1172"/>
      <c r="WHC41" s="1172"/>
      <c r="WHD41" s="1172"/>
      <c r="WHE41" s="1172"/>
      <c r="WHF41" s="1172"/>
      <c r="WHG41" s="1172"/>
      <c r="WHH41" s="1172"/>
      <c r="WHI41" s="1172"/>
      <c r="WHJ41" s="1172"/>
      <c r="WHK41" s="1172"/>
      <c r="WHL41" s="1172"/>
      <c r="WHM41" s="1172"/>
      <c r="WHN41" s="1172"/>
      <c r="WHO41" s="1172"/>
      <c r="WHP41" s="1172"/>
      <c r="WHQ41" s="1172"/>
      <c r="WHR41" s="1172"/>
      <c r="WHS41" s="1172"/>
      <c r="WHT41" s="1172"/>
      <c r="WHU41" s="1172"/>
      <c r="WHV41" s="1172"/>
      <c r="WHW41" s="1172"/>
      <c r="WHX41" s="1172"/>
      <c r="WHY41" s="1172"/>
      <c r="WHZ41" s="1172"/>
      <c r="WIA41" s="1172"/>
      <c r="WIB41" s="1172"/>
      <c r="WIC41" s="1172"/>
      <c r="WID41" s="1172"/>
      <c r="WIE41" s="1172"/>
      <c r="WIF41" s="1172"/>
      <c r="WIG41" s="1172"/>
      <c r="WIH41" s="1172"/>
      <c r="WII41" s="1172"/>
      <c r="WIJ41" s="1172"/>
      <c r="WIK41" s="1172"/>
      <c r="WIL41" s="1172"/>
      <c r="WIM41" s="1172"/>
      <c r="WIN41" s="1172"/>
      <c r="WIO41" s="1172"/>
      <c r="WIP41" s="1172"/>
      <c r="WIQ41" s="1172"/>
      <c r="WIR41" s="1172"/>
      <c r="WIS41" s="1172"/>
      <c r="WIT41" s="1172"/>
      <c r="WIU41" s="1172"/>
      <c r="WIV41" s="1172"/>
      <c r="WIW41" s="1172"/>
      <c r="WIX41" s="1172"/>
      <c r="WIY41" s="1172"/>
      <c r="WIZ41" s="1172"/>
      <c r="WJA41" s="1172"/>
      <c r="WJB41" s="1172"/>
      <c r="WJC41" s="1172"/>
      <c r="WJD41" s="1172"/>
      <c r="WJE41" s="1172"/>
      <c r="WJF41" s="1172"/>
      <c r="WJG41" s="1172"/>
      <c r="WJH41" s="1172"/>
      <c r="WJI41" s="1172"/>
      <c r="WJJ41" s="1172"/>
      <c r="WJK41" s="1172"/>
      <c r="WJL41" s="1172"/>
      <c r="WJM41" s="1172"/>
      <c r="WJN41" s="1172"/>
      <c r="WJO41" s="1172"/>
      <c r="WJP41" s="1172"/>
      <c r="WJQ41" s="1172"/>
      <c r="WJR41" s="1172"/>
      <c r="WJS41" s="1172"/>
      <c r="WJT41" s="1172"/>
      <c r="WJU41" s="1172"/>
      <c r="WJV41" s="1172"/>
      <c r="WJW41" s="1172"/>
      <c r="WJX41" s="1172"/>
      <c r="WJY41" s="1172"/>
      <c r="WJZ41" s="1172"/>
      <c r="WKA41" s="1172"/>
      <c r="WKB41" s="1172"/>
      <c r="WKC41" s="1172"/>
      <c r="WKD41" s="1172"/>
      <c r="WKE41" s="1172"/>
      <c r="WKF41" s="1172"/>
      <c r="WKG41" s="1172"/>
      <c r="WKH41" s="1172"/>
      <c r="WKI41" s="1172"/>
      <c r="WKJ41" s="1172"/>
      <c r="WKK41" s="1172"/>
      <c r="WKL41" s="1172"/>
      <c r="WKM41" s="1172"/>
      <c r="WKN41" s="1172"/>
      <c r="WKO41" s="1172"/>
      <c r="WKP41" s="1172"/>
      <c r="WKQ41" s="1172"/>
      <c r="WKR41" s="1172"/>
      <c r="WKS41" s="1172"/>
      <c r="WKT41" s="1172"/>
      <c r="WKU41" s="1172"/>
      <c r="WKV41" s="1172"/>
      <c r="WKW41" s="1172"/>
      <c r="WKX41" s="1172"/>
      <c r="WKY41" s="1172"/>
      <c r="WKZ41" s="1172"/>
      <c r="WLA41" s="1172"/>
      <c r="WLB41" s="1172"/>
      <c r="WLC41" s="1172"/>
      <c r="WLD41" s="1172"/>
      <c r="WLE41" s="1172"/>
      <c r="WLF41" s="1172"/>
      <c r="WLG41" s="1172"/>
      <c r="WLH41" s="1172"/>
      <c r="WLI41" s="1172"/>
      <c r="WLJ41" s="1172"/>
      <c r="WLK41" s="1172"/>
      <c r="WLL41" s="1172"/>
      <c r="WLM41" s="1172"/>
      <c r="WLN41" s="1172"/>
      <c r="WLO41" s="1172"/>
      <c r="WLP41" s="1172"/>
      <c r="WLQ41" s="1172"/>
      <c r="WLR41" s="1172"/>
      <c r="WLS41" s="1172"/>
      <c r="WLT41" s="1172"/>
      <c r="WLU41" s="1172"/>
      <c r="WLV41" s="1172"/>
      <c r="WLW41" s="1172"/>
      <c r="WLX41" s="1172"/>
      <c r="WLY41" s="1172"/>
      <c r="WLZ41" s="1172"/>
      <c r="WMA41" s="1172"/>
      <c r="WMB41" s="1172"/>
      <c r="WMC41" s="1172"/>
      <c r="WMD41" s="1172"/>
      <c r="WME41" s="1172"/>
      <c r="WMF41" s="1172"/>
      <c r="WMG41" s="1172"/>
      <c r="WMH41" s="1172"/>
      <c r="WMI41" s="1172"/>
      <c r="WMJ41" s="1172"/>
      <c r="WMK41" s="1172"/>
      <c r="WML41" s="1172"/>
      <c r="WMM41" s="1172"/>
      <c r="WMN41" s="1172"/>
      <c r="WMO41" s="1172"/>
      <c r="WMP41" s="1172"/>
      <c r="WMQ41" s="1172"/>
      <c r="WMR41" s="1172"/>
      <c r="WMS41" s="1172"/>
      <c r="WMT41" s="1172"/>
      <c r="WMU41" s="1172"/>
      <c r="WMV41" s="1172"/>
      <c r="WMW41" s="1172"/>
      <c r="WMX41" s="1172"/>
      <c r="WMY41" s="1172"/>
      <c r="WMZ41" s="1172"/>
      <c r="WNA41" s="1172"/>
      <c r="WNB41" s="1172"/>
      <c r="WNC41" s="1172"/>
      <c r="WND41" s="1172"/>
      <c r="WNE41" s="1172"/>
      <c r="WNF41" s="1172"/>
      <c r="WNG41" s="1172"/>
      <c r="WNH41" s="1172"/>
      <c r="WNI41" s="1172"/>
      <c r="WNJ41" s="1172"/>
      <c r="WNK41" s="1172"/>
      <c r="WNL41" s="1172"/>
      <c r="WNM41" s="1172"/>
      <c r="WNN41" s="1172"/>
      <c r="WNO41" s="1172"/>
      <c r="WNP41" s="1172"/>
      <c r="WNQ41" s="1172"/>
      <c r="WNR41" s="1172"/>
      <c r="WNS41" s="1172"/>
      <c r="WNT41" s="1172"/>
      <c r="WNU41" s="1172"/>
      <c r="WNV41" s="1172"/>
      <c r="WNW41" s="1172"/>
      <c r="WNX41" s="1172"/>
      <c r="WNY41" s="1172"/>
      <c r="WNZ41" s="1172"/>
      <c r="WOA41" s="1172"/>
      <c r="WOB41" s="1172"/>
      <c r="WOC41" s="1172"/>
      <c r="WOD41" s="1172"/>
      <c r="WOE41" s="1172"/>
      <c r="WOF41" s="1172"/>
      <c r="WOG41" s="1172"/>
      <c r="WOH41" s="1172"/>
      <c r="WOI41" s="1172"/>
      <c r="WOJ41" s="1172"/>
      <c r="WOK41" s="1172"/>
      <c r="WOL41" s="1172"/>
      <c r="WOM41" s="1172"/>
      <c r="WON41" s="1172"/>
      <c r="WOO41" s="1172"/>
      <c r="WOP41" s="1172"/>
      <c r="WOQ41" s="1172"/>
      <c r="WOR41" s="1172"/>
      <c r="WOS41" s="1172"/>
      <c r="WOT41" s="1172"/>
      <c r="WOU41" s="1172"/>
      <c r="WOV41" s="1172"/>
      <c r="WOW41" s="1172"/>
      <c r="WOX41" s="1172"/>
      <c r="WOY41" s="1172"/>
      <c r="WOZ41" s="1172"/>
      <c r="WPA41" s="1172"/>
      <c r="WPB41" s="1172"/>
      <c r="WPC41" s="1172"/>
      <c r="WPD41" s="1172"/>
      <c r="WPE41" s="1172"/>
      <c r="WPF41" s="1172"/>
      <c r="WPG41" s="1172"/>
      <c r="WPH41" s="1172"/>
      <c r="WPI41" s="1172"/>
      <c r="WPJ41" s="1172"/>
      <c r="WPK41" s="1172"/>
      <c r="WPL41" s="1172"/>
      <c r="WPM41" s="1172"/>
      <c r="WPN41" s="1172"/>
      <c r="WPO41" s="1172"/>
      <c r="WPP41" s="1172"/>
      <c r="WPQ41" s="1172"/>
      <c r="WPR41" s="1172"/>
      <c r="WPS41" s="1172"/>
      <c r="WPT41" s="1172"/>
      <c r="WPU41" s="1172"/>
      <c r="WPV41" s="1172"/>
      <c r="WPW41" s="1172"/>
      <c r="WPX41" s="1172"/>
      <c r="WPY41" s="1172"/>
      <c r="WPZ41" s="1172"/>
      <c r="WQA41" s="1172"/>
      <c r="WQB41" s="1172"/>
      <c r="WQC41" s="1172"/>
      <c r="WQD41" s="1172"/>
      <c r="WQE41" s="1172"/>
      <c r="WQF41" s="1172"/>
      <c r="WQG41" s="1172"/>
      <c r="WQH41" s="1172"/>
      <c r="WQI41" s="1172"/>
      <c r="WQJ41" s="1172"/>
      <c r="WQK41" s="1172"/>
      <c r="WQL41" s="1172"/>
      <c r="WQM41" s="1172"/>
      <c r="WQN41" s="1172"/>
      <c r="WQO41" s="1172"/>
      <c r="WQP41" s="1172"/>
      <c r="WQQ41" s="1172"/>
      <c r="WQR41" s="1172"/>
      <c r="WQS41" s="1172"/>
      <c r="WQT41" s="1172"/>
      <c r="WQU41" s="1172"/>
      <c r="WQV41" s="1172"/>
      <c r="WQW41" s="1172"/>
      <c r="WQX41" s="1172"/>
      <c r="WQY41" s="1172"/>
      <c r="WQZ41" s="1172"/>
      <c r="WRA41" s="1172"/>
      <c r="WRB41" s="1172"/>
      <c r="WRC41" s="1172"/>
      <c r="WRD41" s="1172"/>
      <c r="WRE41" s="1172"/>
      <c r="WRF41" s="1172"/>
      <c r="WRG41" s="1172"/>
      <c r="WRH41" s="1172"/>
      <c r="WRI41" s="1172"/>
      <c r="WRJ41" s="1172"/>
      <c r="WRK41" s="1172"/>
      <c r="WRL41" s="1172"/>
      <c r="WRM41" s="1172"/>
      <c r="WRN41" s="1172"/>
      <c r="WRO41" s="1172"/>
      <c r="WRP41" s="1172"/>
      <c r="WRQ41" s="1172"/>
      <c r="WRR41" s="1172"/>
      <c r="WRS41" s="1172"/>
      <c r="WRT41" s="1172"/>
      <c r="WRU41" s="1172"/>
      <c r="WRV41" s="1172"/>
      <c r="WRW41" s="1172"/>
      <c r="WRX41" s="1172"/>
      <c r="WRY41" s="1172"/>
      <c r="WRZ41" s="1172"/>
      <c r="WSA41" s="1172"/>
      <c r="WSB41" s="1172"/>
      <c r="WSC41" s="1172"/>
      <c r="WSD41" s="1172"/>
      <c r="WSE41" s="1172"/>
      <c r="WSF41" s="1172"/>
      <c r="WSG41" s="1172"/>
      <c r="WSH41" s="1172"/>
      <c r="WSI41" s="1172"/>
      <c r="WSJ41" s="1172"/>
      <c r="WSK41" s="1172"/>
      <c r="WSL41" s="1172"/>
      <c r="WSM41" s="1172"/>
      <c r="WSN41" s="1172"/>
      <c r="WSO41" s="1172"/>
      <c r="WSP41" s="1172"/>
      <c r="WSQ41" s="1172"/>
      <c r="WSR41" s="1172"/>
      <c r="WSS41" s="1172"/>
      <c r="WST41" s="1172"/>
      <c r="WSU41" s="1172"/>
      <c r="WSV41" s="1172"/>
      <c r="WSW41" s="1172"/>
      <c r="WSX41" s="1172"/>
      <c r="WSY41" s="1172"/>
      <c r="WSZ41" s="1172"/>
      <c r="WTA41" s="1172"/>
      <c r="WTB41" s="1172"/>
      <c r="WTC41" s="1172"/>
      <c r="WTD41" s="1172"/>
      <c r="WTE41" s="1172"/>
      <c r="WTF41" s="1172"/>
      <c r="WTG41" s="1172"/>
      <c r="WTH41" s="1172"/>
      <c r="WTI41" s="1172"/>
      <c r="WTJ41" s="1172"/>
      <c r="WTK41" s="1172"/>
      <c r="WTL41" s="1172"/>
      <c r="WTM41" s="1172"/>
      <c r="WTN41" s="1172"/>
      <c r="WTO41" s="1172"/>
      <c r="WTP41" s="1172"/>
      <c r="WTQ41" s="1172"/>
      <c r="WTR41" s="1172"/>
      <c r="WTS41" s="1172"/>
      <c r="WTT41" s="1172"/>
      <c r="WTU41" s="1172"/>
      <c r="WTV41" s="1172"/>
      <c r="WTW41" s="1172"/>
      <c r="WTX41" s="1172"/>
      <c r="WTY41" s="1172"/>
      <c r="WTZ41" s="1172"/>
      <c r="WUA41" s="1172"/>
      <c r="WUB41" s="1172"/>
      <c r="WUC41" s="1172"/>
      <c r="WUD41" s="1172"/>
      <c r="WUE41" s="1172"/>
      <c r="WUF41" s="1172"/>
      <c r="WUG41" s="1172"/>
      <c r="WUH41" s="1172"/>
      <c r="WUI41" s="1172"/>
      <c r="WUJ41" s="1172"/>
      <c r="WUK41" s="1172"/>
      <c r="WUL41" s="1172"/>
      <c r="WUM41" s="1172"/>
      <c r="WUN41" s="1172"/>
      <c r="WUO41" s="1172"/>
      <c r="WUP41" s="1172"/>
      <c r="WUQ41" s="1172"/>
      <c r="WUR41" s="1172"/>
      <c r="WUS41" s="1172"/>
      <c r="WUT41" s="1172"/>
      <c r="WUU41" s="1172"/>
      <c r="WUV41" s="1172"/>
      <c r="WUW41" s="1172"/>
      <c r="WUX41" s="1172"/>
      <c r="WUY41" s="1172"/>
      <c r="WUZ41" s="1172"/>
      <c r="WVA41" s="1172"/>
      <c r="WVB41" s="1172"/>
      <c r="WVC41" s="1172"/>
      <c r="WVD41" s="1172"/>
      <c r="WVE41" s="1172"/>
      <c r="WVF41" s="1172"/>
      <c r="WVG41" s="1172"/>
      <c r="WVH41" s="1172"/>
      <c r="WVI41" s="1172"/>
      <c r="WVJ41" s="1172"/>
      <c r="WVK41" s="1172"/>
      <c r="WVL41" s="1172"/>
      <c r="WVM41" s="1172"/>
      <c r="WVN41" s="1172"/>
      <c r="WVO41" s="1172"/>
      <c r="WVP41" s="1172"/>
      <c r="WVQ41" s="1172"/>
      <c r="WVR41" s="1172"/>
      <c r="WVS41" s="1172"/>
      <c r="WVT41" s="1172"/>
      <c r="WVU41" s="1172"/>
      <c r="WVV41" s="1172"/>
      <c r="WVW41" s="1172"/>
      <c r="WVX41" s="1172"/>
      <c r="WVY41" s="1172"/>
      <c r="WVZ41" s="1172"/>
      <c r="WWA41" s="1172"/>
      <c r="WWB41" s="1172"/>
      <c r="WWC41" s="1172"/>
      <c r="WWD41" s="1172"/>
      <c r="WWE41" s="1172"/>
      <c r="WWF41" s="1172"/>
      <c r="WWG41" s="1172"/>
      <c r="WWH41" s="1172"/>
      <c r="WWI41" s="1172"/>
      <c r="WWJ41" s="1172"/>
      <c r="WWK41" s="1172"/>
      <c r="WWL41" s="1172"/>
      <c r="WWM41" s="1172"/>
      <c r="WWN41" s="1172"/>
      <c r="WWO41" s="1172"/>
      <c r="WWP41" s="1172"/>
      <c r="WWQ41" s="1172"/>
      <c r="WWR41" s="1172"/>
      <c r="WWS41" s="1172"/>
      <c r="WWT41" s="1172"/>
      <c r="WWU41" s="1172"/>
      <c r="WWV41" s="1172"/>
      <c r="WWW41" s="1172"/>
      <c r="WWX41" s="1172"/>
      <c r="WWY41" s="1172"/>
      <c r="WWZ41" s="1172"/>
      <c r="WXA41" s="1172"/>
      <c r="WXB41" s="1172"/>
      <c r="WXC41" s="1172"/>
      <c r="WXD41" s="1172"/>
      <c r="WXE41" s="1172"/>
      <c r="WXF41" s="1172"/>
      <c r="WXG41" s="1172"/>
      <c r="WXH41" s="1172"/>
      <c r="WXI41" s="1172"/>
      <c r="WXJ41" s="1172"/>
      <c r="WXK41" s="1172"/>
      <c r="WXL41" s="1172"/>
      <c r="WXM41" s="1172"/>
      <c r="WXN41" s="1172"/>
      <c r="WXO41" s="1172"/>
      <c r="WXP41" s="1172"/>
      <c r="WXQ41" s="1172"/>
      <c r="WXR41" s="1172"/>
      <c r="WXS41" s="1172"/>
      <c r="WXT41" s="1172"/>
      <c r="WXU41" s="1172"/>
      <c r="WXV41" s="1172"/>
      <c r="WXW41" s="1172"/>
      <c r="WXX41" s="1172"/>
      <c r="WXY41" s="1172"/>
      <c r="WXZ41" s="1172"/>
      <c r="WYA41" s="1172"/>
      <c r="WYB41" s="1172"/>
      <c r="WYC41" s="1172"/>
      <c r="WYD41" s="1172"/>
      <c r="WYE41" s="1172"/>
      <c r="WYF41" s="1172"/>
      <c r="WYG41" s="1172"/>
      <c r="WYH41" s="1172"/>
      <c r="WYI41" s="1172"/>
      <c r="WYJ41" s="1172"/>
      <c r="WYK41" s="1172"/>
      <c r="WYL41" s="1172"/>
      <c r="WYM41" s="1172"/>
      <c r="WYN41" s="1172"/>
      <c r="WYO41" s="1172"/>
      <c r="WYP41" s="1172"/>
      <c r="WYQ41" s="1172"/>
      <c r="WYR41" s="1172"/>
      <c r="WYS41" s="1172"/>
      <c r="WYT41" s="1172"/>
      <c r="WYU41" s="1172"/>
      <c r="WYV41" s="1172"/>
      <c r="WYW41" s="1172"/>
      <c r="WYX41" s="1172"/>
      <c r="WYY41" s="1172"/>
      <c r="WYZ41" s="1172"/>
      <c r="WZA41" s="1172"/>
      <c r="WZB41" s="1172"/>
      <c r="WZC41" s="1172"/>
      <c r="WZD41" s="1172"/>
      <c r="WZE41" s="1172"/>
      <c r="WZF41" s="1172"/>
      <c r="WZG41" s="1172"/>
      <c r="WZH41" s="1172"/>
      <c r="WZI41" s="1172"/>
      <c r="WZJ41" s="1172"/>
      <c r="WZK41" s="1172"/>
      <c r="WZL41" s="1172"/>
      <c r="WZM41" s="1172"/>
      <c r="WZN41" s="1172"/>
      <c r="WZO41" s="1172"/>
      <c r="WZP41" s="1172"/>
      <c r="WZQ41" s="1172"/>
      <c r="WZR41" s="1172"/>
      <c r="WZS41" s="1172"/>
      <c r="WZT41" s="1172"/>
      <c r="WZU41" s="1172"/>
      <c r="WZV41" s="1172"/>
      <c r="WZW41" s="1172"/>
      <c r="WZX41" s="1172"/>
      <c r="WZY41" s="1172"/>
      <c r="WZZ41" s="1172"/>
      <c r="XAA41" s="1172"/>
      <c r="XAB41" s="1172"/>
      <c r="XAC41" s="1172"/>
      <c r="XAD41" s="1172"/>
      <c r="XAE41" s="1172"/>
      <c r="XAF41" s="1172"/>
      <c r="XAG41" s="1172"/>
      <c r="XAH41" s="1172"/>
      <c r="XAI41" s="1172"/>
      <c r="XAJ41" s="1172"/>
      <c r="XAK41" s="1172"/>
      <c r="XAL41" s="1172"/>
      <c r="XAM41" s="1172"/>
      <c r="XAN41" s="1172"/>
      <c r="XAO41" s="1172"/>
      <c r="XAP41" s="1172"/>
      <c r="XAQ41" s="1172"/>
      <c r="XAR41" s="1172"/>
      <c r="XAS41" s="1172"/>
      <c r="XAT41" s="1172"/>
      <c r="XAU41" s="1172"/>
      <c r="XAV41" s="1172"/>
      <c r="XAW41" s="1172"/>
      <c r="XAX41" s="1172"/>
      <c r="XAY41" s="1172"/>
      <c r="XAZ41" s="1172"/>
      <c r="XBA41" s="1172"/>
      <c r="XBB41" s="1172"/>
      <c r="XBC41" s="1172"/>
      <c r="XBD41" s="1172"/>
      <c r="XBE41" s="1172"/>
      <c r="XBF41" s="1172"/>
      <c r="XBG41" s="1172"/>
      <c r="XBH41" s="1172"/>
      <c r="XBI41" s="1172"/>
      <c r="XBJ41" s="1172"/>
      <c r="XBK41" s="1172"/>
      <c r="XBL41" s="1172"/>
      <c r="XBM41" s="1172"/>
      <c r="XBN41" s="1172"/>
      <c r="XBO41" s="1172"/>
      <c r="XBP41" s="1172"/>
      <c r="XBQ41" s="1172"/>
      <c r="XBR41" s="1172"/>
      <c r="XBS41" s="1172"/>
      <c r="XBT41" s="1172"/>
      <c r="XBU41" s="1172"/>
      <c r="XBV41" s="1172"/>
      <c r="XBW41" s="1172"/>
      <c r="XBX41" s="1172"/>
      <c r="XBY41" s="1172"/>
      <c r="XBZ41" s="1172"/>
      <c r="XCA41" s="1172"/>
      <c r="XCB41" s="1172"/>
      <c r="XCC41" s="1172"/>
      <c r="XCD41" s="1172"/>
      <c r="XCE41" s="1172"/>
      <c r="XCF41" s="1172"/>
      <c r="XCG41" s="1172"/>
      <c r="XCH41" s="1172"/>
      <c r="XCI41" s="1172"/>
      <c r="XCJ41" s="1172"/>
      <c r="XCK41" s="1172"/>
      <c r="XCL41" s="1172"/>
      <c r="XCM41" s="1172"/>
      <c r="XCN41" s="1172"/>
      <c r="XCO41" s="1172"/>
      <c r="XCP41" s="1172"/>
      <c r="XCQ41" s="1172"/>
      <c r="XCR41" s="1172"/>
      <c r="XCS41" s="1172"/>
      <c r="XCT41" s="1172"/>
      <c r="XCU41" s="1172"/>
      <c r="XCV41" s="1172"/>
      <c r="XCW41" s="1172"/>
      <c r="XCX41" s="1172"/>
      <c r="XCY41" s="1172"/>
      <c r="XCZ41" s="1172"/>
      <c r="XDA41" s="1172"/>
      <c r="XDB41" s="1172"/>
      <c r="XDC41" s="1172"/>
      <c r="XDD41" s="1172"/>
      <c r="XDE41" s="1172"/>
      <c r="XDF41" s="1172"/>
      <c r="XDG41" s="1172"/>
      <c r="XDH41" s="1172"/>
      <c r="XDI41" s="1172"/>
      <c r="XDJ41" s="1172"/>
      <c r="XDK41" s="1172"/>
      <c r="XDL41" s="1172"/>
      <c r="XDM41" s="1172"/>
      <c r="XDN41" s="1172"/>
      <c r="XDO41" s="1172"/>
      <c r="XDP41" s="1172"/>
      <c r="XDQ41" s="1172"/>
      <c r="XDR41" s="1172"/>
      <c r="XDS41" s="1172"/>
      <c r="XDT41" s="1172"/>
      <c r="XDU41" s="1172"/>
      <c r="XDV41" s="1172"/>
      <c r="XDW41" s="1172"/>
      <c r="XDX41" s="1172"/>
      <c r="XDY41" s="1172"/>
      <c r="XDZ41" s="1172"/>
      <c r="XEA41" s="1172"/>
      <c r="XEB41" s="1172"/>
      <c r="XEC41" s="1172"/>
      <c r="XED41" s="1172"/>
      <c r="XEE41" s="1172"/>
      <c r="XEF41" s="1172"/>
      <c r="XEG41" s="1172"/>
      <c r="XEH41" s="1172"/>
      <c r="XEI41" s="1172"/>
      <c r="XEJ41" s="1172"/>
      <c r="XEK41" s="1172"/>
      <c r="XEL41" s="1172"/>
      <c r="XEM41" s="1172"/>
      <c r="XEN41" s="1172"/>
      <c r="XEO41" s="1172"/>
      <c r="XEP41" s="1172"/>
      <c r="XEQ41" s="1172"/>
      <c r="XER41" s="1172"/>
      <c r="XES41" s="1172"/>
      <c r="XET41" s="1172"/>
      <c r="XEU41" s="1172"/>
      <c r="XEV41" s="1172"/>
      <c r="XEW41" s="1172"/>
      <c r="XEX41" s="1172"/>
      <c r="XEY41" s="1172"/>
      <c r="XEZ41" s="1172"/>
      <c r="XFA41" s="1172"/>
    </row>
    <row r="42" spans="1:16381" ht="13.5" customHeight="1" x14ac:dyDescent="0.35">
      <c r="A42" s="783" t="s">
        <v>192</v>
      </c>
      <c r="B42" s="789">
        <v>3690</v>
      </c>
      <c r="C42" s="789">
        <v>2527</v>
      </c>
      <c r="D42" s="789">
        <v>0</v>
      </c>
      <c r="E42" s="789">
        <v>195</v>
      </c>
      <c r="F42" s="789">
        <v>719</v>
      </c>
      <c r="G42" s="930">
        <f t="shared" si="7"/>
        <v>7131</v>
      </c>
      <c r="I42" s="304"/>
      <c r="J42" s="304"/>
      <c r="K42" s="7"/>
      <c r="U42" s="473"/>
    </row>
    <row r="43" spans="1:16381" ht="14" customHeight="1" x14ac:dyDescent="0.35">
      <c r="A43" s="783" t="s">
        <v>258</v>
      </c>
      <c r="B43" s="789">
        <v>3644</v>
      </c>
      <c r="C43" s="789">
        <v>2546</v>
      </c>
      <c r="D43" s="789">
        <v>0</v>
      </c>
      <c r="E43" s="789">
        <v>160</v>
      </c>
      <c r="F43" s="789">
        <v>745</v>
      </c>
      <c r="G43" s="930">
        <f t="shared" si="7"/>
        <v>7095</v>
      </c>
      <c r="I43" s="304"/>
      <c r="J43" s="304"/>
      <c r="K43" s="16"/>
      <c r="U43" s="473"/>
    </row>
    <row r="44" spans="1:16381" ht="13.5" customHeight="1" x14ac:dyDescent="0.35">
      <c r="A44" s="783" t="s">
        <v>242</v>
      </c>
      <c r="B44" s="789">
        <v>3544</v>
      </c>
      <c r="C44" s="789">
        <v>2545</v>
      </c>
      <c r="D44" s="789">
        <v>0</v>
      </c>
      <c r="E44" s="789">
        <v>184</v>
      </c>
      <c r="F44" s="789">
        <v>759</v>
      </c>
      <c r="G44" s="930">
        <f t="shared" si="7"/>
        <v>7032</v>
      </c>
      <c r="I44" s="304"/>
      <c r="J44" s="304"/>
      <c r="K44" s="16"/>
      <c r="U44" s="473"/>
    </row>
    <row r="45" spans="1:16381" ht="13" customHeight="1" x14ac:dyDescent="0.35">
      <c r="A45" s="783" t="s">
        <v>241</v>
      </c>
      <c r="B45" s="789">
        <v>3636</v>
      </c>
      <c r="C45" s="789">
        <v>2584</v>
      </c>
      <c r="D45" s="789">
        <v>18</v>
      </c>
      <c r="E45" s="789">
        <v>202</v>
      </c>
      <c r="F45" s="789">
        <v>746</v>
      </c>
      <c r="G45" s="930">
        <f t="shared" si="7"/>
        <v>7186</v>
      </c>
      <c r="I45" s="304"/>
      <c r="J45" s="304"/>
      <c r="K45" s="16"/>
      <c r="U45" s="473"/>
    </row>
    <row r="46" spans="1:16381" ht="13" customHeight="1" x14ac:dyDescent="0.35">
      <c r="A46" s="783" t="s">
        <v>773</v>
      </c>
      <c r="B46" s="789">
        <v>3634</v>
      </c>
      <c r="C46" s="789">
        <v>2552</v>
      </c>
      <c r="D46" s="789">
        <v>36</v>
      </c>
      <c r="E46" s="789">
        <v>184</v>
      </c>
      <c r="F46" s="789">
        <v>764</v>
      </c>
      <c r="G46" s="930">
        <f t="shared" si="7"/>
        <v>7170</v>
      </c>
      <c r="I46" s="309"/>
      <c r="J46" s="304"/>
      <c r="K46" s="16"/>
      <c r="U46" s="473"/>
    </row>
    <row r="47" spans="1:16381" ht="13.5" customHeight="1" x14ac:dyDescent="0.35">
      <c r="A47" s="784" t="s">
        <v>951</v>
      </c>
      <c r="B47" s="831">
        <v>3581</v>
      </c>
      <c r="C47" s="831">
        <v>2482</v>
      </c>
      <c r="D47" s="831">
        <v>54</v>
      </c>
      <c r="E47" s="831">
        <v>176</v>
      </c>
      <c r="F47" s="831">
        <v>787</v>
      </c>
      <c r="G47" s="931">
        <f t="shared" si="7"/>
        <v>7080</v>
      </c>
      <c r="I47" s="20"/>
      <c r="J47" s="15"/>
      <c r="K47" s="7"/>
      <c r="U47" s="473"/>
    </row>
    <row r="48" spans="1:16381" ht="17.5" x14ac:dyDescent="0.35">
      <c r="A48" s="819"/>
      <c r="B48" s="820"/>
      <c r="C48" s="820"/>
      <c r="D48" s="820"/>
      <c r="E48" s="820"/>
      <c r="F48" s="820"/>
      <c r="G48" s="19"/>
      <c r="I48" s="20"/>
      <c r="J48" s="15"/>
      <c r="K48" s="7"/>
      <c r="U48" s="473"/>
    </row>
    <row r="49" spans="1:21" ht="15" customHeight="1" x14ac:dyDescent="0.35">
      <c r="A49" s="1174" t="str">
        <f>"One Year Change "&amp;A46&amp;" to " &amp; A47</f>
        <v>One Year Change 2019-20 to 2020-21</v>
      </c>
      <c r="B49" s="1174"/>
      <c r="C49" s="1174"/>
      <c r="D49" s="816"/>
      <c r="E49" s="21"/>
      <c r="F49" s="21"/>
      <c r="G49" s="21"/>
      <c r="I49" s="15"/>
      <c r="J49" s="15"/>
      <c r="K49" s="18"/>
      <c r="U49" s="473"/>
    </row>
    <row r="50" spans="1:21" ht="15" customHeight="1" x14ac:dyDescent="0.35">
      <c r="A50" s="22" t="s">
        <v>6</v>
      </c>
      <c r="B50" s="9">
        <f>B47-B46</f>
        <v>-53</v>
      </c>
      <c r="C50" s="9">
        <f t="shared" ref="C50:G50" si="8">C47-C46</f>
        <v>-70</v>
      </c>
      <c r="D50" s="9">
        <f t="shared" si="8"/>
        <v>18</v>
      </c>
      <c r="E50" s="9">
        <f t="shared" si="8"/>
        <v>-8</v>
      </c>
      <c r="F50" s="9">
        <f t="shared" si="8"/>
        <v>23</v>
      </c>
      <c r="G50" s="9">
        <f t="shared" si="8"/>
        <v>-90</v>
      </c>
      <c r="I50" s="23"/>
      <c r="J50" s="23"/>
      <c r="K50" s="18"/>
      <c r="U50" s="473"/>
    </row>
    <row r="51" spans="1:21" ht="15" customHeight="1" thickBot="1" x14ac:dyDescent="0.4">
      <c r="A51" s="10" t="s">
        <v>7</v>
      </c>
      <c r="B51" s="310">
        <f>B50/B46</f>
        <v>-1.4584479911942764E-2</v>
      </c>
      <c r="C51" s="310">
        <f t="shared" ref="C51:G51" si="9">C50/C46</f>
        <v>-2.7429467084639499E-2</v>
      </c>
      <c r="D51" s="310">
        <f t="shared" si="9"/>
        <v>0.5</v>
      </c>
      <c r="E51" s="310">
        <f t="shared" si="9"/>
        <v>-4.3478260869565216E-2</v>
      </c>
      <c r="F51" s="310">
        <f t="shared" si="9"/>
        <v>3.0104712041884817E-2</v>
      </c>
      <c r="G51" s="310">
        <f t="shared" si="9"/>
        <v>-1.2552301255230125E-2</v>
      </c>
      <c r="I51" s="311"/>
      <c r="J51" s="311"/>
      <c r="K51" s="16"/>
      <c r="U51" s="473"/>
    </row>
    <row r="52" spans="1:21" ht="15" customHeight="1" x14ac:dyDescent="0.35">
      <c r="A52" s="24"/>
      <c r="B52" s="15"/>
      <c r="C52" s="15"/>
      <c r="D52" s="15"/>
      <c r="E52" s="15"/>
      <c r="F52" s="15"/>
      <c r="G52" s="15"/>
      <c r="I52" s="15"/>
      <c r="J52" s="26"/>
      <c r="K52" s="16"/>
      <c r="U52" s="473"/>
    </row>
    <row r="53" spans="1:21" ht="15" customHeight="1" x14ac:dyDescent="0.35">
      <c r="A53" s="1174" t="str">
        <f>"Five Year Change "&amp;A42&amp;" to " &amp; A47</f>
        <v>Five Year Change 2015-16 to 2020-21</v>
      </c>
      <c r="B53" s="1174"/>
      <c r="C53" s="1174"/>
      <c r="D53" s="816"/>
      <c r="E53" s="21"/>
      <c r="F53" s="21"/>
      <c r="G53" s="21"/>
      <c r="I53" s="15"/>
      <c r="J53" s="26"/>
      <c r="K53" s="7"/>
      <c r="U53" s="473"/>
    </row>
    <row r="54" spans="1:21" ht="15" customHeight="1" x14ac:dyDescent="0.35">
      <c r="A54" s="22" t="s">
        <v>6</v>
      </c>
      <c r="B54" s="9">
        <f>B47-B42</f>
        <v>-109</v>
      </c>
      <c r="C54" s="9">
        <f t="shared" ref="C54:G54" si="10">C47-C42</f>
        <v>-45</v>
      </c>
      <c r="D54" s="9">
        <f t="shared" si="10"/>
        <v>54</v>
      </c>
      <c r="E54" s="9">
        <f t="shared" si="10"/>
        <v>-19</v>
      </c>
      <c r="F54" s="9">
        <f t="shared" si="10"/>
        <v>68</v>
      </c>
      <c r="G54" s="9">
        <f t="shared" si="10"/>
        <v>-51</v>
      </c>
      <c r="I54" s="15"/>
      <c r="J54" s="26"/>
      <c r="K54" s="15"/>
      <c r="U54" s="473"/>
    </row>
    <row r="55" spans="1:21" ht="15" customHeight="1" thickBot="1" x14ac:dyDescent="0.4">
      <c r="A55" s="10" t="s">
        <v>7</v>
      </c>
      <c r="B55" s="310">
        <f>B54/B42</f>
        <v>-2.953929539295393E-2</v>
      </c>
      <c r="C55" s="310">
        <f t="shared" ref="C55:G55" si="11">C54/C42</f>
        <v>-1.7807677087455481E-2</v>
      </c>
      <c r="D55" s="310"/>
      <c r="E55" s="310">
        <f t="shared" si="11"/>
        <v>-9.7435897435897437E-2</v>
      </c>
      <c r="F55" s="310">
        <f t="shared" si="11"/>
        <v>9.4575799721835885E-2</v>
      </c>
      <c r="G55" s="310">
        <f t="shared" si="11"/>
        <v>-7.1518721076987797E-3</v>
      </c>
      <c r="I55" s="15"/>
      <c r="J55" s="26"/>
      <c r="K55" s="15"/>
      <c r="U55" s="473"/>
    </row>
    <row r="56" spans="1:21" ht="15" customHeight="1" x14ac:dyDescent="0.35">
      <c r="A56" s="24"/>
      <c r="B56" s="15"/>
      <c r="C56" s="15"/>
      <c r="D56" s="15"/>
      <c r="E56" s="15"/>
      <c r="F56" s="15"/>
      <c r="G56" s="16"/>
      <c r="H56" s="15"/>
      <c r="I56" s="15"/>
      <c r="J56" s="26"/>
      <c r="K56" s="15"/>
      <c r="U56" s="473"/>
    </row>
    <row r="57" spans="1:21" ht="15" customHeight="1" x14ac:dyDescent="0.35">
      <c r="A57" s="359" t="s">
        <v>8</v>
      </c>
      <c r="K57" s="26"/>
      <c r="U57" s="473"/>
    </row>
    <row r="58" spans="1:21" ht="15" customHeight="1" x14ac:dyDescent="0.35">
      <c r="A58" s="1158" t="s">
        <v>214</v>
      </c>
      <c r="B58" s="1158"/>
      <c r="C58" s="1158"/>
      <c r="D58" s="1158"/>
      <c r="E58" s="1158"/>
      <c r="F58" s="1158"/>
      <c r="G58" s="1158"/>
      <c r="H58" s="1158"/>
      <c r="I58" s="1158"/>
      <c r="J58" s="1158"/>
      <c r="K58" s="26"/>
      <c r="U58" s="473"/>
    </row>
    <row r="59" spans="1:21" ht="15" customHeight="1" x14ac:dyDescent="0.35">
      <c r="A59" t="s">
        <v>213</v>
      </c>
      <c r="K59" s="26"/>
      <c r="U59" s="473"/>
    </row>
    <row r="60" spans="1:21" ht="15" customHeight="1" x14ac:dyDescent="0.35">
      <c r="A60" s="438" t="s">
        <v>440</v>
      </c>
      <c r="E60" s="438"/>
      <c r="K60" s="26"/>
      <c r="U60" s="473"/>
    </row>
    <row r="61" spans="1:21" ht="30.75" customHeight="1" x14ac:dyDescent="0.35">
      <c r="A61" s="1173" t="s">
        <v>848</v>
      </c>
      <c r="B61" s="1173"/>
      <c r="C61" s="1173"/>
      <c r="D61" s="1173"/>
      <c r="E61" s="1173"/>
      <c r="F61" s="1173"/>
      <c r="G61" s="1173"/>
      <c r="H61" s="1173"/>
      <c r="I61" s="1173"/>
      <c r="J61" s="1173"/>
      <c r="K61" s="26"/>
      <c r="U61" s="473"/>
    </row>
    <row r="62" spans="1:21" ht="15" customHeight="1" x14ac:dyDescent="0.35">
      <c r="K62" s="26"/>
      <c r="L62" s="473"/>
      <c r="M62" s="473"/>
      <c r="N62" s="473"/>
      <c r="O62" s="473"/>
      <c r="P62" s="473"/>
      <c r="Q62" s="473"/>
      <c r="R62" s="473"/>
      <c r="S62" s="473"/>
      <c r="T62" s="473"/>
      <c r="U62" s="473"/>
    </row>
    <row r="63" spans="1:21" ht="15" customHeight="1" x14ac:dyDescent="0.35">
      <c r="K63" s="26"/>
      <c r="L63" s="473"/>
      <c r="M63" s="473"/>
      <c r="N63" s="473"/>
      <c r="O63" s="473"/>
      <c r="P63" s="473"/>
      <c r="Q63" s="473"/>
      <c r="R63" s="473"/>
      <c r="S63" s="473"/>
      <c r="T63" s="473"/>
      <c r="U63" s="473"/>
    </row>
    <row r="64" spans="1:21" ht="15" customHeight="1" x14ac:dyDescent="0.35">
      <c r="K64" s="15"/>
      <c r="L64" s="473"/>
      <c r="M64" s="473"/>
      <c r="N64" s="473"/>
      <c r="O64" s="473"/>
      <c r="P64" s="473"/>
      <c r="Q64" s="473"/>
      <c r="R64" s="473"/>
      <c r="S64" s="473"/>
      <c r="T64" s="473"/>
      <c r="U64" s="473"/>
    </row>
    <row r="65" spans="11:21" x14ac:dyDescent="0.35">
      <c r="K65" s="15"/>
      <c r="L65" s="473"/>
      <c r="M65" s="473"/>
      <c r="N65" s="473"/>
      <c r="O65" s="473"/>
      <c r="P65" s="473"/>
      <c r="Q65" s="473"/>
      <c r="R65" s="473"/>
      <c r="S65" s="473"/>
      <c r="T65" s="473"/>
      <c r="U65" s="473"/>
    </row>
    <row r="66" spans="11:21" x14ac:dyDescent="0.35">
      <c r="K66" s="26"/>
      <c r="L66" s="473"/>
      <c r="M66" s="473"/>
      <c r="N66" s="473"/>
      <c r="O66" s="473"/>
      <c r="P66" s="473"/>
      <c r="Q66" s="473"/>
      <c r="R66" s="473"/>
      <c r="S66" s="473"/>
      <c r="T66" s="473"/>
      <c r="U66" s="473"/>
    </row>
    <row r="67" spans="11:21" ht="14.15" customHeight="1" x14ac:dyDescent="0.35">
      <c r="K67" s="26"/>
      <c r="L67" s="473"/>
      <c r="M67" s="473"/>
      <c r="N67" s="473"/>
      <c r="O67" s="473"/>
      <c r="P67" s="473"/>
      <c r="Q67" s="473"/>
      <c r="R67" s="473"/>
      <c r="S67" s="473"/>
      <c r="T67" s="473"/>
      <c r="U67" s="473"/>
    </row>
    <row r="68" spans="11:21" ht="15.75" customHeight="1" x14ac:dyDescent="0.35">
      <c r="K68" s="15"/>
      <c r="L68" s="473"/>
      <c r="M68" s="473"/>
      <c r="N68" s="473"/>
      <c r="O68" s="473"/>
      <c r="P68" s="473"/>
      <c r="Q68" s="473"/>
      <c r="R68" s="473"/>
      <c r="S68" s="473"/>
      <c r="T68" s="473"/>
      <c r="U68" s="473"/>
    </row>
    <row r="69" spans="11:21" x14ac:dyDescent="0.35">
      <c r="K69" s="15"/>
      <c r="L69" s="473"/>
      <c r="M69" s="473"/>
      <c r="N69" s="473"/>
      <c r="O69" s="473"/>
      <c r="P69" s="473"/>
      <c r="Q69" s="473"/>
      <c r="R69" s="473"/>
      <c r="S69" s="473"/>
      <c r="T69" s="473"/>
      <c r="U69" s="473"/>
    </row>
    <row r="70" spans="11:21" x14ac:dyDescent="0.35">
      <c r="L70" s="473"/>
      <c r="M70" s="473"/>
      <c r="N70" s="473"/>
      <c r="O70" s="473"/>
      <c r="P70" s="473"/>
      <c r="Q70" s="473"/>
      <c r="R70" s="473"/>
      <c r="S70" s="473"/>
      <c r="T70" s="473"/>
      <c r="U70" s="473"/>
    </row>
    <row r="71" spans="11:21" x14ac:dyDescent="0.35">
      <c r="L71" s="473"/>
      <c r="M71" s="473"/>
      <c r="N71" s="473"/>
      <c r="O71" s="473"/>
      <c r="P71" s="473"/>
      <c r="Q71" s="473"/>
      <c r="R71" s="473"/>
      <c r="S71" s="473"/>
      <c r="T71" s="473"/>
      <c r="U71" s="473"/>
    </row>
    <row r="72" spans="11:21" x14ac:dyDescent="0.35">
      <c r="L72" s="473"/>
      <c r="M72" s="473"/>
      <c r="N72" s="473"/>
      <c r="O72" s="473"/>
      <c r="P72" s="473"/>
      <c r="Q72" s="473"/>
      <c r="R72" s="473"/>
      <c r="S72" s="473"/>
      <c r="T72" s="473"/>
      <c r="U72" s="473"/>
    </row>
    <row r="73" spans="11:21" x14ac:dyDescent="0.35">
      <c r="L73" s="473"/>
      <c r="M73" s="473"/>
      <c r="N73" s="473"/>
      <c r="O73" s="473"/>
      <c r="P73" s="473"/>
      <c r="Q73" s="473"/>
      <c r="R73" s="473"/>
      <c r="S73" s="473"/>
      <c r="T73" s="473"/>
      <c r="U73" s="473"/>
    </row>
    <row r="74" spans="11:21" x14ac:dyDescent="0.35">
      <c r="L74" s="473"/>
      <c r="M74" s="473"/>
      <c r="N74" s="473"/>
      <c r="O74" s="473"/>
      <c r="P74" s="473"/>
      <c r="Q74" s="473"/>
      <c r="R74" s="473"/>
      <c r="S74" s="473"/>
      <c r="T74" s="473"/>
      <c r="U74" s="473"/>
    </row>
  </sheetData>
  <sheetProtection algorithmName="SHA-512" hashValue="CL1bkkTz/BKzGjLbw0AXSX1Jchre68aIcxhh40D2vPBAy78DDzs4prjZwqsAcbJvaRTGJWW1+PBawh7Z5fHneg==" saltValue="QtM8rkjL+bjvwS0oMSi7kw==" spinCount="100000" sheet="1" scenarios="1" formatCells="0" formatColumns="0" formatRows="0" sort="0" autoFilter="0" pivotTables="0"/>
  <mergeCells count="1827">
    <mergeCell ref="A61:J61"/>
    <mergeCell ref="A58:J58"/>
    <mergeCell ref="A53:C53"/>
    <mergeCell ref="A21:C21"/>
    <mergeCell ref="A49:C49"/>
    <mergeCell ref="A25:C25"/>
    <mergeCell ref="EG41:EO41"/>
    <mergeCell ref="EP41:EX41"/>
    <mergeCell ref="EY41:FG41"/>
    <mergeCell ref="FH41:FP41"/>
    <mergeCell ref="FQ41:FY41"/>
    <mergeCell ref="CN41:CV41"/>
    <mergeCell ref="CW41:DE41"/>
    <mergeCell ref="DF41:DN41"/>
    <mergeCell ref="DO41:DW41"/>
    <mergeCell ref="DX41:EF41"/>
    <mergeCell ref="AU41:BC41"/>
    <mergeCell ref="BD41:BL41"/>
    <mergeCell ref="BM41:BU41"/>
    <mergeCell ref="BV41:CD41"/>
    <mergeCell ref="CE41:CM41"/>
    <mergeCell ref="A30:J30"/>
    <mergeCell ref="A1:J1"/>
    <mergeCell ref="K41:S41"/>
    <mergeCell ref="T41:AB41"/>
    <mergeCell ref="AC41:AK41"/>
    <mergeCell ref="AL41:AT41"/>
    <mergeCell ref="LE41:LM41"/>
    <mergeCell ref="LN41:LV41"/>
    <mergeCell ref="LW41:ME41"/>
    <mergeCell ref="MF41:MN41"/>
    <mergeCell ref="MO41:MW41"/>
    <mergeCell ref="JL41:JT41"/>
    <mergeCell ref="JU41:KC41"/>
    <mergeCell ref="KD41:KL41"/>
    <mergeCell ref="KM41:KU41"/>
    <mergeCell ref="KV41:LD41"/>
    <mergeCell ref="HS41:IA41"/>
    <mergeCell ref="IB41:IJ41"/>
    <mergeCell ref="IK41:IS41"/>
    <mergeCell ref="IT41:JB41"/>
    <mergeCell ref="JC41:JK41"/>
    <mergeCell ref="FZ41:GH41"/>
    <mergeCell ref="GI41:GQ41"/>
    <mergeCell ref="GR41:GZ41"/>
    <mergeCell ref="HA41:HI41"/>
    <mergeCell ref="HJ41:HR41"/>
    <mergeCell ref="SC41:SK41"/>
    <mergeCell ref="SL41:ST41"/>
    <mergeCell ref="SU41:TC41"/>
    <mergeCell ref="TD41:TL41"/>
    <mergeCell ref="TM41:TU41"/>
    <mergeCell ref="QJ41:QR41"/>
    <mergeCell ref="QS41:RA41"/>
    <mergeCell ref="RB41:RJ41"/>
    <mergeCell ref="RK41:RS41"/>
    <mergeCell ref="RT41:SB41"/>
    <mergeCell ref="OQ41:OY41"/>
    <mergeCell ref="OZ41:PH41"/>
    <mergeCell ref="PI41:PQ41"/>
    <mergeCell ref="PR41:PZ41"/>
    <mergeCell ref="QA41:QI41"/>
    <mergeCell ref="MX41:NF41"/>
    <mergeCell ref="NG41:NO41"/>
    <mergeCell ref="NP41:NX41"/>
    <mergeCell ref="NY41:OG41"/>
    <mergeCell ref="OH41:OP41"/>
    <mergeCell ref="ZA41:ZI41"/>
    <mergeCell ref="ZJ41:ZR41"/>
    <mergeCell ref="ZS41:AAA41"/>
    <mergeCell ref="AAB41:AAJ41"/>
    <mergeCell ref="AAK41:AAS41"/>
    <mergeCell ref="XH41:XP41"/>
    <mergeCell ref="XQ41:XY41"/>
    <mergeCell ref="XZ41:YH41"/>
    <mergeCell ref="YI41:YQ41"/>
    <mergeCell ref="YR41:YZ41"/>
    <mergeCell ref="VO41:VW41"/>
    <mergeCell ref="VX41:WF41"/>
    <mergeCell ref="WG41:WO41"/>
    <mergeCell ref="WP41:WX41"/>
    <mergeCell ref="WY41:XG41"/>
    <mergeCell ref="TV41:UD41"/>
    <mergeCell ref="UE41:UM41"/>
    <mergeCell ref="UN41:UV41"/>
    <mergeCell ref="UW41:VE41"/>
    <mergeCell ref="VF41:VN41"/>
    <mergeCell ref="AFY41:AGG41"/>
    <mergeCell ref="AGH41:AGP41"/>
    <mergeCell ref="AGQ41:AGY41"/>
    <mergeCell ref="AGZ41:AHH41"/>
    <mergeCell ref="AHI41:AHQ41"/>
    <mergeCell ref="AEF41:AEN41"/>
    <mergeCell ref="AEO41:AEW41"/>
    <mergeCell ref="AEX41:AFF41"/>
    <mergeCell ref="AFG41:AFO41"/>
    <mergeCell ref="AFP41:AFX41"/>
    <mergeCell ref="ACM41:ACU41"/>
    <mergeCell ref="ACV41:ADD41"/>
    <mergeCell ref="ADE41:ADM41"/>
    <mergeCell ref="ADN41:ADV41"/>
    <mergeCell ref="ADW41:AEE41"/>
    <mergeCell ref="AAT41:ABB41"/>
    <mergeCell ref="ABC41:ABK41"/>
    <mergeCell ref="ABL41:ABT41"/>
    <mergeCell ref="ABU41:ACC41"/>
    <mergeCell ref="ACD41:ACL41"/>
    <mergeCell ref="AMW41:ANE41"/>
    <mergeCell ref="ANF41:ANN41"/>
    <mergeCell ref="ANO41:ANW41"/>
    <mergeCell ref="ANX41:AOF41"/>
    <mergeCell ref="AOG41:AOO41"/>
    <mergeCell ref="ALD41:ALL41"/>
    <mergeCell ref="ALM41:ALU41"/>
    <mergeCell ref="ALV41:AMD41"/>
    <mergeCell ref="AME41:AMM41"/>
    <mergeCell ref="AMN41:AMV41"/>
    <mergeCell ref="AJK41:AJS41"/>
    <mergeCell ref="AJT41:AKB41"/>
    <mergeCell ref="AKC41:AKK41"/>
    <mergeCell ref="AKL41:AKT41"/>
    <mergeCell ref="AKU41:ALC41"/>
    <mergeCell ref="AHR41:AHZ41"/>
    <mergeCell ref="AIA41:AII41"/>
    <mergeCell ref="AIJ41:AIR41"/>
    <mergeCell ref="AIS41:AJA41"/>
    <mergeCell ref="AJB41:AJJ41"/>
    <mergeCell ref="ATU41:AUC41"/>
    <mergeCell ref="AUD41:AUL41"/>
    <mergeCell ref="AUM41:AUU41"/>
    <mergeCell ref="AUV41:AVD41"/>
    <mergeCell ref="AVE41:AVM41"/>
    <mergeCell ref="ASB41:ASJ41"/>
    <mergeCell ref="ASK41:ASS41"/>
    <mergeCell ref="AST41:ATB41"/>
    <mergeCell ref="ATC41:ATK41"/>
    <mergeCell ref="ATL41:ATT41"/>
    <mergeCell ref="AQI41:AQQ41"/>
    <mergeCell ref="AQR41:AQZ41"/>
    <mergeCell ref="ARA41:ARI41"/>
    <mergeCell ref="ARJ41:ARR41"/>
    <mergeCell ref="ARS41:ASA41"/>
    <mergeCell ref="AOP41:AOX41"/>
    <mergeCell ref="AOY41:APG41"/>
    <mergeCell ref="APH41:APP41"/>
    <mergeCell ref="APQ41:APY41"/>
    <mergeCell ref="APZ41:AQH41"/>
    <mergeCell ref="BAS41:BBA41"/>
    <mergeCell ref="BBB41:BBJ41"/>
    <mergeCell ref="BBK41:BBS41"/>
    <mergeCell ref="BBT41:BCB41"/>
    <mergeCell ref="BCC41:BCK41"/>
    <mergeCell ref="AYZ41:AZH41"/>
    <mergeCell ref="AZI41:AZQ41"/>
    <mergeCell ref="AZR41:AZZ41"/>
    <mergeCell ref="BAA41:BAI41"/>
    <mergeCell ref="BAJ41:BAR41"/>
    <mergeCell ref="AXG41:AXO41"/>
    <mergeCell ref="AXP41:AXX41"/>
    <mergeCell ref="AXY41:AYG41"/>
    <mergeCell ref="AYH41:AYP41"/>
    <mergeCell ref="AYQ41:AYY41"/>
    <mergeCell ref="AVN41:AVV41"/>
    <mergeCell ref="AVW41:AWE41"/>
    <mergeCell ref="AWF41:AWN41"/>
    <mergeCell ref="AWO41:AWW41"/>
    <mergeCell ref="AWX41:AXF41"/>
    <mergeCell ref="BHQ41:BHY41"/>
    <mergeCell ref="BHZ41:BIH41"/>
    <mergeCell ref="BII41:BIQ41"/>
    <mergeCell ref="BIR41:BIZ41"/>
    <mergeCell ref="BJA41:BJI41"/>
    <mergeCell ref="BFX41:BGF41"/>
    <mergeCell ref="BGG41:BGO41"/>
    <mergeCell ref="BGP41:BGX41"/>
    <mergeCell ref="BGY41:BHG41"/>
    <mergeCell ref="BHH41:BHP41"/>
    <mergeCell ref="BEE41:BEM41"/>
    <mergeCell ref="BEN41:BEV41"/>
    <mergeCell ref="BEW41:BFE41"/>
    <mergeCell ref="BFF41:BFN41"/>
    <mergeCell ref="BFO41:BFW41"/>
    <mergeCell ref="BCL41:BCT41"/>
    <mergeCell ref="BCU41:BDC41"/>
    <mergeCell ref="BDD41:BDL41"/>
    <mergeCell ref="BDM41:BDU41"/>
    <mergeCell ref="BDV41:BED41"/>
    <mergeCell ref="BOO41:BOW41"/>
    <mergeCell ref="BOX41:BPF41"/>
    <mergeCell ref="BPG41:BPO41"/>
    <mergeCell ref="BPP41:BPX41"/>
    <mergeCell ref="BPY41:BQG41"/>
    <mergeCell ref="BMV41:BND41"/>
    <mergeCell ref="BNE41:BNM41"/>
    <mergeCell ref="BNN41:BNV41"/>
    <mergeCell ref="BNW41:BOE41"/>
    <mergeCell ref="BOF41:BON41"/>
    <mergeCell ref="BLC41:BLK41"/>
    <mergeCell ref="BLL41:BLT41"/>
    <mergeCell ref="BLU41:BMC41"/>
    <mergeCell ref="BMD41:BML41"/>
    <mergeCell ref="BMM41:BMU41"/>
    <mergeCell ref="BJJ41:BJR41"/>
    <mergeCell ref="BJS41:BKA41"/>
    <mergeCell ref="BKB41:BKJ41"/>
    <mergeCell ref="BKK41:BKS41"/>
    <mergeCell ref="BKT41:BLB41"/>
    <mergeCell ref="BVM41:BVU41"/>
    <mergeCell ref="BVV41:BWD41"/>
    <mergeCell ref="BWE41:BWM41"/>
    <mergeCell ref="BWN41:BWV41"/>
    <mergeCell ref="BWW41:BXE41"/>
    <mergeCell ref="BTT41:BUB41"/>
    <mergeCell ref="BUC41:BUK41"/>
    <mergeCell ref="BUL41:BUT41"/>
    <mergeCell ref="BUU41:BVC41"/>
    <mergeCell ref="BVD41:BVL41"/>
    <mergeCell ref="BSA41:BSI41"/>
    <mergeCell ref="BSJ41:BSR41"/>
    <mergeCell ref="BSS41:BTA41"/>
    <mergeCell ref="BTB41:BTJ41"/>
    <mergeCell ref="BTK41:BTS41"/>
    <mergeCell ref="BQH41:BQP41"/>
    <mergeCell ref="BQQ41:BQY41"/>
    <mergeCell ref="BQZ41:BRH41"/>
    <mergeCell ref="BRI41:BRQ41"/>
    <mergeCell ref="BRR41:BRZ41"/>
    <mergeCell ref="CCK41:CCS41"/>
    <mergeCell ref="CCT41:CDB41"/>
    <mergeCell ref="CDC41:CDK41"/>
    <mergeCell ref="CDL41:CDT41"/>
    <mergeCell ref="CDU41:CEC41"/>
    <mergeCell ref="CAR41:CAZ41"/>
    <mergeCell ref="CBA41:CBI41"/>
    <mergeCell ref="CBJ41:CBR41"/>
    <mergeCell ref="CBS41:CCA41"/>
    <mergeCell ref="CCB41:CCJ41"/>
    <mergeCell ref="BYY41:BZG41"/>
    <mergeCell ref="BZH41:BZP41"/>
    <mergeCell ref="BZQ41:BZY41"/>
    <mergeCell ref="BZZ41:CAH41"/>
    <mergeCell ref="CAI41:CAQ41"/>
    <mergeCell ref="BXF41:BXN41"/>
    <mergeCell ref="BXO41:BXW41"/>
    <mergeCell ref="BXX41:BYF41"/>
    <mergeCell ref="BYG41:BYO41"/>
    <mergeCell ref="BYP41:BYX41"/>
    <mergeCell ref="CJI41:CJQ41"/>
    <mergeCell ref="CJR41:CJZ41"/>
    <mergeCell ref="CKA41:CKI41"/>
    <mergeCell ref="CKJ41:CKR41"/>
    <mergeCell ref="CKS41:CLA41"/>
    <mergeCell ref="CHP41:CHX41"/>
    <mergeCell ref="CHY41:CIG41"/>
    <mergeCell ref="CIH41:CIP41"/>
    <mergeCell ref="CIQ41:CIY41"/>
    <mergeCell ref="CIZ41:CJH41"/>
    <mergeCell ref="CFW41:CGE41"/>
    <mergeCell ref="CGF41:CGN41"/>
    <mergeCell ref="CGO41:CGW41"/>
    <mergeCell ref="CGX41:CHF41"/>
    <mergeCell ref="CHG41:CHO41"/>
    <mergeCell ref="CED41:CEL41"/>
    <mergeCell ref="CEM41:CEU41"/>
    <mergeCell ref="CEV41:CFD41"/>
    <mergeCell ref="CFE41:CFM41"/>
    <mergeCell ref="CFN41:CFV41"/>
    <mergeCell ref="CQG41:CQO41"/>
    <mergeCell ref="CQP41:CQX41"/>
    <mergeCell ref="CQY41:CRG41"/>
    <mergeCell ref="CRH41:CRP41"/>
    <mergeCell ref="CRQ41:CRY41"/>
    <mergeCell ref="CON41:COV41"/>
    <mergeCell ref="COW41:CPE41"/>
    <mergeCell ref="CPF41:CPN41"/>
    <mergeCell ref="CPO41:CPW41"/>
    <mergeCell ref="CPX41:CQF41"/>
    <mergeCell ref="CMU41:CNC41"/>
    <mergeCell ref="CND41:CNL41"/>
    <mergeCell ref="CNM41:CNU41"/>
    <mergeCell ref="CNV41:COD41"/>
    <mergeCell ref="COE41:COM41"/>
    <mergeCell ref="CLB41:CLJ41"/>
    <mergeCell ref="CLK41:CLS41"/>
    <mergeCell ref="CLT41:CMB41"/>
    <mergeCell ref="CMC41:CMK41"/>
    <mergeCell ref="CML41:CMT41"/>
    <mergeCell ref="CXE41:CXM41"/>
    <mergeCell ref="CXN41:CXV41"/>
    <mergeCell ref="CXW41:CYE41"/>
    <mergeCell ref="CYF41:CYN41"/>
    <mergeCell ref="CYO41:CYW41"/>
    <mergeCell ref="CVL41:CVT41"/>
    <mergeCell ref="CVU41:CWC41"/>
    <mergeCell ref="CWD41:CWL41"/>
    <mergeCell ref="CWM41:CWU41"/>
    <mergeCell ref="CWV41:CXD41"/>
    <mergeCell ref="CTS41:CUA41"/>
    <mergeCell ref="CUB41:CUJ41"/>
    <mergeCell ref="CUK41:CUS41"/>
    <mergeCell ref="CUT41:CVB41"/>
    <mergeCell ref="CVC41:CVK41"/>
    <mergeCell ref="CRZ41:CSH41"/>
    <mergeCell ref="CSI41:CSQ41"/>
    <mergeCell ref="CSR41:CSZ41"/>
    <mergeCell ref="CTA41:CTI41"/>
    <mergeCell ref="CTJ41:CTR41"/>
    <mergeCell ref="DEC41:DEK41"/>
    <mergeCell ref="DEL41:DET41"/>
    <mergeCell ref="DEU41:DFC41"/>
    <mergeCell ref="DFD41:DFL41"/>
    <mergeCell ref="DFM41:DFU41"/>
    <mergeCell ref="DCJ41:DCR41"/>
    <mergeCell ref="DCS41:DDA41"/>
    <mergeCell ref="DDB41:DDJ41"/>
    <mergeCell ref="DDK41:DDS41"/>
    <mergeCell ref="DDT41:DEB41"/>
    <mergeCell ref="DAQ41:DAY41"/>
    <mergeCell ref="DAZ41:DBH41"/>
    <mergeCell ref="DBI41:DBQ41"/>
    <mergeCell ref="DBR41:DBZ41"/>
    <mergeCell ref="DCA41:DCI41"/>
    <mergeCell ref="CYX41:CZF41"/>
    <mergeCell ref="CZG41:CZO41"/>
    <mergeCell ref="CZP41:CZX41"/>
    <mergeCell ref="CZY41:DAG41"/>
    <mergeCell ref="DAH41:DAP41"/>
    <mergeCell ref="DLA41:DLI41"/>
    <mergeCell ref="DLJ41:DLR41"/>
    <mergeCell ref="DLS41:DMA41"/>
    <mergeCell ref="DMB41:DMJ41"/>
    <mergeCell ref="DMK41:DMS41"/>
    <mergeCell ref="DJH41:DJP41"/>
    <mergeCell ref="DJQ41:DJY41"/>
    <mergeCell ref="DJZ41:DKH41"/>
    <mergeCell ref="DKI41:DKQ41"/>
    <mergeCell ref="DKR41:DKZ41"/>
    <mergeCell ref="DHO41:DHW41"/>
    <mergeCell ref="DHX41:DIF41"/>
    <mergeCell ref="DIG41:DIO41"/>
    <mergeCell ref="DIP41:DIX41"/>
    <mergeCell ref="DIY41:DJG41"/>
    <mergeCell ref="DFV41:DGD41"/>
    <mergeCell ref="DGE41:DGM41"/>
    <mergeCell ref="DGN41:DGV41"/>
    <mergeCell ref="DGW41:DHE41"/>
    <mergeCell ref="DHF41:DHN41"/>
    <mergeCell ref="DRY41:DSG41"/>
    <mergeCell ref="DSH41:DSP41"/>
    <mergeCell ref="DSQ41:DSY41"/>
    <mergeCell ref="DSZ41:DTH41"/>
    <mergeCell ref="DTI41:DTQ41"/>
    <mergeCell ref="DQF41:DQN41"/>
    <mergeCell ref="DQO41:DQW41"/>
    <mergeCell ref="DQX41:DRF41"/>
    <mergeCell ref="DRG41:DRO41"/>
    <mergeCell ref="DRP41:DRX41"/>
    <mergeCell ref="DOM41:DOU41"/>
    <mergeCell ref="DOV41:DPD41"/>
    <mergeCell ref="DPE41:DPM41"/>
    <mergeCell ref="DPN41:DPV41"/>
    <mergeCell ref="DPW41:DQE41"/>
    <mergeCell ref="DMT41:DNB41"/>
    <mergeCell ref="DNC41:DNK41"/>
    <mergeCell ref="DNL41:DNT41"/>
    <mergeCell ref="DNU41:DOC41"/>
    <mergeCell ref="DOD41:DOL41"/>
    <mergeCell ref="DYW41:DZE41"/>
    <mergeCell ref="DZF41:DZN41"/>
    <mergeCell ref="DZO41:DZW41"/>
    <mergeCell ref="DZX41:EAF41"/>
    <mergeCell ref="EAG41:EAO41"/>
    <mergeCell ref="DXD41:DXL41"/>
    <mergeCell ref="DXM41:DXU41"/>
    <mergeCell ref="DXV41:DYD41"/>
    <mergeCell ref="DYE41:DYM41"/>
    <mergeCell ref="DYN41:DYV41"/>
    <mergeCell ref="DVK41:DVS41"/>
    <mergeCell ref="DVT41:DWB41"/>
    <mergeCell ref="DWC41:DWK41"/>
    <mergeCell ref="DWL41:DWT41"/>
    <mergeCell ref="DWU41:DXC41"/>
    <mergeCell ref="DTR41:DTZ41"/>
    <mergeCell ref="DUA41:DUI41"/>
    <mergeCell ref="DUJ41:DUR41"/>
    <mergeCell ref="DUS41:DVA41"/>
    <mergeCell ref="DVB41:DVJ41"/>
    <mergeCell ref="EFU41:EGC41"/>
    <mergeCell ref="EGD41:EGL41"/>
    <mergeCell ref="EGM41:EGU41"/>
    <mergeCell ref="EGV41:EHD41"/>
    <mergeCell ref="EHE41:EHM41"/>
    <mergeCell ref="EEB41:EEJ41"/>
    <mergeCell ref="EEK41:EES41"/>
    <mergeCell ref="EET41:EFB41"/>
    <mergeCell ref="EFC41:EFK41"/>
    <mergeCell ref="EFL41:EFT41"/>
    <mergeCell ref="ECI41:ECQ41"/>
    <mergeCell ref="ECR41:ECZ41"/>
    <mergeCell ref="EDA41:EDI41"/>
    <mergeCell ref="EDJ41:EDR41"/>
    <mergeCell ref="EDS41:EEA41"/>
    <mergeCell ref="EAP41:EAX41"/>
    <mergeCell ref="EAY41:EBG41"/>
    <mergeCell ref="EBH41:EBP41"/>
    <mergeCell ref="EBQ41:EBY41"/>
    <mergeCell ref="EBZ41:ECH41"/>
    <mergeCell ref="EMS41:ENA41"/>
    <mergeCell ref="ENB41:ENJ41"/>
    <mergeCell ref="ENK41:ENS41"/>
    <mergeCell ref="ENT41:EOB41"/>
    <mergeCell ref="EOC41:EOK41"/>
    <mergeCell ref="EKZ41:ELH41"/>
    <mergeCell ref="ELI41:ELQ41"/>
    <mergeCell ref="ELR41:ELZ41"/>
    <mergeCell ref="EMA41:EMI41"/>
    <mergeCell ref="EMJ41:EMR41"/>
    <mergeCell ref="EJG41:EJO41"/>
    <mergeCell ref="EJP41:EJX41"/>
    <mergeCell ref="EJY41:EKG41"/>
    <mergeCell ref="EKH41:EKP41"/>
    <mergeCell ref="EKQ41:EKY41"/>
    <mergeCell ref="EHN41:EHV41"/>
    <mergeCell ref="EHW41:EIE41"/>
    <mergeCell ref="EIF41:EIN41"/>
    <mergeCell ref="EIO41:EIW41"/>
    <mergeCell ref="EIX41:EJF41"/>
    <mergeCell ref="ETQ41:ETY41"/>
    <mergeCell ref="ETZ41:EUH41"/>
    <mergeCell ref="EUI41:EUQ41"/>
    <mergeCell ref="EUR41:EUZ41"/>
    <mergeCell ref="EVA41:EVI41"/>
    <mergeCell ref="ERX41:ESF41"/>
    <mergeCell ref="ESG41:ESO41"/>
    <mergeCell ref="ESP41:ESX41"/>
    <mergeCell ref="ESY41:ETG41"/>
    <mergeCell ref="ETH41:ETP41"/>
    <mergeCell ref="EQE41:EQM41"/>
    <mergeCell ref="EQN41:EQV41"/>
    <mergeCell ref="EQW41:ERE41"/>
    <mergeCell ref="ERF41:ERN41"/>
    <mergeCell ref="ERO41:ERW41"/>
    <mergeCell ref="EOL41:EOT41"/>
    <mergeCell ref="EOU41:EPC41"/>
    <mergeCell ref="EPD41:EPL41"/>
    <mergeCell ref="EPM41:EPU41"/>
    <mergeCell ref="EPV41:EQD41"/>
    <mergeCell ref="FAO41:FAW41"/>
    <mergeCell ref="FAX41:FBF41"/>
    <mergeCell ref="FBG41:FBO41"/>
    <mergeCell ref="FBP41:FBX41"/>
    <mergeCell ref="FBY41:FCG41"/>
    <mergeCell ref="EYV41:EZD41"/>
    <mergeCell ref="EZE41:EZM41"/>
    <mergeCell ref="EZN41:EZV41"/>
    <mergeCell ref="EZW41:FAE41"/>
    <mergeCell ref="FAF41:FAN41"/>
    <mergeCell ref="EXC41:EXK41"/>
    <mergeCell ref="EXL41:EXT41"/>
    <mergeCell ref="EXU41:EYC41"/>
    <mergeCell ref="EYD41:EYL41"/>
    <mergeCell ref="EYM41:EYU41"/>
    <mergeCell ref="EVJ41:EVR41"/>
    <mergeCell ref="EVS41:EWA41"/>
    <mergeCell ref="EWB41:EWJ41"/>
    <mergeCell ref="EWK41:EWS41"/>
    <mergeCell ref="EWT41:EXB41"/>
    <mergeCell ref="FHM41:FHU41"/>
    <mergeCell ref="FHV41:FID41"/>
    <mergeCell ref="FIE41:FIM41"/>
    <mergeCell ref="FIN41:FIV41"/>
    <mergeCell ref="FIW41:FJE41"/>
    <mergeCell ref="FFT41:FGB41"/>
    <mergeCell ref="FGC41:FGK41"/>
    <mergeCell ref="FGL41:FGT41"/>
    <mergeCell ref="FGU41:FHC41"/>
    <mergeCell ref="FHD41:FHL41"/>
    <mergeCell ref="FEA41:FEI41"/>
    <mergeCell ref="FEJ41:FER41"/>
    <mergeCell ref="FES41:FFA41"/>
    <mergeCell ref="FFB41:FFJ41"/>
    <mergeCell ref="FFK41:FFS41"/>
    <mergeCell ref="FCH41:FCP41"/>
    <mergeCell ref="FCQ41:FCY41"/>
    <mergeCell ref="FCZ41:FDH41"/>
    <mergeCell ref="FDI41:FDQ41"/>
    <mergeCell ref="FDR41:FDZ41"/>
    <mergeCell ref="FOK41:FOS41"/>
    <mergeCell ref="FOT41:FPB41"/>
    <mergeCell ref="FPC41:FPK41"/>
    <mergeCell ref="FPL41:FPT41"/>
    <mergeCell ref="FPU41:FQC41"/>
    <mergeCell ref="FMR41:FMZ41"/>
    <mergeCell ref="FNA41:FNI41"/>
    <mergeCell ref="FNJ41:FNR41"/>
    <mergeCell ref="FNS41:FOA41"/>
    <mergeCell ref="FOB41:FOJ41"/>
    <mergeCell ref="FKY41:FLG41"/>
    <mergeCell ref="FLH41:FLP41"/>
    <mergeCell ref="FLQ41:FLY41"/>
    <mergeCell ref="FLZ41:FMH41"/>
    <mergeCell ref="FMI41:FMQ41"/>
    <mergeCell ref="FJF41:FJN41"/>
    <mergeCell ref="FJO41:FJW41"/>
    <mergeCell ref="FJX41:FKF41"/>
    <mergeCell ref="FKG41:FKO41"/>
    <mergeCell ref="FKP41:FKX41"/>
    <mergeCell ref="FVI41:FVQ41"/>
    <mergeCell ref="FVR41:FVZ41"/>
    <mergeCell ref="FWA41:FWI41"/>
    <mergeCell ref="FWJ41:FWR41"/>
    <mergeCell ref="FWS41:FXA41"/>
    <mergeCell ref="FTP41:FTX41"/>
    <mergeCell ref="FTY41:FUG41"/>
    <mergeCell ref="FUH41:FUP41"/>
    <mergeCell ref="FUQ41:FUY41"/>
    <mergeCell ref="FUZ41:FVH41"/>
    <mergeCell ref="FRW41:FSE41"/>
    <mergeCell ref="FSF41:FSN41"/>
    <mergeCell ref="FSO41:FSW41"/>
    <mergeCell ref="FSX41:FTF41"/>
    <mergeCell ref="FTG41:FTO41"/>
    <mergeCell ref="FQD41:FQL41"/>
    <mergeCell ref="FQM41:FQU41"/>
    <mergeCell ref="FQV41:FRD41"/>
    <mergeCell ref="FRE41:FRM41"/>
    <mergeCell ref="FRN41:FRV41"/>
    <mergeCell ref="GCG41:GCO41"/>
    <mergeCell ref="GCP41:GCX41"/>
    <mergeCell ref="GCY41:GDG41"/>
    <mergeCell ref="GDH41:GDP41"/>
    <mergeCell ref="GDQ41:GDY41"/>
    <mergeCell ref="GAN41:GAV41"/>
    <mergeCell ref="GAW41:GBE41"/>
    <mergeCell ref="GBF41:GBN41"/>
    <mergeCell ref="GBO41:GBW41"/>
    <mergeCell ref="GBX41:GCF41"/>
    <mergeCell ref="FYU41:FZC41"/>
    <mergeCell ref="FZD41:FZL41"/>
    <mergeCell ref="FZM41:FZU41"/>
    <mergeCell ref="FZV41:GAD41"/>
    <mergeCell ref="GAE41:GAM41"/>
    <mergeCell ref="FXB41:FXJ41"/>
    <mergeCell ref="FXK41:FXS41"/>
    <mergeCell ref="FXT41:FYB41"/>
    <mergeCell ref="FYC41:FYK41"/>
    <mergeCell ref="FYL41:FYT41"/>
    <mergeCell ref="GJE41:GJM41"/>
    <mergeCell ref="GJN41:GJV41"/>
    <mergeCell ref="GJW41:GKE41"/>
    <mergeCell ref="GKF41:GKN41"/>
    <mergeCell ref="GKO41:GKW41"/>
    <mergeCell ref="GHL41:GHT41"/>
    <mergeCell ref="GHU41:GIC41"/>
    <mergeCell ref="GID41:GIL41"/>
    <mergeCell ref="GIM41:GIU41"/>
    <mergeCell ref="GIV41:GJD41"/>
    <mergeCell ref="GFS41:GGA41"/>
    <mergeCell ref="GGB41:GGJ41"/>
    <mergeCell ref="GGK41:GGS41"/>
    <mergeCell ref="GGT41:GHB41"/>
    <mergeCell ref="GHC41:GHK41"/>
    <mergeCell ref="GDZ41:GEH41"/>
    <mergeCell ref="GEI41:GEQ41"/>
    <mergeCell ref="GER41:GEZ41"/>
    <mergeCell ref="GFA41:GFI41"/>
    <mergeCell ref="GFJ41:GFR41"/>
    <mergeCell ref="GQC41:GQK41"/>
    <mergeCell ref="GQL41:GQT41"/>
    <mergeCell ref="GQU41:GRC41"/>
    <mergeCell ref="GRD41:GRL41"/>
    <mergeCell ref="GRM41:GRU41"/>
    <mergeCell ref="GOJ41:GOR41"/>
    <mergeCell ref="GOS41:GPA41"/>
    <mergeCell ref="GPB41:GPJ41"/>
    <mergeCell ref="GPK41:GPS41"/>
    <mergeCell ref="GPT41:GQB41"/>
    <mergeCell ref="GMQ41:GMY41"/>
    <mergeCell ref="GMZ41:GNH41"/>
    <mergeCell ref="GNI41:GNQ41"/>
    <mergeCell ref="GNR41:GNZ41"/>
    <mergeCell ref="GOA41:GOI41"/>
    <mergeCell ref="GKX41:GLF41"/>
    <mergeCell ref="GLG41:GLO41"/>
    <mergeCell ref="GLP41:GLX41"/>
    <mergeCell ref="GLY41:GMG41"/>
    <mergeCell ref="GMH41:GMP41"/>
    <mergeCell ref="GXA41:GXI41"/>
    <mergeCell ref="GXJ41:GXR41"/>
    <mergeCell ref="GXS41:GYA41"/>
    <mergeCell ref="GYB41:GYJ41"/>
    <mergeCell ref="GYK41:GYS41"/>
    <mergeCell ref="GVH41:GVP41"/>
    <mergeCell ref="GVQ41:GVY41"/>
    <mergeCell ref="GVZ41:GWH41"/>
    <mergeCell ref="GWI41:GWQ41"/>
    <mergeCell ref="GWR41:GWZ41"/>
    <mergeCell ref="GTO41:GTW41"/>
    <mergeCell ref="GTX41:GUF41"/>
    <mergeCell ref="GUG41:GUO41"/>
    <mergeCell ref="GUP41:GUX41"/>
    <mergeCell ref="GUY41:GVG41"/>
    <mergeCell ref="GRV41:GSD41"/>
    <mergeCell ref="GSE41:GSM41"/>
    <mergeCell ref="GSN41:GSV41"/>
    <mergeCell ref="GSW41:GTE41"/>
    <mergeCell ref="GTF41:GTN41"/>
    <mergeCell ref="HDY41:HEG41"/>
    <mergeCell ref="HEH41:HEP41"/>
    <mergeCell ref="HEQ41:HEY41"/>
    <mergeCell ref="HEZ41:HFH41"/>
    <mergeCell ref="HFI41:HFQ41"/>
    <mergeCell ref="HCF41:HCN41"/>
    <mergeCell ref="HCO41:HCW41"/>
    <mergeCell ref="HCX41:HDF41"/>
    <mergeCell ref="HDG41:HDO41"/>
    <mergeCell ref="HDP41:HDX41"/>
    <mergeCell ref="HAM41:HAU41"/>
    <mergeCell ref="HAV41:HBD41"/>
    <mergeCell ref="HBE41:HBM41"/>
    <mergeCell ref="HBN41:HBV41"/>
    <mergeCell ref="HBW41:HCE41"/>
    <mergeCell ref="GYT41:GZB41"/>
    <mergeCell ref="GZC41:GZK41"/>
    <mergeCell ref="GZL41:GZT41"/>
    <mergeCell ref="GZU41:HAC41"/>
    <mergeCell ref="HAD41:HAL41"/>
    <mergeCell ref="HKW41:HLE41"/>
    <mergeCell ref="HLF41:HLN41"/>
    <mergeCell ref="HLO41:HLW41"/>
    <mergeCell ref="HLX41:HMF41"/>
    <mergeCell ref="HMG41:HMO41"/>
    <mergeCell ref="HJD41:HJL41"/>
    <mergeCell ref="HJM41:HJU41"/>
    <mergeCell ref="HJV41:HKD41"/>
    <mergeCell ref="HKE41:HKM41"/>
    <mergeCell ref="HKN41:HKV41"/>
    <mergeCell ref="HHK41:HHS41"/>
    <mergeCell ref="HHT41:HIB41"/>
    <mergeCell ref="HIC41:HIK41"/>
    <mergeCell ref="HIL41:HIT41"/>
    <mergeCell ref="HIU41:HJC41"/>
    <mergeCell ref="HFR41:HFZ41"/>
    <mergeCell ref="HGA41:HGI41"/>
    <mergeCell ref="HGJ41:HGR41"/>
    <mergeCell ref="HGS41:HHA41"/>
    <mergeCell ref="HHB41:HHJ41"/>
    <mergeCell ref="HRU41:HSC41"/>
    <mergeCell ref="HSD41:HSL41"/>
    <mergeCell ref="HSM41:HSU41"/>
    <mergeCell ref="HSV41:HTD41"/>
    <mergeCell ref="HTE41:HTM41"/>
    <mergeCell ref="HQB41:HQJ41"/>
    <mergeCell ref="HQK41:HQS41"/>
    <mergeCell ref="HQT41:HRB41"/>
    <mergeCell ref="HRC41:HRK41"/>
    <mergeCell ref="HRL41:HRT41"/>
    <mergeCell ref="HOI41:HOQ41"/>
    <mergeCell ref="HOR41:HOZ41"/>
    <mergeCell ref="HPA41:HPI41"/>
    <mergeCell ref="HPJ41:HPR41"/>
    <mergeCell ref="HPS41:HQA41"/>
    <mergeCell ref="HMP41:HMX41"/>
    <mergeCell ref="HMY41:HNG41"/>
    <mergeCell ref="HNH41:HNP41"/>
    <mergeCell ref="HNQ41:HNY41"/>
    <mergeCell ref="HNZ41:HOH41"/>
    <mergeCell ref="HYS41:HZA41"/>
    <mergeCell ref="HZB41:HZJ41"/>
    <mergeCell ref="HZK41:HZS41"/>
    <mergeCell ref="HZT41:IAB41"/>
    <mergeCell ref="IAC41:IAK41"/>
    <mergeCell ref="HWZ41:HXH41"/>
    <mergeCell ref="HXI41:HXQ41"/>
    <mergeCell ref="HXR41:HXZ41"/>
    <mergeCell ref="HYA41:HYI41"/>
    <mergeCell ref="HYJ41:HYR41"/>
    <mergeCell ref="HVG41:HVO41"/>
    <mergeCell ref="HVP41:HVX41"/>
    <mergeCell ref="HVY41:HWG41"/>
    <mergeCell ref="HWH41:HWP41"/>
    <mergeCell ref="HWQ41:HWY41"/>
    <mergeCell ref="HTN41:HTV41"/>
    <mergeCell ref="HTW41:HUE41"/>
    <mergeCell ref="HUF41:HUN41"/>
    <mergeCell ref="HUO41:HUW41"/>
    <mergeCell ref="HUX41:HVF41"/>
    <mergeCell ref="IFQ41:IFY41"/>
    <mergeCell ref="IFZ41:IGH41"/>
    <mergeCell ref="IGI41:IGQ41"/>
    <mergeCell ref="IGR41:IGZ41"/>
    <mergeCell ref="IHA41:IHI41"/>
    <mergeCell ref="IDX41:IEF41"/>
    <mergeCell ref="IEG41:IEO41"/>
    <mergeCell ref="IEP41:IEX41"/>
    <mergeCell ref="IEY41:IFG41"/>
    <mergeCell ref="IFH41:IFP41"/>
    <mergeCell ref="ICE41:ICM41"/>
    <mergeCell ref="ICN41:ICV41"/>
    <mergeCell ref="ICW41:IDE41"/>
    <mergeCell ref="IDF41:IDN41"/>
    <mergeCell ref="IDO41:IDW41"/>
    <mergeCell ref="IAL41:IAT41"/>
    <mergeCell ref="IAU41:IBC41"/>
    <mergeCell ref="IBD41:IBL41"/>
    <mergeCell ref="IBM41:IBU41"/>
    <mergeCell ref="IBV41:ICD41"/>
    <mergeCell ref="IMO41:IMW41"/>
    <mergeCell ref="IMX41:INF41"/>
    <mergeCell ref="ING41:INO41"/>
    <mergeCell ref="INP41:INX41"/>
    <mergeCell ref="INY41:IOG41"/>
    <mergeCell ref="IKV41:ILD41"/>
    <mergeCell ref="ILE41:ILM41"/>
    <mergeCell ref="ILN41:ILV41"/>
    <mergeCell ref="ILW41:IME41"/>
    <mergeCell ref="IMF41:IMN41"/>
    <mergeCell ref="IJC41:IJK41"/>
    <mergeCell ref="IJL41:IJT41"/>
    <mergeCell ref="IJU41:IKC41"/>
    <mergeCell ref="IKD41:IKL41"/>
    <mergeCell ref="IKM41:IKU41"/>
    <mergeCell ref="IHJ41:IHR41"/>
    <mergeCell ref="IHS41:IIA41"/>
    <mergeCell ref="IIB41:IIJ41"/>
    <mergeCell ref="IIK41:IIS41"/>
    <mergeCell ref="IIT41:IJB41"/>
    <mergeCell ref="ITM41:ITU41"/>
    <mergeCell ref="ITV41:IUD41"/>
    <mergeCell ref="IUE41:IUM41"/>
    <mergeCell ref="IUN41:IUV41"/>
    <mergeCell ref="IUW41:IVE41"/>
    <mergeCell ref="IRT41:ISB41"/>
    <mergeCell ref="ISC41:ISK41"/>
    <mergeCell ref="ISL41:IST41"/>
    <mergeCell ref="ISU41:ITC41"/>
    <mergeCell ref="ITD41:ITL41"/>
    <mergeCell ref="IQA41:IQI41"/>
    <mergeCell ref="IQJ41:IQR41"/>
    <mergeCell ref="IQS41:IRA41"/>
    <mergeCell ref="IRB41:IRJ41"/>
    <mergeCell ref="IRK41:IRS41"/>
    <mergeCell ref="IOH41:IOP41"/>
    <mergeCell ref="IOQ41:IOY41"/>
    <mergeCell ref="IOZ41:IPH41"/>
    <mergeCell ref="IPI41:IPQ41"/>
    <mergeCell ref="IPR41:IPZ41"/>
    <mergeCell ref="JAK41:JAS41"/>
    <mergeCell ref="JAT41:JBB41"/>
    <mergeCell ref="JBC41:JBK41"/>
    <mergeCell ref="JBL41:JBT41"/>
    <mergeCell ref="JBU41:JCC41"/>
    <mergeCell ref="IYR41:IYZ41"/>
    <mergeCell ref="IZA41:IZI41"/>
    <mergeCell ref="IZJ41:IZR41"/>
    <mergeCell ref="IZS41:JAA41"/>
    <mergeCell ref="JAB41:JAJ41"/>
    <mergeCell ref="IWY41:IXG41"/>
    <mergeCell ref="IXH41:IXP41"/>
    <mergeCell ref="IXQ41:IXY41"/>
    <mergeCell ref="IXZ41:IYH41"/>
    <mergeCell ref="IYI41:IYQ41"/>
    <mergeCell ref="IVF41:IVN41"/>
    <mergeCell ref="IVO41:IVW41"/>
    <mergeCell ref="IVX41:IWF41"/>
    <mergeCell ref="IWG41:IWO41"/>
    <mergeCell ref="IWP41:IWX41"/>
    <mergeCell ref="JHI41:JHQ41"/>
    <mergeCell ref="JHR41:JHZ41"/>
    <mergeCell ref="JIA41:JII41"/>
    <mergeCell ref="JIJ41:JIR41"/>
    <mergeCell ref="JIS41:JJA41"/>
    <mergeCell ref="JFP41:JFX41"/>
    <mergeCell ref="JFY41:JGG41"/>
    <mergeCell ref="JGH41:JGP41"/>
    <mergeCell ref="JGQ41:JGY41"/>
    <mergeCell ref="JGZ41:JHH41"/>
    <mergeCell ref="JDW41:JEE41"/>
    <mergeCell ref="JEF41:JEN41"/>
    <mergeCell ref="JEO41:JEW41"/>
    <mergeCell ref="JEX41:JFF41"/>
    <mergeCell ref="JFG41:JFO41"/>
    <mergeCell ref="JCD41:JCL41"/>
    <mergeCell ref="JCM41:JCU41"/>
    <mergeCell ref="JCV41:JDD41"/>
    <mergeCell ref="JDE41:JDM41"/>
    <mergeCell ref="JDN41:JDV41"/>
    <mergeCell ref="JOG41:JOO41"/>
    <mergeCell ref="JOP41:JOX41"/>
    <mergeCell ref="JOY41:JPG41"/>
    <mergeCell ref="JPH41:JPP41"/>
    <mergeCell ref="JPQ41:JPY41"/>
    <mergeCell ref="JMN41:JMV41"/>
    <mergeCell ref="JMW41:JNE41"/>
    <mergeCell ref="JNF41:JNN41"/>
    <mergeCell ref="JNO41:JNW41"/>
    <mergeCell ref="JNX41:JOF41"/>
    <mergeCell ref="JKU41:JLC41"/>
    <mergeCell ref="JLD41:JLL41"/>
    <mergeCell ref="JLM41:JLU41"/>
    <mergeCell ref="JLV41:JMD41"/>
    <mergeCell ref="JME41:JMM41"/>
    <mergeCell ref="JJB41:JJJ41"/>
    <mergeCell ref="JJK41:JJS41"/>
    <mergeCell ref="JJT41:JKB41"/>
    <mergeCell ref="JKC41:JKK41"/>
    <mergeCell ref="JKL41:JKT41"/>
    <mergeCell ref="JVE41:JVM41"/>
    <mergeCell ref="JVN41:JVV41"/>
    <mergeCell ref="JVW41:JWE41"/>
    <mergeCell ref="JWF41:JWN41"/>
    <mergeCell ref="JWO41:JWW41"/>
    <mergeCell ref="JTL41:JTT41"/>
    <mergeCell ref="JTU41:JUC41"/>
    <mergeCell ref="JUD41:JUL41"/>
    <mergeCell ref="JUM41:JUU41"/>
    <mergeCell ref="JUV41:JVD41"/>
    <mergeCell ref="JRS41:JSA41"/>
    <mergeCell ref="JSB41:JSJ41"/>
    <mergeCell ref="JSK41:JSS41"/>
    <mergeCell ref="JST41:JTB41"/>
    <mergeCell ref="JTC41:JTK41"/>
    <mergeCell ref="JPZ41:JQH41"/>
    <mergeCell ref="JQI41:JQQ41"/>
    <mergeCell ref="JQR41:JQZ41"/>
    <mergeCell ref="JRA41:JRI41"/>
    <mergeCell ref="JRJ41:JRR41"/>
    <mergeCell ref="KCC41:KCK41"/>
    <mergeCell ref="KCL41:KCT41"/>
    <mergeCell ref="KCU41:KDC41"/>
    <mergeCell ref="KDD41:KDL41"/>
    <mergeCell ref="KDM41:KDU41"/>
    <mergeCell ref="KAJ41:KAR41"/>
    <mergeCell ref="KAS41:KBA41"/>
    <mergeCell ref="KBB41:KBJ41"/>
    <mergeCell ref="KBK41:KBS41"/>
    <mergeCell ref="KBT41:KCB41"/>
    <mergeCell ref="JYQ41:JYY41"/>
    <mergeCell ref="JYZ41:JZH41"/>
    <mergeCell ref="JZI41:JZQ41"/>
    <mergeCell ref="JZR41:JZZ41"/>
    <mergeCell ref="KAA41:KAI41"/>
    <mergeCell ref="JWX41:JXF41"/>
    <mergeCell ref="JXG41:JXO41"/>
    <mergeCell ref="JXP41:JXX41"/>
    <mergeCell ref="JXY41:JYG41"/>
    <mergeCell ref="JYH41:JYP41"/>
    <mergeCell ref="KJA41:KJI41"/>
    <mergeCell ref="KJJ41:KJR41"/>
    <mergeCell ref="KJS41:KKA41"/>
    <mergeCell ref="KKB41:KKJ41"/>
    <mergeCell ref="KKK41:KKS41"/>
    <mergeCell ref="KHH41:KHP41"/>
    <mergeCell ref="KHQ41:KHY41"/>
    <mergeCell ref="KHZ41:KIH41"/>
    <mergeCell ref="KII41:KIQ41"/>
    <mergeCell ref="KIR41:KIZ41"/>
    <mergeCell ref="KFO41:KFW41"/>
    <mergeCell ref="KFX41:KGF41"/>
    <mergeCell ref="KGG41:KGO41"/>
    <mergeCell ref="KGP41:KGX41"/>
    <mergeCell ref="KGY41:KHG41"/>
    <mergeCell ref="KDV41:KED41"/>
    <mergeCell ref="KEE41:KEM41"/>
    <mergeCell ref="KEN41:KEV41"/>
    <mergeCell ref="KEW41:KFE41"/>
    <mergeCell ref="KFF41:KFN41"/>
    <mergeCell ref="KPY41:KQG41"/>
    <mergeCell ref="KQH41:KQP41"/>
    <mergeCell ref="KQQ41:KQY41"/>
    <mergeCell ref="KQZ41:KRH41"/>
    <mergeCell ref="KRI41:KRQ41"/>
    <mergeCell ref="KOF41:KON41"/>
    <mergeCell ref="KOO41:KOW41"/>
    <mergeCell ref="KOX41:KPF41"/>
    <mergeCell ref="KPG41:KPO41"/>
    <mergeCell ref="KPP41:KPX41"/>
    <mergeCell ref="KMM41:KMU41"/>
    <mergeCell ref="KMV41:KND41"/>
    <mergeCell ref="KNE41:KNM41"/>
    <mergeCell ref="KNN41:KNV41"/>
    <mergeCell ref="KNW41:KOE41"/>
    <mergeCell ref="KKT41:KLB41"/>
    <mergeCell ref="KLC41:KLK41"/>
    <mergeCell ref="KLL41:KLT41"/>
    <mergeCell ref="KLU41:KMC41"/>
    <mergeCell ref="KMD41:KML41"/>
    <mergeCell ref="KWW41:KXE41"/>
    <mergeCell ref="KXF41:KXN41"/>
    <mergeCell ref="KXO41:KXW41"/>
    <mergeCell ref="KXX41:KYF41"/>
    <mergeCell ref="KYG41:KYO41"/>
    <mergeCell ref="KVD41:KVL41"/>
    <mergeCell ref="KVM41:KVU41"/>
    <mergeCell ref="KVV41:KWD41"/>
    <mergeCell ref="KWE41:KWM41"/>
    <mergeCell ref="KWN41:KWV41"/>
    <mergeCell ref="KTK41:KTS41"/>
    <mergeCell ref="KTT41:KUB41"/>
    <mergeCell ref="KUC41:KUK41"/>
    <mergeCell ref="KUL41:KUT41"/>
    <mergeCell ref="KUU41:KVC41"/>
    <mergeCell ref="KRR41:KRZ41"/>
    <mergeCell ref="KSA41:KSI41"/>
    <mergeCell ref="KSJ41:KSR41"/>
    <mergeCell ref="KSS41:KTA41"/>
    <mergeCell ref="KTB41:KTJ41"/>
    <mergeCell ref="LDU41:LEC41"/>
    <mergeCell ref="LED41:LEL41"/>
    <mergeCell ref="LEM41:LEU41"/>
    <mergeCell ref="LEV41:LFD41"/>
    <mergeCell ref="LFE41:LFM41"/>
    <mergeCell ref="LCB41:LCJ41"/>
    <mergeCell ref="LCK41:LCS41"/>
    <mergeCell ref="LCT41:LDB41"/>
    <mergeCell ref="LDC41:LDK41"/>
    <mergeCell ref="LDL41:LDT41"/>
    <mergeCell ref="LAI41:LAQ41"/>
    <mergeCell ref="LAR41:LAZ41"/>
    <mergeCell ref="LBA41:LBI41"/>
    <mergeCell ref="LBJ41:LBR41"/>
    <mergeCell ref="LBS41:LCA41"/>
    <mergeCell ref="KYP41:KYX41"/>
    <mergeCell ref="KYY41:KZG41"/>
    <mergeCell ref="KZH41:KZP41"/>
    <mergeCell ref="KZQ41:KZY41"/>
    <mergeCell ref="KZZ41:LAH41"/>
    <mergeCell ref="LKS41:LLA41"/>
    <mergeCell ref="LLB41:LLJ41"/>
    <mergeCell ref="LLK41:LLS41"/>
    <mergeCell ref="LLT41:LMB41"/>
    <mergeCell ref="LMC41:LMK41"/>
    <mergeCell ref="LIZ41:LJH41"/>
    <mergeCell ref="LJI41:LJQ41"/>
    <mergeCell ref="LJR41:LJZ41"/>
    <mergeCell ref="LKA41:LKI41"/>
    <mergeCell ref="LKJ41:LKR41"/>
    <mergeCell ref="LHG41:LHO41"/>
    <mergeCell ref="LHP41:LHX41"/>
    <mergeCell ref="LHY41:LIG41"/>
    <mergeCell ref="LIH41:LIP41"/>
    <mergeCell ref="LIQ41:LIY41"/>
    <mergeCell ref="LFN41:LFV41"/>
    <mergeCell ref="LFW41:LGE41"/>
    <mergeCell ref="LGF41:LGN41"/>
    <mergeCell ref="LGO41:LGW41"/>
    <mergeCell ref="LGX41:LHF41"/>
    <mergeCell ref="LRQ41:LRY41"/>
    <mergeCell ref="LRZ41:LSH41"/>
    <mergeCell ref="LSI41:LSQ41"/>
    <mergeCell ref="LSR41:LSZ41"/>
    <mergeCell ref="LTA41:LTI41"/>
    <mergeCell ref="LPX41:LQF41"/>
    <mergeCell ref="LQG41:LQO41"/>
    <mergeCell ref="LQP41:LQX41"/>
    <mergeCell ref="LQY41:LRG41"/>
    <mergeCell ref="LRH41:LRP41"/>
    <mergeCell ref="LOE41:LOM41"/>
    <mergeCell ref="LON41:LOV41"/>
    <mergeCell ref="LOW41:LPE41"/>
    <mergeCell ref="LPF41:LPN41"/>
    <mergeCell ref="LPO41:LPW41"/>
    <mergeCell ref="LML41:LMT41"/>
    <mergeCell ref="LMU41:LNC41"/>
    <mergeCell ref="LND41:LNL41"/>
    <mergeCell ref="LNM41:LNU41"/>
    <mergeCell ref="LNV41:LOD41"/>
    <mergeCell ref="LYO41:LYW41"/>
    <mergeCell ref="LYX41:LZF41"/>
    <mergeCell ref="LZG41:LZO41"/>
    <mergeCell ref="LZP41:LZX41"/>
    <mergeCell ref="LZY41:MAG41"/>
    <mergeCell ref="LWV41:LXD41"/>
    <mergeCell ref="LXE41:LXM41"/>
    <mergeCell ref="LXN41:LXV41"/>
    <mergeCell ref="LXW41:LYE41"/>
    <mergeCell ref="LYF41:LYN41"/>
    <mergeCell ref="LVC41:LVK41"/>
    <mergeCell ref="LVL41:LVT41"/>
    <mergeCell ref="LVU41:LWC41"/>
    <mergeCell ref="LWD41:LWL41"/>
    <mergeCell ref="LWM41:LWU41"/>
    <mergeCell ref="LTJ41:LTR41"/>
    <mergeCell ref="LTS41:LUA41"/>
    <mergeCell ref="LUB41:LUJ41"/>
    <mergeCell ref="LUK41:LUS41"/>
    <mergeCell ref="LUT41:LVB41"/>
    <mergeCell ref="MFM41:MFU41"/>
    <mergeCell ref="MFV41:MGD41"/>
    <mergeCell ref="MGE41:MGM41"/>
    <mergeCell ref="MGN41:MGV41"/>
    <mergeCell ref="MGW41:MHE41"/>
    <mergeCell ref="MDT41:MEB41"/>
    <mergeCell ref="MEC41:MEK41"/>
    <mergeCell ref="MEL41:MET41"/>
    <mergeCell ref="MEU41:MFC41"/>
    <mergeCell ref="MFD41:MFL41"/>
    <mergeCell ref="MCA41:MCI41"/>
    <mergeCell ref="MCJ41:MCR41"/>
    <mergeCell ref="MCS41:MDA41"/>
    <mergeCell ref="MDB41:MDJ41"/>
    <mergeCell ref="MDK41:MDS41"/>
    <mergeCell ref="MAH41:MAP41"/>
    <mergeCell ref="MAQ41:MAY41"/>
    <mergeCell ref="MAZ41:MBH41"/>
    <mergeCell ref="MBI41:MBQ41"/>
    <mergeCell ref="MBR41:MBZ41"/>
    <mergeCell ref="MMK41:MMS41"/>
    <mergeCell ref="MMT41:MNB41"/>
    <mergeCell ref="MNC41:MNK41"/>
    <mergeCell ref="MNL41:MNT41"/>
    <mergeCell ref="MNU41:MOC41"/>
    <mergeCell ref="MKR41:MKZ41"/>
    <mergeCell ref="MLA41:MLI41"/>
    <mergeCell ref="MLJ41:MLR41"/>
    <mergeCell ref="MLS41:MMA41"/>
    <mergeCell ref="MMB41:MMJ41"/>
    <mergeCell ref="MIY41:MJG41"/>
    <mergeCell ref="MJH41:MJP41"/>
    <mergeCell ref="MJQ41:MJY41"/>
    <mergeCell ref="MJZ41:MKH41"/>
    <mergeCell ref="MKI41:MKQ41"/>
    <mergeCell ref="MHF41:MHN41"/>
    <mergeCell ref="MHO41:MHW41"/>
    <mergeCell ref="MHX41:MIF41"/>
    <mergeCell ref="MIG41:MIO41"/>
    <mergeCell ref="MIP41:MIX41"/>
    <mergeCell ref="MTI41:MTQ41"/>
    <mergeCell ref="MTR41:MTZ41"/>
    <mergeCell ref="MUA41:MUI41"/>
    <mergeCell ref="MUJ41:MUR41"/>
    <mergeCell ref="MUS41:MVA41"/>
    <mergeCell ref="MRP41:MRX41"/>
    <mergeCell ref="MRY41:MSG41"/>
    <mergeCell ref="MSH41:MSP41"/>
    <mergeCell ref="MSQ41:MSY41"/>
    <mergeCell ref="MSZ41:MTH41"/>
    <mergeCell ref="MPW41:MQE41"/>
    <mergeCell ref="MQF41:MQN41"/>
    <mergeCell ref="MQO41:MQW41"/>
    <mergeCell ref="MQX41:MRF41"/>
    <mergeCell ref="MRG41:MRO41"/>
    <mergeCell ref="MOD41:MOL41"/>
    <mergeCell ref="MOM41:MOU41"/>
    <mergeCell ref="MOV41:MPD41"/>
    <mergeCell ref="MPE41:MPM41"/>
    <mergeCell ref="MPN41:MPV41"/>
    <mergeCell ref="NAG41:NAO41"/>
    <mergeCell ref="NAP41:NAX41"/>
    <mergeCell ref="NAY41:NBG41"/>
    <mergeCell ref="NBH41:NBP41"/>
    <mergeCell ref="NBQ41:NBY41"/>
    <mergeCell ref="MYN41:MYV41"/>
    <mergeCell ref="MYW41:MZE41"/>
    <mergeCell ref="MZF41:MZN41"/>
    <mergeCell ref="MZO41:MZW41"/>
    <mergeCell ref="MZX41:NAF41"/>
    <mergeCell ref="MWU41:MXC41"/>
    <mergeCell ref="MXD41:MXL41"/>
    <mergeCell ref="MXM41:MXU41"/>
    <mergeCell ref="MXV41:MYD41"/>
    <mergeCell ref="MYE41:MYM41"/>
    <mergeCell ref="MVB41:MVJ41"/>
    <mergeCell ref="MVK41:MVS41"/>
    <mergeCell ref="MVT41:MWB41"/>
    <mergeCell ref="MWC41:MWK41"/>
    <mergeCell ref="MWL41:MWT41"/>
    <mergeCell ref="NHE41:NHM41"/>
    <mergeCell ref="NHN41:NHV41"/>
    <mergeCell ref="NHW41:NIE41"/>
    <mergeCell ref="NIF41:NIN41"/>
    <mergeCell ref="NIO41:NIW41"/>
    <mergeCell ref="NFL41:NFT41"/>
    <mergeCell ref="NFU41:NGC41"/>
    <mergeCell ref="NGD41:NGL41"/>
    <mergeCell ref="NGM41:NGU41"/>
    <mergeCell ref="NGV41:NHD41"/>
    <mergeCell ref="NDS41:NEA41"/>
    <mergeCell ref="NEB41:NEJ41"/>
    <mergeCell ref="NEK41:NES41"/>
    <mergeCell ref="NET41:NFB41"/>
    <mergeCell ref="NFC41:NFK41"/>
    <mergeCell ref="NBZ41:NCH41"/>
    <mergeCell ref="NCI41:NCQ41"/>
    <mergeCell ref="NCR41:NCZ41"/>
    <mergeCell ref="NDA41:NDI41"/>
    <mergeCell ref="NDJ41:NDR41"/>
    <mergeCell ref="NOC41:NOK41"/>
    <mergeCell ref="NOL41:NOT41"/>
    <mergeCell ref="NOU41:NPC41"/>
    <mergeCell ref="NPD41:NPL41"/>
    <mergeCell ref="NPM41:NPU41"/>
    <mergeCell ref="NMJ41:NMR41"/>
    <mergeCell ref="NMS41:NNA41"/>
    <mergeCell ref="NNB41:NNJ41"/>
    <mergeCell ref="NNK41:NNS41"/>
    <mergeCell ref="NNT41:NOB41"/>
    <mergeCell ref="NKQ41:NKY41"/>
    <mergeCell ref="NKZ41:NLH41"/>
    <mergeCell ref="NLI41:NLQ41"/>
    <mergeCell ref="NLR41:NLZ41"/>
    <mergeCell ref="NMA41:NMI41"/>
    <mergeCell ref="NIX41:NJF41"/>
    <mergeCell ref="NJG41:NJO41"/>
    <mergeCell ref="NJP41:NJX41"/>
    <mergeCell ref="NJY41:NKG41"/>
    <mergeCell ref="NKH41:NKP41"/>
    <mergeCell ref="NVA41:NVI41"/>
    <mergeCell ref="NVJ41:NVR41"/>
    <mergeCell ref="NVS41:NWA41"/>
    <mergeCell ref="NWB41:NWJ41"/>
    <mergeCell ref="NWK41:NWS41"/>
    <mergeCell ref="NTH41:NTP41"/>
    <mergeCell ref="NTQ41:NTY41"/>
    <mergeCell ref="NTZ41:NUH41"/>
    <mergeCell ref="NUI41:NUQ41"/>
    <mergeCell ref="NUR41:NUZ41"/>
    <mergeCell ref="NRO41:NRW41"/>
    <mergeCell ref="NRX41:NSF41"/>
    <mergeCell ref="NSG41:NSO41"/>
    <mergeCell ref="NSP41:NSX41"/>
    <mergeCell ref="NSY41:NTG41"/>
    <mergeCell ref="NPV41:NQD41"/>
    <mergeCell ref="NQE41:NQM41"/>
    <mergeCell ref="NQN41:NQV41"/>
    <mergeCell ref="NQW41:NRE41"/>
    <mergeCell ref="NRF41:NRN41"/>
    <mergeCell ref="OBY41:OCG41"/>
    <mergeCell ref="OCH41:OCP41"/>
    <mergeCell ref="OCQ41:OCY41"/>
    <mergeCell ref="OCZ41:ODH41"/>
    <mergeCell ref="ODI41:ODQ41"/>
    <mergeCell ref="OAF41:OAN41"/>
    <mergeCell ref="OAO41:OAW41"/>
    <mergeCell ref="OAX41:OBF41"/>
    <mergeCell ref="OBG41:OBO41"/>
    <mergeCell ref="OBP41:OBX41"/>
    <mergeCell ref="NYM41:NYU41"/>
    <mergeCell ref="NYV41:NZD41"/>
    <mergeCell ref="NZE41:NZM41"/>
    <mergeCell ref="NZN41:NZV41"/>
    <mergeCell ref="NZW41:OAE41"/>
    <mergeCell ref="NWT41:NXB41"/>
    <mergeCell ref="NXC41:NXK41"/>
    <mergeCell ref="NXL41:NXT41"/>
    <mergeCell ref="NXU41:NYC41"/>
    <mergeCell ref="NYD41:NYL41"/>
    <mergeCell ref="OIW41:OJE41"/>
    <mergeCell ref="OJF41:OJN41"/>
    <mergeCell ref="OJO41:OJW41"/>
    <mergeCell ref="OJX41:OKF41"/>
    <mergeCell ref="OKG41:OKO41"/>
    <mergeCell ref="OHD41:OHL41"/>
    <mergeCell ref="OHM41:OHU41"/>
    <mergeCell ref="OHV41:OID41"/>
    <mergeCell ref="OIE41:OIM41"/>
    <mergeCell ref="OIN41:OIV41"/>
    <mergeCell ref="OFK41:OFS41"/>
    <mergeCell ref="OFT41:OGB41"/>
    <mergeCell ref="OGC41:OGK41"/>
    <mergeCell ref="OGL41:OGT41"/>
    <mergeCell ref="OGU41:OHC41"/>
    <mergeCell ref="ODR41:ODZ41"/>
    <mergeCell ref="OEA41:OEI41"/>
    <mergeCell ref="OEJ41:OER41"/>
    <mergeCell ref="OES41:OFA41"/>
    <mergeCell ref="OFB41:OFJ41"/>
    <mergeCell ref="OPU41:OQC41"/>
    <mergeCell ref="OQD41:OQL41"/>
    <mergeCell ref="OQM41:OQU41"/>
    <mergeCell ref="OQV41:ORD41"/>
    <mergeCell ref="ORE41:ORM41"/>
    <mergeCell ref="OOB41:OOJ41"/>
    <mergeCell ref="OOK41:OOS41"/>
    <mergeCell ref="OOT41:OPB41"/>
    <mergeCell ref="OPC41:OPK41"/>
    <mergeCell ref="OPL41:OPT41"/>
    <mergeCell ref="OMI41:OMQ41"/>
    <mergeCell ref="OMR41:OMZ41"/>
    <mergeCell ref="ONA41:ONI41"/>
    <mergeCell ref="ONJ41:ONR41"/>
    <mergeCell ref="ONS41:OOA41"/>
    <mergeCell ref="OKP41:OKX41"/>
    <mergeCell ref="OKY41:OLG41"/>
    <mergeCell ref="OLH41:OLP41"/>
    <mergeCell ref="OLQ41:OLY41"/>
    <mergeCell ref="OLZ41:OMH41"/>
    <mergeCell ref="OWS41:OXA41"/>
    <mergeCell ref="OXB41:OXJ41"/>
    <mergeCell ref="OXK41:OXS41"/>
    <mergeCell ref="OXT41:OYB41"/>
    <mergeCell ref="OYC41:OYK41"/>
    <mergeCell ref="OUZ41:OVH41"/>
    <mergeCell ref="OVI41:OVQ41"/>
    <mergeCell ref="OVR41:OVZ41"/>
    <mergeCell ref="OWA41:OWI41"/>
    <mergeCell ref="OWJ41:OWR41"/>
    <mergeCell ref="OTG41:OTO41"/>
    <mergeCell ref="OTP41:OTX41"/>
    <mergeCell ref="OTY41:OUG41"/>
    <mergeCell ref="OUH41:OUP41"/>
    <mergeCell ref="OUQ41:OUY41"/>
    <mergeCell ref="ORN41:ORV41"/>
    <mergeCell ref="ORW41:OSE41"/>
    <mergeCell ref="OSF41:OSN41"/>
    <mergeCell ref="OSO41:OSW41"/>
    <mergeCell ref="OSX41:OTF41"/>
    <mergeCell ref="PDQ41:PDY41"/>
    <mergeCell ref="PDZ41:PEH41"/>
    <mergeCell ref="PEI41:PEQ41"/>
    <mergeCell ref="PER41:PEZ41"/>
    <mergeCell ref="PFA41:PFI41"/>
    <mergeCell ref="PBX41:PCF41"/>
    <mergeCell ref="PCG41:PCO41"/>
    <mergeCell ref="PCP41:PCX41"/>
    <mergeCell ref="PCY41:PDG41"/>
    <mergeCell ref="PDH41:PDP41"/>
    <mergeCell ref="PAE41:PAM41"/>
    <mergeCell ref="PAN41:PAV41"/>
    <mergeCell ref="PAW41:PBE41"/>
    <mergeCell ref="PBF41:PBN41"/>
    <mergeCell ref="PBO41:PBW41"/>
    <mergeCell ref="OYL41:OYT41"/>
    <mergeCell ref="OYU41:OZC41"/>
    <mergeCell ref="OZD41:OZL41"/>
    <mergeCell ref="OZM41:OZU41"/>
    <mergeCell ref="OZV41:PAD41"/>
    <mergeCell ref="PKO41:PKW41"/>
    <mergeCell ref="PKX41:PLF41"/>
    <mergeCell ref="PLG41:PLO41"/>
    <mergeCell ref="PLP41:PLX41"/>
    <mergeCell ref="PLY41:PMG41"/>
    <mergeCell ref="PIV41:PJD41"/>
    <mergeCell ref="PJE41:PJM41"/>
    <mergeCell ref="PJN41:PJV41"/>
    <mergeCell ref="PJW41:PKE41"/>
    <mergeCell ref="PKF41:PKN41"/>
    <mergeCell ref="PHC41:PHK41"/>
    <mergeCell ref="PHL41:PHT41"/>
    <mergeCell ref="PHU41:PIC41"/>
    <mergeCell ref="PID41:PIL41"/>
    <mergeCell ref="PIM41:PIU41"/>
    <mergeCell ref="PFJ41:PFR41"/>
    <mergeCell ref="PFS41:PGA41"/>
    <mergeCell ref="PGB41:PGJ41"/>
    <mergeCell ref="PGK41:PGS41"/>
    <mergeCell ref="PGT41:PHB41"/>
    <mergeCell ref="PRM41:PRU41"/>
    <mergeCell ref="PRV41:PSD41"/>
    <mergeCell ref="PSE41:PSM41"/>
    <mergeCell ref="PSN41:PSV41"/>
    <mergeCell ref="PSW41:PTE41"/>
    <mergeCell ref="PPT41:PQB41"/>
    <mergeCell ref="PQC41:PQK41"/>
    <mergeCell ref="PQL41:PQT41"/>
    <mergeCell ref="PQU41:PRC41"/>
    <mergeCell ref="PRD41:PRL41"/>
    <mergeCell ref="POA41:POI41"/>
    <mergeCell ref="POJ41:POR41"/>
    <mergeCell ref="POS41:PPA41"/>
    <mergeCell ref="PPB41:PPJ41"/>
    <mergeCell ref="PPK41:PPS41"/>
    <mergeCell ref="PMH41:PMP41"/>
    <mergeCell ref="PMQ41:PMY41"/>
    <mergeCell ref="PMZ41:PNH41"/>
    <mergeCell ref="PNI41:PNQ41"/>
    <mergeCell ref="PNR41:PNZ41"/>
    <mergeCell ref="PYK41:PYS41"/>
    <mergeCell ref="PYT41:PZB41"/>
    <mergeCell ref="PZC41:PZK41"/>
    <mergeCell ref="PZL41:PZT41"/>
    <mergeCell ref="PZU41:QAC41"/>
    <mergeCell ref="PWR41:PWZ41"/>
    <mergeCell ref="PXA41:PXI41"/>
    <mergeCell ref="PXJ41:PXR41"/>
    <mergeCell ref="PXS41:PYA41"/>
    <mergeCell ref="PYB41:PYJ41"/>
    <mergeCell ref="PUY41:PVG41"/>
    <mergeCell ref="PVH41:PVP41"/>
    <mergeCell ref="PVQ41:PVY41"/>
    <mergeCell ref="PVZ41:PWH41"/>
    <mergeCell ref="PWI41:PWQ41"/>
    <mergeCell ref="PTF41:PTN41"/>
    <mergeCell ref="PTO41:PTW41"/>
    <mergeCell ref="PTX41:PUF41"/>
    <mergeCell ref="PUG41:PUO41"/>
    <mergeCell ref="PUP41:PUX41"/>
    <mergeCell ref="QFI41:QFQ41"/>
    <mergeCell ref="QFR41:QFZ41"/>
    <mergeCell ref="QGA41:QGI41"/>
    <mergeCell ref="QGJ41:QGR41"/>
    <mergeCell ref="QGS41:QHA41"/>
    <mergeCell ref="QDP41:QDX41"/>
    <mergeCell ref="QDY41:QEG41"/>
    <mergeCell ref="QEH41:QEP41"/>
    <mergeCell ref="QEQ41:QEY41"/>
    <mergeCell ref="QEZ41:QFH41"/>
    <mergeCell ref="QBW41:QCE41"/>
    <mergeCell ref="QCF41:QCN41"/>
    <mergeCell ref="QCO41:QCW41"/>
    <mergeCell ref="QCX41:QDF41"/>
    <mergeCell ref="QDG41:QDO41"/>
    <mergeCell ref="QAD41:QAL41"/>
    <mergeCell ref="QAM41:QAU41"/>
    <mergeCell ref="QAV41:QBD41"/>
    <mergeCell ref="QBE41:QBM41"/>
    <mergeCell ref="QBN41:QBV41"/>
    <mergeCell ref="QMG41:QMO41"/>
    <mergeCell ref="QMP41:QMX41"/>
    <mergeCell ref="QMY41:QNG41"/>
    <mergeCell ref="QNH41:QNP41"/>
    <mergeCell ref="QNQ41:QNY41"/>
    <mergeCell ref="QKN41:QKV41"/>
    <mergeCell ref="QKW41:QLE41"/>
    <mergeCell ref="QLF41:QLN41"/>
    <mergeCell ref="QLO41:QLW41"/>
    <mergeCell ref="QLX41:QMF41"/>
    <mergeCell ref="QIU41:QJC41"/>
    <mergeCell ref="QJD41:QJL41"/>
    <mergeCell ref="QJM41:QJU41"/>
    <mergeCell ref="QJV41:QKD41"/>
    <mergeCell ref="QKE41:QKM41"/>
    <mergeCell ref="QHB41:QHJ41"/>
    <mergeCell ref="QHK41:QHS41"/>
    <mergeCell ref="QHT41:QIB41"/>
    <mergeCell ref="QIC41:QIK41"/>
    <mergeCell ref="QIL41:QIT41"/>
    <mergeCell ref="QTE41:QTM41"/>
    <mergeCell ref="QTN41:QTV41"/>
    <mergeCell ref="QTW41:QUE41"/>
    <mergeCell ref="QUF41:QUN41"/>
    <mergeCell ref="QUO41:QUW41"/>
    <mergeCell ref="QRL41:QRT41"/>
    <mergeCell ref="QRU41:QSC41"/>
    <mergeCell ref="QSD41:QSL41"/>
    <mergeCell ref="QSM41:QSU41"/>
    <mergeCell ref="QSV41:QTD41"/>
    <mergeCell ref="QPS41:QQA41"/>
    <mergeCell ref="QQB41:QQJ41"/>
    <mergeCell ref="QQK41:QQS41"/>
    <mergeCell ref="QQT41:QRB41"/>
    <mergeCell ref="QRC41:QRK41"/>
    <mergeCell ref="QNZ41:QOH41"/>
    <mergeCell ref="QOI41:QOQ41"/>
    <mergeCell ref="QOR41:QOZ41"/>
    <mergeCell ref="QPA41:QPI41"/>
    <mergeCell ref="QPJ41:QPR41"/>
    <mergeCell ref="RAC41:RAK41"/>
    <mergeCell ref="RAL41:RAT41"/>
    <mergeCell ref="RAU41:RBC41"/>
    <mergeCell ref="RBD41:RBL41"/>
    <mergeCell ref="RBM41:RBU41"/>
    <mergeCell ref="QYJ41:QYR41"/>
    <mergeCell ref="QYS41:QZA41"/>
    <mergeCell ref="QZB41:QZJ41"/>
    <mergeCell ref="QZK41:QZS41"/>
    <mergeCell ref="QZT41:RAB41"/>
    <mergeCell ref="QWQ41:QWY41"/>
    <mergeCell ref="QWZ41:QXH41"/>
    <mergeCell ref="QXI41:QXQ41"/>
    <mergeCell ref="QXR41:QXZ41"/>
    <mergeCell ref="QYA41:QYI41"/>
    <mergeCell ref="QUX41:QVF41"/>
    <mergeCell ref="QVG41:QVO41"/>
    <mergeCell ref="QVP41:QVX41"/>
    <mergeCell ref="QVY41:QWG41"/>
    <mergeCell ref="QWH41:QWP41"/>
    <mergeCell ref="RHA41:RHI41"/>
    <mergeCell ref="RHJ41:RHR41"/>
    <mergeCell ref="RHS41:RIA41"/>
    <mergeCell ref="RIB41:RIJ41"/>
    <mergeCell ref="RIK41:RIS41"/>
    <mergeCell ref="RFH41:RFP41"/>
    <mergeCell ref="RFQ41:RFY41"/>
    <mergeCell ref="RFZ41:RGH41"/>
    <mergeCell ref="RGI41:RGQ41"/>
    <mergeCell ref="RGR41:RGZ41"/>
    <mergeCell ref="RDO41:RDW41"/>
    <mergeCell ref="RDX41:REF41"/>
    <mergeCell ref="REG41:REO41"/>
    <mergeCell ref="REP41:REX41"/>
    <mergeCell ref="REY41:RFG41"/>
    <mergeCell ref="RBV41:RCD41"/>
    <mergeCell ref="RCE41:RCM41"/>
    <mergeCell ref="RCN41:RCV41"/>
    <mergeCell ref="RCW41:RDE41"/>
    <mergeCell ref="RDF41:RDN41"/>
    <mergeCell ref="RNY41:ROG41"/>
    <mergeCell ref="ROH41:ROP41"/>
    <mergeCell ref="ROQ41:ROY41"/>
    <mergeCell ref="ROZ41:RPH41"/>
    <mergeCell ref="RPI41:RPQ41"/>
    <mergeCell ref="RMF41:RMN41"/>
    <mergeCell ref="RMO41:RMW41"/>
    <mergeCell ref="RMX41:RNF41"/>
    <mergeCell ref="RNG41:RNO41"/>
    <mergeCell ref="RNP41:RNX41"/>
    <mergeCell ref="RKM41:RKU41"/>
    <mergeCell ref="RKV41:RLD41"/>
    <mergeCell ref="RLE41:RLM41"/>
    <mergeCell ref="RLN41:RLV41"/>
    <mergeCell ref="RLW41:RME41"/>
    <mergeCell ref="RIT41:RJB41"/>
    <mergeCell ref="RJC41:RJK41"/>
    <mergeCell ref="RJL41:RJT41"/>
    <mergeCell ref="RJU41:RKC41"/>
    <mergeCell ref="RKD41:RKL41"/>
    <mergeCell ref="RUW41:RVE41"/>
    <mergeCell ref="RVF41:RVN41"/>
    <mergeCell ref="RVO41:RVW41"/>
    <mergeCell ref="RVX41:RWF41"/>
    <mergeCell ref="RWG41:RWO41"/>
    <mergeCell ref="RTD41:RTL41"/>
    <mergeCell ref="RTM41:RTU41"/>
    <mergeCell ref="RTV41:RUD41"/>
    <mergeCell ref="RUE41:RUM41"/>
    <mergeCell ref="RUN41:RUV41"/>
    <mergeCell ref="RRK41:RRS41"/>
    <mergeCell ref="RRT41:RSB41"/>
    <mergeCell ref="RSC41:RSK41"/>
    <mergeCell ref="RSL41:RST41"/>
    <mergeCell ref="RSU41:RTC41"/>
    <mergeCell ref="RPR41:RPZ41"/>
    <mergeCell ref="RQA41:RQI41"/>
    <mergeCell ref="RQJ41:RQR41"/>
    <mergeCell ref="RQS41:RRA41"/>
    <mergeCell ref="RRB41:RRJ41"/>
    <mergeCell ref="SBU41:SCC41"/>
    <mergeCell ref="SCD41:SCL41"/>
    <mergeCell ref="SCM41:SCU41"/>
    <mergeCell ref="SCV41:SDD41"/>
    <mergeCell ref="SDE41:SDM41"/>
    <mergeCell ref="SAB41:SAJ41"/>
    <mergeCell ref="SAK41:SAS41"/>
    <mergeCell ref="SAT41:SBB41"/>
    <mergeCell ref="SBC41:SBK41"/>
    <mergeCell ref="SBL41:SBT41"/>
    <mergeCell ref="RYI41:RYQ41"/>
    <mergeCell ref="RYR41:RYZ41"/>
    <mergeCell ref="RZA41:RZI41"/>
    <mergeCell ref="RZJ41:RZR41"/>
    <mergeCell ref="RZS41:SAA41"/>
    <mergeCell ref="RWP41:RWX41"/>
    <mergeCell ref="RWY41:RXG41"/>
    <mergeCell ref="RXH41:RXP41"/>
    <mergeCell ref="RXQ41:RXY41"/>
    <mergeCell ref="RXZ41:RYH41"/>
    <mergeCell ref="SIS41:SJA41"/>
    <mergeCell ref="SJB41:SJJ41"/>
    <mergeCell ref="SJK41:SJS41"/>
    <mergeCell ref="SJT41:SKB41"/>
    <mergeCell ref="SKC41:SKK41"/>
    <mergeCell ref="SGZ41:SHH41"/>
    <mergeCell ref="SHI41:SHQ41"/>
    <mergeCell ref="SHR41:SHZ41"/>
    <mergeCell ref="SIA41:SII41"/>
    <mergeCell ref="SIJ41:SIR41"/>
    <mergeCell ref="SFG41:SFO41"/>
    <mergeCell ref="SFP41:SFX41"/>
    <mergeCell ref="SFY41:SGG41"/>
    <mergeCell ref="SGH41:SGP41"/>
    <mergeCell ref="SGQ41:SGY41"/>
    <mergeCell ref="SDN41:SDV41"/>
    <mergeCell ref="SDW41:SEE41"/>
    <mergeCell ref="SEF41:SEN41"/>
    <mergeCell ref="SEO41:SEW41"/>
    <mergeCell ref="SEX41:SFF41"/>
    <mergeCell ref="SPQ41:SPY41"/>
    <mergeCell ref="SPZ41:SQH41"/>
    <mergeCell ref="SQI41:SQQ41"/>
    <mergeCell ref="SQR41:SQZ41"/>
    <mergeCell ref="SRA41:SRI41"/>
    <mergeCell ref="SNX41:SOF41"/>
    <mergeCell ref="SOG41:SOO41"/>
    <mergeCell ref="SOP41:SOX41"/>
    <mergeCell ref="SOY41:SPG41"/>
    <mergeCell ref="SPH41:SPP41"/>
    <mergeCell ref="SME41:SMM41"/>
    <mergeCell ref="SMN41:SMV41"/>
    <mergeCell ref="SMW41:SNE41"/>
    <mergeCell ref="SNF41:SNN41"/>
    <mergeCell ref="SNO41:SNW41"/>
    <mergeCell ref="SKL41:SKT41"/>
    <mergeCell ref="SKU41:SLC41"/>
    <mergeCell ref="SLD41:SLL41"/>
    <mergeCell ref="SLM41:SLU41"/>
    <mergeCell ref="SLV41:SMD41"/>
    <mergeCell ref="SWO41:SWW41"/>
    <mergeCell ref="SWX41:SXF41"/>
    <mergeCell ref="SXG41:SXO41"/>
    <mergeCell ref="SXP41:SXX41"/>
    <mergeCell ref="SXY41:SYG41"/>
    <mergeCell ref="SUV41:SVD41"/>
    <mergeCell ref="SVE41:SVM41"/>
    <mergeCell ref="SVN41:SVV41"/>
    <mergeCell ref="SVW41:SWE41"/>
    <mergeCell ref="SWF41:SWN41"/>
    <mergeCell ref="STC41:STK41"/>
    <mergeCell ref="STL41:STT41"/>
    <mergeCell ref="STU41:SUC41"/>
    <mergeCell ref="SUD41:SUL41"/>
    <mergeCell ref="SUM41:SUU41"/>
    <mergeCell ref="SRJ41:SRR41"/>
    <mergeCell ref="SRS41:SSA41"/>
    <mergeCell ref="SSB41:SSJ41"/>
    <mergeCell ref="SSK41:SSS41"/>
    <mergeCell ref="SST41:STB41"/>
    <mergeCell ref="TDM41:TDU41"/>
    <mergeCell ref="TDV41:TED41"/>
    <mergeCell ref="TEE41:TEM41"/>
    <mergeCell ref="TEN41:TEV41"/>
    <mergeCell ref="TEW41:TFE41"/>
    <mergeCell ref="TBT41:TCB41"/>
    <mergeCell ref="TCC41:TCK41"/>
    <mergeCell ref="TCL41:TCT41"/>
    <mergeCell ref="TCU41:TDC41"/>
    <mergeCell ref="TDD41:TDL41"/>
    <mergeCell ref="TAA41:TAI41"/>
    <mergeCell ref="TAJ41:TAR41"/>
    <mergeCell ref="TAS41:TBA41"/>
    <mergeCell ref="TBB41:TBJ41"/>
    <mergeCell ref="TBK41:TBS41"/>
    <mergeCell ref="SYH41:SYP41"/>
    <mergeCell ref="SYQ41:SYY41"/>
    <mergeCell ref="SYZ41:SZH41"/>
    <mergeCell ref="SZI41:SZQ41"/>
    <mergeCell ref="SZR41:SZZ41"/>
    <mergeCell ref="TKK41:TKS41"/>
    <mergeCell ref="TKT41:TLB41"/>
    <mergeCell ref="TLC41:TLK41"/>
    <mergeCell ref="TLL41:TLT41"/>
    <mergeCell ref="TLU41:TMC41"/>
    <mergeCell ref="TIR41:TIZ41"/>
    <mergeCell ref="TJA41:TJI41"/>
    <mergeCell ref="TJJ41:TJR41"/>
    <mergeCell ref="TJS41:TKA41"/>
    <mergeCell ref="TKB41:TKJ41"/>
    <mergeCell ref="TGY41:THG41"/>
    <mergeCell ref="THH41:THP41"/>
    <mergeCell ref="THQ41:THY41"/>
    <mergeCell ref="THZ41:TIH41"/>
    <mergeCell ref="TII41:TIQ41"/>
    <mergeCell ref="TFF41:TFN41"/>
    <mergeCell ref="TFO41:TFW41"/>
    <mergeCell ref="TFX41:TGF41"/>
    <mergeCell ref="TGG41:TGO41"/>
    <mergeCell ref="TGP41:TGX41"/>
    <mergeCell ref="TRI41:TRQ41"/>
    <mergeCell ref="TRR41:TRZ41"/>
    <mergeCell ref="TSA41:TSI41"/>
    <mergeCell ref="TSJ41:TSR41"/>
    <mergeCell ref="TSS41:TTA41"/>
    <mergeCell ref="TPP41:TPX41"/>
    <mergeCell ref="TPY41:TQG41"/>
    <mergeCell ref="TQH41:TQP41"/>
    <mergeCell ref="TQQ41:TQY41"/>
    <mergeCell ref="TQZ41:TRH41"/>
    <mergeCell ref="TNW41:TOE41"/>
    <mergeCell ref="TOF41:TON41"/>
    <mergeCell ref="TOO41:TOW41"/>
    <mergeCell ref="TOX41:TPF41"/>
    <mergeCell ref="TPG41:TPO41"/>
    <mergeCell ref="TMD41:TML41"/>
    <mergeCell ref="TMM41:TMU41"/>
    <mergeCell ref="TMV41:TND41"/>
    <mergeCell ref="TNE41:TNM41"/>
    <mergeCell ref="TNN41:TNV41"/>
    <mergeCell ref="TYG41:TYO41"/>
    <mergeCell ref="TYP41:TYX41"/>
    <mergeCell ref="TYY41:TZG41"/>
    <mergeCell ref="TZH41:TZP41"/>
    <mergeCell ref="TZQ41:TZY41"/>
    <mergeCell ref="TWN41:TWV41"/>
    <mergeCell ref="TWW41:TXE41"/>
    <mergeCell ref="TXF41:TXN41"/>
    <mergeCell ref="TXO41:TXW41"/>
    <mergeCell ref="TXX41:TYF41"/>
    <mergeCell ref="TUU41:TVC41"/>
    <mergeCell ref="TVD41:TVL41"/>
    <mergeCell ref="TVM41:TVU41"/>
    <mergeCell ref="TVV41:TWD41"/>
    <mergeCell ref="TWE41:TWM41"/>
    <mergeCell ref="TTB41:TTJ41"/>
    <mergeCell ref="TTK41:TTS41"/>
    <mergeCell ref="TTT41:TUB41"/>
    <mergeCell ref="TUC41:TUK41"/>
    <mergeCell ref="TUL41:TUT41"/>
    <mergeCell ref="UFE41:UFM41"/>
    <mergeCell ref="UFN41:UFV41"/>
    <mergeCell ref="UFW41:UGE41"/>
    <mergeCell ref="UGF41:UGN41"/>
    <mergeCell ref="UGO41:UGW41"/>
    <mergeCell ref="UDL41:UDT41"/>
    <mergeCell ref="UDU41:UEC41"/>
    <mergeCell ref="UED41:UEL41"/>
    <mergeCell ref="UEM41:UEU41"/>
    <mergeCell ref="UEV41:UFD41"/>
    <mergeCell ref="UBS41:UCA41"/>
    <mergeCell ref="UCB41:UCJ41"/>
    <mergeCell ref="UCK41:UCS41"/>
    <mergeCell ref="UCT41:UDB41"/>
    <mergeCell ref="UDC41:UDK41"/>
    <mergeCell ref="TZZ41:UAH41"/>
    <mergeCell ref="UAI41:UAQ41"/>
    <mergeCell ref="UAR41:UAZ41"/>
    <mergeCell ref="UBA41:UBI41"/>
    <mergeCell ref="UBJ41:UBR41"/>
    <mergeCell ref="UMC41:UMK41"/>
    <mergeCell ref="UML41:UMT41"/>
    <mergeCell ref="UMU41:UNC41"/>
    <mergeCell ref="UND41:UNL41"/>
    <mergeCell ref="UNM41:UNU41"/>
    <mergeCell ref="UKJ41:UKR41"/>
    <mergeCell ref="UKS41:ULA41"/>
    <mergeCell ref="ULB41:ULJ41"/>
    <mergeCell ref="ULK41:ULS41"/>
    <mergeCell ref="ULT41:UMB41"/>
    <mergeCell ref="UIQ41:UIY41"/>
    <mergeCell ref="UIZ41:UJH41"/>
    <mergeCell ref="UJI41:UJQ41"/>
    <mergeCell ref="UJR41:UJZ41"/>
    <mergeCell ref="UKA41:UKI41"/>
    <mergeCell ref="UGX41:UHF41"/>
    <mergeCell ref="UHG41:UHO41"/>
    <mergeCell ref="UHP41:UHX41"/>
    <mergeCell ref="UHY41:UIG41"/>
    <mergeCell ref="UIH41:UIP41"/>
    <mergeCell ref="UTA41:UTI41"/>
    <mergeCell ref="UTJ41:UTR41"/>
    <mergeCell ref="UTS41:UUA41"/>
    <mergeCell ref="UUB41:UUJ41"/>
    <mergeCell ref="UUK41:UUS41"/>
    <mergeCell ref="URH41:URP41"/>
    <mergeCell ref="URQ41:URY41"/>
    <mergeCell ref="URZ41:USH41"/>
    <mergeCell ref="USI41:USQ41"/>
    <mergeCell ref="USR41:USZ41"/>
    <mergeCell ref="UPO41:UPW41"/>
    <mergeCell ref="UPX41:UQF41"/>
    <mergeCell ref="UQG41:UQO41"/>
    <mergeCell ref="UQP41:UQX41"/>
    <mergeCell ref="UQY41:URG41"/>
    <mergeCell ref="UNV41:UOD41"/>
    <mergeCell ref="UOE41:UOM41"/>
    <mergeCell ref="UON41:UOV41"/>
    <mergeCell ref="UOW41:UPE41"/>
    <mergeCell ref="UPF41:UPN41"/>
    <mergeCell ref="UZY41:VAG41"/>
    <mergeCell ref="VAH41:VAP41"/>
    <mergeCell ref="VAQ41:VAY41"/>
    <mergeCell ref="VAZ41:VBH41"/>
    <mergeCell ref="VBI41:VBQ41"/>
    <mergeCell ref="UYF41:UYN41"/>
    <mergeCell ref="UYO41:UYW41"/>
    <mergeCell ref="UYX41:UZF41"/>
    <mergeCell ref="UZG41:UZO41"/>
    <mergeCell ref="UZP41:UZX41"/>
    <mergeCell ref="UWM41:UWU41"/>
    <mergeCell ref="UWV41:UXD41"/>
    <mergeCell ref="UXE41:UXM41"/>
    <mergeCell ref="UXN41:UXV41"/>
    <mergeCell ref="UXW41:UYE41"/>
    <mergeCell ref="UUT41:UVB41"/>
    <mergeCell ref="UVC41:UVK41"/>
    <mergeCell ref="UVL41:UVT41"/>
    <mergeCell ref="UVU41:UWC41"/>
    <mergeCell ref="UWD41:UWL41"/>
    <mergeCell ref="VGW41:VHE41"/>
    <mergeCell ref="VHF41:VHN41"/>
    <mergeCell ref="VHO41:VHW41"/>
    <mergeCell ref="VHX41:VIF41"/>
    <mergeCell ref="VIG41:VIO41"/>
    <mergeCell ref="VFD41:VFL41"/>
    <mergeCell ref="VFM41:VFU41"/>
    <mergeCell ref="VFV41:VGD41"/>
    <mergeCell ref="VGE41:VGM41"/>
    <mergeCell ref="VGN41:VGV41"/>
    <mergeCell ref="VDK41:VDS41"/>
    <mergeCell ref="VDT41:VEB41"/>
    <mergeCell ref="VEC41:VEK41"/>
    <mergeCell ref="VEL41:VET41"/>
    <mergeCell ref="VEU41:VFC41"/>
    <mergeCell ref="VBR41:VBZ41"/>
    <mergeCell ref="VCA41:VCI41"/>
    <mergeCell ref="VCJ41:VCR41"/>
    <mergeCell ref="VCS41:VDA41"/>
    <mergeCell ref="VDB41:VDJ41"/>
    <mergeCell ref="VNU41:VOC41"/>
    <mergeCell ref="VOD41:VOL41"/>
    <mergeCell ref="VOM41:VOU41"/>
    <mergeCell ref="VOV41:VPD41"/>
    <mergeCell ref="VPE41:VPM41"/>
    <mergeCell ref="VMB41:VMJ41"/>
    <mergeCell ref="VMK41:VMS41"/>
    <mergeCell ref="VMT41:VNB41"/>
    <mergeCell ref="VNC41:VNK41"/>
    <mergeCell ref="VNL41:VNT41"/>
    <mergeCell ref="VKI41:VKQ41"/>
    <mergeCell ref="VKR41:VKZ41"/>
    <mergeCell ref="VLA41:VLI41"/>
    <mergeCell ref="VLJ41:VLR41"/>
    <mergeCell ref="VLS41:VMA41"/>
    <mergeCell ref="VIP41:VIX41"/>
    <mergeCell ref="VIY41:VJG41"/>
    <mergeCell ref="VJH41:VJP41"/>
    <mergeCell ref="VJQ41:VJY41"/>
    <mergeCell ref="VJZ41:VKH41"/>
    <mergeCell ref="VUS41:VVA41"/>
    <mergeCell ref="VVB41:VVJ41"/>
    <mergeCell ref="VVK41:VVS41"/>
    <mergeCell ref="VVT41:VWB41"/>
    <mergeCell ref="VWC41:VWK41"/>
    <mergeCell ref="VSZ41:VTH41"/>
    <mergeCell ref="VTI41:VTQ41"/>
    <mergeCell ref="VTR41:VTZ41"/>
    <mergeCell ref="VUA41:VUI41"/>
    <mergeCell ref="VUJ41:VUR41"/>
    <mergeCell ref="VRG41:VRO41"/>
    <mergeCell ref="VRP41:VRX41"/>
    <mergeCell ref="VRY41:VSG41"/>
    <mergeCell ref="VSH41:VSP41"/>
    <mergeCell ref="VSQ41:VSY41"/>
    <mergeCell ref="VPN41:VPV41"/>
    <mergeCell ref="VPW41:VQE41"/>
    <mergeCell ref="VQF41:VQN41"/>
    <mergeCell ref="VQO41:VQW41"/>
    <mergeCell ref="VQX41:VRF41"/>
    <mergeCell ref="WBQ41:WBY41"/>
    <mergeCell ref="WBZ41:WCH41"/>
    <mergeCell ref="WCI41:WCQ41"/>
    <mergeCell ref="WCR41:WCZ41"/>
    <mergeCell ref="WDA41:WDI41"/>
    <mergeCell ref="VZX41:WAF41"/>
    <mergeCell ref="WAG41:WAO41"/>
    <mergeCell ref="WAP41:WAX41"/>
    <mergeCell ref="WAY41:WBG41"/>
    <mergeCell ref="WBH41:WBP41"/>
    <mergeCell ref="VYE41:VYM41"/>
    <mergeCell ref="VYN41:VYV41"/>
    <mergeCell ref="VYW41:VZE41"/>
    <mergeCell ref="VZF41:VZN41"/>
    <mergeCell ref="VZO41:VZW41"/>
    <mergeCell ref="VWL41:VWT41"/>
    <mergeCell ref="VWU41:VXC41"/>
    <mergeCell ref="VXD41:VXL41"/>
    <mergeCell ref="VXM41:VXU41"/>
    <mergeCell ref="VXV41:VYD41"/>
    <mergeCell ref="WIO41:WIW41"/>
    <mergeCell ref="WIX41:WJF41"/>
    <mergeCell ref="WJG41:WJO41"/>
    <mergeCell ref="WJP41:WJX41"/>
    <mergeCell ref="WJY41:WKG41"/>
    <mergeCell ref="WGV41:WHD41"/>
    <mergeCell ref="WHE41:WHM41"/>
    <mergeCell ref="WHN41:WHV41"/>
    <mergeCell ref="WHW41:WIE41"/>
    <mergeCell ref="WIF41:WIN41"/>
    <mergeCell ref="WFC41:WFK41"/>
    <mergeCell ref="WFL41:WFT41"/>
    <mergeCell ref="WFU41:WGC41"/>
    <mergeCell ref="WGD41:WGL41"/>
    <mergeCell ref="WGM41:WGU41"/>
    <mergeCell ref="WDJ41:WDR41"/>
    <mergeCell ref="WDS41:WEA41"/>
    <mergeCell ref="WEB41:WEJ41"/>
    <mergeCell ref="WEK41:WES41"/>
    <mergeCell ref="WET41:WFB41"/>
    <mergeCell ref="WPM41:WPU41"/>
    <mergeCell ref="WPV41:WQD41"/>
    <mergeCell ref="WQE41:WQM41"/>
    <mergeCell ref="WQN41:WQV41"/>
    <mergeCell ref="WQW41:WRE41"/>
    <mergeCell ref="WNT41:WOB41"/>
    <mergeCell ref="WOC41:WOK41"/>
    <mergeCell ref="WOL41:WOT41"/>
    <mergeCell ref="WOU41:WPC41"/>
    <mergeCell ref="WPD41:WPL41"/>
    <mergeCell ref="WMA41:WMI41"/>
    <mergeCell ref="WMJ41:WMR41"/>
    <mergeCell ref="WMS41:WNA41"/>
    <mergeCell ref="WNB41:WNJ41"/>
    <mergeCell ref="WNK41:WNS41"/>
    <mergeCell ref="WKH41:WKP41"/>
    <mergeCell ref="WKQ41:WKY41"/>
    <mergeCell ref="WKZ41:WLH41"/>
    <mergeCell ref="WLI41:WLQ41"/>
    <mergeCell ref="WLR41:WLZ41"/>
    <mergeCell ref="WWK41:WWS41"/>
    <mergeCell ref="WWT41:WXB41"/>
    <mergeCell ref="WXC41:WXK41"/>
    <mergeCell ref="WXL41:WXT41"/>
    <mergeCell ref="WXU41:WYC41"/>
    <mergeCell ref="WUR41:WUZ41"/>
    <mergeCell ref="WVA41:WVI41"/>
    <mergeCell ref="WVJ41:WVR41"/>
    <mergeCell ref="WVS41:WWA41"/>
    <mergeCell ref="WWB41:WWJ41"/>
    <mergeCell ref="WSY41:WTG41"/>
    <mergeCell ref="WTH41:WTP41"/>
    <mergeCell ref="WTQ41:WTY41"/>
    <mergeCell ref="WTZ41:WUH41"/>
    <mergeCell ref="WUI41:WUQ41"/>
    <mergeCell ref="WRF41:WRN41"/>
    <mergeCell ref="WRO41:WRW41"/>
    <mergeCell ref="WRX41:WSF41"/>
    <mergeCell ref="WSG41:WSO41"/>
    <mergeCell ref="WSP41:WSX41"/>
    <mergeCell ref="XDI41:XDQ41"/>
    <mergeCell ref="XDR41:XDZ41"/>
    <mergeCell ref="XEA41:XEI41"/>
    <mergeCell ref="XEJ41:XER41"/>
    <mergeCell ref="XES41:XFA41"/>
    <mergeCell ref="XBP41:XBX41"/>
    <mergeCell ref="XBY41:XCG41"/>
    <mergeCell ref="XCH41:XCP41"/>
    <mergeCell ref="XCQ41:XCY41"/>
    <mergeCell ref="XCZ41:XDH41"/>
    <mergeCell ref="WZW41:XAE41"/>
    <mergeCell ref="XAF41:XAN41"/>
    <mergeCell ref="XAO41:XAW41"/>
    <mergeCell ref="XAX41:XBF41"/>
    <mergeCell ref="XBG41:XBO41"/>
    <mergeCell ref="WYD41:WYL41"/>
    <mergeCell ref="WYM41:WYU41"/>
    <mergeCell ref="WYV41:WZD41"/>
    <mergeCell ref="WZE41:WZM41"/>
    <mergeCell ref="WZN41:WZV4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7"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6"/>
  <sheetViews>
    <sheetView showGridLines="0" workbookViewId="0">
      <pane ySplit="2" topLeftCell="A3" activePane="bottomLeft" state="frozen"/>
      <selection pane="bottomLeft" sqref="A1:F1"/>
    </sheetView>
  </sheetViews>
  <sheetFormatPr defaultRowHeight="14.5" x14ac:dyDescent="0.35"/>
  <cols>
    <col min="1" max="1" width="7.453125" bestFit="1" customWidth="1"/>
    <col min="2" max="2" width="20.453125" bestFit="1" customWidth="1"/>
    <col min="3" max="3" width="26.1796875" bestFit="1" customWidth="1"/>
    <col min="4" max="4" width="13.81640625" bestFit="1" customWidth="1"/>
    <col min="5" max="5" width="10.1796875" bestFit="1" customWidth="1"/>
    <col min="6" max="6" width="11.26953125" customWidth="1"/>
  </cols>
  <sheetData>
    <row r="1" spans="1:6" ht="15.5" x14ac:dyDescent="0.35">
      <c r="A1" s="1160" t="s">
        <v>439</v>
      </c>
      <c r="B1" s="1160"/>
      <c r="C1" s="1160"/>
      <c r="D1" s="1160"/>
      <c r="E1" s="1160"/>
      <c r="F1" s="1160"/>
    </row>
    <row r="2" spans="1:6" ht="17.5" x14ac:dyDescent="0.35">
      <c r="A2" s="601" t="s">
        <v>509</v>
      </c>
      <c r="B2" s="1"/>
      <c r="C2" s="1"/>
      <c r="D2" s="1"/>
      <c r="E2" s="1"/>
      <c r="F2" s="1"/>
    </row>
    <row r="3" spans="1:6" ht="17.5" x14ac:dyDescent="0.35">
      <c r="A3" s="1"/>
      <c r="B3" s="1"/>
      <c r="C3" s="1"/>
      <c r="D3" s="1"/>
      <c r="E3" s="1"/>
      <c r="F3" s="1"/>
    </row>
    <row r="4" spans="1:6" ht="15.5" x14ac:dyDescent="0.35">
      <c r="A4" s="535" t="s">
        <v>781</v>
      </c>
      <c r="B4" s="535"/>
      <c r="C4" s="535"/>
      <c r="D4" s="535"/>
      <c r="E4" s="535"/>
      <c r="F4" s="535"/>
    </row>
    <row r="5" spans="1:6" ht="15.5" x14ac:dyDescent="0.35">
      <c r="A5" t="s">
        <v>830</v>
      </c>
      <c r="B5" s="535"/>
      <c r="C5" s="535"/>
      <c r="D5" s="535"/>
      <c r="E5" s="535"/>
      <c r="F5" s="535"/>
    </row>
    <row r="6" spans="1:6" x14ac:dyDescent="0.35">
      <c r="A6" t="s">
        <v>320</v>
      </c>
      <c r="B6" t="s">
        <v>886</v>
      </c>
    </row>
    <row r="7" spans="1:6" x14ac:dyDescent="0.35">
      <c r="A7" t="s">
        <v>321</v>
      </c>
      <c r="B7" t="s">
        <v>323</v>
      </c>
    </row>
    <row r="8" spans="1:6" x14ac:dyDescent="0.35">
      <c r="A8" t="s">
        <v>322</v>
      </c>
      <c r="B8" t="s">
        <v>324</v>
      </c>
    </row>
    <row r="10" spans="1:6" ht="26.5" x14ac:dyDescent="0.35">
      <c r="A10" s="784" t="s">
        <v>1</v>
      </c>
      <c r="B10" s="784" t="s">
        <v>779</v>
      </c>
      <c r="C10" s="784" t="s">
        <v>780</v>
      </c>
      <c r="D10" s="784" t="s">
        <v>782</v>
      </c>
      <c r="E10" s="784" t="s">
        <v>783</v>
      </c>
      <c r="F10" s="3" t="s">
        <v>4</v>
      </c>
    </row>
    <row r="11" spans="1:6" x14ac:dyDescent="0.35">
      <c r="A11" s="783" t="s">
        <v>241</v>
      </c>
      <c r="B11" s="789">
        <v>2955</v>
      </c>
      <c r="C11" s="789">
        <v>264</v>
      </c>
      <c r="D11" s="789">
        <v>358</v>
      </c>
      <c r="E11" s="789">
        <v>60</v>
      </c>
      <c r="F11" s="926">
        <f>SUM(B11:E11)</f>
        <v>3637</v>
      </c>
    </row>
    <row r="12" spans="1:6" x14ac:dyDescent="0.35">
      <c r="A12" s="783" t="s">
        <v>773</v>
      </c>
      <c r="B12" s="789">
        <v>2966</v>
      </c>
      <c r="C12" s="789">
        <v>270</v>
      </c>
      <c r="D12" s="789">
        <v>351</v>
      </c>
      <c r="E12" s="789">
        <v>49</v>
      </c>
      <c r="F12" s="932">
        <f>SUM(B12:E12)</f>
        <v>3636</v>
      </c>
    </row>
    <row r="13" spans="1:6" x14ac:dyDescent="0.35">
      <c r="A13" s="784" t="s">
        <v>951</v>
      </c>
      <c r="B13" s="831">
        <v>2903</v>
      </c>
      <c r="C13" s="831">
        <v>273</v>
      </c>
      <c r="D13" s="831">
        <v>349</v>
      </c>
      <c r="E13" s="831">
        <v>59</v>
      </c>
      <c r="F13" s="928">
        <f>SUM(B13:E13)</f>
        <v>3584</v>
      </c>
    </row>
    <row r="15" spans="1:6" x14ac:dyDescent="0.35">
      <c r="A15" s="359" t="s">
        <v>8</v>
      </c>
    </row>
    <row r="16" spans="1:6" ht="30" customHeight="1" x14ac:dyDescent="0.35">
      <c r="A16" s="1159" t="s">
        <v>850</v>
      </c>
      <c r="B16" s="1159"/>
      <c r="C16" s="1159"/>
      <c r="D16" s="1159"/>
      <c r="E16" s="1159"/>
      <c r="F16" s="1159"/>
    </row>
  </sheetData>
  <sheetProtection algorithmName="SHA-512" hashValue="kDflZxaSjk5lRDZMpWfVqfZVx6ZzLdpZMX36DnsApweekuxqFO/EkEPcY0o3lI6sfZpo9x9NH3QhtYxyjUvxVg==" saltValue="j020SCLbbNpvLQpgBr15NA==" spinCount="100000" sheet="1" scenarios="1" formatCells="0" formatColumns="0" formatRows="0" sort="0" autoFilter="0" pivotTables="0"/>
  <mergeCells count="2">
    <mergeCell ref="A1:F1"/>
    <mergeCell ref="A16:F16"/>
  </mergeCells>
  <hyperlinks>
    <hyperlink ref="A2" location="'Table of Contents'!A1" display="Back to Table of Contents"/>
  </hyperlinks>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65"/>
  <sheetViews>
    <sheetView topLeftCell="A25" workbookViewId="0">
      <selection activeCell="A43" sqref="A43"/>
    </sheetView>
  </sheetViews>
  <sheetFormatPr defaultRowHeight="14.5" x14ac:dyDescent="0.35"/>
  <cols>
    <col min="1" max="1" width="58.1796875" bestFit="1" customWidth="1"/>
    <col min="2" max="2" width="24.54296875" bestFit="1" customWidth="1"/>
    <col min="3" max="3" width="30.36328125" bestFit="1" customWidth="1"/>
    <col min="4" max="4" width="18" bestFit="1" customWidth="1"/>
    <col min="5" max="5" width="14.26953125" bestFit="1" customWidth="1"/>
  </cols>
  <sheetData>
    <row r="1" spans="1:5" x14ac:dyDescent="0.35">
      <c r="A1" s="459" t="s">
        <v>1</v>
      </c>
      <c r="B1" t="s">
        <v>951</v>
      </c>
    </row>
    <row r="3" spans="1:5" x14ac:dyDescent="0.35">
      <c r="A3" s="459" t="s">
        <v>234</v>
      </c>
      <c r="B3" t="s">
        <v>17413</v>
      </c>
      <c r="C3" t="s">
        <v>17414</v>
      </c>
      <c r="D3" t="s">
        <v>17415</v>
      </c>
      <c r="E3" t="s">
        <v>17416</v>
      </c>
    </row>
    <row r="4" spans="1:5" x14ac:dyDescent="0.35">
      <c r="A4" s="1000" t="s">
        <v>235</v>
      </c>
      <c r="B4" s="461"/>
      <c r="C4" s="461"/>
      <c r="D4" s="461"/>
      <c r="E4" s="461"/>
    </row>
    <row r="5" spans="1:5" x14ac:dyDescent="0.35">
      <c r="A5" s="462" t="s">
        <v>31</v>
      </c>
      <c r="B5" s="461">
        <v>149</v>
      </c>
      <c r="C5" s="461">
        <v>0</v>
      </c>
      <c r="D5" s="461">
        <v>0</v>
      </c>
      <c r="E5" s="461">
        <v>0</v>
      </c>
    </row>
    <row r="6" spans="1:5" x14ac:dyDescent="0.35">
      <c r="A6" s="462" t="s">
        <v>32</v>
      </c>
      <c r="B6" s="461">
        <v>29</v>
      </c>
      <c r="C6" s="461">
        <v>0</v>
      </c>
      <c r="D6" s="461">
        <v>0</v>
      </c>
      <c r="E6" s="461">
        <v>0</v>
      </c>
    </row>
    <row r="7" spans="1:5" x14ac:dyDescent="0.35">
      <c r="A7" s="462" t="s">
        <v>33</v>
      </c>
      <c r="B7" s="461">
        <v>27</v>
      </c>
      <c r="C7" s="461">
        <v>0</v>
      </c>
      <c r="D7" s="461">
        <v>0</v>
      </c>
      <c r="E7" s="461">
        <v>0</v>
      </c>
    </row>
    <row r="8" spans="1:5" x14ac:dyDescent="0.35">
      <c r="A8" s="462" t="s">
        <v>34</v>
      </c>
      <c r="B8" s="461">
        <v>52</v>
      </c>
      <c r="C8" s="461">
        <v>0</v>
      </c>
      <c r="D8" s="461">
        <v>0</v>
      </c>
      <c r="E8" s="461">
        <v>0</v>
      </c>
    </row>
    <row r="9" spans="1:5" x14ac:dyDescent="0.35">
      <c r="A9" s="462" t="s">
        <v>245</v>
      </c>
      <c r="B9" s="461">
        <v>300</v>
      </c>
      <c r="C9" s="461">
        <v>0</v>
      </c>
      <c r="D9" s="461">
        <v>0</v>
      </c>
      <c r="E9" s="461">
        <v>0</v>
      </c>
    </row>
    <row r="10" spans="1:5" x14ac:dyDescent="0.35">
      <c r="A10" s="462" t="s">
        <v>35</v>
      </c>
      <c r="B10" s="461">
        <v>24</v>
      </c>
      <c r="C10" s="461">
        <v>0</v>
      </c>
      <c r="D10" s="461">
        <v>0</v>
      </c>
      <c r="E10" s="461">
        <v>0</v>
      </c>
    </row>
    <row r="11" spans="1:5" x14ac:dyDescent="0.35">
      <c r="A11" s="462" t="s">
        <v>17411</v>
      </c>
      <c r="B11" s="461">
        <v>51</v>
      </c>
      <c r="C11" s="461">
        <v>0</v>
      </c>
      <c r="D11" s="461">
        <v>0</v>
      </c>
      <c r="E11" s="461">
        <v>0</v>
      </c>
    </row>
    <row r="12" spans="1:5" x14ac:dyDescent="0.35">
      <c r="A12" s="462" t="s">
        <v>37</v>
      </c>
      <c r="B12" s="461">
        <v>182</v>
      </c>
      <c r="C12" s="461">
        <v>0</v>
      </c>
      <c r="D12" s="461">
        <v>0</v>
      </c>
      <c r="E12" s="461">
        <v>0</v>
      </c>
    </row>
    <row r="13" spans="1:5" x14ac:dyDescent="0.35">
      <c r="A13" s="462" t="s">
        <v>38</v>
      </c>
      <c r="B13" s="461">
        <v>47</v>
      </c>
      <c r="C13" s="461">
        <v>0</v>
      </c>
      <c r="D13" s="461">
        <v>0</v>
      </c>
      <c r="E13" s="461">
        <v>0</v>
      </c>
    </row>
    <row r="14" spans="1:5" x14ac:dyDescent="0.35">
      <c r="A14" s="462" t="s">
        <v>39</v>
      </c>
      <c r="B14" s="461">
        <v>76</v>
      </c>
      <c r="C14" s="461">
        <v>0</v>
      </c>
      <c r="D14" s="461">
        <v>0</v>
      </c>
      <c r="E14" s="461">
        <v>0</v>
      </c>
    </row>
    <row r="15" spans="1:5" x14ac:dyDescent="0.35">
      <c r="A15" s="462" t="s">
        <v>40</v>
      </c>
      <c r="B15" s="461">
        <v>26</v>
      </c>
      <c r="C15" s="461">
        <v>0</v>
      </c>
      <c r="D15" s="461">
        <v>0</v>
      </c>
      <c r="E15" s="461">
        <v>0</v>
      </c>
    </row>
    <row r="16" spans="1:5" x14ac:dyDescent="0.35">
      <c r="A16" s="462" t="s">
        <v>41</v>
      </c>
      <c r="B16" s="461">
        <v>48</v>
      </c>
      <c r="C16" s="461">
        <v>0</v>
      </c>
      <c r="D16" s="461">
        <v>0</v>
      </c>
      <c r="E16" s="461">
        <v>0</v>
      </c>
    </row>
    <row r="17" spans="1:5" x14ac:dyDescent="0.35">
      <c r="A17" s="462" t="s">
        <v>42</v>
      </c>
      <c r="B17" s="461">
        <v>88</v>
      </c>
      <c r="C17" s="461">
        <v>0</v>
      </c>
      <c r="D17" s="461">
        <v>0</v>
      </c>
      <c r="E17" s="461">
        <v>0</v>
      </c>
    </row>
    <row r="18" spans="1:5" x14ac:dyDescent="0.35">
      <c r="A18" s="462" t="s">
        <v>43</v>
      </c>
      <c r="B18" s="461">
        <v>254</v>
      </c>
      <c r="C18" s="461">
        <v>0</v>
      </c>
      <c r="D18" s="461">
        <v>0</v>
      </c>
      <c r="E18" s="461">
        <v>0</v>
      </c>
    </row>
    <row r="19" spans="1:5" x14ac:dyDescent="0.35">
      <c r="A19" s="462" t="s">
        <v>114</v>
      </c>
      <c r="B19" s="461">
        <v>499</v>
      </c>
      <c r="C19" s="461">
        <v>0</v>
      </c>
      <c r="D19" s="461">
        <v>0</v>
      </c>
      <c r="E19" s="461">
        <v>0</v>
      </c>
    </row>
    <row r="20" spans="1:5" x14ac:dyDescent="0.35">
      <c r="A20" s="462" t="s">
        <v>44</v>
      </c>
      <c r="B20" s="461">
        <v>74</v>
      </c>
      <c r="C20" s="461">
        <v>0</v>
      </c>
      <c r="D20" s="461">
        <v>0</v>
      </c>
      <c r="E20" s="461">
        <v>0</v>
      </c>
    </row>
    <row r="21" spans="1:5" x14ac:dyDescent="0.35">
      <c r="A21" s="462" t="s">
        <v>45</v>
      </c>
      <c r="B21" s="461">
        <v>70</v>
      </c>
      <c r="C21" s="461">
        <v>0</v>
      </c>
      <c r="D21" s="461">
        <v>0</v>
      </c>
      <c r="E21" s="461">
        <v>0</v>
      </c>
    </row>
    <row r="22" spans="1:5" x14ac:dyDescent="0.35">
      <c r="A22" s="462" t="s">
        <v>46</v>
      </c>
      <c r="B22" s="461">
        <v>27</v>
      </c>
      <c r="C22" s="461">
        <v>0</v>
      </c>
      <c r="D22" s="461">
        <v>0</v>
      </c>
      <c r="E22" s="461">
        <v>0</v>
      </c>
    </row>
    <row r="23" spans="1:5" x14ac:dyDescent="0.35">
      <c r="A23" s="462" t="s">
        <v>47</v>
      </c>
      <c r="B23" s="461">
        <v>30</v>
      </c>
      <c r="C23" s="461">
        <v>0</v>
      </c>
      <c r="D23" s="461">
        <v>0</v>
      </c>
      <c r="E23" s="461">
        <v>0</v>
      </c>
    </row>
    <row r="24" spans="1:5" x14ac:dyDescent="0.35">
      <c r="A24" s="462" t="s">
        <v>48</v>
      </c>
      <c r="B24" s="461">
        <v>0</v>
      </c>
      <c r="C24" s="461">
        <v>0</v>
      </c>
      <c r="D24" s="461">
        <v>0</v>
      </c>
      <c r="E24" s="461">
        <v>0</v>
      </c>
    </row>
    <row r="25" spans="1:5" x14ac:dyDescent="0.35">
      <c r="A25" s="462" t="s">
        <v>49</v>
      </c>
      <c r="B25" s="461">
        <v>75</v>
      </c>
      <c r="C25" s="461">
        <v>0</v>
      </c>
      <c r="D25" s="461">
        <v>0</v>
      </c>
      <c r="E25" s="461">
        <v>0</v>
      </c>
    </row>
    <row r="26" spans="1:5" x14ac:dyDescent="0.35">
      <c r="A26" s="462" t="s">
        <v>50</v>
      </c>
      <c r="B26" s="461">
        <v>160</v>
      </c>
      <c r="C26" s="461">
        <v>0</v>
      </c>
      <c r="D26" s="461">
        <v>0</v>
      </c>
      <c r="E26" s="461">
        <v>0</v>
      </c>
    </row>
    <row r="27" spans="1:5" x14ac:dyDescent="0.35">
      <c r="A27" s="462" t="s">
        <v>51</v>
      </c>
      <c r="B27" s="461">
        <v>0</v>
      </c>
      <c r="C27" s="461">
        <v>0</v>
      </c>
      <c r="D27" s="461">
        <v>0</v>
      </c>
      <c r="E27" s="461">
        <v>0</v>
      </c>
    </row>
    <row r="28" spans="1:5" x14ac:dyDescent="0.35">
      <c r="A28" s="462" t="s">
        <v>52</v>
      </c>
      <c r="B28" s="461">
        <v>63</v>
      </c>
      <c r="C28" s="461">
        <v>0</v>
      </c>
      <c r="D28" s="461">
        <v>0</v>
      </c>
      <c r="E28" s="461">
        <v>0</v>
      </c>
    </row>
    <row r="29" spans="1:5" x14ac:dyDescent="0.35">
      <c r="A29" s="462" t="s">
        <v>53</v>
      </c>
      <c r="B29" s="461">
        <v>100</v>
      </c>
      <c r="C29" s="461">
        <v>0</v>
      </c>
      <c r="D29" s="461">
        <v>0</v>
      </c>
      <c r="E29" s="461">
        <v>0</v>
      </c>
    </row>
    <row r="30" spans="1:5" x14ac:dyDescent="0.35">
      <c r="A30" s="462" t="s">
        <v>54</v>
      </c>
      <c r="B30" s="461">
        <v>51</v>
      </c>
      <c r="C30" s="461">
        <v>0</v>
      </c>
      <c r="D30" s="461">
        <v>0</v>
      </c>
      <c r="E30" s="461">
        <v>0</v>
      </c>
    </row>
    <row r="31" spans="1:5" x14ac:dyDescent="0.35">
      <c r="A31" s="462" t="s">
        <v>55</v>
      </c>
      <c r="B31" s="461">
        <v>0</v>
      </c>
      <c r="C31" s="461">
        <v>0</v>
      </c>
      <c r="D31" s="461">
        <v>0</v>
      </c>
      <c r="E31" s="461">
        <v>0</v>
      </c>
    </row>
    <row r="32" spans="1:5" x14ac:dyDescent="0.35">
      <c r="A32" s="462" t="s">
        <v>56</v>
      </c>
      <c r="B32" s="461">
        <v>51</v>
      </c>
      <c r="C32" s="461">
        <v>0</v>
      </c>
      <c r="D32" s="461">
        <v>0</v>
      </c>
      <c r="E32" s="461">
        <v>0</v>
      </c>
    </row>
    <row r="33" spans="1:5" x14ac:dyDescent="0.35">
      <c r="A33" s="462" t="s">
        <v>57</v>
      </c>
      <c r="B33" s="461">
        <v>168</v>
      </c>
      <c r="C33" s="461">
        <v>0</v>
      </c>
      <c r="D33" s="461">
        <v>0</v>
      </c>
      <c r="E33" s="461">
        <v>0</v>
      </c>
    </row>
    <row r="34" spans="1:5" x14ac:dyDescent="0.35">
      <c r="A34" s="462" t="s">
        <v>58</v>
      </c>
      <c r="B34" s="461">
        <v>52</v>
      </c>
      <c r="C34" s="461">
        <v>0</v>
      </c>
      <c r="D34" s="461">
        <v>0</v>
      </c>
      <c r="E34" s="461">
        <v>0</v>
      </c>
    </row>
    <row r="35" spans="1:5" x14ac:dyDescent="0.35">
      <c r="A35" s="462" t="s">
        <v>59</v>
      </c>
      <c r="B35" s="461">
        <v>73</v>
      </c>
      <c r="C35" s="461">
        <v>0</v>
      </c>
      <c r="D35" s="461">
        <v>0</v>
      </c>
      <c r="E35" s="461">
        <v>0</v>
      </c>
    </row>
    <row r="36" spans="1:5" x14ac:dyDescent="0.35">
      <c r="A36" s="462" t="s">
        <v>60</v>
      </c>
      <c r="B36" s="461">
        <v>57</v>
      </c>
      <c r="C36" s="461">
        <v>0</v>
      </c>
      <c r="D36" s="461">
        <v>0</v>
      </c>
      <c r="E36" s="461">
        <v>0</v>
      </c>
    </row>
    <row r="37" spans="1:5" x14ac:dyDescent="0.35">
      <c r="A37" s="1000" t="s">
        <v>851</v>
      </c>
      <c r="B37" s="461">
        <v>2903</v>
      </c>
      <c r="C37" s="461">
        <v>0</v>
      </c>
      <c r="D37" s="461">
        <v>0</v>
      </c>
      <c r="E37" s="461">
        <v>0</v>
      </c>
    </row>
    <row r="38" spans="1:5" x14ac:dyDescent="0.35">
      <c r="A38" s="1000" t="s">
        <v>236</v>
      </c>
      <c r="B38" s="461"/>
      <c r="C38" s="461"/>
      <c r="D38" s="461"/>
      <c r="E38" s="461"/>
    </row>
    <row r="39" spans="1:5" x14ac:dyDescent="0.35">
      <c r="A39" s="462" t="s">
        <v>31</v>
      </c>
      <c r="B39" s="461">
        <v>0</v>
      </c>
      <c r="C39" s="461">
        <v>6</v>
      </c>
      <c r="D39" s="461">
        <v>6</v>
      </c>
      <c r="E39" s="461">
        <v>0</v>
      </c>
    </row>
    <row r="40" spans="1:5" x14ac:dyDescent="0.35">
      <c r="A40" s="462" t="s">
        <v>63</v>
      </c>
      <c r="B40" s="461">
        <v>0</v>
      </c>
      <c r="C40" s="461">
        <v>13</v>
      </c>
      <c r="D40" s="461">
        <v>13</v>
      </c>
      <c r="E40" s="461">
        <v>0</v>
      </c>
    </row>
    <row r="41" spans="1:5" x14ac:dyDescent="0.35">
      <c r="A41" s="462" t="s">
        <v>64</v>
      </c>
      <c r="B41" s="461">
        <v>0</v>
      </c>
      <c r="C41" s="461">
        <v>11</v>
      </c>
      <c r="D41" s="461">
        <v>15</v>
      </c>
      <c r="E41" s="461">
        <v>0</v>
      </c>
    </row>
    <row r="42" spans="1:5" x14ac:dyDescent="0.35">
      <c r="A42" s="462" t="s">
        <v>36</v>
      </c>
      <c r="B42" s="461">
        <v>0</v>
      </c>
      <c r="C42" s="461">
        <v>9</v>
      </c>
      <c r="D42" s="461">
        <v>12</v>
      </c>
      <c r="E42" s="461">
        <v>0</v>
      </c>
    </row>
    <row r="43" spans="1:5" x14ac:dyDescent="0.35">
      <c r="A43" s="462" t="s">
        <v>65</v>
      </c>
      <c r="B43" s="461">
        <v>0</v>
      </c>
      <c r="C43" s="461">
        <v>13</v>
      </c>
      <c r="D43" s="461">
        <v>15</v>
      </c>
      <c r="E43" s="461">
        <v>0</v>
      </c>
    </row>
    <row r="44" spans="1:5" x14ac:dyDescent="0.35">
      <c r="A44" s="462" t="s">
        <v>66</v>
      </c>
      <c r="B44" s="461">
        <v>0</v>
      </c>
      <c r="C44" s="461">
        <v>13</v>
      </c>
      <c r="D44" s="461">
        <v>14</v>
      </c>
      <c r="E44" s="461">
        <v>0</v>
      </c>
    </row>
    <row r="45" spans="1:5" x14ac:dyDescent="0.35">
      <c r="A45" s="462" t="s">
        <v>67</v>
      </c>
      <c r="B45" s="461">
        <v>0</v>
      </c>
      <c r="C45" s="461">
        <v>11</v>
      </c>
      <c r="D45" s="461">
        <v>17</v>
      </c>
      <c r="E45" s="461">
        <v>0</v>
      </c>
    </row>
    <row r="46" spans="1:5" x14ac:dyDescent="0.35">
      <c r="A46" s="462" t="s">
        <v>68</v>
      </c>
      <c r="B46" s="461">
        <v>0</v>
      </c>
      <c r="C46" s="461">
        <v>10</v>
      </c>
      <c r="D46" s="461">
        <v>7</v>
      </c>
      <c r="E46" s="461">
        <v>0</v>
      </c>
    </row>
    <row r="47" spans="1:5" x14ac:dyDescent="0.35">
      <c r="A47" s="462" t="s">
        <v>167</v>
      </c>
      <c r="B47" s="461">
        <v>0</v>
      </c>
      <c r="C47" s="461">
        <v>11</v>
      </c>
      <c r="D47" s="461">
        <v>18</v>
      </c>
      <c r="E47" s="461">
        <v>0</v>
      </c>
    </row>
    <row r="48" spans="1:5" x14ac:dyDescent="0.35">
      <c r="A48" s="462" t="s">
        <v>69</v>
      </c>
      <c r="B48" s="461">
        <v>0</v>
      </c>
      <c r="C48" s="461">
        <v>8</v>
      </c>
      <c r="D48" s="461">
        <v>11</v>
      </c>
      <c r="E48" s="461">
        <v>0</v>
      </c>
    </row>
    <row r="49" spans="1:5" x14ac:dyDescent="0.35">
      <c r="A49" s="462" t="s">
        <v>43</v>
      </c>
      <c r="B49" s="461"/>
      <c r="C49" s="461"/>
      <c r="D49" s="461"/>
      <c r="E49" s="461"/>
    </row>
    <row r="50" spans="1:5" x14ac:dyDescent="0.35">
      <c r="A50" s="462" t="s">
        <v>114</v>
      </c>
      <c r="B50" s="461">
        <v>0</v>
      </c>
      <c r="C50" s="461">
        <v>15</v>
      </c>
      <c r="D50" s="461">
        <v>11</v>
      </c>
      <c r="E50" s="461">
        <v>0</v>
      </c>
    </row>
    <row r="51" spans="1:5" x14ac:dyDescent="0.35">
      <c r="A51" s="462" t="s">
        <v>70</v>
      </c>
      <c r="B51" s="461">
        <v>0</v>
      </c>
      <c r="C51" s="461">
        <v>17</v>
      </c>
      <c r="D51" s="461">
        <v>18</v>
      </c>
      <c r="E51" s="461">
        <v>0</v>
      </c>
    </row>
    <row r="52" spans="1:5" x14ac:dyDescent="0.35">
      <c r="A52" s="462" t="s">
        <v>50</v>
      </c>
      <c r="B52" s="461">
        <v>0</v>
      </c>
      <c r="C52" s="461">
        <v>8</v>
      </c>
      <c r="D52" s="461">
        <v>7</v>
      </c>
      <c r="E52" s="461">
        <v>0</v>
      </c>
    </row>
    <row r="53" spans="1:5" x14ac:dyDescent="0.35">
      <c r="A53" s="462" t="s">
        <v>57</v>
      </c>
      <c r="B53" s="461">
        <v>0</v>
      </c>
      <c r="C53" s="461">
        <v>9</v>
      </c>
      <c r="D53" s="461">
        <v>7</v>
      </c>
      <c r="E53" s="461">
        <v>0</v>
      </c>
    </row>
    <row r="54" spans="1:5" x14ac:dyDescent="0.35">
      <c r="A54" s="462" t="s">
        <v>775</v>
      </c>
      <c r="B54" s="461">
        <v>0</v>
      </c>
      <c r="C54" s="461">
        <v>16</v>
      </c>
      <c r="D54" s="461">
        <v>21</v>
      </c>
      <c r="E54" s="461">
        <v>0</v>
      </c>
    </row>
    <row r="55" spans="1:5" x14ac:dyDescent="0.35">
      <c r="A55" s="462" t="s">
        <v>71</v>
      </c>
      <c r="B55" s="461">
        <v>0</v>
      </c>
      <c r="C55" s="461">
        <v>11</v>
      </c>
      <c r="D55" s="461">
        <v>4</v>
      </c>
      <c r="E55" s="461">
        <v>0</v>
      </c>
    </row>
    <row r="56" spans="1:5" x14ac:dyDescent="0.35">
      <c r="A56" s="1000" t="s">
        <v>852</v>
      </c>
      <c r="B56" s="461">
        <v>0</v>
      </c>
      <c r="C56" s="461">
        <v>181</v>
      </c>
      <c r="D56" s="461">
        <v>196</v>
      </c>
      <c r="E56" s="461">
        <v>0</v>
      </c>
    </row>
    <row r="57" spans="1:5" x14ac:dyDescent="0.35">
      <c r="A57" s="1000" t="s">
        <v>237</v>
      </c>
      <c r="B57" s="461"/>
      <c r="C57" s="461"/>
      <c r="D57" s="461"/>
      <c r="E57" s="461"/>
    </row>
    <row r="58" spans="1:5" x14ac:dyDescent="0.35">
      <c r="A58" s="462" t="s">
        <v>166</v>
      </c>
      <c r="B58" s="461">
        <v>0</v>
      </c>
      <c r="C58" s="461">
        <v>8</v>
      </c>
      <c r="D58" s="461">
        <v>38</v>
      </c>
      <c r="E58" s="461">
        <v>20</v>
      </c>
    </row>
    <row r="59" spans="1:5" x14ac:dyDescent="0.35">
      <c r="A59" s="462" t="s">
        <v>164</v>
      </c>
      <c r="B59" s="461">
        <v>0</v>
      </c>
      <c r="C59" s="461">
        <v>10</v>
      </c>
      <c r="D59" s="461">
        <v>32</v>
      </c>
      <c r="E59" s="461">
        <v>13</v>
      </c>
    </row>
    <row r="60" spans="1:5" x14ac:dyDescent="0.35">
      <c r="A60" s="462" t="s">
        <v>165</v>
      </c>
      <c r="B60" s="461">
        <v>0</v>
      </c>
      <c r="C60" s="461">
        <v>13</v>
      </c>
      <c r="D60" s="461">
        <v>53</v>
      </c>
      <c r="E60" s="461">
        <v>25</v>
      </c>
    </row>
    <row r="61" spans="1:5" x14ac:dyDescent="0.35">
      <c r="A61" s="1000" t="s">
        <v>853</v>
      </c>
      <c r="B61" s="461">
        <v>0</v>
      </c>
      <c r="C61" s="461">
        <v>31</v>
      </c>
      <c r="D61" s="461">
        <v>123</v>
      </c>
      <c r="E61" s="461">
        <v>58</v>
      </c>
    </row>
    <row r="62" spans="1:5" x14ac:dyDescent="0.35">
      <c r="A62" s="1000" t="s">
        <v>238</v>
      </c>
      <c r="B62" s="461"/>
      <c r="C62" s="461"/>
      <c r="D62" s="461"/>
      <c r="E62" s="461"/>
    </row>
    <row r="63" spans="1:5" x14ac:dyDescent="0.35">
      <c r="A63" s="462" t="s">
        <v>246</v>
      </c>
      <c r="B63" s="461">
        <v>0</v>
      </c>
      <c r="C63" s="461">
        <v>61</v>
      </c>
      <c r="D63" s="461">
        <v>30</v>
      </c>
      <c r="E63" s="461">
        <v>1</v>
      </c>
    </row>
    <row r="64" spans="1:5" x14ac:dyDescent="0.35">
      <c r="A64" s="1000" t="s">
        <v>854</v>
      </c>
      <c r="B64" s="461">
        <v>0</v>
      </c>
      <c r="C64" s="461">
        <v>61</v>
      </c>
      <c r="D64" s="461">
        <v>30</v>
      </c>
      <c r="E64" s="461">
        <v>1</v>
      </c>
    </row>
    <row r="65" spans="1:5" x14ac:dyDescent="0.35">
      <c r="A65" s="1000" t="s">
        <v>239</v>
      </c>
      <c r="B65" s="461">
        <v>2903</v>
      </c>
      <c r="C65" s="461">
        <v>273</v>
      </c>
      <c r="D65" s="461">
        <v>349</v>
      </c>
      <c r="E65" s="461">
        <v>59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160"/>
  <sheetViews>
    <sheetView workbookViewId="0">
      <selection activeCell="A151" sqref="A151"/>
    </sheetView>
  </sheetViews>
  <sheetFormatPr defaultRowHeight="14.5" x14ac:dyDescent="0.35"/>
  <cols>
    <col min="1" max="1" width="7.453125" bestFit="1" customWidth="1"/>
    <col min="2" max="2" width="15.54296875" bestFit="1" customWidth="1"/>
    <col min="3" max="3" width="54.36328125" bestFit="1" customWidth="1"/>
    <col min="4" max="4" width="20.453125" bestFit="1" customWidth="1"/>
    <col min="5" max="5" width="26.1796875" bestFit="1" customWidth="1"/>
    <col min="6" max="6" width="13.81640625" bestFit="1" customWidth="1"/>
    <col min="7" max="7" width="10.1796875" bestFit="1" customWidth="1"/>
  </cols>
  <sheetData>
    <row r="1" spans="1:7" x14ac:dyDescent="0.35">
      <c r="A1" s="461" t="s">
        <v>1</v>
      </c>
      <c r="B1" s="461" t="s">
        <v>17409</v>
      </c>
      <c r="C1" s="461" t="s">
        <v>17410</v>
      </c>
      <c r="D1" s="461" t="s">
        <v>779</v>
      </c>
      <c r="E1" s="461" t="s">
        <v>780</v>
      </c>
      <c r="F1" s="461" t="s">
        <v>782</v>
      </c>
      <c r="G1" s="461" t="s">
        <v>783</v>
      </c>
    </row>
    <row r="2" spans="1:7" hidden="1" x14ac:dyDescent="0.35">
      <c r="A2" s="461" t="s">
        <v>241</v>
      </c>
      <c r="B2" s="461" t="s">
        <v>235</v>
      </c>
      <c r="C2" s="461" t="s">
        <v>31</v>
      </c>
      <c r="D2" s="461">
        <v>154</v>
      </c>
      <c r="E2" s="461">
        <v>0</v>
      </c>
      <c r="F2" s="461">
        <v>0</v>
      </c>
      <c r="G2" s="461">
        <v>0</v>
      </c>
    </row>
    <row r="3" spans="1:7" hidden="1" x14ac:dyDescent="0.35">
      <c r="A3" s="461" t="s">
        <v>241</v>
      </c>
      <c r="B3" s="461" t="s">
        <v>235</v>
      </c>
      <c r="C3" s="461" t="s">
        <v>32</v>
      </c>
      <c r="D3" s="461">
        <v>30</v>
      </c>
      <c r="E3" s="461">
        <v>0</v>
      </c>
      <c r="F3" s="461">
        <v>0</v>
      </c>
      <c r="G3" s="461">
        <v>0</v>
      </c>
    </row>
    <row r="4" spans="1:7" hidden="1" x14ac:dyDescent="0.35">
      <c r="A4" s="461" t="s">
        <v>241</v>
      </c>
      <c r="B4" s="461" t="s">
        <v>235</v>
      </c>
      <c r="C4" s="461" t="s">
        <v>33</v>
      </c>
      <c r="D4" s="461">
        <v>28</v>
      </c>
      <c r="E4" s="461">
        <v>0</v>
      </c>
      <c r="F4" s="461">
        <v>0</v>
      </c>
      <c r="G4" s="461">
        <v>0</v>
      </c>
    </row>
    <row r="5" spans="1:7" hidden="1" x14ac:dyDescent="0.35">
      <c r="A5" s="461" t="s">
        <v>241</v>
      </c>
      <c r="B5" s="461" t="s">
        <v>235</v>
      </c>
      <c r="C5" s="461" t="s">
        <v>34</v>
      </c>
      <c r="D5" s="461">
        <v>54</v>
      </c>
      <c r="E5" s="461">
        <v>0</v>
      </c>
      <c r="F5" s="461">
        <v>0</v>
      </c>
      <c r="G5" s="461">
        <v>0</v>
      </c>
    </row>
    <row r="6" spans="1:7" hidden="1" x14ac:dyDescent="0.35">
      <c r="A6" s="461" t="s">
        <v>241</v>
      </c>
      <c r="B6" s="461" t="s">
        <v>235</v>
      </c>
      <c r="C6" s="461" t="s">
        <v>245</v>
      </c>
      <c r="D6" s="461">
        <v>297</v>
      </c>
      <c r="E6" s="461">
        <v>0</v>
      </c>
      <c r="F6" s="461">
        <v>0</v>
      </c>
      <c r="G6" s="461">
        <v>0</v>
      </c>
    </row>
    <row r="7" spans="1:7" hidden="1" x14ac:dyDescent="0.35">
      <c r="A7" s="461" t="s">
        <v>241</v>
      </c>
      <c r="B7" s="461" t="s">
        <v>235</v>
      </c>
      <c r="C7" s="461" t="s">
        <v>35</v>
      </c>
      <c r="D7" s="461">
        <v>25</v>
      </c>
      <c r="E7" s="461">
        <v>0</v>
      </c>
      <c r="F7" s="461">
        <v>0</v>
      </c>
      <c r="G7" s="461">
        <v>0</v>
      </c>
    </row>
    <row r="8" spans="1:7" hidden="1" x14ac:dyDescent="0.35">
      <c r="A8" s="461" t="s">
        <v>241</v>
      </c>
      <c r="B8" s="461" t="s">
        <v>235</v>
      </c>
      <c r="C8" s="461" t="s">
        <v>17411</v>
      </c>
      <c r="D8" s="461">
        <v>53</v>
      </c>
      <c r="E8" s="461">
        <v>0</v>
      </c>
      <c r="F8" s="461">
        <v>0</v>
      </c>
      <c r="G8" s="461">
        <v>0</v>
      </c>
    </row>
    <row r="9" spans="1:7" hidden="1" x14ac:dyDescent="0.35">
      <c r="A9" s="461" t="s">
        <v>241</v>
      </c>
      <c r="B9" s="461" t="s">
        <v>235</v>
      </c>
      <c r="C9" s="461" t="s">
        <v>37</v>
      </c>
      <c r="D9" s="461">
        <v>177</v>
      </c>
      <c r="E9" s="461">
        <v>0</v>
      </c>
      <c r="F9" s="461">
        <v>0</v>
      </c>
      <c r="G9" s="461">
        <v>0</v>
      </c>
    </row>
    <row r="10" spans="1:7" hidden="1" x14ac:dyDescent="0.35">
      <c r="A10" s="461" t="s">
        <v>241</v>
      </c>
      <c r="B10" s="461" t="s">
        <v>235</v>
      </c>
      <c r="C10" s="461" t="s">
        <v>38</v>
      </c>
      <c r="D10" s="461">
        <v>47</v>
      </c>
      <c r="E10" s="461">
        <v>0</v>
      </c>
      <c r="F10" s="461">
        <v>0</v>
      </c>
      <c r="G10" s="461">
        <v>0</v>
      </c>
    </row>
    <row r="11" spans="1:7" hidden="1" x14ac:dyDescent="0.35">
      <c r="A11" s="461" t="s">
        <v>241</v>
      </c>
      <c r="B11" s="461" t="s">
        <v>235</v>
      </c>
      <c r="C11" s="461" t="s">
        <v>39</v>
      </c>
      <c r="D11" s="461">
        <v>78</v>
      </c>
      <c r="E11" s="461">
        <v>0</v>
      </c>
      <c r="F11" s="461">
        <v>0</v>
      </c>
      <c r="G11" s="461">
        <v>0</v>
      </c>
    </row>
    <row r="12" spans="1:7" hidden="1" x14ac:dyDescent="0.35">
      <c r="A12" s="461" t="s">
        <v>241</v>
      </c>
      <c r="B12" s="461" t="s">
        <v>235</v>
      </c>
      <c r="C12" s="461" t="s">
        <v>40</v>
      </c>
      <c r="D12" s="461">
        <v>24</v>
      </c>
      <c r="E12" s="461">
        <v>0</v>
      </c>
      <c r="F12" s="461">
        <v>0</v>
      </c>
      <c r="G12" s="461">
        <v>0</v>
      </c>
    </row>
    <row r="13" spans="1:7" hidden="1" x14ac:dyDescent="0.35">
      <c r="A13" s="461" t="s">
        <v>241</v>
      </c>
      <c r="B13" s="461" t="s">
        <v>235</v>
      </c>
      <c r="C13" s="461" t="s">
        <v>41</v>
      </c>
      <c r="D13" s="461">
        <v>52</v>
      </c>
      <c r="E13" s="461">
        <v>0</v>
      </c>
      <c r="F13" s="461">
        <v>0</v>
      </c>
      <c r="G13" s="461">
        <v>0</v>
      </c>
    </row>
    <row r="14" spans="1:7" hidden="1" x14ac:dyDescent="0.35">
      <c r="A14" s="461" t="s">
        <v>241</v>
      </c>
      <c r="B14" s="461" t="s">
        <v>235</v>
      </c>
      <c r="C14" s="461" t="s">
        <v>42</v>
      </c>
      <c r="D14" s="461">
        <v>88</v>
      </c>
      <c r="E14" s="461">
        <v>0</v>
      </c>
      <c r="F14" s="461">
        <v>0</v>
      </c>
      <c r="G14" s="461">
        <v>0</v>
      </c>
    </row>
    <row r="15" spans="1:7" hidden="1" x14ac:dyDescent="0.35">
      <c r="A15" s="461" t="s">
        <v>241</v>
      </c>
      <c r="B15" s="461" t="s">
        <v>235</v>
      </c>
      <c r="C15" s="461" t="s">
        <v>43</v>
      </c>
      <c r="D15" s="461">
        <v>274</v>
      </c>
      <c r="E15" s="461">
        <v>0</v>
      </c>
      <c r="F15" s="461">
        <v>0</v>
      </c>
      <c r="G15" s="461">
        <v>0</v>
      </c>
    </row>
    <row r="16" spans="1:7" hidden="1" x14ac:dyDescent="0.35">
      <c r="A16" s="461" t="s">
        <v>241</v>
      </c>
      <c r="B16" s="461" t="s">
        <v>235</v>
      </c>
      <c r="C16" s="461" t="s">
        <v>114</v>
      </c>
      <c r="D16" s="461">
        <v>515</v>
      </c>
      <c r="E16" s="461">
        <v>0</v>
      </c>
      <c r="F16" s="461">
        <v>0</v>
      </c>
      <c r="G16" s="461">
        <v>0</v>
      </c>
    </row>
    <row r="17" spans="1:7" hidden="1" x14ac:dyDescent="0.35">
      <c r="A17" s="461" t="s">
        <v>241</v>
      </c>
      <c r="B17" s="461" t="s">
        <v>235</v>
      </c>
      <c r="C17" s="461" t="s">
        <v>44</v>
      </c>
      <c r="D17" s="461">
        <v>70</v>
      </c>
      <c r="E17" s="461">
        <v>0</v>
      </c>
      <c r="F17" s="461">
        <v>0</v>
      </c>
      <c r="G17" s="461">
        <v>0</v>
      </c>
    </row>
    <row r="18" spans="1:7" hidden="1" x14ac:dyDescent="0.35">
      <c r="A18" s="461" t="s">
        <v>241</v>
      </c>
      <c r="B18" s="461" t="s">
        <v>235</v>
      </c>
      <c r="C18" s="461" t="s">
        <v>45</v>
      </c>
      <c r="D18" s="461">
        <v>72</v>
      </c>
      <c r="E18" s="461">
        <v>0</v>
      </c>
      <c r="F18" s="461">
        <v>0</v>
      </c>
      <c r="G18" s="461">
        <v>0</v>
      </c>
    </row>
    <row r="19" spans="1:7" hidden="1" x14ac:dyDescent="0.35">
      <c r="A19" s="461" t="s">
        <v>241</v>
      </c>
      <c r="B19" s="461" t="s">
        <v>235</v>
      </c>
      <c r="C19" s="461" t="s">
        <v>46</v>
      </c>
      <c r="D19" s="461">
        <v>26</v>
      </c>
      <c r="E19" s="461">
        <v>0</v>
      </c>
      <c r="F19" s="461">
        <v>0</v>
      </c>
      <c r="G19" s="461">
        <v>0</v>
      </c>
    </row>
    <row r="20" spans="1:7" hidden="1" x14ac:dyDescent="0.35">
      <c r="A20" s="461" t="s">
        <v>241</v>
      </c>
      <c r="B20" s="461" t="s">
        <v>235</v>
      </c>
      <c r="C20" s="461" t="s">
        <v>47</v>
      </c>
      <c r="D20" s="461">
        <v>30</v>
      </c>
      <c r="E20" s="461">
        <v>0</v>
      </c>
      <c r="F20" s="461">
        <v>0</v>
      </c>
      <c r="G20" s="461">
        <v>0</v>
      </c>
    </row>
    <row r="21" spans="1:7" hidden="1" x14ac:dyDescent="0.35">
      <c r="A21" s="461" t="s">
        <v>241</v>
      </c>
      <c r="B21" s="461" t="s">
        <v>235</v>
      </c>
      <c r="C21" s="461" t="s">
        <v>48</v>
      </c>
      <c r="D21" s="461">
        <v>0</v>
      </c>
      <c r="E21" s="461">
        <v>0</v>
      </c>
      <c r="F21" s="461">
        <v>0</v>
      </c>
      <c r="G21" s="461">
        <v>0</v>
      </c>
    </row>
    <row r="22" spans="1:7" hidden="1" x14ac:dyDescent="0.35">
      <c r="A22" s="461" t="s">
        <v>241</v>
      </c>
      <c r="B22" s="461" t="s">
        <v>235</v>
      </c>
      <c r="C22" s="461" t="s">
        <v>49</v>
      </c>
      <c r="D22" s="461">
        <v>76</v>
      </c>
      <c r="E22" s="461">
        <v>0</v>
      </c>
      <c r="F22" s="461">
        <v>0</v>
      </c>
      <c r="G22" s="461">
        <v>0</v>
      </c>
    </row>
    <row r="23" spans="1:7" hidden="1" x14ac:dyDescent="0.35">
      <c r="A23" s="461" t="s">
        <v>241</v>
      </c>
      <c r="B23" s="461" t="s">
        <v>235</v>
      </c>
      <c r="C23" s="461" t="s">
        <v>50</v>
      </c>
      <c r="D23" s="461">
        <v>166</v>
      </c>
      <c r="E23" s="461">
        <v>0</v>
      </c>
      <c r="F23" s="461">
        <v>0</v>
      </c>
      <c r="G23" s="461">
        <v>0</v>
      </c>
    </row>
    <row r="24" spans="1:7" hidden="1" x14ac:dyDescent="0.35">
      <c r="A24" s="461" t="s">
        <v>241</v>
      </c>
      <c r="B24" s="461" t="s">
        <v>235</v>
      </c>
      <c r="C24" s="461" t="s">
        <v>51</v>
      </c>
      <c r="D24" s="461">
        <v>0</v>
      </c>
      <c r="E24" s="461">
        <v>0</v>
      </c>
      <c r="F24" s="461">
        <v>0</v>
      </c>
      <c r="G24" s="461">
        <v>0</v>
      </c>
    </row>
    <row r="25" spans="1:7" hidden="1" x14ac:dyDescent="0.35">
      <c r="A25" s="461" t="s">
        <v>241</v>
      </c>
      <c r="B25" s="461" t="s">
        <v>235</v>
      </c>
      <c r="C25" s="461" t="s">
        <v>52</v>
      </c>
      <c r="D25" s="461">
        <v>69</v>
      </c>
      <c r="E25" s="461">
        <v>0</v>
      </c>
      <c r="F25" s="461">
        <v>0</v>
      </c>
      <c r="G25" s="461">
        <v>0</v>
      </c>
    </row>
    <row r="26" spans="1:7" hidden="1" x14ac:dyDescent="0.35">
      <c r="A26" s="461" t="s">
        <v>241</v>
      </c>
      <c r="B26" s="461" t="s">
        <v>235</v>
      </c>
      <c r="C26" s="461" t="s">
        <v>53</v>
      </c>
      <c r="D26" s="461">
        <v>99</v>
      </c>
      <c r="E26" s="461">
        <v>0</v>
      </c>
      <c r="F26" s="461">
        <v>0</v>
      </c>
      <c r="G26" s="461">
        <v>0</v>
      </c>
    </row>
    <row r="27" spans="1:7" hidden="1" x14ac:dyDescent="0.35">
      <c r="A27" s="461" t="s">
        <v>241</v>
      </c>
      <c r="B27" s="461" t="s">
        <v>235</v>
      </c>
      <c r="C27" s="461" t="s">
        <v>54</v>
      </c>
      <c r="D27" s="461">
        <v>56</v>
      </c>
      <c r="E27" s="461">
        <v>0</v>
      </c>
      <c r="F27" s="461">
        <v>0</v>
      </c>
      <c r="G27" s="461">
        <v>0</v>
      </c>
    </row>
    <row r="28" spans="1:7" hidden="1" x14ac:dyDescent="0.35">
      <c r="A28" s="461" t="s">
        <v>241</v>
      </c>
      <c r="B28" s="461" t="s">
        <v>235</v>
      </c>
      <c r="C28" s="461" t="s">
        <v>55</v>
      </c>
      <c r="D28" s="461">
        <v>0</v>
      </c>
      <c r="E28" s="461">
        <v>0</v>
      </c>
      <c r="F28" s="461">
        <v>0</v>
      </c>
      <c r="G28" s="461">
        <v>0</v>
      </c>
    </row>
    <row r="29" spans="1:7" hidden="1" x14ac:dyDescent="0.35">
      <c r="A29" s="461" t="s">
        <v>241</v>
      </c>
      <c r="B29" s="461" t="s">
        <v>235</v>
      </c>
      <c r="C29" s="461" t="s">
        <v>56</v>
      </c>
      <c r="D29" s="461">
        <v>50</v>
      </c>
      <c r="E29" s="461">
        <v>0</v>
      </c>
      <c r="F29" s="461">
        <v>0</v>
      </c>
      <c r="G29" s="461">
        <v>0</v>
      </c>
    </row>
    <row r="30" spans="1:7" hidden="1" x14ac:dyDescent="0.35">
      <c r="A30" s="461" t="s">
        <v>241</v>
      </c>
      <c r="B30" s="461" t="s">
        <v>235</v>
      </c>
      <c r="C30" s="461" t="s">
        <v>57</v>
      </c>
      <c r="D30" s="461">
        <v>167</v>
      </c>
      <c r="E30" s="461">
        <v>0</v>
      </c>
      <c r="F30" s="461">
        <v>0</v>
      </c>
      <c r="G30" s="461">
        <v>0</v>
      </c>
    </row>
    <row r="31" spans="1:7" hidden="1" x14ac:dyDescent="0.35">
      <c r="A31" s="461" t="s">
        <v>241</v>
      </c>
      <c r="B31" s="461" t="s">
        <v>235</v>
      </c>
      <c r="C31" s="461" t="s">
        <v>58</v>
      </c>
      <c r="D31" s="461">
        <v>49</v>
      </c>
      <c r="E31" s="461">
        <v>0</v>
      </c>
      <c r="F31" s="461">
        <v>0</v>
      </c>
      <c r="G31" s="461">
        <v>0</v>
      </c>
    </row>
    <row r="32" spans="1:7" hidden="1" x14ac:dyDescent="0.35">
      <c r="A32" s="461" t="s">
        <v>241</v>
      </c>
      <c r="B32" s="461" t="s">
        <v>235</v>
      </c>
      <c r="C32" s="461" t="s">
        <v>59</v>
      </c>
      <c r="D32">
        <v>73</v>
      </c>
      <c r="E32">
        <v>0</v>
      </c>
      <c r="F32">
        <v>0</v>
      </c>
      <c r="G32">
        <v>0</v>
      </c>
    </row>
    <row r="33" spans="1:7" hidden="1" x14ac:dyDescent="0.35">
      <c r="A33" s="461" t="s">
        <v>241</v>
      </c>
      <c r="B33" s="461" t="s">
        <v>235</v>
      </c>
      <c r="C33" s="461" t="s">
        <v>60</v>
      </c>
      <c r="D33">
        <v>56</v>
      </c>
      <c r="E33">
        <v>0</v>
      </c>
      <c r="F33">
        <v>0</v>
      </c>
      <c r="G33">
        <v>0</v>
      </c>
    </row>
    <row r="34" spans="1:7" hidden="1" x14ac:dyDescent="0.35">
      <c r="A34" s="461" t="s">
        <v>241</v>
      </c>
      <c r="B34" s="461" t="s">
        <v>236</v>
      </c>
      <c r="C34" s="461" t="s">
        <v>31</v>
      </c>
      <c r="D34">
        <v>0</v>
      </c>
      <c r="E34">
        <v>7</v>
      </c>
      <c r="F34">
        <v>9</v>
      </c>
      <c r="G34">
        <v>0</v>
      </c>
    </row>
    <row r="35" spans="1:7" hidden="1" x14ac:dyDescent="0.35">
      <c r="A35" s="461" t="s">
        <v>241</v>
      </c>
      <c r="B35" s="461" t="s">
        <v>236</v>
      </c>
      <c r="C35" s="461" t="s">
        <v>63</v>
      </c>
      <c r="D35">
        <v>0</v>
      </c>
      <c r="E35">
        <v>11</v>
      </c>
      <c r="F35">
        <v>14</v>
      </c>
      <c r="G35">
        <v>0</v>
      </c>
    </row>
    <row r="36" spans="1:7" hidden="1" x14ac:dyDescent="0.35">
      <c r="A36" s="461" t="s">
        <v>241</v>
      </c>
      <c r="B36" s="461" t="s">
        <v>236</v>
      </c>
      <c r="C36" s="461" t="s">
        <v>64</v>
      </c>
      <c r="D36">
        <v>0</v>
      </c>
      <c r="E36">
        <v>12</v>
      </c>
      <c r="F36">
        <v>14</v>
      </c>
      <c r="G36">
        <v>0</v>
      </c>
    </row>
    <row r="37" spans="1:7" hidden="1" x14ac:dyDescent="0.35">
      <c r="A37" s="461" t="s">
        <v>241</v>
      </c>
      <c r="B37" s="461" t="s">
        <v>236</v>
      </c>
      <c r="C37" s="461" t="s">
        <v>36</v>
      </c>
      <c r="D37">
        <v>0</v>
      </c>
      <c r="E37">
        <v>9</v>
      </c>
      <c r="F37">
        <v>13</v>
      </c>
      <c r="G37">
        <v>0</v>
      </c>
    </row>
    <row r="38" spans="1:7" hidden="1" x14ac:dyDescent="0.35">
      <c r="A38" s="461" t="s">
        <v>241</v>
      </c>
      <c r="B38" s="461" t="s">
        <v>236</v>
      </c>
      <c r="C38" s="461" t="s">
        <v>65</v>
      </c>
      <c r="D38">
        <v>0</v>
      </c>
      <c r="E38">
        <v>13</v>
      </c>
      <c r="F38">
        <v>16</v>
      </c>
      <c r="G38">
        <v>0</v>
      </c>
    </row>
    <row r="39" spans="1:7" hidden="1" x14ac:dyDescent="0.35">
      <c r="A39" s="461" t="s">
        <v>241</v>
      </c>
      <c r="B39" s="461" t="s">
        <v>236</v>
      </c>
      <c r="C39" s="461" t="s">
        <v>66</v>
      </c>
      <c r="D39">
        <v>0</v>
      </c>
      <c r="E39">
        <v>13</v>
      </c>
      <c r="F39">
        <v>12</v>
      </c>
      <c r="G39">
        <v>0</v>
      </c>
    </row>
    <row r="40" spans="1:7" hidden="1" x14ac:dyDescent="0.35">
      <c r="A40" s="461" t="s">
        <v>241</v>
      </c>
      <c r="B40" s="461" t="s">
        <v>236</v>
      </c>
      <c r="C40" s="461" t="s">
        <v>67</v>
      </c>
      <c r="D40">
        <v>0</v>
      </c>
      <c r="E40">
        <v>11</v>
      </c>
      <c r="F40">
        <v>14</v>
      </c>
      <c r="G40">
        <v>0</v>
      </c>
    </row>
    <row r="41" spans="1:7" hidden="1" x14ac:dyDescent="0.35">
      <c r="A41" s="461" t="s">
        <v>241</v>
      </c>
      <c r="B41" s="461" t="s">
        <v>236</v>
      </c>
      <c r="C41" s="461" t="s">
        <v>68</v>
      </c>
      <c r="D41">
        <v>0</v>
      </c>
      <c r="E41">
        <v>9</v>
      </c>
      <c r="F41">
        <v>5</v>
      </c>
      <c r="G41">
        <v>0</v>
      </c>
    </row>
    <row r="42" spans="1:7" hidden="1" x14ac:dyDescent="0.35">
      <c r="A42" s="461" t="s">
        <v>241</v>
      </c>
      <c r="B42" s="461" t="s">
        <v>236</v>
      </c>
      <c r="C42" s="461" t="s">
        <v>167</v>
      </c>
      <c r="D42">
        <v>0</v>
      </c>
      <c r="E42">
        <v>10</v>
      </c>
      <c r="F42">
        <v>20</v>
      </c>
      <c r="G42">
        <v>0</v>
      </c>
    </row>
    <row r="43" spans="1:7" hidden="1" x14ac:dyDescent="0.35">
      <c r="A43" s="461" t="s">
        <v>241</v>
      </c>
      <c r="B43" s="461" t="s">
        <v>236</v>
      </c>
      <c r="C43" s="461" t="s">
        <v>69</v>
      </c>
      <c r="D43">
        <v>0</v>
      </c>
      <c r="E43">
        <v>9</v>
      </c>
      <c r="F43">
        <v>11</v>
      </c>
      <c r="G43">
        <v>0</v>
      </c>
    </row>
    <row r="44" spans="1:7" hidden="1" x14ac:dyDescent="0.35">
      <c r="A44" s="461" t="s">
        <v>241</v>
      </c>
      <c r="B44" s="461" t="s">
        <v>236</v>
      </c>
      <c r="C44" s="461" t="s">
        <v>43</v>
      </c>
      <c r="D44">
        <v>0</v>
      </c>
      <c r="E44">
        <v>8</v>
      </c>
      <c r="F44">
        <v>10</v>
      </c>
      <c r="G44">
        <v>0</v>
      </c>
    </row>
    <row r="45" spans="1:7" hidden="1" x14ac:dyDescent="0.35">
      <c r="A45" s="461" t="s">
        <v>241</v>
      </c>
      <c r="B45" s="461" t="s">
        <v>236</v>
      </c>
      <c r="C45" s="461" t="s">
        <v>114</v>
      </c>
      <c r="D45">
        <v>0</v>
      </c>
      <c r="E45">
        <v>14</v>
      </c>
      <c r="F45">
        <v>11</v>
      </c>
      <c r="G45">
        <v>0</v>
      </c>
    </row>
    <row r="46" spans="1:7" hidden="1" x14ac:dyDescent="0.35">
      <c r="A46" s="461" t="s">
        <v>241</v>
      </c>
      <c r="B46" s="461" t="s">
        <v>236</v>
      </c>
      <c r="C46" s="461" t="s">
        <v>70</v>
      </c>
      <c r="D46">
        <v>0</v>
      </c>
      <c r="E46">
        <v>19</v>
      </c>
      <c r="F46">
        <v>26</v>
      </c>
      <c r="G46">
        <v>0</v>
      </c>
    </row>
    <row r="47" spans="1:7" hidden="1" x14ac:dyDescent="0.35">
      <c r="A47" s="461" t="s">
        <v>241</v>
      </c>
      <c r="B47" s="461" t="s">
        <v>236</v>
      </c>
      <c r="C47" s="461" t="s">
        <v>50</v>
      </c>
      <c r="D47">
        <v>0</v>
      </c>
      <c r="E47">
        <v>8</v>
      </c>
      <c r="F47">
        <v>9</v>
      </c>
      <c r="G47">
        <v>0</v>
      </c>
    </row>
    <row r="48" spans="1:7" hidden="1" x14ac:dyDescent="0.35">
      <c r="A48" s="461" t="s">
        <v>241</v>
      </c>
      <c r="B48" s="461" t="s">
        <v>236</v>
      </c>
      <c r="C48" s="461" t="s">
        <v>57</v>
      </c>
      <c r="D48">
        <v>0</v>
      </c>
      <c r="E48">
        <v>9</v>
      </c>
      <c r="F48">
        <v>7</v>
      </c>
      <c r="G48">
        <v>0</v>
      </c>
    </row>
    <row r="49" spans="1:7" hidden="1" x14ac:dyDescent="0.35">
      <c r="A49" s="461" t="s">
        <v>241</v>
      </c>
      <c r="B49" s="461" t="s">
        <v>236</v>
      </c>
      <c r="C49" s="461" t="s">
        <v>17412</v>
      </c>
      <c r="D49">
        <v>0</v>
      </c>
      <c r="E49">
        <v>9</v>
      </c>
      <c r="F49">
        <v>9</v>
      </c>
      <c r="G49">
        <v>0</v>
      </c>
    </row>
    <row r="50" spans="1:7" hidden="1" x14ac:dyDescent="0.35">
      <c r="A50" s="461" t="s">
        <v>241</v>
      </c>
      <c r="B50" s="461" t="s">
        <v>236</v>
      </c>
      <c r="C50" s="461" t="s">
        <v>71</v>
      </c>
      <c r="D50">
        <v>0</v>
      </c>
      <c r="E50">
        <v>9</v>
      </c>
      <c r="F50">
        <v>7</v>
      </c>
      <c r="G50">
        <v>0</v>
      </c>
    </row>
    <row r="51" spans="1:7" hidden="1" x14ac:dyDescent="0.35">
      <c r="A51" s="461" t="s">
        <v>241</v>
      </c>
      <c r="B51" s="461" t="s">
        <v>237</v>
      </c>
      <c r="C51" s="461" t="s">
        <v>166</v>
      </c>
      <c r="D51">
        <v>0</v>
      </c>
      <c r="E51">
        <v>11</v>
      </c>
      <c r="F51">
        <v>26</v>
      </c>
      <c r="G51">
        <v>0</v>
      </c>
    </row>
    <row r="52" spans="1:7" hidden="1" x14ac:dyDescent="0.35">
      <c r="A52" s="461" t="s">
        <v>241</v>
      </c>
      <c r="B52" s="461" t="s">
        <v>237</v>
      </c>
      <c r="C52" s="461" t="s">
        <v>164</v>
      </c>
      <c r="D52">
        <v>0</v>
      </c>
      <c r="E52">
        <v>12</v>
      </c>
      <c r="F52">
        <v>18</v>
      </c>
      <c r="G52">
        <v>0</v>
      </c>
    </row>
    <row r="53" spans="1:7" hidden="1" x14ac:dyDescent="0.35">
      <c r="A53" s="461" t="s">
        <v>241</v>
      </c>
      <c r="B53" s="461" t="s">
        <v>237</v>
      </c>
      <c r="C53" s="461" t="s">
        <v>165</v>
      </c>
      <c r="D53">
        <v>0</v>
      </c>
      <c r="E53">
        <v>18</v>
      </c>
      <c r="F53">
        <v>61</v>
      </c>
      <c r="G53">
        <v>0</v>
      </c>
    </row>
    <row r="54" spans="1:7" hidden="1" x14ac:dyDescent="0.35">
      <c r="A54" s="461" t="s">
        <v>241</v>
      </c>
      <c r="B54" s="461" t="s">
        <v>238</v>
      </c>
      <c r="C54" s="461" t="s">
        <v>246</v>
      </c>
      <c r="D54">
        <v>0</v>
      </c>
      <c r="E54">
        <v>43</v>
      </c>
      <c r="F54">
        <v>46</v>
      </c>
      <c r="G54">
        <v>60</v>
      </c>
    </row>
    <row r="55" spans="1:7" hidden="1" x14ac:dyDescent="0.35">
      <c r="A55" s="461" t="s">
        <v>773</v>
      </c>
      <c r="B55" s="461" t="s">
        <v>235</v>
      </c>
      <c r="C55" s="461" t="s">
        <v>31</v>
      </c>
      <c r="D55">
        <v>155</v>
      </c>
      <c r="E55">
        <v>0</v>
      </c>
      <c r="F55">
        <v>0</v>
      </c>
      <c r="G55">
        <v>0</v>
      </c>
    </row>
    <row r="56" spans="1:7" hidden="1" x14ac:dyDescent="0.35">
      <c r="A56" s="461" t="s">
        <v>773</v>
      </c>
      <c r="B56" s="461" t="s">
        <v>235</v>
      </c>
      <c r="C56" s="461" t="s">
        <v>32</v>
      </c>
      <c r="D56">
        <v>32</v>
      </c>
      <c r="E56">
        <v>0</v>
      </c>
      <c r="F56">
        <v>0</v>
      </c>
      <c r="G56">
        <v>0</v>
      </c>
    </row>
    <row r="57" spans="1:7" hidden="1" x14ac:dyDescent="0.35">
      <c r="A57" s="461" t="s">
        <v>773</v>
      </c>
      <c r="B57" s="461" t="s">
        <v>235</v>
      </c>
      <c r="C57" s="461" t="s">
        <v>33</v>
      </c>
      <c r="D57">
        <v>27</v>
      </c>
      <c r="E57">
        <v>0</v>
      </c>
      <c r="F57">
        <v>0</v>
      </c>
      <c r="G57">
        <v>0</v>
      </c>
    </row>
    <row r="58" spans="1:7" hidden="1" x14ac:dyDescent="0.35">
      <c r="A58" s="461" t="s">
        <v>773</v>
      </c>
      <c r="B58" s="461" t="s">
        <v>235</v>
      </c>
      <c r="C58" s="461" t="s">
        <v>34</v>
      </c>
      <c r="D58">
        <v>53</v>
      </c>
      <c r="E58">
        <v>0</v>
      </c>
      <c r="F58">
        <v>0</v>
      </c>
      <c r="G58">
        <v>0</v>
      </c>
    </row>
    <row r="59" spans="1:7" hidden="1" x14ac:dyDescent="0.35">
      <c r="A59" s="461" t="s">
        <v>773</v>
      </c>
      <c r="B59" s="461" t="s">
        <v>235</v>
      </c>
      <c r="C59" s="461" t="s">
        <v>245</v>
      </c>
      <c r="D59">
        <v>306</v>
      </c>
      <c r="E59">
        <v>0</v>
      </c>
      <c r="F59">
        <v>0</v>
      </c>
      <c r="G59">
        <v>0</v>
      </c>
    </row>
    <row r="60" spans="1:7" hidden="1" x14ac:dyDescent="0.35">
      <c r="A60" s="461" t="s">
        <v>773</v>
      </c>
      <c r="B60" s="461" t="s">
        <v>235</v>
      </c>
      <c r="C60" s="461" t="s">
        <v>35</v>
      </c>
      <c r="D60">
        <v>25</v>
      </c>
      <c r="E60">
        <v>0</v>
      </c>
      <c r="F60">
        <v>0</v>
      </c>
      <c r="G60">
        <v>0</v>
      </c>
    </row>
    <row r="61" spans="1:7" hidden="1" x14ac:dyDescent="0.35">
      <c r="A61" s="461" t="s">
        <v>773</v>
      </c>
      <c r="B61" s="461" t="s">
        <v>235</v>
      </c>
      <c r="C61" s="461" t="s">
        <v>17411</v>
      </c>
      <c r="D61">
        <v>52</v>
      </c>
      <c r="E61">
        <v>0</v>
      </c>
      <c r="F61">
        <v>0</v>
      </c>
      <c r="G61">
        <v>0</v>
      </c>
    </row>
    <row r="62" spans="1:7" hidden="1" x14ac:dyDescent="0.35">
      <c r="A62" s="461" t="s">
        <v>773</v>
      </c>
      <c r="B62" s="461" t="s">
        <v>235</v>
      </c>
      <c r="C62" s="461" t="s">
        <v>37</v>
      </c>
      <c r="D62">
        <v>182</v>
      </c>
      <c r="E62">
        <v>0</v>
      </c>
      <c r="F62">
        <v>0</v>
      </c>
      <c r="G62">
        <v>0</v>
      </c>
    </row>
    <row r="63" spans="1:7" hidden="1" x14ac:dyDescent="0.35">
      <c r="A63" s="461" t="s">
        <v>773</v>
      </c>
      <c r="B63" s="461" t="s">
        <v>235</v>
      </c>
      <c r="C63" s="461" t="s">
        <v>38</v>
      </c>
      <c r="D63">
        <v>49</v>
      </c>
      <c r="E63">
        <v>0</v>
      </c>
      <c r="F63">
        <v>0</v>
      </c>
      <c r="G63">
        <v>0</v>
      </c>
    </row>
    <row r="64" spans="1:7" hidden="1" x14ac:dyDescent="0.35">
      <c r="A64" s="461" t="s">
        <v>773</v>
      </c>
      <c r="B64" s="461" t="s">
        <v>235</v>
      </c>
      <c r="C64" s="461" t="s">
        <v>39</v>
      </c>
      <c r="D64">
        <v>79</v>
      </c>
      <c r="E64">
        <v>0</v>
      </c>
      <c r="F64">
        <v>0</v>
      </c>
      <c r="G64">
        <v>0</v>
      </c>
    </row>
    <row r="65" spans="1:7" hidden="1" x14ac:dyDescent="0.35">
      <c r="A65" s="461" t="s">
        <v>773</v>
      </c>
      <c r="B65" s="461" t="s">
        <v>235</v>
      </c>
      <c r="C65" s="461" t="s">
        <v>40</v>
      </c>
      <c r="D65">
        <v>25</v>
      </c>
      <c r="E65">
        <v>0</v>
      </c>
      <c r="F65">
        <v>0</v>
      </c>
      <c r="G65">
        <v>0</v>
      </c>
    </row>
    <row r="66" spans="1:7" hidden="1" x14ac:dyDescent="0.35">
      <c r="A66" s="461" t="s">
        <v>773</v>
      </c>
      <c r="B66" s="461" t="s">
        <v>235</v>
      </c>
      <c r="C66" s="461" t="s">
        <v>41</v>
      </c>
      <c r="D66">
        <v>50</v>
      </c>
      <c r="E66">
        <v>0</v>
      </c>
      <c r="F66">
        <v>0</v>
      </c>
      <c r="G66">
        <v>0</v>
      </c>
    </row>
    <row r="67" spans="1:7" hidden="1" x14ac:dyDescent="0.35">
      <c r="A67" s="461" t="s">
        <v>773</v>
      </c>
      <c r="B67" s="461" t="s">
        <v>235</v>
      </c>
      <c r="C67" s="461" t="s">
        <v>42</v>
      </c>
      <c r="D67">
        <v>88</v>
      </c>
      <c r="E67">
        <v>0</v>
      </c>
      <c r="F67">
        <v>0</v>
      </c>
      <c r="G67">
        <v>0</v>
      </c>
    </row>
    <row r="68" spans="1:7" hidden="1" x14ac:dyDescent="0.35">
      <c r="A68" s="461" t="s">
        <v>773</v>
      </c>
      <c r="B68" s="461" t="s">
        <v>235</v>
      </c>
      <c r="C68" s="461" t="s">
        <v>43</v>
      </c>
      <c r="D68">
        <v>269</v>
      </c>
      <c r="E68">
        <v>0</v>
      </c>
      <c r="F68">
        <v>0</v>
      </c>
      <c r="G68">
        <v>0</v>
      </c>
    </row>
    <row r="69" spans="1:7" hidden="1" x14ac:dyDescent="0.35">
      <c r="A69" s="461" t="s">
        <v>773</v>
      </c>
      <c r="B69" s="461" t="s">
        <v>235</v>
      </c>
      <c r="C69" s="461" t="s">
        <v>114</v>
      </c>
      <c r="D69">
        <v>517</v>
      </c>
      <c r="E69">
        <v>0</v>
      </c>
      <c r="F69">
        <v>0</v>
      </c>
      <c r="G69">
        <v>0</v>
      </c>
    </row>
    <row r="70" spans="1:7" hidden="1" x14ac:dyDescent="0.35">
      <c r="A70" s="461" t="s">
        <v>773</v>
      </c>
      <c r="B70" s="461" t="s">
        <v>235</v>
      </c>
      <c r="C70" s="461" t="s">
        <v>44</v>
      </c>
      <c r="D70">
        <v>71</v>
      </c>
      <c r="E70">
        <v>0</v>
      </c>
      <c r="F70">
        <v>0</v>
      </c>
      <c r="G70">
        <v>0</v>
      </c>
    </row>
    <row r="71" spans="1:7" hidden="1" x14ac:dyDescent="0.35">
      <c r="A71" s="461" t="s">
        <v>773</v>
      </c>
      <c r="B71" s="461" t="s">
        <v>235</v>
      </c>
      <c r="C71" s="461" t="s">
        <v>45</v>
      </c>
      <c r="D71">
        <v>70</v>
      </c>
      <c r="E71">
        <v>0</v>
      </c>
      <c r="F71">
        <v>0</v>
      </c>
      <c r="G71">
        <v>0</v>
      </c>
    </row>
    <row r="72" spans="1:7" hidden="1" x14ac:dyDescent="0.35">
      <c r="A72" s="461" t="s">
        <v>773</v>
      </c>
      <c r="B72" s="461" t="s">
        <v>235</v>
      </c>
      <c r="C72" s="461" t="s">
        <v>46</v>
      </c>
      <c r="D72">
        <v>26</v>
      </c>
      <c r="E72">
        <v>0</v>
      </c>
      <c r="F72">
        <v>0</v>
      </c>
      <c r="G72">
        <v>0</v>
      </c>
    </row>
    <row r="73" spans="1:7" hidden="1" x14ac:dyDescent="0.35">
      <c r="A73" s="461" t="s">
        <v>773</v>
      </c>
      <c r="B73" s="461" t="s">
        <v>235</v>
      </c>
      <c r="C73" s="461" t="s">
        <v>47</v>
      </c>
      <c r="D73">
        <v>30</v>
      </c>
      <c r="E73">
        <v>0</v>
      </c>
      <c r="F73">
        <v>0</v>
      </c>
      <c r="G73">
        <v>0</v>
      </c>
    </row>
    <row r="74" spans="1:7" hidden="1" x14ac:dyDescent="0.35">
      <c r="A74" s="461" t="s">
        <v>773</v>
      </c>
      <c r="B74" s="461" t="s">
        <v>235</v>
      </c>
      <c r="C74" s="461" t="s">
        <v>48</v>
      </c>
      <c r="D74">
        <v>0</v>
      </c>
      <c r="E74">
        <v>0</v>
      </c>
      <c r="F74">
        <v>0</v>
      </c>
      <c r="G74">
        <v>0</v>
      </c>
    </row>
    <row r="75" spans="1:7" hidden="1" x14ac:dyDescent="0.35">
      <c r="A75" s="461" t="s">
        <v>773</v>
      </c>
      <c r="B75" s="461" t="s">
        <v>235</v>
      </c>
      <c r="C75" s="461" t="s">
        <v>49</v>
      </c>
      <c r="D75">
        <v>75</v>
      </c>
      <c r="E75">
        <v>0</v>
      </c>
      <c r="F75">
        <v>0</v>
      </c>
      <c r="G75">
        <v>0</v>
      </c>
    </row>
    <row r="76" spans="1:7" hidden="1" x14ac:dyDescent="0.35">
      <c r="A76" s="461" t="s">
        <v>773</v>
      </c>
      <c r="B76" s="461" t="s">
        <v>235</v>
      </c>
      <c r="C76" s="461" t="s">
        <v>50</v>
      </c>
      <c r="D76">
        <v>163</v>
      </c>
      <c r="E76">
        <v>0</v>
      </c>
      <c r="F76">
        <v>0</v>
      </c>
      <c r="G76">
        <v>0</v>
      </c>
    </row>
    <row r="77" spans="1:7" hidden="1" x14ac:dyDescent="0.35">
      <c r="A77" s="461" t="s">
        <v>773</v>
      </c>
      <c r="B77" s="461" t="s">
        <v>235</v>
      </c>
      <c r="C77" s="461" t="s">
        <v>51</v>
      </c>
      <c r="D77">
        <v>0</v>
      </c>
      <c r="E77">
        <v>0</v>
      </c>
      <c r="F77">
        <v>0</v>
      </c>
      <c r="G77">
        <v>0</v>
      </c>
    </row>
    <row r="78" spans="1:7" hidden="1" x14ac:dyDescent="0.35">
      <c r="A78" s="461" t="s">
        <v>773</v>
      </c>
      <c r="B78" s="461" t="s">
        <v>235</v>
      </c>
      <c r="C78" s="461" t="s">
        <v>52</v>
      </c>
      <c r="D78">
        <v>67</v>
      </c>
      <c r="E78">
        <v>0</v>
      </c>
      <c r="F78">
        <v>0</v>
      </c>
      <c r="G78">
        <v>0</v>
      </c>
    </row>
    <row r="79" spans="1:7" hidden="1" x14ac:dyDescent="0.35">
      <c r="A79" s="461" t="s">
        <v>773</v>
      </c>
      <c r="B79" s="461" t="s">
        <v>235</v>
      </c>
      <c r="C79" s="461" t="s">
        <v>53</v>
      </c>
      <c r="D79">
        <v>102</v>
      </c>
      <c r="E79">
        <v>0</v>
      </c>
      <c r="F79">
        <v>0</v>
      </c>
      <c r="G79">
        <v>0</v>
      </c>
    </row>
    <row r="80" spans="1:7" hidden="1" x14ac:dyDescent="0.35">
      <c r="A80" s="461" t="s">
        <v>773</v>
      </c>
      <c r="B80" s="461" t="s">
        <v>235</v>
      </c>
      <c r="C80" s="461" t="s">
        <v>54</v>
      </c>
      <c r="D80">
        <v>53</v>
      </c>
      <c r="E80">
        <v>0</v>
      </c>
      <c r="F80">
        <v>0</v>
      </c>
      <c r="G80">
        <v>0</v>
      </c>
    </row>
    <row r="81" spans="1:7" hidden="1" x14ac:dyDescent="0.35">
      <c r="A81" s="461" t="s">
        <v>773</v>
      </c>
      <c r="B81" s="461" t="s">
        <v>235</v>
      </c>
      <c r="C81" s="461" t="s">
        <v>55</v>
      </c>
      <c r="D81">
        <v>0</v>
      </c>
      <c r="E81">
        <v>0</v>
      </c>
      <c r="F81">
        <v>0</v>
      </c>
      <c r="G81">
        <v>0</v>
      </c>
    </row>
    <row r="82" spans="1:7" hidden="1" x14ac:dyDescent="0.35">
      <c r="A82" s="461" t="s">
        <v>773</v>
      </c>
      <c r="B82" s="461" t="s">
        <v>235</v>
      </c>
      <c r="C82" s="461" t="s">
        <v>56</v>
      </c>
      <c r="D82">
        <v>50</v>
      </c>
      <c r="E82">
        <v>0</v>
      </c>
      <c r="F82">
        <v>0</v>
      </c>
      <c r="G82">
        <v>0</v>
      </c>
    </row>
    <row r="83" spans="1:7" hidden="1" x14ac:dyDescent="0.35">
      <c r="A83" s="461" t="s">
        <v>773</v>
      </c>
      <c r="B83" s="461" t="s">
        <v>235</v>
      </c>
      <c r="C83" s="461" t="s">
        <v>57</v>
      </c>
      <c r="D83">
        <v>168</v>
      </c>
      <c r="E83">
        <v>0</v>
      </c>
      <c r="F83">
        <v>0</v>
      </c>
      <c r="G83">
        <v>0</v>
      </c>
    </row>
    <row r="84" spans="1:7" hidden="1" x14ac:dyDescent="0.35">
      <c r="A84" s="461" t="s">
        <v>773</v>
      </c>
      <c r="B84" s="461" t="s">
        <v>235</v>
      </c>
      <c r="C84" s="461" t="s">
        <v>58</v>
      </c>
      <c r="D84">
        <v>51</v>
      </c>
      <c r="E84">
        <v>0</v>
      </c>
      <c r="F84">
        <v>0</v>
      </c>
      <c r="G84">
        <v>0</v>
      </c>
    </row>
    <row r="85" spans="1:7" hidden="1" x14ac:dyDescent="0.35">
      <c r="A85" s="461" t="s">
        <v>773</v>
      </c>
      <c r="B85" s="461" t="s">
        <v>235</v>
      </c>
      <c r="C85" s="461" t="s">
        <v>59</v>
      </c>
      <c r="D85">
        <v>73</v>
      </c>
      <c r="E85">
        <v>0</v>
      </c>
      <c r="F85">
        <v>0</v>
      </c>
      <c r="G85">
        <v>0</v>
      </c>
    </row>
    <row r="86" spans="1:7" hidden="1" x14ac:dyDescent="0.35">
      <c r="A86" s="461" t="s">
        <v>773</v>
      </c>
      <c r="B86" s="461" t="s">
        <v>235</v>
      </c>
      <c r="C86" s="461" t="s">
        <v>60</v>
      </c>
      <c r="D86">
        <v>58</v>
      </c>
      <c r="E86">
        <v>0</v>
      </c>
      <c r="F86">
        <v>0</v>
      </c>
      <c r="G86">
        <v>0</v>
      </c>
    </row>
    <row r="87" spans="1:7" hidden="1" x14ac:dyDescent="0.35">
      <c r="A87" s="461" t="s">
        <v>773</v>
      </c>
      <c r="B87" s="461" t="s">
        <v>236</v>
      </c>
      <c r="C87" s="461" t="s">
        <v>31</v>
      </c>
      <c r="D87">
        <v>0</v>
      </c>
      <c r="E87">
        <v>6</v>
      </c>
      <c r="F87">
        <v>7</v>
      </c>
      <c r="G87">
        <v>0</v>
      </c>
    </row>
    <row r="88" spans="1:7" hidden="1" x14ac:dyDescent="0.35">
      <c r="A88" s="461" t="s">
        <v>773</v>
      </c>
      <c r="B88" s="461" t="s">
        <v>236</v>
      </c>
      <c r="C88" s="461" t="s">
        <v>63</v>
      </c>
      <c r="D88">
        <v>0</v>
      </c>
      <c r="E88">
        <v>13</v>
      </c>
      <c r="F88">
        <v>12</v>
      </c>
      <c r="G88">
        <v>0</v>
      </c>
    </row>
    <row r="89" spans="1:7" hidden="1" x14ac:dyDescent="0.35">
      <c r="A89" s="461" t="s">
        <v>773</v>
      </c>
      <c r="B89" s="461" t="s">
        <v>236</v>
      </c>
      <c r="C89" s="461" t="s">
        <v>64</v>
      </c>
      <c r="D89">
        <v>0</v>
      </c>
      <c r="E89">
        <v>12</v>
      </c>
      <c r="F89">
        <v>16</v>
      </c>
      <c r="G89">
        <v>0</v>
      </c>
    </row>
    <row r="90" spans="1:7" hidden="1" x14ac:dyDescent="0.35">
      <c r="A90" s="461" t="s">
        <v>773</v>
      </c>
      <c r="B90" s="461" t="s">
        <v>236</v>
      </c>
      <c r="C90" s="461" t="s">
        <v>36</v>
      </c>
      <c r="D90">
        <v>0</v>
      </c>
      <c r="E90">
        <v>9</v>
      </c>
      <c r="F90">
        <v>13</v>
      </c>
      <c r="G90">
        <v>0</v>
      </c>
    </row>
    <row r="91" spans="1:7" hidden="1" x14ac:dyDescent="0.35">
      <c r="A91" s="461" t="s">
        <v>773</v>
      </c>
      <c r="B91" s="461" t="s">
        <v>236</v>
      </c>
      <c r="C91" s="461" t="s">
        <v>65</v>
      </c>
      <c r="D91">
        <v>0</v>
      </c>
      <c r="E91">
        <v>14</v>
      </c>
      <c r="F91">
        <v>17</v>
      </c>
      <c r="G91">
        <v>0</v>
      </c>
    </row>
    <row r="92" spans="1:7" hidden="1" x14ac:dyDescent="0.35">
      <c r="A92" s="461" t="s">
        <v>773</v>
      </c>
      <c r="B92" s="461" t="s">
        <v>236</v>
      </c>
      <c r="C92" s="461" t="s">
        <v>66</v>
      </c>
      <c r="D92">
        <v>0</v>
      </c>
      <c r="E92">
        <v>14</v>
      </c>
      <c r="F92">
        <v>14</v>
      </c>
      <c r="G92">
        <v>0</v>
      </c>
    </row>
    <row r="93" spans="1:7" hidden="1" x14ac:dyDescent="0.35">
      <c r="A93" s="461" t="s">
        <v>773</v>
      </c>
      <c r="B93" s="461" t="s">
        <v>236</v>
      </c>
      <c r="C93" s="461" t="s">
        <v>67</v>
      </c>
      <c r="D93">
        <v>0</v>
      </c>
      <c r="E93">
        <v>11</v>
      </c>
      <c r="F93">
        <v>18</v>
      </c>
      <c r="G93">
        <v>0</v>
      </c>
    </row>
    <row r="94" spans="1:7" hidden="1" x14ac:dyDescent="0.35">
      <c r="A94" s="461" t="s">
        <v>773</v>
      </c>
      <c r="B94" s="461" t="s">
        <v>236</v>
      </c>
      <c r="C94" s="461" t="s">
        <v>68</v>
      </c>
      <c r="D94">
        <v>0</v>
      </c>
      <c r="E94">
        <v>9</v>
      </c>
      <c r="F94">
        <v>4</v>
      </c>
      <c r="G94">
        <v>0</v>
      </c>
    </row>
    <row r="95" spans="1:7" hidden="1" x14ac:dyDescent="0.35">
      <c r="A95" s="461" t="s">
        <v>773</v>
      </c>
      <c r="B95" s="461" t="s">
        <v>236</v>
      </c>
      <c r="C95" s="461" t="s">
        <v>167</v>
      </c>
      <c r="D95">
        <v>0</v>
      </c>
      <c r="E95">
        <v>10</v>
      </c>
      <c r="F95">
        <v>18</v>
      </c>
      <c r="G95">
        <v>0</v>
      </c>
    </row>
    <row r="96" spans="1:7" hidden="1" x14ac:dyDescent="0.35">
      <c r="A96" s="461" t="s">
        <v>773</v>
      </c>
      <c r="B96" s="461" t="s">
        <v>236</v>
      </c>
      <c r="C96" s="461" t="s">
        <v>69</v>
      </c>
      <c r="D96">
        <v>0</v>
      </c>
      <c r="E96">
        <v>9</v>
      </c>
      <c r="F96">
        <v>10</v>
      </c>
      <c r="G96">
        <v>0</v>
      </c>
    </row>
    <row r="97" spans="1:7" hidden="1" x14ac:dyDescent="0.35">
      <c r="A97" s="461" t="s">
        <v>773</v>
      </c>
      <c r="B97" s="461" t="s">
        <v>236</v>
      </c>
      <c r="C97" s="461" t="s">
        <v>43</v>
      </c>
    </row>
    <row r="98" spans="1:7" hidden="1" x14ac:dyDescent="0.35">
      <c r="A98" s="461" t="s">
        <v>773</v>
      </c>
      <c r="B98" s="461" t="s">
        <v>236</v>
      </c>
      <c r="C98" s="461" t="s">
        <v>114</v>
      </c>
      <c r="D98">
        <v>0</v>
      </c>
      <c r="E98">
        <v>16</v>
      </c>
      <c r="F98">
        <v>9</v>
      </c>
      <c r="G98">
        <v>0</v>
      </c>
    </row>
    <row r="99" spans="1:7" hidden="1" x14ac:dyDescent="0.35">
      <c r="A99" s="461" t="s">
        <v>773</v>
      </c>
      <c r="B99" s="461" t="s">
        <v>236</v>
      </c>
      <c r="C99" s="461" t="s">
        <v>70</v>
      </c>
      <c r="D99">
        <v>0</v>
      </c>
      <c r="E99">
        <v>18</v>
      </c>
      <c r="F99">
        <v>20</v>
      </c>
      <c r="G99">
        <v>0</v>
      </c>
    </row>
    <row r="100" spans="1:7" hidden="1" x14ac:dyDescent="0.35">
      <c r="A100" s="461" t="s">
        <v>773</v>
      </c>
      <c r="B100" s="461" t="s">
        <v>236</v>
      </c>
      <c r="C100" s="461" t="s">
        <v>50</v>
      </c>
      <c r="D100">
        <v>0</v>
      </c>
      <c r="E100">
        <v>8</v>
      </c>
      <c r="F100">
        <v>8</v>
      </c>
      <c r="G100">
        <v>0</v>
      </c>
    </row>
    <row r="101" spans="1:7" hidden="1" x14ac:dyDescent="0.35">
      <c r="A101" s="461" t="s">
        <v>773</v>
      </c>
      <c r="B101" s="461" t="s">
        <v>236</v>
      </c>
      <c r="C101" s="461" t="s">
        <v>57</v>
      </c>
      <c r="D101">
        <v>0</v>
      </c>
      <c r="E101">
        <v>9</v>
      </c>
      <c r="F101">
        <v>7</v>
      </c>
      <c r="G101">
        <v>0</v>
      </c>
    </row>
    <row r="102" spans="1:7" hidden="1" x14ac:dyDescent="0.35">
      <c r="A102" s="461" t="s">
        <v>773</v>
      </c>
      <c r="B102" s="461" t="s">
        <v>236</v>
      </c>
      <c r="C102" s="461" t="s">
        <v>775</v>
      </c>
      <c r="D102">
        <v>0</v>
      </c>
      <c r="E102">
        <v>17</v>
      </c>
      <c r="F102">
        <v>21</v>
      </c>
      <c r="G102">
        <v>0</v>
      </c>
    </row>
    <row r="103" spans="1:7" hidden="1" x14ac:dyDescent="0.35">
      <c r="A103" s="461" t="s">
        <v>773</v>
      </c>
      <c r="B103" s="461" t="s">
        <v>236</v>
      </c>
      <c r="C103" s="461" t="s">
        <v>71</v>
      </c>
      <c r="D103">
        <v>0</v>
      </c>
      <c r="E103">
        <v>9</v>
      </c>
      <c r="F103">
        <v>5</v>
      </c>
      <c r="G103">
        <v>0</v>
      </c>
    </row>
    <row r="104" spans="1:7" hidden="1" x14ac:dyDescent="0.35">
      <c r="A104" s="461" t="s">
        <v>773</v>
      </c>
      <c r="B104" s="461" t="s">
        <v>237</v>
      </c>
      <c r="C104" s="461" t="s">
        <v>166</v>
      </c>
      <c r="D104">
        <v>0</v>
      </c>
      <c r="E104">
        <v>13</v>
      </c>
      <c r="F104">
        <v>39</v>
      </c>
      <c r="G104">
        <v>0</v>
      </c>
    </row>
    <row r="105" spans="1:7" hidden="1" x14ac:dyDescent="0.35">
      <c r="A105" s="461" t="s">
        <v>773</v>
      </c>
      <c r="B105" s="461" t="s">
        <v>237</v>
      </c>
      <c r="C105" s="461" t="s">
        <v>164</v>
      </c>
      <c r="D105">
        <v>0</v>
      </c>
      <c r="E105">
        <v>12</v>
      </c>
      <c r="F105">
        <v>30</v>
      </c>
      <c r="G105">
        <v>0</v>
      </c>
    </row>
    <row r="106" spans="1:7" hidden="1" x14ac:dyDescent="0.35">
      <c r="A106" s="461" t="s">
        <v>773</v>
      </c>
      <c r="B106" s="461" t="s">
        <v>237</v>
      </c>
      <c r="C106" s="461" t="s">
        <v>165</v>
      </c>
      <c r="D106">
        <v>0</v>
      </c>
      <c r="E106">
        <v>27</v>
      </c>
      <c r="F106">
        <v>76</v>
      </c>
      <c r="G106">
        <v>0</v>
      </c>
    </row>
    <row r="107" spans="1:7" hidden="1" x14ac:dyDescent="0.35">
      <c r="A107" s="461" t="s">
        <v>773</v>
      </c>
      <c r="B107" s="461" t="s">
        <v>238</v>
      </c>
      <c r="C107" s="461" t="s">
        <v>246</v>
      </c>
      <c r="D107">
        <v>0</v>
      </c>
      <c r="E107">
        <v>34</v>
      </c>
      <c r="F107">
        <v>7</v>
      </c>
      <c r="G107">
        <v>49</v>
      </c>
    </row>
    <row r="108" spans="1:7" hidden="1" x14ac:dyDescent="0.35">
      <c r="A108" s="461" t="s">
        <v>951</v>
      </c>
      <c r="B108" s="461" t="s">
        <v>235</v>
      </c>
      <c r="C108" s="461" t="s">
        <v>31</v>
      </c>
      <c r="D108">
        <v>149</v>
      </c>
      <c r="E108">
        <v>0</v>
      </c>
      <c r="F108">
        <v>0</v>
      </c>
      <c r="G108">
        <v>0</v>
      </c>
    </row>
    <row r="109" spans="1:7" hidden="1" x14ac:dyDescent="0.35">
      <c r="A109" s="461" t="s">
        <v>951</v>
      </c>
      <c r="B109" s="461" t="s">
        <v>235</v>
      </c>
      <c r="C109" s="461" t="s">
        <v>32</v>
      </c>
      <c r="D109">
        <v>29</v>
      </c>
      <c r="E109">
        <v>0</v>
      </c>
      <c r="F109">
        <v>0</v>
      </c>
      <c r="G109">
        <v>0</v>
      </c>
    </row>
    <row r="110" spans="1:7" hidden="1" x14ac:dyDescent="0.35">
      <c r="A110" s="461" t="s">
        <v>951</v>
      </c>
      <c r="B110" s="461" t="s">
        <v>235</v>
      </c>
      <c r="C110" s="461" t="s">
        <v>33</v>
      </c>
      <c r="D110">
        <v>27</v>
      </c>
      <c r="E110">
        <v>0</v>
      </c>
      <c r="F110">
        <v>0</v>
      </c>
      <c r="G110">
        <v>0</v>
      </c>
    </row>
    <row r="111" spans="1:7" hidden="1" x14ac:dyDescent="0.35">
      <c r="A111" s="461" t="s">
        <v>951</v>
      </c>
      <c r="B111" s="461" t="s">
        <v>235</v>
      </c>
      <c r="C111" s="461" t="s">
        <v>34</v>
      </c>
      <c r="D111">
        <v>52</v>
      </c>
      <c r="E111">
        <v>0</v>
      </c>
      <c r="F111">
        <v>0</v>
      </c>
      <c r="G111">
        <v>0</v>
      </c>
    </row>
    <row r="112" spans="1:7" hidden="1" x14ac:dyDescent="0.35">
      <c r="A112" s="461" t="s">
        <v>951</v>
      </c>
      <c r="B112" s="461" t="s">
        <v>235</v>
      </c>
      <c r="C112" s="461" t="s">
        <v>245</v>
      </c>
      <c r="D112">
        <v>300</v>
      </c>
      <c r="E112">
        <v>0</v>
      </c>
      <c r="F112">
        <v>0</v>
      </c>
      <c r="G112">
        <v>0</v>
      </c>
    </row>
    <row r="113" spans="1:7" hidden="1" x14ac:dyDescent="0.35">
      <c r="A113" s="461" t="s">
        <v>951</v>
      </c>
      <c r="B113" s="461" t="s">
        <v>235</v>
      </c>
      <c r="C113" s="461" t="s">
        <v>35</v>
      </c>
      <c r="D113">
        <v>24</v>
      </c>
      <c r="E113">
        <v>0</v>
      </c>
      <c r="F113">
        <v>0</v>
      </c>
      <c r="G113">
        <v>0</v>
      </c>
    </row>
    <row r="114" spans="1:7" hidden="1" x14ac:dyDescent="0.35">
      <c r="A114" s="461" t="s">
        <v>951</v>
      </c>
      <c r="B114" s="461" t="s">
        <v>235</v>
      </c>
      <c r="C114" s="461" t="s">
        <v>17411</v>
      </c>
      <c r="D114">
        <v>51</v>
      </c>
      <c r="E114">
        <v>0</v>
      </c>
      <c r="F114">
        <v>0</v>
      </c>
      <c r="G114">
        <v>0</v>
      </c>
    </row>
    <row r="115" spans="1:7" hidden="1" x14ac:dyDescent="0.35">
      <c r="A115" s="461" t="s">
        <v>951</v>
      </c>
      <c r="B115" s="461" t="s">
        <v>235</v>
      </c>
      <c r="C115" s="461" t="s">
        <v>37</v>
      </c>
      <c r="D115">
        <v>182</v>
      </c>
      <c r="E115">
        <v>0</v>
      </c>
      <c r="F115">
        <v>0</v>
      </c>
      <c r="G115">
        <v>0</v>
      </c>
    </row>
    <row r="116" spans="1:7" hidden="1" x14ac:dyDescent="0.35">
      <c r="A116" s="461" t="s">
        <v>951</v>
      </c>
      <c r="B116" s="461" t="s">
        <v>235</v>
      </c>
      <c r="C116" s="461" t="s">
        <v>38</v>
      </c>
      <c r="D116">
        <v>47</v>
      </c>
      <c r="E116">
        <v>0</v>
      </c>
      <c r="F116">
        <v>0</v>
      </c>
      <c r="G116">
        <v>0</v>
      </c>
    </row>
    <row r="117" spans="1:7" hidden="1" x14ac:dyDescent="0.35">
      <c r="A117" s="461" t="s">
        <v>951</v>
      </c>
      <c r="B117" s="461" t="s">
        <v>235</v>
      </c>
      <c r="C117" s="461" t="s">
        <v>39</v>
      </c>
      <c r="D117">
        <v>76</v>
      </c>
      <c r="E117">
        <v>0</v>
      </c>
      <c r="F117">
        <v>0</v>
      </c>
      <c r="G117">
        <v>0</v>
      </c>
    </row>
    <row r="118" spans="1:7" hidden="1" x14ac:dyDescent="0.35">
      <c r="A118" s="461" t="s">
        <v>951</v>
      </c>
      <c r="B118" s="461" t="s">
        <v>235</v>
      </c>
      <c r="C118" s="461" t="s">
        <v>40</v>
      </c>
      <c r="D118">
        <v>26</v>
      </c>
      <c r="E118">
        <v>0</v>
      </c>
      <c r="F118">
        <v>0</v>
      </c>
      <c r="G118">
        <v>0</v>
      </c>
    </row>
    <row r="119" spans="1:7" hidden="1" x14ac:dyDescent="0.35">
      <c r="A119" s="461" t="s">
        <v>951</v>
      </c>
      <c r="B119" s="461" t="s">
        <v>235</v>
      </c>
      <c r="C119" s="461" t="s">
        <v>41</v>
      </c>
      <c r="D119">
        <v>48</v>
      </c>
      <c r="E119">
        <v>0</v>
      </c>
      <c r="F119">
        <v>0</v>
      </c>
      <c r="G119">
        <v>0</v>
      </c>
    </row>
    <row r="120" spans="1:7" hidden="1" x14ac:dyDescent="0.35">
      <c r="A120" s="461" t="s">
        <v>951</v>
      </c>
      <c r="B120" s="461" t="s">
        <v>235</v>
      </c>
      <c r="C120" s="461" t="s">
        <v>42</v>
      </c>
      <c r="D120">
        <v>88</v>
      </c>
      <c r="E120">
        <v>0</v>
      </c>
      <c r="F120">
        <v>0</v>
      </c>
      <c r="G120">
        <v>0</v>
      </c>
    </row>
    <row r="121" spans="1:7" hidden="1" x14ac:dyDescent="0.35">
      <c r="A121" s="461" t="s">
        <v>951</v>
      </c>
      <c r="B121" s="461" t="s">
        <v>235</v>
      </c>
      <c r="C121" s="461" t="s">
        <v>43</v>
      </c>
      <c r="D121">
        <v>254</v>
      </c>
      <c r="E121">
        <v>0</v>
      </c>
      <c r="F121">
        <v>0</v>
      </c>
      <c r="G121">
        <v>0</v>
      </c>
    </row>
    <row r="122" spans="1:7" hidden="1" x14ac:dyDescent="0.35">
      <c r="A122" s="461" t="s">
        <v>951</v>
      </c>
      <c r="B122" s="461" t="s">
        <v>235</v>
      </c>
      <c r="C122" s="461" t="s">
        <v>114</v>
      </c>
      <c r="D122">
        <v>499</v>
      </c>
      <c r="E122">
        <v>0</v>
      </c>
      <c r="F122">
        <v>0</v>
      </c>
      <c r="G122">
        <v>0</v>
      </c>
    </row>
    <row r="123" spans="1:7" hidden="1" x14ac:dyDescent="0.35">
      <c r="A123" s="461" t="s">
        <v>951</v>
      </c>
      <c r="B123" s="461" t="s">
        <v>235</v>
      </c>
      <c r="C123" s="461" t="s">
        <v>44</v>
      </c>
      <c r="D123">
        <v>74</v>
      </c>
      <c r="E123">
        <v>0</v>
      </c>
      <c r="F123">
        <v>0</v>
      </c>
      <c r="G123">
        <v>0</v>
      </c>
    </row>
    <row r="124" spans="1:7" hidden="1" x14ac:dyDescent="0.35">
      <c r="A124" s="461" t="s">
        <v>951</v>
      </c>
      <c r="B124" s="461" t="s">
        <v>235</v>
      </c>
      <c r="C124" s="461" t="s">
        <v>45</v>
      </c>
      <c r="D124">
        <v>70</v>
      </c>
      <c r="E124">
        <v>0</v>
      </c>
      <c r="F124">
        <v>0</v>
      </c>
      <c r="G124">
        <v>0</v>
      </c>
    </row>
    <row r="125" spans="1:7" hidden="1" x14ac:dyDescent="0.35">
      <c r="A125" s="461" t="s">
        <v>951</v>
      </c>
      <c r="B125" s="461" t="s">
        <v>235</v>
      </c>
      <c r="C125" s="461" t="s">
        <v>46</v>
      </c>
      <c r="D125">
        <v>27</v>
      </c>
      <c r="E125">
        <v>0</v>
      </c>
      <c r="F125">
        <v>0</v>
      </c>
      <c r="G125">
        <v>0</v>
      </c>
    </row>
    <row r="126" spans="1:7" hidden="1" x14ac:dyDescent="0.35">
      <c r="A126" s="461" t="s">
        <v>951</v>
      </c>
      <c r="B126" s="461" t="s">
        <v>235</v>
      </c>
      <c r="C126" s="461" t="s">
        <v>47</v>
      </c>
      <c r="D126">
        <v>30</v>
      </c>
      <c r="E126">
        <v>0</v>
      </c>
      <c r="F126">
        <v>0</v>
      </c>
      <c r="G126">
        <v>0</v>
      </c>
    </row>
    <row r="127" spans="1:7" hidden="1" x14ac:dyDescent="0.35">
      <c r="A127" s="461" t="s">
        <v>951</v>
      </c>
      <c r="B127" s="461" t="s">
        <v>235</v>
      </c>
      <c r="C127" s="461" t="s">
        <v>48</v>
      </c>
      <c r="D127">
        <v>0</v>
      </c>
      <c r="E127">
        <v>0</v>
      </c>
      <c r="F127">
        <v>0</v>
      </c>
      <c r="G127">
        <v>0</v>
      </c>
    </row>
    <row r="128" spans="1:7" hidden="1" x14ac:dyDescent="0.35">
      <c r="A128" s="461" t="s">
        <v>951</v>
      </c>
      <c r="B128" s="461" t="s">
        <v>235</v>
      </c>
      <c r="C128" s="461" t="s">
        <v>49</v>
      </c>
      <c r="D128">
        <v>75</v>
      </c>
      <c r="E128">
        <v>0</v>
      </c>
      <c r="F128">
        <v>0</v>
      </c>
      <c r="G128">
        <v>0</v>
      </c>
    </row>
    <row r="129" spans="1:7" hidden="1" x14ac:dyDescent="0.35">
      <c r="A129" s="461" t="s">
        <v>951</v>
      </c>
      <c r="B129" s="461" t="s">
        <v>235</v>
      </c>
      <c r="C129" s="461" t="s">
        <v>50</v>
      </c>
      <c r="D129">
        <v>160</v>
      </c>
      <c r="E129">
        <v>0</v>
      </c>
      <c r="F129">
        <v>0</v>
      </c>
      <c r="G129">
        <v>0</v>
      </c>
    </row>
    <row r="130" spans="1:7" hidden="1" x14ac:dyDescent="0.35">
      <c r="A130" s="461" t="s">
        <v>951</v>
      </c>
      <c r="B130" s="461" t="s">
        <v>235</v>
      </c>
      <c r="C130" s="461" t="s">
        <v>51</v>
      </c>
      <c r="D130">
        <v>0</v>
      </c>
      <c r="E130">
        <v>0</v>
      </c>
      <c r="F130">
        <v>0</v>
      </c>
      <c r="G130">
        <v>0</v>
      </c>
    </row>
    <row r="131" spans="1:7" hidden="1" x14ac:dyDescent="0.35">
      <c r="A131" s="461" t="s">
        <v>951</v>
      </c>
      <c r="B131" s="461" t="s">
        <v>235</v>
      </c>
      <c r="C131" s="461" t="s">
        <v>52</v>
      </c>
      <c r="D131">
        <v>63</v>
      </c>
      <c r="E131">
        <v>0</v>
      </c>
      <c r="F131">
        <v>0</v>
      </c>
      <c r="G131">
        <v>0</v>
      </c>
    </row>
    <row r="132" spans="1:7" hidden="1" x14ac:dyDescent="0.35">
      <c r="A132" s="461" t="s">
        <v>951</v>
      </c>
      <c r="B132" s="461" t="s">
        <v>235</v>
      </c>
      <c r="C132" s="461" t="s">
        <v>53</v>
      </c>
      <c r="D132">
        <v>100</v>
      </c>
      <c r="E132">
        <v>0</v>
      </c>
      <c r="F132">
        <v>0</v>
      </c>
      <c r="G132">
        <v>0</v>
      </c>
    </row>
    <row r="133" spans="1:7" hidden="1" x14ac:dyDescent="0.35">
      <c r="A133" s="461" t="s">
        <v>951</v>
      </c>
      <c r="B133" s="461" t="s">
        <v>235</v>
      </c>
      <c r="C133" s="461" t="s">
        <v>54</v>
      </c>
      <c r="D133">
        <v>51</v>
      </c>
      <c r="E133">
        <v>0</v>
      </c>
      <c r="F133">
        <v>0</v>
      </c>
      <c r="G133">
        <v>0</v>
      </c>
    </row>
    <row r="134" spans="1:7" hidden="1" x14ac:dyDescent="0.35">
      <c r="A134" s="461" t="s">
        <v>951</v>
      </c>
      <c r="B134" s="461" t="s">
        <v>235</v>
      </c>
      <c r="C134" s="461" t="s">
        <v>55</v>
      </c>
      <c r="D134">
        <v>0</v>
      </c>
      <c r="E134">
        <v>0</v>
      </c>
      <c r="F134">
        <v>0</v>
      </c>
      <c r="G134">
        <v>0</v>
      </c>
    </row>
    <row r="135" spans="1:7" hidden="1" x14ac:dyDescent="0.35">
      <c r="A135" s="461" t="s">
        <v>951</v>
      </c>
      <c r="B135" s="461" t="s">
        <v>235</v>
      </c>
      <c r="C135" s="461" t="s">
        <v>56</v>
      </c>
      <c r="D135">
        <v>51</v>
      </c>
      <c r="E135">
        <v>0</v>
      </c>
      <c r="F135">
        <v>0</v>
      </c>
      <c r="G135">
        <v>0</v>
      </c>
    </row>
    <row r="136" spans="1:7" hidden="1" x14ac:dyDescent="0.35">
      <c r="A136" s="461" t="s">
        <v>951</v>
      </c>
      <c r="B136" s="461" t="s">
        <v>235</v>
      </c>
      <c r="C136" s="461" t="s">
        <v>57</v>
      </c>
      <c r="D136">
        <v>168</v>
      </c>
      <c r="E136">
        <v>0</v>
      </c>
      <c r="F136">
        <v>0</v>
      </c>
      <c r="G136">
        <v>0</v>
      </c>
    </row>
    <row r="137" spans="1:7" hidden="1" x14ac:dyDescent="0.35">
      <c r="A137" s="461" t="s">
        <v>951</v>
      </c>
      <c r="B137" s="461" t="s">
        <v>235</v>
      </c>
      <c r="C137" s="461" t="s">
        <v>58</v>
      </c>
      <c r="D137">
        <v>52</v>
      </c>
      <c r="E137">
        <v>0</v>
      </c>
      <c r="F137">
        <v>0</v>
      </c>
      <c r="G137">
        <v>0</v>
      </c>
    </row>
    <row r="138" spans="1:7" hidden="1" x14ac:dyDescent="0.35">
      <c r="A138" s="461" t="s">
        <v>951</v>
      </c>
      <c r="B138" s="461" t="s">
        <v>235</v>
      </c>
      <c r="C138" s="461" t="s">
        <v>59</v>
      </c>
      <c r="D138">
        <v>73</v>
      </c>
      <c r="E138">
        <v>0</v>
      </c>
      <c r="F138">
        <v>0</v>
      </c>
      <c r="G138">
        <v>0</v>
      </c>
    </row>
    <row r="139" spans="1:7" hidden="1" x14ac:dyDescent="0.35">
      <c r="A139" s="461" t="s">
        <v>951</v>
      </c>
      <c r="B139" s="461" t="s">
        <v>235</v>
      </c>
      <c r="C139" s="461" t="s">
        <v>60</v>
      </c>
      <c r="D139">
        <v>57</v>
      </c>
      <c r="E139">
        <v>0</v>
      </c>
      <c r="F139">
        <v>0</v>
      </c>
      <c r="G139">
        <v>0</v>
      </c>
    </row>
    <row r="140" spans="1:7" x14ac:dyDescent="0.35">
      <c r="A140" s="461" t="s">
        <v>951</v>
      </c>
      <c r="B140" s="461" t="s">
        <v>236</v>
      </c>
      <c r="C140" s="461" t="s">
        <v>31</v>
      </c>
      <c r="D140">
        <v>0</v>
      </c>
      <c r="E140">
        <v>6</v>
      </c>
      <c r="F140">
        <v>6</v>
      </c>
      <c r="G140">
        <v>0</v>
      </c>
    </row>
    <row r="141" spans="1:7" x14ac:dyDescent="0.35">
      <c r="A141" s="461" t="s">
        <v>951</v>
      </c>
      <c r="B141" s="461" t="s">
        <v>236</v>
      </c>
      <c r="C141" s="461" t="s">
        <v>63</v>
      </c>
      <c r="D141">
        <v>0</v>
      </c>
      <c r="E141">
        <v>13</v>
      </c>
      <c r="F141">
        <v>13</v>
      </c>
      <c r="G141">
        <v>0</v>
      </c>
    </row>
    <row r="142" spans="1:7" x14ac:dyDescent="0.35">
      <c r="A142" s="461" t="s">
        <v>951</v>
      </c>
      <c r="B142" s="461" t="s">
        <v>236</v>
      </c>
      <c r="C142" s="461" t="s">
        <v>64</v>
      </c>
      <c r="D142">
        <v>0</v>
      </c>
      <c r="E142">
        <v>11</v>
      </c>
      <c r="F142">
        <v>15</v>
      </c>
      <c r="G142">
        <v>0</v>
      </c>
    </row>
    <row r="143" spans="1:7" x14ac:dyDescent="0.35">
      <c r="A143" s="461" t="s">
        <v>951</v>
      </c>
      <c r="B143" s="461" t="s">
        <v>236</v>
      </c>
      <c r="C143" s="461" t="s">
        <v>36</v>
      </c>
      <c r="D143">
        <v>0</v>
      </c>
      <c r="E143">
        <v>9</v>
      </c>
      <c r="F143">
        <v>12</v>
      </c>
      <c r="G143">
        <v>0</v>
      </c>
    </row>
    <row r="144" spans="1:7" x14ac:dyDescent="0.35">
      <c r="A144" s="461" t="s">
        <v>951</v>
      </c>
      <c r="B144" s="461" t="s">
        <v>236</v>
      </c>
      <c r="C144" s="461" t="s">
        <v>65</v>
      </c>
      <c r="D144">
        <v>0</v>
      </c>
      <c r="E144">
        <v>13</v>
      </c>
      <c r="F144">
        <v>15</v>
      </c>
      <c r="G144">
        <v>0</v>
      </c>
    </row>
    <row r="145" spans="1:7" x14ac:dyDescent="0.35">
      <c r="A145" s="461" t="s">
        <v>951</v>
      </c>
      <c r="B145" s="461" t="s">
        <v>236</v>
      </c>
      <c r="C145" s="461" t="s">
        <v>66</v>
      </c>
      <c r="D145">
        <v>0</v>
      </c>
      <c r="E145">
        <v>13</v>
      </c>
      <c r="F145">
        <v>14</v>
      </c>
      <c r="G145">
        <v>0</v>
      </c>
    </row>
    <row r="146" spans="1:7" x14ac:dyDescent="0.35">
      <c r="A146" s="461" t="s">
        <v>951</v>
      </c>
      <c r="B146" s="461" t="s">
        <v>236</v>
      </c>
      <c r="C146" s="461" t="s">
        <v>67</v>
      </c>
      <c r="D146">
        <v>0</v>
      </c>
      <c r="E146">
        <v>11</v>
      </c>
      <c r="F146">
        <v>17</v>
      </c>
      <c r="G146">
        <v>0</v>
      </c>
    </row>
    <row r="147" spans="1:7" x14ac:dyDescent="0.35">
      <c r="A147" s="461" t="s">
        <v>951</v>
      </c>
      <c r="B147" s="461" t="s">
        <v>236</v>
      </c>
      <c r="C147" s="461" t="s">
        <v>68</v>
      </c>
      <c r="D147">
        <v>0</v>
      </c>
      <c r="E147">
        <v>10</v>
      </c>
      <c r="F147">
        <v>7</v>
      </c>
      <c r="G147">
        <v>0</v>
      </c>
    </row>
    <row r="148" spans="1:7" x14ac:dyDescent="0.35">
      <c r="A148" s="461" t="s">
        <v>951</v>
      </c>
      <c r="B148" s="461" t="s">
        <v>236</v>
      </c>
      <c r="C148" s="461" t="s">
        <v>167</v>
      </c>
      <c r="D148">
        <v>0</v>
      </c>
      <c r="E148">
        <v>11</v>
      </c>
      <c r="F148">
        <v>18</v>
      </c>
      <c r="G148">
        <v>0</v>
      </c>
    </row>
    <row r="149" spans="1:7" x14ac:dyDescent="0.35">
      <c r="A149" s="461" t="s">
        <v>951</v>
      </c>
      <c r="B149" s="461" t="s">
        <v>236</v>
      </c>
      <c r="C149" s="461" t="s">
        <v>69</v>
      </c>
      <c r="D149">
        <v>0</v>
      </c>
      <c r="E149">
        <v>8</v>
      </c>
      <c r="F149">
        <v>11</v>
      </c>
      <c r="G149">
        <v>0</v>
      </c>
    </row>
    <row r="150" spans="1:7" x14ac:dyDescent="0.35">
      <c r="A150" s="461" t="s">
        <v>951</v>
      </c>
      <c r="B150" s="461" t="s">
        <v>236</v>
      </c>
      <c r="C150" s="461" t="s">
        <v>43</v>
      </c>
    </row>
    <row r="151" spans="1:7" x14ac:dyDescent="0.35">
      <c r="A151" s="461" t="s">
        <v>951</v>
      </c>
      <c r="B151" s="461" t="s">
        <v>236</v>
      </c>
      <c r="C151" s="461" t="s">
        <v>114</v>
      </c>
      <c r="D151">
        <v>0</v>
      </c>
      <c r="E151">
        <v>15</v>
      </c>
      <c r="F151">
        <v>11</v>
      </c>
      <c r="G151">
        <v>0</v>
      </c>
    </row>
    <row r="152" spans="1:7" x14ac:dyDescent="0.35">
      <c r="A152" s="461" t="s">
        <v>951</v>
      </c>
      <c r="B152" s="461" t="s">
        <v>236</v>
      </c>
      <c r="C152" s="461" t="s">
        <v>70</v>
      </c>
      <c r="D152">
        <v>0</v>
      </c>
      <c r="E152">
        <v>17</v>
      </c>
      <c r="F152">
        <v>18</v>
      </c>
      <c r="G152">
        <v>0</v>
      </c>
    </row>
    <row r="153" spans="1:7" x14ac:dyDescent="0.35">
      <c r="A153" s="461" t="s">
        <v>951</v>
      </c>
      <c r="B153" s="461" t="s">
        <v>236</v>
      </c>
      <c r="C153" s="461" t="s">
        <v>50</v>
      </c>
      <c r="D153">
        <v>0</v>
      </c>
      <c r="E153">
        <v>8</v>
      </c>
      <c r="F153">
        <v>7</v>
      </c>
      <c r="G153">
        <v>0</v>
      </c>
    </row>
    <row r="154" spans="1:7" x14ac:dyDescent="0.35">
      <c r="A154" s="461" t="s">
        <v>951</v>
      </c>
      <c r="B154" s="461" t="s">
        <v>236</v>
      </c>
      <c r="C154" s="461" t="s">
        <v>57</v>
      </c>
      <c r="D154">
        <v>0</v>
      </c>
      <c r="E154">
        <v>9</v>
      </c>
      <c r="F154">
        <v>7</v>
      </c>
      <c r="G154">
        <v>0</v>
      </c>
    </row>
    <row r="155" spans="1:7" x14ac:dyDescent="0.35">
      <c r="A155" s="461" t="s">
        <v>951</v>
      </c>
      <c r="B155" s="461" t="s">
        <v>236</v>
      </c>
      <c r="C155" s="461" t="s">
        <v>775</v>
      </c>
      <c r="D155">
        <v>0</v>
      </c>
      <c r="E155">
        <v>16</v>
      </c>
      <c r="F155">
        <v>21</v>
      </c>
      <c r="G155">
        <v>0</v>
      </c>
    </row>
    <row r="156" spans="1:7" x14ac:dyDescent="0.35">
      <c r="A156" s="461" t="s">
        <v>951</v>
      </c>
      <c r="B156" s="461" t="s">
        <v>236</v>
      </c>
      <c r="C156" s="461" t="s">
        <v>71</v>
      </c>
      <c r="D156">
        <v>0</v>
      </c>
      <c r="E156">
        <v>11</v>
      </c>
      <c r="F156">
        <v>4</v>
      </c>
      <c r="G156">
        <v>0</v>
      </c>
    </row>
    <row r="157" spans="1:7" hidden="1" x14ac:dyDescent="0.35">
      <c r="A157" s="461" t="s">
        <v>951</v>
      </c>
      <c r="B157" s="461" t="s">
        <v>237</v>
      </c>
      <c r="C157" s="461" t="s">
        <v>166</v>
      </c>
      <c r="D157">
        <v>0</v>
      </c>
      <c r="E157">
        <v>8</v>
      </c>
      <c r="F157">
        <v>38</v>
      </c>
      <c r="G157">
        <v>20</v>
      </c>
    </row>
    <row r="158" spans="1:7" hidden="1" x14ac:dyDescent="0.35">
      <c r="A158" s="461" t="s">
        <v>951</v>
      </c>
      <c r="B158" s="461" t="s">
        <v>237</v>
      </c>
      <c r="C158" s="461" t="s">
        <v>164</v>
      </c>
      <c r="D158">
        <v>0</v>
      </c>
      <c r="E158">
        <v>10</v>
      </c>
      <c r="F158">
        <v>32</v>
      </c>
      <c r="G158">
        <v>13</v>
      </c>
    </row>
    <row r="159" spans="1:7" hidden="1" x14ac:dyDescent="0.35">
      <c r="A159" s="461" t="s">
        <v>951</v>
      </c>
      <c r="B159" s="461" t="s">
        <v>237</v>
      </c>
      <c r="C159" s="461" t="s">
        <v>165</v>
      </c>
      <c r="D159">
        <v>0</v>
      </c>
      <c r="E159">
        <v>13</v>
      </c>
      <c r="F159">
        <v>53</v>
      </c>
      <c r="G159">
        <v>25</v>
      </c>
    </row>
    <row r="160" spans="1:7" hidden="1" x14ac:dyDescent="0.35">
      <c r="A160" s="461" t="s">
        <v>951</v>
      </c>
      <c r="B160" s="461" t="s">
        <v>238</v>
      </c>
      <c r="C160" s="461" t="s">
        <v>246</v>
      </c>
      <c r="D160">
        <v>0</v>
      </c>
      <c r="E160">
        <v>61</v>
      </c>
      <c r="F160">
        <v>30</v>
      </c>
      <c r="G160">
        <v>1</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82"/>
  <sheetViews>
    <sheetView showGridLines="0" workbookViewId="0">
      <pane ySplit="2" topLeftCell="A3" activePane="bottomLeft" state="frozen"/>
      <selection pane="bottomLeft"/>
    </sheetView>
  </sheetViews>
  <sheetFormatPr defaultRowHeight="14.5" x14ac:dyDescent="0.35"/>
  <cols>
    <col min="1" max="1" width="17.1796875" customWidth="1"/>
    <col min="2" max="2" width="59.453125" customWidth="1"/>
    <col min="3" max="7" width="13.26953125" style="302" customWidth="1"/>
    <col min="8" max="8" width="19.54296875" customWidth="1"/>
  </cols>
  <sheetData>
    <row r="1" spans="1:7" ht="15.75" customHeight="1" x14ac:dyDescent="0.35">
      <c r="A1" s="629" t="s">
        <v>439</v>
      </c>
      <c r="B1" s="629"/>
      <c r="C1" s="629"/>
      <c r="D1" s="629"/>
      <c r="E1" s="629"/>
      <c r="F1" s="629"/>
      <c r="G1" s="629"/>
    </row>
    <row r="2" spans="1:7" ht="17.5" x14ac:dyDescent="0.35">
      <c r="A2" s="601" t="s">
        <v>509</v>
      </c>
      <c r="B2" s="1"/>
      <c r="C2" s="1"/>
      <c r="D2" s="1"/>
      <c r="E2" s="1"/>
      <c r="F2" s="1"/>
      <c r="G2" s="1"/>
    </row>
    <row r="3" spans="1:7" x14ac:dyDescent="0.35">
      <c r="C3"/>
      <c r="D3"/>
      <c r="E3"/>
      <c r="F3"/>
      <c r="G3"/>
    </row>
    <row r="4" spans="1:7" ht="30" customHeight="1" x14ac:dyDescent="0.35">
      <c r="A4" s="535" t="s">
        <v>855</v>
      </c>
      <c r="B4" s="535"/>
      <c r="C4"/>
      <c r="D4"/>
      <c r="E4"/>
      <c r="F4"/>
      <c r="G4"/>
    </row>
    <row r="5" spans="1:7" ht="15" customHeight="1" x14ac:dyDescent="0.35">
      <c r="A5" t="s">
        <v>830</v>
      </c>
      <c r="B5" s="535"/>
      <c r="C5"/>
      <c r="D5"/>
      <c r="E5"/>
      <c r="F5"/>
      <c r="G5"/>
    </row>
    <row r="6" spans="1:7" ht="15" customHeight="1" x14ac:dyDescent="0.35">
      <c r="A6" t="s">
        <v>320</v>
      </c>
      <c r="B6" t="s">
        <v>887</v>
      </c>
      <c r="C6"/>
      <c r="D6"/>
      <c r="E6"/>
      <c r="F6"/>
      <c r="G6"/>
    </row>
    <row r="7" spans="1:7" ht="15" customHeight="1" x14ac:dyDescent="0.35">
      <c r="A7" t="s">
        <v>321</v>
      </c>
      <c r="B7" t="s">
        <v>323</v>
      </c>
      <c r="C7"/>
      <c r="D7"/>
      <c r="E7"/>
      <c r="F7"/>
      <c r="G7"/>
    </row>
    <row r="8" spans="1:7" ht="15" customHeight="1" x14ac:dyDescent="0.35">
      <c r="A8" t="s">
        <v>322</v>
      </c>
      <c r="B8" t="s">
        <v>324</v>
      </c>
      <c r="C8"/>
      <c r="D8"/>
      <c r="E8"/>
      <c r="F8"/>
      <c r="G8"/>
    </row>
    <row r="9" spans="1:7" ht="22.5" customHeight="1" x14ac:dyDescent="0.35">
      <c r="C9"/>
      <c r="D9"/>
      <c r="E9"/>
      <c r="F9"/>
      <c r="G9"/>
    </row>
    <row r="10" spans="1:7" s="563" customFormat="1" ht="37.5" customHeight="1" x14ac:dyDescent="0.35">
      <c r="A10" s="739" t="s">
        <v>1</v>
      </c>
      <c r="B10" s="739" t="s">
        <v>207</v>
      </c>
      <c r="C10" s="3" t="s">
        <v>779</v>
      </c>
      <c r="D10" s="3" t="s">
        <v>780</v>
      </c>
      <c r="E10" s="3" t="s">
        <v>782</v>
      </c>
      <c r="F10" s="3" t="s">
        <v>783</v>
      </c>
      <c r="G10" s="3" t="s">
        <v>4</v>
      </c>
    </row>
    <row r="11" spans="1:7" ht="30" customHeight="1" thickBot="1" x14ac:dyDescent="0.4">
      <c r="A11" s="45" t="str">
        <f>dutysystemlapivot!B1</f>
        <v>2020-21</v>
      </c>
      <c r="B11" s="45" t="s">
        <v>75</v>
      </c>
      <c r="C11" s="76">
        <f t="shared" ref="C11:G11" si="0">C46+C66+C72+C74</f>
        <v>2903</v>
      </c>
      <c r="D11" s="76">
        <f>D46+D66+D72+D74</f>
        <v>273</v>
      </c>
      <c r="E11" s="76">
        <f t="shared" si="0"/>
        <v>349</v>
      </c>
      <c r="F11" s="76">
        <f t="shared" si="0"/>
        <v>59</v>
      </c>
      <c r="G11" s="76">
        <f t="shared" si="0"/>
        <v>3584</v>
      </c>
    </row>
    <row r="12" spans="1:7" ht="19.5" customHeight="1" x14ac:dyDescent="0.35">
      <c r="B12" s="46"/>
      <c r="C12" s="51"/>
      <c r="D12" s="51"/>
      <c r="E12" s="51"/>
      <c r="F12" s="51"/>
      <c r="G12" s="51"/>
    </row>
    <row r="13" spans="1:7" ht="15" customHeight="1" x14ac:dyDescent="0.35">
      <c r="A13" s="49" t="s">
        <v>449</v>
      </c>
      <c r="B13" s="49" t="s">
        <v>30</v>
      </c>
      <c r="C13" s="21"/>
      <c r="D13" s="21"/>
      <c r="E13" s="21"/>
      <c r="F13" s="21"/>
      <c r="G13" s="21"/>
    </row>
    <row r="14" spans="1:7" ht="15" customHeight="1" x14ac:dyDescent="0.35">
      <c r="A14" s="465" t="s">
        <v>286</v>
      </c>
      <c r="B14" s="52" t="s">
        <v>31</v>
      </c>
      <c r="C14" s="78">
        <f>dutysystemlapivot!B5</f>
        <v>149</v>
      </c>
      <c r="D14" s="78">
        <f>dutysystemlapivot!C5</f>
        <v>0</v>
      </c>
      <c r="E14" s="78">
        <f>dutysystemlapivot!D5</f>
        <v>0</v>
      </c>
      <c r="F14" s="78">
        <f>dutysystemlapivot!E5</f>
        <v>0</v>
      </c>
      <c r="G14" s="78">
        <f>SUM(C14:F14)</f>
        <v>149</v>
      </c>
    </row>
    <row r="15" spans="1:7" ht="15" customHeight="1" x14ac:dyDescent="0.35">
      <c r="A15" s="466" t="s">
        <v>287</v>
      </c>
      <c r="B15" s="55" t="s">
        <v>32</v>
      </c>
      <c r="C15" s="78">
        <f>dutysystemlapivot!B6</f>
        <v>29</v>
      </c>
      <c r="D15" s="78">
        <f>dutysystemlapivot!C6</f>
        <v>0</v>
      </c>
      <c r="E15" s="78">
        <f>dutysystemlapivot!D6</f>
        <v>0</v>
      </c>
      <c r="F15" s="78">
        <f>dutysystemlapivot!E6</f>
        <v>0</v>
      </c>
      <c r="G15" s="78">
        <f t="shared" ref="G15:G46" si="1">SUM(C15:F15)</f>
        <v>29</v>
      </c>
    </row>
    <row r="16" spans="1:7" ht="15" customHeight="1" x14ac:dyDescent="0.35">
      <c r="A16" s="466" t="s">
        <v>293</v>
      </c>
      <c r="B16" s="55" t="s">
        <v>33</v>
      </c>
      <c r="C16" s="78">
        <f>dutysystemlapivot!B7</f>
        <v>27</v>
      </c>
      <c r="D16" s="78">
        <f>dutysystemlapivot!C7</f>
        <v>0</v>
      </c>
      <c r="E16" s="78">
        <f>dutysystemlapivot!D7</f>
        <v>0</v>
      </c>
      <c r="F16" s="78">
        <f>dutysystemlapivot!E7</f>
        <v>0</v>
      </c>
      <c r="G16" s="78">
        <f t="shared" si="1"/>
        <v>27</v>
      </c>
    </row>
    <row r="17" spans="1:7" ht="15" customHeight="1" x14ac:dyDescent="0.35">
      <c r="A17" s="466" t="s">
        <v>288</v>
      </c>
      <c r="B17" s="55" t="s">
        <v>34</v>
      </c>
      <c r="C17" s="78">
        <f>dutysystemlapivot!B8</f>
        <v>52</v>
      </c>
      <c r="D17" s="78">
        <f>dutysystemlapivot!C8</f>
        <v>0</v>
      </c>
      <c r="E17" s="78">
        <f>dutysystemlapivot!D8</f>
        <v>0</v>
      </c>
      <c r="F17" s="78">
        <f>dutysystemlapivot!E8</f>
        <v>0</v>
      </c>
      <c r="G17" s="78">
        <f t="shared" si="1"/>
        <v>52</v>
      </c>
    </row>
    <row r="18" spans="1:7" ht="15" customHeight="1" x14ac:dyDescent="0.35">
      <c r="A18" s="466" t="s">
        <v>289</v>
      </c>
      <c r="B18" s="55" t="s">
        <v>245</v>
      </c>
      <c r="C18" s="78">
        <f>dutysystemlapivot!B9</f>
        <v>300</v>
      </c>
      <c r="D18" s="78">
        <f>dutysystemlapivot!C9</f>
        <v>0</v>
      </c>
      <c r="E18" s="78">
        <f>dutysystemlapivot!D9</f>
        <v>0</v>
      </c>
      <c r="F18" s="78">
        <f>dutysystemlapivot!E9</f>
        <v>0</v>
      </c>
      <c r="G18" s="78">
        <f t="shared" si="1"/>
        <v>300</v>
      </c>
    </row>
    <row r="19" spans="1:7" ht="15" customHeight="1" x14ac:dyDescent="0.35">
      <c r="A19" s="466" t="s">
        <v>267</v>
      </c>
      <c r="B19" s="55" t="s">
        <v>35</v>
      </c>
      <c r="C19" s="78">
        <f>dutysystemlapivot!B10</f>
        <v>24</v>
      </c>
      <c r="D19" s="78">
        <f>dutysystemlapivot!C10</f>
        <v>0</v>
      </c>
      <c r="E19" s="78">
        <f>dutysystemlapivot!D10</f>
        <v>0</v>
      </c>
      <c r="F19" s="78">
        <f>dutysystemlapivot!E10</f>
        <v>0</v>
      </c>
      <c r="G19" s="78">
        <f t="shared" si="1"/>
        <v>24</v>
      </c>
    </row>
    <row r="20" spans="1:7" ht="15" customHeight="1" x14ac:dyDescent="0.35">
      <c r="A20" s="466" t="s">
        <v>268</v>
      </c>
      <c r="B20" s="55" t="s">
        <v>36</v>
      </c>
      <c r="C20" s="78">
        <f>dutysystemlapivot!B11</f>
        <v>51</v>
      </c>
      <c r="D20" s="78">
        <f>dutysystemlapivot!C11</f>
        <v>0</v>
      </c>
      <c r="E20" s="78">
        <f>dutysystemlapivot!D11</f>
        <v>0</v>
      </c>
      <c r="F20" s="78">
        <f>dutysystemlapivot!E11</f>
        <v>0</v>
      </c>
      <c r="G20" s="78">
        <f t="shared" si="1"/>
        <v>51</v>
      </c>
    </row>
    <row r="21" spans="1:7" ht="15" customHeight="1" x14ac:dyDescent="0.35">
      <c r="A21" s="466" t="s">
        <v>294</v>
      </c>
      <c r="B21" s="55" t="s">
        <v>37</v>
      </c>
      <c r="C21" s="78">
        <f>dutysystemlapivot!B12</f>
        <v>182</v>
      </c>
      <c r="D21" s="78">
        <f>dutysystemlapivot!C12</f>
        <v>0</v>
      </c>
      <c r="E21" s="78">
        <f>dutysystemlapivot!D12</f>
        <v>0</v>
      </c>
      <c r="F21" s="78">
        <f>dutysystemlapivot!E12</f>
        <v>0</v>
      </c>
      <c r="G21" s="78">
        <f t="shared" si="1"/>
        <v>182</v>
      </c>
    </row>
    <row r="22" spans="1:7" ht="15" customHeight="1" x14ac:dyDescent="0.35">
      <c r="A22" s="466" t="s">
        <v>269</v>
      </c>
      <c r="B22" s="55" t="s">
        <v>38</v>
      </c>
      <c r="C22" s="78">
        <f>dutysystemlapivot!B13</f>
        <v>47</v>
      </c>
      <c r="D22" s="78">
        <f>dutysystemlapivot!C13</f>
        <v>0</v>
      </c>
      <c r="E22" s="78">
        <f>dutysystemlapivot!D13</f>
        <v>0</v>
      </c>
      <c r="F22" s="78">
        <f>dutysystemlapivot!E13</f>
        <v>0</v>
      </c>
      <c r="G22" s="78">
        <f t="shared" si="1"/>
        <v>47</v>
      </c>
    </row>
    <row r="23" spans="1:7" ht="15" customHeight="1" x14ac:dyDescent="0.35">
      <c r="A23" s="466" t="s">
        <v>296</v>
      </c>
      <c r="B23" s="55" t="s">
        <v>39</v>
      </c>
      <c r="C23" s="78">
        <f>dutysystemlapivot!B14</f>
        <v>76</v>
      </c>
      <c r="D23" s="78">
        <f>dutysystemlapivot!C14</f>
        <v>0</v>
      </c>
      <c r="E23" s="78">
        <f>dutysystemlapivot!D14</f>
        <v>0</v>
      </c>
      <c r="F23" s="78">
        <f>dutysystemlapivot!E14</f>
        <v>0</v>
      </c>
      <c r="G23" s="78">
        <f t="shared" si="1"/>
        <v>76</v>
      </c>
    </row>
    <row r="24" spans="1:7" ht="15" customHeight="1" x14ac:dyDescent="0.35">
      <c r="A24" s="466" t="s">
        <v>270</v>
      </c>
      <c r="B24" s="55" t="s">
        <v>40</v>
      </c>
      <c r="C24" s="78">
        <f>dutysystemlapivot!B15</f>
        <v>26</v>
      </c>
      <c r="D24" s="78">
        <f>dutysystemlapivot!C15</f>
        <v>0</v>
      </c>
      <c r="E24" s="78">
        <f>dutysystemlapivot!D15</f>
        <v>0</v>
      </c>
      <c r="F24" s="78">
        <f>dutysystemlapivot!E15</f>
        <v>0</v>
      </c>
      <c r="G24" s="78">
        <f t="shared" si="1"/>
        <v>26</v>
      </c>
    </row>
    <row r="25" spans="1:7" ht="15" customHeight="1" x14ac:dyDescent="0.35">
      <c r="A25" s="466" t="s">
        <v>271</v>
      </c>
      <c r="B25" s="55" t="s">
        <v>41</v>
      </c>
      <c r="C25" s="78">
        <f>dutysystemlapivot!B16</f>
        <v>48</v>
      </c>
      <c r="D25" s="78">
        <f>dutysystemlapivot!C16</f>
        <v>0</v>
      </c>
      <c r="E25" s="78">
        <f>dutysystemlapivot!D16</f>
        <v>0</v>
      </c>
      <c r="F25" s="78">
        <f>dutysystemlapivot!E16</f>
        <v>0</v>
      </c>
      <c r="G25" s="78">
        <f t="shared" si="1"/>
        <v>48</v>
      </c>
    </row>
    <row r="26" spans="1:7" ht="15" customHeight="1" x14ac:dyDescent="0.35">
      <c r="A26" s="466" t="s">
        <v>273</v>
      </c>
      <c r="B26" s="55" t="s">
        <v>42</v>
      </c>
      <c r="C26" s="78">
        <f>dutysystemlapivot!B17</f>
        <v>88</v>
      </c>
      <c r="D26" s="78">
        <f>dutysystemlapivot!C17</f>
        <v>0</v>
      </c>
      <c r="E26" s="78">
        <f>dutysystemlapivot!D17</f>
        <v>0</v>
      </c>
      <c r="F26" s="78">
        <f>dutysystemlapivot!E17</f>
        <v>0</v>
      </c>
      <c r="G26" s="78">
        <f t="shared" si="1"/>
        <v>88</v>
      </c>
    </row>
    <row r="27" spans="1:7" ht="15" customHeight="1" x14ac:dyDescent="0.35">
      <c r="A27" s="466" t="s">
        <v>298</v>
      </c>
      <c r="B27" s="55" t="s">
        <v>43</v>
      </c>
      <c r="C27" s="78">
        <f>dutysystemlapivot!B18</f>
        <v>254</v>
      </c>
      <c r="D27" s="78">
        <f>dutysystemlapivot!C18</f>
        <v>0</v>
      </c>
      <c r="E27" s="78">
        <f>dutysystemlapivot!D18</f>
        <v>0</v>
      </c>
      <c r="F27" s="78">
        <f>dutysystemlapivot!E18</f>
        <v>0</v>
      </c>
      <c r="G27" s="78">
        <f t="shared" si="1"/>
        <v>254</v>
      </c>
    </row>
    <row r="28" spans="1:7" ht="15" customHeight="1" x14ac:dyDescent="0.35">
      <c r="A28" s="466" t="str">
        <f>IF(A11 = "2018-19","S12000046","S12000049")</f>
        <v>S12000049</v>
      </c>
      <c r="B28" s="55" t="s">
        <v>114</v>
      </c>
      <c r="C28" s="78">
        <f>dutysystemlapivot!B19</f>
        <v>499</v>
      </c>
      <c r="D28" s="78">
        <f>dutysystemlapivot!C19</f>
        <v>0</v>
      </c>
      <c r="E28" s="78">
        <f>dutysystemlapivot!D19</f>
        <v>0</v>
      </c>
      <c r="F28" s="78">
        <f>dutysystemlapivot!E19</f>
        <v>0</v>
      </c>
      <c r="G28" s="78">
        <f t="shared" si="1"/>
        <v>499</v>
      </c>
    </row>
    <row r="29" spans="1:7" ht="15" customHeight="1" x14ac:dyDescent="0.35">
      <c r="A29" s="466" t="s">
        <v>274</v>
      </c>
      <c r="B29" s="55" t="s">
        <v>44</v>
      </c>
      <c r="C29" s="78">
        <f>dutysystemlapivot!B20</f>
        <v>74</v>
      </c>
      <c r="D29" s="78">
        <f>dutysystemlapivot!C20</f>
        <v>0</v>
      </c>
      <c r="E29" s="78">
        <f>dutysystemlapivot!D20</f>
        <v>0</v>
      </c>
      <c r="F29" s="78">
        <f>dutysystemlapivot!E20</f>
        <v>0</v>
      </c>
      <c r="G29" s="78">
        <f t="shared" si="1"/>
        <v>74</v>
      </c>
    </row>
    <row r="30" spans="1:7" ht="15" customHeight="1" x14ac:dyDescent="0.35">
      <c r="A30" s="466" t="s">
        <v>275</v>
      </c>
      <c r="B30" s="55" t="s">
        <v>45</v>
      </c>
      <c r="C30" s="78">
        <f>dutysystemlapivot!B21</f>
        <v>70</v>
      </c>
      <c r="D30" s="78">
        <f>dutysystemlapivot!C21</f>
        <v>0</v>
      </c>
      <c r="E30" s="78">
        <f>dutysystemlapivot!D21</f>
        <v>0</v>
      </c>
      <c r="F30" s="78">
        <f>dutysystemlapivot!E21</f>
        <v>0</v>
      </c>
      <c r="G30" s="78">
        <f t="shared" si="1"/>
        <v>70</v>
      </c>
    </row>
    <row r="31" spans="1:7" ht="15" customHeight="1" x14ac:dyDescent="0.35">
      <c r="A31" s="466" t="s">
        <v>276</v>
      </c>
      <c r="B31" s="55" t="s">
        <v>46</v>
      </c>
      <c r="C31" s="78">
        <f>dutysystemlapivot!B22</f>
        <v>27</v>
      </c>
      <c r="D31" s="78">
        <f>dutysystemlapivot!C22</f>
        <v>0</v>
      </c>
      <c r="E31" s="78">
        <f>dutysystemlapivot!D22</f>
        <v>0</v>
      </c>
      <c r="F31" s="78">
        <f>dutysystemlapivot!E22</f>
        <v>0</v>
      </c>
      <c r="G31" s="78">
        <f t="shared" si="1"/>
        <v>27</v>
      </c>
    </row>
    <row r="32" spans="1:7" ht="15" customHeight="1" x14ac:dyDescent="0.35">
      <c r="A32" s="466" t="s">
        <v>277</v>
      </c>
      <c r="B32" s="55" t="s">
        <v>47</v>
      </c>
      <c r="C32" s="78">
        <f>dutysystemlapivot!B23</f>
        <v>30</v>
      </c>
      <c r="D32" s="78">
        <f>dutysystemlapivot!C23</f>
        <v>0</v>
      </c>
      <c r="E32" s="78">
        <f>dutysystemlapivot!D23</f>
        <v>0</v>
      </c>
      <c r="F32" s="78">
        <f>dutysystemlapivot!E23</f>
        <v>0</v>
      </c>
      <c r="G32" s="78">
        <f t="shared" si="1"/>
        <v>30</v>
      </c>
    </row>
    <row r="33" spans="1:7" ht="15" customHeight="1" x14ac:dyDescent="0.35">
      <c r="A33" s="466" t="s">
        <v>272</v>
      </c>
      <c r="B33" s="55" t="s">
        <v>48</v>
      </c>
      <c r="C33" s="78">
        <f>dutysystemlapivot!B24</f>
        <v>0</v>
      </c>
      <c r="D33" s="78">
        <f>dutysystemlapivot!C24</f>
        <v>0</v>
      </c>
      <c r="E33" s="78">
        <f>dutysystemlapivot!D24</f>
        <v>0</v>
      </c>
      <c r="F33" s="78">
        <f>dutysystemlapivot!E24</f>
        <v>0</v>
      </c>
      <c r="G33" s="78">
        <f t="shared" si="1"/>
        <v>0</v>
      </c>
    </row>
    <row r="34" spans="1:7" ht="15" customHeight="1" x14ac:dyDescent="0.35">
      <c r="A34" s="466" t="s">
        <v>278</v>
      </c>
      <c r="B34" s="55" t="s">
        <v>49</v>
      </c>
      <c r="C34" s="78">
        <f>dutysystemlapivot!B25</f>
        <v>75</v>
      </c>
      <c r="D34" s="78">
        <f>dutysystemlapivot!C25</f>
        <v>0</v>
      </c>
      <c r="E34" s="78">
        <f>dutysystemlapivot!D25</f>
        <v>0</v>
      </c>
      <c r="F34" s="78">
        <f>dutysystemlapivot!E25</f>
        <v>0</v>
      </c>
      <c r="G34" s="78">
        <f t="shared" si="1"/>
        <v>75</v>
      </c>
    </row>
    <row r="35" spans="1:7" ht="15" customHeight="1" x14ac:dyDescent="0.35">
      <c r="A35" s="466" t="str">
        <f>IF(A11="2018-19","S12000044","S12000050")</f>
        <v>S12000050</v>
      </c>
      <c r="B35" s="55" t="s">
        <v>50</v>
      </c>
      <c r="C35" s="78">
        <f>dutysystemlapivot!B26</f>
        <v>160</v>
      </c>
      <c r="D35" s="78">
        <f>dutysystemlapivot!C26</f>
        <v>0</v>
      </c>
      <c r="E35" s="78">
        <f>dutysystemlapivot!D26</f>
        <v>0</v>
      </c>
      <c r="F35" s="78">
        <f>dutysystemlapivot!E26</f>
        <v>0</v>
      </c>
      <c r="G35" s="78">
        <f t="shared" si="1"/>
        <v>160</v>
      </c>
    </row>
    <row r="36" spans="1:7" ht="15" customHeight="1" x14ac:dyDescent="0.35">
      <c r="A36" s="466" t="s">
        <v>279</v>
      </c>
      <c r="B36" s="55" t="s">
        <v>51</v>
      </c>
      <c r="C36" s="78">
        <f>dutysystemlapivot!B27</f>
        <v>0</v>
      </c>
      <c r="D36" s="78">
        <f>dutysystemlapivot!C27</f>
        <v>0</v>
      </c>
      <c r="E36" s="78">
        <f>dutysystemlapivot!D27</f>
        <v>0</v>
      </c>
      <c r="F36" s="78">
        <f>dutysystemlapivot!E27</f>
        <v>0</v>
      </c>
      <c r="G36" s="78">
        <f t="shared" si="1"/>
        <v>0</v>
      </c>
    </row>
    <row r="37" spans="1:7" ht="15" customHeight="1" x14ac:dyDescent="0.35">
      <c r="A37" s="466" t="s">
        <v>280</v>
      </c>
      <c r="B37" s="55" t="s">
        <v>52</v>
      </c>
      <c r="C37" s="78">
        <f>dutysystemlapivot!B28</f>
        <v>63</v>
      </c>
      <c r="D37" s="78">
        <f>dutysystemlapivot!C28</f>
        <v>0</v>
      </c>
      <c r="E37" s="78">
        <f>dutysystemlapivot!D28</f>
        <v>0</v>
      </c>
      <c r="F37" s="78">
        <f>dutysystemlapivot!E28</f>
        <v>0</v>
      </c>
      <c r="G37" s="78">
        <f t="shared" si="1"/>
        <v>63</v>
      </c>
    </row>
    <row r="38" spans="1:7" ht="15" customHeight="1" x14ac:dyDescent="0.35">
      <c r="A38" s="466" t="s">
        <v>290</v>
      </c>
      <c r="B38" s="55" t="s">
        <v>53</v>
      </c>
      <c r="C38" s="78">
        <f>dutysystemlapivot!B29</f>
        <v>100</v>
      </c>
      <c r="D38" s="78">
        <f>dutysystemlapivot!C29</f>
        <v>0</v>
      </c>
      <c r="E38" s="78">
        <f>dutysystemlapivot!D29</f>
        <v>0</v>
      </c>
      <c r="F38" s="78">
        <f>dutysystemlapivot!E29</f>
        <v>0</v>
      </c>
      <c r="G38" s="78">
        <f t="shared" si="1"/>
        <v>100</v>
      </c>
    </row>
    <row r="39" spans="1:7" ht="15" customHeight="1" x14ac:dyDescent="0.35">
      <c r="A39" s="466" t="s">
        <v>281</v>
      </c>
      <c r="B39" s="55" t="s">
        <v>54</v>
      </c>
      <c r="C39" s="78">
        <f>dutysystemlapivot!B30</f>
        <v>51</v>
      </c>
      <c r="D39" s="78">
        <f>dutysystemlapivot!C30</f>
        <v>0</v>
      </c>
      <c r="E39" s="78">
        <f>dutysystemlapivot!D30</f>
        <v>0</v>
      </c>
      <c r="F39" s="78">
        <f>dutysystemlapivot!E30</f>
        <v>0</v>
      </c>
      <c r="G39" s="78">
        <f t="shared" si="1"/>
        <v>51</v>
      </c>
    </row>
    <row r="40" spans="1:7" ht="15" customHeight="1" x14ac:dyDescent="0.35">
      <c r="A40" s="466" t="s">
        <v>282</v>
      </c>
      <c r="B40" s="55" t="s">
        <v>55</v>
      </c>
      <c r="C40" s="78">
        <f>dutysystemlapivot!B31</f>
        <v>0</v>
      </c>
      <c r="D40" s="78">
        <f>dutysystemlapivot!C31</f>
        <v>0</v>
      </c>
      <c r="E40" s="78">
        <f>dutysystemlapivot!D31</f>
        <v>0</v>
      </c>
      <c r="F40" s="78">
        <f>dutysystemlapivot!E31</f>
        <v>0</v>
      </c>
      <c r="G40" s="78">
        <f t="shared" si="1"/>
        <v>0</v>
      </c>
    </row>
    <row r="41" spans="1:7" ht="15" customHeight="1" x14ac:dyDescent="0.35">
      <c r="A41" s="466" t="s">
        <v>283</v>
      </c>
      <c r="B41" s="55" t="s">
        <v>56</v>
      </c>
      <c r="C41" s="78">
        <f>dutysystemlapivot!B32</f>
        <v>51</v>
      </c>
      <c r="D41" s="78">
        <f>dutysystemlapivot!C32</f>
        <v>0</v>
      </c>
      <c r="E41" s="78">
        <f>dutysystemlapivot!D32</f>
        <v>0</v>
      </c>
      <c r="F41" s="78">
        <f>dutysystemlapivot!E32</f>
        <v>0</v>
      </c>
      <c r="G41" s="78">
        <f t="shared" si="1"/>
        <v>51</v>
      </c>
    </row>
    <row r="42" spans="1:7" ht="15" customHeight="1" x14ac:dyDescent="0.35">
      <c r="A42" s="466" t="s">
        <v>284</v>
      </c>
      <c r="B42" s="55" t="s">
        <v>57</v>
      </c>
      <c r="C42" s="78">
        <f>dutysystemlapivot!B33</f>
        <v>168</v>
      </c>
      <c r="D42" s="78">
        <f>dutysystemlapivot!C33</f>
        <v>0</v>
      </c>
      <c r="E42" s="78">
        <f>dutysystemlapivot!D33</f>
        <v>0</v>
      </c>
      <c r="F42" s="78">
        <f>dutysystemlapivot!E33</f>
        <v>0</v>
      </c>
      <c r="G42" s="78">
        <f t="shared" si="1"/>
        <v>168</v>
      </c>
    </row>
    <row r="43" spans="1:7" ht="15" customHeight="1" x14ac:dyDescent="0.35">
      <c r="A43" s="466" t="s">
        <v>285</v>
      </c>
      <c r="B43" s="55" t="s">
        <v>58</v>
      </c>
      <c r="C43" s="78">
        <f>dutysystemlapivot!B34</f>
        <v>52</v>
      </c>
      <c r="D43" s="78">
        <f>dutysystemlapivot!C34</f>
        <v>0</v>
      </c>
      <c r="E43" s="78">
        <f>dutysystemlapivot!D34</f>
        <v>0</v>
      </c>
      <c r="F43" s="78">
        <f>dutysystemlapivot!E34</f>
        <v>0</v>
      </c>
      <c r="G43" s="78">
        <f t="shared" si="1"/>
        <v>52</v>
      </c>
    </row>
    <row r="44" spans="1:7" ht="15" customHeight="1" x14ac:dyDescent="0.35">
      <c r="A44" s="466" t="s">
        <v>291</v>
      </c>
      <c r="B44" s="55" t="s">
        <v>59</v>
      </c>
      <c r="C44" s="78">
        <f>dutysystemlapivot!B35</f>
        <v>73</v>
      </c>
      <c r="D44" s="78">
        <f>dutysystemlapivot!C35</f>
        <v>0</v>
      </c>
      <c r="E44" s="78">
        <f>dutysystemlapivot!D35</f>
        <v>0</v>
      </c>
      <c r="F44" s="78">
        <f>dutysystemlapivot!E35</f>
        <v>0</v>
      </c>
      <c r="G44" s="78">
        <f t="shared" si="1"/>
        <v>73</v>
      </c>
    </row>
    <row r="45" spans="1:7" ht="15" customHeight="1" x14ac:dyDescent="0.35">
      <c r="A45" s="466" t="s">
        <v>292</v>
      </c>
      <c r="B45" s="825" t="s">
        <v>60</v>
      </c>
      <c r="C45" s="826">
        <f>dutysystemlapivot!B36</f>
        <v>57</v>
      </c>
      <c r="D45" s="826">
        <f>dutysystemlapivot!C36</f>
        <v>0</v>
      </c>
      <c r="E45" s="826">
        <f>dutysystemlapivot!D36</f>
        <v>0</v>
      </c>
      <c r="F45" s="826">
        <f>dutysystemlapivot!E36</f>
        <v>0</v>
      </c>
      <c r="G45" s="826">
        <f t="shared" si="1"/>
        <v>57</v>
      </c>
    </row>
    <row r="46" spans="1:7" ht="30" customHeight="1" thickBot="1" x14ac:dyDescent="0.4">
      <c r="A46" s="59"/>
      <c r="B46" s="824" t="s">
        <v>61</v>
      </c>
      <c r="C46" s="823">
        <f t="shared" ref="C46:F46" si="2">SUM(C14:C45)</f>
        <v>2903</v>
      </c>
      <c r="D46" s="823">
        <f t="shared" si="2"/>
        <v>0</v>
      </c>
      <c r="E46" s="823">
        <f t="shared" si="2"/>
        <v>0</v>
      </c>
      <c r="F46" s="823">
        <f t="shared" si="2"/>
        <v>0</v>
      </c>
      <c r="G46" s="823">
        <f t="shared" si="1"/>
        <v>2903</v>
      </c>
    </row>
    <row r="47" spans="1:7" ht="22.5" customHeight="1" x14ac:dyDescent="0.35">
      <c r="A47" s="61"/>
      <c r="B47" s="61"/>
      <c r="C47" s="83"/>
      <c r="D47" s="83"/>
      <c r="E47" s="83"/>
      <c r="F47" s="63"/>
      <c r="G47" s="63"/>
    </row>
    <row r="48" spans="1:7" ht="15" customHeight="1" x14ac:dyDescent="0.35">
      <c r="A48" s="62" t="s">
        <v>450</v>
      </c>
      <c r="B48" s="828" t="s">
        <v>62</v>
      </c>
      <c r="C48" s="50"/>
      <c r="D48" s="50"/>
      <c r="E48" s="50"/>
      <c r="F48" s="50"/>
      <c r="G48" s="50"/>
    </row>
    <row r="49" spans="1:8" ht="15" customHeight="1" x14ac:dyDescent="0.35">
      <c r="A49" s="467" t="s">
        <v>326</v>
      </c>
      <c r="B49" s="827" t="s">
        <v>31</v>
      </c>
      <c r="C49" s="78">
        <f>dutysystemlapivot!B39</f>
        <v>0</v>
      </c>
      <c r="D49" s="78">
        <f>dutysystemlapivot!C39</f>
        <v>6</v>
      </c>
      <c r="E49" s="78">
        <f>dutysystemlapivot!D39</f>
        <v>6</v>
      </c>
      <c r="F49" s="78">
        <f>dutysystemlapivot!E39</f>
        <v>0</v>
      </c>
      <c r="G49" s="78">
        <f>dutysystemlapivot!F39</f>
        <v>0</v>
      </c>
      <c r="H49" s="542"/>
    </row>
    <row r="50" spans="1:8" ht="15" customHeight="1" x14ac:dyDescent="0.35">
      <c r="A50" s="468" t="s">
        <v>327</v>
      </c>
      <c r="B50" s="66" t="s">
        <v>63</v>
      </c>
      <c r="C50" s="78">
        <f>dutysystemlapivot!B40</f>
        <v>0</v>
      </c>
      <c r="D50" s="78">
        <f>dutysystemlapivot!C40</f>
        <v>13</v>
      </c>
      <c r="E50" s="78">
        <f>dutysystemlapivot!D40</f>
        <v>13</v>
      </c>
      <c r="F50" s="78">
        <f>dutysystemlapivot!E40</f>
        <v>0</v>
      </c>
      <c r="G50" s="78">
        <f>dutysystemlapivot!F40</f>
        <v>0</v>
      </c>
      <c r="H50" s="542"/>
    </row>
    <row r="51" spans="1:8" ht="15" customHeight="1" x14ac:dyDescent="0.35">
      <c r="A51" s="468" t="s">
        <v>329</v>
      </c>
      <c r="B51" s="66" t="s">
        <v>64</v>
      </c>
      <c r="C51" s="78">
        <f>dutysystemlapivot!B41</f>
        <v>0</v>
      </c>
      <c r="D51" s="78">
        <f>dutysystemlapivot!C41</f>
        <v>11</v>
      </c>
      <c r="E51" s="78">
        <f>dutysystemlapivot!D41</f>
        <v>15</v>
      </c>
      <c r="F51" s="78">
        <f>dutysystemlapivot!E41</f>
        <v>0</v>
      </c>
      <c r="G51" s="78">
        <f>dutysystemlapivot!F41</f>
        <v>0</v>
      </c>
      <c r="H51" s="542"/>
    </row>
    <row r="52" spans="1:8" ht="15" customHeight="1" x14ac:dyDescent="0.35">
      <c r="A52" s="468" t="s">
        <v>330</v>
      </c>
      <c r="B52" s="66" t="s">
        <v>36</v>
      </c>
      <c r="C52" s="78">
        <f>dutysystemlapivot!B42</f>
        <v>0</v>
      </c>
      <c r="D52" s="78">
        <f>dutysystemlapivot!C42</f>
        <v>9</v>
      </c>
      <c r="E52" s="78">
        <f>dutysystemlapivot!D42</f>
        <v>12</v>
      </c>
      <c r="F52" s="78">
        <f>dutysystemlapivot!E42</f>
        <v>0</v>
      </c>
      <c r="G52" s="78">
        <f>dutysystemlapivot!F42</f>
        <v>0</v>
      </c>
      <c r="H52" s="542"/>
    </row>
    <row r="53" spans="1:8" ht="15" customHeight="1" x14ac:dyDescent="0.35">
      <c r="A53" s="468" t="s">
        <v>328</v>
      </c>
      <c r="B53" s="66" t="s">
        <v>65</v>
      </c>
      <c r="C53" s="78">
        <f>dutysystemlapivot!B43</f>
        <v>0</v>
      </c>
      <c r="D53" s="78">
        <f>dutysystemlapivot!C43</f>
        <v>13</v>
      </c>
      <c r="E53" s="78">
        <f>dutysystemlapivot!D43</f>
        <v>15</v>
      </c>
      <c r="F53" s="78">
        <f>dutysystemlapivot!E43</f>
        <v>0</v>
      </c>
      <c r="G53" s="78">
        <f>dutysystemlapivot!F43</f>
        <v>0</v>
      </c>
      <c r="H53" s="542"/>
    </row>
    <row r="54" spans="1:8" ht="15" customHeight="1" x14ac:dyDescent="0.35">
      <c r="A54" s="468" t="s">
        <v>331</v>
      </c>
      <c r="B54" s="66" t="s">
        <v>66</v>
      </c>
      <c r="C54" s="78">
        <f>dutysystemlapivot!B44</f>
        <v>0</v>
      </c>
      <c r="D54" s="78">
        <f>dutysystemlapivot!C44</f>
        <v>13</v>
      </c>
      <c r="E54" s="78">
        <f>dutysystemlapivot!D44</f>
        <v>14</v>
      </c>
      <c r="F54" s="78">
        <f>dutysystemlapivot!E44</f>
        <v>0</v>
      </c>
      <c r="G54" s="78">
        <f>dutysystemlapivot!F44</f>
        <v>0</v>
      </c>
      <c r="H54" s="542"/>
    </row>
    <row r="55" spans="1:8" ht="15" customHeight="1" x14ac:dyDescent="0.35">
      <c r="A55" s="468" t="s">
        <v>332</v>
      </c>
      <c r="B55" s="66" t="s">
        <v>67</v>
      </c>
      <c r="C55" s="78">
        <f>dutysystemlapivot!B45</f>
        <v>0</v>
      </c>
      <c r="D55" s="78">
        <f>dutysystemlapivot!C45</f>
        <v>11</v>
      </c>
      <c r="E55" s="78">
        <f>dutysystemlapivot!D45</f>
        <v>17</v>
      </c>
      <c r="F55" s="78">
        <f>dutysystemlapivot!E45</f>
        <v>0</v>
      </c>
      <c r="G55" s="78">
        <f>dutysystemlapivot!F45</f>
        <v>0</v>
      </c>
      <c r="H55" s="542"/>
    </row>
    <row r="56" spans="1:8" ht="15" customHeight="1" x14ac:dyDescent="0.35">
      <c r="A56" s="420" t="s">
        <v>333</v>
      </c>
      <c r="B56" s="66" t="s">
        <v>68</v>
      </c>
      <c r="C56" s="78">
        <f>dutysystemlapivot!B46</f>
        <v>0</v>
      </c>
      <c r="D56" s="78">
        <f>dutysystemlapivot!C46</f>
        <v>10</v>
      </c>
      <c r="E56" s="78">
        <f>dutysystemlapivot!D46</f>
        <v>7</v>
      </c>
      <c r="F56" s="78">
        <f>dutysystemlapivot!E46</f>
        <v>0</v>
      </c>
      <c r="G56" s="78">
        <f>dutysystemlapivot!F46</f>
        <v>0</v>
      </c>
      <c r="H56" s="542"/>
    </row>
    <row r="57" spans="1:8" ht="15" customHeight="1" x14ac:dyDescent="0.35">
      <c r="A57" s="468" t="s">
        <v>334</v>
      </c>
      <c r="B57" s="66" t="s">
        <v>167</v>
      </c>
      <c r="C57" s="78">
        <f>dutysystemlapivot!B47</f>
        <v>0</v>
      </c>
      <c r="D57" s="78">
        <f>dutysystemlapivot!C47</f>
        <v>11</v>
      </c>
      <c r="E57" s="78">
        <f>dutysystemlapivot!D47</f>
        <v>18</v>
      </c>
      <c r="F57" s="78">
        <f>dutysystemlapivot!E47</f>
        <v>0</v>
      </c>
      <c r="G57" s="78">
        <f>dutysystemlapivot!F47</f>
        <v>0</v>
      </c>
      <c r="H57" s="542"/>
    </row>
    <row r="58" spans="1:8" ht="15" customHeight="1" x14ac:dyDescent="0.35">
      <c r="A58" s="468" t="s">
        <v>335</v>
      </c>
      <c r="B58" s="66" t="s">
        <v>69</v>
      </c>
      <c r="C58" s="78">
        <f>dutysystemlapivot!B48</f>
        <v>0</v>
      </c>
      <c r="D58" s="78">
        <f>dutysystemlapivot!C48</f>
        <v>8</v>
      </c>
      <c r="E58" s="78">
        <f>dutysystemlapivot!D48</f>
        <v>11</v>
      </c>
      <c r="F58" s="78">
        <f>dutysystemlapivot!E48</f>
        <v>0</v>
      </c>
      <c r="G58" s="78">
        <f>dutysystemlapivot!F48</f>
        <v>0</v>
      </c>
      <c r="H58" s="542"/>
    </row>
    <row r="59" spans="1:8" ht="15" customHeight="1" x14ac:dyDescent="0.35">
      <c r="A59" s="468" t="str">
        <f>IF(A11="2018-19","S39000019","")</f>
        <v/>
      </c>
      <c r="B59" s="359" t="str">
        <f>IF(A11 = "2018-19", "Fife", "")</f>
        <v/>
      </c>
      <c r="C59" s="78">
        <f>dutysystemlapivot!B49</f>
        <v>0</v>
      </c>
      <c r="D59" s="78">
        <f>dutysystemlapivot!C49</f>
        <v>0</v>
      </c>
      <c r="E59" s="78">
        <f>dutysystemlapivot!D49</f>
        <v>0</v>
      </c>
      <c r="F59" s="78">
        <f>dutysystemlapivot!E49</f>
        <v>0</v>
      </c>
      <c r="G59" s="78">
        <f>dutysystemlapivot!F49</f>
        <v>0</v>
      </c>
      <c r="H59" s="542"/>
    </row>
    <row r="60" spans="1:8" ht="15" customHeight="1" x14ac:dyDescent="0.35">
      <c r="A60" s="468" t="str">
        <f>IF(A11="2018-19","S39000012","S39000020")</f>
        <v>S39000020</v>
      </c>
      <c r="B60" s="66" t="s">
        <v>114</v>
      </c>
      <c r="C60" s="78">
        <f>dutysystemlapivot!B49</f>
        <v>0</v>
      </c>
      <c r="D60" s="78">
        <f>dutysystemlapivot!C50</f>
        <v>15</v>
      </c>
      <c r="E60" s="78">
        <f>dutysystemlapivot!D50</f>
        <v>11</v>
      </c>
      <c r="F60" s="78">
        <f>dutysystemlapivot!E50</f>
        <v>0</v>
      </c>
      <c r="G60" s="78">
        <f>dutysystemlapivot!F50</f>
        <v>0</v>
      </c>
      <c r="H60" s="542"/>
    </row>
    <row r="61" spans="1:8" ht="15" customHeight="1" x14ac:dyDescent="0.35">
      <c r="A61" s="468" t="s">
        <v>336</v>
      </c>
      <c r="B61" s="66" t="s">
        <v>70</v>
      </c>
      <c r="C61" s="78">
        <f>dutysystemlapivot!B50</f>
        <v>0</v>
      </c>
      <c r="D61" s="78">
        <f>dutysystemlapivot!C51</f>
        <v>17</v>
      </c>
      <c r="E61" s="78">
        <f>dutysystemlapivot!D51</f>
        <v>18</v>
      </c>
      <c r="F61" s="78">
        <f>dutysystemlapivot!E51</f>
        <v>0</v>
      </c>
      <c r="G61" s="78">
        <f>dutysystemlapivot!F51</f>
        <v>0</v>
      </c>
      <c r="H61" s="542"/>
    </row>
    <row r="62" spans="1:8" ht="15" customHeight="1" x14ac:dyDescent="0.35">
      <c r="A62" s="468" t="str">
        <f>IF(A11="2018-19","S39000014","S39000021")</f>
        <v>S39000021</v>
      </c>
      <c r="B62" s="66" t="s">
        <v>50</v>
      </c>
      <c r="C62" s="78">
        <f>dutysystemlapivot!B51</f>
        <v>0</v>
      </c>
      <c r="D62" s="78">
        <f>dutysystemlapivot!C52</f>
        <v>8</v>
      </c>
      <c r="E62" s="78">
        <f>dutysystemlapivot!D52</f>
        <v>7</v>
      </c>
      <c r="F62" s="78">
        <f>dutysystemlapivot!E52</f>
        <v>0</v>
      </c>
      <c r="G62" s="78">
        <f>dutysystemlapivot!F52</f>
        <v>0</v>
      </c>
      <c r="H62" s="542"/>
    </row>
    <row r="63" spans="1:8" ht="15" customHeight="1" x14ac:dyDescent="0.35">
      <c r="A63" s="468" t="s">
        <v>337</v>
      </c>
      <c r="B63" s="66" t="s">
        <v>57</v>
      </c>
      <c r="C63" s="78">
        <f>dutysystemlapivot!B52</f>
        <v>0</v>
      </c>
      <c r="D63" s="78">
        <f>dutysystemlapivot!C53</f>
        <v>9</v>
      </c>
      <c r="E63" s="78">
        <f>dutysystemlapivot!D53</f>
        <v>7</v>
      </c>
      <c r="F63" s="78">
        <f>dutysystemlapivot!E53</f>
        <v>0</v>
      </c>
      <c r="G63" s="78">
        <f>dutysystemlapivot!F53</f>
        <v>0</v>
      </c>
      <c r="H63" s="542"/>
    </row>
    <row r="64" spans="1:8" ht="15.75" customHeight="1" x14ac:dyDescent="0.35">
      <c r="A64" s="468" t="str">
        <f>IF(A11="2018-19","S39000016","LSO_E3")</f>
        <v>LSO_E3</v>
      </c>
      <c r="B64" s="359" t="str">
        <f>IF(A11="2018-19","Stirling and Clackmannanshire","Stirling, Clackmannanshire and Fife")</f>
        <v>Stirling, Clackmannanshire and Fife</v>
      </c>
      <c r="C64" s="78">
        <f>dutysystemlapivot!B53</f>
        <v>0</v>
      </c>
      <c r="D64" s="78">
        <f>dutysystemlapivot!C54</f>
        <v>16</v>
      </c>
      <c r="E64" s="78">
        <f>dutysystemlapivot!D54</f>
        <v>21</v>
      </c>
      <c r="F64" s="78">
        <f>dutysystemlapivot!E54</f>
        <v>0</v>
      </c>
      <c r="G64" s="78">
        <f>dutysystemlapivot!F54</f>
        <v>0</v>
      </c>
      <c r="H64" s="542"/>
    </row>
    <row r="65" spans="1:8" ht="12.75" customHeight="1" x14ac:dyDescent="0.35">
      <c r="A65" s="468" t="s">
        <v>338</v>
      </c>
      <c r="B65" s="830" t="s">
        <v>71</v>
      </c>
      <c r="C65" s="78">
        <f>dutysystemlapivot!B54</f>
        <v>0</v>
      </c>
      <c r="D65" s="78">
        <f>dutysystemlapivot!C55</f>
        <v>11</v>
      </c>
      <c r="E65" s="78">
        <f>dutysystemlapivot!D55</f>
        <v>4</v>
      </c>
      <c r="F65" s="78">
        <f>dutysystemlapivot!E55</f>
        <v>0</v>
      </c>
      <c r="G65" s="78">
        <f>dutysystemlapivot!F55</f>
        <v>0</v>
      </c>
      <c r="H65" s="542"/>
    </row>
    <row r="66" spans="1:8" ht="30" customHeight="1" thickBot="1" x14ac:dyDescent="0.4">
      <c r="A66" s="67"/>
      <c r="B66" s="829" t="s">
        <v>72</v>
      </c>
      <c r="C66" s="82">
        <f t="shared" ref="C66:F66" si="3">SUM(C49:C65)</f>
        <v>0</v>
      </c>
      <c r="D66" s="82">
        <f t="shared" si="3"/>
        <v>181</v>
      </c>
      <c r="E66" s="82">
        <f t="shared" si="3"/>
        <v>196</v>
      </c>
      <c r="F66" s="82">
        <f t="shared" si="3"/>
        <v>0</v>
      </c>
      <c r="G66" s="82">
        <f t="shared" ref="G66" si="4">SUM(C66:F66)</f>
        <v>377</v>
      </c>
    </row>
    <row r="67" spans="1:8" ht="22.5" customHeight="1" x14ac:dyDescent="0.35">
      <c r="A67" s="61"/>
      <c r="B67" s="61"/>
      <c r="C67" s="86"/>
      <c r="D67" s="48"/>
      <c r="E67" s="48"/>
      <c r="F67" s="48"/>
      <c r="G67" s="48"/>
    </row>
    <row r="68" spans="1:8" ht="15" customHeight="1" x14ac:dyDescent="0.35">
      <c r="A68" s="69" t="s">
        <v>325</v>
      </c>
      <c r="B68" s="69" t="s">
        <v>15</v>
      </c>
      <c r="C68" s="50"/>
      <c r="D68" s="50"/>
      <c r="E68" s="50"/>
      <c r="F68" s="50"/>
      <c r="G68" s="50"/>
    </row>
    <row r="69" spans="1:8" ht="15" customHeight="1" x14ac:dyDescent="0.35">
      <c r="A69" s="587" t="s">
        <v>353</v>
      </c>
      <c r="B69" s="70" t="s">
        <v>166</v>
      </c>
      <c r="C69" s="78">
        <f>dutysystemlapivot!B58</f>
        <v>0</v>
      </c>
      <c r="D69" s="78">
        <f>dutysystemlapivot!C58</f>
        <v>8</v>
      </c>
      <c r="E69" s="78">
        <f>dutysystemlapivot!D58</f>
        <v>38</v>
      </c>
      <c r="F69" s="78">
        <f>dutysystemlapivot!E58</f>
        <v>20</v>
      </c>
      <c r="G69" s="78">
        <f>dutysystemlapivot!F58</f>
        <v>0</v>
      </c>
    </row>
    <row r="70" spans="1:8" ht="16.5" customHeight="1" x14ac:dyDescent="0.35">
      <c r="A70" s="615" t="s">
        <v>355</v>
      </c>
      <c r="B70" s="55" t="s">
        <v>164</v>
      </c>
      <c r="C70" s="78">
        <f>dutysystemlapivot!B59</f>
        <v>0</v>
      </c>
      <c r="D70" s="78">
        <f>dutysystemlapivot!C59</f>
        <v>10</v>
      </c>
      <c r="E70" s="78">
        <f>dutysystemlapivot!D59</f>
        <v>32</v>
      </c>
      <c r="F70" s="78">
        <f>dutysystemlapivot!E59</f>
        <v>13</v>
      </c>
      <c r="G70" s="78">
        <f>dutysystemlapivot!F59</f>
        <v>0</v>
      </c>
    </row>
    <row r="71" spans="1:8" x14ac:dyDescent="0.35">
      <c r="A71" s="556" t="s">
        <v>354</v>
      </c>
      <c r="B71" s="55" t="s">
        <v>165</v>
      </c>
      <c r="C71" s="78">
        <f>dutysystemlapivot!B60</f>
        <v>0</v>
      </c>
      <c r="D71" s="78">
        <f>dutysystemlapivot!C60</f>
        <v>13</v>
      </c>
      <c r="E71" s="78">
        <f>dutysystemlapivot!D60</f>
        <v>53</v>
      </c>
      <c r="F71" s="78">
        <f>dutysystemlapivot!E60</f>
        <v>25</v>
      </c>
      <c r="G71" s="78">
        <f>dutysystemlapivot!F60</f>
        <v>0</v>
      </c>
    </row>
    <row r="72" spans="1:8" ht="16.5" customHeight="1" thickBot="1" x14ac:dyDescent="0.4">
      <c r="A72" s="72"/>
      <c r="B72" s="72" t="s">
        <v>73</v>
      </c>
      <c r="C72" s="82">
        <f>SUM(C69:C71)</f>
        <v>0</v>
      </c>
      <c r="D72" s="82">
        <f t="shared" ref="D72:F72" si="5">SUM(D69:D71)</f>
        <v>31</v>
      </c>
      <c r="E72" s="82">
        <f t="shared" si="5"/>
        <v>123</v>
      </c>
      <c r="F72" s="82">
        <f t="shared" si="5"/>
        <v>58</v>
      </c>
      <c r="G72" s="82">
        <f t="shared" ref="G72:G74" si="6">SUM(C72:F72)</f>
        <v>212</v>
      </c>
    </row>
    <row r="73" spans="1:8" ht="18.75" customHeight="1" thickBot="1" x14ac:dyDescent="0.4">
      <c r="A73" s="69" t="s">
        <v>447</v>
      </c>
      <c r="B73" s="61"/>
      <c r="C73" s="51"/>
      <c r="D73" s="51"/>
      <c r="E73" s="51"/>
      <c r="F73" s="51"/>
      <c r="G73" s="82"/>
    </row>
    <row r="74" spans="1:8" ht="13.5" customHeight="1" thickBot="1" x14ac:dyDescent="0.4">
      <c r="A74" s="72" t="s">
        <v>339</v>
      </c>
      <c r="B74" s="90" t="s">
        <v>74</v>
      </c>
      <c r="C74" s="344">
        <f>dutysystemlapivot!B63</f>
        <v>0</v>
      </c>
      <c r="D74" s="344">
        <f>dutysystemlapivot!C63</f>
        <v>61</v>
      </c>
      <c r="E74" s="344">
        <f>dutysystemlapivot!D63</f>
        <v>30</v>
      </c>
      <c r="F74" s="344">
        <f>dutysystemlapivot!E63</f>
        <v>1</v>
      </c>
      <c r="G74" s="82">
        <f t="shared" si="6"/>
        <v>92</v>
      </c>
    </row>
    <row r="75" spans="1:8" ht="13.5" customHeight="1" x14ac:dyDescent="0.35"/>
    <row r="76" spans="1:8" x14ac:dyDescent="0.35">
      <c r="A76" s="408" t="s">
        <v>8</v>
      </c>
      <c r="B76" s="409"/>
      <c r="C76" s="409"/>
      <c r="D76" s="409"/>
      <c r="E76" s="409"/>
      <c r="F76" s="409"/>
      <c r="G76" s="409"/>
    </row>
    <row r="77" spans="1:8" ht="30" customHeight="1" x14ac:dyDescent="0.35">
      <c r="A77" s="1159" t="s">
        <v>850</v>
      </c>
      <c r="B77" s="1159"/>
      <c r="C77" s="1159"/>
      <c r="D77" s="1159"/>
      <c r="E77" s="1159"/>
      <c r="F77" s="1159"/>
      <c r="G77" s="409"/>
    </row>
    <row r="78" spans="1:8" x14ac:dyDescent="0.35">
      <c r="A78" s="405" t="s">
        <v>219</v>
      </c>
      <c r="B78" s="397"/>
      <c r="C78" s="406"/>
      <c r="D78" s="507"/>
      <c r="E78" s="507"/>
      <c r="F78" s="507"/>
      <c r="G78" s="507"/>
    </row>
    <row r="79" spans="1:8" x14ac:dyDescent="0.35">
      <c r="A79" s="446"/>
      <c r="B79" s="704"/>
      <c r="C79" s="704"/>
      <c r="D79" s="704"/>
      <c r="E79" s="704"/>
      <c r="F79" s="704"/>
      <c r="G79" s="704"/>
      <c r="H79" s="441"/>
    </row>
    <row r="80" spans="1:8" x14ac:dyDescent="0.35">
      <c r="A80" s="405"/>
      <c r="B80" s="382"/>
      <c r="C80" s="738"/>
      <c r="D80" s="738"/>
      <c r="E80" s="738"/>
      <c r="F80" s="738"/>
      <c r="G80" s="738"/>
    </row>
    <row r="81" spans="2:7" x14ac:dyDescent="0.35">
      <c r="B81" s="382"/>
      <c r="C81" s="738"/>
      <c r="D81" s="738"/>
      <c r="E81" s="738"/>
      <c r="F81" s="738"/>
      <c r="G81" s="738"/>
    </row>
    <row r="82" spans="2:7" x14ac:dyDescent="0.35">
      <c r="B82" s="382"/>
      <c r="C82" s="738"/>
      <c r="D82" s="738"/>
      <c r="E82" s="738"/>
      <c r="F82" s="738"/>
      <c r="G82" s="738"/>
    </row>
  </sheetData>
  <sheetProtection algorithmName="SHA-512" hashValue="6N1taTOa3aeOu0ha2kgbucRY3B2eT9/+m3dQnf8q4IuBiA0cawPlcB2kMJUUxzvWC06IriKcE1v1K1dOie4eVw==" saltValue="/qNIlVIbcm5o3dfn/aTwPQ==" spinCount="100000" sheet="1" scenarios="1" formatCells="0" formatColumns="0" formatRows="0" sort="0" autoFilter="0" pivotTables="0"/>
  <mergeCells count="1">
    <mergeCell ref="A77:F77"/>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115"/>
  <sheetViews>
    <sheetView showGridLines="0" zoomScaleNormal="100" workbookViewId="0">
      <pane ySplit="2" topLeftCell="A3" activePane="bottomLeft" state="frozen"/>
      <selection pane="bottomLeft" sqref="A1:B1"/>
    </sheetView>
  </sheetViews>
  <sheetFormatPr defaultRowHeight="14.5" x14ac:dyDescent="0.35"/>
  <cols>
    <col min="1" max="1" width="20.26953125" customWidth="1"/>
    <col min="2" max="2" width="43.81640625" bestFit="1" customWidth="1"/>
    <col min="3" max="3" width="45.08984375" bestFit="1" customWidth="1"/>
    <col min="4" max="4" width="19.26953125" customWidth="1"/>
    <col min="5" max="5" width="18.54296875" customWidth="1"/>
    <col min="6" max="6" width="16.08984375" customWidth="1"/>
    <col min="7" max="7" width="12" customWidth="1"/>
    <col min="8" max="8" width="12.7265625" customWidth="1"/>
    <col min="9" max="9" width="10.81640625" bestFit="1" customWidth="1"/>
    <col min="10" max="10" width="12.54296875" customWidth="1"/>
    <col min="11" max="11" width="12.7265625" customWidth="1"/>
    <col min="12" max="12" width="9.90625" customWidth="1"/>
    <col min="13" max="13" width="46.54296875" bestFit="1" customWidth="1"/>
    <col min="14" max="15" width="11.81640625" customWidth="1"/>
    <col min="16" max="16" width="9.1796875" customWidth="1"/>
    <col min="17" max="17" width="10.453125" customWidth="1"/>
    <col min="18" max="18" width="11.1796875" customWidth="1"/>
    <col min="19" max="19" width="10.81640625" customWidth="1"/>
  </cols>
  <sheetData>
    <row r="1" spans="1:12" ht="31" customHeight="1" x14ac:dyDescent="0.35">
      <c r="A1" s="1176" t="s">
        <v>439</v>
      </c>
      <c r="B1" s="1176"/>
      <c r="C1" s="737"/>
      <c r="D1" s="737"/>
      <c r="E1" s="737"/>
      <c r="F1" s="737"/>
      <c r="G1" s="737"/>
      <c r="H1" s="737"/>
      <c r="I1" s="737"/>
      <c r="J1" s="737"/>
      <c r="K1" s="737"/>
      <c r="L1" s="737"/>
    </row>
    <row r="2" spans="1:12" ht="17.5" x14ac:dyDescent="0.35">
      <c r="A2" s="601" t="s">
        <v>509</v>
      </c>
      <c r="B2" s="1"/>
      <c r="C2" s="1"/>
      <c r="D2" s="1"/>
      <c r="E2" s="1"/>
      <c r="F2" s="1"/>
      <c r="G2" s="1"/>
      <c r="H2" s="1"/>
      <c r="I2" s="1"/>
      <c r="J2" s="1"/>
      <c r="K2" s="1"/>
      <c r="L2" s="1"/>
    </row>
    <row r="3" spans="1:12" ht="17.5" x14ac:dyDescent="0.35">
      <c r="A3" s="1"/>
      <c r="K3" s="1"/>
      <c r="L3" s="1"/>
    </row>
    <row r="4" spans="1:12" ht="35.5" customHeight="1" x14ac:dyDescent="0.35">
      <c r="A4" s="1172" t="s">
        <v>470</v>
      </c>
      <c r="B4" s="1172"/>
      <c r="C4" s="534"/>
      <c r="D4" s="534"/>
      <c r="E4" s="534"/>
      <c r="F4" s="534"/>
      <c r="G4" s="534"/>
      <c r="H4" s="534"/>
      <c r="I4" s="534"/>
      <c r="J4" s="534"/>
      <c r="K4" s="534"/>
      <c r="L4" s="534"/>
    </row>
    <row r="5" spans="1:12" ht="15.5" x14ac:dyDescent="0.35">
      <c r="A5" t="s">
        <v>445</v>
      </c>
      <c r="B5" s="508"/>
      <c r="C5" s="508"/>
      <c r="D5" s="743"/>
      <c r="E5" s="508"/>
      <c r="F5" s="508"/>
      <c r="G5" s="508"/>
      <c r="H5" s="913"/>
      <c r="I5" s="913"/>
      <c r="J5" s="508"/>
      <c r="K5" s="508"/>
      <c r="L5" s="508"/>
    </row>
    <row r="6" spans="1:12" x14ac:dyDescent="0.35">
      <c r="A6" t="s">
        <v>320</v>
      </c>
      <c r="B6" t="s">
        <v>649</v>
      </c>
    </row>
    <row r="7" spans="1:12" x14ac:dyDescent="0.35">
      <c r="A7" t="s">
        <v>321</v>
      </c>
      <c r="B7" t="s">
        <v>323</v>
      </c>
    </row>
    <row r="8" spans="1:12" x14ac:dyDescent="0.35">
      <c r="A8" t="s">
        <v>322</v>
      </c>
      <c r="B8" t="s">
        <v>324</v>
      </c>
    </row>
    <row r="10" spans="1:12" ht="32" customHeight="1" x14ac:dyDescent="0.35">
      <c r="A10" s="784" t="s">
        <v>1</v>
      </c>
      <c r="B10" s="784" t="s">
        <v>17457</v>
      </c>
      <c r="C10" s="784" t="s">
        <v>17454</v>
      </c>
      <c r="D10" s="847" t="s">
        <v>27</v>
      </c>
      <c r="E10" s="847" t="s">
        <v>28</v>
      </c>
      <c r="F10" s="847" t="s">
        <v>849</v>
      </c>
      <c r="G10" s="847" t="s">
        <v>2</v>
      </c>
      <c r="H10" s="847" t="s">
        <v>3</v>
      </c>
      <c r="I10" s="847" t="s">
        <v>29</v>
      </c>
      <c r="J10" s="642" t="s">
        <v>26</v>
      </c>
    </row>
    <row r="11" spans="1:12" hidden="1" x14ac:dyDescent="0.35">
      <c r="A11" s="783" t="s">
        <v>241</v>
      </c>
      <c r="B11" s="461"/>
      <c r="C11" s="461" t="s">
        <v>899</v>
      </c>
      <c r="D11" s="789">
        <v>5</v>
      </c>
      <c r="E11" s="789">
        <v>0</v>
      </c>
      <c r="F11" s="789">
        <v>0</v>
      </c>
      <c r="G11" s="789">
        <v>0</v>
      </c>
      <c r="H11" s="789">
        <v>182</v>
      </c>
      <c r="I11" s="789">
        <v>0</v>
      </c>
      <c r="J11" s="937">
        <f>SUM(hrod_HR_Department_Headcount__2[[#This Row],[Wholetime Operational]:[Volunteer]])</f>
        <v>187</v>
      </c>
    </row>
    <row r="12" spans="1:12" hidden="1" x14ac:dyDescent="0.35">
      <c r="A12" s="783" t="s">
        <v>241</v>
      </c>
      <c r="B12" s="461"/>
      <c r="C12" s="461" t="s">
        <v>900</v>
      </c>
      <c r="D12" s="789">
        <v>2</v>
      </c>
      <c r="E12" s="789">
        <v>0</v>
      </c>
      <c r="F12" s="789">
        <v>0</v>
      </c>
      <c r="G12" s="789">
        <v>0</v>
      </c>
      <c r="H12" s="789">
        <v>66</v>
      </c>
      <c r="I12" s="789">
        <v>0</v>
      </c>
      <c r="J12" s="937">
        <f>SUM(hrod_HR_Department_Headcount__2[[#This Row],[Wholetime Operational]:[Volunteer]])</f>
        <v>68</v>
      </c>
    </row>
    <row r="13" spans="1:12" hidden="1" x14ac:dyDescent="0.35">
      <c r="A13" s="783" t="s">
        <v>241</v>
      </c>
      <c r="B13" s="461"/>
      <c r="C13" s="461" t="s">
        <v>901</v>
      </c>
      <c r="D13" s="789">
        <v>0</v>
      </c>
      <c r="E13" s="789">
        <v>0</v>
      </c>
      <c r="F13" s="789">
        <v>0</v>
      </c>
      <c r="G13" s="789">
        <v>0</v>
      </c>
      <c r="H13" s="789">
        <v>67</v>
      </c>
      <c r="I13" s="789">
        <v>0</v>
      </c>
      <c r="J13" s="937">
        <f>SUM(hrod_HR_Department_Headcount__2[[#This Row],[Wholetime Operational]:[Volunteer]])</f>
        <v>67</v>
      </c>
    </row>
    <row r="14" spans="1:12" hidden="1" x14ac:dyDescent="0.35">
      <c r="A14" s="783" t="s">
        <v>241</v>
      </c>
      <c r="B14" s="461"/>
      <c r="C14" s="461" t="s">
        <v>17455</v>
      </c>
      <c r="D14" s="789">
        <v>3</v>
      </c>
      <c r="E14" s="789">
        <v>0</v>
      </c>
      <c r="F14" s="789">
        <v>0</v>
      </c>
      <c r="G14" s="789">
        <v>0</v>
      </c>
      <c r="H14" s="789">
        <v>46</v>
      </c>
      <c r="I14" s="789">
        <v>0</v>
      </c>
      <c r="J14" s="937">
        <f>SUM(hrod_HR_Department_Headcount__2[[#This Row],[Wholetime Operational]:[Volunteer]])</f>
        <v>49</v>
      </c>
    </row>
    <row r="15" spans="1:12" hidden="1" x14ac:dyDescent="0.35">
      <c r="A15" s="783" t="s">
        <v>241</v>
      </c>
      <c r="B15" s="461"/>
      <c r="C15" s="461" t="s">
        <v>17456</v>
      </c>
      <c r="D15" s="789">
        <v>2</v>
      </c>
      <c r="E15" s="789">
        <v>0</v>
      </c>
      <c r="F15" s="789">
        <v>0</v>
      </c>
      <c r="G15" s="789">
        <v>0</v>
      </c>
      <c r="H15" s="789">
        <v>56</v>
      </c>
      <c r="I15" s="789">
        <v>0</v>
      </c>
      <c r="J15" s="937">
        <f>SUM(hrod_HR_Department_Headcount__2[[#This Row],[Wholetime Operational]:[Volunteer]])</f>
        <v>58</v>
      </c>
    </row>
    <row r="16" spans="1:12" hidden="1" x14ac:dyDescent="0.35">
      <c r="A16" s="783" t="s">
        <v>241</v>
      </c>
      <c r="B16" s="461"/>
      <c r="C16" s="461" t="s">
        <v>903</v>
      </c>
      <c r="D16" s="789">
        <v>0</v>
      </c>
      <c r="E16" s="789">
        <v>0</v>
      </c>
      <c r="F16" s="789">
        <v>0</v>
      </c>
      <c r="G16" s="789">
        <v>0</v>
      </c>
      <c r="H16" s="789">
        <v>77</v>
      </c>
      <c r="I16" s="789">
        <v>0</v>
      </c>
      <c r="J16" s="937">
        <f>SUM(hrod_HR_Department_Headcount__2[[#This Row],[Wholetime Operational]:[Volunteer]])</f>
        <v>77</v>
      </c>
    </row>
    <row r="17" spans="1:15" hidden="1" x14ac:dyDescent="0.35">
      <c r="A17" s="783" t="s">
        <v>241</v>
      </c>
      <c r="B17" s="461"/>
      <c r="C17" s="461" t="s">
        <v>905</v>
      </c>
      <c r="D17" s="789">
        <v>200</v>
      </c>
      <c r="E17" s="789">
        <v>0</v>
      </c>
      <c r="F17" s="789">
        <v>0</v>
      </c>
      <c r="G17" s="789">
        <v>0</v>
      </c>
      <c r="H17" s="789">
        <v>82</v>
      </c>
      <c r="I17" s="789">
        <v>0</v>
      </c>
      <c r="J17" s="937">
        <f>SUM(hrod_HR_Department_Headcount__2[[#This Row],[Wholetime Operational]:[Volunteer]])</f>
        <v>282</v>
      </c>
    </row>
    <row r="18" spans="1:15" hidden="1" x14ac:dyDescent="0.35">
      <c r="A18" s="783" t="s">
        <v>241</v>
      </c>
      <c r="B18" s="461"/>
      <c r="C18" s="461" t="s">
        <v>906</v>
      </c>
      <c r="D18" s="789">
        <v>45</v>
      </c>
      <c r="E18" s="789">
        <v>0</v>
      </c>
      <c r="F18" s="789">
        <v>0</v>
      </c>
      <c r="G18" s="789">
        <v>197</v>
      </c>
      <c r="H18" s="789">
        <v>73</v>
      </c>
      <c r="I18" s="789">
        <v>0</v>
      </c>
      <c r="J18" s="937">
        <f>SUM(hrod_HR_Department_Headcount__2[[#This Row],[Wholetime Operational]:[Volunteer]])</f>
        <v>315</v>
      </c>
    </row>
    <row r="19" spans="1:15" hidden="1" x14ac:dyDescent="0.35">
      <c r="A19" s="783" t="s">
        <v>241</v>
      </c>
      <c r="B19" s="461"/>
      <c r="C19" s="461" t="s">
        <v>907</v>
      </c>
      <c r="D19" s="789">
        <v>4</v>
      </c>
      <c r="E19" s="789">
        <v>0</v>
      </c>
      <c r="F19" s="789">
        <v>0</v>
      </c>
      <c r="G19" s="789">
        <v>0</v>
      </c>
      <c r="H19" s="789">
        <v>3</v>
      </c>
      <c r="I19" s="789">
        <v>0</v>
      </c>
      <c r="J19" s="937">
        <f>SUM(hrod_HR_Department_Headcount__2[[#This Row],[Wholetime Operational]:[Volunteer]])</f>
        <v>7</v>
      </c>
    </row>
    <row r="20" spans="1:15" hidden="1" x14ac:dyDescent="0.35">
      <c r="A20" s="783" t="s">
        <v>241</v>
      </c>
      <c r="B20" s="461"/>
      <c r="C20" s="461" t="s">
        <v>908</v>
      </c>
      <c r="D20" s="789">
        <v>3101</v>
      </c>
      <c r="E20" s="789">
        <v>2935</v>
      </c>
      <c r="F20" s="789">
        <v>18</v>
      </c>
      <c r="G20" s="789">
        <v>0</v>
      </c>
      <c r="H20" s="789">
        <v>26</v>
      </c>
      <c r="I20" s="789">
        <v>321</v>
      </c>
      <c r="J20" s="937">
        <f>SUM(hrod_HR_Department_Headcount__2[[#This Row],[Wholetime Operational]:[Volunteer]])</f>
        <v>6401</v>
      </c>
    </row>
    <row r="21" spans="1:15" hidden="1" x14ac:dyDescent="0.35">
      <c r="A21" s="783" t="s">
        <v>241</v>
      </c>
      <c r="B21" s="461"/>
      <c r="C21" s="461" t="s">
        <v>909</v>
      </c>
      <c r="D21" s="789">
        <v>5</v>
      </c>
      <c r="E21" s="789">
        <v>0</v>
      </c>
      <c r="F21" s="789">
        <v>0</v>
      </c>
      <c r="G21" s="789">
        <v>0</v>
      </c>
      <c r="H21" s="789"/>
      <c r="I21" s="789">
        <v>0</v>
      </c>
      <c r="J21" s="937">
        <f>SUM(hrod_HR_Department_Headcount__2[[#This Row],[Wholetime Operational]:[Volunteer]])</f>
        <v>5</v>
      </c>
    </row>
    <row r="22" spans="1:15" hidden="1" x14ac:dyDescent="0.35">
      <c r="A22" s="783" t="s">
        <v>241</v>
      </c>
      <c r="B22" s="461"/>
      <c r="C22" s="461" t="s">
        <v>910</v>
      </c>
      <c r="D22" s="789">
        <v>2</v>
      </c>
      <c r="E22" s="789">
        <v>0</v>
      </c>
      <c r="F22" s="789">
        <v>0</v>
      </c>
      <c r="G22" s="789">
        <v>0</v>
      </c>
      <c r="H22" s="789">
        <v>55</v>
      </c>
      <c r="I22" s="789">
        <v>0</v>
      </c>
      <c r="J22" s="937">
        <f>SUM(hrod_HR_Department_Headcount__2[[#This Row],[Wholetime Operational]:[Volunteer]])</f>
        <v>57</v>
      </c>
    </row>
    <row r="23" spans="1:15" hidden="1" x14ac:dyDescent="0.35">
      <c r="A23" s="783" t="s">
        <v>241</v>
      </c>
      <c r="B23" s="461"/>
      <c r="C23" s="461" t="s">
        <v>783</v>
      </c>
      <c r="D23" s="789">
        <v>65</v>
      </c>
      <c r="E23" s="789">
        <v>0</v>
      </c>
      <c r="F23" s="789">
        <v>0</v>
      </c>
      <c r="G23" s="789">
        <v>10</v>
      </c>
      <c r="H23" s="789">
        <v>1</v>
      </c>
      <c r="I23" s="789">
        <v>0</v>
      </c>
      <c r="J23" s="937">
        <f>SUM(hrod_HR_Department_Headcount__2[[#This Row],[Wholetime Operational]:[Volunteer]])</f>
        <v>76</v>
      </c>
    </row>
    <row r="24" spans="1:15" ht="15" hidden="1" thickBot="1" x14ac:dyDescent="0.4">
      <c r="A24" s="785" t="s">
        <v>241</v>
      </c>
      <c r="B24" s="769"/>
      <c r="C24" s="769" t="s">
        <v>911</v>
      </c>
      <c r="D24" s="797">
        <v>203</v>
      </c>
      <c r="E24" s="797">
        <v>0</v>
      </c>
      <c r="F24" s="797">
        <v>0</v>
      </c>
      <c r="G24" s="797">
        <v>0</v>
      </c>
      <c r="H24" s="797">
        <v>58</v>
      </c>
      <c r="I24" s="797">
        <v>0</v>
      </c>
      <c r="J24" s="936">
        <f>SUM(hrod_HR_Department_Headcount__2[[#This Row],[Wholetime Operational]:[Volunteer]])</f>
        <v>261</v>
      </c>
      <c r="K24" s="542"/>
      <c r="L24" s="542"/>
      <c r="M24" s="542"/>
      <c r="N24" s="542"/>
      <c r="O24" s="542"/>
    </row>
    <row r="25" spans="1:15" hidden="1" x14ac:dyDescent="0.35">
      <c r="A25" s="803" t="s">
        <v>773</v>
      </c>
      <c r="B25" s="773"/>
      <c r="C25" s="773" t="s">
        <v>899</v>
      </c>
      <c r="D25" s="906">
        <v>5</v>
      </c>
      <c r="E25" s="906">
        <v>0</v>
      </c>
      <c r="F25" s="906">
        <v>0</v>
      </c>
      <c r="G25" s="906">
        <v>0</v>
      </c>
      <c r="H25" s="906">
        <v>185</v>
      </c>
      <c r="I25" s="906">
        <v>0</v>
      </c>
      <c r="J25" s="935">
        <f>SUM(hrod_HR_Department_Headcount__2[[#This Row],[Wholetime Operational]:[Volunteer]])</f>
        <v>190</v>
      </c>
      <c r="K25" s="542"/>
      <c r="L25" s="542"/>
      <c r="M25" s="542"/>
      <c r="N25" s="542"/>
      <c r="O25" s="542"/>
    </row>
    <row r="26" spans="1:15" hidden="1" x14ac:dyDescent="0.35">
      <c r="A26" s="803" t="s">
        <v>773</v>
      </c>
      <c r="B26" s="773"/>
      <c r="C26" s="773" t="s">
        <v>900</v>
      </c>
      <c r="D26" s="906">
        <v>2</v>
      </c>
      <c r="E26" s="906">
        <v>0</v>
      </c>
      <c r="F26" s="906">
        <v>0</v>
      </c>
      <c r="G26" s="906">
        <v>0</v>
      </c>
      <c r="H26" s="906">
        <v>71</v>
      </c>
      <c r="I26" s="906">
        <v>0</v>
      </c>
      <c r="J26" s="935">
        <f>SUM(hrod_HR_Department_Headcount__2[[#This Row],[Wholetime Operational]:[Volunteer]])</f>
        <v>73</v>
      </c>
      <c r="K26" s="542"/>
      <c r="L26" s="542"/>
      <c r="M26" s="542"/>
      <c r="N26" s="542"/>
      <c r="O26" s="542"/>
    </row>
    <row r="27" spans="1:15" hidden="1" x14ac:dyDescent="0.35">
      <c r="A27" s="803" t="s">
        <v>773</v>
      </c>
      <c r="B27" s="773"/>
      <c r="C27" s="773" t="s">
        <v>901</v>
      </c>
      <c r="D27" s="906">
        <v>0</v>
      </c>
      <c r="E27" s="906">
        <v>0</v>
      </c>
      <c r="F27" s="906">
        <v>0</v>
      </c>
      <c r="G27" s="906">
        <v>0</v>
      </c>
      <c r="H27" s="906">
        <v>67</v>
      </c>
      <c r="I27" s="906">
        <v>0</v>
      </c>
      <c r="J27" s="935">
        <f>SUM(hrod_HR_Department_Headcount__2[[#This Row],[Wholetime Operational]:[Volunteer]])</f>
        <v>67</v>
      </c>
      <c r="K27" s="542"/>
      <c r="L27" s="542"/>
      <c r="M27" s="542"/>
      <c r="N27" s="542"/>
      <c r="O27" s="542"/>
    </row>
    <row r="28" spans="1:15" hidden="1" x14ac:dyDescent="0.35">
      <c r="A28" s="803" t="s">
        <v>773</v>
      </c>
      <c r="B28" s="773"/>
      <c r="C28" s="773" t="s">
        <v>902</v>
      </c>
      <c r="D28" s="906">
        <v>2</v>
      </c>
      <c r="E28" s="906">
        <v>0</v>
      </c>
      <c r="F28" s="906">
        <v>0</v>
      </c>
      <c r="G28" s="906">
        <v>0</v>
      </c>
      <c r="H28" s="906">
        <v>17</v>
      </c>
      <c r="I28" s="906">
        <v>0</v>
      </c>
      <c r="J28" s="935">
        <f>SUM(hrod_HR_Department_Headcount__2[[#This Row],[Wholetime Operational]:[Volunteer]])</f>
        <v>19</v>
      </c>
      <c r="K28" s="542"/>
      <c r="L28" s="542"/>
      <c r="M28" s="542"/>
      <c r="N28" s="542"/>
      <c r="O28" s="542"/>
    </row>
    <row r="29" spans="1:15" hidden="1" x14ac:dyDescent="0.35">
      <c r="A29" s="803" t="s">
        <v>773</v>
      </c>
      <c r="B29" s="773"/>
      <c r="C29" s="773" t="s">
        <v>903</v>
      </c>
      <c r="D29" s="906">
        <v>0</v>
      </c>
      <c r="E29" s="906">
        <v>0</v>
      </c>
      <c r="F29" s="906">
        <v>0</v>
      </c>
      <c r="G29" s="906">
        <v>0</v>
      </c>
      <c r="H29" s="906">
        <v>73</v>
      </c>
      <c r="I29" s="906">
        <v>0</v>
      </c>
      <c r="J29" s="935">
        <f>SUM(hrod_HR_Department_Headcount__2[[#This Row],[Wholetime Operational]:[Volunteer]])</f>
        <v>73</v>
      </c>
      <c r="K29" s="542"/>
      <c r="L29" s="542"/>
      <c r="M29" s="542"/>
      <c r="N29" s="542"/>
      <c r="O29" s="542"/>
    </row>
    <row r="30" spans="1:15" hidden="1" x14ac:dyDescent="0.35">
      <c r="A30" s="803" t="s">
        <v>773</v>
      </c>
      <c r="B30" s="773"/>
      <c r="C30" s="773" t="s">
        <v>904</v>
      </c>
      <c r="D30" s="906">
        <v>2</v>
      </c>
      <c r="E30" s="906">
        <v>0</v>
      </c>
      <c r="F30" s="906">
        <v>0</v>
      </c>
      <c r="G30" s="906">
        <v>0</v>
      </c>
      <c r="H30" s="906">
        <v>95</v>
      </c>
      <c r="I30" s="906">
        <v>0</v>
      </c>
      <c r="J30" s="935">
        <f>SUM(hrod_HR_Department_Headcount__2[[#This Row],[Wholetime Operational]:[Volunteer]])</f>
        <v>97</v>
      </c>
      <c r="K30" s="542"/>
      <c r="L30" s="542"/>
      <c r="M30" s="542"/>
      <c r="N30" s="542"/>
      <c r="O30" s="542"/>
    </row>
    <row r="31" spans="1:15" hidden="1" x14ac:dyDescent="0.35">
      <c r="A31" s="803" t="s">
        <v>773</v>
      </c>
      <c r="B31" s="773"/>
      <c r="C31" s="773" t="s">
        <v>905</v>
      </c>
      <c r="D31" s="906">
        <v>51</v>
      </c>
      <c r="E31" s="906">
        <v>0</v>
      </c>
      <c r="F31" s="906">
        <v>0</v>
      </c>
      <c r="G31" s="906">
        <v>0</v>
      </c>
      <c r="H31" s="906">
        <v>17</v>
      </c>
      <c r="I31" s="906">
        <v>0</v>
      </c>
      <c r="J31" s="935">
        <f>SUM(hrod_HR_Department_Headcount__2[[#This Row],[Wholetime Operational]:[Volunteer]])</f>
        <v>68</v>
      </c>
      <c r="K31" s="542"/>
      <c r="L31" s="542"/>
      <c r="M31" s="542"/>
      <c r="N31" s="542"/>
      <c r="O31" s="542"/>
    </row>
    <row r="32" spans="1:15" hidden="1" x14ac:dyDescent="0.35">
      <c r="A32" s="803" t="s">
        <v>773</v>
      </c>
      <c r="B32" s="773"/>
      <c r="C32" s="773" t="s">
        <v>906</v>
      </c>
      <c r="D32" s="789">
        <v>52</v>
      </c>
      <c r="E32" s="789">
        <v>0</v>
      </c>
      <c r="F32" s="789">
        <v>0</v>
      </c>
      <c r="G32" s="789">
        <v>186</v>
      </c>
      <c r="H32" s="789">
        <v>77</v>
      </c>
      <c r="I32" s="789">
        <v>0</v>
      </c>
      <c r="J32" s="935">
        <f>SUM(hrod_HR_Department_Headcount__2[[#This Row],[Wholetime Operational]:[Volunteer]])</f>
        <v>315</v>
      </c>
      <c r="K32" s="542"/>
      <c r="L32" s="542"/>
      <c r="M32" s="542"/>
      <c r="N32" s="542"/>
      <c r="O32" s="542"/>
    </row>
    <row r="33" spans="1:15" hidden="1" x14ac:dyDescent="0.35">
      <c r="A33" s="803" t="s">
        <v>773</v>
      </c>
      <c r="B33" s="773"/>
      <c r="C33" s="773" t="s">
        <v>907</v>
      </c>
      <c r="D33" s="789">
        <v>6</v>
      </c>
      <c r="E33" s="789">
        <v>0</v>
      </c>
      <c r="F33" s="789">
        <v>0</v>
      </c>
      <c r="G33" s="789">
        <v>0</v>
      </c>
      <c r="H33" s="789">
        <v>3</v>
      </c>
      <c r="I33" s="789">
        <v>0</v>
      </c>
      <c r="J33" s="935">
        <f>SUM(hrod_HR_Department_Headcount__2[[#This Row],[Wholetime Operational]:[Volunteer]])</f>
        <v>9</v>
      </c>
      <c r="K33" s="542"/>
      <c r="L33" s="542"/>
      <c r="M33" s="542"/>
      <c r="N33" s="542"/>
      <c r="O33" s="542"/>
    </row>
    <row r="34" spans="1:15" hidden="1" x14ac:dyDescent="0.35">
      <c r="A34" s="803" t="s">
        <v>773</v>
      </c>
      <c r="B34" s="773"/>
      <c r="C34" s="773" t="s">
        <v>908</v>
      </c>
      <c r="D34" s="789">
        <v>3358</v>
      </c>
      <c r="E34" s="789">
        <v>2937</v>
      </c>
      <c r="F34" s="789">
        <v>36</v>
      </c>
      <c r="G34" s="789">
        <v>0</v>
      </c>
      <c r="H34" s="789">
        <v>96</v>
      </c>
      <c r="I34" s="789">
        <v>315</v>
      </c>
      <c r="J34" s="935">
        <f>SUM(hrod_HR_Department_Headcount__2[[#This Row],[Wholetime Operational]:[Volunteer]])</f>
        <v>6742</v>
      </c>
      <c r="K34" s="542"/>
      <c r="L34" s="542"/>
      <c r="M34" s="542"/>
      <c r="N34" s="542"/>
      <c r="O34" s="542"/>
    </row>
    <row r="35" spans="1:15" hidden="1" x14ac:dyDescent="0.35">
      <c r="A35" s="803" t="s">
        <v>773</v>
      </c>
      <c r="B35" s="773"/>
      <c r="C35" s="773" t="s">
        <v>909</v>
      </c>
      <c r="D35" s="789">
        <v>5</v>
      </c>
      <c r="E35" s="789">
        <v>0</v>
      </c>
      <c r="F35" s="789">
        <v>0</v>
      </c>
      <c r="G35" s="789">
        <v>0</v>
      </c>
      <c r="H35" s="789">
        <v>1</v>
      </c>
      <c r="I35" s="789">
        <v>0</v>
      </c>
      <c r="J35" s="935">
        <f>SUM(hrod_HR_Department_Headcount__2[[#This Row],[Wholetime Operational]:[Volunteer]])</f>
        <v>6</v>
      </c>
      <c r="K35" s="542"/>
      <c r="L35" s="542"/>
      <c r="M35" s="542"/>
      <c r="N35" s="542"/>
      <c r="O35" s="542"/>
    </row>
    <row r="36" spans="1:15" hidden="1" x14ac:dyDescent="0.35">
      <c r="A36" s="803" t="s">
        <v>773</v>
      </c>
      <c r="B36" s="773"/>
      <c r="C36" s="773" t="s">
        <v>910</v>
      </c>
      <c r="D36" s="789">
        <v>2</v>
      </c>
      <c r="E36" s="789">
        <v>0</v>
      </c>
      <c r="F36" s="789">
        <v>0</v>
      </c>
      <c r="G36" s="789">
        <v>0</v>
      </c>
      <c r="H36" s="789">
        <v>61</v>
      </c>
      <c r="I36" s="789">
        <v>0</v>
      </c>
      <c r="J36" s="935">
        <f>SUM(hrod_HR_Department_Headcount__2[[#This Row],[Wholetime Operational]:[Volunteer]])</f>
        <v>63</v>
      </c>
      <c r="K36" s="542"/>
      <c r="L36" s="542"/>
      <c r="M36" s="542"/>
      <c r="N36" s="542"/>
      <c r="O36" s="542"/>
    </row>
    <row r="37" spans="1:15" hidden="1" x14ac:dyDescent="0.35">
      <c r="A37" s="803" t="s">
        <v>773</v>
      </c>
      <c r="B37" s="773"/>
      <c r="C37" s="773" t="s">
        <v>783</v>
      </c>
      <c r="D37" s="789">
        <v>53</v>
      </c>
      <c r="E37" s="789">
        <v>0</v>
      </c>
      <c r="F37" s="789">
        <v>0</v>
      </c>
      <c r="G37" s="789">
        <v>2</v>
      </c>
      <c r="H37" s="789">
        <v>2</v>
      </c>
      <c r="I37" s="789">
        <v>0</v>
      </c>
      <c r="J37" s="935">
        <f>SUM(hrod_HR_Department_Headcount__2[[#This Row],[Wholetime Operational]:[Volunteer]])</f>
        <v>57</v>
      </c>
      <c r="K37" s="542"/>
      <c r="L37" s="542"/>
      <c r="M37" s="542"/>
      <c r="N37" s="542"/>
      <c r="O37" s="542"/>
    </row>
    <row r="38" spans="1:15" ht="15" hidden="1" thickBot="1" x14ac:dyDescent="0.4">
      <c r="A38" s="785" t="s">
        <v>773</v>
      </c>
      <c r="B38" s="769"/>
      <c r="C38" s="769" t="s">
        <v>911</v>
      </c>
      <c r="D38" s="797">
        <v>98</v>
      </c>
      <c r="E38" s="797">
        <v>0</v>
      </c>
      <c r="F38" s="797">
        <v>0</v>
      </c>
      <c r="G38" s="797">
        <v>0</v>
      </c>
      <c r="H38" s="797">
        <v>52</v>
      </c>
      <c r="I38" s="797">
        <v>0</v>
      </c>
      <c r="J38" s="936">
        <f>SUM(hrod_HR_Department_Headcount__2[[#This Row],[Wholetime Operational]:[Volunteer]])</f>
        <v>150</v>
      </c>
      <c r="K38" s="542"/>
      <c r="L38" s="542"/>
      <c r="M38" s="542"/>
      <c r="N38" s="542"/>
      <c r="O38" s="542"/>
    </row>
    <row r="39" spans="1:15" x14ac:dyDescent="0.35">
      <c r="A39" s="803" t="s">
        <v>951</v>
      </c>
      <c r="B39" s="773" t="s">
        <v>17459</v>
      </c>
      <c r="C39" s="773" t="s">
        <v>899</v>
      </c>
      <c r="D39" s="437">
        <v>6</v>
      </c>
      <c r="E39" s="437">
        <v>0</v>
      </c>
      <c r="F39" s="437">
        <v>0</v>
      </c>
      <c r="G39" s="437">
        <v>0</v>
      </c>
      <c r="H39" s="437">
        <v>185</v>
      </c>
      <c r="I39" s="437">
        <v>0</v>
      </c>
      <c r="J39" s="935">
        <f>SUM(hrod_HR_Department_Headcount__2[[#This Row],[Wholetime Operational]:[Volunteer]])</f>
        <v>191</v>
      </c>
      <c r="K39" s="542"/>
      <c r="L39" s="542"/>
      <c r="M39" s="542"/>
      <c r="N39" s="542"/>
      <c r="O39" s="542"/>
    </row>
    <row r="40" spans="1:15" x14ac:dyDescent="0.35">
      <c r="A40" s="803" t="s">
        <v>951</v>
      </c>
      <c r="B40" s="773" t="s">
        <v>17459</v>
      </c>
      <c r="C40" s="773" t="s">
        <v>901</v>
      </c>
      <c r="D40" s="437">
        <v>0</v>
      </c>
      <c r="E40" s="437">
        <v>0</v>
      </c>
      <c r="F40" s="437">
        <v>0</v>
      </c>
      <c r="G40" s="437">
        <v>0</v>
      </c>
      <c r="H40" s="437">
        <v>67</v>
      </c>
      <c r="I40" s="437">
        <v>0</v>
      </c>
      <c r="J40" s="935">
        <f>SUM(hrod_HR_Department_Headcount__2[[#This Row],[Wholetime Operational]:[Volunteer]])</f>
        <v>67</v>
      </c>
      <c r="K40" s="542"/>
      <c r="L40" s="542"/>
      <c r="M40" s="542"/>
      <c r="N40" s="542"/>
      <c r="O40" s="542"/>
    </row>
    <row r="41" spans="1:15" x14ac:dyDescent="0.35">
      <c r="A41" s="803" t="s">
        <v>951</v>
      </c>
      <c r="B41" s="773" t="s">
        <v>17460</v>
      </c>
      <c r="C41" s="773"/>
      <c r="D41" s="437">
        <v>1</v>
      </c>
      <c r="E41" s="437">
        <v>0</v>
      </c>
      <c r="F41" s="437">
        <v>0</v>
      </c>
      <c r="G41" s="437">
        <v>0</v>
      </c>
      <c r="H41" s="437">
        <v>106</v>
      </c>
      <c r="I41" s="437">
        <v>0</v>
      </c>
      <c r="J41" s="935">
        <f>SUM(hrod_HR_Department_Headcount__2[[#This Row],[Wholetime Operational]:[Volunteer]])</f>
        <v>107</v>
      </c>
      <c r="K41" s="542"/>
      <c r="L41" s="542"/>
      <c r="M41" s="542"/>
      <c r="N41" s="542"/>
      <c r="O41" s="542"/>
    </row>
    <row r="42" spans="1:15" x14ac:dyDescent="0.35">
      <c r="A42" s="803" t="s">
        <v>951</v>
      </c>
      <c r="B42" s="773" t="s">
        <v>908</v>
      </c>
      <c r="C42" s="773" t="s">
        <v>17466</v>
      </c>
      <c r="D42" s="437">
        <v>3285</v>
      </c>
      <c r="E42" s="437">
        <v>2872</v>
      </c>
      <c r="F42" s="437">
        <v>54</v>
      </c>
      <c r="G42" s="437">
        <v>0</v>
      </c>
      <c r="H42" s="437">
        <v>97</v>
      </c>
      <c r="I42" s="437">
        <v>303</v>
      </c>
      <c r="J42" s="935">
        <f>SUM(hrod_HR_Department_Headcount__2[[#This Row],[Wholetime Operational]:[Volunteer]])</f>
        <v>6611</v>
      </c>
      <c r="K42" s="542"/>
      <c r="L42" s="542"/>
      <c r="M42" s="542"/>
      <c r="N42" s="542"/>
      <c r="O42" s="542"/>
    </row>
    <row r="43" spans="1:15" x14ac:dyDescent="0.35">
      <c r="A43" s="803" t="s">
        <v>951</v>
      </c>
      <c r="B43" s="773" t="s">
        <v>908</v>
      </c>
      <c r="C43" s="773" t="s">
        <v>17470</v>
      </c>
      <c r="D43" s="437">
        <v>40</v>
      </c>
      <c r="E43" s="437">
        <v>0</v>
      </c>
      <c r="F43" s="437">
        <v>0</v>
      </c>
      <c r="G43" s="437">
        <v>172</v>
      </c>
      <c r="H43" s="437">
        <v>74</v>
      </c>
      <c r="I43" s="437">
        <v>0</v>
      </c>
      <c r="J43" s="935">
        <f>SUM(hrod_HR_Department_Headcount__2[[#This Row],[Wholetime Operational]:[Volunteer]])</f>
        <v>286</v>
      </c>
      <c r="K43" s="542"/>
      <c r="L43" s="542"/>
      <c r="M43" s="542"/>
      <c r="N43" s="542"/>
      <c r="O43" s="542"/>
    </row>
    <row r="44" spans="1:15" x14ac:dyDescent="0.35">
      <c r="A44" s="803" t="s">
        <v>951</v>
      </c>
      <c r="B44" s="773" t="s">
        <v>908</v>
      </c>
      <c r="C44" s="773" t="s">
        <v>17465</v>
      </c>
      <c r="D44" s="437">
        <v>52</v>
      </c>
      <c r="E44" s="437">
        <v>0</v>
      </c>
      <c r="F44" s="437">
        <v>0</v>
      </c>
      <c r="G44" s="437">
        <v>0</v>
      </c>
      <c r="H44" s="437">
        <v>17</v>
      </c>
      <c r="I44" s="437">
        <v>0</v>
      </c>
      <c r="J44" s="935">
        <f>SUM(hrod_HR_Department_Headcount__2[[#This Row],[Wholetime Operational]:[Volunteer]])</f>
        <v>69</v>
      </c>
      <c r="K44" s="542"/>
      <c r="L44" s="542"/>
      <c r="M44" s="542"/>
      <c r="N44" s="542"/>
      <c r="O44" s="542"/>
    </row>
    <row r="45" spans="1:15" x14ac:dyDescent="0.35">
      <c r="A45" s="803" t="s">
        <v>951</v>
      </c>
      <c r="B45" s="773" t="s">
        <v>908</v>
      </c>
      <c r="C45" s="773" t="s">
        <v>17458</v>
      </c>
      <c r="D45" s="437">
        <v>16</v>
      </c>
      <c r="E45" s="437">
        <v>0</v>
      </c>
      <c r="F45" s="437">
        <v>0</v>
      </c>
      <c r="G45" s="437">
        <v>8</v>
      </c>
      <c r="H45" s="437">
        <v>5</v>
      </c>
      <c r="I45" s="437">
        <v>0</v>
      </c>
      <c r="J45" s="935">
        <f>SUM(hrod_HR_Department_Headcount__2[[#This Row],[Wholetime Operational]:[Volunteer]])</f>
        <v>29</v>
      </c>
      <c r="K45" s="542"/>
      <c r="L45" s="542"/>
      <c r="M45" s="542"/>
      <c r="N45" s="542"/>
      <c r="O45" s="542"/>
    </row>
    <row r="46" spans="1:15" x14ac:dyDescent="0.35">
      <c r="A46" s="803" t="s">
        <v>951</v>
      </c>
      <c r="B46" s="773" t="s">
        <v>908</v>
      </c>
      <c r="C46" s="773" t="s">
        <v>783</v>
      </c>
      <c r="D46" s="437">
        <v>59</v>
      </c>
      <c r="E46" s="437">
        <v>0</v>
      </c>
      <c r="F46" s="437">
        <v>0</v>
      </c>
      <c r="G46" s="437">
        <v>2</v>
      </c>
      <c r="H46" s="437">
        <v>0</v>
      </c>
      <c r="I46" s="437">
        <v>0</v>
      </c>
      <c r="J46" s="935">
        <f>SUM(hrod_HR_Department_Headcount__2[[#This Row],[Wholetime Operational]:[Volunteer]])</f>
        <v>61</v>
      </c>
      <c r="K46" s="542"/>
      <c r="L46" s="542"/>
      <c r="M46" s="542"/>
      <c r="N46" s="542"/>
      <c r="O46" s="542"/>
    </row>
    <row r="47" spans="1:15" x14ac:dyDescent="0.35">
      <c r="A47" s="803" t="s">
        <v>951</v>
      </c>
      <c r="B47" s="773" t="s">
        <v>17461</v>
      </c>
      <c r="C47" s="773" t="s">
        <v>17471</v>
      </c>
      <c r="D47" s="437">
        <v>0</v>
      </c>
      <c r="E47" s="437">
        <v>0</v>
      </c>
      <c r="F47" s="437">
        <v>0</v>
      </c>
      <c r="G47" s="437">
        <v>0</v>
      </c>
      <c r="H47" s="437">
        <v>1</v>
      </c>
      <c r="I47" s="437">
        <v>0</v>
      </c>
      <c r="J47" s="935">
        <f>SUM(hrod_HR_Department_Headcount__2[[#This Row],[Wholetime Operational]:[Volunteer]])</f>
        <v>1</v>
      </c>
      <c r="K47" s="542"/>
      <c r="L47" s="542"/>
      <c r="M47" s="542"/>
      <c r="N47" s="542"/>
      <c r="O47" s="542"/>
    </row>
    <row r="48" spans="1:15" x14ac:dyDescent="0.35">
      <c r="A48" s="803" t="s">
        <v>951</v>
      </c>
      <c r="B48" s="773" t="s">
        <v>17461</v>
      </c>
      <c r="C48" s="773" t="s">
        <v>190</v>
      </c>
      <c r="D48" s="437">
        <v>6</v>
      </c>
      <c r="E48" s="437">
        <v>0</v>
      </c>
      <c r="F48" s="437">
        <v>0</v>
      </c>
      <c r="G48" s="437">
        <v>0</v>
      </c>
      <c r="H48" s="437">
        <v>84</v>
      </c>
      <c r="I48" s="437">
        <v>0</v>
      </c>
      <c r="J48" s="935">
        <f>SUM(hrod_HR_Department_Headcount__2[[#This Row],[Wholetime Operational]:[Volunteer]])</f>
        <v>90</v>
      </c>
      <c r="K48" s="542"/>
      <c r="L48" s="542"/>
      <c r="M48" s="542"/>
      <c r="N48" s="542"/>
      <c r="O48" s="542"/>
    </row>
    <row r="49" spans="1:21" x14ac:dyDescent="0.35">
      <c r="A49" s="803" t="s">
        <v>951</v>
      </c>
      <c r="B49" s="773" t="s">
        <v>17462</v>
      </c>
      <c r="C49" s="773" t="s">
        <v>17424</v>
      </c>
      <c r="D49" s="437">
        <v>5</v>
      </c>
      <c r="E49" s="437">
        <v>0</v>
      </c>
      <c r="F49" s="437">
        <v>0</v>
      </c>
      <c r="G49" s="437">
        <v>0</v>
      </c>
      <c r="H49" s="437">
        <v>3</v>
      </c>
      <c r="I49" s="437">
        <v>0</v>
      </c>
      <c r="J49" s="935">
        <f>SUM(hrod_HR_Department_Headcount__2[[#This Row],[Wholetime Operational]:[Volunteer]])</f>
        <v>8</v>
      </c>
      <c r="K49" s="542"/>
      <c r="L49" s="542"/>
      <c r="M49" s="542"/>
      <c r="N49" s="542"/>
      <c r="O49" s="542"/>
    </row>
    <row r="50" spans="1:21" x14ac:dyDescent="0.35">
      <c r="A50" s="803" t="s">
        <v>951</v>
      </c>
      <c r="B50" s="773" t="s">
        <v>17463</v>
      </c>
      <c r="C50" s="773" t="s">
        <v>17469</v>
      </c>
      <c r="D50" s="437">
        <v>0</v>
      </c>
      <c r="E50" s="437">
        <v>0</v>
      </c>
      <c r="F50" s="437">
        <v>0</v>
      </c>
      <c r="G50" s="437">
        <v>0</v>
      </c>
      <c r="H50" s="437">
        <v>22</v>
      </c>
      <c r="I50" s="437">
        <v>0</v>
      </c>
      <c r="J50" s="935">
        <f>SUM(hrod_HR_Department_Headcount__2[[#This Row],[Wholetime Operational]:[Volunteer]])</f>
        <v>22</v>
      </c>
      <c r="K50" s="542"/>
      <c r="L50" s="542"/>
      <c r="M50" s="542"/>
      <c r="N50" s="542"/>
      <c r="O50" s="542"/>
    </row>
    <row r="51" spans="1:21" x14ac:dyDescent="0.35">
      <c r="A51" s="803" t="s">
        <v>951</v>
      </c>
      <c r="B51" s="773" t="s">
        <v>17463</v>
      </c>
      <c r="C51" s="773" t="s">
        <v>17464</v>
      </c>
      <c r="D51" s="437">
        <v>2</v>
      </c>
      <c r="E51" s="437">
        <v>0</v>
      </c>
      <c r="F51" s="437">
        <v>0</v>
      </c>
      <c r="G51" s="437">
        <v>0</v>
      </c>
      <c r="H51" s="437">
        <v>102</v>
      </c>
      <c r="I51" s="437">
        <v>0</v>
      </c>
      <c r="J51" s="935">
        <f>SUM(hrod_HR_Department_Headcount__2[[#This Row],[Wholetime Operational]:[Volunteer]])</f>
        <v>104</v>
      </c>
      <c r="K51" s="542"/>
      <c r="L51" s="542"/>
      <c r="M51" s="542"/>
      <c r="N51" s="542"/>
      <c r="O51" s="542"/>
    </row>
    <row r="52" spans="1:21" x14ac:dyDescent="0.35">
      <c r="A52" s="803" t="s">
        <v>951</v>
      </c>
      <c r="B52" s="773" t="s">
        <v>17467</v>
      </c>
      <c r="C52" s="773" t="s">
        <v>17468</v>
      </c>
      <c r="D52" s="437">
        <v>9</v>
      </c>
      <c r="E52" s="437">
        <v>0</v>
      </c>
      <c r="F52" s="437">
        <v>0</v>
      </c>
      <c r="G52" s="437">
        <v>0</v>
      </c>
      <c r="H52" s="437">
        <v>18</v>
      </c>
      <c r="I52" s="437">
        <v>0</v>
      </c>
      <c r="J52" s="935">
        <f>SUM(hrod_HR_Department_Headcount__2[[#This Row],[Wholetime Operational]:[Volunteer]])</f>
        <v>27</v>
      </c>
      <c r="K52" s="542"/>
      <c r="L52" s="542"/>
      <c r="M52" s="542"/>
      <c r="N52" s="542"/>
      <c r="O52" s="542"/>
    </row>
    <row r="53" spans="1:21" ht="15" thickBot="1" x14ac:dyDescent="0.4">
      <c r="A53" s="785" t="s">
        <v>951</v>
      </c>
      <c r="B53" s="769" t="s">
        <v>17467</v>
      </c>
      <c r="C53" s="769" t="s">
        <v>17472</v>
      </c>
      <c r="D53" s="905">
        <v>103</v>
      </c>
      <c r="E53" s="905">
        <v>0</v>
      </c>
      <c r="F53" s="905">
        <v>0</v>
      </c>
      <c r="G53" s="905">
        <v>0</v>
      </c>
      <c r="H53" s="905">
        <v>55</v>
      </c>
      <c r="I53" s="905">
        <v>0</v>
      </c>
      <c r="J53" s="936">
        <f>SUM(hrod_HR_Department_Headcount__2[[#This Row],[Wholetime Operational]:[Volunteer]])</f>
        <v>158</v>
      </c>
      <c r="K53" s="542"/>
      <c r="L53" s="542"/>
      <c r="M53" s="542"/>
      <c r="N53" s="542"/>
      <c r="O53" s="542"/>
    </row>
    <row r="54" spans="1:21" x14ac:dyDescent="0.35">
      <c r="A54" s="542"/>
      <c r="B54" s="542"/>
      <c r="C54" s="542"/>
      <c r="D54" s="542"/>
      <c r="E54" s="542"/>
      <c r="F54" s="542"/>
      <c r="G54" s="542"/>
      <c r="H54" s="542"/>
      <c r="I54" s="542"/>
      <c r="J54" s="542"/>
      <c r="K54" s="542"/>
      <c r="L54" s="542"/>
      <c r="M54" s="542"/>
      <c r="N54" s="542"/>
      <c r="O54" s="542"/>
      <c r="P54" s="542"/>
      <c r="Q54" s="542"/>
    </row>
    <row r="55" spans="1:21" x14ac:dyDescent="0.35">
      <c r="A55" s="359" t="s">
        <v>8</v>
      </c>
    </row>
    <row r="56" spans="1:21" x14ac:dyDescent="0.35">
      <c r="A56" s="1175" t="s">
        <v>727</v>
      </c>
      <c r="B56" s="1175"/>
      <c r="C56" s="1175"/>
      <c r="D56" s="1175"/>
      <c r="E56" s="1175"/>
      <c r="F56" s="1175"/>
      <c r="G56" s="1175"/>
      <c r="H56" s="1175"/>
      <c r="I56" s="1175"/>
      <c r="J56" s="1175"/>
    </row>
    <row r="57" spans="1:21" x14ac:dyDescent="0.35">
      <c r="A57" t="s">
        <v>446</v>
      </c>
    </row>
    <row r="59" spans="1:21" ht="15.5" x14ac:dyDescent="0.35">
      <c r="A59" s="535" t="s">
        <v>471</v>
      </c>
      <c r="B59" s="535"/>
      <c r="C59" s="535"/>
      <c r="D59" s="535"/>
      <c r="E59" s="535"/>
      <c r="F59" s="535"/>
      <c r="G59" s="535"/>
      <c r="H59" s="535"/>
      <c r="I59" s="535"/>
      <c r="J59" s="535"/>
      <c r="K59" s="535"/>
    </row>
    <row r="60" spans="1:21" ht="15.5" x14ac:dyDescent="0.35">
      <c r="A60" t="s">
        <v>445</v>
      </c>
      <c r="B60" s="508"/>
      <c r="C60" s="508"/>
      <c r="D60" s="743"/>
      <c r="E60" s="508"/>
      <c r="F60" s="508"/>
      <c r="G60" s="508"/>
      <c r="H60" s="913"/>
      <c r="I60" s="913"/>
      <c r="J60" s="508"/>
      <c r="K60" s="508"/>
    </row>
    <row r="61" spans="1:21" ht="30" customHeight="1" x14ac:dyDescent="0.35">
      <c r="A61" t="s">
        <v>320</v>
      </c>
      <c r="B61" t="s">
        <v>648</v>
      </c>
    </row>
    <row r="62" spans="1:21" x14ac:dyDescent="0.35">
      <c r="A62" t="s">
        <v>321</v>
      </c>
      <c r="B62" t="s">
        <v>323</v>
      </c>
    </row>
    <row r="63" spans="1:21" ht="19.5" customHeight="1" x14ac:dyDescent="0.35">
      <c r="A63" t="s">
        <v>322</v>
      </c>
      <c r="B63" t="s">
        <v>324</v>
      </c>
      <c r="T63" s="442"/>
      <c r="U63" s="442"/>
    </row>
    <row r="64" spans="1:21" x14ac:dyDescent="0.35">
      <c r="D64" s="563"/>
      <c r="E64" s="563"/>
      <c r="F64" s="563"/>
      <c r="G64" s="563"/>
      <c r="H64" s="563"/>
    </row>
    <row r="65" spans="1:9" ht="47" customHeight="1" x14ac:dyDescent="0.35">
      <c r="A65" s="642" t="s">
        <v>1</v>
      </c>
      <c r="B65" s="784" t="s">
        <v>17457</v>
      </c>
      <c r="C65" s="784" t="s">
        <v>17454</v>
      </c>
      <c r="D65" s="847" t="s">
        <v>27</v>
      </c>
      <c r="E65" s="847" t="s">
        <v>28</v>
      </c>
      <c r="F65" s="847" t="s">
        <v>849</v>
      </c>
      <c r="G65" s="847" t="s">
        <v>2</v>
      </c>
      <c r="H65" s="847" t="s">
        <v>3</v>
      </c>
      <c r="I65" s="598" t="s">
        <v>84</v>
      </c>
    </row>
    <row r="66" spans="1:9" hidden="1" x14ac:dyDescent="0.35">
      <c r="A66" s="783" t="s">
        <v>241</v>
      </c>
      <c r="B66" s="461"/>
      <c r="C66" s="461" t="s">
        <v>899</v>
      </c>
      <c r="D66" s="789">
        <v>5</v>
      </c>
      <c r="E66" s="789">
        <v>0</v>
      </c>
      <c r="F66" s="789">
        <v>0</v>
      </c>
      <c r="G66" s="789">
        <v>0</v>
      </c>
      <c r="H66" s="789">
        <v>178.47</v>
      </c>
      <c r="I66" s="930">
        <f>SUM(hrod_HR_Department_FTE[[#This Row],[Wholetime Operational]:[Support]])</f>
        <v>183.47</v>
      </c>
    </row>
    <row r="67" spans="1:9" hidden="1" x14ac:dyDescent="0.35">
      <c r="A67" s="783" t="s">
        <v>241</v>
      </c>
      <c r="B67" s="461"/>
      <c r="C67" s="461" t="s">
        <v>900</v>
      </c>
      <c r="D67" s="789">
        <v>2</v>
      </c>
      <c r="E67" s="789">
        <v>0</v>
      </c>
      <c r="F67" s="789">
        <v>0</v>
      </c>
      <c r="G67" s="789">
        <v>0</v>
      </c>
      <c r="H67" s="789">
        <v>58.51</v>
      </c>
      <c r="I67" s="930">
        <f>SUM(hrod_HR_Department_FTE[[#This Row],[Wholetime Operational]:[Support]])</f>
        <v>60.51</v>
      </c>
    </row>
    <row r="68" spans="1:9" hidden="1" x14ac:dyDescent="0.35">
      <c r="A68" s="783" t="s">
        <v>241</v>
      </c>
      <c r="B68" s="461"/>
      <c r="C68" s="461" t="s">
        <v>901</v>
      </c>
      <c r="D68" s="789">
        <v>0</v>
      </c>
      <c r="E68" s="789">
        <v>0</v>
      </c>
      <c r="F68" s="789">
        <v>0</v>
      </c>
      <c r="G68" s="789">
        <v>0</v>
      </c>
      <c r="H68" s="789">
        <v>63.550000000000004</v>
      </c>
      <c r="I68" s="930">
        <f>SUM(hrod_HR_Department_FTE[[#This Row],[Wholetime Operational]:[Support]])</f>
        <v>63.550000000000004</v>
      </c>
    </row>
    <row r="69" spans="1:9" hidden="1" x14ac:dyDescent="0.35">
      <c r="A69" s="783" t="s">
        <v>241</v>
      </c>
      <c r="B69" s="461"/>
      <c r="C69" s="461" t="s">
        <v>17455</v>
      </c>
      <c r="D69" s="789">
        <v>3</v>
      </c>
      <c r="E69" s="789">
        <v>0</v>
      </c>
      <c r="F69" s="789">
        <v>0</v>
      </c>
      <c r="G69" s="789">
        <v>0</v>
      </c>
      <c r="H69" s="789">
        <v>42.75</v>
      </c>
      <c r="I69" s="930">
        <f>SUM(hrod_HR_Department_FTE[[#This Row],[Wholetime Operational]:[Support]])</f>
        <v>45.75</v>
      </c>
    </row>
    <row r="70" spans="1:9" hidden="1" x14ac:dyDescent="0.35">
      <c r="A70" s="783" t="s">
        <v>241</v>
      </c>
      <c r="B70" s="461"/>
      <c r="C70" s="461" t="s">
        <v>17456</v>
      </c>
      <c r="D70" s="789">
        <v>2</v>
      </c>
      <c r="E70" s="789">
        <v>0</v>
      </c>
      <c r="F70" s="789">
        <v>0</v>
      </c>
      <c r="G70" s="789">
        <v>0</v>
      </c>
      <c r="H70" s="789">
        <v>52.92</v>
      </c>
      <c r="I70" s="930">
        <f>SUM(hrod_HR_Department_FTE[[#This Row],[Wholetime Operational]:[Support]])</f>
        <v>54.92</v>
      </c>
    </row>
    <row r="71" spans="1:9" hidden="1" x14ac:dyDescent="0.35">
      <c r="A71" s="783" t="s">
        <v>241</v>
      </c>
      <c r="B71" s="461"/>
      <c r="C71" s="461" t="s">
        <v>903</v>
      </c>
      <c r="D71" s="789">
        <v>0</v>
      </c>
      <c r="E71" s="789">
        <v>0</v>
      </c>
      <c r="F71" s="789">
        <v>0</v>
      </c>
      <c r="G71" s="789">
        <v>0</v>
      </c>
      <c r="H71" s="789">
        <v>76</v>
      </c>
      <c r="I71" s="930">
        <f>SUM(hrod_HR_Department_FTE[[#This Row],[Wholetime Operational]:[Support]])</f>
        <v>76</v>
      </c>
    </row>
    <row r="72" spans="1:9" hidden="1" x14ac:dyDescent="0.35">
      <c r="A72" s="783" t="s">
        <v>241</v>
      </c>
      <c r="B72" s="461"/>
      <c r="C72" s="461" t="s">
        <v>905</v>
      </c>
      <c r="D72" s="789">
        <v>198.93</v>
      </c>
      <c r="E72" s="789">
        <v>0</v>
      </c>
      <c r="F72" s="789">
        <v>0</v>
      </c>
      <c r="G72" s="789">
        <v>0</v>
      </c>
      <c r="H72" s="789">
        <v>78.709999999999994</v>
      </c>
      <c r="I72" s="930">
        <f>SUM(hrod_HR_Department_FTE[[#This Row],[Wholetime Operational]:[Support]])</f>
        <v>277.64</v>
      </c>
    </row>
    <row r="73" spans="1:9" hidden="1" x14ac:dyDescent="0.35">
      <c r="A73" s="783" t="s">
        <v>241</v>
      </c>
      <c r="B73" s="461"/>
      <c r="C73" s="461" t="s">
        <v>906</v>
      </c>
      <c r="D73" s="789">
        <v>45</v>
      </c>
      <c r="E73" s="789">
        <v>0</v>
      </c>
      <c r="F73" s="789">
        <v>0</v>
      </c>
      <c r="G73" s="789">
        <v>192.33</v>
      </c>
      <c r="H73" s="789">
        <v>68.5</v>
      </c>
      <c r="I73" s="930">
        <f>SUM(hrod_HR_Department_FTE[[#This Row],[Wholetime Operational]:[Support]])</f>
        <v>305.83000000000004</v>
      </c>
    </row>
    <row r="74" spans="1:9" hidden="1" x14ac:dyDescent="0.35">
      <c r="A74" s="783" t="s">
        <v>241</v>
      </c>
      <c r="B74" s="461"/>
      <c r="C74" s="461" t="s">
        <v>907</v>
      </c>
      <c r="D74" s="789">
        <v>4</v>
      </c>
      <c r="E74" s="789">
        <v>0</v>
      </c>
      <c r="F74" s="789">
        <v>0</v>
      </c>
      <c r="G74" s="789">
        <v>0</v>
      </c>
      <c r="H74" s="789">
        <v>3</v>
      </c>
      <c r="I74" s="930">
        <f>SUM(hrod_HR_Department_FTE[[#This Row],[Wholetime Operational]:[Support]])</f>
        <v>7</v>
      </c>
    </row>
    <row r="75" spans="1:9" hidden="1" x14ac:dyDescent="0.35">
      <c r="A75" s="783" t="s">
        <v>241</v>
      </c>
      <c r="B75" s="461"/>
      <c r="C75" s="461" t="s">
        <v>908</v>
      </c>
      <c r="D75" s="789">
        <v>3101</v>
      </c>
      <c r="E75" s="789">
        <v>2583.98</v>
      </c>
      <c r="F75" s="789">
        <v>18</v>
      </c>
      <c r="G75" s="789">
        <v>0</v>
      </c>
      <c r="H75" s="789">
        <v>15.340000000000002</v>
      </c>
      <c r="I75" s="930">
        <f>SUM(hrod_HR_Department_FTE[[#This Row],[Wholetime Operational]:[Support]])</f>
        <v>5718.32</v>
      </c>
    </row>
    <row r="76" spans="1:9" hidden="1" x14ac:dyDescent="0.35">
      <c r="A76" s="783" t="s">
        <v>241</v>
      </c>
      <c r="B76" s="461"/>
      <c r="C76" s="461" t="s">
        <v>909</v>
      </c>
      <c r="D76" s="789">
        <v>5</v>
      </c>
      <c r="E76" s="789">
        <v>0</v>
      </c>
      <c r="F76" s="789">
        <v>0</v>
      </c>
      <c r="G76" s="789">
        <v>0</v>
      </c>
      <c r="H76" s="789">
        <v>0</v>
      </c>
      <c r="I76" s="930">
        <f>SUM(hrod_HR_Department_FTE[[#This Row],[Wholetime Operational]:[Support]])</f>
        <v>5</v>
      </c>
    </row>
    <row r="77" spans="1:9" hidden="1" x14ac:dyDescent="0.35">
      <c r="A77" s="783" t="s">
        <v>241</v>
      </c>
      <c r="B77" s="461"/>
      <c r="C77" s="461" t="s">
        <v>910</v>
      </c>
      <c r="D77" s="789">
        <v>2</v>
      </c>
      <c r="E77" s="789">
        <v>0</v>
      </c>
      <c r="F77" s="789">
        <v>0</v>
      </c>
      <c r="G77" s="789">
        <v>0</v>
      </c>
      <c r="H77" s="789">
        <v>53.449999999999996</v>
      </c>
      <c r="I77" s="930">
        <f>SUM(hrod_HR_Department_FTE[[#This Row],[Wholetime Operational]:[Support]])</f>
        <v>55.449999999999996</v>
      </c>
    </row>
    <row r="78" spans="1:9" hidden="1" x14ac:dyDescent="0.35">
      <c r="A78" s="783" t="s">
        <v>241</v>
      </c>
      <c r="B78" s="461"/>
      <c r="C78" s="461" t="s">
        <v>783</v>
      </c>
      <c r="D78" s="789">
        <v>65</v>
      </c>
      <c r="E78" s="789">
        <v>0</v>
      </c>
      <c r="F78" s="789">
        <v>0</v>
      </c>
      <c r="G78" s="789">
        <v>10</v>
      </c>
      <c r="H78" s="789">
        <v>1</v>
      </c>
      <c r="I78" s="930">
        <f>SUM(hrod_HR_Department_FTE[[#This Row],[Wholetime Operational]:[Support]])</f>
        <v>76</v>
      </c>
    </row>
    <row r="79" spans="1:9" ht="15" hidden="1" thickBot="1" x14ac:dyDescent="0.4">
      <c r="A79" s="785" t="s">
        <v>241</v>
      </c>
      <c r="B79" s="769"/>
      <c r="C79" s="769" t="s">
        <v>911</v>
      </c>
      <c r="D79" s="797">
        <v>203</v>
      </c>
      <c r="E79" s="797">
        <v>0</v>
      </c>
      <c r="F79" s="797">
        <v>0</v>
      </c>
      <c r="G79" s="797">
        <v>0</v>
      </c>
      <c r="H79" s="797">
        <v>53.36</v>
      </c>
      <c r="I79" s="938">
        <f>SUM(hrod_HR_Department_FTE[[#This Row],[Wholetime Operational]:[Support]])</f>
        <v>256.36</v>
      </c>
    </row>
    <row r="80" spans="1:9" hidden="1" x14ac:dyDescent="0.35">
      <c r="A80" s="783" t="s">
        <v>773</v>
      </c>
      <c r="B80" s="907"/>
      <c r="C80" s="907" t="s">
        <v>899</v>
      </c>
      <c r="D80" s="933">
        <v>5</v>
      </c>
      <c r="E80" s="933">
        <v>0</v>
      </c>
      <c r="F80" s="933">
        <v>0</v>
      </c>
      <c r="G80" s="934">
        <v>0</v>
      </c>
      <c r="H80" s="789">
        <v>182.20000000000002</v>
      </c>
      <c r="I80" s="930">
        <f>SUM(hrod_HR_Department_FTE[[#This Row],[Wholetime Operational]:[Support]])</f>
        <v>187.20000000000002</v>
      </c>
    </row>
    <row r="81" spans="1:9" hidden="1" x14ac:dyDescent="0.35">
      <c r="A81" s="783" t="s">
        <v>773</v>
      </c>
      <c r="B81" s="907"/>
      <c r="C81" s="907" t="s">
        <v>900</v>
      </c>
      <c r="D81" s="933">
        <v>2</v>
      </c>
      <c r="E81" s="933">
        <v>0</v>
      </c>
      <c r="F81" s="933">
        <v>0</v>
      </c>
      <c r="G81" s="933">
        <v>0</v>
      </c>
      <c r="H81" s="934">
        <v>63.31</v>
      </c>
      <c r="I81" s="930">
        <f>SUM(hrod_HR_Department_FTE[[#This Row],[Wholetime Operational]:[Support]])</f>
        <v>65.31</v>
      </c>
    </row>
    <row r="82" spans="1:9" hidden="1" x14ac:dyDescent="0.35">
      <c r="A82" s="783" t="s">
        <v>773</v>
      </c>
      <c r="B82" s="461"/>
      <c r="C82" s="461" t="s">
        <v>901</v>
      </c>
      <c r="D82" s="789">
        <v>0</v>
      </c>
      <c r="E82" s="789">
        <v>0</v>
      </c>
      <c r="F82" s="789">
        <v>0</v>
      </c>
      <c r="G82" s="789">
        <v>0</v>
      </c>
      <c r="H82" s="789">
        <v>61.3</v>
      </c>
      <c r="I82" s="930">
        <f>SUM(hrod_HR_Department_FTE[[#This Row],[Wholetime Operational]:[Support]])</f>
        <v>61.3</v>
      </c>
    </row>
    <row r="83" spans="1:9" hidden="1" x14ac:dyDescent="0.35">
      <c r="A83" s="783" t="s">
        <v>773</v>
      </c>
      <c r="B83" s="461"/>
      <c r="C83" s="461" t="s">
        <v>902</v>
      </c>
      <c r="D83" s="789">
        <v>2</v>
      </c>
      <c r="E83" s="789">
        <v>0</v>
      </c>
      <c r="F83" s="789">
        <v>0</v>
      </c>
      <c r="G83" s="789">
        <v>0</v>
      </c>
      <c r="H83" s="789">
        <v>16.86</v>
      </c>
      <c r="I83" s="930">
        <f>SUM(hrod_HR_Department_FTE[[#This Row],[Wholetime Operational]:[Support]])</f>
        <v>18.86</v>
      </c>
    </row>
    <row r="84" spans="1:9" hidden="1" x14ac:dyDescent="0.35">
      <c r="A84" s="783" t="s">
        <v>773</v>
      </c>
      <c r="B84" s="461"/>
      <c r="C84" s="461" t="s">
        <v>903</v>
      </c>
      <c r="D84" s="789">
        <v>0</v>
      </c>
      <c r="E84" s="789">
        <v>0</v>
      </c>
      <c r="F84" s="789">
        <v>0</v>
      </c>
      <c r="G84" s="789">
        <v>0</v>
      </c>
      <c r="H84" s="789">
        <v>71.489999999999995</v>
      </c>
      <c r="I84" s="930">
        <f>SUM(hrod_HR_Department_FTE[[#This Row],[Wholetime Operational]:[Support]])</f>
        <v>71.489999999999995</v>
      </c>
    </row>
    <row r="85" spans="1:9" hidden="1" x14ac:dyDescent="0.35">
      <c r="A85" s="783" t="s">
        <v>773</v>
      </c>
      <c r="B85" s="461"/>
      <c r="C85" s="461" t="s">
        <v>904</v>
      </c>
      <c r="D85" s="789">
        <v>2</v>
      </c>
      <c r="E85" s="789">
        <v>0</v>
      </c>
      <c r="F85" s="789">
        <v>0</v>
      </c>
      <c r="G85" s="789">
        <v>0</v>
      </c>
      <c r="H85" s="789">
        <v>90.62</v>
      </c>
      <c r="I85" s="930">
        <f>SUM(hrod_HR_Department_FTE[[#This Row],[Wholetime Operational]:[Support]])</f>
        <v>92.62</v>
      </c>
    </row>
    <row r="86" spans="1:9" hidden="1" x14ac:dyDescent="0.35">
      <c r="A86" s="783" t="s">
        <v>773</v>
      </c>
      <c r="B86" s="461"/>
      <c r="C86" s="461" t="s">
        <v>905</v>
      </c>
      <c r="D86" s="789">
        <v>51</v>
      </c>
      <c r="E86" s="789">
        <v>0</v>
      </c>
      <c r="F86" s="789">
        <v>0</v>
      </c>
      <c r="G86" s="789">
        <v>0</v>
      </c>
      <c r="H86" s="789">
        <v>16.689999999999998</v>
      </c>
      <c r="I86" s="930">
        <f>SUM(hrod_HR_Department_FTE[[#This Row],[Wholetime Operational]:[Support]])</f>
        <v>67.69</v>
      </c>
    </row>
    <row r="87" spans="1:9" hidden="1" x14ac:dyDescent="0.35">
      <c r="A87" s="783" t="s">
        <v>773</v>
      </c>
      <c r="B87" s="461"/>
      <c r="C87" s="461" t="s">
        <v>906</v>
      </c>
      <c r="D87" s="789">
        <v>52</v>
      </c>
      <c r="E87" s="789">
        <v>0</v>
      </c>
      <c r="F87" s="789">
        <v>0</v>
      </c>
      <c r="G87" s="789">
        <v>181.82999999999998</v>
      </c>
      <c r="H87" s="789">
        <v>72.069999999999993</v>
      </c>
      <c r="I87" s="930">
        <f>SUM(hrod_HR_Department_FTE[[#This Row],[Wholetime Operational]:[Support]])</f>
        <v>305.89999999999998</v>
      </c>
    </row>
    <row r="88" spans="1:9" hidden="1" x14ac:dyDescent="0.35">
      <c r="A88" s="783" t="s">
        <v>773</v>
      </c>
      <c r="B88" s="461"/>
      <c r="C88" s="461" t="s">
        <v>907</v>
      </c>
      <c r="D88" s="789">
        <v>6</v>
      </c>
      <c r="E88" s="789">
        <v>0</v>
      </c>
      <c r="F88" s="789">
        <v>0</v>
      </c>
      <c r="G88" s="789">
        <v>0</v>
      </c>
      <c r="H88" s="789">
        <v>3</v>
      </c>
      <c r="I88" s="930">
        <f>SUM(hrod_HR_Department_FTE[[#This Row],[Wholetime Operational]:[Support]])</f>
        <v>9</v>
      </c>
    </row>
    <row r="89" spans="1:9" hidden="1" x14ac:dyDescent="0.35">
      <c r="A89" s="783" t="s">
        <v>773</v>
      </c>
      <c r="B89" s="461"/>
      <c r="C89" s="461" t="s">
        <v>908</v>
      </c>
      <c r="D89" s="789">
        <v>3355.93</v>
      </c>
      <c r="E89" s="789">
        <v>2551.73</v>
      </c>
      <c r="F89" s="789">
        <v>36</v>
      </c>
      <c r="G89" s="789">
        <v>0</v>
      </c>
      <c r="H89" s="789">
        <v>78.529999999999987</v>
      </c>
      <c r="I89" s="930">
        <f>SUM(hrod_HR_Department_FTE[[#This Row],[Wholetime Operational]:[Support]])</f>
        <v>6022.19</v>
      </c>
    </row>
    <row r="90" spans="1:9" hidden="1" x14ac:dyDescent="0.35">
      <c r="A90" s="783" t="s">
        <v>773</v>
      </c>
      <c r="B90" s="461"/>
      <c r="C90" s="461" t="s">
        <v>909</v>
      </c>
      <c r="D90" s="789">
        <v>5</v>
      </c>
      <c r="E90" s="789">
        <v>0</v>
      </c>
      <c r="F90" s="789">
        <v>0</v>
      </c>
      <c r="G90" s="789">
        <v>0</v>
      </c>
      <c r="H90" s="789">
        <v>1</v>
      </c>
      <c r="I90" s="930">
        <f>SUM(hrod_HR_Department_FTE[[#This Row],[Wholetime Operational]:[Support]])</f>
        <v>6</v>
      </c>
    </row>
    <row r="91" spans="1:9" hidden="1" x14ac:dyDescent="0.35">
      <c r="A91" s="783" t="s">
        <v>773</v>
      </c>
      <c r="B91" s="461"/>
      <c r="C91" s="461" t="s">
        <v>910</v>
      </c>
      <c r="D91" s="789">
        <v>2</v>
      </c>
      <c r="E91" s="789">
        <v>0</v>
      </c>
      <c r="F91" s="789">
        <v>0</v>
      </c>
      <c r="G91" s="789">
        <v>0</v>
      </c>
      <c r="H91" s="789">
        <v>58.519999999999996</v>
      </c>
      <c r="I91" s="930">
        <f>SUM(hrod_HR_Department_FTE[[#This Row],[Wholetime Operational]:[Support]])</f>
        <v>60.519999999999996</v>
      </c>
    </row>
    <row r="92" spans="1:9" hidden="1" x14ac:dyDescent="0.35">
      <c r="A92" s="783" t="s">
        <v>773</v>
      </c>
      <c r="B92" s="461"/>
      <c r="C92" s="461" t="s">
        <v>783</v>
      </c>
      <c r="D92" s="789">
        <v>53</v>
      </c>
      <c r="E92" s="789">
        <v>0</v>
      </c>
      <c r="F92" s="789">
        <v>0</v>
      </c>
      <c r="G92" s="789">
        <v>2</v>
      </c>
      <c r="H92" s="789">
        <v>2</v>
      </c>
      <c r="I92" s="930">
        <f>SUM(hrod_HR_Department_FTE[[#This Row],[Wholetime Operational]:[Support]])</f>
        <v>57</v>
      </c>
    </row>
    <row r="93" spans="1:9" ht="15" hidden="1" thickBot="1" x14ac:dyDescent="0.4">
      <c r="A93" s="785" t="s">
        <v>773</v>
      </c>
      <c r="B93" s="769"/>
      <c r="C93" s="769" t="s">
        <v>911</v>
      </c>
      <c r="D93" s="797">
        <v>98</v>
      </c>
      <c r="E93" s="797">
        <v>0</v>
      </c>
      <c r="F93" s="797">
        <v>0</v>
      </c>
      <c r="G93" s="797">
        <v>0</v>
      </c>
      <c r="H93" s="797">
        <v>46.81</v>
      </c>
      <c r="I93" s="938">
        <f>SUM(hrod_HR_Department_FTE[[#This Row],[Wholetime Operational]:[Support]])</f>
        <v>144.81</v>
      </c>
    </row>
    <row r="94" spans="1:9" x14ac:dyDescent="0.35">
      <c r="A94" s="783" t="s">
        <v>951</v>
      </c>
      <c r="B94" s="461" t="s">
        <v>17459</v>
      </c>
      <c r="C94" s="461" t="s">
        <v>899</v>
      </c>
      <c r="D94" s="789">
        <v>6</v>
      </c>
      <c r="E94" s="789">
        <v>0</v>
      </c>
      <c r="F94" s="789">
        <v>0</v>
      </c>
      <c r="G94" s="789">
        <v>0</v>
      </c>
      <c r="H94" s="789">
        <v>182.49</v>
      </c>
      <c r="I94" s="930">
        <f>SUM(hrod_HR_Department_FTE[[#This Row],[Wholetime Operational]:[Support]])</f>
        <v>188.49</v>
      </c>
    </row>
    <row r="95" spans="1:9" x14ac:dyDescent="0.35">
      <c r="A95" s="783" t="s">
        <v>951</v>
      </c>
      <c r="B95" s="461" t="s">
        <v>17459</v>
      </c>
      <c r="C95" s="461" t="s">
        <v>901</v>
      </c>
      <c r="D95" s="789">
        <v>0</v>
      </c>
      <c r="E95" s="789">
        <v>0</v>
      </c>
      <c r="F95" s="789">
        <v>0</v>
      </c>
      <c r="G95" s="789">
        <v>0</v>
      </c>
      <c r="H95" s="789">
        <v>62.330000000000005</v>
      </c>
      <c r="I95" s="930">
        <f>SUM(hrod_HR_Department_FTE[[#This Row],[Wholetime Operational]:[Support]])</f>
        <v>62.330000000000005</v>
      </c>
    </row>
    <row r="96" spans="1:9" x14ac:dyDescent="0.35">
      <c r="A96" s="783" t="s">
        <v>951</v>
      </c>
      <c r="B96" s="461" t="s">
        <v>17460</v>
      </c>
      <c r="C96" s="461"/>
      <c r="D96" s="789">
        <v>1</v>
      </c>
      <c r="E96" s="789">
        <v>0</v>
      </c>
      <c r="F96" s="789">
        <v>0</v>
      </c>
      <c r="G96" s="789">
        <v>0</v>
      </c>
      <c r="H96" s="789">
        <v>100.32</v>
      </c>
      <c r="I96" s="930">
        <f>SUM(hrod_HR_Department_FTE[[#This Row],[Wholetime Operational]:[Support]])</f>
        <v>101.32</v>
      </c>
    </row>
    <row r="97" spans="1:10" x14ac:dyDescent="0.35">
      <c r="A97" s="783" t="s">
        <v>951</v>
      </c>
      <c r="B97" s="461" t="s">
        <v>908</v>
      </c>
      <c r="C97" s="461" t="s">
        <v>17466</v>
      </c>
      <c r="D97" s="789">
        <v>3282.43</v>
      </c>
      <c r="E97" s="789">
        <v>2482.48</v>
      </c>
      <c r="F97" s="789">
        <v>54</v>
      </c>
      <c r="G97" s="789">
        <v>0</v>
      </c>
      <c r="H97" s="789">
        <v>80.56</v>
      </c>
      <c r="I97" s="930">
        <f>SUM(hrod_HR_Department_FTE[[#This Row],[Wholetime Operational]:[Support]])</f>
        <v>5899.47</v>
      </c>
    </row>
    <row r="98" spans="1:10" x14ac:dyDescent="0.35">
      <c r="A98" s="783" t="s">
        <v>951</v>
      </c>
      <c r="B98" s="461" t="s">
        <v>908</v>
      </c>
      <c r="C98" s="461" t="s">
        <v>17470</v>
      </c>
      <c r="D98" s="789">
        <v>40</v>
      </c>
      <c r="E98" s="789">
        <v>0</v>
      </c>
      <c r="F98" s="789">
        <v>0</v>
      </c>
      <c r="G98" s="789">
        <v>166.06</v>
      </c>
      <c r="H98" s="789">
        <v>69.86999999999999</v>
      </c>
      <c r="I98" s="930">
        <f>SUM(hrod_HR_Department_FTE[[#This Row],[Wholetime Operational]:[Support]])</f>
        <v>275.93</v>
      </c>
    </row>
    <row r="99" spans="1:10" x14ac:dyDescent="0.35">
      <c r="A99" s="783" t="s">
        <v>951</v>
      </c>
      <c r="B99" s="461" t="s">
        <v>908</v>
      </c>
      <c r="C99" s="461" t="s">
        <v>17465</v>
      </c>
      <c r="D99" s="789">
        <v>52</v>
      </c>
      <c r="E99" s="789">
        <v>0</v>
      </c>
      <c r="F99" s="789">
        <v>0</v>
      </c>
      <c r="G99" s="789">
        <v>0</v>
      </c>
      <c r="H99" s="789">
        <v>17</v>
      </c>
      <c r="I99" s="930">
        <f>SUM(hrod_HR_Department_FTE[[#This Row],[Wholetime Operational]:[Support]])</f>
        <v>69</v>
      </c>
    </row>
    <row r="100" spans="1:10" x14ac:dyDescent="0.35">
      <c r="A100" s="783" t="s">
        <v>951</v>
      </c>
      <c r="B100" s="461" t="s">
        <v>908</v>
      </c>
      <c r="C100" s="461" t="s">
        <v>17458</v>
      </c>
      <c r="D100" s="789">
        <v>16</v>
      </c>
      <c r="E100" s="789">
        <v>0</v>
      </c>
      <c r="F100" s="789">
        <v>0</v>
      </c>
      <c r="G100" s="789">
        <v>8</v>
      </c>
      <c r="H100" s="789">
        <v>5</v>
      </c>
      <c r="I100" s="930">
        <f>SUM(hrod_HR_Department_FTE[[#This Row],[Wholetime Operational]:[Support]])</f>
        <v>29</v>
      </c>
    </row>
    <row r="101" spans="1:10" x14ac:dyDescent="0.35">
      <c r="A101" s="783" t="s">
        <v>951</v>
      </c>
      <c r="B101" s="461" t="s">
        <v>908</v>
      </c>
      <c r="C101" s="461" t="s">
        <v>783</v>
      </c>
      <c r="D101" s="789">
        <v>59</v>
      </c>
      <c r="E101" s="789">
        <v>0</v>
      </c>
      <c r="F101" s="789">
        <v>0</v>
      </c>
      <c r="G101" s="789">
        <v>2</v>
      </c>
      <c r="H101" s="789">
        <v>0</v>
      </c>
      <c r="I101" s="930">
        <f>SUM(hrod_HR_Department_FTE[[#This Row],[Wholetime Operational]:[Support]])</f>
        <v>61</v>
      </c>
    </row>
    <row r="102" spans="1:10" x14ac:dyDescent="0.35">
      <c r="A102" s="783" t="s">
        <v>951</v>
      </c>
      <c r="B102" s="461" t="s">
        <v>17461</v>
      </c>
      <c r="C102" s="461" t="s">
        <v>17471</v>
      </c>
      <c r="D102" s="789">
        <v>0</v>
      </c>
      <c r="E102" s="789">
        <v>0</v>
      </c>
      <c r="F102" s="789">
        <v>0</v>
      </c>
      <c r="G102" s="789">
        <v>0</v>
      </c>
      <c r="H102" s="789">
        <v>1</v>
      </c>
      <c r="I102" s="930">
        <f>SUM(hrod_HR_Department_FTE[[#This Row],[Wholetime Operational]:[Support]])</f>
        <v>1</v>
      </c>
    </row>
    <row r="103" spans="1:10" x14ac:dyDescent="0.35">
      <c r="A103" s="783" t="s">
        <v>951</v>
      </c>
      <c r="B103" s="461" t="s">
        <v>17461</v>
      </c>
      <c r="C103" s="461" t="s">
        <v>190</v>
      </c>
      <c r="D103" s="789">
        <v>6</v>
      </c>
      <c r="E103" s="789">
        <v>0</v>
      </c>
      <c r="F103" s="789">
        <v>0</v>
      </c>
      <c r="G103" s="789">
        <v>0</v>
      </c>
      <c r="H103" s="789">
        <v>82.99</v>
      </c>
      <c r="I103" s="930">
        <f>SUM(hrod_HR_Department_FTE[[#This Row],[Wholetime Operational]:[Support]])</f>
        <v>88.99</v>
      </c>
    </row>
    <row r="104" spans="1:10" x14ac:dyDescent="0.35">
      <c r="A104" s="783" t="s">
        <v>951</v>
      </c>
      <c r="B104" s="461" t="s">
        <v>17462</v>
      </c>
      <c r="C104" s="461" t="s">
        <v>17424</v>
      </c>
      <c r="D104" s="789">
        <v>5</v>
      </c>
      <c r="E104" s="789">
        <v>0</v>
      </c>
      <c r="F104" s="789">
        <v>0</v>
      </c>
      <c r="G104" s="789">
        <v>0</v>
      </c>
      <c r="H104" s="789">
        <v>3</v>
      </c>
      <c r="I104" s="930">
        <f>SUM(hrod_HR_Department_FTE[[#This Row],[Wholetime Operational]:[Support]])</f>
        <v>8</v>
      </c>
    </row>
    <row r="105" spans="1:10" x14ac:dyDescent="0.35">
      <c r="A105" s="783" t="s">
        <v>951</v>
      </c>
      <c r="B105" s="461" t="s">
        <v>17463</v>
      </c>
      <c r="C105" s="461" t="s">
        <v>17469</v>
      </c>
      <c r="D105" s="789">
        <v>0</v>
      </c>
      <c r="E105" s="789">
        <v>0</v>
      </c>
      <c r="F105" s="789">
        <v>0</v>
      </c>
      <c r="G105" s="789">
        <v>0</v>
      </c>
      <c r="H105" s="789">
        <v>21.310000000000002</v>
      </c>
      <c r="I105" s="930">
        <f>SUM(hrod_HR_Department_FTE[[#This Row],[Wholetime Operational]:[Support]])</f>
        <v>21.310000000000002</v>
      </c>
    </row>
    <row r="106" spans="1:10" x14ac:dyDescent="0.35">
      <c r="A106" s="783" t="s">
        <v>951</v>
      </c>
      <c r="B106" s="461" t="s">
        <v>17463</v>
      </c>
      <c r="C106" s="461" t="s">
        <v>17464</v>
      </c>
      <c r="D106" s="789">
        <v>2</v>
      </c>
      <c r="E106" s="789">
        <v>0</v>
      </c>
      <c r="F106" s="789">
        <v>0</v>
      </c>
      <c r="G106" s="789">
        <v>0</v>
      </c>
      <c r="H106" s="789">
        <v>94.609999999999985</v>
      </c>
      <c r="I106" s="930">
        <f>SUM(hrod_HR_Department_FTE[[#This Row],[Wholetime Operational]:[Support]])</f>
        <v>96.609999999999985</v>
      </c>
    </row>
    <row r="107" spans="1:10" x14ac:dyDescent="0.35">
      <c r="A107" s="783" t="s">
        <v>951</v>
      </c>
      <c r="B107" s="461" t="s">
        <v>17467</v>
      </c>
      <c r="C107" s="461" t="s">
        <v>17468</v>
      </c>
      <c r="D107" s="789">
        <v>9</v>
      </c>
      <c r="E107" s="789">
        <v>0</v>
      </c>
      <c r="F107" s="789">
        <v>0</v>
      </c>
      <c r="G107" s="789">
        <v>0</v>
      </c>
      <c r="H107" s="789">
        <v>17</v>
      </c>
      <c r="I107" s="930">
        <f>SUM(hrod_HR_Department_FTE[[#This Row],[Wholetime Operational]:[Support]])</f>
        <v>26</v>
      </c>
    </row>
    <row r="108" spans="1:10" ht="15" thickBot="1" x14ac:dyDescent="0.4">
      <c r="A108" s="785" t="s">
        <v>951</v>
      </c>
      <c r="B108" s="769" t="s">
        <v>17467</v>
      </c>
      <c r="C108" s="769" t="s">
        <v>17472</v>
      </c>
      <c r="D108" s="797">
        <v>103</v>
      </c>
      <c r="E108" s="797">
        <v>0</v>
      </c>
      <c r="F108" s="797">
        <v>0</v>
      </c>
      <c r="G108" s="797">
        <v>0</v>
      </c>
      <c r="H108" s="797">
        <v>49.81</v>
      </c>
      <c r="I108" s="938">
        <f>SUM(hrod_HR_Department_FTE[[#This Row],[Wholetime Operational]:[Support]])</f>
        <v>152.81</v>
      </c>
    </row>
    <row r="110" spans="1:10" x14ac:dyDescent="0.35">
      <c r="A110" s="359" t="s">
        <v>8</v>
      </c>
    </row>
    <row r="111" spans="1:10" x14ac:dyDescent="0.35">
      <c r="A111" s="1175" t="s">
        <v>727</v>
      </c>
      <c r="B111" s="1175"/>
      <c r="C111" s="1175"/>
      <c r="D111" s="1175"/>
      <c r="E111" s="1175"/>
      <c r="F111" s="1175"/>
      <c r="G111" s="1175"/>
      <c r="H111" s="1175"/>
      <c r="I111" s="1175"/>
      <c r="J111" s="1175"/>
    </row>
    <row r="112" spans="1:10" x14ac:dyDescent="0.35">
      <c r="A112" t="s">
        <v>446</v>
      </c>
    </row>
    <row r="113" spans="1:10" x14ac:dyDescent="0.35">
      <c r="A113" s="1158" t="s">
        <v>214</v>
      </c>
      <c r="B113" s="1158"/>
      <c r="C113" s="1158"/>
      <c r="D113" s="1158"/>
      <c r="E113" s="1158"/>
      <c r="F113" s="1158"/>
      <c r="G113" s="1158"/>
      <c r="H113" s="1158"/>
      <c r="I113" s="1158"/>
      <c r="J113" s="1158"/>
    </row>
    <row r="114" spans="1:10" x14ac:dyDescent="0.35">
      <c r="A114" t="s">
        <v>213</v>
      </c>
      <c r="E114" s="438"/>
    </row>
    <row r="115" spans="1:10" x14ac:dyDescent="0.35">
      <c r="A115" s="438" t="s">
        <v>440</v>
      </c>
    </row>
  </sheetData>
  <sheetProtection algorithmName="SHA-512" hashValue="p7oeKScLjRxoxrotSObBfXyXy36NTh22nT945BYPGeAgcNND41lMnp4Nb8G8odmEwTKCXDK6MaWggOKxk712Aw==" saltValue="RQypVnLIyNMTenSbS5pHBw==" spinCount="100000" sheet="1" scenarios="1" formatCells="0" formatColumns="0" formatRows="0" sort="0" autoFilter="0" pivotTables="0"/>
  <mergeCells count="5">
    <mergeCell ref="A111:J111"/>
    <mergeCell ref="A113:J113"/>
    <mergeCell ref="A56:J56"/>
    <mergeCell ref="A1:B1"/>
    <mergeCell ref="A4:B4"/>
  </mergeCells>
  <hyperlinks>
    <hyperlink ref="A2" location="'Table of Contents'!A1" display="Back to Table of Contents"/>
  </hyperlinks>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H65"/>
  <sheetViews>
    <sheetView workbookViewId="0">
      <selection activeCell="A2" sqref="A2"/>
    </sheetView>
  </sheetViews>
  <sheetFormatPr defaultRowHeight="14.5" x14ac:dyDescent="0.35"/>
  <cols>
    <col min="2" max="2" width="20.36328125" bestFit="1" customWidth="1"/>
    <col min="3" max="3" width="9.81640625" customWidth="1"/>
    <col min="4" max="4" width="54.36328125" bestFit="1" customWidth="1"/>
    <col min="5" max="5" width="10.54296875" customWidth="1"/>
    <col min="6" max="6" width="11" customWidth="1"/>
    <col min="7" max="7" width="22" customWidth="1"/>
    <col min="8" max="8" width="11.26953125" customWidth="1"/>
  </cols>
  <sheetData>
    <row r="1" spans="1:8" x14ac:dyDescent="0.35">
      <c r="A1" t="s">
        <v>312</v>
      </c>
      <c r="B1" t="s">
        <v>827</v>
      </c>
      <c r="C1" t="s">
        <v>17445</v>
      </c>
      <c r="D1" t="s">
        <v>62</v>
      </c>
      <c r="E1" t="s">
        <v>17446</v>
      </c>
      <c r="F1" t="s">
        <v>17447</v>
      </c>
      <c r="G1" t="s">
        <v>15</v>
      </c>
      <c r="H1" t="s">
        <v>17448</v>
      </c>
    </row>
    <row r="2" spans="1:8" x14ac:dyDescent="0.35">
      <c r="A2" t="s">
        <v>241</v>
      </c>
      <c r="B2" t="s">
        <v>31</v>
      </c>
      <c r="C2" t="s">
        <v>286</v>
      </c>
      <c r="D2" t="s">
        <v>31</v>
      </c>
      <c r="E2">
        <v>0</v>
      </c>
      <c r="F2" t="s">
        <v>326</v>
      </c>
      <c r="G2" t="s">
        <v>164</v>
      </c>
      <c r="H2" t="s">
        <v>355</v>
      </c>
    </row>
    <row r="3" spans="1:8" x14ac:dyDescent="0.35">
      <c r="A3" t="s">
        <v>241</v>
      </c>
      <c r="B3" t="s">
        <v>32</v>
      </c>
      <c r="C3" t="s">
        <v>287</v>
      </c>
      <c r="D3" t="s">
        <v>63</v>
      </c>
      <c r="E3">
        <v>0</v>
      </c>
      <c r="F3" t="s">
        <v>327</v>
      </c>
      <c r="G3" t="s">
        <v>164</v>
      </c>
      <c r="H3" t="s">
        <v>355</v>
      </c>
    </row>
    <row r="4" spans="1:8" x14ac:dyDescent="0.35">
      <c r="A4" t="s">
        <v>241</v>
      </c>
      <c r="B4" t="s">
        <v>33</v>
      </c>
      <c r="C4" t="s">
        <v>293</v>
      </c>
      <c r="D4" t="s">
        <v>65</v>
      </c>
      <c r="E4">
        <v>0</v>
      </c>
      <c r="F4" t="s">
        <v>328</v>
      </c>
      <c r="G4" t="s">
        <v>164</v>
      </c>
      <c r="H4" t="s">
        <v>355</v>
      </c>
    </row>
    <row r="5" spans="1:8" x14ac:dyDescent="0.35">
      <c r="A5" t="s">
        <v>241</v>
      </c>
      <c r="B5" t="s">
        <v>34</v>
      </c>
      <c r="C5" t="s">
        <v>288</v>
      </c>
      <c r="D5" t="s">
        <v>64</v>
      </c>
      <c r="E5">
        <v>0</v>
      </c>
      <c r="F5" t="s">
        <v>329</v>
      </c>
      <c r="G5" t="s">
        <v>165</v>
      </c>
      <c r="H5" t="s">
        <v>354</v>
      </c>
    </row>
    <row r="6" spans="1:8" x14ac:dyDescent="0.35">
      <c r="A6" t="s">
        <v>241</v>
      </c>
      <c r="B6" t="s">
        <v>245</v>
      </c>
      <c r="C6" t="s">
        <v>289</v>
      </c>
      <c r="D6" t="s">
        <v>167</v>
      </c>
      <c r="E6">
        <v>0</v>
      </c>
      <c r="F6" t="s">
        <v>334</v>
      </c>
      <c r="G6" t="s">
        <v>166</v>
      </c>
      <c r="H6" t="s">
        <v>353</v>
      </c>
    </row>
    <row r="7" spans="1:8" x14ac:dyDescent="0.35">
      <c r="A7" t="s">
        <v>241</v>
      </c>
      <c r="B7" t="s">
        <v>35</v>
      </c>
      <c r="C7" t="s">
        <v>267</v>
      </c>
      <c r="D7" t="s">
        <v>17412</v>
      </c>
      <c r="E7">
        <v>0</v>
      </c>
      <c r="F7" t="s">
        <v>17428</v>
      </c>
      <c r="G7" t="s">
        <v>166</v>
      </c>
      <c r="H7" t="s">
        <v>353</v>
      </c>
    </row>
    <row r="8" spans="1:8" x14ac:dyDescent="0.35">
      <c r="A8" t="s">
        <v>241</v>
      </c>
      <c r="B8" t="s">
        <v>36</v>
      </c>
      <c r="C8" t="s">
        <v>268</v>
      </c>
      <c r="D8" t="s">
        <v>36</v>
      </c>
      <c r="E8">
        <v>0</v>
      </c>
      <c r="F8" t="s">
        <v>330</v>
      </c>
      <c r="G8" t="s">
        <v>165</v>
      </c>
      <c r="H8" t="s">
        <v>354</v>
      </c>
    </row>
    <row r="9" spans="1:8" x14ac:dyDescent="0.35">
      <c r="A9" t="s">
        <v>241</v>
      </c>
      <c r="B9" t="s">
        <v>37</v>
      </c>
      <c r="C9" t="s">
        <v>294</v>
      </c>
      <c r="D9" t="s">
        <v>65</v>
      </c>
      <c r="E9">
        <v>0</v>
      </c>
      <c r="F9" t="s">
        <v>328</v>
      </c>
      <c r="G9" t="s">
        <v>164</v>
      </c>
      <c r="H9" t="s">
        <v>355</v>
      </c>
    </row>
    <row r="10" spans="1:8" x14ac:dyDescent="0.35">
      <c r="A10" t="s">
        <v>241</v>
      </c>
      <c r="B10" t="s">
        <v>38</v>
      </c>
      <c r="C10" t="s">
        <v>269</v>
      </c>
      <c r="D10" t="s">
        <v>66</v>
      </c>
      <c r="E10">
        <v>0</v>
      </c>
      <c r="F10" t="s">
        <v>331</v>
      </c>
      <c r="G10" t="s">
        <v>165</v>
      </c>
      <c r="H10" t="s">
        <v>354</v>
      </c>
    </row>
    <row r="11" spans="1:8" x14ac:dyDescent="0.35">
      <c r="A11" t="s">
        <v>241</v>
      </c>
      <c r="B11" t="s">
        <v>39</v>
      </c>
      <c r="C11" t="s">
        <v>296</v>
      </c>
      <c r="D11" t="s">
        <v>64</v>
      </c>
      <c r="E11">
        <v>0</v>
      </c>
      <c r="F11" t="s">
        <v>329</v>
      </c>
      <c r="G11" t="s">
        <v>165</v>
      </c>
      <c r="H11" t="s">
        <v>354</v>
      </c>
    </row>
    <row r="12" spans="1:8" x14ac:dyDescent="0.35">
      <c r="A12" t="s">
        <v>241</v>
      </c>
      <c r="B12" t="s">
        <v>40</v>
      </c>
      <c r="C12" t="s">
        <v>270</v>
      </c>
      <c r="D12" t="s">
        <v>67</v>
      </c>
      <c r="E12">
        <v>0</v>
      </c>
      <c r="F12" t="s">
        <v>332</v>
      </c>
      <c r="G12" t="s">
        <v>166</v>
      </c>
      <c r="H12" t="s">
        <v>353</v>
      </c>
    </row>
    <row r="13" spans="1:8" x14ac:dyDescent="0.35">
      <c r="A13" t="s">
        <v>241</v>
      </c>
      <c r="B13" t="s">
        <v>41</v>
      </c>
      <c r="C13" t="s">
        <v>271</v>
      </c>
      <c r="D13" t="s">
        <v>68</v>
      </c>
      <c r="E13">
        <v>0</v>
      </c>
      <c r="F13" t="s">
        <v>333</v>
      </c>
      <c r="G13" t="s">
        <v>165</v>
      </c>
      <c r="H13" t="s">
        <v>354</v>
      </c>
    </row>
    <row r="14" spans="1:8" x14ac:dyDescent="0.35">
      <c r="A14" t="s">
        <v>241</v>
      </c>
      <c r="B14" t="s">
        <v>42</v>
      </c>
      <c r="C14" t="s">
        <v>273</v>
      </c>
      <c r="D14" t="s">
        <v>69</v>
      </c>
      <c r="E14">
        <v>0</v>
      </c>
      <c r="F14" t="s">
        <v>335</v>
      </c>
      <c r="G14" t="s">
        <v>166</v>
      </c>
      <c r="H14" t="s">
        <v>353</v>
      </c>
    </row>
    <row r="15" spans="1:8" x14ac:dyDescent="0.35">
      <c r="A15" t="s">
        <v>241</v>
      </c>
      <c r="B15" t="s">
        <v>43</v>
      </c>
      <c r="C15" t="s">
        <v>298</v>
      </c>
      <c r="D15" t="s">
        <v>43</v>
      </c>
      <c r="E15">
        <v>0</v>
      </c>
      <c r="F15" t="s">
        <v>17425</v>
      </c>
      <c r="G15" t="s">
        <v>166</v>
      </c>
      <c r="H15" t="s">
        <v>353</v>
      </c>
    </row>
    <row r="16" spans="1:8" x14ac:dyDescent="0.35">
      <c r="A16" t="s">
        <v>241</v>
      </c>
      <c r="B16" t="s">
        <v>114</v>
      </c>
      <c r="C16" t="s">
        <v>297</v>
      </c>
      <c r="D16" t="s">
        <v>114</v>
      </c>
      <c r="E16">
        <v>0</v>
      </c>
      <c r="F16" t="s">
        <v>17426</v>
      </c>
      <c r="G16" t="s">
        <v>165</v>
      </c>
      <c r="H16" t="s">
        <v>354</v>
      </c>
    </row>
    <row r="17" spans="1:8" x14ac:dyDescent="0.35">
      <c r="A17" t="s">
        <v>241</v>
      </c>
      <c r="B17" t="s">
        <v>44</v>
      </c>
      <c r="C17" t="s">
        <v>274</v>
      </c>
      <c r="D17" t="s">
        <v>70</v>
      </c>
      <c r="E17">
        <v>0</v>
      </c>
      <c r="F17" t="s">
        <v>336</v>
      </c>
      <c r="G17" t="s">
        <v>164</v>
      </c>
      <c r="H17" t="s">
        <v>355</v>
      </c>
    </row>
    <row r="18" spans="1:8" x14ac:dyDescent="0.35">
      <c r="A18" t="s">
        <v>241</v>
      </c>
      <c r="B18" t="s">
        <v>45</v>
      </c>
      <c r="C18" t="s">
        <v>275</v>
      </c>
      <c r="D18" t="s">
        <v>68</v>
      </c>
      <c r="E18">
        <v>0</v>
      </c>
      <c r="F18" t="s">
        <v>333</v>
      </c>
      <c r="G18" t="s">
        <v>165</v>
      </c>
      <c r="H18" t="s">
        <v>354</v>
      </c>
    </row>
    <row r="19" spans="1:8" x14ac:dyDescent="0.35">
      <c r="A19" t="s">
        <v>241</v>
      </c>
      <c r="B19" t="s">
        <v>46</v>
      </c>
      <c r="C19" t="s">
        <v>276</v>
      </c>
      <c r="D19" t="s">
        <v>67</v>
      </c>
      <c r="E19">
        <v>0</v>
      </c>
      <c r="F19" t="s">
        <v>332</v>
      </c>
      <c r="G19" t="s">
        <v>166</v>
      </c>
      <c r="H19" t="s">
        <v>353</v>
      </c>
    </row>
    <row r="20" spans="1:8" x14ac:dyDescent="0.35">
      <c r="A20" t="s">
        <v>241</v>
      </c>
      <c r="B20" t="s">
        <v>47</v>
      </c>
      <c r="C20" t="s">
        <v>277</v>
      </c>
      <c r="D20" t="s">
        <v>63</v>
      </c>
      <c r="E20">
        <v>0</v>
      </c>
      <c r="F20" t="s">
        <v>327</v>
      </c>
      <c r="G20" t="s">
        <v>164</v>
      </c>
      <c r="H20" t="s">
        <v>355</v>
      </c>
    </row>
    <row r="21" spans="1:8" x14ac:dyDescent="0.35">
      <c r="A21" t="s">
        <v>241</v>
      </c>
      <c r="B21" t="s">
        <v>48</v>
      </c>
      <c r="C21" t="s">
        <v>272</v>
      </c>
      <c r="D21" t="s">
        <v>71</v>
      </c>
      <c r="E21">
        <v>0</v>
      </c>
      <c r="F21" t="s">
        <v>338</v>
      </c>
      <c r="G21" t="s">
        <v>164</v>
      </c>
      <c r="H21" t="s">
        <v>355</v>
      </c>
    </row>
    <row r="22" spans="1:8" x14ac:dyDescent="0.35">
      <c r="A22" t="s">
        <v>241</v>
      </c>
      <c r="B22" t="s">
        <v>49</v>
      </c>
      <c r="C22" t="s">
        <v>278</v>
      </c>
      <c r="D22" t="s">
        <v>66</v>
      </c>
      <c r="E22">
        <v>0</v>
      </c>
      <c r="F22" t="s">
        <v>331</v>
      </c>
      <c r="G22" t="s">
        <v>165</v>
      </c>
      <c r="H22" t="s">
        <v>354</v>
      </c>
    </row>
    <row r="23" spans="1:8" x14ac:dyDescent="0.35">
      <c r="A23" t="s">
        <v>241</v>
      </c>
      <c r="B23" t="s">
        <v>50</v>
      </c>
      <c r="C23" t="s">
        <v>295</v>
      </c>
      <c r="D23" t="s">
        <v>50</v>
      </c>
      <c r="E23">
        <v>0</v>
      </c>
      <c r="F23" t="s">
        <v>17427</v>
      </c>
      <c r="G23" t="s">
        <v>165</v>
      </c>
      <c r="H23" t="s">
        <v>354</v>
      </c>
    </row>
    <row r="24" spans="1:8" x14ac:dyDescent="0.35">
      <c r="A24" t="s">
        <v>241</v>
      </c>
      <c r="B24" t="s">
        <v>51</v>
      </c>
      <c r="C24" t="s">
        <v>279</v>
      </c>
      <c r="D24" t="s">
        <v>71</v>
      </c>
      <c r="E24">
        <v>0</v>
      </c>
      <c r="F24" t="s">
        <v>338</v>
      </c>
      <c r="G24" t="s">
        <v>164</v>
      </c>
      <c r="H24" t="s">
        <v>355</v>
      </c>
    </row>
    <row r="25" spans="1:8" x14ac:dyDescent="0.35">
      <c r="A25" t="s">
        <v>241</v>
      </c>
      <c r="B25" t="s">
        <v>52</v>
      </c>
      <c r="C25" t="s">
        <v>280</v>
      </c>
      <c r="D25" t="s">
        <v>65</v>
      </c>
      <c r="E25">
        <v>0</v>
      </c>
      <c r="F25" t="s">
        <v>328</v>
      </c>
      <c r="G25" t="s">
        <v>164</v>
      </c>
      <c r="H25" t="s">
        <v>355</v>
      </c>
    </row>
    <row r="26" spans="1:8" x14ac:dyDescent="0.35">
      <c r="A26" t="s">
        <v>241</v>
      </c>
      <c r="B26" t="s">
        <v>53</v>
      </c>
      <c r="C26" t="s">
        <v>290</v>
      </c>
      <c r="D26" t="s">
        <v>68</v>
      </c>
      <c r="E26">
        <v>0</v>
      </c>
      <c r="F26" t="s">
        <v>333</v>
      </c>
      <c r="G26" t="s">
        <v>165</v>
      </c>
      <c r="H26" t="s">
        <v>354</v>
      </c>
    </row>
    <row r="27" spans="1:8" x14ac:dyDescent="0.35">
      <c r="A27" t="s">
        <v>241</v>
      </c>
      <c r="B27" t="s">
        <v>54</v>
      </c>
      <c r="C27" t="s">
        <v>281</v>
      </c>
      <c r="D27" t="s">
        <v>67</v>
      </c>
      <c r="E27">
        <v>0</v>
      </c>
      <c r="F27" t="s">
        <v>332</v>
      </c>
      <c r="G27" t="s">
        <v>166</v>
      </c>
      <c r="H27" t="s">
        <v>353</v>
      </c>
    </row>
    <row r="28" spans="1:8" x14ac:dyDescent="0.35">
      <c r="A28" t="s">
        <v>241</v>
      </c>
      <c r="B28" t="s">
        <v>55</v>
      </c>
      <c r="C28" t="s">
        <v>282</v>
      </c>
      <c r="D28" t="s">
        <v>71</v>
      </c>
      <c r="E28">
        <v>0</v>
      </c>
      <c r="F28" t="s">
        <v>338</v>
      </c>
      <c r="G28" t="s">
        <v>164</v>
      </c>
      <c r="H28" t="s">
        <v>355</v>
      </c>
    </row>
    <row r="29" spans="1:8" x14ac:dyDescent="0.35">
      <c r="A29" t="s">
        <v>241</v>
      </c>
      <c r="B29" t="s">
        <v>56</v>
      </c>
      <c r="C29" t="s">
        <v>283</v>
      </c>
      <c r="D29" t="s">
        <v>66</v>
      </c>
      <c r="E29">
        <v>0</v>
      </c>
      <c r="F29" t="s">
        <v>331</v>
      </c>
      <c r="G29" t="s">
        <v>165</v>
      </c>
      <c r="H29" t="s">
        <v>354</v>
      </c>
    </row>
    <row r="30" spans="1:8" x14ac:dyDescent="0.35">
      <c r="A30" t="s">
        <v>241</v>
      </c>
      <c r="B30" t="s">
        <v>57</v>
      </c>
      <c r="C30" t="s">
        <v>284</v>
      </c>
      <c r="D30" t="s">
        <v>57</v>
      </c>
      <c r="E30">
        <v>0</v>
      </c>
      <c r="F30" t="s">
        <v>337</v>
      </c>
      <c r="G30" t="s">
        <v>165</v>
      </c>
      <c r="H30" t="s">
        <v>354</v>
      </c>
    </row>
    <row r="31" spans="1:8" x14ac:dyDescent="0.35">
      <c r="A31" t="s">
        <v>241</v>
      </c>
      <c r="B31" t="s">
        <v>58</v>
      </c>
      <c r="C31" t="s">
        <v>285</v>
      </c>
      <c r="D31" t="s">
        <v>17412</v>
      </c>
      <c r="E31">
        <v>0</v>
      </c>
      <c r="F31" t="s">
        <v>17428</v>
      </c>
      <c r="G31" t="s">
        <v>166</v>
      </c>
      <c r="H31" t="s">
        <v>353</v>
      </c>
    </row>
    <row r="32" spans="1:8" x14ac:dyDescent="0.35">
      <c r="A32" t="s">
        <v>241</v>
      </c>
      <c r="B32" t="s">
        <v>59</v>
      </c>
      <c r="C32" t="s">
        <v>291</v>
      </c>
      <c r="D32" t="s">
        <v>64</v>
      </c>
      <c r="E32">
        <v>0</v>
      </c>
      <c r="F32" t="s">
        <v>329</v>
      </c>
      <c r="G32" t="s">
        <v>165</v>
      </c>
      <c r="H32" t="s">
        <v>354</v>
      </c>
    </row>
    <row r="33" spans="1:8" x14ac:dyDescent="0.35">
      <c r="A33" t="s">
        <v>241</v>
      </c>
      <c r="B33" t="s">
        <v>60</v>
      </c>
      <c r="C33" t="s">
        <v>292</v>
      </c>
      <c r="D33" t="s">
        <v>69</v>
      </c>
      <c r="E33">
        <v>0</v>
      </c>
      <c r="F33" t="s">
        <v>335</v>
      </c>
      <c r="G33" t="s">
        <v>166</v>
      </c>
      <c r="H33" t="s">
        <v>353</v>
      </c>
    </row>
    <row r="34" spans="1:8" hidden="1" x14ac:dyDescent="0.35">
      <c r="A34" t="s">
        <v>773</v>
      </c>
      <c r="B34" t="s">
        <v>31</v>
      </c>
      <c r="C34" t="s">
        <v>286</v>
      </c>
      <c r="D34" t="s">
        <v>31</v>
      </c>
      <c r="E34" t="s">
        <v>31</v>
      </c>
      <c r="F34" t="s">
        <v>326</v>
      </c>
      <c r="G34" t="s">
        <v>164</v>
      </c>
      <c r="H34" t="s">
        <v>355</v>
      </c>
    </row>
    <row r="35" spans="1:8" hidden="1" x14ac:dyDescent="0.35">
      <c r="A35" t="s">
        <v>773</v>
      </c>
      <c r="B35" t="s">
        <v>32</v>
      </c>
      <c r="C35" t="s">
        <v>287</v>
      </c>
      <c r="D35" t="s">
        <v>63</v>
      </c>
      <c r="E35" t="s">
        <v>63</v>
      </c>
      <c r="F35" t="s">
        <v>327</v>
      </c>
      <c r="G35" t="s">
        <v>164</v>
      </c>
      <c r="H35" t="s">
        <v>355</v>
      </c>
    </row>
    <row r="36" spans="1:8" hidden="1" x14ac:dyDescent="0.35">
      <c r="A36" t="s">
        <v>773</v>
      </c>
      <c r="B36" t="s">
        <v>33</v>
      </c>
      <c r="C36" t="s">
        <v>293</v>
      </c>
      <c r="D36" t="s">
        <v>65</v>
      </c>
      <c r="E36" t="s">
        <v>65</v>
      </c>
      <c r="F36" t="s">
        <v>328</v>
      </c>
      <c r="G36" t="s">
        <v>164</v>
      </c>
      <c r="H36" t="s">
        <v>355</v>
      </c>
    </row>
    <row r="37" spans="1:8" hidden="1" x14ac:dyDescent="0.35">
      <c r="A37" t="s">
        <v>773</v>
      </c>
      <c r="B37" t="s">
        <v>34</v>
      </c>
      <c r="C37" t="s">
        <v>288</v>
      </c>
      <c r="D37" t="s">
        <v>64</v>
      </c>
      <c r="E37" t="s">
        <v>64</v>
      </c>
      <c r="F37" t="s">
        <v>329</v>
      </c>
      <c r="G37" t="s">
        <v>165</v>
      </c>
      <c r="H37" t="s">
        <v>354</v>
      </c>
    </row>
    <row r="38" spans="1:8" hidden="1" x14ac:dyDescent="0.35">
      <c r="A38" t="s">
        <v>773</v>
      </c>
      <c r="B38" t="s">
        <v>245</v>
      </c>
      <c r="C38" t="s">
        <v>289</v>
      </c>
      <c r="D38" t="s">
        <v>167</v>
      </c>
      <c r="E38" t="s">
        <v>167</v>
      </c>
      <c r="F38" t="s">
        <v>334</v>
      </c>
      <c r="G38" t="s">
        <v>166</v>
      </c>
      <c r="H38" t="s">
        <v>353</v>
      </c>
    </row>
    <row r="39" spans="1:8" hidden="1" x14ac:dyDescent="0.35">
      <c r="A39" t="s">
        <v>773</v>
      </c>
      <c r="B39" t="s">
        <v>35</v>
      </c>
      <c r="C39" t="s">
        <v>267</v>
      </c>
      <c r="D39" t="s">
        <v>17412</v>
      </c>
      <c r="E39" t="s">
        <v>775</v>
      </c>
      <c r="F39" t="s">
        <v>17428</v>
      </c>
      <c r="G39" t="s">
        <v>166</v>
      </c>
      <c r="H39" t="s">
        <v>353</v>
      </c>
    </row>
    <row r="40" spans="1:8" hidden="1" x14ac:dyDescent="0.35">
      <c r="A40" t="s">
        <v>773</v>
      </c>
      <c r="B40" t="s">
        <v>36</v>
      </c>
      <c r="C40" t="s">
        <v>268</v>
      </c>
      <c r="D40" t="s">
        <v>36</v>
      </c>
      <c r="E40" t="s">
        <v>36</v>
      </c>
      <c r="F40" t="s">
        <v>330</v>
      </c>
      <c r="G40" t="s">
        <v>165</v>
      </c>
      <c r="H40" t="s">
        <v>354</v>
      </c>
    </row>
    <row r="41" spans="1:8" hidden="1" x14ac:dyDescent="0.35">
      <c r="A41" t="s">
        <v>773</v>
      </c>
      <c r="B41" t="s">
        <v>37</v>
      </c>
      <c r="C41" t="s">
        <v>294</v>
      </c>
      <c r="D41" t="s">
        <v>65</v>
      </c>
      <c r="E41" t="s">
        <v>65</v>
      </c>
      <c r="F41" t="s">
        <v>328</v>
      </c>
      <c r="G41" t="s">
        <v>164</v>
      </c>
      <c r="H41" t="s">
        <v>355</v>
      </c>
    </row>
    <row r="42" spans="1:8" hidden="1" x14ac:dyDescent="0.35">
      <c r="A42" t="s">
        <v>773</v>
      </c>
      <c r="B42" t="s">
        <v>38</v>
      </c>
      <c r="C42" t="s">
        <v>269</v>
      </c>
      <c r="D42" t="s">
        <v>66</v>
      </c>
      <c r="E42" t="s">
        <v>66</v>
      </c>
      <c r="F42" t="s">
        <v>331</v>
      </c>
      <c r="G42" t="s">
        <v>165</v>
      </c>
      <c r="H42" t="s">
        <v>354</v>
      </c>
    </row>
    <row r="43" spans="1:8" hidden="1" x14ac:dyDescent="0.35">
      <c r="A43" t="s">
        <v>773</v>
      </c>
      <c r="B43" t="s">
        <v>39</v>
      </c>
      <c r="C43" t="s">
        <v>296</v>
      </c>
      <c r="D43" t="s">
        <v>64</v>
      </c>
      <c r="E43" t="s">
        <v>64</v>
      </c>
      <c r="F43" t="s">
        <v>329</v>
      </c>
      <c r="G43" t="s">
        <v>165</v>
      </c>
      <c r="H43" t="s">
        <v>354</v>
      </c>
    </row>
    <row r="44" spans="1:8" hidden="1" x14ac:dyDescent="0.35">
      <c r="A44" t="s">
        <v>773</v>
      </c>
      <c r="B44" t="s">
        <v>40</v>
      </c>
      <c r="C44" t="s">
        <v>270</v>
      </c>
      <c r="D44" t="s">
        <v>67</v>
      </c>
      <c r="E44" t="s">
        <v>67</v>
      </c>
      <c r="F44" t="s">
        <v>332</v>
      </c>
      <c r="G44" t="s">
        <v>166</v>
      </c>
      <c r="H44" t="s">
        <v>353</v>
      </c>
    </row>
    <row r="45" spans="1:8" hidden="1" x14ac:dyDescent="0.35">
      <c r="A45" t="s">
        <v>773</v>
      </c>
      <c r="B45" t="s">
        <v>41</v>
      </c>
      <c r="C45" t="s">
        <v>271</v>
      </c>
      <c r="D45" t="s">
        <v>68</v>
      </c>
      <c r="E45" t="s">
        <v>68</v>
      </c>
      <c r="F45" t="s">
        <v>333</v>
      </c>
      <c r="G45" t="s">
        <v>165</v>
      </c>
      <c r="H45" t="s">
        <v>354</v>
      </c>
    </row>
    <row r="46" spans="1:8" hidden="1" x14ac:dyDescent="0.35">
      <c r="A46" t="s">
        <v>773</v>
      </c>
      <c r="B46" t="s">
        <v>42</v>
      </c>
      <c r="C46" t="s">
        <v>273</v>
      </c>
      <c r="D46" t="s">
        <v>69</v>
      </c>
      <c r="E46" t="s">
        <v>69</v>
      </c>
      <c r="F46" t="s">
        <v>335</v>
      </c>
      <c r="G46" t="s">
        <v>166</v>
      </c>
      <c r="H46" t="s">
        <v>353</v>
      </c>
    </row>
    <row r="47" spans="1:8" hidden="1" x14ac:dyDescent="0.35">
      <c r="A47" t="s">
        <v>773</v>
      </c>
      <c r="B47" t="s">
        <v>43</v>
      </c>
      <c r="C47" t="s">
        <v>298</v>
      </c>
      <c r="D47" t="s">
        <v>43</v>
      </c>
      <c r="E47" t="s">
        <v>775</v>
      </c>
      <c r="F47" t="s">
        <v>17425</v>
      </c>
      <c r="G47" t="s">
        <v>166</v>
      </c>
      <c r="H47" t="s">
        <v>353</v>
      </c>
    </row>
    <row r="48" spans="1:8" hidden="1" x14ac:dyDescent="0.35">
      <c r="A48" t="s">
        <v>773</v>
      </c>
      <c r="B48" t="s">
        <v>114</v>
      </c>
      <c r="C48" t="s">
        <v>959</v>
      </c>
      <c r="D48" t="s">
        <v>114</v>
      </c>
      <c r="E48" t="s">
        <v>114</v>
      </c>
      <c r="F48" t="s">
        <v>17478</v>
      </c>
      <c r="G48" t="s">
        <v>165</v>
      </c>
      <c r="H48" t="s">
        <v>354</v>
      </c>
    </row>
    <row r="49" spans="1:8" hidden="1" x14ac:dyDescent="0.35">
      <c r="A49" t="s">
        <v>773</v>
      </c>
      <c r="B49" t="s">
        <v>44</v>
      </c>
      <c r="C49" t="s">
        <v>274</v>
      </c>
      <c r="D49" t="s">
        <v>70</v>
      </c>
      <c r="E49" t="s">
        <v>70</v>
      </c>
      <c r="F49" t="s">
        <v>336</v>
      </c>
      <c r="G49" t="s">
        <v>164</v>
      </c>
      <c r="H49" t="s">
        <v>355</v>
      </c>
    </row>
    <row r="50" spans="1:8" hidden="1" x14ac:dyDescent="0.35">
      <c r="A50" t="s">
        <v>773</v>
      </c>
      <c r="B50" t="s">
        <v>45</v>
      </c>
      <c r="C50" t="s">
        <v>275</v>
      </c>
      <c r="D50" t="s">
        <v>68</v>
      </c>
      <c r="E50" t="s">
        <v>68</v>
      </c>
      <c r="F50" t="s">
        <v>333</v>
      </c>
      <c r="G50" t="s">
        <v>165</v>
      </c>
      <c r="H50" t="s">
        <v>354</v>
      </c>
    </row>
    <row r="51" spans="1:8" hidden="1" x14ac:dyDescent="0.35">
      <c r="A51" t="s">
        <v>773</v>
      </c>
      <c r="B51" t="s">
        <v>46</v>
      </c>
      <c r="C51" t="s">
        <v>276</v>
      </c>
      <c r="D51" t="s">
        <v>67</v>
      </c>
      <c r="E51" t="s">
        <v>67</v>
      </c>
      <c r="F51" t="s">
        <v>332</v>
      </c>
      <c r="G51" t="s">
        <v>166</v>
      </c>
      <c r="H51" t="s">
        <v>353</v>
      </c>
    </row>
    <row r="52" spans="1:8" hidden="1" x14ac:dyDescent="0.35">
      <c r="A52" t="s">
        <v>773</v>
      </c>
      <c r="B52" t="s">
        <v>47</v>
      </c>
      <c r="C52" t="s">
        <v>277</v>
      </c>
      <c r="D52" t="s">
        <v>63</v>
      </c>
      <c r="E52" t="s">
        <v>63</v>
      </c>
      <c r="F52" t="s">
        <v>327</v>
      </c>
      <c r="G52" t="s">
        <v>164</v>
      </c>
      <c r="H52" t="s">
        <v>355</v>
      </c>
    </row>
    <row r="53" spans="1:8" hidden="1" x14ac:dyDescent="0.35">
      <c r="A53" t="s">
        <v>773</v>
      </c>
      <c r="B53" t="s">
        <v>48</v>
      </c>
      <c r="C53" t="s">
        <v>272</v>
      </c>
      <c r="D53" t="s">
        <v>71</v>
      </c>
      <c r="E53" t="s">
        <v>71</v>
      </c>
      <c r="F53" t="s">
        <v>338</v>
      </c>
      <c r="G53" t="s">
        <v>164</v>
      </c>
      <c r="H53" t="s">
        <v>355</v>
      </c>
    </row>
    <row r="54" spans="1:8" hidden="1" x14ac:dyDescent="0.35">
      <c r="A54" t="s">
        <v>773</v>
      </c>
      <c r="B54" t="s">
        <v>49</v>
      </c>
      <c r="C54" t="s">
        <v>278</v>
      </c>
      <c r="D54" t="s">
        <v>66</v>
      </c>
      <c r="E54" t="s">
        <v>66</v>
      </c>
      <c r="F54" t="s">
        <v>331</v>
      </c>
      <c r="G54" t="s">
        <v>165</v>
      </c>
      <c r="H54" t="s">
        <v>354</v>
      </c>
    </row>
    <row r="55" spans="1:8" hidden="1" x14ac:dyDescent="0.35">
      <c r="A55" t="s">
        <v>773</v>
      </c>
      <c r="B55" t="s">
        <v>50</v>
      </c>
      <c r="C55" t="s">
        <v>960</v>
      </c>
      <c r="D55" t="s">
        <v>50</v>
      </c>
      <c r="E55" t="s">
        <v>50</v>
      </c>
      <c r="F55" t="s">
        <v>17479</v>
      </c>
      <c r="G55" t="s">
        <v>165</v>
      </c>
      <c r="H55" t="s">
        <v>354</v>
      </c>
    </row>
    <row r="56" spans="1:8" hidden="1" x14ac:dyDescent="0.35">
      <c r="A56" t="s">
        <v>773</v>
      </c>
      <c r="B56" t="s">
        <v>51</v>
      </c>
      <c r="C56" t="s">
        <v>279</v>
      </c>
      <c r="D56" t="s">
        <v>71</v>
      </c>
      <c r="E56" t="s">
        <v>71</v>
      </c>
      <c r="F56" t="s">
        <v>338</v>
      </c>
      <c r="G56" t="s">
        <v>164</v>
      </c>
      <c r="H56" t="s">
        <v>355</v>
      </c>
    </row>
    <row r="57" spans="1:8" hidden="1" x14ac:dyDescent="0.35">
      <c r="A57" t="s">
        <v>773</v>
      </c>
      <c r="B57" t="s">
        <v>52</v>
      </c>
      <c r="C57" t="s">
        <v>280</v>
      </c>
      <c r="D57" t="s">
        <v>65</v>
      </c>
      <c r="E57" t="s">
        <v>65</v>
      </c>
      <c r="F57" t="s">
        <v>328</v>
      </c>
      <c r="G57" t="s">
        <v>164</v>
      </c>
      <c r="H57" t="s">
        <v>355</v>
      </c>
    </row>
    <row r="58" spans="1:8" hidden="1" x14ac:dyDescent="0.35">
      <c r="A58" t="s">
        <v>773</v>
      </c>
      <c r="B58" t="s">
        <v>53</v>
      </c>
      <c r="C58" t="s">
        <v>290</v>
      </c>
      <c r="D58" t="s">
        <v>68</v>
      </c>
      <c r="E58" t="s">
        <v>68</v>
      </c>
      <c r="F58" t="s">
        <v>333</v>
      </c>
      <c r="G58" t="s">
        <v>165</v>
      </c>
      <c r="H58" t="s">
        <v>354</v>
      </c>
    </row>
    <row r="59" spans="1:8" hidden="1" x14ac:dyDescent="0.35">
      <c r="A59" t="s">
        <v>773</v>
      </c>
      <c r="B59" t="s">
        <v>54</v>
      </c>
      <c r="C59" t="s">
        <v>281</v>
      </c>
      <c r="D59" t="s">
        <v>67</v>
      </c>
      <c r="E59" t="s">
        <v>67</v>
      </c>
      <c r="F59" t="s">
        <v>332</v>
      </c>
      <c r="G59" t="s">
        <v>166</v>
      </c>
      <c r="H59" t="s">
        <v>353</v>
      </c>
    </row>
    <row r="60" spans="1:8" hidden="1" x14ac:dyDescent="0.35">
      <c r="A60" t="s">
        <v>773</v>
      </c>
      <c r="B60" t="s">
        <v>55</v>
      </c>
      <c r="C60" t="s">
        <v>282</v>
      </c>
      <c r="D60" t="s">
        <v>71</v>
      </c>
      <c r="E60" t="s">
        <v>71</v>
      </c>
      <c r="F60" t="s">
        <v>338</v>
      </c>
      <c r="G60" t="s">
        <v>164</v>
      </c>
      <c r="H60" t="s">
        <v>355</v>
      </c>
    </row>
    <row r="61" spans="1:8" hidden="1" x14ac:dyDescent="0.35">
      <c r="A61" t="s">
        <v>773</v>
      </c>
      <c r="B61" t="s">
        <v>56</v>
      </c>
      <c r="C61" t="s">
        <v>283</v>
      </c>
      <c r="D61" t="s">
        <v>66</v>
      </c>
      <c r="E61" t="s">
        <v>66</v>
      </c>
      <c r="F61" t="s">
        <v>331</v>
      </c>
      <c r="G61" t="s">
        <v>165</v>
      </c>
      <c r="H61" t="s">
        <v>354</v>
      </c>
    </row>
    <row r="62" spans="1:8" hidden="1" x14ac:dyDescent="0.35">
      <c r="A62" t="s">
        <v>773</v>
      </c>
      <c r="B62" t="s">
        <v>57</v>
      </c>
      <c r="C62" t="s">
        <v>284</v>
      </c>
      <c r="D62" t="s">
        <v>57</v>
      </c>
      <c r="E62" t="s">
        <v>57</v>
      </c>
      <c r="F62" t="s">
        <v>337</v>
      </c>
      <c r="G62" t="s">
        <v>165</v>
      </c>
      <c r="H62" t="s">
        <v>354</v>
      </c>
    </row>
    <row r="63" spans="1:8" hidden="1" x14ac:dyDescent="0.35">
      <c r="A63" t="s">
        <v>773</v>
      </c>
      <c r="B63" t="s">
        <v>58</v>
      </c>
      <c r="C63" t="s">
        <v>285</v>
      </c>
      <c r="D63" t="s">
        <v>17412</v>
      </c>
      <c r="E63" t="s">
        <v>775</v>
      </c>
      <c r="F63" t="s">
        <v>17428</v>
      </c>
      <c r="G63" t="s">
        <v>166</v>
      </c>
      <c r="H63" t="s">
        <v>353</v>
      </c>
    </row>
    <row r="64" spans="1:8" hidden="1" x14ac:dyDescent="0.35">
      <c r="A64" t="s">
        <v>773</v>
      </c>
      <c r="B64" t="s">
        <v>59</v>
      </c>
      <c r="C64" t="s">
        <v>291</v>
      </c>
      <c r="D64" t="s">
        <v>64</v>
      </c>
      <c r="E64" t="s">
        <v>64</v>
      </c>
      <c r="F64" t="s">
        <v>329</v>
      </c>
      <c r="G64" t="s">
        <v>165</v>
      </c>
      <c r="H64" t="s">
        <v>354</v>
      </c>
    </row>
    <row r="65" spans="1:8" hidden="1" x14ac:dyDescent="0.35">
      <c r="A65" t="s">
        <v>773</v>
      </c>
      <c r="B65" t="s">
        <v>60</v>
      </c>
      <c r="C65" t="s">
        <v>292</v>
      </c>
      <c r="D65" t="s">
        <v>69</v>
      </c>
      <c r="E65" t="s">
        <v>69</v>
      </c>
      <c r="F65" t="s">
        <v>335</v>
      </c>
      <c r="G65" t="s">
        <v>166</v>
      </c>
      <c r="H65" t="s">
        <v>353</v>
      </c>
    </row>
  </sheetData>
  <autoFilter ref="A1:H65">
    <filterColumn colId="0">
      <filters>
        <filter val="2018-19"/>
      </filters>
    </filterColumn>
  </autoFilter>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46"/>
  <sheetViews>
    <sheetView topLeftCell="A21" workbookViewId="0">
      <selection activeCell="D42" sqref="D42"/>
    </sheetView>
  </sheetViews>
  <sheetFormatPr defaultRowHeight="14.5" x14ac:dyDescent="0.35"/>
  <cols>
    <col min="1" max="1" width="44.6328125" bestFit="1" customWidth="1"/>
    <col min="2" max="2" width="15.26953125" bestFit="1" customWidth="1"/>
    <col min="3" max="3" width="4.81640625" bestFit="1" customWidth="1"/>
    <col min="4" max="4" width="11.26953125" bestFit="1" customWidth="1"/>
    <col min="5" max="5" width="7.54296875" bestFit="1" customWidth="1"/>
    <col min="6" max="6" width="3.81640625" bestFit="1" customWidth="1"/>
    <col min="7" max="7" width="4.81640625" bestFit="1" customWidth="1"/>
    <col min="8" max="8" width="10.7265625" bestFit="1" customWidth="1"/>
    <col min="9" max="9" width="10.54296875" bestFit="1" customWidth="1"/>
    <col min="10" max="10" width="17.453125" bestFit="1" customWidth="1"/>
    <col min="11" max="11" width="9.81640625" bestFit="1" customWidth="1"/>
    <col min="12" max="12" width="10.54296875" bestFit="1" customWidth="1"/>
    <col min="13" max="13" width="12.81640625" bestFit="1" customWidth="1"/>
    <col min="14" max="14" width="5.81640625" bestFit="1" customWidth="1"/>
    <col min="15" max="15" width="10.54296875" bestFit="1" customWidth="1"/>
    <col min="16" max="16" width="8.81640625" bestFit="1" customWidth="1"/>
    <col min="17" max="17" width="8" bestFit="1" customWidth="1"/>
    <col min="18" max="18" width="10.54296875" bestFit="1" customWidth="1"/>
    <col min="19" max="19" width="9" bestFit="1" customWidth="1"/>
    <col min="20" max="20" width="11.26953125" bestFit="1" customWidth="1"/>
  </cols>
  <sheetData>
    <row r="1" spans="1:8" x14ac:dyDescent="0.35">
      <c r="A1" s="459" t="s">
        <v>312</v>
      </c>
      <c r="B1" t="s">
        <v>773</v>
      </c>
      <c r="D1" t="str">
        <f>B1</f>
        <v>2019-20</v>
      </c>
    </row>
    <row r="2" spans="1:8" x14ac:dyDescent="0.35">
      <c r="A2" s="459" t="s">
        <v>498</v>
      </c>
      <c r="B2" t="s">
        <v>81</v>
      </c>
    </row>
    <row r="4" spans="1:8" x14ac:dyDescent="0.35">
      <c r="A4" s="459" t="s">
        <v>240</v>
      </c>
      <c r="B4" s="459" t="s">
        <v>256</v>
      </c>
    </row>
    <row r="5" spans="1:8" x14ac:dyDescent="0.35">
      <c r="A5" s="459" t="s">
        <v>234</v>
      </c>
      <c r="B5" t="s">
        <v>2</v>
      </c>
      <c r="C5" t="s">
        <v>9</v>
      </c>
      <c r="D5" t="s">
        <v>774</v>
      </c>
      <c r="E5" t="s">
        <v>3</v>
      </c>
      <c r="F5" t="s">
        <v>300</v>
      </c>
      <c r="G5" t="s">
        <v>301</v>
      </c>
      <c r="H5" t="s">
        <v>239</v>
      </c>
    </row>
    <row r="6" spans="1:8" x14ac:dyDescent="0.35">
      <c r="A6" s="862" t="s">
        <v>899</v>
      </c>
      <c r="B6" s="461"/>
      <c r="C6" s="461"/>
      <c r="D6" s="461"/>
      <c r="E6" s="461">
        <v>185</v>
      </c>
      <c r="F6" s="461"/>
      <c r="G6" s="461">
        <v>5</v>
      </c>
      <c r="H6" s="461">
        <v>190</v>
      </c>
    </row>
    <row r="7" spans="1:8" x14ac:dyDescent="0.35">
      <c r="A7" s="862" t="s">
        <v>900</v>
      </c>
      <c r="B7" s="461"/>
      <c r="C7" s="461"/>
      <c r="D7" s="461"/>
      <c r="E7" s="461">
        <v>71</v>
      </c>
      <c r="F7" s="461"/>
      <c r="G7" s="461">
        <v>2</v>
      </c>
      <c r="H7" s="461">
        <v>73</v>
      </c>
    </row>
    <row r="8" spans="1:8" x14ac:dyDescent="0.35">
      <c r="A8" s="862" t="s">
        <v>901</v>
      </c>
      <c r="B8" s="461"/>
      <c r="C8" s="461"/>
      <c r="D8" s="461"/>
      <c r="E8" s="461">
        <v>68</v>
      </c>
      <c r="F8" s="461"/>
      <c r="G8" s="461"/>
      <c r="H8" s="461">
        <v>68</v>
      </c>
    </row>
    <row r="9" spans="1:8" x14ac:dyDescent="0.35">
      <c r="A9" s="862" t="s">
        <v>902</v>
      </c>
      <c r="B9" s="461"/>
      <c r="C9" s="461"/>
      <c r="D9" s="461"/>
      <c r="E9" s="461">
        <v>17</v>
      </c>
      <c r="F9" s="461"/>
      <c r="G9" s="461">
        <v>2</v>
      </c>
      <c r="H9" s="461">
        <v>19</v>
      </c>
    </row>
    <row r="10" spans="1:8" x14ac:dyDescent="0.35">
      <c r="A10" s="862" t="s">
        <v>903</v>
      </c>
      <c r="B10" s="461"/>
      <c r="C10" s="461"/>
      <c r="D10" s="461"/>
      <c r="E10" s="461">
        <v>73</v>
      </c>
      <c r="F10" s="461"/>
      <c r="G10" s="461"/>
      <c r="H10" s="461">
        <v>73</v>
      </c>
    </row>
    <row r="11" spans="1:8" x14ac:dyDescent="0.35">
      <c r="A11" s="862" t="s">
        <v>904</v>
      </c>
      <c r="B11" s="461"/>
      <c r="C11" s="461"/>
      <c r="D11" s="461"/>
      <c r="E11" s="461">
        <v>95</v>
      </c>
      <c r="F11" s="461"/>
      <c r="G11" s="461">
        <v>2</v>
      </c>
      <c r="H11" s="461">
        <v>97</v>
      </c>
    </row>
    <row r="12" spans="1:8" x14ac:dyDescent="0.35">
      <c r="A12" s="862" t="s">
        <v>905</v>
      </c>
      <c r="B12" s="461"/>
      <c r="C12" s="461"/>
      <c r="D12" s="461"/>
      <c r="E12" s="461">
        <v>17</v>
      </c>
      <c r="F12" s="461"/>
      <c r="G12" s="461">
        <v>51</v>
      </c>
      <c r="H12" s="461">
        <v>68</v>
      </c>
    </row>
    <row r="13" spans="1:8" x14ac:dyDescent="0.35">
      <c r="A13" s="862" t="s">
        <v>906</v>
      </c>
      <c r="B13" s="461">
        <v>186</v>
      </c>
      <c r="C13" s="461"/>
      <c r="D13" s="461"/>
      <c r="E13" s="461">
        <v>77</v>
      </c>
      <c r="F13" s="461"/>
      <c r="G13" s="461">
        <v>52</v>
      </c>
      <c r="H13" s="461">
        <v>315</v>
      </c>
    </row>
    <row r="14" spans="1:8" x14ac:dyDescent="0.35">
      <c r="A14" s="862" t="s">
        <v>907</v>
      </c>
      <c r="B14" s="461"/>
      <c r="C14" s="461"/>
      <c r="D14" s="461"/>
      <c r="E14" s="461">
        <v>3</v>
      </c>
      <c r="F14" s="461"/>
      <c r="G14" s="461">
        <v>6</v>
      </c>
      <c r="H14" s="461">
        <v>9</v>
      </c>
    </row>
    <row r="15" spans="1:8" x14ac:dyDescent="0.35">
      <c r="A15" s="862" t="s">
        <v>908</v>
      </c>
      <c r="B15" s="461"/>
      <c r="C15" s="461">
        <v>2937</v>
      </c>
      <c r="D15" s="461">
        <v>36</v>
      </c>
      <c r="E15" s="461">
        <v>96</v>
      </c>
      <c r="F15" s="461">
        <v>315</v>
      </c>
      <c r="G15" s="461">
        <v>3358</v>
      </c>
      <c r="H15" s="461">
        <v>6742</v>
      </c>
    </row>
    <row r="16" spans="1:8" x14ac:dyDescent="0.35">
      <c r="A16" s="862" t="s">
        <v>909</v>
      </c>
      <c r="B16" s="461"/>
      <c r="C16" s="461"/>
      <c r="D16" s="461"/>
      <c r="E16" s="461">
        <v>1</v>
      </c>
      <c r="F16" s="461"/>
      <c r="G16" s="461">
        <v>5</v>
      </c>
      <c r="H16" s="461">
        <v>6</v>
      </c>
    </row>
    <row r="17" spans="1:8" x14ac:dyDescent="0.35">
      <c r="A17" s="862" t="s">
        <v>910</v>
      </c>
      <c r="B17" s="461"/>
      <c r="C17" s="461"/>
      <c r="D17" s="461"/>
      <c r="E17" s="461">
        <v>61</v>
      </c>
      <c r="F17" s="461"/>
      <c r="G17" s="461">
        <v>2</v>
      </c>
      <c r="H17" s="461">
        <v>63</v>
      </c>
    </row>
    <row r="18" spans="1:8" x14ac:dyDescent="0.35">
      <c r="A18" s="862" t="s">
        <v>783</v>
      </c>
      <c r="B18" s="461">
        <v>2</v>
      </c>
      <c r="C18" s="461"/>
      <c r="D18" s="461"/>
      <c r="E18" s="461">
        <v>2</v>
      </c>
      <c r="F18" s="461"/>
      <c r="G18" s="461">
        <v>53</v>
      </c>
      <c r="H18" s="461">
        <v>57</v>
      </c>
    </row>
    <row r="19" spans="1:8" x14ac:dyDescent="0.35">
      <c r="A19" s="862" t="s">
        <v>911</v>
      </c>
      <c r="B19" s="461"/>
      <c r="C19" s="461"/>
      <c r="D19" s="461"/>
      <c r="E19" s="461">
        <v>52</v>
      </c>
      <c r="F19" s="461"/>
      <c r="G19" s="461">
        <v>98</v>
      </c>
      <c r="H19" s="461">
        <v>150</v>
      </c>
    </row>
    <row r="20" spans="1:8" x14ac:dyDescent="0.35">
      <c r="A20" s="862" t="s">
        <v>239</v>
      </c>
      <c r="B20" s="461">
        <v>188</v>
      </c>
      <c r="C20" s="461">
        <v>2937</v>
      </c>
      <c r="D20" s="461">
        <v>36</v>
      </c>
      <c r="E20" s="461">
        <v>818</v>
      </c>
      <c r="F20" s="461">
        <v>315</v>
      </c>
      <c r="G20" s="461">
        <v>3636</v>
      </c>
      <c r="H20" s="461">
        <v>7930</v>
      </c>
    </row>
    <row r="27" spans="1:8" x14ac:dyDescent="0.35">
      <c r="A27" s="459" t="s">
        <v>312</v>
      </c>
      <c r="B27" t="s">
        <v>773</v>
      </c>
      <c r="D27" t="str">
        <f>B27</f>
        <v>2019-20</v>
      </c>
    </row>
    <row r="28" spans="1:8" x14ac:dyDescent="0.35">
      <c r="A28" s="459" t="s">
        <v>498</v>
      </c>
      <c r="B28" t="s">
        <v>898</v>
      </c>
    </row>
    <row r="30" spans="1:8" x14ac:dyDescent="0.35">
      <c r="A30" s="459" t="s">
        <v>240</v>
      </c>
      <c r="B30" s="459" t="s">
        <v>256</v>
      </c>
    </row>
    <row r="31" spans="1:8" x14ac:dyDescent="0.35">
      <c r="A31" s="459" t="s">
        <v>234</v>
      </c>
      <c r="B31" t="s">
        <v>2</v>
      </c>
      <c r="C31" t="s">
        <v>9</v>
      </c>
      <c r="D31" t="s">
        <v>774</v>
      </c>
      <c r="E31" t="s">
        <v>3</v>
      </c>
      <c r="F31" t="s">
        <v>300</v>
      </c>
      <c r="G31" t="s">
        <v>301</v>
      </c>
      <c r="H31" t="s">
        <v>239</v>
      </c>
    </row>
    <row r="32" spans="1:8" x14ac:dyDescent="0.35">
      <c r="A32" s="846" t="s">
        <v>899</v>
      </c>
      <c r="B32" s="461"/>
      <c r="C32" s="461"/>
      <c r="D32" s="461"/>
      <c r="E32" s="461">
        <v>182.2</v>
      </c>
      <c r="F32" s="461"/>
      <c r="G32" s="461">
        <v>5</v>
      </c>
      <c r="H32" s="461">
        <v>187.2</v>
      </c>
    </row>
    <row r="33" spans="1:8" x14ac:dyDescent="0.35">
      <c r="A33" s="846" t="s">
        <v>900</v>
      </c>
      <c r="B33" s="461"/>
      <c r="C33" s="461"/>
      <c r="D33" s="461"/>
      <c r="E33" s="461">
        <v>63.31</v>
      </c>
      <c r="F33" s="461"/>
      <c r="G33" s="461">
        <v>2</v>
      </c>
      <c r="H33" s="461">
        <v>65.31</v>
      </c>
    </row>
    <row r="34" spans="1:8" x14ac:dyDescent="0.35">
      <c r="A34" s="846" t="s">
        <v>901</v>
      </c>
      <c r="B34" s="461"/>
      <c r="C34" s="461"/>
      <c r="D34" s="461"/>
      <c r="E34" s="461">
        <v>62.3</v>
      </c>
      <c r="F34" s="461"/>
      <c r="G34" s="461"/>
      <c r="H34" s="461">
        <v>62.3</v>
      </c>
    </row>
    <row r="35" spans="1:8" x14ac:dyDescent="0.35">
      <c r="A35" s="846" t="s">
        <v>902</v>
      </c>
      <c r="B35" s="461"/>
      <c r="C35" s="461"/>
      <c r="D35" s="461"/>
      <c r="E35" s="461">
        <v>16.86</v>
      </c>
      <c r="F35" s="461"/>
      <c r="G35" s="461">
        <v>2</v>
      </c>
      <c r="H35" s="461">
        <v>18.86</v>
      </c>
    </row>
    <row r="36" spans="1:8" x14ac:dyDescent="0.35">
      <c r="A36" s="846" t="s">
        <v>903</v>
      </c>
      <c r="B36" s="461"/>
      <c r="C36" s="461"/>
      <c r="D36" s="461"/>
      <c r="E36" s="461">
        <v>71.489999999999995</v>
      </c>
      <c r="F36" s="461"/>
      <c r="G36" s="461"/>
      <c r="H36" s="461">
        <v>71.489999999999995</v>
      </c>
    </row>
    <row r="37" spans="1:8" x14ac:dyDescent="0.35">
      <c r="A37" s="846" t="s">
        <v>904</v>
      </c>
      <c r="B37" s="461"/>
      <c r="C37" s="461"/>
      <c r="D37" s="461"/>
      <c r="E37" s="461">
        <v>90.619999999999976</v>
      </c>
      <c r="F37" s="461"/>
      <c r="G37" s="461">
        <v>2</v>
      </c>
      <c r="H37" s="461">
        <v>92.619999999999976</v>
      </c>
    </row>
    <row r="38" spans="1:8" x14ac:dyDescent="0.35">
      <c r="A38" s="846" t="s">
        <v>905</v>
      </c>
      <c r="B38" s="461"/>
      <c r="C38" s="461"/>
      <c r="D38" s="461"/>
      <c r="E38" s="461">
        <v>16.689999999999998</v>
      </c>
      <c r="F38" s="461"/>
      <c r="G38" s="461">
        <v>51</v>
      </c>
      <c r="H38" s="461">
        <v>67.69</v>
      </c>
    </row>
    <row r="39" spans="1:8" x14ac:dyDescent="0.35">
      <c r="A39" s="846" t="s">
        <v>906</v>
      </c>
      <c r="B39" s="461">
        <v>181.83</v>
      </c>
      <c r="C39" s="461"/>
      <c r="D39" s="461"/>
      <c r="E39" s="461">
        <v>72.069999999999993</v>
      </c>
      <c r="F39" s="461"/>
      <c r="G39" s="461">
        <v>52</v>
      </c>
      <c r="H39" s="461">
        <v>305.89999999999998</v>
      </c>
    </row>
    <row r="40" spans="1:8" x14ac:dyDescent="0.35">
      <c r="A40" s="846" t="s">
        <v>907</v>
      </c>
      <c r="B40" s="461"/>
      <c r="C40" s="461"/>
      <c r="D40" s="461"/>
      <c r="E40" s="461">
        <v>3</v>
      </c>
      <c r="F40" s="461"/>
      <c r="G40" s="461">
        <v>6</v>
      </c>
      <c r="H40" s="461">
        <v>9</v>
      </c>
    </row>
    <row r="41" spans="1:8" x14ac:dyDescent="0.35">
      <c r="A41" s="846" t="s">
        <v>908</v>
      </c>
      <c r="B41" s="461"/>
      <c r="C41" s="461">
        <v>2551.73</v>
      </c>
      <c r="D41" s="461">
        <v>36</v>
      </c>
      <c r="E41" s="461">
        <v>78.53</v>
      </c>
      <c r="F41" s="461">
        <v>0</v>
      </c>
      <c r="G41" s="461">
        <v>3355.93</v>
      </c>
      <c r="H41" s="461">
        <v>6022.1900000000005</v>
      </c>
    </row>
    <row r="42" spans="1:8" x14ac:dyDescent="0.35">
      <c r="A42" s="846" t="s">
        <v>909</v>
      </c>
      <c r="B42" s="461"/>
      <c r="C42" s="461"/>
      <c r="D42" s="461"/>
      <c r="E42" s="461">
        <v>1</v>
      </c>
      <c r="F42" s="461"/>
      <c r="G42" s="461">
        <v>5</v>
      </c>
      <c r="H42" s="461">
        <v>6</v>
      </c>
    </row>
    <row r="43" spans="1:8" x14ac:dyDescent="0.35">
      <c r="A43" s="846" t="s">
        <v>910</v>
      </c>
      <c r="B43" s="461"/>
      <c r="C43" s="461"/>
      <c r="D43" s="461"/>
      <c r="E43" s="461">
        <v>58.52</v>
      </c>
      <c r="F43" s="461"/>
      <c r="G43" s="461">
        <v>2</v>
      </c>
      <c r="H43" s="461">
        <v>60.52</v>
      </c>
    </row>
    <row r="44" spans="1:8" x14ac:dyDescent="0.35">
      <c r="A44" s="846" t="s">
        <v>783</v>
      </c>
      <c r="B44" s="461">
        <v>2</v>
      </c>
      <c r="C44" s="461"/>
      <c r="D44" s="461"/>
      <c r="E44" s="461">
        <v>2</v>
      </c>
      <c r="F44" s="461"/>
      <c r="G44" s="461">
        <v>53</v>
      </c>
      <c r="H44" s="461">
        <v>57</v>
      </c>
    </row>
    <row r="45" spans="1:8" x14ac:dyDescent="0.35">
      <c r="A45" s="846" t="s">
        <v>911</v>
      </c>
      <c r="B45" s="461"/>
      <c r="C45" s="461"/>
      <c r="D45" s="461"/>
      <c r="E45" s="461">
        <v>46.81</v>
      </c>
      <c r="F45" s="461"/>
      <c r="G45" s="461">
        <v>98</v>
      </c>
      <c r="H45" s="461">
        <v>144.81</v>
      </c>
    </row>
    <row r="46" spans="1:8" x14ac:dyDescent="0.35">
      <c r="A46" s="846" t="s">
        <v>239</v>
      </c>
      <c r="B46" s="461">
        <v>183.83</v>
      </c>
      <c r="C46" s="461">
        <v>2551.73</v>
      </c>
      <c r="D46" s="461">
        <v>36</v>
      </c>
      <c r="E46" s="461">
        <v>765.39999999999986</v>
      </c>
      <c r="F46" s="461">
        <v>0</v>
      </c>
      <c r="G46" s="461">
        <v>3633.93</v>
      </c>
      <c r="H46" s="461">
        <v>7170.8900000000012</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8"/>
  <sheetViews>
    <sheetView workbookViewId="0">
      <selection activeCell="B6" sqref="B6"/>
    </sheetView>
  </sheetViews>
  <sheetFormatPr defaultRowHeight="14.5" x14ac:dyDescent="0.35"/>
  <cols>
    <col min="1" max="1" width="12.36328125" bestFit="1" customWidth="1"/>
    <col min="2" max="2" width="27.1796875" bestFit="1" customWidth="1"/>
    <col min="3" max="3" width="10.36328125" bestFit="1" customWidth="1"/>
    <col min="4" max="4" width="13.453125" bestFit="1" customWidth="1"/>
    <col min="5" max="5" width="13.90625" bestFit="1" customWidth="1"/>
    <col min="6" max="6" width="15.54296875" bestFit="1" customWidth="1"/>
  </cols>
  <sheetData>
    <row r="1" spans="1:6" x14ac:dyDescent="0.35">
      <c r="A1" s="459" t="s">
        <v>1</v>
      </c>
      <c r="B1" t="s">
        <v>951</v>
      </c>
    </row>
    <row r="3" spans="1:6" x14ac:dyDescent="0.35">
      <c r="A3" s="459" t="s">
        <v>234</v>
      </c>
      <c r="B3" t="s">
        <v>1028</v>
      </c>
      <c r="C3" t="s">
        <v>247</v>
      </c>
      <c r="D3" t="s">
        <v>248</v>
      </c>
      <c r="E3" t="s">
        <v>249</v>
      </c>
      <c r="F3" t="s">
        <v>315</v>
      </c>
    </row>
    <row r="4" spans="1:6" x14ac:dyDescent="0.35">
      <c r="A4" s="1000" t="s">
        <v>235</v>
      </c>
      <c r="B4" s="461">
        <v>2903</v>
      </c>
      <c r="C4" s="461">
        <v>2872</v>
      </c>
      <c r="D4" s="461">
        <v>0</v>
      </c>
      <c r="E4" s="461">
        <v>0</v>
      </c>
      <c r="F4" s="461">
        <v>303</v>
      </c>
    </row>
    <row r="5" spans="1:6" x14ac:dyDescent="0.35">
      <c r="A5" s="1000" t="s">
        <v>236</v>
      </c>
      <c r="B5" s="461">
        <v>377</v>
      </c>
      <c r="C5" s="461">
        <v>0</v>
      </c>
      <c r="D5" s="461">
        <v>0</v>
      </c>
      <c r="E5" s="461">
        <v>0</v>
      </c>
      <c r="F5" s="461">
        <v>0</v>
      </c>
    </row>
    <row r="6" spans="1:6" x14ac:dyDescent="0.35">
      <c r="A6" s="1000" t="s">
        <v>237</v>
      </c>
      <c r="B6" s="461">
        <v>212</v>
      </c>
      <c r="C6" s="461">
        <v>0</v>
      </c>
      <c r="D6" s="461">
        <v>0</v>
      </c>
      <c r="E6" s="461">
        <v>0</v>
      </c>
      <c r="F6" s="461">
        <v>0</v>
      </c>
    </row>
    <row r="7" spans="1:6" x14ac:dyDescent="0.35">
      <c r="A7" s="1000" t="s">
        <v>238</v>
      </c>
      <c r="B7" s="461">
        <v>92</v>
      </c>
      <c r="C7" s="461">
        <v>0</v>
      </c>
      <c r="D7" s="461">
        <v>182</v>
      </c>
      <c r="E7" s="461">
        <v>836</v>
      </c>
      <c r="F7" s="461">
        <v>0</v>
      </c>
    </row>
    <row r="8" spans="1:6" x14ac:dyDescent="0.35">
      <c r="A8" s="1000" t="s">
        <v>239</v>
      </c>
      <c r="B8" s="461">
        <v>3584</v>
      </c>
      <c r="C8" s="461">
        <v>2872</v>
      </c>
      <c r="D8" s="461">
        <v>182</v>
      </c>
      <c r="E8" s="461">
        <v>836</v>
      </c>
      <c r="F8" s="461">
        <v>303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33"/>
  <sheetViews>
    <sheetView workbookViewId="0">
      <selection sqref="A1:G36"/>
    </sheetView>
  </sheetViews>
  <sheetFormatPr defaultRowHeight="14.5" x14ac:dyDescent="0.35"/>
  <cols>
    <col min="1" max="1" width="7.453125" bestFit="1" customWidth="1"/>
    <col min="2" max="2" width="15.54296875" bestFit="1" customWidth="1"/>
    <col min="3" max="3" width="23" bestFit="1" customWidth="1"/>
    <col min="4" max="4" width="6.36328125" bestFit="1" customWidth="1"/>
    <col min="5" max="5" width="9.36328125" bestFit="1" customWidth="1"/>
    <col min="6" max="6" width="9.81640625" bestFit="1" customWidth="1"/>
    <col min="7" max="7" width="11.453125" bestFit="1" customWidth="1"/>
  </cols>
  <sheetData>
    <row r="1" spans="1:7" x14ac:dyDescent="0.35">
      <c r="A1" s="461" t="s">
        <v>1</v>
      </c>
      <c r="B1" s="461" t="s">
        <v>17409</v>
      </c>
      <c r="C1" s="461" t="s">
        <v>27</v>
      </c>
      <c r="D1" s="461" t="s">
        <v>9</v>
      </c>
      <c r="E1" s="461" t="s">
        <v>2</v>
      </c>
      <c r="F1" s="461" t="s">
        <v>3</v>
      </c>
      <c r="G1" s="461" t="s">
        <v>29</v>
      </c>
    </row>
    <row r="2" spans="1:7" x14ac:dyDescent="0.35">
      <c r="A2" s="461" t="s">
        <v>194</v>
      </c>
      <c r="B2" s="461" t="s">
        <v>236</v>
      </c>
      <c r="C2" s="461">
        <v>285</v>
      </c>
      <c r="D2" s="461"/>
      <c r="E2" s="461"/>
      <c r="F2" s="461"/>
      <c r="G2" s="461"/>
    </row>
    <row r="3" spans="1:7" x14ac:dyDescent="0.35">
      <c r="A3" s="461" t="s">
        <v>194</v>
      </c>
      <c r="B3" s="461" t="s">
        <v>237</v>
      </c>
      <c r="C3" s="461">
        <v>268</v>
      </c>
      <c r="D3" s="461"/>
      <c r="E3" s="461"/>
      <c r="F3" s="461">
        <v>724</v>
      </c>
      <c r="G3" s="461"/>
    </row>
    <row r="4" spans="1:7" x14ac:dyDescent="0.35">
      <c r="A4" s="461" t="s">
        <v>194</v>
      </c>
      <c r="B4" s="461" t="s">
        <v>238</v>
      </c>
      <c r="C4" s="461">
        <v>56</v>
      </c>
      <c r="D4" s="461"/>
      <c r="E4" s="461">
        <v>223</v>
      </c>
      <c r="F4" s="461">
        <v>237</v>
      </c>
      <c r="G4" s="461"/>
    </row>
    <row r="5" spans="1:7" x14ac:dyDescent="0.35">
      <c r="A5" s="461" t="s">
        <v>194</v>
      </c>
      <c r="B5" s="461" t="s">
        <v>235</v>
      </c>
      <c r="C5" s="461">
        <v>3392</v>
      </c>
      <c r="D5" s="461">
        <v>2940</v>
      </c>
      <c r="E5" s="461"/>
      <c r="F5" s="461"/>
      <c r="G5" s="461">
        <v>359</v>
      </c>
    </row>
    <row r="6" spans="1:7" x14ac:dyDescent="0.35">
      <c r="A6" s="461" t="s">
        <v>193</v>
      </c>
      <c r="B6" s="461" t="s">
        <v>236</v>
      </c>
      <c r="C6" s="461">
        <v>270</v>
      </c>
      <c r="D6" s="461"/>
      <c r="E6" s="461"/>
      <c r="F6" s="461"/>
      <c r="G6" s="461"/>
    </row>
    <row r="7" spans="1:7" x14ac:dyDescent="0.35">
      <c r="A7" s="461" t="s">
        <v>193</v>
      </c>
      <c r="B7" s="461" t="s">
        <v>238</v>
      </c>
      <c r="C7" s="461">
        <v>50</v>
      </c>
      <c r="D7" s="461"/>
      <c r="E7" s="461">
        <v>230</v>
      </c>
      <c r="F7" s="461">
        <v>238</v>
      </c>
      <c r="G7" s="461"/>
    </row>
    <row r="8" spans="1:7" x14ac:dyDescent="0.35">
      <c r="A8" s="461" t="s">
        <v>193</v>
      </c>
      <c r="B8" s="461" t="s">
        <v>237</v>
      </c>
      <c r="C8" s="461">
        <v>251</v>
      </c>
      <c r="D8" s="461"/>
      <c r="E8" s="461"/>
      <c r="F8" s="461">
        <v>629</v>
      </c>
      <c r="G8" s="461"/>
    </row>
    <row r="9" spans="1:7" x14ac:dyDescent="0.35">
      <c r="A9" s="461" t="s">
        <v>193</v>
      </c>
      <c r="B9" s="461" t="s">
        <v>235</v>
      </c>
      <c r="C9" s="461">
        <v>3285</v>
      </c>
      <c r="D9" s="461">
        <v>2950</v>
      </c>
      <c r="E9" s="461"/>
      <c r="F9" s="461"/>
      <c r="G9" s="461">
        <v>378</v>
      </c>
    </row>
    <row r="10" spans="1:7" x14ac:dyDescent="0.35">
      <c r="A10" s="461" t="s">
        <v>192</v>
      </c>
      <c r="B10" s="461" t="s">
        <v>235</v>
      </c>
      <c r="C10" s="461">
        <v>3025</v>
      </c>
      <c r="D10" s="461">
        <v>2870</v>
      </c>
      <c r="E10" s="461"/>
      <c r="F10" s="461"/>
      <c r="G10" s="461">
        <v>342</v>
      </c>
    </row>
    <row r="11" spans="1:7" x14ac:dyDescent="0.35">
      <c r="A11" s="461" t="s">
        <v>192</v>
      </c>
      <c r="B11" s="461" t="s">
        <v>236</v>
      </c>
      <c r="C11" s="461">
        <v>385</v>
      </c>
      <c r="D11" s="461"/>
      <c r="E11" s="461"/>
      <c r="F11" s="461"/>
      <c r="G11" s="461"/>
    </row>
    <row r="12" spans="1:7" x14ac:dyDescent="0.35">
      <c r="A12" s="461" t="s">
        <v>192</v>
      </c>
      <c r="B12" s="461" t="s">
        <v>237</v>
      </c>
      <c r="C12" s="461">
        <v>85</v>
      </c>
      <c r="D12" s="461"/>
      <c r="E12" s="461"/>
      <c r="F12" s="461">
        <v>531</v>
      </c>
      <c r="G12" s="461"/>
    </row>
    <row r="13" spans="1:7" x14ac:dyDescent="0.35">
      <c r="A13" s="461" t="s">
        <v>192</v>
      </c>
      <c r="B13" s="461" t="s">
        <v>238</v>
      </c>
      <c r="C13" s="461">
        <v>195</v>
      </c>
      <c r="D13" s="461"/>
      <c r="E13" s="461">
        <v>203</v>
      </c>
      <c r="F13" s="461">
        <v>297</v>
      </c>
      <c r="G13" s="461"/>
    </row>
    <row r="14" spans="1:7" x14ac:dyDescent="0.35">
      <c r="A14" s="461" t="s">
        <v>258</v>
      </c>
      <c r="B14" s="461" t="s">
        <v>236</v>
      </c>
      <c r="C14" s="461">
        <v>389</v>
      </c>
      <c r="D14" s="461"/>
      <c r="E14" s="461"/>
      <c r="F14" s="461"/>
      <c r="G14" s="461"/>
    </row>
    <row r="15" spans="1:7" x14ac:dyDescent="0.35">
      <c r="A15" s="461" t="s">
        <v>258</v>
      </c>
      <c r="B15" s="461" t="s">
        <v>235</v>
      </c>
      <c r="C15" s="461">
        <v>2923</v>
      </c>
      <c r="D15" s="461">
        <v>2870</v>
      </c>
      <c r="E15" s="461"/>
      <c r="F15" s="461"/>
      <c r="G15" s="461">
        <v>320</v>
      </c>
    </row>
    <row r="16" spans="1:7" x14ac:dyDescent="0.35">
      <c r="A16" s="461" t="s">
        <v>258</v>
      </c>
      <c r="B16" s="461" t="s">
        <v>238</v>
      </c>
      <c r="C16" s="461">
        <v>182</v>
      </c>
      <c r="D16" s="461"/>
      <c r="E16" s="461">
        <v>165</v>
      </c>
      <c r="F16" s="461">
        <v>267</v>
      </c>
      <c r="G16" s="461"/>
    </row>
    <row r="17" spans="1:7" x14ac:dyDescent="0.35">
      <c r="A17" s="461" t="s">
        <v>258</v>
      </c>
      <c r="B17" s="461" t="s">
        <v>237</v>
      </c>
      <c r="C17" s="461">
        <v>151</v>
      </c>
      <c r="D17" s="461"/>
      <c r="E17" s="461"/>
      <c r="F17" s="461">
        <v>571</v>
      </c>
      <c r="G17" s="461"/>
    </row>
    <row r="18" spans="1:7" x14ac:dyDescent="0.35">
      <c r="A18" s="461" t="s">
        <v>242</v>
      </c>
      <c r="B18" s="461" t="s">
        <v>235</v>
      </c>
      <c r="C18" s="461">
        <v>2867</v>
      </c>
      <c r="D18" s="461">
        <v>2863</v>
      </c>
      <c r="E18" s="461"/>
      <c r="F18" s="461"/>
      <c r="G18" s="461">
        <v>336</v>
      </c>
    </row>
    <row r="19" spans="1:7" x14ac:dyDescent="0.35">
      <c r="A19" s="461" t="s">
        <v>242</v>
      </c>
      <c r="B19" s="461" t="s">
        <v>236</v>
      </c>
      <c r="C19" s="461">
        <v>379</v>
      </c>
      <c r="D19" s="461"/>
      <c r="E19" s="461"/>
      <c r="F19" s="461"/>
      <c r="G19" s="461"/>
    </row>
    <row r="20" spans="1:7" x14ac:dyDescent="0.35">
      <c r="A20" s="461" t="s">
        <v>242</v>
      </c>
      <c r="B20" s="461" t="s">
        <v>238</v>
      </c>
      <c r="C20" s="461">
        <v>143</v>
      </c>
      <c r="D20" s="461"/>
      <c r="E20" s="461">
        <v>189</v>
      </c>
      <c r="F20" s="461">
        <v>277</v>
      </c>
      <c r="G20" s="461"/>
    </row>
    <row r="21" spans="1:7" x14ac:dyDescent="0.35">
      <c r="A21" s="461" t="s">
        <v>242</v>
      </c>
      <c r="B21" s="461" t="s">
        <v>237</v>
      </c>
      <c r="C21" s="461">
        <v>156</v>
      </c>
      <c r="D21" s="461"/>
      <c r="E21" s="461"/>
      <c r="F21" s="461">
        <v>569</v>
      </c>
      <c r="G21" s="461"/>
    </row>
    <row r="22" spans="1:7" x14ac:dyDescent="0.35">
      <c r="A22" s="461" t="s">
        <v>241</v>
      </c>
      <c r="B22" s="461" t="s">
        <v>237</v>
      </c>
      <c r="C22" s="461">
        <v>146</v>
      </c>
      <c r="D22" s="461">
        <v>0</v>
      </c>
      <c r="E22" s="461">
        <v>0</v>
      </c>
      <c r="F22" s="461">
        <v>0</v>
      </c>
      <c r="G22" s="461">
        <v>0</v>
      </c>
    </row>
    <row r="23" spans="1:7" x14ac:dyDescent="0.35">
      <c r="A23" s="461" t="s">
        <v>241</v>
      </c>
      <c r="B23" s="461" t="s">
        <v>235</v>
      </c>
      <c r="C23" s="461">
        <v>2955</v>
      </c>
      <c r="D23" s="461">
        <v>2935</v>
      </c>
      <c r="E23" s="461">
        <v>0</v>
      </c>
      <c r="F23" s="461">
        <v>0</v>
      </c>
      <c r="G23" s="461">
        <v>321</v>
      </c>
    </row>
    <row r="24" spans="1:7" x14ac:dyDescent="0.35">
      <c r="A24" s="461" t="s">
        <v>241</v>
      </c>
      <c r="B24" s="461" t="s">
        <v>236</v>
      </c>
      <c r="C24" s="461">
        <v>387</v>
      </c>
      <c r="D24" s="461">
        <v>0</v>
      </c>
      <c r="E24" s="461">
        <v>0</v>
      </c>
      <c r="F24" s="461">
        <v>0</v>
      </c>
      <c r="G24" s="461">
        <v>0</v>
      </c>
    </row>
    <row r="25" spans="1:7" x14ac:dyDescent="0.35">
      <c r="A25" s="461" t="s">
        <v>241</v>
      </c>
      <c r="B25" s="461" t="s">
        <v>238</v>
      </c>
      <c r="C25" s="461">
        <v>149</v>
      </c>
      <c r="D25" s="461">
        <v>0</v>
      </c>
      <c r="E25" s="461">
        <v>207</v>
      </c>
      <c r="F25" s="461">
        <v>792</v>
      </c>
      <c r="G25" s="461">
        <v>0</v>
      </c>
    </row>
    <row r="26" spans="1:7" x14ac:dyDescent="0.35">
      <c r="A26" s="461" t="s">
        <v>773</v>
      </c>
      <c r="B26" s="461" t="s">
        <v>235</v>
      </c>
      <c r="C26" s="461">
        <v>2966</v>
      </c>
      <c r="D26" s="461">
        <v>2937</v>
      </c>
      <c r="E26" s="461">
        <v>0</v>
      </c>
      <c r="F26" s="461">
        <v>0</v>
      </c>
      <c r="G26" s="461">
        <v>315</v>
      </c>
    </row>
    <row r="27" spans="1:7" x14ac:dyDescent="0.35">
      <c r="A27" s="461" t="s">
        <v>773</v>
      </c>
      <c r="B27" s="461" t="s">
        <v>236</v>
      </c>
      <c r="C27" s="461">
        <v>383</v>
      </c>
      <c r="D27" s="461">
        <v>0</v>
      </c>
      <c r="E27" s="461">
        <v>0</v>
      </c>
      <c r="F27" s="461">
        <v>0</v>
      </c>
      <c r="G27" s="461">
        <v>0</v>
      </c>
    </row>
    <row r="28" spans="1:7" x14ac:dyDescent="0.35">
      <c r="A28" s="461" t="s">
        <v>773</v>
      </c>
      <c r="B28" s="461" t="s">
        <v>237</v>
      </c>
      <c r="C28" s="461">
        <v>197</v>
      </c>
      <c r="D28" s="461">
        <v>0</v>
      </c>
      <c r="E28" s="461">
        <v>0</v>
      </c>
      <c r="F28" s="461">
        <v>0</v>
      </c>
      <c r="G28" s="461">
        <v>0</v>
      </c>
    </row>
    <row r="29" spans="1:7" x14ac:dyDescent="0.35">
      <c r="A29" s="461" t="s">
        <v>773</v>
      </c>
      <c r="B29" s="461" t="s">
        <v>238</v>
      </c>
      <c r="C29">
        <v>90</v>
      </c>
      <c r="D29">
        <v>0</v>
      </c>
      <c r="E29">
        <v>188</v>
      </c>
      <c r="F29">
        <v>817</v>
      </c>
      <c r="G29">
        <v>0</v>
      </c>
    </row>
    <row r="30" spans="1:7" x14ac:dyDescent="0.35">
      <c r="A30" s="461" t="s">
        <v>951</v>
      </c>
      <c r="B30" s="461" t="s">
        <v>236</v>
      </c>
      <c r="C30">
        <v>377</v>
      </c>
      <c r="D30">
        <v>0</v>
      </c>
      <c r="E30">
        <v>0</v>
      </c>
      <c r="F30">
        <v>0</v>
      </c>
      <c r="G30">
        <v>0</v>
      </c>
    </row>
    <row r="31" spans="1:7" x14ac:dyDescent="0.35">
      <c r="A31" s="461" t="s">
        <v>951</v>
      </c>
      <c r="B31" s="461" t="s">
        <v>237</v>
      </c>
      <c r="C31">
        <v>212</v>
      </c>
      <c r="D31">
        <v>0</v>
      </c>
      <c r="E31">
        <v>0</v>
      </c>
      <c r="F31">
        <v>0</v>
      </c>
      <c r="G31">
        <v>0</v>
      </c>
    </row>
    <row r="32" spans="1:7" x14ac:dyDescent="0.35">
      <c r="A32" s="461" t="s">
        <v>951</v>
      </c>
      <c r="B32" s="461" t="s">
        <v>238</v>
      </c>
      <c r="C32">
        <v>92</v>
      </c>
      <c r="D32">
        <v>0</v>
      </c>
      <c r="E32">
        <v>182</v>
      </c>
      <c r="F32">
        <v>836</v>
      </c>
      <c r="G32">
        <v>0</v>
      </c>
    </row>
    <row r="33" spans="1:7" x14ac:dyDescent="0.35">
      <c r="A33" s="461" t="s">
        <v>951</v>
      </c>
      <c r="B33" s="461" t="s">
        <v>235</v>
      </c>
      <c r="C33">
        <v>2903</v>
      </c>
      <c r="D33">
        <v>2872</v>
      </c>
      <c r="E33">
        <v>0</v>
      </c>
      <c r="F33">
        <v>0</v>
      </c>
      <c r="G33">
        <v>303</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N40"/>
  <sheetViews>
    <sheetView showGridLines="0" workbookViewId="0">
      <pane ySplit="2" topLeftCell="A3" activePane="bottomLeft" state="frozen"/>
      <selection pane="bottomLeft" sqref="A1:H1"/>
    </sheetView>
  </sheetViews>
  <sheetFormatPr defaultRowHeight="14.5" x14ac:dyDescent="0.35"/>
  <cols>
    <col min="1" max="1" width="32.54296875" customWidth="1"/>
    <col min="2" max="2" width="12.453125" bestFit="1" customWidth="1"/>
    <col min="3" max="3" width="9.26953125" customWidth="1"/>
    <col min="4" max="5" width="9" bestFit="1" customWidth="1"/>
    <col min="6" max="6" width="10.54296875" customWidth="1"/>
    <col min="7" max="7" width="11.1796875" customWidth="1"/>
    <col min="8" max="8" width="10.7265625" customWidth="1"/>
    <col min="9" max="9" width="9.26953125" customWidth="1"/>
    <col min="10" max="10" width="11.453125" customWidth="1"/>
    <col min="11" max="11" width="12.453125" customWidth="1"/>
  </cols>
  <sheetData>
    <row r="1" spans="1:14" ht="15.5" x14ac:dyDescent="0.35">
      <c r="A1" s="1160" t="s">
        <v>439</v>
      </c>
      <c r="B1" s="1160"/>
      <c r="C1" s="1160"/>
      <c r="D1" s="1160"/>
      <c r="E1" s="1160"/>
      <c r="F1" s="1160"/>
      <c r="G1" s="1160"/>
      <c r="H1" s="1160"/>
    </row>
    <row r="2" spans="1:14" ht="17.5" x14ac:dyDescent="0.35">
      <c r="A2" s="601" t="s">
        <v>509</v>
      </c>
      <c r="B2" s="1"/>
      <c r="C2" s="1"/>
      <c r="D2" s="1"/>
      <c r="E2" s="1"/>
      <c r="F2" s="1"/>
      <c r="G2" s="1"/>
      <c r="H2" s="1"/>
    </row>
    <row r="3" spans="1:14" ht="17.5" x14ac:dyDescent="0.35">
      <c r="A3" s="1"/>
      <c r="B3" s="1"/>
      <c r="C3" s="1"/>
      <c r="D3" s="1"/>
      <c r="E3" s="1"/>
      <c r="F3" s="1"/>
      <c r="G3" s="1"/>
      <c r="H3" s="1"/>
      <c r="I3" s="28"/>
      <c r="J3" s="28"/>
    </row>
    <row r="4" spans="1:14" ht="37.5" customHeight="1" x14ac:dyDescent="0.35">
      <c r="A4" s="536" t="s">
        <v>500</v>
      </c>
      <c r="B4" s="536"/>
      <c r="C4" s="536"/>
      <c r="D4" s="536"/>
      <c r="E4" s="536"/>
      <c r="F4" s="536"/>
      <c r="G4" s="536"/>
      <c r="H4" s="536"/>
      <c r="I4" s="536"/>
      <c r="J4" s="536"/>
    </row>
    <row r="5" spans="1:14" ht="15" customHeight="1" x14ac:dyDescent="0.35">
      <c r="A5" t="s">
        <v>320</v>
      </c>
      <c r="B5" t="s">
        <v>650</v>
      </c>
      <c r="C5" s="509"/>
      <c r="D5" s="509"/>
      <c r="E5" s="509"/>
      <c r="F5" s="509"/>
      <c r="G5" s="509"/>
      <c r="H5" s="509"/>
      <c r="I5" s="509"/>
      <c r="J5" s="509"/>
    </row>
    <row r="6" spans="1:14" ht="15" customHeight="1" x14ac:dyDescent="0.35">
      <c r="A6" t="s">
        <v>321</v>
      </c>
      <c r="B6" t="s">
        <v>323</v>
      </c>
      <c r="C6" s="509"/>
      <c r="D6" s="509"/>
      <c r="E6" s="509"/>
      <c r="F6" s="509"/>
      <c r="G6" s="509"/>
      <c r="H6" s="509"/>
      <c r="I6" s="509"/>
      <c r="J6" s="509"/>
    </row>
    <row r="7" spans="1:14" ht="15" customHeight="1" x14ac:dyDescent="0.35">
      <c r="A7" t="s">
        <v>322</v>
      </c>
      <c r="B7" t="s">
        <v>324</v>
      </c>
      <c r="C7" s="509"/>
      <c r="D7" s="509"/>
      <c r="E7" s="509"/>
      <c r="F7" s="509"/>
      <c r="G7" s="509"/>
      <c r="H7" s="509"/>
      <c r="I7" s="509"/>
      <c r="J7" s="509"/>
      <c r="K7" s="542"/>
    </row>
    <row r="8" spans="1:14" ht="17.25" customHeight="1" x14ac:dyDescent="0.35">
      <c r="A8" s="270"/>
      <c r="B8" s="29"/>
      <c r="C8" s="29"/>
      <c r="D8" s="29"/>
      <c r="E8" s="29"/>
      <c r="F8" s="29"/>
      <c r="G8" s="539"/>
      <c r="H8" s="522" t="s">
        <v>6</v>
      </c>
      <c r="I8" s="522"/>
      <c r="J8" s="522" t="s">
        <v>7</v>
      </c>
      <c r="K8" s="542"/>
    </row>
    <row r="9" spans="1:14" ht="40.5" customHeight="1" x14ac:dyDescent="0.35">
      <c r="A9" s="2" t="s">
        <v>207</v>
      </c>
      <c r="B9" s="3" t="s">
        <v>27</v>
      </c>
      <c r="C9" s="3" t="s">
        <v>9</v>
      </c>
      <c r="D9" s="232" t="s">
        <v>2</v>
      </c>
      <c r="E9" s="232" t="s">
        <v>3</v>
      </c>
      <c r="F9" s="232" t="s">
        <v>29</v>
      </c>
      <c r="G9" s="541" t="s">
        <v>10</v>
      </c>
      <c r="H9" s="513" t="s">
        <v>11</v>
      </c>
      <c r="I9" s="541" t="s">
        <v>10</v>
      </c>
      <c r="J9" s="540" t="s">
        <v>12</v>
      </c>
    </row>
    <row r="10" spans="1:14" ht="22.5" customHeight="1" x14ac:dyDescent="0.35">
      <c r="A10" s="5" t="s">
        <v>13</v>
      </c>
      <c r="B10" s="789">
        <f>geographicpivot!B4</f>
        <v>2903</v>
      </c>
      <c r="C10" s="789">
        <f>geographicpivot!C4</f>
        <v>2872</v>
      </c>
      <c r="D10" s="789">
        <f>geographicpivot!D4</f>
        <v>0</v>
      </c>
      <c r="E10" s="789">
        <f>geographicpivot!E4</f>
        <v>0</v>
      </c>
      <c r="F10" s="789">
        <f>geographicpivot!F4</f>
        <v>303</v>
      </c>
      <c r="G10" s="324">
        <f>SUM(B10:F10)</f>
        <v>6078</v>
      </c>
      <c r="H10" s="324">
        <f>SUM(B10:E10)</f>
        <v>5775</v>
      </c>
      <c r="I10" s="333">
        <f>G10/$G$14</f>
        <v>0.78153529638678154</v>
      </c>
      <c r="J10" s="332">
        <f>H10/$H$14</f>
        <v>0.77267861921327263</v>
      </c>
    </row>
    <row r="11" spans="1:14" ht="15" customHeight="1" x14ac:dyDescent="0.35">
      <c r="A11" s="5" t="s">
        <v>14</v>
      </c>
      <c r="B11" s="789">
        <f>geographicpivot!B5</f>
        <v>377</v>
      </c>
      <c r="C11" s="789">
        <f>geographicpivot!C5</f>
        <v>0</v>
      </c>
      <c r="D11" s="789">
        <f>geographicpivot!D5</f>
        <v>0</v>
      </c>
      <c r="E11" s="789">
        <f>geographicpivot!E5</f>
        <v>0</v>
      </c>
      <c r="F11" s="789">
        <f>geographicpivot!F5</f>
        <v>0</v>
      </c>
      <c r="G11" s="324">
        <f>SUM(B11:F11)</f>
        <v>377</v>
      </c>
      <c r="H11" s="324">
        <f>SUM(B11:E11)</f>
        <v>377</v>
      </c>
      <c r="I11" s="333">
        <f>G11/$G$14</f>
        <v>4.8476276199048478E-2</v>
      </c>
      <c r="J11" s="333">
        <f>H11/$H$14</f>
        <v>5.0441530639550439E-2</v>
      </c>
    </row>
    <row r="12" spans="1:14" ht="15" customHeight="1" x14ac:dyDescent="0.35">
      <c r="A12" s="5" t="s">
        <v>15</v>
      </c>
      <c r="B12" s="789">
        <f>geographicpivot!B6</f>
        <v>212</v>
      </c>
      <c r="C12" s="789">
        <f>geographicpivot!C6</f>
        <v>0</v>
      </c>
      <c r="D12" s="789">
        <f>geographicpivot!D6</f>
        <v>0</v>
      </c>
      <c r="E12" s="789">
        <f>geographicpivot!E6</f>
        <v>0</v>
      </c>
      <c r="F12" s="789">
        <f>geographicpivot!F6</f>
        <v>0</v>
      </c>
      <c r="G12" s="324">
        <f>SUM(B12:F12)</f>
        <v>212</v>
      </c>
      <c r="H12" s="324">
        <f>SUM(B12:E12)</f>
        <v>212</v>
      </c>
      <c r="I12" s="333">
        <f>G12/$G$14</f>
        <v>2.7259868844027261E-2</v>
      </c>
      <c r="J12" s="333">
        <f>H12/$H$14</f>
        <v>2.8364998662028365E-2</v>
      </c>
    </row>
    <row r="13" spans="1:14" ht="15" customHeight="1" x14ac:dyDescent="0.35">
      <c r="A13" s="17" t="s">
        <v>16</v>
      </c>
      <c r="B13" s="789">
        <f>geographicpivot!B7</f>
        <v>92</v>
      </c>
      <c r="C13" s="789">
        <f>geographicpivot!C7</f>
        <v>0</v>
      </c>
      <c r="D13" s="789">
        <f>geographicpivot!D7</f>
        <v>182</v>
      </c>
      <c r="E13" s="831">
        <f>geographicpivot!E7</f>
        <v>836</v>
      </c>
      <c r="F13" s="831">
        <f>geographicpivot!F7</f>
        <v>0</v>
      </c>
      <c r="G13" s="544">
        <f>SUM(B13:F13)</f>
        <v>1110</v>
      </c>
      <c r="H13" s="544">
        <f>SUM(B13:E13)</f>
        <v>1110</v>
      </c>
      <c r="I13" s="545">
        <f>G13/$G$14</f>
        <v>0.14272855857014272</v>
      </c>
      <c r="J13" s="333">
        <f>H13/$H$14</f>
        <v>0.14851485148514851</v>
      </c>
    </row>
    <row r="14" spans="1:14" ht="30" customHeight="1" thickBot="1" x14ac:dyDescent="0.4">
      <c r="A14" s="31" t="s">
        <v>17</v>
      </c>
      <c r="B14" s="328">
        <f t="shared" ref="B14:H14" si="0">SUM(B10:B13)</f>
        <v>3584</v>
      </c>
      <c r="C14" s="328">
        <f t="shared" si="0"/>
        <v>2872</v>
      </c>
      <c r="D14" s="328">
        <f t="shared" si="0"/>
        <v>182</v>
      </c>
      <c r="E14" s="334">
        <f t="shared" si="0"/>
        <v>836</v>
      </c>
      <c r="F14" s="334">
        <f t="shared" si="0"/>
        <v>303</v>
      </c>
      <c r="G14" s="334">
        <f t="shared" si="0"/>
        <v>7777</v>
      </c>
      <c r="H14" s="334">
        <f t="shared" si="0"/>
        <v>7474</v>
      </c>
      <c r="I14" s="543">
        <f>G14/G14</f>
        <v>1</v>
      </c>
      <c r="J14" s="32">
        <f>H14/H14</f>
        <v>1</v>
      </c>
    </row>
    <row r="15" spans="1:14" ht="15" customHeight="1" x14ac:dyDescent="0.35">
      <c r="A15" s="411"/>
    </row>
    <row r="16" spans="1:14" ht="15" customHeight="1" x14ac:dyDescent="0.35">
      <c r="A16" s="408" t="s">
        <v>8</v>
      </c>
      <c r="B16" s="302"/>
      <c r="C16" s="302"/>
      <c r="D16" s="302"/>
      <c r="E16" s="302"/>
      <c r="F16" s="302"/>
      <c r="G16" s="302"/>
      <c r="H16" s="302"/>
      <c r="I16" s="302"/>
      <c r="J16" s="302"/>
      <c r="K16" s="302"/>
      <c r="L16" s="302"/>
      <c r="M16" s="302"/>
      <c r="N16" s="302"/>
    </row>
    <row r="17" spans="1:10" ht="15" customHeight="1" x14ac:dyDescent="0.35">
      <c r="A17" s="687" t="s">
        <v>728</v>
      </c>
    </row>
    <row r="18" spans="1:10" ht="62.25" customHeight="1" x14ac:dyDescent="0.35">
      <c r="A18" s="1177" t="s">
        <v>729</v>
      </c>
      <c r="B18" s="1177"/>
      <c r="C18" s="1177"/>
      <c r="D18" s="1177"/>
      <c r="E18" s="1177"/>
      <c r="F18" s="1177"/>
      <c r="G18" s="1177"/>
      <c r="H18" s="1177"/>
      <c r="I18" s="1177"/>
      <c r="J18" s="1177"/>
    </row>
    <row r="19" spans="1:10" ht="15" customHeight="1" x14ac:dyDescent="0.35"/>
    <row r="20" spans="1:10" ht="15" customHeight="1" x14ac:dyDescent="0.35"/>
    <row r="21" spans="1:10" ht="15" customHeight="1" x14ac:dyDescent="0.35">
      <c r="B21" s="508"/>
    </row>
    <row r="22" spans="1:10" ht="15" customHeight="1" x14ac:dyDescent="0.35"/>
    <row r="23" spans="1:10" ht="15" customHeight="1" x14ac:dyDescent="0.35"/>
    <row r="24" spans="1:10" ht="15" customHeight="1" x14ac:dyDescent="0.35"/>
    <row r="25" spans="1:10" ht="15" customHeight="1" x14ac:dyDescent="0.35"/>
    <row r="26" spans="1:10" ht="15" customHeight="1" x14ac:dyDescent="0.35">
      <c r="A26" s="33"/>
      <c r="B26" s="335"/>
      <c r="C26" s="335"/>
      <c r="D26" s="335"/>
      <c r="E26" s="335"/>
      <c r="F26" s="335"/>
      <c r="G26" s="335"/>
      <c r="H26" s="335"/>
      <c r="I26" s="35"/>
      <c r="J26" s="337"/>
    </row>
    <row r="27" spans="1:10" ht="15" customHeight="1" x14ac:dyDescent="0.35"/>
    <row r="28" spans="1:10" ht="15" customHeight="1" x14ac:dyDescent="0.35"/>
    <row r="29" spans="1:10" ht="33" customHeight="1" x14ac:dyDescent="0.35"/>
    <row r="30" spans="1:10" ht="15" customHeight="1" x14ac:dyDescent="0.35"/>
    <row r="31" spans="1:10" ht="15" customHeight="1" x14ac:dyDescent="0.35"/>
    <row r="32" spans="1:10" ht="15" customHeight="1" x14ac:dyDescent="0.35"/>
    <row r="33" ht="15" customHeight="1" x14ac:dyDescent="0.35"/>
    <row r="34" ht="15" customHeight="1" x14ac:dyDescent="0.35"/>
    <row r="35" ht="15" customHeight="1" x14ac:dyDescent="0.35"/>
    <row r="36" ht="15" customHeight="1" x14ac:dyDescent="0.35"/>
    <row r="37" ht="15" customHeight="1" x14ac:dyDescent="0.35"/>
    <row r="40" ht="30" customHeight="1" x14ac:dyDescent="0.35"/>
  </sheetData>
  <sheetProtection algorithmName="SHA-512" hashValue="kSFdvpKvx5oB6AH+7pl4MV83azGI9AvG0vnXUtLOVIeKsZ2nd1OKALTQgmH7+FMLCIoBG5mYRT3/v9nkCYkl5g==" saltValue="8lIRNDwTDtqX7u9GGWZYcw==" spinCount="100000" sheet="1" scenarios="1" formatCells="0" formatColumns="0" formatRows="0" sort="0" autoFilter="0" pivotTables="0"/>
  <mergeCells count="2">
    <mergeCell ref="A18:J18"/>
    <mergeCell ref="A1:H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9" orientation="portrait" r:id="rId1"/>
  <drawing r:id="rId2"/>
  <extLst>
    <ext xmlns:x14="http://schemas.microsoft.com/office/spreadsheetml/2009/9/main" uri="{A8765BA9-456A-4dab-B4F3-ACF838C121DE}">
      <x14:slicerList>
        <x14:slicer r:id="rId3"/>
      </x14:slicerList>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98"/>
  <sheetViews>
    <sheetView workbookViewId="0">
      <selection activeCell="A3" sqref="A3"/>
    </sheetView>
  </sheetViews>
  <sheetFormatPr defaultRowHeight="14.5" x14ac:dyDescent="0.35"/>
  <cols>
    <col min="1" max="1" width="58.1796875" bestFit="1" customWidth="1"/>
    <col min="2" max="2" width="27.1796875" bestFit="1" customWidth="1"/>
    <col min="3" max="3" width="25.81640625" bestFit="1" customWidth="1"/>
    <col min="4" max="4" width="13.453125" bestFit="1" customWidth="1"/>
    <col min="5" max="5" width="13.90625" bestFit="1" customWidth="1"/>
    <col min="6" max="6" width="15.54296875" bestFit="1" customWidth="1"/>
  </cols>
  <sheetData>
    <row r="1" spans="1:6" x14ac:dyDescent="0.35">
      <c r="A1" s="459" t="s">
        <v>1</v>
      </c>
      <c r="B1" t="s">
        <v>17417</v>
      </c>
    </row>
    <row r="3" spans="1:6" x14ac:dyDescent="0.35">
      <c r="A3" s="459" t="s">
        <v>234</v>
      </c>
      <c r="B3" t="s">
        <v>1028</v>
      </c>
      <c r="C3" t="s">
        <v>1029</v>
      </c>
      <c r="D3" t="s">
        <v>248</v>
      </c>
      <c r="E3" t="s">
        <v>249</v>
      </c>
      <c r="F3" t="s">
        <v>315</v>
      </c>
    </row>
    <row r="4" spans="1:6" x14ac:dyDescent="0.35">
      <c r="A4" s="818" t="s">
        <v>17418</v>
      </c>
      <c r="B4" s="461"/>
      <c r="C4" s="461"/>
      <c r="D4" s="461"/>
      <c r="E4" s="461"/>
      <c r="F4" s="461"/>
    </row>
    <row r="5" spans="1:6" x14ac:dyDescent="0.35">
      <c r="A5" s="462" t="s">
        <v>31</v>
      </c>
      <c r="B5" s="461">
        <v>0</v>
      </c>
      <c r="C5" s="461">
        <v>0</v>
      </c>
      <c r="D5" s="461">
        <v>0</v>
      </c>
      <c r="E5" s="461">
        <v>24</v>
      </c>
      <c r="F5" s="461">
        <v>0</v>
      </c>
    </row>
    <row r="6" spans="1:6" x14ac:dyDescent="0.35">
      <c r="A6" s="462" t="s">
        <v>32</v>
      </c>
      <c r="B6" s="461">
        <v>0</v>
      </c>
      <c r="C6" s="461">
        <v>0</v>
      </c>
      <c r="D6" s="461">
        <v>0</v>
      </c>
      <c r="E6" s="461">
        <v>3</v>
      </c>
      <c r="F6" s="461">
        <v>0</v>
      </c>
    </row>
    <row r="7" spans="1:6" x14ac:dyDescent="0.35">
      <c r="A7" s="462" t="s">
        <v>17421</v>
      </c>
      <c r="B7" s="461">
        <v>0</v>
      </c>
      <c r="C7" s="461">
        <v>0</v>
      </c>
      <c r="D7" s="461">
        <v>0</v>
      </c>
      <c r="E7" s="461">
        <v>1</v>
      </c>
      <c r="F7" s="461">
        <v>0</v>
      </c>
    </row>
    <row r="8" spans="1:6" x14ac:dyDescent="0.35">
      <c r="A8" s="462" t="s">
        <v>34</v>
      </c>
      <c r="B8" s="461">
        <v>0</v>
      </c>
      <c r="C8" s="461">
        <v>0</v>
      </c>
      <c r="D8" s="461">
        <v>0</v>
      </c>
      <c r="E8" s="461">
        <v>3</v>
      </c>
      <c r="F8" s="461">
        <v>0</v>
      </c>
    </row>
    <row r="9" spans="1:6" x14ac:dyDescent="0.35">
      <c r="A9" s="462" t="s">
        <v>245</v>
      </c>
      <c r="B9" s="461">
        <v>0</v>
      </c>
      <c r="C9" s="461">
        <v>0</v>
      </c>
      <c r="D9" s="461">
        <v>0</v>
      </c>
      <c r="E9" s="461">
        <v>1</v>
      </c>
      <c r="F9" s="461">
        <v>0</v>
      </c>
    </row>
    <row r="10" spans="1:6" x14ac:dyDescent="0.35">
      <c r="A10" s="462" t="s">
        <v>17411</v>
      </c>
      <c r="B10" s="461">
        <v>0</v>
      </c>
      <c r="C10" s="461">
        <v>0</v>
      </c>
      <c r="D10" s="461">
        <v>0</v>
      </c>
      <c r="E10" s="461">
        <v>1</v>
      </c>
      <c r="F10" s="461">
        <v>0</v>
      </c>
    </row>
    <row r="11" spans="1:6" x14ac:dyDescent="0.35">
      <c r="A11" s="462" t="s">
        <v>38</v>
      </c>
      <c r="B11" s="461">
        <v>0</v>
      </c>
      <c r="C11" s="461">
        <v>0</v>
      </c>
      <c r="D11" s="461">
        <v>0</v>
      </c>
      <c r="E11" s="461">
        <v>5</v>
      </c>
      <c r="F11" s="461">
        <v>0</v>
      </c>
    </row>
    <row r="12" spans="1:6" x14ac:dyDescent="0.35">
      <c r="A12" s="462" t="s">
        <v>39</v>
      </c>
      <c r="B12" s="461">
        <v>0</v>
      </c>
      <c r="C12" s="461">
        <v>0</v>
      </c>
      <c r="D12" s="461">
        <v>0</v>
      </c>
      <c r="E12" s="461">
        <v>1</v>
      </c>
      <c r="F12" s="461">
        <v>0</v>
      </c>
    </row>
    <row r="13" spans="1:6" x14ac:dyDescent="0.35">
      <c r="A13" s="462" t="s">
        <v>41</v>
      </c>
      <c r="B13" s="461">
        <v>0</v>
      </c>
      <c r="C13" s="461">
        <v>0</v>
      </c>
      <c r="D13" s="461">
        <v>0</v>
      </c>
      <c r="E13" s="461">
        <v>3</v>
      </c>
      <c r="F13" s="461">
        <v>0</v>
      </c>
    </row>
    <row r="14" spans="1:6" x14ac:dyDescent="0.35">
      <c r="A14" s="462" t="s">
        <v>167</v>
      </c>
      <c r="B14" s="461">
        <v>0</v>
      </c>
      <c r="C14" s="461">
        <v>0</v>
      </c>
      <c r="D14" s="461">
        <v>0</v>
      </c>
      <c r="E14" s="461">
        <v>6</v>
      </c>
      <c r="F14" s="461">
        <v>0</v>
      </c>
    </row>
    <row r="15" spans="1:6" x14ac:dyDescent="0.35">
      <c r="A15" s="462" t="s">
        <v>42</v>
      </c>
      <c r="B15" s="461">
        <v>0</v>
      </c>
      <c r="C15" s="461">
        <v>0</v>
      </c>
      <c r="D15" s="461">
        <v>0</v>
      </c>
      <c r="E15" s="461">
        <v>9</v>
      </c>
      <c r="F15" s="461">
        <v>0</v>
      </c>
    </row>
    <row r="16" spans="1:6" x14ac:dyDescent="0.35">
      <c r="A16" s="462" t="s">
        <v>43</v>
      </c>
      <c r="B16" s="461">
        <v>0</v>
      </c>
      <c r="C16" s="461">
        <v>0</v>
      </c>
      <c r="D16" s="461">
        <v>0</v>
      </c>
      <c r="E16" s="461">
        <v>5</v>
      </c>
      <c r="F16" s="461">
        <v>0</v>
      </c>
    </row>
    <row r="17" spans="1:6" x14ac:dyDescent="0.35">
      <c r="A17" s="462" t="s">
        <v>114</v>
      </c>
      <c r="B17" s="461">
        <v>0</v>
      </c>
      <c r="C17" s="461">
        <v>0</v>
      </c>
      <c r="D17" s="461">
        <v>0</v>
      </c>
      <c r="E17" s="461">
        <v>24</v>
      </c>
      <c r="F17" s="461">
        <v>0</v>
      </c>
    </row>
    <row r="18" spans="1:6" x14ac:dyDescent="0.35">
      <c r="A18" s="462" t="s">
        <v>44</v>
      </c>
      <c r="B18" s="461">
        <v>0</v>
      </c>
      <c r="C18" s="461">
        <v>0</v>
      </c>
      <c r="D18" s="461">
        <v>0</v>
      </c>
      <c r="E18" s="461">
        <v>11</v>
      </c>
      <c r="F18" s="461">
        <v>0</v>
      </c>
    </row>
    <row r="19" spans="1:6" x14ac:dyDescent="0.35">
      <c r="A19" s="462" t="s">
        <v>45</v>
      </c>
      <c r="B19" s="461">
        <v>0</v>
      </c>
      <c r="C19" s="461">
        <v>0</v>
      </c>
      <c r="D19" s="461">
        <v>0</v>
      </c>
      <c r="E19" s="461">
        <v>6</v>
      </c>
      <c r="F19" s="461">
        <v>0</v>
      </c>
    </row>
    <row r="20" spans="1:6" x14ac:dyDescent="0.35">
      <c r="A20" s="462" t="s">
        <v>46</v>
      </c>
      <c r="B20" s="461">
        <v>0</v>
      </c>
      <c r="C20" s="461">
        <v>0</v>
      </c>
      <c r="D20" s="461">
        <v>0</v>
      </c>
      <c r="E20" s="461">
        <v>2</v>
      </c>
      <c r="F20" s="461">
        <v>0</v>
      </c>
    </row>
    <row r="21" spans="1:6" x14ac:dyDescent="0.35">
      <c r="A21" s="462" t="s">
        <v>48</v>
      </c>
      <c r="B21" s="461">
        <v>0</v>
      </c>
      <c r="C21" s="461">
        <v>0</v>
      </c>
      <c r="D21" s="461">
        <v>0</v>
      </c>
      <c r="E21" s="461">
        <v>4</v>
      </c>
      <c r="F21" s="461">
        <v>0</v>
      </c>
    </row>
    <row r="22" spans="1:6" x14ac:dyDescent="0.35">
      <c r="A22" s="462" t="s">
        <v>49</v>
      </c>
      <c r="B22" s="461">
        <v>0</v>
      </c>
      <c r="C22" s="461">
        <v>0</v>
      </c>
      <c r="D22" s="461">
        <v>0</v>
      </c>
      <c r="E22" s="461">
        <v>19</v>
      </c>
      <c r="F22" s="461">
        <v>0</v>
      </c>
    </row>
    <row r="23" spans="1:6" x14ac:dyDescent="0.35">
      <c r="A23" s="462" t="s">
        <v>50</v>
      </c>
      <c r="B23" s="461">
        <v>0</v>
      </c>
      <c r="C23" s="461">
        <v>0</v>
      </c>
      <c r="D23" s="461">
        <v>0</v>
      </c>
      <c r="E23" s="461">
        <v>6</v>
      </c>
      <c r="F23" s="461">
        <v>0</v>
      </c>
    </row>
    <row r="24" spans="1:6" x14ac:dyDescent="0.35">
      <c r="A24" s="462" t="s">
        <v>51</v>
      </c>
      <c r="B24" s="461">
        <v>0</v>
      </c>
      <c r="C24" s="461">
        <v>0</v>
      </c>
      <c r="D24" s="461">
        <v>0</v>
      </c>
      <c r="E24" s="461">
        <v>3</v>
      </c>
      <c r="F24" s="461">
        <v>0</v>
      </c>
    </row>
    <row r="25" spans="1:6" x14ac:dyDescent="0.35">
      <c r="A25" s="462" t="s">
        <v>17420</v>
      </c>
      <c r="B25" s="461">
        <v>0</v>
      </c>
      <c r="C25" s="461">
        <v>0</v>
      </c>
      <c r="D25" s="461">
        <v>0</v>
      </c>
      <c r="E25" s="461">
        <v>3</v>
      </c>
      <c r="F25" s="461">
        <v>0</v>
      </c>
    </row>
    <row r="26" spans="1:6" x14ac:dyDescent="0.35">
      <c r="A26" s="462" t="s">
        <v>53</v>
      </c>
      <c r="B26" s="461">
        <v>0</v>
      </c>
      <c r="C26" s="461">
        <v>0</v>
      </c>
      <c r="D26" s="461">
        <v>0</v>
      </c>
      <c r="E26" s="461">
        <v>10</v>
      </c>
      <c r="F26" s="461">
        <v>0</v>
      </c>
    </row>
    <row r="27" spans="1:6" x14ac:dyDescent="0.35">
      <c r="A27" s="462" t="s">
        <v>55</v>
      </c>
      <c r="B27" s="461">
        <v>0</v>
      </c>
      <c r="C27" s="461">
        <v>0</v>
      </c>
      <c r="D27" s="461">
        <v>0</v>
      </c>
      <c r="E27" s="461">
        <v>3</v>
      </c>
      <c r="F27" s="461">
        <v>0</v>
      </c>
    </row>
    <row r="28" spans="1:6" x14ac:dyDescent="0.35">
      <c r="A28" s="462" t="s">
        <v>56</v>
      </c>
      <c r="B28" s="461">
        <v>0</v>
      </c>
      <c r="C28" s="461">
        <v>0</v>
      </c>
      <c r="D28" s="461">
        <v>0</v>
      </c>
      <c r="E28" s="461">
        <v>18</v>
      </c>
      <c r="F28" s="461">
        <v>0</v>
      </c>
    </row>
    <row r="29" spans="1:6" x14ac:dyDescent="0.35">
      <c r="A29" s="462" t="s">
        <v>57</v>
      </c>
      <c r="B29" s="461">
        <v>0</v>
      </c>
      <c r="C29" s="461">
        <v>0</v>
      </c>
      <c r="D29" s="461">
        <v>0</v>
      </c>
      <c r="E29" s="461">
        <v>3</v>
      </c>
      <c r="F29" s="461">
        <v>0</v>
      </c>
    </row>
    <row r="30" spans="1:6" x14ac:dyDescent="0.35">
      <c r="A30" s="462" t="s">
        <v>58</v>
      </c>
      <c r="B30" s="461">
        <v>0</v>
      </c>
      <c r="C30" s="461">
        <v>0</v>
      </c>
      <c r="D30" s="461">
        <v>0</v>
      </c>
      <c r="E30" s="461">
        <v>2</v>
      </c>
      <c r="F30" s="461">
        <v>0</v>
      </c>
    </row>
    <row r="31" spans="1:6" x14ac:dyDescent="0.35">
      <c r="A31" s="462" t="s">
        <v>59</v>
      </c>
      <c r="B31" s="461">
        <v>0</v>
      </c>
      <c r="C31" s="461">
        <v>0</v>
      </c>
      <c r="D31" s="461">
        <v>0</v>
      </c>
      <c r="E31" s="461">
        <v>3</v>
      </c>
      <c r="F31" s="461">
        <v>0</v>
      </c>
    </row>
    <row r="32" spans="1:6" x14ac:dyDescent="0.35">
      <c r="A32" s="462" t="s">
        <v>60</v>
      </c>
      <c r="B32" s="461">
        <v>0</v>
      </c>
      <c r="C32" s="461">
        <v>0</v>
      </c>
      <c r="D32" s="461">
        <v>0</v>
      </c>
      <c r="E32" s="461">
        <v>6</v>
      </c>
      <c r="F32" s="461">
        <v>0</v>
      </c>
    </row>
    <row r="33" spans="1:6" x14ac:dyDescent="0.35">
      <c r="A33" s="462" t="s">
        <v>299</v>
      </c>
      <c r="B33" s="461">
        <v>0</v>
      </c>
      <c r="C33" s="461">
        <v>0</v>
      </c>
      <c r="D33" s="461">
        <v>0</v>
      </c>
      <c r="E33" s="461">
        <v>2260</v>
      </c>
      <c r="F33" s="461">
        <v>0</v>
      </c>
    </row>
    <row r="34" spans="1:6" x14ac:dyDescent="0.35">
      <c r="A34" s="818" t="s">
        <v>17419</v>
      </c>
      <c r="B34" s="461">
        <v>0</v>
      </c>
      <c r="C34" s="461">
        <v>0</v>
      </c>
      <c r="D34" s="461">
        <v>0</v>
      </c>
      <c r="E34" s="461">
        <v>2445</v>
      </c>
      <c r="F34" s="461">
        <v>0</v>
      </c>
    </row>
    <row r="35" spans="1:6" x14ac:dyDescent="0.35">
      <c r="A35" s="818" t="s">
        <v>235</v>
      </c>
      <c r="B35" s="461"/>
      <c r="C35" s="461"/>
      <c r="D35" s="461"/>
      <c r="E35" s="461"/>
      <c r="F35" s="461"/>
    </row>
    <row r="36" spans="1:6" x14ac:dyDescent="0.35">
      <c r="A36" s="462" t="s">
        <v>31</v>
      </c>
      <c r="B36" s="461">
        <v>1249</v>
      </c>
      <c r="C36" s="461">
        <v>82</v>
      </c>
      <c r="D36" s="461">
        <v>0</v>
      </c>
      <c r="E36" s="461">
        <v>0</v>
      </c>
      <c r="F36" s="461">
        <v>0</v>
      </c>
    </row>
    <row r="37" spans="1:6" x14ac:dyDescent="0.35">
      <c r="A37" s="462" t="s">
        <v>32</v>
      </c>
      <c r="B37" s="461">
        <v>218</v>
      </c>
      <c r="C37" s="461">
        <v>2260</v>
      </c>
      <c r="D37" s="461">
        <v>0</v>
      </c>
      <c r="E37" s="461">
        <v>0</v>
      </c>
      <c r="F37" s="461">
        <v>0</v>
      </c>
    </row>
    <row r="38" spans="1:6" x14ac:dyDescent="0.35">
      <c r="A38" s="462" t="s">
        <v>33</v>
      </c>
      <c r="B38" s="461">
        <v>233</v>
      </c>
      <c r="C38" s="461">
        <v>784</v>
      </c>
      <c r="D38" s="461">
        <v>0</v>
      </c>
      <c r="E38" s="461">
        <v>0</v>
      </c>
      <c r="F38" s="461">
        <v>0</v>
      </c>
    </row>
    <row r="39" spans="1:6" x14ac:dyDescent="0.35">
      <c r="A39" s="462" t="s">
        <v>34</v>
      </c>
      <c r="B39" s="461">
        <v>419</v>
      </c>
      <c r="C39" s="461">
        <v>1424</v>
      </c>
      <c r="D39" s="461">
        <v>0</v>
      </c>
      <c r="E39" s="461">
        <v>0</v>
      </c>
      <c r="F39" s="461">
        <v>1656</v>
      </c>
    </row>
    <row r="40" spans="1:6" x14ac:dyDescent="0.35">
      <c r="A40" s="462" t="s">
        <v>245</v>
      </c>
      <c r="B40" s="461">
        <v>2542</v>
      </c>
      <c r="C40" s="461">
        <v>85</v>
      </c>
      <c r="D40" s="461">
        <v>0</v>
      </c>
      <c r="E40" s="461">
        <v>0</v>
      </c>
      <c r="F40" s="461">
        <v>0</v>
      </c>
    </row>
    <row r="41" spans="1:6" x14ac:dyDescent="0.35">
      <c r="A41" s="462" t="s">
        <v>35</v>
      </c>
      <c r="B41" s="461">
        <v>227</v>
      </c>
      <c r="C41" s="461">
        <v>183</v>
      </c>
      <c r="D41" s="461">
        <v>0</v>
      </c>
      <c r="E41" s="461">
        <v>0</v>
      </c>
      <c r="F41" s="461">
        <v>0</v>
      </c>
    </row>
    <row r="42" spans="1:6" x14ac:dyDescent="0.35">
      <c r="A42" s="462" t="s">
        <v>17411</v>
      </c>
      <c r="B42" s="461">
        <v>210</v>
      </c>
      <c r="C42" s="461">
        <v>765</v>
      </c>
      <c r="D42" s="461">
        <v>0</v>
      </c>
      <c r="E42" s="461">
        <v>0</v>
      </c>
      <c r="F42" s="461">
        <v>21</v>
      </c>
    </row>
    <row r="43" spans="1:6" x14ac:dyDescent="0.35">
      <c r="A43" s="462" t="s">
        <v>36</v>
      </c>
      <c r="B43" s="461">
        <v>266</v>
      </c>
      <c r="C43" s="461">
        <v>796</v>
      </c>
      <c r="D43" s="461"/>
      <c r="E43" s="461"/>
      <c r="F43" s="461">
        <v>17</v>
      </c>
    </row>
    <row r="44" spans="1:6" x14ac:dyDescent="0.35">
      <c r="A44" s="462" t="s">
        <v>37</v>
      </c>
      <c r="B44" s="461">
        <v>1509</v>
      </c>
      <c r="C44" s="461">
        <v>100</v>
      </c>
      <c r="D44" s="461">
        <v>0</v>
      </c>
      <c r="E44" s="461">
        <v>0</v>
      </c>
      <c r="F44" s="461">
        <v>0</v>
      </c>
    </row>
    <row r="45" spans="1:6" x14ac:dyDescent="0.35">
      <c r="A45" s="462" t="s">
        <v>38</v>
      </c>
      <c r="B45" s="461">
        <v>406</v>
      </c>
      <c r="C45" s="461">
        <v>638</v>
      </c>
      <c r="D45" s="461">
        <v>0</v>
      </c>
      <c r="E45" s="461">
        <v>0</v>
      </c>
      <c r="F45" s="461">
        <v>0</v>
      </c>
    </row>
    <row r="46" spans="1:6" x14ac:dyDescent="0.35">
      <c r="A46" s="462" t="s">
        <v>39</v>
      </c>
      <c r="B46" s="461">
        <v>595</v>
      </c>
      <c r="C46" s="461">
        <v>1</v>
      </c>
      <c r="D46" s="461">
        <v>0</v>
      </c>
      <c r="E46" s="461">
        <v>0</v>
      </c>
      <c r="F46" s="461">
        <v>0</v>
      </c>
    </row>
    <row r="47" spans="1:6" x14ac:dyDescent="0.35">
      <c r="A47" s="462" t="s">
        <v>40</v>
      </c>
      <c r="B47" s="461">
        <v>209</v>
      </c>
      <c r="C47" s="461">
        <v>469</v>
      </c>
      <c r="D47" s="461">
        <v>0</v>
      </c>
      <c r="E47" s="461">
        <v>0</v>
      </c>
      <c r="F47" s="461">
        <v>0</v>
      </c>
    </row>
    <row r="48" spans="1:6" x14ac:dyDescent="0.35">
      <c r="A48" s="462" t="s">
        <v>41</v>
      </c>
      <c r="B48" s="461">
        <v>420</v>
      </c>
      <c r="C48" s="461">
        <v>2</v>
      </c>
      <c r="D48" s="461">
        <v>0</v>
      </c>
      <c r="E48" s="461">
        <v>0</v>
      </c>
      <c r="F48" s="461">
        <v>0</v>
      </c>
    </row>
    <row r="49" spans="1:6" x14ac:dyDescent="0.35">
      <c r="A49" s="462" t="s">
        <v>42</v>
      </c>
      <c r="B49" s="461">
        <v>722</v>
      </c>
      <c r="C49" s="461">
        <v>464</v>
      </c>
      <c r="D49" s="461">
        <v>0</v>
      </c>
      <c r="E49" s="461">
        <v>0</v>
      </c>
      <c r="F49" s="461">
        <v>0</v>
      </c>
    </row>
    <row r="50" spans="1:6" x14ac:dyDescent="0.35">
      <c r="A50" s="462" t="s">
        <v>43</v>
      </c>
      <c r="B50" s="461">
        <v>2176</v>
      </c>
      <c r="C50" s="461">
        <v>897</v>
      </c>
      <c r="D50" s="461">
        <v>0</v>
      </c>
      <c r="E50" s="461">
        <v>0</v>
      </c>
      <c r="F50" s="461">
        <v>0</v>
      </c>
    </row>
    <row r="51" spans="1:6" x14ac:dyDescent="0.35">
      <c r="A51" s="462" t="s">
        <v>114</v>
      </c>
      <c r="B51" s="461">
        <v>4098</v>
      </c>
      <c r="C51" s="461">
        <v>8</v>
      </c>
      <c r="D51" s="461">
        <v>0</v>
      </c>
      <c r="E51" s="461">
        <v>0</v>
      </c>
      <c r="F51" s="461">
        <v>0</v>
      </c>
    </row>
    <row r="52" spans="1:6" x14ac:dyDescent="0.35">
      <c r="A52" s="462" t="s">
        <v>44</v>
      </c>
      <c r="B52" s="461">
        <v>580</v>
      </c>
      <c r="C52" s="461">
        <v>4277</v>
      </c>
      <c r="D52" s="461">
        <v>0</v>
      </c>
      <c r="E52" s="461">
        <v>0</v>
      </c>
      <c r="F52" s="461">
        <v>499</v>
      </c>
    </row>
    <row r="53" spans="1:6" x14ac:dyDescent="0.35">
      <c r="A53" s="462" t="s">
        <v>45</v>
      </c>
      <c r="B53" s="461">
        <v>577</v>
      </c>
      <c r="C53" s="461">
        <v>334</v>
      </c>
      <c r="D53" s="461">
        <v>0</v>
      </c>
      <c r="E53" s="461">
        <v>0</v>
      </c>
      <c r="F53" s="461">
        <v>0</v>
      </c>
    </row>
    <row r="54" spans="1:6" x14ac:dyDescent="0.35">
      <c r="A54" s="462" t="s">
        <v>46</v>
      </c>
      <c r="B54" s="461">
        <v>221</v>
      </c>
      <c r="C54" s="461">
        <v>95</v>
      </c>
      <c r="D54" s="461">
        <v>0</v>
      </c>
      <c r="E54" s="461">
        <v>0</v>
      </c>
      <c r="F54" s="461">
        <v>0</v>
      </c>
    </row>
    <row r="55" spans="1:6" x14ac:dyDescent="0.35">
      <c r="A55" s="462" t="s">
        <v>47</v>
      </c>
      <c r="B55" s="461">
        <v>218</v>
      </c>
      <c r="C55" s="461">
        <v>935</v>
      </c>
      <c r="D55" s="461">
        <v>0</v>
      </c>
      <c r="E55" s="461">
        <v>0</v>
      </c>
      <c r="F55" s="461">
        <v>92</v>
      </c>
    </row>
    <row r="56" spans="1:6" x14ac:dyDescent="0.35">
      <c r="A56" s="462" t="s">
        <v>48</v>
      </c>
      <c r="B56" s="461">
        <v>0</v>
      </c>
      <c r="C56" s="461">
        <v>1085</v>
      </c>
      <c r="D56" s="461">
        <v>0</v>
      </c>
      <c r="E56" s="461">
        <v>0</v>
      </c>
      <c r="F56" s="461">
        <v>0</v>
      </c>
    </row>
    <row r="57" spans="1:6" x14ac:dyDescent="0.35">
      <c r="A57" s="462" t="s">
        <v>49</v>
      </c>
      <c r="B57" s="461">
        <v>612</v>
      </c>
      <c r="C57" s="461">
        <v>815</v>
      </c>
      <c r="D57" s="461">
        <v>0</v>
      </c>
      <c r="E57" s="461">
        <v>0</v>
      </c>
      <c r="F57" s="461">
        <v>176</v>
      </c>
    </row>
    <row r="58" spans="1:6" x14ac:dyDescent="0.35">
      <c r="A58" s="462" t="s">
        <v>50</v>
      </c>
      <c r="B58" s="461">
        <v>1380</v>
      </c>
      <c r="C58" s="461">
        <v>274</v>
      </c>
      <c r="D58" s="461">
        <v>0</v>
      </c>
      <c r="E58" s="461">
        <v>0</v>
      </c>
      <c r="F58" s="461">
        <v>0</v>
      </c>
    </row>
    <row r="59" spans="1:6" x14ac:dyDescent="0.35">
      <c r="A59" s="462" t="s">
        <v>51</v>
      </c>
      <c r="B59" s="461">
        <v>0</v>
      </c>
      <c r="C59" s="461">
        <v>845</v>
      </c>
      <c r="D59" s="461">
        <v>0</v>
      </c>
      <c r="E59" s="461">
        <v>0</v>
      </c>
      <c r="F59" s="461">
        <v>1</v>
      </c>
    </row>
    <row r="60" spans="1:6" x14ac:dyDescent="0.35">
      <c r="A60" s="462" t="s">
        <v>52</v>
      </c>
      <c r="B60" s="461">
        <v>583</v>
      </c>
      <c r="C60" s="461">
        <v>1034</v>
      </c>
      <c r="D60" s="461">
        <v>0</v>
      </c>
      <c r="E60" s="461">
        <v>0</v>
      </c>
      <c r="F60" s="461">
        <v>187</v>
      </c>
    </row>
    <row r="61" spans="1:6" x14ac:dyDescent="0.35">
      <c r="A61" s="462" t="s">
        <v>53</v>
      </c>
      <c r="B61" s="461">
        <v>815</v>
      </c>
      <c r="C61" s="461">
        <v>115</v>
      </c>
      <c r="D61" s="461">
        <v>0</v>
      </c>
      <c r="E61" s="461">
        <v>0</v>
      </c>
      <c r="F61" s="461">
        <v>0</v>
      </c>
    </row>
    <row r="62" spans="1:6" x14ac:dyDescent="0.35">
      <c r="A62" s="462" t="s">
        <v>54</v>
      </c>
      <c r="B62" s="461">
        <v>486</v>
      </c>
      <c r="C62" s="461">
        <v>1158</v>
      </c>
      <c r="D62" s="461">
        <v>0</v>
      </c>
      <c r="E62" s="461">
        <v>0</v>
      </c>
      <c r="F62" s="461">
        <v>0</v>
      </c>
    </row>
    <row r="63" spans="1:6" x14ac:dyDescent="0.35">
      <c r="A63" s="462" t="s">
        <v>55</v>
      </c>
      <c r="B63" s="461">
        <v>0</v>
      </c>
      <c r="C63" s="461">
        <v>1020</v>
      </c>
      <c r="D63" s="461">
        <v>0</v>
      </c>
      <c r="E63" s="461">
        <v>0</v>
      </c>
      <c r="F63" s="461">
        <v>1</v>
      </c>
    </row>
    <row r="64" spans="1:6" x14ac:dyDescent="0.35">
      <c r="A64" s="462" t="s">
        <v>56</v>
      </c>
      <c r="B64" s="461">
        <v>435</v>
      </c>
      <c r="C64" s="461">
        <v>423</v>
      </c>
      <c r="D64" s="461">
        <v>0</v>
      </c>
      <c r="E64" s="461">
        <v>0</v>
      </c>
      <c r="F64" s="461">
        <v>0</v>
      </c>
    </row>
    <row r="65" spans="1:6" x14ac:dyDescent="0.35">
      <c r="A65" s="462" t="s">
        <v>57</v>
      </c>
      <c r="B65" s="461">
        <v>1395</v>
      </c>
      <c r="C65" s="461">
        <v>631</v>
      </c>
      <c r="D65" s="461">
        <v>0</v>
      </c>
      <c r="E65" s="461">
        <v>0</v>
      </c>
      <c r="F65" s="461">
        <v>20</v>
      </c>
    </row>
    <row r="66" spans="1:6" x14ac:dyDescent="0.35">
      <c r="A66" s="462" t="s">
        <v>58</v>
      </c>
      <c r="B66" s="461">
        <v>421</v>
      </c>
      <c r="C66" s="461">
        <v>594</v>
      </c>
      <c r="D66" s="461">
        <v>0</v>
      </c>
      <c r="E66" s="461">
        <v>0</v>
      </c>
      <c r="F66" s="461">
        <v>0</v>
      </c>
    </row>
    <row r="67" spans="1:6" x14ac:dyDescent="0.35">
      <c r="A67" s="462" t="s">
        <v>59</v>
      </c>
      <c r="B67" s="461">
        <v>580</v>
      </c>
      <c r="C67" s="461">
        <v>155</v>
      </c>
      <c r="D67" s="461">
        <v>0</v>
      </c>
      <c r="E67" s="461">
        <v>0</v>
      </c>
      <c r="F67" s="461">
        <v>0</v>
      </c>
    </row>
    <row r="68" spans="1:6" x14ac:dyDescent="0.35">
      <c r="A68" s="462" t="s">
        <v>60</v>
      </c>
      <c r="B68" s="461">
        <v>514</v>
      </c>
      <c r="C68" s="461">
        <v>489</v>
      </c>
      <c r="D68" s="461">
        <v>0</v>
      </c>
      <c r="E68" s="461">
        <v>0</v>
      </c>
      <c r="F68" s="461">
        <v>0</v>
      </c>
    </row>
    <row r="69" spans="1:6" x14ac:dyDescent="0.35">
      <c r="A69" s="818" t="s">
        <v>851</v>
      </c>
      <c r="B69" s="461">
        <v>24316</v>
      </c>
      <c r="C69" s="461">
        <v>23237</v>
      </c>
      <c r="D69" s="461">
        <v>0</v>
      </c>
      <c r="E69" s="461">
        <v>0</v>
      </c>
      <c r="F69" s="461">
        <v>2670</v>
      </c>
    </row>
    <row r="70" spans="1:6" x14ac:dyDescent="0.35">
      <c r="A70" s="818" t="s">
        <v>236</v>
      </c>
      <c r="B70" s="461"/>
      <c r="C70" s="461"/>
      <c r="D70" s="461"/>
      <c r="E70" s="461"/>
      <c r="F70" s="461"/>
    </row>
    <row r="71" spans="1:6" x14ac:dyDescent="0.35">
      <c r="A71" s="462" t="s">
        <v>31</v>
      </c>
      <c r="B71" s="461">
        <v>119</v>
      </c>
      <c r="C71" s="461">
        <v>0</v>
      </c>
      <c r="D71" s="461">
        <v>0</v>
      </c>
      <c r="E71" s="461">
        <v>0</v>
      </c>
      <c r="F71" s="461">
        <v>0</v>
      </c>
    </row>
    <row r="72" spans="1:6" x14ac:dyDescent="0.35">
      <c r="A72" s="462" t="s">
        <v>63</v>
      </c>
      <c r="B72" s="461">
        <v>193</v>
      </c>
      <c r="C72" s="461">
        <v>0</v>
      </c>
      <c r="D72" s="461">
        <v>0</v>
      </c>
      <c r="E72" s="461">
        <v>0</v>
      </c>
      <c r="F72" s="461">
        <v>0</v>
      </c>
    </row>
    <row r="73" spans="1:6" x14ac:dyDescent="0.35">
      <c r="A73" s="462" t="s">
        <v>64</v>
      </c>
      <c r="B73" s="461">
        <v>201</v>
      </c>
      <c r="C73" s="461">
        <v>0</v>
      </c>
      <c r="D73" s="461">
        <v>0</v>
      </c>
      <c r="E73" s="461">
        <v>0</v>
      </c>
      <c r="F73" s="461">
        <v>0</v>
      </c>
    </row>
    <row r="74" spans="1:6" x14ac:dyDescent="0.35">
      <c r="A74" s="462" t="s">
        <v>36</v>
      </c>
      <c r="B74" s="461">
        <v>162</v>
      </c>
      <c r="C74" s="461">
        <v>0</v>
      </c>
      <c r="D74" s="461">
        <v>0</v>
      </c>
      <c r="E74" s="461">
        <v>0</v>
      </c>
      <c r="F74" s="461">
        <v>0</v>
      </c>
    </row>
    <row r="75" spans="1:6" x14ac:dyDescent="0.35">
      <c r="A75" s="462" t="s">
        <v>65</v>
      </c>
      <c r="B75" s="461">
        <v>191</v>
      </c>
      <c r="C75" s="461">
        <v>0</v>
      </c>
      <c r="D75" s="461">
        <v>0</v>
      </c>
      <c r="E75" s="461">
        <v>0</v>
      </c>
      <c r="F75" s="461">
        <v>0</v>
      </c>
    </row>
    <row r="76" spans="1:6" x14ac:dyDescent="0.35">
      <c r="A76" s="462" t="s">
        <v>66</v>
      </c>
      <c r="B76" s="461">
        <v>209</v>
      </c>
      <c r="C76" s="461">
        <v>0</v>
      </c>
      <c r="D76" s="461">
        <v>0</v>
      </c>
      <c r="E76" s="461">
        <v>0</v>
      </c>
      <c r="F76" s="461">
        <v>0</v>
      </c>
    </row>
    <row r="77" spans="1:6" x14ac:dyDescent="0.35">
      <c r="A77" s="462" t="s">
        <v>67</v>
      </c>
      <c r="B77" s="461">
        <v>216</v>
      </c>
      <c r="C77" s="461">
        <v>0</v>
      </c>
      <c r="D77" s="461">
        <v>0</v>
      </c>
      <c r="E77" s="461">
        <v>0</v>
      </c>
      <c r="F77" s="461">
        <v>0</v>
      </c>
    </row>
    <row r="78" spans="1:6" x14ac:dyDescent="0.35">
      <c r="A78" s="462" t="s">
        <v>68</v>
      </c>
      <c r="B78" s="461">
        <v>119</v>
      </c>
      <c r="C78" s="461">
        <v>0</v>
      </c>
      <c r="D78" s="461">
        <v>0</v>
      </c>
      <c r="E78" s="461">
        <v>0</v>
      </c>
      <c r="F78" s="461">
        <v>0</v>
      </c>
    </row>
    <row r="79" spans="1:6" x14ac:dyDescent="0.35">
      <c r="A79" s="462" t="s">
        <v>167</v>
      </c>
      <c r="B79" s="461">
        <v>222</v>
      </c>
      <c r="C79" s="461">
        <v>0</v>
      </c>
      <c r="D79" s="461">
        <v>0</v>
      </c>
      <c r="E79" s="461">
        <v>0</v>
      </c>
      <c r="F79" s="461">
        <v>0</v>
      </c>
    </row>
    <row r="80" spans="1:6" x14ac:dyDescent="0.35">
      <c r="A80" s="462" t="s">
        <v>69</v>
      </c>
      <c r="B80" s="461">
        <v>140</v>
      </c>
      <c r="C80" s="461">
        <v>0</v>
      </c>
      <c r="D80" s="461">
        <v>0</v>
      </c>
      <c r="E80" s="461">
        <v>0</v>
      </c>
      <c r="F80" s="461">
        <v>0</v>
      </c>
    </row>
    <row r="81" spans="1:6" x14ac:dyDescent="0.35">
      <c r="A81" s="462" t="s">
        <v>43</v>
      </c>
      <c r="B81" s="461">
        <v>129</v>
      </c>
      <c r="C81" s="461">
        <v>0</v>
      </c>
      <c r="D81" s="461">
        <v>0</v>
      </c>
      <c r="E81" s="461">
        <v>0</v>
      </c>
      <c r="F81" s="461">
        <v>0</v>
      </c>
    </row>
    <row r="82" spans="1:6" x14ac:dyDescent="0.35">
      <c r="A82" s="462" t="s">
        <v>114</v>
      </c>
      <c r="B82" s="461">
        <v>208</v>
      </c>
      <c r="C82" s="461">
        <v>0</v>
      </c>
      <c r="D82" s="461">
        <v>0</v>
      </c>
      <c r="E82" s="461">
        <v>0</v>
      </c>
      <c r="F82" s="461">
        <v>0</v>
      </c>
    </row>
    <row r="83" spans="1:6" x14ac:dyDescent="0.35">
      <c r="A83" s="462" t="s">
        <v>70</v>
      </c>
      <c r="B83" s="461">
        <v>242</v>
      </c>
      <c r="C83" s="461">
        <v>0</v>
      </c>
      <c r="D83" s="461">
        <v>0</v>
      </c>
      <c r="E83" s="461">
        <v>0</v>
      </c>
      <c r="F83" s="461">
        <v>0</v>
      </c>
    </row>
    <row r="84" spans="1:6" x14ac:dyDescent="0.35">
      <c r="A84" s="462" t="s">
        <v>50</v>
      </c>
      <c r="B84" s="461">
        <v>130</v>
      </c>
      <c r="C84" s="461">
        <v>0</v>
      </c>
      <c r="D84" s="461">
        <v>0</v>
      </c>
      <c r="E84" s="461">
        <v>0</v>
      </c>
      <c r="F84" s="461">
        <v>0</v>
      </c>
    </row>
    <row r="85" spans="1:6" x14ac:dyDescent="0.35">
      <c r="A85" s="462" t="s">
        <v>57</v>
      </c>
      <c r="B85" s="461">
        <v>115</v>
      </c>
      <c r="C85" s="461">
        <v>0</v>
      </c>
      <c r="D85" s="461">
        <v>0</v>
      </c>
      <c r="E85" s="461">
        <v>0</v>
      </c>
      <c r="F85" s="461">
        <v>0</v>
      </c>
    </row>
    <row r="86" spans="1:6" x14ac:dyDescent="0.35">
      <c r="A86" s="462" t="s">
        <v>17412</v>
      </c>
      <c r="B86" s="461">
        <v>77</v>
      </c>
      <c r="C86" s="461">
        <v>0</v>
      </c>
      <c r="D86" s="461">
        <v>0</v>
      </c>
      <c r="E86" s="461">
        <v>0</v>
      </c>
      <c r="F86" s="461">
        <v>0</v>
      </c>
    </row>
    <row r="87" spans="1:6" x14ac:dyDescent="0.35">
      <c r="A87" s="462" t="s">
        <v>775</v>
      </c>
      <c r="B87" s="461">
        <v>75</v>
      </c>
      <c r="C87" s="461">
        <v>0</v>
      </c>
      <c r="D87" s="461">
        <v>0</v>
      </c>
      <c r="E87" s="461">
        <v>0</v>
      </c>
      <c r="F87" s="461">
        <v>0</v>
      </c>
    </row>
    <row r="88" spans="1:6" x14ac:dyDescent="0.35">
      <c r="A88" s="462" t="s">
        <v>71</v>
      </c>
      <c r="B88" s="461">
        <v>107</v>
      </c>
      <c r="C88" s="461">
        <v>0</v>
      </c>
      <c r="D88" s="461">
        <v>0</v>
      </c>
      <c r="E88" s="461">
        <v>0</v>
      </c>
      <c r="F88" s="461">
        <v>0</v>
      </c>
    </row>
    <row r="89" spans="1:6" x14ac:dyDescent="0.35">
      <c r="A89" s="818" t="s">
        <v>852</v>
      </c>
      <c r="B89" s="461">
        <v>2855</v>
      </c>
      <c r="C89" s="461">
        <v>0</v>
      </c>
      <c r="D89" s="461">
        <v>0</v>
      </c>
      <c r="E89" s="461">
        <v>0</v>
      </c>
      <c r="F89" s="461">
        <v>0</v>
      </c>
    </row>
    <row r="90" spans="1:6" x14ac:dyDescent="0.35">
      <c r="A90" s="818" t="s">
        <v>237</v>
      </c>
      <c r="B90" s="461"/>
      <c r="C90" s="461"/>
      <c r="D90" s="461"/>
      <c r="E90" s="461"/>
      <c r="F90" s="461"/>
    </row>
    <row r="91" spans="1:6" x14ac:dyDescent="0.35">
      <c r="A91" s="462" t="s">
        <v>166</v>
      </c>
      <c r="B91" s="461">
        <v>414</v>
      </c>
      <c r="C91" s="461">
        <v>0</v>
      </c>
      <c r="D91" s="461">
        <v>0</v>
      </c>
      <c r="E91" s="461">
        <v>754</v>
      </c>
      <c r="F91" s="461">
        <v>0</v>
      </c>
    </row>
    <row r="92" spans="1:6" x14ac:dyDescent="0.35">
      <c r="A92" s="462" t="s">
        <v>164</v>
      </c>
      <c r="B92" s="461">
        <v>406</v>
      </c>
      <c r="C92" s="461">
        <v>0</v>
      </c>
      <c r="D92" s="461">
        <v>0</v>
      </c>
      <c r="E92" s="461">
        <v>656</v>
      </c>
      <c r="F92" s="461">
        <v>0</v>
      </c>
    </row>
    <row r="93" spans="1:6" x14ac:dyDescent="0.35">
      <c r="A93" s="462" t="s">
        <v>165</v>
      </c>
      <c r="B93" s="461">
        <v>646</v>
      </c>
      <c r="C93" s="461">
        <v>0</v>
      </c>
      <c r="D93" s="461">
        <v>0</v>
      </c>
      <c r="E93" s="461">
        <v>1614</v>
      </c>
      <c r="F93" s="461">
        <v>0</v>
      </c>
    </row>
    <row r="94" spans="1:6" x14ac:dyDescent="0.35">
      <c r="A94" s="818" t="s">
        <v>853</v>
      </c>
      <c r="B94" s="461">
        <v>1466</v>
      </c>
      <c r="C94" s="461">
        <v>0</v>
      </c>
      <c r="D94" s="461">
        <v>0</v>
      </c>
      <c r="E94" s="461">
        <v>3024</v>
      </c>
      <c r="F94" s="461">
        <v>0</v>
      </c>
    </row>
    <row r="95" spans="1:6" x14ac:dyDescent="0.35">
      <c r="A95" s="818" t="s">
        <v>238</v>
      </c>
      <c r="B95" s="461"/>
      <c r="C95" s="461"/>
      <c r="D95" s="461"/>
      <c r="E95" s="461"/>
      <c r="F95" s="461"/>
    </row>
    <row r="96" spans="1:6" x14ac:dyDescent="0.35">
      <c r="A96" s="462" t="s">
        <v>246</v>
      </c>
      <c r="B96" s="461">
        <v>957</v>
      </c>
      <c r="C96" s="461">
        <v>0</v>
      </c>
      <c r="D96" s="461">
        <v>1587</v>
      </c>
      <c r="E96" s="461">
        <v>1316</v>
      </c>
      <c r="F96" s="461">
        <v>0</v>
      </c>
    </row>
    <row r="97" spans="1:6" x14ac:dyDescent="0.35">
      <c r="A97" s="818" t="s">
        <v>854</v>
      </c>
      <c r="B97" s="461">
        <v>957</v>
      </c>
      <c r="C97" s="461">
        <v>0</v>
      </c>
      <c r="D97" s="461">
        <v>1587</v>
      </c>
      <c r="E97" s="461">
        <v>1316</v>
      </c>
      <c r="F97" s="461">
        <v>0</v>
      </c>
    </row>
    <row r="98" spans="1:6" x14ac:dyDescent="0.35">
      <c r="A98" s="818" t="s">
        <v>239</v>
      </c>
      <c r="B98" s="461">
        <v>29594</v>
      </c>
      <c r="C98" s="461">
        <v>23237</v>
      </c>
      <c r="D98" s="461">
        <v>1587</v>
      </c>
      <c r="E98" s="461">
        <v>6785</v>
      </c>
      <c r="F98" s="461">
        <v>2670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509"/>
  <sheetViews>
    <sheetView topLeftCell="A2" workbookViewId="0">
      <selection activeCell="E22" sqref="E22"/>
    </sheetView>
  </sheetViews>
  <sheetFormatPr defaultRowHeight="14.5" x14ac:dyDescent="0.35"/>
  <cols>
    <col min="1" max="1" width="7.453125" bestFit="1" customWidth="1"/>
    <col min="2" max="2" width="15.54296875" bestFit="1" customWidth="1"/>
    <col min="3" max="3" width="54.36328125" bestFit="1" customWidth="1"/>
    <col min="4" max="4" width="23" bestFit="1" customWidth="1"/>
    <col min="5" max="5" width="21.6328125" bestFit="1" customWidth="1"/>
    <col min="6" max="6" width="9.36328125" bestFit="1" customWidth="1"/>
    <col min="7" max="7" width="9.81640625" bestFit="1" customWidth="1"/>
    <col min="8" max="8" width="11.453125" bestFit="1" customWidth="1"/>
    <col min="9" max="9" width="7.36328125" bestFit="1" customWidth="1"/>
  </cols>
  <sheetData>
    <row r="1" spans="1:9" x14ac:dyDescent="0.35">
      <c r="A1" s="461" t="s">
        <v>1</v>
      </c>
      <c r="B1" s="461" t="s">
        <v>17409</v>
      </c>
      <c r="C1" s="461" t="s">
        <v>17410</v>
      </c>
      <c r="D1" s="461" t="s">
        <v>27</v>
      </c>
      <c r="E1" s="461" t="s">
        <v>28</v>
      </c>
      <c r="F1" s="461" t="s">
        <v>2</v>
      </c>
      <c r="G1" s="461" t="s">
        <v>3</v>
      </c>
      <c r="H1" s="461" t="s">
        <v>29</v>
      </c>
      <c r="I1" s="461" t="s">
        <v>26</v>
      </c>
    </row>
    <row r="2" spans="1:9" x14ac:dyDescent="0.35">
      <c r="A2" s="461" t="s">
        <v>194</v>
      </c>
      <c r="B2" s="461" t="s">
        <v>235</v>
      </c>
      <c r="C2" s="461" t="s">
        <v>43</v>
      </c>
      <c r="D2" s="461">
        <v>289</v>
      </c>
      <c r="E2" s="461">
        <v>111</v>
      </c>
      <c r="F2" s="461"/>
      <c r="G2" s="461"/>
      <c r="H2" s="461">
        <v>0</v>
      </c>
      <c r="I2" s="461">
        <v>400</v>
      </c>
    </row>
    <row r="3" spans="1:9" x14ac:dyDescent="0.35">
      <c r="A3" s="461" t="s">
        <v>194</v>
      </c>
      <c r="B3" s="461" t="s">
        <v>235</v>
      </c>
      <c r="C3" s="461" t="s">
        <v>46</v>
      </c>
      <c r="D3" s="461">
        <v>35</v>
      </c>
      <c r="E3" s="461">
        <v>10</v>
      </c>
      <c r="F3" s="461"/>
      <c r="G3" s="461"/>
      <c r="H3" s="461">
        <v>0</v>
      </c>
      <c r="I3" s="461">
        <v>45</v>
      </c>
    </row>
    <row r="4" spans="1:9" x14ac:dyDescent="0.35">
      <c r="A4" s="461" t="s">
        <v>194</v>
      </c>
      <c r="B4" s="461" t="s">
        <v>235</v>
      </c>
      <c r="C4" s="461" t="s">
        <v>245</v>
      </c>
      <c r="D4" s="461">
        <v>370</v>
      </c>
      <c r="E4" s="461">
        <v>12</v>
      </c>
      <c r="F4" s="461"/>
      <c r="G4" s="461"/>
      <c r="H4" s="461">
        <v>0</v>
      </c>
      <c r="I4" s="461">
        <v>382</v>
      </c>
    </row>
    <row r="5" spans="1:9" x14ac:dyDescent="0.35">
      <c r="A5" s="461" t="s">
        <v>194</v>
      </c>
      <c r="B5" s="461" t="s">
        <v>235</v>
      </c>
      <c r="C5" s="461" t="s">
        <v>36</v>
      </c>
      <c r="D5" s="461">
        <v>69</v>
      </c>
      <c r="E5" s="461">
        <v>198</v>
      </c>
      <c r="F5" s="461"/>
      <c r="G5" s="461"/>
      <c r="H5" s="461">
        <v>4</v>
      </c>
      <c r="I5" s="461">
        <v>271</v>
      </c>
    </row>
    <row r="6" spans="1:9" x14ac:dyDescent="0.35">
      <c r="A6" s="461" t="s">
        <v>194</v>
      </c>
      <c r="B6" s="461" t="s">
        <v>235</v>
      </c>
      <c r="C6" s="461" t="s">
        <v>39</v>
      </c>
      <c r="D6" s="461">
        <v>74</v>
      </c>
      <c r="E6" s="461">
        <v>0</v>
      </c>
      <c r="F6" s="461"/>
      <c r="G6" s="461"/>
      <c r="H6" s="461">
        <v>0</v>
      </c>
      <c r="I6" s="461">
        <v>74</v>
      </c>
    </row>
    <row r="7" spans="1:9" x14ac:dyDescent="0.35">
      <c r="A7" s="461" t="s">
        <v>194</v>
      </c>
      <c r="B7" s="461" t="s">
        <v>235</v>
      </c>
      <c r="C7" s="461" t="s">
        <v>50</v>
      </c>
      <c r="D7" s="461">
        <v>188</v>
      </c>
      <c r="E7" s="461">
        <v>28</v>
      </c>
      <c r="F7" s="461"/>
      <c r="G7" s="461"/>
      <c r="H7" s="461">
        <v>0</v>
      </c>
      <c r="I7" s="461">
        <v>216</v>
      </c>
    </row>
    <row r="8" spans="1:9" x14ac:dyDescent="0.35">
      <c r="A8" s="461" t="s">
        <v>194</v>
      </c>
      <c r="B8" s="461" t="s">
        <v>235</v>
      </c>
      <c r="C8" s="461" t="s">
        <v>51</v>
      </c>
      <c r="D8" s="461">
        <v>0</v>
      </c>
      <c r="E8" s="461">
        <v>113</v>
      </c>
      <c r="F8" s="461"/>
      <c r="G8" s="461"/>
      <c r="H8" s="461">
        <v>0</v>
      </c>
      <c r="I8" s="461">
        <v>113</v>
      </c>
    </row>
    <row r="9" spans="1:9" x14ac:dyDescent="0.35">
      <c r="A9" s="461" t="s">
        <v>194</v>
      </c>
      <c r="B9" s="461" t="s">
        <v>235</v>
      </c>
      <c r="C9" s="461" t="s">
        <v>34</v>
      </c>
      <c r="D9" s="461">
        <v>58</v>
      </c>
      <c r="E9" s="461">
        <v>187</v>
      </c>
      <c r="F9" s="461"/>
      <c r="G9" s="461"/>
      <c r="H9" s="461">
        <v>203</v>
      </c>
      <c r="I9" s="461">
        <v>448</v>
      </c>
    </row>
    <row r="10" spans="1:9" x14ac:dyDescent="0.35">
      <c r="A10" s="461" t="s">
        <v>194</v>
      </c>
      <c r="B10" s="461" t="s">
        <v>235</v>
      </c>
      <c r="C10" s="461" t="s">
        <v>38</v>
      </c>
      <c r="D10" s="461">
        <v>59</v>
      </c>
      <c r="E10" s="461">
        <v>77</v>
      </c>
      <c r="F10" s="461"/>
      <c r="G10" s="461"/>
      <c r="H10" s="461">
        <v>0</v>
      </c>
      <c r="I10" s="461">
        <v>136</v>
      </c>
    </row>
    <row r="11" spans="1:9" x14ac:dyDescent="0.35">
      <c r="A11" s="461" t="s">
        <v>194</v>
      </c>
      <c r="B11" s="461" t="s">
        <v>235</v>
      </c>
      <c r="C11" s="461" t="s">
        <v>44</v>
      </c>
      <c r="D11" s="461">
        <v>81</v>
      </c>
      <c r="E11" s="461">
        <v>564</v>
      </c>
      <c r="F11" s="461"/>
      <c r="G11" s="461"/>
      <c r="H11" s="461">
        <v>72</v>
      </c>
      <c r="I11" s="461">
        <v>717</v>
      </c>
    </row>
    <row r="12" spans="1:9" x14ac:dyDescent="0.35">
      <c r="A12" s="461" t="s">
        <v>194</v>
      </c>
      <c r="B12" s="461" t="s">
        <v>235</v>
      </c>
      <c r="C12" s="461" t="s">
        <v>52</v>
      </c>
      <c r="D12" s="461">
        <v>88</v>
      </c>
      <c r="E12" s="461">
        <v>140</v>
      </c>
      <c r="F12" s="461"/>
      <c r="G12" s="461"/>
      <c r="H12" s="461">
        <v>25</v>
      </c>
      <c r="I12" s="461">
        <v>253</v>
      </c>
    </row>
    <row r="13" spans="1:9" x14ac:dyDescent="0.35">
      <c r="A13" s="461" t="s">
        <v>194</v>
      </c>
      <c r="B13" s="461" t="s">
        <v>235</v>
      </c>
      <c r="C13" s="461" t="s">
        <v>53</v>
      </c>
      <c r="D13" s="461">
        <v>116</v>
      </c>
      <c r="E13" s="461">
        <v>14</v>
      </c>
      <c r="F13" s="461"/>
      <c r="G13" s="461"/>
      <c r="H13" s="461">
        <v>0</v>
      </c>
      <c r="I13" s="461">
        <v>130</v>
      </c>
    </row>
    <row r="14" spans="1:9" x14ac:dyDescent="0.35">
      <c r="A14" s="461" t="s">
        <v>194</v>
      </c>
      <c r="B14" s="461" t="s">
        <v>235</v>
      </c>
      <c r="C14" s="461" t="s">
        <v>54</v>
      </c>
      <c r="D14" s="461">
        <v>75</v>
      </c>
      <c r="E14" s="461">
        <v>134</v>
      </c>
      <c r="F14" s="461"/>
      <c r="G14" s="461"/>
      <c r="H14" s="461">
        <v>0</v>
      </c>
      <c r="I14" s="461">
        <v>209</v>
      </c>
    </row>
    <row r="15" spans="1:9" x14ac:dyDescent="0.35">
      <c r="A15" s="461" t="s">
        <v>194</v>
      </c>
      <c r="B15" s="461" t="s">
        <v>235</v>
      </c>
      <c r="C15" s="461" t="s">
        <v>56</v>
      </c>
      <c r="D15" s="461">
        <v>65</v>
      </c>
      <c r="E15" s="461">
        <v>54</v>
      </c>
      <c r="F15" s="461"/>
      <c r="G15" s="461"/>
      <c r="H15" s="461">
        <v>0</v>
      </c>
      <c r="I15" s="461">
        <v>119</v>
      </c>
    </row>
    <row r="16" spans="1:9" x14ac:dyDescent="0.35">
      <c r="A16" s="461" t="s">
        <v>194</v>
      </c>
      <c r="B16" s="461" t="s">
        <v>235</v>
      </c>
      <c r="C16" s="461" t="s">
        <v>37</v>
      </c>
      <c r="D16" s="461">
        <v>215</v>
      </c>
      <c r="E16" s="461">
        <v>14</v>
      </c>
      <c r="F16" s="461"/>
      <c r="G16" s="461"/>
      <c r="H16" s="461">
        <v>0</v>
      </c>
      <c r="I16" s="461">
        <v>229</v>
      </c>
    </row>
    <row r="17" spans="1:9" x14ac:dyDescent="0.35">
      <c r="A17" s="461" t="s">
        <v>194</v>
      </c>
      <c r="B17" s="461" t="s">
        <v>235</v>
      </c>
      <c r="C17" s="461" t="s">
        <v>41</v>
      </c>
      <c r="D17" s="461">
        <v>59</v>
      </c>
      <c r="E17" s="461">
        <v>0</v>
      </c>
      <c r="F17" s="461"/>
      <c r="G17" s="461"/>
      <c r="H17" s="461">
        <v>0</v>
      </c>
      <c r="I17" s="461">
        <v>59</v>
      </c>
    </row>
    <row r="18" spans="1:9" x14ac:dyDescent="0.35">
      <c r="A18" s="461" t="s">
        <v>194</v>
      </c>
      <c r="B18" s="461" t="s">
        <v>235</v>
      </c>
      <c r="C18" s="461" t="s">
        <v>60</v>
      </c>
      <c r="D18" s="461">
        <v>85</v>
      </c>
      <c r="E18" s="461">
        <v>58</v>
      </c>
      <c r="F18" s="461"/>
      <c r="G18" s="461"/>
      <c r="H18" s="461">
        <v>0</v>
      </c>
      <c r="I18" s="461">
        <v>143</v>
      </c>
    </row>
    <row r="19" spans="1:9" x14ac:dyDescent="0.35">
      <c r="A19" s="461" t="s">
        <v>194</v>
      </c>
      <c r="B19" s="461" t="s">
        <v>235</v>
      </c>
      <c r="C19" s="461" t="s">
        <v>32</v>
      </c>
      <c r="D19" s="461">
        <v>23</v>
      </c>
      <c r="E19" s="461">
        <v>297</v>
      </c>
      <c r="F19" s="461"/>
      <c r="G19" s="461"/>
      <c r="H19" s="461">
        <v>0</v>
      </c>
      <c r="I19" s="461">
        <v>320</v>
      </c>
    </row>
    <row r="20" spans="1:9" x14ac:dyDescent="0.35">
      <c r="A20" s="461" t="s">
        <v>194</v>
      </c>
      <c r="B20" s="461" t="s">
        <v>235</v>
      </c>
      <c r="C20" s="461" t="s">
        <v>48</v>
      </c>
      <c r="D20" s="461">
        <v>0</v>
      </c>
      <c r="E20" s="461">
        <v>132</v>
      </c>
      <c r="F20" s="461"/>
      <c r="G20" s="461"/>
      <c r="H20" s="461">
        <v>0</v>
      </c>
      <c r="I20" s="461">
        <v>132</v>
      </c>
    </row>
    <row r="21" spans="1:9" x14ac:dyDescent="0.35">
      <c r="A21" s="461" t="s">
        <v>194</v>
      </c>
      <c r="B21" s="461" t="s">
        <v>235</v>
      </c>
      <c r="C21" s="461" t="s">
        <v>49</v>
      </c>
      <c r="D21" s="461">
        <v>76</v>
      </c>
      <c r="E21" s="461">
        <v>94</v>
      </c>
      <c r="F21" s="461"/>
      <c r="G21" s="461"/>
      <c r="H21" s="461">
        <v>21</v>
      </c>
      <c r="I21" s="461">
        <v>191</v>
      </c>
    </row>
    <row r="22" spans="1:9" x14ac:dyDescent="0.35">
      <c r="A22" s="461" t="s">
        <v>194</v>
      </c>
      <c r="B22" s="461" t="s">
        <v>235</v>
      </c>
      <c r="C22" s="461" t="s">
        <v>55</v>
      </c>
      <c r="D22" s="461">
        <v>0</v>
      </c>
      <c r="E22" s="461">
        <v>134</v>
      </c>
      <c r="F22" s="461"/>
      <c r="G22" s="461"/>
      <c r="H22" s="461">
        <v>0</v>
      </c>
      <c r="I22" s="461">
        <v>134</v>
      </c>
    </row>
    <row r="23" spans="1:9" x14ac:dyDescent="0.35">
      <c r="A23" s="461" t="s">
        <v>194</v>
      </c>
      <c r="B23" s="461" t="s">
        <v>235</v>
      </c>
      <c r="C23" s="461" t="s">
        <v>33</v>
      </c>
      <c r="D23">
        <v>35</v>
      </c>
      <c r="E23">
        <v>99</v>
      </c>
      <c r="H23">
        <v>0</v>
      </c>
      <c r="I23">
        <v>134</v>
      </c>
    </row>
    <row r="24" spans="1:9" x14ac:dyDescent="0.35">
      <c r="A24" s="461" t="s">
        <v>194</v>
      </c>
      <c r="B24" s="461" t="s">
        <v>235</v>
      </c>
      <c r="C24" s="461" t="s">
        <v>35</v>
      </c>
      <c r="D24">
        <v>43</v>
      </c>
      <c r="E24">
        <v>21</v>
      </c>
      <c r="H24">
        <v>0</v>
      </c>
      <c r="I24">
        <v>64</v>
      </c>
    </row>
    <row r="25" spans="1:9" x14ac:dyDescent="0.35">
      <c r="A25" s="461" t="s">
        <v>194</v>
      </c>
      <c r="B25" s="461" t="s">
        <v>235</v>
      </c>
      <c r="C25" s="461" t="s">
        <v>114</v>
      </c>
      <c r="D25">
        <v>560</v>
      </c>
      <c r="E25">
        <v>2</v>
      </c>
      <c r="H25">
        <v>0</v>
      </c>
      <c r="I25">
        <v>562</v>
      </c>
    </row>
    <row r="26" spans="1:9" x14ac:dyDescent="0.35">
      <c r="A26" s="461" t="s">
        <v>194</v>
      </c>
      <c r="B26" s="461" t="s">
        <v>235</v>
      </c>
      <c r="C26" s="461" t="s">
        <v>57</v>
      </c>
      <c r="D26">
        <v>190</v>
      </c>
      <c r="E26">
        <v>84</v>
      </c>
      <c r="H26">
        <v>2</v>
      </c>
      <c r="I26">
        <v>276</v>
      </c>
    </row>
    <row r="27" spans="1:9" x14ac:dyDescent="0.35">
      <c r="A27" s="461" t="s">
        <v>194</v>
      </c>
      <c r="B27" s="461" t="s">
        <v>235</v>
      </c>
      <c r="C27" s="461" t="s">
        <v>58</v>
      </c>
      <c r="D27">
        <v>62</v>
      </c>
      <c r="E27">
        <v>74</v>
      </c>
      <c r="H27">
        <v>0</v>
      </c>
      <c r="I27">
        <v>136</v>
      </c>
    </row>
    <row r="28" spans="1:9" x14ac:dyDescent="0.35">
      <c r="A28" s="461" t="s">
        <v>194</v>
      </c>
      <c r="B28" s="461" t="s">
        <v>235</v>
      </c>
      <c r="C28" s="461" t="s">
        <v>59</v>
      </c>
      <c r="D28">
        <v>80</v>
      </c>
      <c r="E28">
        <v>18</v>
      </c>
      <c r="H28">
        <v>0</v>
      </c>
      <c r="I28">
        <v>98</v>
      </c>
    </row>
    <row r="29" spans="1:9" x14ac:dyDescent="0.35">
      <c r="A29" s="461" t="s">
        <v>194</v>
      </c>
      <c r="B29" s="461" t="s">
        <v>235</v>
      </c>
      <c r="C29" s="461" t="s">
        <v>31</v>
      </c>
      <c r="D29">
        <v>174</v>
      </c>
      <c r="E29">
        <v>8</v>
      </c>
      <c r="H29">
        <v>0</v>
      </c>
      <c r="I29">
        <v>182</v>
      </c>
    </row>
    <row r="30" spans="1:9" x14ac:dyDescent="0.35">
      <c r="A30" s="461" t="s">
        <v>194</v>
      </c>
      <c r="B30" s="461" t="s">
        <v>235</v>
      </c>
      <c r="C30" s="461" t="s">
        <v>40</v>
      </c>
      <c r="D30">
        <v>29</v>
      </c>
      <c r="E30">
        <v>52</v>
      </c>
      <c r="H30">
        <v>0</v>
      </c>
      <c r="I30">
        <v>81</v>
      </c>
    </row>
    <row r="31" spans="1:9" x14ac:dyDescent="0.35">
      <c r="A31" s="461" t="s">
        <v>194</v>
      </c>
      <c r="B31" s="461" t="s">
        <v>235</v>
      </c>
      <c r="C31" s="461" t="s">
        <v>42</v>
      </c>
      <c r="D31">
        <v>96</v>
      </c>
      <c r="E31">
        <v>65</v>
      </c>
      <c r="H31">
        <v>0</v>
      </c>
      <c r="I31">
        <v>161</v>
      </c>
    </row>
    <row r="32" spans="1:9" x14ac:dyDescent="0.35">
      <c r="A32" s="461" t="s">
        <v>194</v>
      </c>
      <c r="B32" s="461" t="s">
        <v>235</v>
      </c>
      <c r="C32" s="461" t="s">
        <v>45</v>
      </c>
      <c r="D32">
        <v>78</v>
      </c>
      <c r="E32">
        <v>42</v>
      </c>
      <c r="H32">
        <v>0</v>
      </c>
      <c r="I32">
        <v>120</v>
      </c>
    </row>
    <row r="33" spans="1:9" x14ac:dyDescent="0.35">
      <c r="A33" s="461" t="s">
        <v>194</v>
      </c>
      <c r="B33" s="461" t="s">
        <v>235</v>
      </c>
      <c r="C33" s="461" t="s">
        <v>47</v>
      </c>
      <c r="D33">
        <v>20</v>
      </c>
      <c r="E33">
        <v>104</v>
      </c>
      <c r="H33">
        <v>32</v>
      </c>
      <c r="I33">
        <v>156</v>
      </c>
    </row>
    <row r="34" spans="1:9" x14ac:dyDescent="0.35">
      <c r="A34" s="461" t="s">
        <v>194</v>
      </c>
      <c r="B34" s="461" t="s">
        <v>236</v>
      </c>
      <c r="C34" s="461" t="s">
        <v>65</v>
      </c>
      <c r="D34">
        <v>11</v>
      </c>
      <c r="I34">
        <v>11</v>
      </c>
    </row>
    <row r="35" spans="1:9" x14ac:dyDescent="0.35">
      <c r="A35" s="461" t="s">
        <v>194</v>
      </c>
      <c r="B35" s="461" t="s">
        <v>236</v>
      </c>
      <c r="C35" s="461" t="s">
        <v>66</v>
      </c>
      <c r="D35">
        <v>23</v>
      </c>
      <c r="I35">
        <v>23</v>
      </c>
    </row>
    <row r="36" spans="1:9" x14ac:dyDescent="0.35">
      <c r="A36" s="461" t="s">
        <v>194</v>
      </c>
      <c r="B36" s="461" t="s">
        <v>236</v>
      </c>
      <c r="C36" s="461" t="s">
        <v>67</v>
      </c>
      <c r="D36">
        <v>21</v>
      </c>
      <c r="I36">
        <v>21</v>
      </c>
    </row>
    <row r="37" spans="1:9" x14ac:dyDescent="0.35">
      <c r="A37" s="461" t="s">
        <v>194</v>
      </c>
      <c r="B37" s="461" t="s">
        <v>236</v>
      </c>
      <c r="C37" s="461" t="s">
        <v>43</v>
      </c>
      <c r="D37">
        <v>21</v>
      </c>
      <c r="I37">
        <v>21</v>
      </c>
    </row>
    <row r="38" spans="1:9" x14ac:dyDescent="0.35">
      <c r="A38" s="461" t="s">
        <v>194</v>
      </c>
      <c r="B38" s="461" t="s">
        <v>236</v>
      </c>
      <c r="C38" s="461" t="s">
        <v>114</v>
      </c>
      <c r="D38">
        <v>28</v>
      </c>
      <c r="I38">
        <v>28</v>
      </c>
    </row>
    <row r="39" spans="1:9" x14ac:dyDescent="0.35">
      <c r="A39" s="461" t="s">
        <v>194</v>
      </c>
      <c r="B39" s="461" t="s">
        <v>236</v>
      </c>
      <c r="C39" s="461" t="s">
        <v>57</v>
      </c>
      <c r="D39">
        <v>10</v>
      </c>
      <c r="I39">
        <v>10</v>
      </c>
    </row>
    <row r="40" spans="1:9" x14ac:dyDescent="0.35">
      <c r="A40" s="461" t="s">
        <v>194</v>
      </c>
      <c r="B40" s="461" t="s">
        <v>236</v>
      </c>
      <c r="C40" s="461" t="s">
        <v>31</v>
      </c>
      <c r="D40">
        <v>15</v>
      </c>
      <c r="I40">
        <v>15</v>
      </c>
    </row>
    <row r="41" spans="1:9" x14ac:dyDescent="0.35">
      <c r="A41" s="461" t="s">
        <v>194</v>
      </c>
      <c r="B41" s="461" t="s">
        <v>236</v>
      </c>
      <c r="C41" s="461" t="s">
        <v>63</v>
      </c>
      <c r="D41">
        <v>22</v>
      </c>
      <c r="I41">
        <v>22</v>
      </c>
    </row>
    <row r="42" spans="1:9" x14ac:dyDescent="0.35">
      <c r="A42" s="461" t="s">
        <v>194</v>
      </c>
      <c r="B42" s="461" t="s">
        <v>236</v>
      </c>
      <c r="C42" s="461" t="s">
        <v>71</v>
      </c>
      <c r="D42">
        <v>9</v>
      </c>
      <c r="I42">
        <v>9</v>
      </c>
    </row>
    <row r="43" spans="1:9" x14ac:dyDescent="0.35">
      <c r="A43" s="461" t="s">
        <v>194</v>
      </c>
      <c r="B43" s="461" t="s">
        <v>236</v>
      </c>
      <c r="C43" s="461" t="s">
        <v>68</v>
      </c>
      <c r="D43">
        <v>12</v>
      </c>
      <c r="I43">
        <v>12</v>
      </c>
    </row>
    <row r="44" spans="1:9" x14ac:dyDescent="0.35">
      <c r="A44" s="461" t="s">
        <v>194</v>
      </c>
      <c r="B44" s="461" t="s">
        <v>236</v>
      </c>
      <c r="C44" s="461" t="s">
        <v>69</v>
      </c>
      <c r="D44">
        <v>13</v>
      </c>
      <c r="I44">
        <v>13</v>
      </c>
    </row>
    <row r="45" spans="1:9" x14ac:dyDescent="0.35">
      <c r="A45" s="461" t="s">
        <v>194</v>
      </c>
      <c r="B45" s="461" t="s">
        <v>236</v>
      </c>
      <c r="C45" s="461" t="s">
        <v>70</v>
      </c>
      <c r="D45">
        <v>13</v>
      </c>
      <c r="I45">
        <v>13</v>
      </c>
    </row>
    <row r="46" spans="1:9" x14ac:dyDescent="0.35">
      <c r="A46" s="461" t="s">
        <v>194</v>
      </c>
      <c r="B46" s="461" t="s">
        <v>236</v>
      </c>
      <c r="C46" s="461" t="s">
        <v>17412</v>
      </c>
      <c r="D46">
        <v>8</v>
      </c>
      <c r="I46">
        <v>8</v>
      </c>
    </row>
    <row r="47" spans="1:9" x14ac:dyDescent="0.35">
      <c r="A47" s="461" t="s">
        <v>194</v>
      </c>
      <c r="B47" s="461" t="s">
        <v>236</v>
      </c>
      <c r="C47" s="461" t="s">
        <v>64</v>
      </c>
      <c r="D47">
        <v>23</v>
      </c>
      <c r="I47">
        <v>23</v>
      </c>
    </row>
    <row r="48" spans="1:9" x14ac:dyDescent="0.35">
      <c r="A48" s="461" t="s">
        <v>194</v>
      </c>
      <c r="B48" s="461" t="s">
        <v>236</v>
      </c>
      <c r="C48" s="461" t="s">
        <v>36</v>
      </c>
      <c r="D48">
        <v>16</v>
      </c>
      <c r="I48">
        <v>16</v>
      </c>
    </row>
    <row r="49" spans="1:9" x14ac:dyDescent="0.35">
      <c r="A49" s="461" t="s">
        <v>194</v>
      </c>
      <c r="B49" s="461" t="s">
        <v>236</v>
      </c>
      <c r="C49" s="461" t="s">
        <v>167</v>
      </c>
      <c r="D49">
        <v>26</v>
      </c>
      <c r="I49">
        <v>26</v>
      </c>
    </row>
    <row r="50" spans="1:9" x14ac:dyDescent="0.35">
      <c r="A50" s="461" t="s">
        <v>194</v>
      </c>
      <c r="B50" s="461" t="s">
        <v>236</v>
      </c>
      <c r="C50" s="461" t="s">
        <v>50</v>
      </c>
      <c r="D50">
        <v>14</v>
      </c>
      <c r="I50">
        <v>14</v>
      </c>
    </row>
    <row r="51" spans="1:9" x14ac:dyDescent="0.35">
      <c r="A51" s="461" t="s">
        <v>194</v>
      </c>
      <c r="B51" s="461" t="s">
        <v>237</v>
      </c>
      <c r="C51" s="461" t="s">
        <v>166</v>
      </c>
      <c r="D51">
        <v>80</v>
      </c>
      <c r="G51">
        <v>175</v>
      </c>
      <c r="I51">
        <v>255</v>
      </c>
    </row>
    <row r="52" spans="1:9" x14ac:dyDescent="0.35">
      <c r="A52" s="461" t="s">
        <v>194</v>
      </c>
      <c r="B52" s="461" t="s">
        <v>237</v>
      </c>
      <c r="C52" s="461" t="s">
        <v>164</v>
      </c>
      <c r="D52">
        <v>77</v>
      </c>
      <c r="G52">
        <v>133</v>
      </c>
      <c r="I52">
        <v>210</v>
      </c>
    </row>
    <row r="53" spans="1:9" x14ac:dyDescent="0.35">
      <c r="A53" s="461" t="s">
        <v>194</v>
      </c>
      <c r="B53" s="461" t="s">
        <v>237</v>
      </c>
      <c r="C53" s="461" t="s">
        <v>165</v>
      </c>
      <c r="D53">
        <v>111</v>
      </c>
      <c r="G53">
        <v>416</v>
      </c>
      <c r="I53">
        <v>527</v>
      </c>
    </row>
    <row r="54" spans="1:9" x14ac:dyDescent="0.35">
      <c r="A54" s="461" t="s">
        <v>194</v>
      </c>
      <c r="B54" s="461" t="s">
        <v>238</v>
      </c>
      <c r="C54" s="461" t="s">
        <v>246</v>
      </c>
      <c r="D54">
        <v>56</v>
      </c>
      <c r="F54">
        <v>223</v>
      </c>
      <c r="G54">
        <v>237</v>
      </c>
      <c r="I54">
        <v>516</v>
      </c>
    </row>
    <row r="55" spans="1:9" x14ac:dyDescent="0.35">
      <c r="A55" s="461" t="s">
        <v>193</v>
      </c>
      <c r="B55" s="461" t="s">
        <v>235</v>
      </c>
      <c r="C55" s="461" t="s">
        <v>34</v>
      </c>
      <c r="D55">
        <v>54</v>
      </c>
      <c r="E55">
        <v>175</v>
      </c>
      <c r="H55">
        <v>225</v>
      </c>
      <c r="I55">
        <v>454</v>
      </c>
    </row>
    <row r="56" spans="1:9" x14ac:dyDescent="0.35">
      <c r="A56" s="461" t="s">
        <v>193</v>
      </c>
      <c r="B56" s="461" t="s">
        <v>235</v>
      </c>
      <c r="C56" s="461" t="s">
        <v>36</v>
      </c>
      <c r="D56">
        <v>69</v>
      </c>
      <c r="E56">
        <v>206</v>
      </c>
      <c r="H56">
        <v>3</v>
      </c>
      <c r="I56">
        <v>278</v>
      </c>
    </row>
    <row r="57" spans="1:9" x14ac:dyDescent="0.35">
      <c r="A57" s="461" t="s">
        <v>193</v>
      </c>
      <c r="B57" s="461" t="s">
        <v>235</v>
      </c>
      <c r="C57" s="461" t="s">
        <v>42</v>
      </c>
      <c r="D57">
        <v>94</v>
      </c>
      <c r="E57">
        <v>68</v>
      </c>
      <c r="H57">
        <v>0</v>
      </c>
      <c r="I57">
        <v>162</v>
      </c>
    </row>
    <row r="58" spans="1:9" x14ac:dyDescent="0.35">
      <c r="A58" s="461" t="s">
        <v>193</v>
      </c>
      <c r="B58" s="461" t="s">
        <v>235</v>
      </c>
      <c r="C58" s="461" t="s">
        <v>44</v>
      </c>
      <c r="D58">
        <v>81</v>
      </c>
      <c r="E58">
        <v>548</v>
      </c>
      <c r="H58">
        <v>69</v>
      </c>
      <c r="I58">
        <v>698</v>
      </c>
    </row>
    <row r="59" spans="1:9" x14ac:dyDescent="0.35">
      <c r="A59" s="461" t="s">
        <v>193</v>
      </c>
      <c r="B59" s="461" t="s">
        <v>235</v>
      </c>
      <c r="C59" s="461" t="s">
        <v>50</v>
      </c>
      <c r="D59">
        <v>187</v>
      </c>
      <c r="E59">
        <v>30</v>
      </c>
      <c r="H59">
        <v>0</v>
      </c>
      <c r="I59">
        <v>217</v>
      </c>
    </row>
    <row r="60" spans="1:9" x14ac:dyDescent="0.35">
      <c r="A60" s="461" t="s">
        <v>193</v>
      </c>
      <c r="B60" s="461" t="s">
        <v>235</v>
      </c>
      <c r="C60" s="461" t="s">
        <v>55</v>
      </c>
      <c r="D60">
        <v>0</v>
      </c>
      <c r="E60">
        <v>127</v>
      </c>
      <c r="H60">
        <v>1</v>
      </c>
      <c r="I60">
        <v>128</v>
      </c>
    </row>
    <row r="61" spans="1:9" x14ac:dyDescent="0.35">
      <c r="A61" s="461" t="s">
        <v>193</v>
      </c>
      <c r="B61" s="461" t="s">
        <v>235</v>
      </c>
      <c r="C61" s="461" t="s">
        <v>60</v>
      </c>
      <c r="D61">
        <v>79</v>
      </c>
      <c r="E61">
        <v>65</v>
      </c>
      <c r="H61">
        <v>0</v>
      </c>
      <c r="I61">
        <v>144</v>
      </c>
    </row>
    <row r="62" spans="1:9" x14ac:dyDescent="0.35">
      <c r="A62" s="461" t="s">
        <v>193</v>
      </c>
      <c r="B62" s="461" t="s">
        <v>235</v>
      </c>
      <c r="C62" s="461" t="s">
        <v>32</v>
      </c>
      <c r="D62">
        <v>23</v>
      </c>
      <c r="E62">
        <v>280</v>
      </c>
      <c r="H62">
        <v>0</v>
      </c>
      <c r="I62">
        <v>303</v>
      </c>
    </row>
    <row r="63" spans="1:9" x14ac:dyDescent="0.35">
      <c r="A63" s="461" t="s">
        <v>193</v>
      </c>
      <c r="B63" s="461" t="s">
        <v>235</v>
      </c>
      <c r="C63" s="461" t="s">
        <v>114</v>
      </c>
      <c r="D63">
        <v>544</v>
      </c>
      <c r="E63">
        <v>0</v>
      </c>
      <c r="H63">
        <v>0</v>
      </c>
      <c r="I63">
        <v>544</v>
      </c>
    </row>
    <row r="64" spans="1:9" x14ac:dyDescent="0.35">
      <c r="A64" s="461" t="s">
        <v>193</v>
      </c>
      <c r="B64" s="461" t="s">
        <v>235</v>
      </c>
      <c r="C64" s="461" t="s">
        <v>45</v>
      </c>
      <c r="D64">
        <v>77</v>
      </c>
      <c r="E64">
        <v>40</v>
      </c>
      <c r="H64">
        <v>0</v>
      </c>
      <c r="I64">
        <v>117</v>
      </c>
    </row>
    <row r="65" spans="1:9" x14ac:dyDescent="0.35">
      <c r="A65" s="461" t="s">
        <v>193</v>
      </c>
      <c r="B65" s="461" t="s">
        <v>235</v>
      </c>
      <c r="C65" s="461" t="s">
        <v>47</v>
      </c>
      <c r="D65">
        <v>21</v>
      </c>
      <c r="E65">
        <v>121</v>
      </c>
      <c r="H65">
        <v>25</v>
      </c>
      <c r="I65">
        <v>167</v>
      </c>
    </row>
    <row r="66" spans="1:9" x14ac:dyDescent="0.35">
      <c r="A66" s="461" t="s">
        <v>193</v>
      </c>
      <c r="B66" s="461" t="s">
        <v>235</v>
      </c>
      <c r="C66" s="461" t="s">
        <v>58</v>
      </c>
      <c r="D66">
        <v>55</v>
      </c>
      <c r="E66">
        <v>75</v>
      </c>
      <c r="H66">
        <v>0</v>
      </c>
      <c r="I66">
        <v>130</v>
      </c>
    </row>
    <row r="67" spans="1:9" x14ac:dyDescent="0.35">
      <c r="A67" s="461" t="s">
        <v>193</v>
      </c>
      <c r="B67" s="461" t="s">
        <v>235</v>
      </c>
      <c r="C67" s="461" t="s">
        <v>245</v>
      </c>
      <c r="D67">
        <v>348</v>
      </c>
      <c r="E67">
        <v>13</v>
      </c>
      <c r="H67">
        <v>0</v>
      </c>
      <c r="I67">
        <v>361</v>
      </c>
    </row>
    <row r="68" spans="1:9" x14ac:dyDescent="0.35">
      <c r="A68" s="461" t="s">
        <v>193</v>
      </c>
      <c r="B68" s="461" t="s">
        <v>235</v>
      </c>
      <c r="C68" s="461" t="s">
        <v>35</v>
      </c>
      <c r="D68">
        <v>37</v>
      </c>
      <c r="E68">
        <v>23</v>
      </c>
      <c r="H68">
        <v>0</v>
      </c>
      <c r="I68">
        <v>60</v>
      </c>
    </row>
    <row r="69" spans="1:9" x14ac:dyDescent="0.35">
      <c r="A69" s="461" t="s">
        <v>193</v>
      </c>
      <c r="B69" s="461" t="s">
        <v>235</v>
      </c>
      <c r="C69" s="461" t="s">
        <v>38</v>
      </c>
      <c r="D69">
        <v>56</v>
      </c>
      <c r="E69">
        <v>80</v>
      </c>
      <c r="H69">
        <v>0</v>
      </c>
      <c r="I69">
        <v>136</v>
      </c>
    </row>
    <row r="70" spans="1:9" x14ac:dyDescent="0.35">
      <c r="A70" s="461" t="s">
        <v>193</v>
      </c>
      <c r="B70" s="461" t="s">
        <v>235</v>
      </c>
      <c r="C70" s="461" t="s">
        <v>54</v>
      </c>
      <c r="D70">
        <v>73</v>
      </c>
      <c r="E70">
        <v>151</v>
      </c>
      <c r="H70">
        <v>0</v>
      </c>
      <c r="I70">
        <v>224</v>
      </c>
    </row>
    <row r="71" spans="1:9" x14ac:dyDescent="0.35">
      <c r="A71" s="461" t="s">
        <v>193</v>
      </c>
      <c r="B71" s="461" t="s">
        <v>235</v>
      </c>
      <c r="C71" s="461" t="s">
        <v>33</v>
      </c>
      <c r="D71">
        <v>27</v>
      </c>
      <c r="E71">
        <v>95</v>
      </c>
      <c r="H71">
        <v>0</v>
      </c>
      <c r="I71">
        <v>122</v>
      </c>
    </row>
    <row r="72" spans="1:9" x14ac:dyDescent="0.35">
      <c r="A72" s="461" t="s">
        <v>193</v>
      </c>
      <c r="B72" s="461" t="s">
        <v>235</v>
      </c>
      <c r="C72" s="461" t="s">
        <v>56</v>
      </c>
      <c r="D72">
        <v>60</v>
      </c>
      <c r="E72">
        <v>54</v>
      </c>
      <c r="H72">
        <v>0</v>
      </c>
      <c r="I72">
        <v>114</v>
      </c>
    </row>
    <row r="73" spans="1:9" x14ac:dyDescent="0.35">
      <c r="A73" s="461" t="s">
        <v>193</v>
      </c>
      <c r="B73" s="461" t="s">
        <v>235</v>
      </c>
      <c r="C73" s="461" t="s">
        <v>59</v>
      </c>
      <c r="D73">
        <v>74</v>
      </c>
      <c r="E73">
        <v>21</v>
      </c>
      <c r="H73">
        <v>0</v>
      </c>
      <c r="I73">
        <v>95</v>
      </c>
    </row>
    <row r="74" spans="1:9" x14ac:dyDescent="0.35">
      <c r="A74" s="461" t="s">
        <v>193</v>
      </c>
      <c r="B74" s="461" t="s">
        <v>235</v>
      </c>
      <c r="C74" s="461" t="s">
        <v>40</v>
      </c>
      <c r="D74">
        <v>28</v>
      </c>
      <c r="E74">
        <v>60</v>
      </c>
      <c r="H74">
        <v>0</v>
      </c>
      <c r="I74">
        <v>88</v>
      </c>
    </row>
    <row r="75" spans="1:9" x14ac:dyDescent="0.35">
      <c r="A75" s="461" t="s">
        <v>193</v>
      </c>
      <c r="B75" s="461" t="s">
        <v>235</v>
      </c>
      <c r="C75" s="461" t="s">
        <v>52</v>
      </c>
      <c r="D75">
        <v>86</v>
      </c>
      <c r="E75">
        <v>128</v>
      </c>
      <c r="H75">
        <v>24</v>
      </c>
      <c r="I75">
        <v>238</v>
      </c>
    </row>
    <row r="76" spans="1:9" x14ac:dyDescent="0.35">
      <c r="A76" s="461" t="s">
        <v>193</v>
      </c>
      <c r="B76" s="461" t="s">
        <v>235</v>
      </c>
      <c r="C76" s="461" t="s">
        <v>37</v>
      </c>
      <c r="D76">
        <v>207</v>
      </c>
      <c r="E76">
        <v>14</v>
      </c>
      <c r="H76">
        <v>0</v>
      </c>
      <c r="I76">
        <v>221</v>
      </c>
    </row>
    <row r="77" spans="1:9" x14ac:dyDescent="0.35">
      <c r="A77" s="461" t="s">
        <v>193</v>
      </c>
      <c r="B77" s="461" t="s">
        <v>235</v>
      </c>
      <c r="C77" s="461" t="s">
        <v>39</v>
      </c>
      <c r="D77">
        <v>72</v>
      </c>
      <c r="E77">
        <v>0</v>
      </c>
      <c r="H77">
        <v>0</v>
      </c>
      <c r="I77">
        <v>72</v>
      </c>
    </row>
    <row r="78" spans="1:9" x14ac:dyDescent="0.35">
      <c r="A78" s="461" t="s">
        <v>193</v>
      </c>
      <c r="B78" s="461" t="s">
        <v>235</v>
      </c>
      <c r="C78" s="461" t="s">
        <v>41</v>
      </c>
      <c r="D78">
        <v>57</v>
      </c>
      <c r="E78">
        <v>0</v>
      </c>
      <c r="H78">
        <v>0</v>
      </c>
      <c r="I78">
        <v>57</v>
      </c>
    </row>
    <row r="79" spans="1:9" x14ac:dyDescent="0.35">
      <c r="A79" s="461" t="s">
        <v>193</v>
      </c>
      <c r="B79" s="461" t="s">
        <v>235</v>
      </c>
      <c r="C79" s="461" t="s">
        <v>48</v>
      </c>
      <c r="D79">
        <v>0</v>
      </c>
      <c r="E79">
        <v>147</v>
      </c>
      <c r="H79">
        <v>0</v>
      </c>
      <c r="I79">
        <v>147</v>
      </c>
    </row>
    <row r="80" spans="1:9" x14ac:dyDescent="0.35">
      <c r="A80" s="461" t="s">
        <v>193</v>
      </c>
      <c r="B80" s="461" t="s">
        <v>235</v>
      </c>
      <c r="C80" s="461" t="s">
        <v>49</v>
      </c>
      <c r="D80">
        <v>78</v>
      </c>
      <c r="E80">
        <v>90</v>
      </c>
      <c r="H80">
        <v>26</v>
      </c>
      <c r="I80">
        <v>194</v>
      </c>
    </row>
    <row r="81" spans="1:9" x14ac:dyDescent="0.35">
      <c r="A81" s="461" t="s">
        <v>193</v>
      </c>
      <c r="B81" s="461" t="s">
        <v>235</v>
      </c>
      <c r="C81" s="461" t="s">
        <v>57</v>
      </c>
      <c r="D81">
        <v>187</v>
      </c>
      <c r="E81">
        <v>82</v>
      </c>
      <c r="H81">
        <v>4</v>
      </c>
      <c r="I81">
        <v>273</v>
      </c>
    </row>
    <row r="82" spans="1:9" x14ac:dyDescent="0.35">
      <c r="A82" s="461" t="s">
        <v>193</v>
      </c>
      <c r="B82" s="461" t="s">
        <v>235</v>
      </c>
      <c r="C82" s="461" t="s">
        <v>31</v>
      </c>
      <c r="D82">
        <v>173</v>
      </c>
      <c r="E82">
        <v>8</v>
      </c>
      <c r="H82">
        <v>0</v>
      </c>
      <c r="I82">
        <v>181</v>
      </c>
    </row>
    <row r="83" spans="1:9" x14ac:dyDescent="0.35">
      <c r="A83" s="461" t="s">
        <v>193</v>
      </c>
      <c r="B83" s="461" t="s">
        <v>235</v>
      </c>
      <c r="C83" s="461" t="s">
        <v>43</v>
      </c>
      <c r="D83">
        <v>288</v>
      </c>
      <c r="E83">
        <v>112</v>
      </c>
      <c r="H83">
        <v>0</v>
      </c>
      <c r="I83">
        <v>400</v>
      </c>
    </row>
    <row r="84" spans="1:9" x14ac:dyDescent="0.35">
      <c r="A84" s="461" t="s">
        <v>193</v>
      </c>
      <c r="B84" s="461" t="s">
        <v>235</v>
      </c>
      <c r="C84" s="461" t="s">
        <v>46</v>
      </c>
      <c r="D84">
        <v>35</v>
      </c>
      <c r="E84">
        <v>14</v>
      </c>
      <c r="H84">
        <v>0</v>
      </c>
      <c r="I84">
        <v>49</v>
      </c>
    </row>
    <row r="85" spans="1:9" x14ac:dyDescent="0.35">
      <c r="A85" s="461" t="s">
        <v>193</v>
      </c>
      <c r="B85" s="461" t="s">
        <v>235</v>
      </c>
      <c r="C85" s="461" t="s">
        <v>51</v>
      </c>
      <c r="D85">
        <v>0</v>
      </c>
      <c r="E85">
        <v>109</v>
      </c>
      <c r="H85">
        <v>1</v>
      </c>
      <c r="I85">
        <v>110</v>
      </c>
    </row>
    <row r="86" spans="1:9" x14ac:dyDescent="0.35">
      <c r="A86" s="461" t="s">
        <v>193</v>
      </c>
      <c r="B86" s="461" t="s">
        <v>235</v>
      </c>
      <c r="C86" s="461" t="s">
        <v>53</v>
      </c>
      <c r="D86">
        <v>115</v>
      </c>
      <c r="E86">
        <v>14</v>
      </c>
      <c r="H86">
        <v>0</v>
      </c>
      <c r="I86">
        <v>129</v>
      </c>
    </row>
    <row r="87" spans="1:9" x14ac:dyDescent="0.35">
      <c r="A87" s="461" t="s">
        <v>193</v>
      </c>
      <c r="B87" s="461" t="s">
        <v>236</v>
      </c>
      <c r="C87" s="461" t="s">
        <v>68</v>
      </c>
      <c r="D87">
        <v>12</v>
      </c>
      <c r="I87">
        <v>12</v>
      </c>
    </row>
    <row r="88" spans="1:9" x14ac:dyDescent="0.35">
      <c r="A88" s="461" t="s">
        <v>193</v>
      </c>
      <c r="B88" s="461" t="s">
        <v>236</v>
      </c>
      <c r="C88" s="461" t="s">
        <v>69</v>
      </c>
      <c r="D88">
        <v>13</v>
      </c>
      <c r="I88">
        <v>13</v>
      </c>
    </row>
    <row r="89" spans="1:9" x14ac:dyDescent="0.35">
      <c r="A89" s="461" t="s">
        <v>193</v>
      </c>
      <c r="B89" s="461" t="s">
        <v>236</v>
      </c>
      <c r="C89" s="461" t="s">
        <v>70</v>
      </c>
      <c r="D89">
        <v>13</v>
      </c>
      <c r="I89">
        <v>13</v>
      </c>
    </row>
    <row r="90" spans="1:9" x14ac:dyDescent="0.35">
      <c r="A90" s="461" t="s">
        <v>193</v>
      </c>
      <c r="B90" s="461" t="s">
        <v>236</v>
      </c>
      <c r="C90" s="461" t="s">
        <v>67</v>
      </c>
      <c r="D90">
        <v>17</v>
      </c>
      <c r="I90">
        <v>17</v>
      </c>
    </row>
    <row r="91" spans="1:9" x14ac:dyDescent="0.35">
      <c r="A91" s="461" t="s">
        <v>193</v>
      </c>
      <c r="B91" s="461" t="s">
        <v>236</v>
      </c>
      <c r="C91" s="461" t="s">
        <v>65</v>
      </c>
      <c r="D91">
        <v>12</v>
      </c>
      <c r="I91">
        <v>12</v>
      </c>
    </row>
    <row r="92" spans="1:9" x14ac:dyDescent="0.35">
      <c r="A92" s="461" t="s">
        <v>193</v>
      </c>
      <c r="B92" s="461" t="s">
        <v>236</v>
      </c>
      <c r="C92" s="461" t="s">
        <v>114</v>
      </c>
      <c r="D92">
        <v>25</v>
      </c>
      <c r="I92">
        <v>25</v>
      </c>
    </row>
    <row r="93" spans="1:9" x14ac:dyDescent="0.35">
      <c r="A93" s="461" t="s">
        <v>193</v>
      </c>
      <c r="B93" s="461" t="s">
        <v>236</v>
      </c>
      <c r="C93" s="461" t="s">
        <v>50</v>
      </c>
      <c r="D93">
        <v>16</v>
      </c>
      <c r="I93">
        <v>16</v>
      </c>
    </row>
    <row r="94" spans="1:9" x14ac:dyDescent="0.35">
      <c r="A94" s="461" t="s">
        <v>193</v>
      </c>
      <c r="B94" s="461" t="s">
        <v>236</v>
      </c>
      <c r="C94" s="461" t="s">
        <v>63</v>
      </c>
      <c r="D94">
        <v>18</v>
      </c>
      <c r="I94">
        <v>18</v>
      </c>
    </row>
    <row r="95" spans="1:9" x14ac:dyDescent="0.35">
      <c r="A95" s="461" t="s">
        <v>193</v>
      </c>
      <c r="B95" s="461" t="s">
        <v>236</v>
      </c>
      <c r="C95" s="461" t="s">
        <v>64</v>
      </c>
      <c r="D95">
        <v>21</v>
      </c>
      <c r="I95">
        <v>21</v>
      </c>
    </row>
    <row r="96" spans="1:9" x14ac:dyDescent="0.35">
      <c r="A96" s="461" t="s">
        <v>193</v>
      </c>
      <c r="B96" s="461" t="s">
        <v>236</v>
      </c>
      <c r="C96" s="461" t="s">
        <v>36</v>
      </c>
      <c r="D96">
        <v>18</v>
      </c>
      <c r="I96">
        <v>18</v>
      </c>
    </row>
    <row r="97" spans="1:9" x14ac:dyDescent="0.35">
      <c r="A97" s="461" t="s">
        <v>193</v>
      </c>
      <c r="B97" s="461" t="s">
        <v>236</v>
      </c>
      <c r="C97" s="461" t="s">
        <v>66</v>
      </c>
      <c r="D97">
        <v>20</v>
      </c>
      <c r="I97">
        <v>20</v>
      </c>
    </row>
    <row r="98" spans="1:9" x14ac:dyDescent="0.35">
      <c r="A98" s="461" t="s">
        <v>193</v>
      </c>
      <c r="B98" s="461" t="s">
        <v>236</v>
      </c>
      <c r="C98" s="461" t="s">
        <v>43</v>
      </c>
      <c r="D98">
        <v>21</v>
      </c>
      <c r="I98">
        <v>21</v>
      </c>
    </row>
    <row r="99" spans="1:9" x14ac:dyDescent="0.35">
      <c r="A99" s="461" t="s">
        <v>193</v>
      </c>
      <c r="B99" s="461" t="s">
        <v>236</v>
      </c>
      <c r="C99" s="461" t="s">
        <v>57</v>
      </c>
      <c r="D99">
        <v>10</v>
      </c>
      <c r="I99">
        <v>10</v>
      </c>
    </row>
    <row r="100" spans="1:9" x14ac:dyDescent="0.35">
      <c r="A100" s="461" t="s">
        <v>193</v>
      </c>
      <c r="B100" s="461" t="s">
        <v>236</v>
      </c>
      <c r="C100" s="461" t="s">
        <v>31</v>
      </c>
      <c r="D100">
        <v>18</v>
      </c>
      <c r="I100">
        <v>18</v>
      </c>
    </row>
    <row r="101" spans="1:9" x14ac:dyDescent="0.35">
      <c r="A101" s="461" t="s">
        <v>193</v>
      </c>
      <c r="B101" s="461" t="s">
        <v>236</v>
      </c>
      <c r="C101" s="461" t="s">
        <v>167</v>
      </c>
      <c r="D101">
        <v>24</v>
      </c>
      <c r="I101">
        <v>24</v>
      </c>
    </row>
    <row r="102" spans="1:9" x14ac:dyDescent="0.35">
      <c r="A102" s="461" t="s">
        <v>193</v>
      </c>
      <c r="B102" s="461" t="s">
        <v>236</v>
      </c>
      <c r="C102" s="461" t="s">
        <v>17412</v>
      </c>
      <c r="D102">
        <v>5</v>
      </c>
      <c r="I102">
        <v>5</v>
      </c>
    </row>
    <row r="103" spans="1:9" x14ac:dyDescent="0.35">
      <c r="A103" s="461" t="s">
        <v>193</v>
      </c>
      <c r="B103" s="461" t="s">
        <v>236</v>
      </c>
      <c r="C103" s="461" t="s">
        <v>71</v>
      </c>
      <c r="D103">
        <v>7</v>
      </c>
      <c r="I103">
        <v>7</v>
      </c>
    </row>
    <row r="104" spans="1:9" x14ac:dyDescent="0.35">
      <c r="A104" s="461" t="s">
        <v>193</v>
      </c>
      <c r="B104" s="461" t="s">
        <v>237</v>
      </c>
      <c r="C104" s="461" t="s">
        <v>165</v>
      </c>
      <c r="D104">
        <v>105</v>
      </c>
      <c r="G104">
        <v>340</v>
      </c>
      <c r="I104">
        <v>445</v>
      </c>
    </row>
    <row r="105" spans="1:9" x14ac:dyDescent="0.35">
      <c r="A105" s="461" t="s">
        <v>193</v>
      </c>
      <c r="B105" s="461" t="s">
        <v>237</v>
      </c>
      <c r="C105" s="461" t="s">
        <v>164</v>
      </c>
      <c r="D105">
        <v>67</v>
      </c>
      <c r="G105">
        <v>126</v>
      </c>
      <c r="I105">
        <v>193</v>
      </c>
    </row>
    <row r="106" spans="1:9" x14ac:dyDescent="0.35">
      <c r="A106" s="461" t="s">
        <v>193</v>
      </c>
      <c r="B106" s="461" t="s">
        <v>237</v>
      </c>
      <c r="C106" s="461" t="s">
        <v>166</v>
      </c>
      <c r="D106">
        <v>79</v>
      </c>
      <c r="G106">
        <v>163</v>
      </c>
      <c r="I106">
        <v>242</v>
      </c>
    </row>
    <row r="107" spans="1:9" x14ac:dyDescent="0.35">
      <c r="A107" s="461" t="s">
        <v>193</v>
      </c>
      <c r="B107" s="461" t="s">
        <v>238</v>
      </c>
      <c r="C107" s="461" t="s">
        <v>246</v>
      </c>
      <c r="D107">
        <v>50</v>
      </c>
      <c r="F107">
        <v>230</v>
      </c>
      <c r="G107">
        <v>238</v>
      </c>
      <c r="I107">
        <v>518</v>
      </c>
    </row>
    <row r="108" spans="1:9" x14ac:dyDescent="0.35">
      <c r="A108" s="461" t="s">
        <v>192</v>
      </c>
      <c r="B108" s="461" t="s">
        <v>235</v>
      </c>
      <c r="C108" s="461" t="s">
        <v>32</v>
      </c>
      <c r="D108">
        <v>32</v>
      </c>
      <c r="E108">
        <v>271</v>
      </c>
      <c r="H108">
        <v>0</v>
      </c>
      <c r="I108">
        <v>303</v>
      </c>
    </row>
    <row r="109" spans="1:9" x14ac:dyDescent="0.35">
      <c r="A109" s="461" t="s">
        <v>192</v>
      </c>
      <c r="B109" s="461" t="s">
        <v>235</v>
      </c>
      <c r="C109" s="461" t="s">
        <v>36</v>
      </c>
      <c r="D109">
        <v>65</v>
      </c>
      <c r="E109">
        <v>190</v>
      </c>
      <c r="H109">
        <v>5</v>
      </c>
      <c r="I109">
        <v>260</v>
      </c>
    </row>
    <row r="110" spans="1:9" x14ac:dyDescent="0.35">
      <c r="A110" s="461" t="s">
        <v>192</v>
      </c>
      <c r="B110" s="461" t="s">
        <v>235</v>
      </c>
      <c r="C110" s="461" t="s">
        <v>40</v>
      </c>
      <c r="D110">
        <v>27</v>
      </c>
      <c r="E110">
        <v>55</v>
      </c>
      <c r="H110">
        <v>0</v>
      </c>
      <c r="I110">
        <v>82</v>
      </c>
    </row>
    <row r="111" spans="1:9" x14ac:dyDescent="0.35">
      <c r="A111" s="461" t="s">
        <v>192</v>
      </c>
      <c r="B111" s="461" t="s">
        <v>235</v>
      </c>
      <c r="C111" s="461" t="s">
        <v>46</v>
      </c>
      <c r="D111">
        <v>23</v>
      </c>
      <c r="E111">
        <v>11</v>
      </c>
      <c r="H111">
        <v>0</v>
      </c>
      <c r="I111">
        <v>34</v>
      </c>
    </row>
    <row r="112" spans="1:9" x14ac:dyDescent="0.35">
      <c r="A112" s="461" t="s">
        <v>192</v>
      </c>
      <c r="B112" s="461" t="s">
        <v>235</v>
      </c>
      <c r="C112" s="461" t="s">
        <v>57</v>
      </c>
      <c r="D112">
        <v>178</v>
      </c>
      <c r="E112">
        <v>71</v>
      </c>
      <c r="H112">
        <v>3</v>
      </c>
      <c r="I112">
        <v>252</v>
      </c>
    </row>
    <row r="113" spans="1:9" x14ac:dyDescent="0.35">
      <c r="A113" s="461" t="s">
        <v>192</v>
      </c>
      <c r="B113" s="461" t="s">
        <v>235</v>
      </c>
      <c r="C113" s="461" t="s">
        <v>245</v>
      </c>
      <c r="D113">
        <v>315</v>
      </c>
      <c r="E113">
        <v>12</v>
      </c>
      <c r="H113">
        <v>0</v>
      </c>
      <c r="I113">
        <v>327</v>
      </c>
    </row>
    <row r="114" spans="1:9" x14ac:dyDescent="0.35">
      <c r="A114" s="461" t="s">
        <v>192</v>
      </c>
      <c r="B114" s="461" t="s">
        <v>235</v>
      </c>
      <c r="C114" s="461" t="s">
        <v>42</v>
      </c>
      <c r="D114">
        <v>95</v>
      </c>
      <c r="E114">
        <v>53</v>
      </c>
      <c r="H114">
        <v>0</v>
      </c>
      <c r="I114">
        <v>148</v>
      </c>
    </row>
    <row r="115" spans="1:9" x14ac:dyDescent="0.35">
      <c r="A115" s="461" t="s">
        <v>192</v>
      </c>
      <c r="B115" s="461" t="s">
        <v>235</v>
      </c>
      <c r="C115" s="461" t="s">
        <v>60</v>
      </c>
      <c r="D115">
        <v>61</v>
      </c>
      <c r="E115">
        <v>55</v>
      </c>
      <c r="H115">
        <v>0</v>
      </c>
      <c r="I115">
        <v>116</v>
      </c>
    </row>
    <row r="116" spans="1:9" x14ac:dyDescent="0.35">
      <c r="A116" s="461" t="s">
        <v>192</v>
      </c>
      <c r="B116" s="461" t="s">
        <v>235</v>
      </c>
      <c r="C116" s="461" t="s">
        <v>54</v>
      </c>
      <c r="D116">
        <v>71</v>
      </c>
      <c r="E116">
        <v>147</v>
      </c>
      <c r="H116">
        <v>0</v>
      </c>
      <c r="I116">
        <v>218</v>
      </c>
    </row>
    <row r="117" spans="1:9" x14ac:dyDescent="0.35">
      <c r="A117" s="461" t="s">
        <v>192</v>
      </c>
      <c r="B117" s="461" t="s">
        <v>235</v>
      </c>
      <c r="C117" s="461" t="s">
        <v>56</v>
      </c>
      <c r="D117">
        <v>55</v>
      </c>
      <c r="E117">
        <v>53</v>
      </c>
      <c r="H117">
        <v>0</v>
      </c>
      <c r="I117">
        <v>108</v>
      </c>
    </row>
    <row r="118" spans="1:9" x14ac:dyDescent="0.35">
      <c r="A118" s="461" t="s">
        <v>192</v>
      </c>
      <c r="B118" s="461" t="s">
        <v>235</v>
      </c>
      <c r="C118" s="461" t="s">
        <v>114</v>
      </c>
      <c r="D118">
        <v>499</v>
      </c>
      <c r="E118">
        <v>6</v>
      </c>
      <c r="H118">
        <v>0</v>
      </c>
      <c r="I118">
        <v>505</v>
      </c>
    </row>
    <row r="119" spans="1:9" x14ac:dyDescent="0.35">
      <c r="A119" s="461" t="s">
        <v>192</v>
      </c>
      <c r="B119" s="461" t="s">
        <v>235</v>
      </c>
      <c r="C119" s="461" t="s">
        <v>55</v>
      </c>
      <c r="D119">
        <v>0</v>
      </c>
      <c r="E119">
        <v>126</v>
      </c>
      <c r="H119">
        <v>0</v>
      </c>
      <c r="I119">
        <v>126</v>
      </c>
    </row>
    <row r="120" spans="1:9" x14ac:dyDescent="0.35">
      <c r="A120" s="461" t="s">
        <v>192</v>
      </c>
      <c r="B120" s="461" t="s">
        <v>235</v>
      </c>
      <c r="C120" s="461" t="s">
        <v>38</v>
      </c>
      <c r="D120">
        <v>53</v>
      </c>
      <c r="E120">
        <v>83</v>
      </c>
      <c r="H120">
        <v>0</v>
      </c>
      <c r="I120">
        <v>136</v>
      </c>
    </row>
    <row r="121" spans="1:9" x14ac:dyDescent="0.35">
      <c r="A121" s="461" t="s">
        <v>192</v>
      </c>
      <c r="B121" s="461" t="s">
        <v>235</v>
      </c>
      <c r="C121" s="461" t="s">
        <v>52</v>
      </c>
      <c r="D121">
        <v>73</v>
      </c>
      <c r="E121">
        <v>126</v>
      </c>
      <c r="H121">
        <v>23</v>
      </c>
      <c r="I121">
        <v>222</v>
      </c>
    </row>
    <row r="122" spans="1:9" x14ac:dyDescent="0.35">
      <c r="A122" s="461" t="s">
        <v>192</v>
      </c>
      <c r="B122" s="461" t="s">
        <v>235</v>
      </c>
      <c r="C122" s="461" t="s">
        <v>31</v>
      </c>
      <c r="D122">
        <v>144</v>
      </c>
      <c r="E122">
        <v>23</v>
      </c>
      <c r="H122">
        <v>0</v>
      </c>
      <c r="I122">
        <v>167</v>
      </c>
    </row>
    <row r="123" spans="1:9" x14ac:dyDescent="0.35">
      <c r="A123" s="461" t="s">
        <v>192</v>
      </c>
      <c r="B123" s="461" t="s">
        <v>235</v>
      </c>
      <c r="C123" s="461" t="s">
        <v>35</v>
      </c>
      <c r="D123">
        <v>26</v>
      </c>
      <c r="E123">
        <v>21</v>
      </c>
      <c r="H123">
        <v>0</v>
      </c>
      <c r="I123">
        <v>47</v>
      </c>
    </row>
    <row r="124" spans="1:9" x14ac:dyDescent="0.35">
      <c r="A124" s="461" t="s">
        <v>192</v>
      </c>
      <c r="B124" s="461" t="s">
        <v>235</v>
      </c>
      <c r="C124" s="461" t="s">
        <v>37</v>
      </c>
      <c r="D124">
        <v>176</v>
      </c>
      <c r="E124">
        <v>11</v>
      </c>
      <c r="H124">
        <v>0</v>
      </c>
      <c r="I124">
        <v>187</v>
      </c>
    </row>
    <row r="125" spans="1:9" x14ac:dyDescent="0.35">
      <c r="A125" s="461" t="s">
        <v>192</v>
      </c>
      <c r="B125" s="461" t="s">
        <v>235</v>
      </c>
      <c r="C125" s="461" t="s">
        <v>47</v>
      </c>
      <c r="D125">
        <v>31</v>
      </c>
      <c r="E125">
        <v>110</v>
      </c>
      <c r="H125">
        <v>20</v>
      </c>
      <c r="I125">
        <v>161</v>
      </c>
    </row>
    <row r="126" spans="1:9" x14ac:dyDescent="0.35">
      <c r="A126" s="461" t="s">
        <v>192</v>
      </c>
      <c r="B126" s="461" t="s">
        <v>235</v>
      </c>
      <c r="C126" s="461" t="s">
        <v>53</v>
      </c>
      <c r="D126">
        <v>92</v>
      </c>
      <c r="E126">
        <v>13</v>
      </c>
      <c r="H126">
        <v>0</v>
      </c>
      <c r="I126">
        <v>105</v>
      </c>
    </row>
    <row r="127" spans="1:9" x14ac:dyDescent="0.35">
      <c r="A127" s="461" t="s">
        <v>192</v>
      </c>
      <c r="B127" s="461" t="s">
        <v>235</v>
      </c>
      <c r="C127" s="461" t="s">
        <v>34</v>
      </c>
      <c r="D127">
        <v>55</v>
      </c>
      <c r="E127">
        <v>182</v>
      </c>
      <c r="H127">
        <v>201</v>
      </c>
      <c r="I127">
        <v>438</v>
      </c>
    </row>
    <row r="128" spans="1:9" x14ac:dyDescent="0.35">
      <c r="A128" s="461" t="s">
        <v>192</v>
      </c>
      <c r="B128" s="461" t="s">
        <v>235</v>
      </c>
      <c r="C128" s="461" t="s">
        <v>39</v>
      </c>
      <c r="D128">
        <v>70</v>
      </c>
      <c r="E128">
        <v>1</v>
      </c>
      <c r="H128">
        <v>0</v>
      </c>
      <c r="I128">
        <v>71</v>
      </c>
    </row>
    <row r="129" spans="1:9" x14ac:dyDescent="0.35">
      <c r="A129" s="461" t="s">
        <v>192</v>
      </c>
      <c r="B129" s="461" t="s">
        <v>235</v>
      </c>
      <c r="C129" s="461" t="s">
        <v>41</v>
      </c>
      <c r="D129">
        <v>53</v>
      </c>
      <c r="E129">
        <v>2</v>
      </c>
      <c r="H129">
        <v>0</v>
      </c>
      <c r="I129">
        <v>55</v>
      </c>
    </row>
    <row r="130" spans="1:9" x14ac:dyDescent="0.35">
      <c r="A130" s="461" t="s">
        <v>192</v>
      </c>
      <c r="B130" s="461" t="s">
        <v>235</v>
      </c>
      <c r="C130" s="461" t="s">
        <v>45</v>
      </c>
      <c r="D130">
        <v>70</v>
      </c>
      <c r="E130">
        <v>41</v>
      </c>
      <c r="H130">
        <v>0</v>
      </c>
      <c r="I130">
        <v>111</v>
      </c>
    </row>
    <row r="131" spans="1:9" x14ac:dyDescent="0.35">
      <c r="A131" s="461" t="s">
        <v>192</v>
      </c>
      <c r="B131" s="461" t="s">
        <v>235</v>
      </c>
      <c r="C131" s="461" t="s">
        <v>50</v>
      </c>
      <c r="D131">
        <v>180</v>
      </c>
      <c r="E131">
        <v>34</v>
      </c>
      <c r="H131">
        <v>0</v>
      </c>
      <c r="I131">
        <v>214</v>
      </c>
    </row>
    <row r="132" spans="1:9" x14ac:dyDescent="0.35">
      <c r="A132" s="461" t="s">
        <v>192</v>
      </c>
      <c r="B132" s="461" t="s">
        <v>235</v>
      </c>
      <c r="C132" s="461" t="s">
        <v>51</v>
      </c>
      <c r="D132">
        <v>0</v>
      </c>
      <c r="E132">
        <v>98</v>
      </c>
      <c r="H132">
        <v>0</v>
      </c>
      <c r="I132">
        <v>98</v>
      </c>
    </row>
    <row r="133" spans="1:9" x14ac:dyDescent="0.35">
      <c r="A133" s="461" t="s">
        <v>192</v>
      </c>
      <c r="B133" s="461" t="s">
        <v>235</v>
      </c>
      <c r="C133" s="461" t="s">
        <v>59</v>
      </c>
      <c r="D133">
        <v>70</v>
      </c>
      <c r="E133">
        <v>19</v>
      </c>
      <c r="H133">
        <v>0</v>
      </c>
      <c r="I133">
        <v>89</v>
      </c>
    </row>
    <row r="134" spans="1:9" x14ac:dyDescent="0.35">
      <c r="A134" s="461" t="s">
        <v>192</v>
      </c>
      <c r="B134" s="461" t="s">
        <v>235</v>
      </c>
      <c r="C134" s="461" t="s">
        <v>33</v>
      </c>
      <c r="D134">
        <v>36</v>
      </c>
      <c r="E134">
        <v>98</v>
      </c>
      <c r="H134">
        <v>0</v>
      </c>
      <c r="I134">
        <v>134</v>
      </c>
    </row>
    <row r="135" spans="1:9" x14ac:dyDescent="0.35">
      <c r="A135" s="461" t="s">
        <v>192</v>
      </c>
      <c r="B135" s="461" t="s">
        <v>235</v>
      </c>
      <c r="C135" s="461" t="s">
        <v>43</v>
      </c>
      <c r="D135">
        <v>278</v>
      </c>
      <c r="E135">
        <v>112</v>
      </c>
      <c r="H135">
        <v>0</v>
      </c>
      <c r="I135">
        <v>390</v>
      </c>
    </row>
    <row r="136" spans="1:9" x14ac:dyDescent="0.35">
      <c r="A136" s="461" t="s">
        <v>192</v>
      </c>
      <c r="B136" s="461" t="s">
        <v>235</v>
      </c>
      <c r="C136" s="461" t="s">
        <v>44</v>
      </c>
      <c r="D136">
        <v>68</v>
      </c>
      <c r="E136">
        <v>525</v>
      </c>
      <c r="H136">
        <v>68</v>
      </c>
      <c r="I136">
        <v>661</v>
      </c>
    </row>
    <row r="137" spans="1:9" x14ac:dyDescent="0.35">
      <c r="A137" s="461" t="s">
        <v>192</v>
      </c>
      <c r="B137" s="461" t="s">
        <v>235</v>
      </c>
      <c r="C137" s="461" t="s">
        <v>48</v>
      </c>
      <c r="D137">
        <v>0</v>
      </c>
      <c r="E137">
        <v>140</v>
      </c>
      <c r="H137">
        <v>0</v>
      </c>
      <c r="I137">
        <v>140</v>
      </c>
    </row>
    <row r="138" spans="1:9" x14ac:dyDescent="0.35">
      <c r="A138" s="461" t="s">
        <v>192</v>
      </c>
      <c r="B138" s="461" t="s">
        <v>235</v>
      </c>
      <c r="C138" s="461" t="s">
        <v>49</v>
      </c>
      <c r="D138">
        <v>78</v>
      </c>
      <c r="E138">
        <v>108</v>
      </c>
      <c r="H138">
        <v>22</v>
      </c>
      <c r="I138">
        <v>208</v>
      </c>
    </row>
    <row r="139" spans="1:9" x14ac:dyDescent="0.35">
      <c r="A139" s="461" t="s">
        <v>192</v>
      </c>
      <c r="B139" s="461" t="s">
        <v>235</v>
      </c>
      <c r="C139" s="461" t="s">
        <v>58</v>
      </c>
      <c r="D139">
        <v>51</v>
      </c>
      <c r="E139">
        <v>73</v>
      </c>
      <c r="H139">
        <v>0</v>
      </c>
      <c r="I139">
        <v>124</v>
      </c>
    </row>
    <row r="140" spans="1:9" x14ac:dyDescent="0.35">
      <c r="A140" s="461" t="s">
        <v>192</v>
      </c>
      <c r="B140" s="461" t="s">
        <v>236</v>
      </c>
      <c r="C140" s="461" t="s">
        <v>68</v>
      </c>
      <c r="D140">
        <v>17</v>
      </c>
      <c r="I140">
        <v>17</v>
      </c>
    </row>
    <row r="141" spans="1:9" x14ac:dyDescent="0.35">
      <c r="A141" s="461" t="s">
        <v>192</v>
      </c>
      <c r="B141" s="461" t="s">
        <v>236</v>
      </c>
      <c r="C141" s="461" t="s">
        <v>31</v>
      </c>
      <c r="D141">
        <v>16</v>
      </c>
      <c r="I141">
        <v>16</v>
      </c>
    </row>
    <row r="142" spans="1:9" x14ac:dyDescent="0.35">
      <c r="A142" s="461" t="s">
        <v>192</v>
      </c>
      <c r="B142" s="461" t="s">
        <v>236</v>
      </c>
      <c r="C142" s="461" t="s">
        <v>114</v>
      </c>
      <c r="D142">
        <v>32</v>
      </c>
      <c r="I142">
        <v>32</v>
      </c>
    </row>
    <row r="143" spans="1:9" x14ac:dyDescent="0.35">
      <c r="A143" s="461" t="s">
        <v>192</v>
      </c>
      <c r="B143" s="461" t="s">
        <v>236</v>
      </c>
      <c r="C143" s="461" t="s">
        <v>57</v>
      </c>
      <c r="D143">
        <v>16</v>
      </c>
      <c r="I143">
        <v>16</v>
      </c>
    </row>
    <row r="144" spans="1:9" x14ac:dyDescent="0.35">
      <c r="A144" s="461" t="s">
        <v>192</v>
      </c>
      <c r="B144" s="461" t="s">
        <v>236</v>
      </c>
      <c r="C144" s="461" t="s">
        <v>36</v>
      </c>
      <c r="D144">
        <v>19</v>
      </c>
      <c r="I144">
        <v>19</v>
      </c>
    </row>
    <row r="145" spans="1:9" x14ac:dyDescent="0.35">
      <c r="A145" s="461" t="s">
        <v>192</v>
      </c>
      <c r="B145" s="461" t="s">
        <v>236</v>
      </c>
      <c r="C145" s="461" t="s">
        <v>65</v>
      </c>
      <c r="D145">
        <v>24</v>
      </c>
      <c r="I145">
        <v>24</v>
      </c>
    </row>
    <row r="146" spans="1:9" x14ac:dyDescent="0.35">
      <c r="A146" s="461" t="s">
        <v>192</v>
      </c>
      <c r="B146" s="461" t="s">
        <v>236</v>
      </c>
      <c r="C146" s="461" t="s">
        <v>69</v>
      </c>
      <c r="D146">
        <v>16</v>
      </c>
      <c r="I146">
        <v>16</v>
      </c>
    </row>
    <row r="147" spans="1:9" x14ac:dyDescent="0.35">
      <c r="A147" s="461" t="s">
        <v>192</v>
      </c>
      <c r="B147" s="461" t="s">
        <v>236</v>
      </c>
      <c r="C147" s="461" t="s">
        <v>71</v>
      </c>
      <c r="D147">
        <v>11</v>
      </c>
      <c r="I147">
        <v>11</v>
      </c>
    </row>
    <row r="148" spans="1:9" x14ac:dyDescent="0.35">
      <c r="A148" s="461" t="s">
        <v>192</v>
      </c>
      <c r="B148" s="461" t="s">
        <v>236</v>
      </c>
      <c r="C148" s="461" t="s">
        <v>64</v>
      </c>
      <c r="D148">
        <v>25</v>
      </c>
      <c r="I148">
        <v>25</v>
      </c>
    </row>
    <row r="149" spans="1:9" x14ac:dyDescent="0.35">
      <c r="A149" s="461" t="s">
        <v>192</v>
      </c>
      <c r="B149" s="461" t="s">
        <v>236</v>
      </c>
      <c r="C149" s="461" t="s">
        <v>66</v>
      </c>
      <c r="D149">
        <v>29</v>
      </c>
      <c r="I149">
        <v>29</v>
      </c>
    </row>
    <row r="150" spans="1:9" x14ac:dyDescent="0.35">
      <c r="A150" s="461" t="s">
        <v>192</v>
      </c>
      <c r="B150" s="461" t="s">
        <v>236</v>
      </c>
      <c r="C150" s="461" t="s">
        <v>167</v>
      </c>
      <c r="D150">
        <v>27</v>
      </c>
      <c r="I150">
        <v>27</v>
      </c>
    </row>
    <row r="151" spans="1:9" x14ac:dyDescent="0.35">
      <c r="A151" s="461" t="s">
        <v>192</v>
      </c>
      <c r="B151" s="461" t="s">
        <v>236</v>
      </c>
      <c r="C151" s="461" t="s">
        <v>63</v>
      </c>
      <c r="D151">
        <v>27</v>
      </c>
      <c r="I151">
        <v>27</v>
      </c>
    </row>
    <row r="152" spans="1:9" x14ac:dyDescent="0.35">
      <c r="A152" s="461" t="s">
        <v>192</v>
      </c>
      <c r="B152" s="461" t="s">
        <v>236</v>
      </c>
      <c r="C152" s="461" t="s">
        <v>67</v>
      </c>
      <c r="D152">
        <v>38</v>
      </c>
      <c r="I152">
        <v>38</v>
      </c>
    </row>
    <row r="153" spans="1:9" x14ac:dyDescent="0.35">
      <c r="A153" s="461" t="s">
        <v>192</v>
      </c>
      <c r="B153" s="461" t="s">
        <v>236</v>
      </c>
      <c r="C153" s="461" t="s">
        <v>50</v>
      </c>
      <c r="D153">
        <v>20</v>
      </c>
      <c r="I153">
        <v>20</v>
      </c>
    </row>
    <row r="154" spans="1:9" x14ac:dyDescent="0.35">
      <c r="A154" s="461" t="s">
        <v>192</v>
      </c>
      <c r="B154" s="461" t="s">
        <v>236</v>
      </c>
      <c r="C154" s="461" t="s">
        <v>17412</v>
      </c>
      <c r="D154">
        <v>13</v>
      </c>
      <c r="I154">
        <v>13</v>
      </c>
    </row>
    <row r="155" spans="1:9" x14ac:dyDescent="0.35">
      <c r="A155" s="461" t="s">
        <v>192</v>
      </c>
      <c r="B155" s="461" t="s">
        <v>236</v>
      </c>
      <c r="C155" s="461" t="s">
        <v>43</v>
      </c>
      <c r="D155">
        <v>26</v>
      </c>
      <c r="I155">
        <v>26</v>
      </c>
    </row>
    <row r="156" spans="1:9" x14ac:dyDescent="0.35">
      <c r="A156" s="461" t="s">
        <v>192</v>
      </c>
      <c r="B156" s="461" t="s">
        <v>236</v>
      </c>
      <c r="C156" s="461" t="s">
        <v>70</v>
      </c>
      <c r="D156">
        <v>29</v>
      </c>
      <c r="I156">
        <v>29</v>
      </c>
    </row>
    <row r="157" spans="1:9" x14ac:dyDescent="0.35">
      <c r="A157" s="461" t="s">
        <v>192</v>
      </c>
      <c r="B157" s="461" t="s">
        <v>237</v>
      </c>
      <c r="C157" s="461" t="s">
        <v>164</v>
      </c>
      <c r="D157">
        <v>44</v>
      </c>
      <c r="G157">
        <v>121</v>
      </c>
      <c r="I157">
        <v>165</v>
      </c>
    </row>
    <row r="158" spans="1:9" x14ac:dyDescent="0.35">
      <c r="A158" s="461" t="s">
        <v>192</v>
      </c>
      <c r="B158" s="461" t="s">
        <v>237</v>
      </c>
      <c r="C158" s="461" t="s">
        <v>166</v>
      </c>
      <c r="D158">
        <v>25</v>
      </c>
      <c r="G158">
        <v>124</v>
      </c>
      <c r="I158">
        <v>149</v>
      </c>
    </row>
    <row r="159" spans="1:9" x14ac:dyDescent="0.35">
      <c r="A159" s="461" t="s">
        <v>192</v>
      </c>
      <c r="B159" s="461" t="s">
        <v>237</v>
      </c>
      <c r="C159" s="461" t="s">
        <v>165</v>
      </c>
      <c r="D159">
        <v>16</v>
      </c>
      <c r="G159">
        <v>286</v>
      </c>
      <c r="I159">
        <v>302</v>
      </c>
    </row>
    <row r="160" spans="1:9" x14ac:dyDescent="0.35">
      <c r="A160" s="461" t="s">
        <v>192</v>
      </c>
      <c r="B160" s="461" t="s">
        <v>238</v>
      </c>
      <c r="C160" s="461" t="s">
        <v>246</v>
      </c>
      <c r="D160">
        <v>195</v>
      </c>
      <c r="F160">
        <v>203</v>
      </c>
      <c r="G160">
        <v>297</v>
      </c>
      <c r="I160">
        <v>695</v>
      </c>
    </row>
    <row r="161" spans="1:9" x14ac:dyDescent="0.35">
      <c r="A161" s="461" t="s">
        <v>258</v>
      </c>
      <c r="B161" s="461" t="s">
        <v>235</v>
      </c>
      <c r="C161" s="461" t="s">
        <v>32</v>
      </c>
      <c r="D161">
        <v>25</v>
      </c>
      <c r="E161">
        <v>282</v>
      </c>
      <c r="H161">
        <v>0</v>
      </c>
      <c r="I161">
        <v>307</v>
      </c>
    </row>
    <row r="162" spans="1:9" x14ac:dyDescent="0.35">
      <c r="A162" s="461" t="s">
        <v>258</v>
      </c>
      <c r="B162" s="461" t="s">
        <v>235</v>
      </c>
      <c r="C162" s="461" t="s">
        <v>42</v>
      </c>
      <c r="D162">
        <v>86</v>
      </c>
      <c r="E162">
        <v>56</v>
      </c>
      <c r="H162">
        <v>0</v>
      </c>
      <c r="I162">
        <v>142</v>
      </c>
    </row>
    <row r="163" spans="1:9" x14ac:dyDescent="0.35">
      <c r="A163" s="461" t="s">
        <v>258</v>
      </c>
      <c r="B163" s="461" t="s">
        <v>235</v>
      </c>
      <c r="C163" s="461" t="s">
        <v>51</v>
      </c>
      <c r="D163">
        <v>0</v>
      </c>
      <c r="E163">
        <v>95</v>
      </c>
      <c r="H163">
        <v>0</v>
      </c>
      <c r="I163">
        <v>95</v>
      </c>
    </row>
    <row r="164" spans="1:9" x14ac:dyDescent="0.35">
      <c r="A164" s="461" t="s">
        <v>258</v>
      </c>
      <c r="B164" s="461" t="s">
        <v>235</v>
      </c>
      <c r="C164" s="461" t="s">
        <v>60</v>
      </c>
      <c r="D164">
        <v>60</v>
      </c>
      <c r="E164">
        <v>64</v>
      </c>
      <c r="H164">
        <v>0</v>
      </c>
      <c r="I164">
        <v>124</v>
      </c>
    </row>
    <row r="165" spans="1:9" x14ac:dyDescent="0.35">
      <c r="A165" s="461" t="s">
        <v>258</v>
      </c>
      <c r="B165" s="461" t="s">
        <v>235</v>
      </c>
      <c r="C165" s="461" t="s">
        <v>31</v>
      </c>
      <c r="D165">
        <v>155</v>
      </c>
      <c r="E165">
        <v>8</v>
      </c>
      <c r="H165">
        <v>0</v>
      </c>
      <c r="I165">
        <v>163</v>
      </c>
    </row>
    <row r="166" spans="1:9" x14ac:dyDescent="0.35">
      <c r="A166" s="461" t="s">
        <v>258</v>
      </c>
      <c r="B166" s="461" t="s">
        <v>235</v>
      </c>
      <c r="C166" s="461" t="s">
        <v>45</v>
      </c>
      <c r="D166">
        <v>68</v>
      </c>
      <c r="E166">
        <v>39</v>
      </c>
      <c r="H166">
        <v>0</v>
      </c>
      <c r="I166">
        <v>107</v>
      </c>
    </row>
    <row r="167" spans="1:9" x14ac:dyDescent="0.35">
      <c r="A167" s="461" t="s">
        <v>258</v>
      </c>
      <c r="B167" s="461" t="s">
        <v>235</v>
      </c>
      <c r="C167" s="461" t="s">
        <v>47</v>
      </c>
      <c r="D167">
        <v>27</v>
      </c>
      <c r="E167">
        <v>125</v>
      </c>
      <c r="H167">
        <v>4</v>
      </c>
      <c r="I167">
        <v>156</v>
      </c>
    </row>
    <row r="168" spans="1:9" x14ac:dyDescent="0.35">
      <c r="A168" s="461" t="s">
        <v>258</v>
      </c>
      <c r="B168" s="461" t="s">
        <v>235</v>
      </c>
      <c r="C168" s="461" t="s">
        <v>52</v>
      </c>
      <c r="D168">
        <v>68</v>
      </c>
      <c r="E168">
        <v>122</v>
      </c>
      <c r="H168">
        <v>23</v>
      </c>
      <c r="I168">
        <v>213</v>
      </c>
    </row>
    <row r="169" spans="1:9" x14ac:dyDescent="0.35">
      <c r="A169" s="461" t="s">
        <v>258</v>
      </c>
      <c r="B169" s="461" t="s">
        <v>235</v>
      </c>
      <c r="C169" s="461" t="s">
        <v>58</v>
      </c>
      <c r="D169">
        <v>53</v>
      </c>
      <c r="E169">
        <v>73</v>
      </c>
      <c r="H169">
        <v>0</v>
      </c>
      <c r="I169">
        <v>126</v>
      </c>
    </row>
    <row r="170" spans="1:9" x14ac:dyDescent="0.35">
      <c r="A170" s="461" t="s">
        <v>258</v>
      </c>
      <c r="B170" s="461" t="s">
        <v>235</v>
      </c>
      <c r="C170" s="461" t="s">
        <v>59</v>
      </c>
      <c r="D170">
        <v>69</v>
      </c>
      <c r="E170">
        <v>17</v>
      </c>
      <c r="H170">
        <v>0</v>
      </c>
      <c r="I170">
        <v>86</v>
      </c>
    </row>
    <row r="171" spans="1:9" x14ac:dyDescent="0.35">
      <c r="A171" s="461" t="s">
        <v>258</v>
      </c>
      <c r="B171" s="461" t="s">
        <v>235</v>
      </c>
      <c r="C171" s="461" t="s">
        <v>43</v>
      </c>
      <c r="D171">
        <v>270</v>
      </c>
      <c r="E171">
        <v>109</v>
      </c>
      <c r="H171">
        <v>0</v>
      </c>
      <c r="I171">
        <v>379</v>
      </c>
    </row>
    <row r="172" spans="1:9" x14ac:dyDescent="0.35">
      <c r="A172" s="461" t="s">
        <v>258</v>
      </c>
      <c r="B172" s="461" t="s">
        <v>235</v>
      </c>
      <c r="C172" s="461" t="s">
        <v>46</v>
      </c>
      <c r="D172">
        <v>22</v>
      </c>
      <c r="E172">
        <v>11</v>
      </c>
      <c r="H172">
        <v>0</v>
      </c>
      <c r="I172">
        <v>33</v>
      </c>
    </row>
    <row r="173" spans="1:9" x14ac:dyDescent="0.35">
      <c r="A173" s="461" t="s">
        <v>258</v>
      </c>
      <c r="B173" s="461" t="s">
        <v>235</v>
      </c>
      <c r="C173" s="461" t="s">
        <v>57</v>
      </c>
      <c r="D173">
        <v>171</v>
      </c>
      <c r="E173">
        <v>74</v>
      </c>
      <c r="H173">
        <v>3</v>
      </c>
      <c r="I173">
        <v>248</v>
      </c>
    </row>
    <row r="174" spans="1:9" x14ac:dyDescent="0.35">
      <c r="A174" s="461" t="s">
        <v>258</v>
      </c>
      <c r="B174" s="461" t="s">
        <v>235</v>
      </c>
      <c r="C174" s="461" t="s">
        <v>35</v>
      </c>
      <c r="D174">
        <v>22</v>
      </c>
      <c r="E174">
        <v>24</v>
      </c>
      <c r="H174">
        <v>0</v>
      </c>
      <c r="I174">
        <v>46</v>
      </c>
    </row>
    <row r="175" spans="1:9" x14ac:dyDescent="0.35">
      <c r="A175" s="461" t="s">
        <v>258</v>
      </c>
      <c r="B175" s="461" t="s">
        <v>235</v>
      </c>
      <c r="C175" s="461" t="s">
        <v>36</v>
      </c>
      <c r="D175">
        <v>63</v>
      </c>
      <c r="E175">
        <v>202</v>
      </c>
      <c r="H175">
        <v>5</v>
      </c>
      <c r="I175">
        <v>270</v>
      </c>
    </row>
    <row r="176" spans="1:9" x14ac:dyDescent="0.35">
      <c r="A176" s="461" t="s">
        <v>258</v>
      </c>
      <c r="B176" s="461" t="s">
        <v>235</v>
      </c>
      <c r="C176" s="461" t="s">
        <v>41</v>
      </c>
      <c r="D176">
        <v>50</v>
      </c>
      <c r="E176">
        <v>0</v>
      </c>
      <c r="H176">
        <v>0</v>
      </c>
      <c r="I176">
        <v>50</v>
      </c>
    </row>
    <row r="177" spans="1:9" x14ac:dyDescent="0.35">
      <c r="A177" s="461" t="s">
        <v>258</v>
      </c>
      <c r="B177" s="461" t="s">
        <v>235</v>
      </c>
      <c r="C177" s="461" t="s">
        <v>44</v>
      </c>
      <c r="D177">
        <v>67</v>
      </c>
      <c r="E177">
        <v>525</v>
      </c>
      <c r="H177">
        <v>67</v>
      </c>
      <c r="I177">
        <v>659</v>
      </c>
    </row>
    <row r="178" spans="1:9" x14ac:dyDescent="0.35">
      <c r="A178" s="461" t="s">
        <v>258</v>
      </c>
      <c r="B178" s="461" t="s">
        <v>235</v>
      </c>
      <c r="C178" s="461" t="s">
        <v>53</v>
      </c>
      <c r="D178">
        <v>97</v>
      </c>
      <c r="E178">
        <v>13</v>
      </c>
      <c r="H178">
        <v>0</v>
      </c>
      <c r="I178">
        <v>110</v>
      </c>
    </row>
    <row r="179" spans="1:9" x14ac:dyDescent="0.35">
      <c r="A179" s="461" t="s">
        <v>258</v>
      </c>
      <c r="B179" s="461" t="s">
        <v>235</v>
      </c>
      <c r="C179" s="461" t="s">
        <v>54</v>
      </c>
      <c r="D179">
        <v>56</v>
      </c>
      <c r="E179">
        <v>143</v>
      </c>
      <c r="H179">
        <v>0</v>
      </c>
      <c r="I179">
        <v>199</v>
      </c>
    </row>
    <row r="180" spans="1:9" x14ac:dyDescent="0.35">
      <c r="A180" s="461" t="s">
        <v>258</v>
      </c>
      <c r="B180" s="461" t="s">
        <v>235</v>
      </c>
      <c r="C180" s="461" t="s">
        <v>55</v>
      </c>
      <c r="D180">
        <v>0</v>
      </c>
      <c r="E180">
        <v>122</v>
      </c>
      <c r="H180">
        <v>0</v>
      </c>
      <c r="I180">
        <v>122</v>
      </c>
    </row>
    <row r="181" spans="1:9" x14ac:dyDescent="0.35">
      <c r="A181" s="461" t="s">
        <v>258</v>
      </c>
      <c r="B181" s="461" t="s">
        <v>235</v>
      </c>
      <c r="C181" s="461" t="s">
        <v>37</v>
      </c>
      <c r="D181">
        <v>192</v>
      </c>
      <c r="E181">
        <v>13</v>
      </c>
      <c r="H181">
        <v>0</v>
      </c>
      <c r="I181">
        <v>205</v>
      </c>
    </row>
    <row r="182" spans="1:9" x14ac:dyDescent="0.35">
      <c r="A182" s="461" t="s">
        <v>258</v>
      </c>
      <c r="B182" s="461" t="s">
        <v>235</v>
      </c>
      <c r="C182" s="461" t="s">
        <v>33</v>
      </c>
      <c r="D182">
        <v>25</v>
      </c>
      <c r="E182">
        <v>94</v>
      </c>
      <c r="H182">
        <v>0</v>
      </c>
      <c r="I182">
        <v>119</v>
      </c>
    </row>
    <row r="183" spans="1:9" x14ac:dyDescent="0.35">
      <c r="A183" s="461" t="s">
        <v>258</v>
      </c>
      <c r="B183" s="461" t="s">
        <v>235</v>
      </c>
      <c r="C183" s="461" t="s">
        <v>34</v>
      </c>
      <c r="D183">
        <v>43</v>
      </c>
      <c r="E183">
        <v>185</v>
      </c>
      <c r="H183">
        <v>200</v>
      </c>
      <c r="I183">
        <v>428</v>
      </c>
    </row>
    <row r="184" spans="1:9" x14ac:dyDescent="0.35">
      <c r="A184" s="461" t="s">
        <v>258</v>
      </c>
      <c r="B184" s="461" t="s">
        <v>235</v>
      </c>
      <c r="C184" s="461" t="s">
        <v>38</v>
      </c>
      <c r="D184">
        <v>46</v>
      </c>
      <c r="E184">
        <v>81</v>
      </c>
      <c r="H184">
        <v>0</v>
      </c>
      <c r="I184">
        <v>127</v>
      </c>
    </row>
    <row r="185" spans="1:9" x14ac:dyDescent="0.35">
      <c r="A185" s="461" t="s">
        <v>258</v>
      </c>
      <c r="B185" s="461" t="s">
        <v>235</v>
      </c>
      <c r="C185" s="461" t="s">
        <v>39</v>
      </c>
      <c r="D185">
        <v>68</v>
      </c>
      <c r="E185">
        <v>0</v>
      </c>
      <c r="H185">
        <v>0</v>
      </c>
      <c r="I185">
        <v>68</v>
      </c>
    </row>
    <row r="186" spans="1:9" x14ac:dyDescent="0.35">
      <c r="A186" s="461" t="s">
        <v>258</v>
      </c>
      <c r="B186" s="461" t="s">
        <v>235</v>
      </c>
      <c r="C186" s="461" t="s">
        <v>40</v>
      </c>
      <c r="D186">
        <v>27</v>
      </c>
      <c r="E186">
        <v>55</v>
      </c>
      <c r="H186">
        <v>0</v>
      </c>
      <c r="I186">
        <v>82</v>
      </c>
    </row>
    <row r="187" spans="1:9" x14ac:dyDescent="0.35">
      <c r="A187" s="461" t="s">
        <v>258</v>
      </c>
      <c r="B187" s="461" t="s">
        <v>235</v>
      </c>
      <c r="C187" s="461" t="s">
        <v>114</v>
      </c>
      <c r="D187">
        <v>475</v>
      </c>
      <c r="E187">
        <v>0</v>
      </c>
      <c r="H187">
        <v>0</v>
      </c>
      <c r="I187">
        <v>475</v>
      </c>
    </row>
    <row r="188" spans="1:9" x14ac:dyDescent="0.35">
      <c r="A188" s="461" t="s">
        <v>258</v>
      </c>
      <c r="B188" s="461" t="s">
        <v>235</v>
      </c>
      <c r="C188" s="461" t="s">
        <v>48</v>
      </c>
      <c r="D188">
        <v>0</v>
      </c>
      <c r="E188">
        <v>137</v>
      </c>
      <c r="H188">
        <v>0</v>
      </c>
      <c r="I188">
        <v>137</v>
      </c>
    </row>
    <row r="189" spans="1:9" x14ac:dyDescent="0.35">
      <c r="A189" s="461" t="s">
        <v>258</v>
      </c>
      <c r="B189" s="461" t="s">
        <v>235</v>
      </c>
      <c r="C189" s="461" t="s">
        <v>49</v>
      </c>
      <c r="D189">
        <v>78</v>
      </c>
      <c r="E189">
        <v>106</v>
      </c>
      <c r="H189">
        <v>18</v>
      </c>
      <c r="I189">
        <v>202</v>
      </c>
    </row>
    <row r="190" spans="1:9" x14ac:dyDescent="0.35">
      <c r="A190" s="461" t="s">
        <v>258</v>
      </c>
      <c r="B190" s="461" t="s">
        <v>235</v>
      </c>
      <c r="C190" s="461" t="s">
        <v>50</v>
      </c>
      <c r="D190">
        <v>173</v>
      </c>
      <c r="E190">
        <v>35</v>
      </c>
      <c r="H190">
        <v>0</v>
      </c>
      <c r="I190">
        <v>208</v>
      </c>
    </row>
    <row r="191" spans="1:9" x14ac:dyDescent="0.35">
      <c r="A191" s="461" t="s">
        <v>258</v>
      </c>
      <c r="B191" s="461" t="s">
        <v>235</v>
      </c>
      <c r="C191" s="461" t="s">
        <v>56</v>
      </c>
      <c r="D191">
        <v>54</v>
      </c>
      <c r="E191">
        <v>48</v>
      </c>
      <c r="H191">
        <v>0</v>
      </c>
      <c r="I191">
        <v>102</v>
      </c>
    </row>
    <row r="192" spans="1:9" x14ac:dyDescent="0.35">
      <c r="A192" s="461" t="s">
        <v>258</v>
      </c>
      <c r="B192" s="461" t="s">
        <v>235</v>
      </c>
      <c r="C192" s="461" t="s">
        <v>245</v>
      </c>
      <c r="D192">
        <v>313</v>
      </c>
      <c r="E192">
        <v>12</v>
      </c>
      <c r="H192">
        <v>0</v>
      </c>
      <c r="I192">
        <v>325</v>
      </c>
    </row>
    <row r="193" spans="1:9" x14ac:dyDescent="0.35">
      <c r="A193" s="461" t="s">
        <v>258</v>
      </c>
      <c r="B193" s="461" t="s">
        <v>236</v>
      </c>
      <c r="C193" s="461" t="s">
        <v>63</v>
      </c>
      <c r="D193">
        <v>25</v>
      </c>
      <c r="I193">
        <v>25</v>
      </c>
    </row>
    <row r="194" spans="1:9" x14ac:dyDescent="0.35">
      <c r="A194" s="461" t="s">
        <v>258</v>
      </c>
      <c r="B194" s="461" t="s">
        <v>236</v>
      </c>
      <c r="C194" s="461" t="s">
        <v>64</v>
      </c>
      <c r="D194">
        <v>26</v>
      </c>
      <c r="I194">
        <v>26</v>
      </c>
    </row>
    <row r="195" spans="1:9" x14ac:dyDescent="0.35">
      <c r="A195" s="461" t="s">
        <v>258</v>
      </c>
      <c r="B195" s="461" t="s">
        <v>236</v>
      </c>
      <c r="C195" s="461" t="s">
        <v>36</v>
      </c>
      <c r="D195">
        <v>22</v>
      </c>
      <c r="I195">
        <v>22</v>
      </c>
    </row>
    <row r="196" spans="1:9" x14ac:dyDescent="0.35">
      <c r="A196" s="461" t="s">
        <v>258</v>
      </c>
      <c r="B196" s="461" t="s">
        <v>236</v>
      </c>
      <c r="C196" s="461" t="s">
        <v>68</v>
      </c>
      <c r="D196">
        <v>18</v>
      </c>
      <c r="I196">
        <v>18</v>
      </c>
    </row>
    <row r="197" spans="1:9" x14ac:dyDescent="0.35">
      <c r="A197" s="461" t="s">
        <v>258</v>
      </c>
      <c r="B197" s="461" t="s">
        <v>236</v>
      </c>
      <c r="C197" s="461" t="s">
        <v>43</v>
      </c>
      <c r="D197">
        <v>24</v>
      </c>
      <c r="I197">
        <v>24</v>
      </c>
    </row>
    <row r="198" spans="1:9" x14ac:dyDescent="0.35">
      <c r="A198" s="461" t="s">
        <v>258</v>
      </c>
      <c r="B198" s="461" t="s">
        <v>236</v>
      </c>
      <c r="C198" s="461" t="s">
        <v>17412</v>
      </c>
      <c r="D198">
        <v>15</v>
      </c>
      <c r="I198">
        <v>15</v>
      </c>
    </row>
    <row r="199" spans="1:9" x14ac:dyDescent="0.35">
      <c r="A199" s="461" t="s">
        <v>258</v>
      </c>
      <c r="B199" s="461" t="s">
        <v>236</v>
      </c>
      <c r="C199" s="461" t="s">
        <v>66</v>
      </c>
      <c r="D199">
        <v>30</v>
      </c>
      <c r="I199">
        <v>30</v>
      </c>
    </row>
    <row r="200" spans="1:9" x14ac:dyDescent="0.35">
      <c r="A200" s="461" t="s">
        <v>258</v>
      </c>
      <c r="B200" s="461" t="s">
        <v>236</v>
      </c>
      <c r="C200" s="461" t="s">
        <v>167</v>
      </c>
      <c r="D200">
        <v>27</v>
      </c>
      <c r="I200">
        <v>27</v>
      </c>
    </row>
    <row r="201" spans="1:9" x14ac:dyDescent="0.35">
      <c r="A201" s="461" t="s">
        <v>258</v>
      </c>
      <c r="B201" s="461" t="s">
        <v>236</v>
      </c>
      <c r="C201" s="461" t="s">
        <v>114</v>
      </c>
      <c r="D201">
        <v>25</v>
      </c>
      <c r="I201">
        <v>25</v>
      </c>
    </row>
    <row r="202" spans="1:9" x14ac:dyDescent="0.35">
      <c r="A202" s="461" t="s">
        <v>258</v>
      </c>
      <c r="B202" s="461" t="s">
        <v>236</v>
      </c>
      <c r="C202" s="461" t="s">
        <v>70</v>
      </c>
      <c r="D202">
        <v>37</v>
      </c>
      <c r="I202">
        <v>37</v>
      </c>
    </row>
    <row r="203" spans="1:9" x14ac:dyDescent="0.35">
      <c r="A203" s="461" t="s">
        <v>258</v>
      </c>
      <c r="B203" s="461" t="s">
        <v>236</v>
      </c>
      <c r="C203" s="461" t="s">
        <v>71</v>
      </c>
      <c r="D203">
        <v>16</v>
      </c>
      <c r="I203">
        <v>16</v>
      </c>
    </row>
    <row r="204" spans="1:9" x14ac:dyDescent="0.35">
      <c r="A204" s="461" t="s">
        <v>258</v>
      </c>
      <c r="B204" s="461" t="s">
        <v>236</v>
      </c>
      <c r="C204" s="461" t="s">
        <v>31</v>
      </c>
      <c r="D204">
        <v>14</v>
      </c>
      <c r="I204">
        <v>14</v>
      </c>
    </row>
    <row r="205" spans="1:9" x14ac:dyDescent="0.35">
      <c r="A205" s="461" t="s">
        <v>258</v>
      </c>
      <c r="B205" s="461" t="s">
        <v>236</v>
      </c>
      <c r="C205" s="461" t="s">
        <v>65</v>
      </c>
      <c r="D205">
        <v>28</v>
      </c>
      <c r="I205">
        <v>28</v>
      </c>
    </row>
    <row r="206" spans="1:9" x14ac:dyDescent="0.35">
      <c r="A206" s="461" t="s">
        <v>258</v>
      </c>
      <c r="B206" s="461" t="s">
        <v>236</v>
      </c>
      <c r="C206" s="461" t="s">
        <v>67</v>
      </c>
      <c r="D206">
        <v>31</v>
      </c>
      <c r="I206">
        <v>31</v>
      </c>
    </row>
    <row r="207" spans="1:9" x14ac:dyDescent="0.35">
      <c r="A207" s="461" t="s">
        <v>258</v>
      </c>
      <c r="B207" s="461" t="s">
        <v>236</v>
      </c>
      <c r="C207" s="461" t="s">
        <v>69</v>
      </c>
      <c r="D207">
        <v>21</v>
      </c>
      <c r="I207">
        <v>21</v>
      </c>
    </row>
    <row r="208" spans="1:9" x14ac:dyDescent="0.35">
      <c r="A208" s="461" t="s">
        <v>258</v>
      </c>
      <c r="B208" s="461" t="s">
        <v>236</v>
      </c>
      <c r="C208" s="461" t="s">
        <v>57</v>
      </c>
      <c r="D208">
        <v>15</v>
      </c>
      <c r="I208">
        <v>15</v>
      </c>
    </row>
    <row r="209" spans="1:9" x14ac:dyDescent="0.35">
      <c r="A209" s="461" t="s">
        <v>258</v>
      </c>
      <c r="B209" s="461" t="s">
        <v>236</v>
      </c>
      <c r="C209" s="461" t="s">
        <v>50</v>
      </c>
      <c r="D209">
        <v>15</v>
      </c>
      <c r="I209">
        <v>15</v>
      </c>
    </row>
    <row r="210" spans="1:9" x14ac:dyDescent="0.35">
      <c r="A210" s="461" t="s">
        <v>258</v>
      </c>
      <c r="B210" s="461" t="s">
        <v>237</v>
      </c>
      <c r="C210" s="461" t="s">
        <v>165</v>
      </c>
      <c r="D210">
        <v>68</v>
      </c>
      <c r="G210">
        <v>272</v>
      </c>
      <c r="I210">
        <v>340</v>
      </c>
    </row>
    <row r="211" spans="1:9" x14ac:dyDescent="0.35">
      <c r="A211" s="461" t="s">
        <v>258</v>
      </c>
      <c r="B211" s="461" t="s">
        <v>237</v>
      </c>
      <c r="C211" s="461" t="s">
        <v>166</v>
      </c>
      <c r="D211">
        <v>38</v>
      </c>
      <c r="G211">
        <v>164</v>
      </c>
      <c r="I211">
        <v>202</v>
      </c>
    </row>
    <row r="212" spans="1:9" x14ac:dyDescent="0.35">
      <c r="A212" s="461" t="s">
        <v>258</v>
      </c>
      <c r="B212" s="461" t="s">
        <v>237</v>
      </c>
      <c r="C212" s="461" t="s">
        <v>164</v>
      </c>
      <c r="D212">
        <v>45</v>
      </c>
      <c r="G212">
        <v>135</v>
      </c>
      <c r="I212">
        <v>180</v>
      </c>
    </row>
    <row r="213" spans="1:9" x14ac:dyDescent="0.35">
      <c r="A213" s="461" t="s">
        <v>258</v>
      </c>
      <c r="B213" s="461" t="s">
        <v>238</v>
      </c>
      <c r="C213" s="461" t="s">
        <v>246</v>
      </c>
      <c r="D213">
        <v>182</v>
      </c>
      <c r="F213">
        <v>165</v>
      </c>
      <c r="G213">
        <v>267</v>
      </c>
      <c r="I213">
        <v>614</v>
      </c>
    </row>
    <row r="214" spans="1:9" x14ac:dyDescent="0.35">
      <c r="A214" s="461" t="s">
        <v>242</v>
      </c>
      <c r="B214" s="461" t="s">
        <v>235</v>
      </c>
      <c r="C214" s="461" t="s">
        <v>35</v>
      </c>
      <c r="D214">
        <v>25</v>
      </c>
      <c r="E214">
        <v>22</v>
      </c>
      <c r="F214">
        <v>0</v>
      </c>
      <c r="G214">
        <v>0</v>
      </c>
      <c r="H214">
        <v>0</v>
      </c>
      <c r="I214">
        <v>47</v>
      </c>
    </row>
    <row r="215" spans="1:9" x14ac:dyDescent="0.35">
      <c r="A215" s="461" t="s">
        <v>242</v>
      </c>
      <c r="B215" s="461" t="s">
        <v>235</v>
      </c>
      <c r="C215" s="461" t="s">
        <v>42</v>
      </c>
      <c r="D215">
        <v>87</v>
      </c>
      <c r="E215">
        <v>54</v>
      </c>
      <c r="F215">
        <v>0</v>
      </c>
      <c r="G215">
        <v>0</v>
      </c>
      <c r="H215">
        <v>0</v>
      </c>
      <c r="I215">
        <v>141</v>
      </c>
    </row>
    <row r="216" spans="1:9" x14ac:dyDescent="0.35">
      <c r="A216" s="461" t="s">
        <v>242</v>
      </c>
      <c r="B216" s="461" t="s">
        <v>235</v>
      </c>
      <c r="C216" s="461" t="s">
        <v>48</v>
      </c>
      <c r="D216">
        <v>0</v>
      </c>
      <c r="E216">
        <v>131</v>
      </c>
      <c r="F216">
        <v>0</v>
      </c>
      <c r="G216">
        <v>0</v>
      </c>
      <c r="H216">
        <v>0</v>
      </c>
      <c r="I216">
        <v>131</v>
      </c>
    </row>
    <row r="217" spans="1:9" x14ac:dyDescent="0.35">
      <c r="A217" s="461" t="s">
        <v>242</v>
      </c>
      <c r="B217" s="461" t="s">
        <v>235</v>
      </c>
      <c r="C217" s="461" t="s">
        <v>50</v>
      </c>
      <c r="D217">
        <v>163</v>
      </c>
      <c r="E217">
        <v>37</v>
      </c>
      <c r="F217">
        <v>0</v>
      </c>
      <c r="G217">
        <v>0</v>
      </c>
      <c r="H217">
        <v>0</v>
      </c>
      <c r="I217">
        <v>200</v>
      </c>
    </row>
    <row r="218" spans="1:9" x14ac:dyDescent="0.35">
      <c r="A218" s="461" t="s">
        <v>242</v>
      </c>
      <c r="B218" s="461" t="s">
        <v>235</v>
      </c>
      <c r="C218" s="461" t="s">
        <v>37</v>
      </c>
      <c r="D218">
        <v>178</v>
      </c>
      <c r="E218">
        <v>13</v>
      </c>
      <c r="F218">
        <v>0</v>
      </c>
      <c r="G218">
        <v>0</v>
      </c>
      <c r="H218">
        <v>0</v>
      </c>
      <c r="I218">
        <v>191</v>
      </c>
    </row>
    <row r="219" spans="1:9" x14ac:dyDescent="0.35">
      <c r="A219" s="461" t="s">
        <v>242</v>
      </c>
      <c r="B219" s="461" t="s">
        <v>235</v>
      </c>
      <c r="C219" s="461" t="s">
        <v>54</v>
      </c>
      <c r="D219">
        <v>51</v>
      </c>
      <c r="E219">
        <v>143</v>
      </c>
      <c r="F219">
        <v>0</v>
      </c>
      <c r="G219">
        <v>0</v>
      </c>
      <c r="H219">
        <v>0</v>
      </c>
      <c r="I219">
        <v>194</v>
      </c>
    </row>
    <row r="220" spans="1:9" x14ac:dyDescent="0.35">
      <c r="A220" s="461" t="s">
        <v>242</v>
      </c>
      <c r="B220" s="461" t="s">
        <v>235</v>
      </c>
      <c r="C220" s="461" t="s">
        <v>245</v>
      </c>
      <c r="D220">
        <v>293</v>
      </c>
      <c r="E220">
        <v>11</v>
      </c>
      <c r="F220">
        <v>0</v>
      </c>
      <c r="G220">
        <v>0</v>
      </c>
      <c r="H220">
        <v>0</v>
      </c>
      <c r="I220">
        <v>304</v>
      </c>
    </row>
    <row r="221" spans="1:9" x14ac:dyDescent="0.35">
      <c r="A221" s="461" t="s">
        <v>242</v>
      </c>
      <c r="B221" s="461" t="s">
        <v>235</v>
      </c>
      <c r="C221" s="461" t="s">
        <v>17411</v>
      </c>
      <c r="D221">
        <v>54</v>
      </c>
      <c r="E221">
        <v>189</v>
      </c>
      <c r="F221">
        <v>0</v>
      </c>
      <c r="G221">
        <v>0</v>
      </c>
      <c r="H221">
        <v>4</v>
      </c>
      <c r="I221">
        <v>247</v>
      </c>
    </row>
    <row r="222" spans="1:9" x14ac:dyDescent="0.35">
      <c r="A222" s="461" t="s">
        <v>242</v>
      </c>
      <c r="B222" s="461" t="s">
        <v>235</v>
      </c>
      <c r="C222" s="461" t="s">
        <v>53</v>
      </c>
      <c r="D222">
        <v>94</v>
      </c>
      <c r="E222">
        <v>16</v>
      </c>
      <c r="F222">
        <v>0</v>
      </c>
      <c r="G222">
        <v>0</v>
      </c>
      <c r="H222">
        <v>0</v>
      </c>
      <c r="I222">
        <v>110</v>
      </c>
    </row>
    <row r="223" spans="1:9" x14ac:dyDescent="0.35">
      <c r="A223" s="461" t="s">
        <v>242</v>
      </c>
      <c r="B223" s="461" t="s">
        <v>235</v>
      </c>
      <c r="C223" s="461" t="s">
        <v>57</v>
      </c>
      <c r="D223">
        <v>166</v>
      </c>
      <c r="E223">
        <v>73</v>
      </c>
      <c r="F223">
        <v>0</v>
      </c>
      <c r="G223">
        <v>0</v>
      </c>
      <c r="H223">
        <v>2</v>
      </c>
      <c r="I223">
        <v>241</v>
      </c>
    </row>
    <row r="224" spans="1:9" x14ac:dyDescent="0.35">
      <c r="A224" s="461" t="s">
        <v>242</v>
      </c>
      <c r="B224" s="461" t="s">
        <v>235</v>
      </c>
      <c r="C224" s="461" t="s">
        <v>58</v>
      </c>
      <c r="D224">
        <v>48</v>
      </c>
      <c r="E224">
        <v>74</v>
      </c>
      <c r="F224">
        <v>0</v>
      </c>
      <c r="G224">
        <v>0</v>
      </c>
      <c r="H224">
        <v>0</v>
      </c>
      <c r="I224">
        <v>122</v>
      </c>
    </row>
    <row r="225" spans="1:9" x14ac:dyDescent="0.35">
      <c r="A225" s="461" t="s">
        <v>242</v>
      </c>
      <c r="B225" s="461" t="s">
        <v>235</v>
      </c>
      <c r="C225" s="461" t="s">
        <v>59</v>
      </c>
      <c r="D225">
        <v>68</v>
      </c>
      <c r="E225">
        <v>18</v>
      </c>
      <c r="F225">
        <v>0</v>
      </c>
      <c r="G225">
        <v>0</v>
      </c>
      <c r="H225">
        <v>0</v>
      </c>
      <c r="I225">
        <v>86</v>
      </c>
    </row>
    <row r="226" spans="1:9" x14ac:dyDescent="0.35">
      <c r="A226" s="461" t="s">
        <v>242</v>
      </c>
      <c r="B226" s="461" t="s">
        <v>235</v>
      </c>
      <c r="C226" s="461" t="s">
        <v>34</v>
      </c>
      <c r="D226">
        <v>50</v>
      </c>
      <c r="E226">
        <v>177</v>
      </c>
      <c r="F226">
        <v>0</v>
      </c>
      <c r="G226">
        <v>0</v>
      </c>
      <c r="H226">
        <v>211</v>
      </c>
      <c r="I226">
        <v>438</v>
      </c>
    </row>
    <row r="227" spans="1:9" x14ac:dyDescent="0.35">
      <c r="A227" s="461" t="s">
        <v>242</v>
      </c>
      <c r="B227" s="461" t="s">
        <v>235</v>
      </c>
      <c r="C227" s="461" t="s">
        <v>45</v>
      </c>
      <c r="D227">
        <v>72</v>
      </c>
      <c r="E227">
        <v>42</v>
      </c>
      <c r="F227">
        <v>0</v>
      </c>
      <c r="G227">
        <v>0</v>
      </c>
      <c r="H227">
        <v>0</v>
      </c>
      <c r="I227">
        <v>114</v>
      </c>
    </row>
    <row r="228" spans="1:9" x14ac:dyDescent="0.35">
      <c r="A228" s="461" t="s">
        <v>242</v>
      </c>
      <c r="B228" s="461" t="s">
        <v>235</v>
      </c>
      <c r="C228" s="461" t="s">
        <v>51</v>
      </c>
      <c r="D228">
        <v>0</v>
      </c>
      <c r="E228">
        <v>100</v>
      </c>
      <c r="F228">
        <v>0</v>
      </c>
      <c r="G228">
        <v>0</v>
      </c>
      <c r="H228">
        <v>0</v>
      </c>
      <c r="I228">
        <v>100</v>
      </c>
    </row>
    <row r="229" spans="1:9" x14ac:dyDescent="0.35">
      <c r="A229" s="461" t="s">
        <v>242</v>
      </c>
      <c r="B229" s="461" t="s">
        <v>235</v>
      </c>
      <c r="C229" s="461" t="s">
        <v>60</v>
      </c>
      <c r="D229">
        <v>58</v>
      </c>
      <c r="E229">
        <v>65</v>
      </c>
      <c r="F229">
        <v>0</v>
      </c>
      <c r="G229">
        <v>0</v>
      </c>
      <c r="H229">
        <v>0</v>
      </c>
      <c r="I229">
        <v>123</v>
      </c>
    </row>
    <row r="230" spans="1:9" x14ac:dyDescent="0.35">
      <c r="A230" s="461" t="s">
        <v>242</v>
      </c>
      <c r="B230" s="461" t="s">
        <v>235</v>
      </c>
      <c r="C230" s="461" t="s">
        <v>38</v>
      </c>
      <c r="D230">
        <v>49</v>
      </c>
      <c r="E230">
        <v>82</v>
      </c>
      <c r="F230">
        <v>0</v>
      </c>
      <c r="G230">
        <v>0</v>
      </c>
      <c r="H230">
        <v>0</v>
      </c>
      <c r="I230">
        <v>131</v>
      </c>
    </row>
    <row r="231" spans="1:9" x14ac:dyDescent="0.35">
      <c r="A231" s="461" t="s">
        <v>242</v>
      </c>
      <c r="B231" s="461" t="s">
        <v>235</v>
      </c>
      <c r="C231" s="461" t="s">
        <v>40</v>
      </c>
      <c r="D231">
        <v>23</v>
      </c>
      <c r="E231">
        <v>56</v>
      </c>
      <c r="F231">
        <v>0</v>
      </c>
      <c r="G231">
        <v>0</v>
      </c>
      <c r="H231">
        <v>0</v>
      </c>
      <c r="I231">
        <v>79</v>
      </c>
    </row>
    <row r="232" spans="1:9" x14ac:dyDescent="0.35">
      <c r="A232" s="461" t="s">
        <v>242</v>
      </c>
      <c r="B232" s="461" t="s">
        <v>235</v>
      </c>
      <c r="C232" s="461" t="s">
        <v>55</v>
      </c>
      <c r="D232">
        <v>0</v>
      </c>
      <c r="E232">
        <v>118</v>
      </c>
      <c r="F232">
        <v>0</v>
      </c>
      <c r="G232">
        <v>0</v>
      </c>
      <c r="H232">
        <v>0</v>
      </c>
      <c r="I232">
        <v>118</v>
      </c>
    </row>
    <row r="233" spans="1:9" x14ac:dyDescent="0.35">
      <c r="A233" s="461" t="s">
        <v>242</v>
      </c>
      <c r="B233" s="461" t="s">
        <v>235</v>
      </c>
      <c r="C233" s="461" t="s">
        <v>56</v>
      </c>
      <c r="D233">
        <v>50</v>
      </c>
      <c r="E233">
        <v>49</v>
      </c>
      <c r="F233">
        <v>0</v>
      </c>
      <c r="G233">
        <v>0</v>
      </c>
      <c r="H233">
        <v>0</v>
      </c>
      <c r="I233">
        <v>99</v>
      </c>
    </row>
    <row r="234" spans="1:9" x14ac:dyDescent="0.35">
      <c r="A234" s="461" t="s">
        <v>242</v>
      </c>
      <c r="B234" s="461" t="s">
        <v>235</v>
      </c>
      <c r="C234" s="461" t="s">
        <v>31</v>
      </c>
      <c r="D234">
        <v>145</v>
      </c>
      <c r="E234">
        <v>8</v>
      </c>
      <c r="F234">
        <v>0</v>
      </c>
      <c r="G234">
        <v>0</v>
      </c>
      <c r="H234">
        <v>0</v>
      </c>
      <c r="I234">
        <v>153</v>
      </c>
    </row>
    <row r="235" spans="1:9" x14ac:dyDescent="0.35">
      <c r="A235" s="461" t="s">
        <v>242</v>
      </c>
      <c r="B235" s="461" t="s">
        <v>235</v>
      </c>
      <c r="C235" s="461" t="s">
        <v>41</v>
      </c>
      <c r="D235">
        <v>51</v>
      </c>
      <c r="E235">
        <v>0</v>
      </c>
      <c r="F235">
        <v>0</v>
      </c>
      <c r="G235">
        <v>0</v>
      </c>
      <c r="H235">
        <v>0</v>
      </c>
      <c r="I235">
        <v>51</v>
      </c>
    </row>
    <row r="236" spans="1:9" x14ac:dyDescent="0.35">
      <c r="A236" s="461" t="s">
        <v>242</v>
      </c>
      <c r="B236" s="461" t="s">
        <v>235</v>
      </c>
      <c r="C236" s="461" t="s">
        <v>47</v>
      </c>
      <c r="D236">
        <v>29</v>
      </c>
      <c r="E236">
        <v>120</v>
      </c>
      <c r="F236">
        <v>0</v>
      </c>
      <c r="G236">
        <v>0</v>
      </c>
      <c r="H236">
        <v>0</v>
      </c>
      <c r="I236">
        <v>149</v>
      </c>
    </row>
    <row r="237" spans="1:9" x14ac:dyDescent="0.35">
      <c r="A237" s="461" t="s">
        <v>242</v>
      </c>
      <c r="B237" s="461" t="s">
        <v>235</v>
      </c>
      <c r="C237" s="461" t="s">
        <v>52</v>
      </c>
      <c r="D237">
        <v>69</v>
      </c>
      <c r="E237">
        <v>126</v>
      </c>
      <c r="F237">
        <v>0</v>
      </c>
      <c r="G237">
        <v>0</v>
      </c>
      <c r="H237">
        <v>28</v>
      </c>
      <c r="I237">
        <v>223</v>
      </c>
    </row>
    <row r="238" spans="1:9" x14ac:dyDescent="0.35">
      <c r="A238" s="461" t="s">
        <v>242</v>
      </c>
      <c r="B238" s="461" t="s">
        <v>235</v>
      </c>
      <c r="C238" s="461" t="s">
        <v>32</v>
      </c>
      <c r="D238">
        <v>24</v>
      </c>
      <c r="E238">
        <v>275</v>
      </c>
      <c r="F238">
        <v>0</v>
      </c>
      <c r="G238">
        <v>0</v>
      </c>
      <c r="H238">
        <v>0</v>
      </c>
      <c r="I238">
        <v>299</v>
      </c>
    </row>
    <row r="239" spans="1:9" x14ac:dyDescent="0.35">
      <c r="A239" s="461" t="s">
        <v>242</v>
      </c>
      <c r="B239" s="461" t="s">
        <v>235</v>
      </c>
      <c r="C239" s="461" t="s">
        <v>33</v>
      </c>
      <c r="D239">
        <v>28</v>
      </c>
      <c r="E239">
        <v>93</v>
      </c>
      <c r="F239">
        <v>0</v>
      </c>
      <c r="G239">
        <v>0</v>
      </c>
      <c r="H239">
        <v>0</v>
      </c>
      <c r="I239">
        <v>121</v>
      </c>
    </row>
    <row r="240" spans="1:9" x14ac:dyDescent="0.35">
      <c r="A240" s="461" t="s">
        <v>242</v>
      </c>
      <c r="B240" s="461" t="s">
        <v>235</v>
      </c>
      <c r="C240" s="461" t="s">
        <v>39</v>
      </c>
      <c r="D240">
        <v>78</v>
      </c>
      <c r="E240">
        <v>0</v>
      </c>
      <c r="F240">
        <v>0</v>
      </c>
      <c r="G240">
        <v>0</v>
      </c>
      <c r="H240">
        <v>0</v>
      </c>
      <c r="I240">
        <v>78</v>
      </c>
    </row>
    <row r="241" spans="1:9" x14ac:dyDescent="0.35">
      <c r="A241" s="461" t="s">
        <v>242</v>
      </c>
      <c r="B241" s="461" t="s">
        <v>235</v>
      </c>
      <c r="C241" s="461" t="s">
        <v>43</v>
      </c>
      <c r="D241">
        <v>254</v>
      </c>
      <c r="E241">
        <v>115</v>
      </c>
      <c r="F241">
        <v>0</v>
      </c>
      <c r="G241">
        <v>0</v>
      </c>
      <c r="H241">
        <v>0</v>
      </c>
      <c r="I241">
        <v>369</v>
      </c>
    </row>
    <row r="242" spans="1:9" x14ac:dyDescent="0.35">
      <c r="A242" s="461" t="s">
        <v>242</v>
      </c>
      <c r="B242" s="461" t="s">
        <v>235</v>
      </c>
      <c r="C242" s="461" t="s">
        <v>114</v>
      </c>
      <c r="D242">
        <v>489</v>
      </c>
      <c r="E242">
        <v>0</v>
      </c>
      <c r="F242">
        <v>0</v>
      </c>
      <c r="G242">
        <v>0</v>
      </c>
      <c r="H242">
        <v>0</v>
      </c>
      <c r="I242">
        <v>489</v>
      </c>
    </row>
    <row r="243" spans="1:9" x14ac:dyDescent="0.35">
      <c r="A243" s="461" t="s">
        <v>242</v>
      </c>
      <c r="B243" s="461" t="s">
        <v>235</v>
      </c>
      <c r="C243" s="461" t="s">
        <v>44</v>
      </c>
      <c r="D243">
        <v>68</v>
      </c>
      <c r="E243">
        <v>538</v>
      </c>
      <c r="F243">
        <v>0</v>
      </c>
      <c r="G243">
        <v>0</v>
      </c>
      <c r="H243">
        <v>64</v>
      </c>
      <c r="I243">
        <v>670</v>
      </c>
    </row>
    <row r="244" spans="1:9" x14ac:dyDescent="0.35">
      <c r="A244" s="461" t="s">
        <v>242</v>
      </c>
      <c r="B244" s="461" t="s">
        <v>235</v>
      </c>
      <c r="C244" s="461" t="s">
        <v>46</v>
      </c>
      <c r="D244">
        <v>27</v>
      </c>
      <c r="E244">
        <v>12</v>
      </c>
      <c r="F244">
        <v>0</v>
      </c>
      <c r="G244">
        <v>0</v>
      </c>
      <c r="H244">
        <v>0</v>
      </c>
      <c r="I244">
        <v>39</v>
      </c>
    </row>
    <row r="245" spans="1:9" x14ac:dyDescent="0.35">
      <c r="A245" s="461" t="s">
        <v>242</v>
      </c>
      <c r="B245" s="461" t="s">
        <v>235</v>
      </c>
      <c r="C245" s="461" t="s">
        <v>49</v>
      </c>
      <c r="D245">
        <v>76</v>
      </c>
      <c r="E245">
        <v>106</v>
      </c>
      <c r="F245">
        <v>0</v>
      </c>
      <c r="G245">
        <v>0</v>
      </c>
      <c r="H245">
        <v>23</v>
      </c>
      <c r="I245">
        <v>205</v>
      </c>
    </row>
    <row r="246" spans="1:9" x14ac:dyDescent="0.35">
      <c r="A246" s="461" t="s">
        <v>242</v>
      </c>
      <c r="B246" s="461" t="s">
        <v>236</v>
      </c>
      <c r="C246" s="461" t="s">
        <v>114</v>
      </c>
      <c r="D246">
        <v>22</v>
      </c>
      <c r="E246">
        <v>0</v>
      </c>
      <c r="F246">
        <v>0</v>
      </c>
      <c r="G246">
        <v>0</v>
      </c>
      <c r="H246">
        <v>0</v>
      </c>
      <c r="I246">
        <v>22</v>
      </c>
    </row>
    <row r="247" spans="1:9" x14ac:dyDescent="0.35">
      <c r="A247" s="461" t="s">
        <v>242</v>
      </c>
      <c r="B247" s="461" t="s">
        <v>236</v>
      </c>
      <c r="C247" s="461" t="s">
        <v>71</v>
      </c>
      <c r="D247">
        <v>19</v>
      </c>
      <c r="E247">
        <v>0</v>
      </c>
      <c r="F247">
        <v>0</v>
      </c>
      <c r="G247">
        <v>0</v>
      </c>
      <c r="H247">
        <v>0</v>
      </c>
      <c r="I247">
        <v>19</v>
      </c>
    </row>
    <row r="248" spans="1:9" x14ac:dyDescent="0.35">
      <c r="A248" s="461" t="s">
        <v>242</v>
      </c>
      <c r="B248" s="461" t="s">
        <v>236</v>
      </c>
      <c r="C248" s="461" t="s">
        <v>66</v>
      </c>
      <c r="D248">
        <v>27</v>
      </c>
      <c r="E248">
        <v>0</v>
      </c>
      <c r="F248">
        <v>0</v>
      </c>
      <c r="G248">
        <v>0</v>
      </c>
      <c r="H248">
        <v>0</v>
      </c>
      <c r="I248">
        <v>27</v>
      </c>
    </row>
    <row r="249" spans="1:9" x14ac:dyDescent="0.35">
      <c r="A249" s="461" t="s">
        <v>242</v>
      </c>
      <c r="B249" s="461" t="s">
        <v>236</v>
      </c>
      <c r="C249" s="461" t="s">
        <v>69</v>
      </c>
      <c r="D249">
        <v>19</v>
      </c>
      <c r="E249">
        <v>0</v>
      </c>
      <c r="F249">
        <v>0</v>
      </c>
      <c r="G249">
        <v>0</v>
      </c>
      <c r="H249">
        <v>0</v>
      </c>
      <c r="I249">
        <v>19</v>
      </c>
    </row>
    <row r="250" spans="1:9" x14ac:dyDescent="0.35">
      <c r="A250" s="461" t="s">
        <v>242</v>
      </c>
      <c r="B250" s="461" t="s">
        <v>236</v>
      </c>
      <c r="C250" s="461" t="s">
        <v>43</v>
      </c>
      <c r="D250">
        <v>19</v>
      </c>
      <c r="E250">
        <v>0</v>
      </c>
      <c r="F250">
        <v>0</v>
      </c>
      <c r="G250">
        <v>0</v>
      </c>
      <c r="H250">
        <v>0</v>
      </c>
      <c r="I250">
        <v>19</v>
      </c>
    </row>
    <row r="251" spans="1:9" x14ac:dyDescent="0.35">
      <c r="A251" s="461" t="s">
        <v>242</v>
      </c>
      <c r="B251" s="461" t="s">
        <v>236</v>
      </c>
      <c r="C251" s="461" t="s">
        <v>31</v>
      </c>
      <c r="D251">
        <v>15</v>
      </c>
      <c r="E251">
        <v>0</v>
      </c>
      <c r="F251">
        <v>0</v>
      </c>
      <c r="G251">
        <v>0</v>
      </c>
      <c r="H251">
        <v>0</v>
      </c>
      <c r="I251">
        <v>15</v>
      </c>
    </row>
    <row r="252" spans="1:9" x14ac:dyDescent="0.35">
      <c r="A252" s="461" t="s">
        <v>242</v>
      </c>
      <c r="B252" s="461" t="s">
        <v>236</v>
      </c>
      <c r="C252" s="461" t="s">
        <v>63</v>
      </c>
      <c r="D252">
        <v>25</v>
      </c>
      <c r="E252">
        <v>0</v>
      </c>
      <c r="F252">
        <v>0</v>
      </c>
      <c r="G252">
        <v>0</v>
      </c>
      <c r="H252">
        <v>0</v>
      </c>
      <c r="I252">
        <v>25</v>
      </c>
    </row>
    <row r="253" spans="1:9" x14ac:dyDescent="0.35">
      <c r="A253" s="461" t="s">
        <v>242</v>
      </c>
      <c r="B253" s="461" t="s">
        <v>236</v>
      </c>
      <c r="C253" s="461" t="s">
        <v>64</v>
      </c>
      <c r="D253">
        <v>26</v>
      </c>
      <c r="E253">
        <v>0</v>
      </c>
      <c r="F253">
        <v>0</v>
      </c>
      <c r="G253">
        <v>0</v>
      </c>
      <c r="H253">
        <v>0</v>
      </c>
      <c r="I253">
        <v>26</v>
      </c>
    </row>
    <row r="254" spans="1:9" x14ac:dyDescent="0.35">
      <c r="A254" s="461" t="s">
        <v>242</v>
      </c>
      <c r="B254" s="461" t="s">
        <v>236</v>
      </c>
      <c r="C254" s="461" t="s">
        <v>70</v>
      </c>
      <c r="D254">
        <v>32</v>
      </c>
      <c r="E254">
        <v>0</v>
      </c>
      <c r="F254">
        <v>0</v>
      </c>
      <c r="G254">
        <v>0</v>
      </c>
      <c r="H254">
        <v>0</v>
      </c>
      <c r="I254">
        <v>32</v>
      </c>
    </row>
    <row r="255" spans="1:9" x14ac:dyDescent="0.35">
      <c r="A255" s="461" t="s">
        <v>242</v>
      </c>
      <c r="B255" s="461" t="s">
        <v>236</v>
      </c>
      <c r="C255" s="461" t="s">
        <v>50</v>
      </c>
      <c r="D255">
        <v>17</v>
      </c>
      <c r="E255">
        <v>0</v>
      </c>
      <c r="F255">
        <v>0</v>
      </c>
      <c r="G255">
        <v>0</v>
      </c>
      <c r="H255">
        <v>0</v>
      </c>
      <c r="I255">
        <v>17</v>
      </c>
    </row>
    <row r="256" spans="1:9" x14ac:dyDescent="0.35">
      <c r="A256" s="461" t="s">
        <v>242</v>
      </c>
      <c r="B256" s="461" t="s">
        <v>236</v>
      </c>
      <c r="C256" s="461" t="s">
        <v>57</v>
      </c>
      <c r="D256">
        <v>16</v>
      </c>
      <c r="E256">
        <v>0</v>
      </c>
      <c r="F256">
        <v>0</v>
      </c>
      <c r="G256">
        <v>0</v>
      </c>
      <c r="H256">
        <v>0</v>
      </c>
      <c r="I256">
        <v>16</v>
      </c>
    </row>
    <row r="257" spans="1:9" x14ac:dyDescent="0.35">
      <c r="A257" s="461" t="s">
        <v>242</v>
      </c>
      <c r="B257" s="461" t="s">
        <v>236</v>
      </c>
      <c r="C257" s="461" t="s">
        <v>67</v>
      </c>
      <c r="D257">
        <v>27</v>
      </c>
      <c r="E257">
        <v>0</v>
      </c>
      <c r="F257">
        <v>0</v>
      </c>
      <c r="G257">
        <v>0</v>
      </c>
      <c r="H257">
        <v>0</v>
      </c>
      <c r="I257">
        <v>27</v>
      </c>
    </row>
    <row r="258" spans="1:9" x14ac:dyDescent="0.35">
      <c r="A258" s="461" t="s">
        <v>242</v>
      </c>
      <c r="B258" s="461" t="s">
        <v>236</v>
      </c>
      <c r="C258" s="461" t="s">
        <v>17412</v>
      </c>
      <c r="D258">
        <v>18</v>
      </c>
      <c r="E258">
        <v>0</v>
      </c>
      <c r="F258">
        <v>0</v>
      </c>
      <c r="G258">
        <v>0</v>
      </c>
      <c r="H258">
        <v>0</v>
      </c>
      <c r="I258">
        <v>18</v>
      </c>
    </row>
    <row r="259" spans="1:9" x14ac:dyDescent="0.35">
      <c r="A259" s="461" t="s">
        <v>242</v>
      </c>
      <c r="B259" s="461" t="s">
        <v>236</v>
      </c>
      <c r="C259" s="461" t="s">
        <v>65</v>
      </c>
      <c r="D259">
        <v>28</v>
      </c>
      <c r="E259">
        <v>0</v>
      </c>
      <c r="F259">
        <v>0</v>
      </c>
      <c r="G259">
        <v>0</v>
      </c>
      <c r="H259">
        <v>0</v>
      </c>
      <c r="I259">
        <v>28</v>
      </c>
    </row>
    <row r="260" spans="1:9" x14ac:dyDescent="0.35">
      <c r="A260" s="461" t="s">
        <v>242</v>
      </c>
      <c r="B260" s="461" t="s">
        <v>236</v>
      </c>
      <c r="C260" s="461" t="s">
        <v>167</v>
      </c>
      <c r="D260">
        <v>31</v>
      </c>
      <c r="E260">
        <v>0</v>
      </c>
      <c r="F260">
        <v>0</v>
      </c>
      <c r="G260">
        <v>0</v>
      </c>
      <c r="H260">
        <v>0</v>
      </c>
      <c r="I260">
        <v>31</v>
      </c>
    </row>
    <row r="261" spans="1:9" x14ac:dyDescent="0.35">
      <c r="A261" s="461" t="s">
        <v>242</v>
      </c>
      <c r="B261" s="461" t="s">
        <v>236</v>
      </c>
      <c r="C261" s="461" t="s">
        <v>36</v>
      </c>
      <c r="D261">
        <v>22</v>
      </c>
      <c r="E261">
        <v>0</v>
      </c>
      <c r="F261">
        <v>0</v>
      </c>
      <c r="G261">
        <v>0</v>
      </c>
      <c r="H261">
        <v>0</v>
      </c>
      <c r="I261">
        <v>22</v>
      </c>
    </row>
    <row r="262" spans="1:9" x14ac:dyDescent="0.35">
      <c r="A262" s="461" t="s">
        <v>242</v>
      </c>
      <c r="B262" s="461" t="s">
        <v>236</v>
      </c>
      <c r="C262" s="461" t="s">
        <v>68</v>
      </c>
      <c r="D262">
        <v>16</v>
      </c>
      <c r="E262">
        <v>0</v>
      </c>
      <c r="F262">
        <v>0</v>
      </c>
      <c r="G262">
        <v>0</v>
      </c>
      <c r="H262">
        <v>0</v>
      </c>
      <c r="I262">
        <v>16</v>
      </c>
    </row>
    <row r="263" spans="1:9" x14ac:dyDescent="0.35">
      <c r="A263" s="461" t="s">
        <v>242</v>
      </c>
      <c r="B263" s="461" t="s">
        <v>237</v>
      </c>
      <c r="C263" s="461" t="s">
        <v>166</v>
      </c>
      <c r="D263">
        <v>37</v>
      </c>
      <c r="E263">
        <v>0</v>
      </c>
      <c r="F263">
        <v>0</v>
      </c>
      <c r="G263">
        <v>128</v>
      </c>
      <c r="H263">
        <v>0</v>
      </c>
      <c r="I263">
        <v>165</v>
      </c>
    </row>
    <row r="264" spans="1:9" x14ac:dyDescent="0.35">
      <c r="A264" s="461" t="s">
        <v>242</v>
      </c>
      <c r="B264" s="461" t="s">
        <v>237</v>
      </c>
      <c r="C264" s="461" t="s">
        <v>165</v>
      </c>
      <c r="D264">
        <v>73</v>
      </c>
      <c r="E264">
        <v>0</v>
      </c>
      <c r="F264">
        <v>0</v>
      </c>
      <c r="G264">
        <v>300</v>
      </c>
      <c r="H264">
        <v>0</v>
      </c>
      <c r="I264">
        <v>373</v>
      </c>
    </row>
    <row r="265" spans="1:9" x14ac:dyDescent="0.35">
      <c r="A265" s="461" t="s">
        <v>242</v>
      </c>
      <c r="B265" s="461" t="s">
        <v>237</v>
      </c>
      <c r="C265" s="461" t="s">
        <v>164</v>
      </c>
      <c r="D265">
        <v>46</v>
      </c>
      <c r="E265">
        <v>0</v>
      </c>
      <c r="F265">
        <v>0</v>
      </c>
      <c r="G265">
        <v>141</v>
      </c>
      <c r="H265">
        <v>0</v>
      </c>
      <c r="I265">
        <v>187</v>
      </c>
    </row>
    <row r="266" spans="1:9" x14ac:dyDescent="0.35">
      <c r="A266" s="461" t="s">
        <v>242</v>
      </c>
      <c r="B266" s="461" t="s">
        <v>238</v>
      </c>
      <c r="C266" s="461" t="s">
        <v>246</v>
      </c>
      <c r="D266">
        <v>143</v>
      </c>
      <c r="E266">
        <v>0</v>
      </c>
      <c r="F266">
        <v>189</v>
      </c>
      <c r="G266">
        <v>277</v>
      </c>
      <c r="H266">
        <v>0</v>
      </c>
      <c r="I266">
        <v>609</v>
      </c>
    </row>
    <row r="267" spans="1:9" x14ac:dyDescent="0.35">
      <c r="A267" s="461" t="s">
        <v>241</v>
      </c>
      <c r="B267" s="461" t="s">
        <v>17418</v>
      </c>
      <c r="C267" s="461" t="s">
        <v>31</v>
      </c>
      <c r="D267">
        <v>0</v>
      </c>
      <c r="E267">
        <v>0</v>
      </c>
      <c r="F267">
        <v>0</v>
      </c>
      <c r="G267">
        <v>7</v>
      </c>
      <c r="H267">
        <v>0</v>
      </c>
      <c r="I267">
        <v>7</v>
      </c>
    </row>
    <row r="268" spans="1:9" x14ac:dyDescent="0.35">
      <c r="A268" s="461" t="s">
        <v>241</v>
      </c>
      <c r="B268" s="461" t="s">
        <v>17418</v>
      </c>
      <c r="C268" s="461" t="s">
        <v>34</v>
      </c>
      <c r="D268">
        <v>0</v>
      </c>
      <c r="E268">
        <v>0</v>
      </c>
      <c r="F268">
        <v>0</v>
      </c>
      <c r="G268">
        <v>2</v>
      </c>
      <c r="H268">
        <v>0</v>
      </c>
      <c r="I268">
        <v>2</v>
      </c>
    </row>
    <row r="269" spans="1:9" x14ac:dyDescent="0.35">
      <c r="A269" s="461" t="s">
        <v>241</v>
      </c>
      <c r="B269" s="461" t="s">
        <v>17418</v>
      </c>
      <c r="C269" s="461" t="s">
        <v>17411</v>
      </c>
      <c r="D269">
        <v>0</v>
      </c>
      <c r="E269">
        <v>0</v>
      </c>
      <c r="F269">
        <v>0</v>
      </c>
      <c r="G269">
        <v>1</v>
      </c>
      <c r="H269">
        <v>0</v>
      </c>
      <c r="I269">
        <v>1</v>
      </c>
    </row>
    <row r="270" spans="1:9" x14ac:dyDescent="0.35">
      <c r="A270" s="461" t="s">
        <v>241</v>
      </c>
      <c r="B270" s="461" t="s">
        <v>17418</v>
      </c>
      <c r="C270" s="461" t="s">
        <v>114</v>
      </c>
      <c r="D270">
        <v>0</v>
      </c>
      <c r="E270">
        <v>0</v>
      </c>
      <c r="F270">
        <v>0</v>
      </c>
      <c r="G270">
        <v>6</v>
      </c>
      <c r="H270">
        <v>0</v>
      </c>
      <c r="I270">
        <v>6</v>
      </c>
    </row>
    <row r="271" spans="1:9" x14ac:dyDescent="0.35">
      <c r="A271" s="461" t="s">
        <v>241</v>
      </c>
      <c r="B271" s="461" t="s">
        <v>17418</v>
      </c>
      <c r="C271" s="461" t="s">
        <v>49</v>
      </c>
      <c r="D271">
        <v>0</v>
      </c>
      <c r="E271">
        <v>0</v>
      </c>
      <c r="F271">
        <v>0</v>
      </c>
      <c r="G271">
        <v>1</v>
      </c>
      <c r="H271">
        <v>0</v>
      </c>
      <c r="I271">
        <v>1</v>
      </c>
    </row>
    <row r="272" spans="1:9" x14ac:dyDescent="0.35">
      <c r="A272" s="461" t="s">
        <v>241</v>
      </c>
      <c r="B272" s="461" t="s">
        <v>17418</v>
      </c>
      <c r="C272" s="461" t="s">
        <v>56</v>
      </c>
      <c r="D272">
        <v>0</v>
      </c>
      <c r="E272">
        <v>0</v>
      </c>
      <c r="F272">
        <v>0</v>
      </c>
      <c r="G272">
        <v>6</v>
      </c>
      <c r="H272">
        <v>0</v>
      </c>
      <c r="I272">
        <v>6</v>
      </c>
    </row>
    <row r="273" spans="1:9" x14ac:dyDescent="0.35">
      <c r="A273" s="461" t="s">
        <v>241</v>
      </c>
      <c r="B273" s="461" t="s">
        <v>17418</v>
      </c>
      <c r="C273" s="461" t="s">
        <v>58</v>
      </c>
      <c r="D273">
        <v>0</v>
      </c>
      <c r="E273">
        <v>0</v>
      </c>
      <c r="F273">
        <v>0</v>
      </c>
      <c r="G273">
        <v>1</v>
      </c>
      <c r="H273">
        <v>0</v>
      </c>
      <c r="I273">
        <v>1</v>
      </c>
    </row>
    <row r="274" spans="1:9" x14ac:dyDescent="0.35">
      <c r="A274" s="461" t="s">
        <v>241</v>
      </c>
      <c r="B274" s="461" t="s">
        <v>17418</v>
      </c>
      <c r="C274" s="461"/>
      <c r="D274">
        <v>0</v>
      </c>
      <c r="E274">
        <v>0</v>
      </c>
      <c r="F274">
        <v>0</v>
      </c>
      <c r="G274">
        <v>725</v>
      </c>
      <c r="H274">
        <v>0</v>
      </c>
      <c r="I274">
        <v>725</v>
      </c>
    </row>
    <row r="275" spans="1:9" x14ac:dyDescent="0.35">
      <c r="A275" s="461" t="s">
        <v>241</v>
      </c>
      <c r="B275" s="461" t="s">
        <v>17418</v>
      </c>
      <c r="C275" s="461" t="s">
        <v>31</v>
      </c>
      <c r="D275">
        <v>0</v>
      </c>
      <c r="E275">
        <v>0</v>
      </c>
      <c r="F275">
        <v>0</v>
      </c>
      <c r="G275">
        <v>1</v>
      </c>
      <c r="H275">
        <v>0</v>
      </c>
      <c r="I275">
        <v>1</v>
      </c>
    </row>
    <row r="276" spans="1:9" x14ac:dyDescent="0.35">
      <c r="A276" s="461" t="s">
        <v>241</v>
      </c>
      <c r="B276" s="461" t="s">
        <v>17418</v>
      </c>
      <c r="C276" s="461" t="s">
        <v>42</v>
      </c>
      <c r="D276">
        <v>0</v>
      </c>
      <c r="E276">
        <v>0</v>
      </c>
      <c r="F276">
        <v>0</v>
      </c>
      <c r="G276">
        <v>3</v>
      </c>
      <c r="H276">
        <v>0</v>
      </c>
      <c r="I276">
        <v>3</v>
      </c>
    </row>
    <row r="277" spans="1:9" x14ac:dyDescent="0.35">
      <c r="A277" s="461" t="s">
        <v>241</v>
      </c>
      <c r="B277" s="461" t="s">
        <v>17418</v>
      </c>
      <c r="C277" s="461" t="s">
        <v>45</v>
      </c>
      <c r="D277">
        <v>0</v>
      </c>
      <c r="E277">
        <v>0</v>
      </c>
      <c r="F277">
        <v>0</v>
      </c>
      <c r="G277">
        <v>1</v>
      </c>
      <c r="H277">
        <v>0</v>
      </c>
      <c r="I277">
        <v>1</v>
      </c>
    </row>
    <row r="278" spans="1:9" x14ac:dyDescent="0.35">
      <c r="A278" s="461" t="s">
        <v>241</v>
      </c>
      <c r="B278" s="461" t="s">
        <v>17418</v>
      </c>
      <c r="C278" s="461" t="s">
        <v>53</v>
      </c>
      <c r="D278">
        <v>0</v>
      </c>
      <c r="E278">
        <v>0</v>
      </c>
      <c r="F278">
        <v>0</v>
      </c>
      <c r="G278">
        <v>2</v>
      </c>
      <c r="H278">
        <v>0</v>
      </c>
      <c r="I278">
        <v>2</v>
      </c>
    </row>
    <row r="279" spans="1:9" x14ac:dyDescent="0.35">
      <c r="A279" s="461" t="s">
        <v>241</v>
      </c>
      <c r="B279" s="461" t="s">
        <v>17418</v>
      </c>
      <c r="C279" s="461" t="s">
        <v>32</v>
      </c>
      <c r="D279">
        <v>0</v>
      </c>
      <c r="E279">
        <v>0</v>
      </c>
      <c r="F279">
        <v>0</v>
      </c>
      <c r="G279">
        <v>1</v>
      </c>
      <c r="H279">
        <v>0</v>
      </c>
      <c r="I279">
        <v>1</v>
      </c>
    </row>
    <row r="280" spans="1:9" x14ac:dyDescent="0.35">
      <c r="A280" s="461" t="s">
        <v>241</v>
      </c>
      <c r="B280" s="461" t="s">
        <v>17418</v>
      </c>
      <c r="C280" s="461" t="s">
        <v>45</v>
      </c>
      <c r="D280">
        <v>0</v>
      </c>
      <c r="E280">
        <v>0</v>
      </c>
      <c r="F280">
        <v>0</v>
      </c>
      <c r="G280">
        <v>1</v>
      </c>
      <c r="H280">
        <v>0</v>
      </c>
      <c r="I280">
        <v>1</v>
      </c>
    </row>
    <row r="281" spans="1:9" x14ac:dyDescent="0.35">
      <c r="A281" s="461" t="s">
        <v>241</v>
      </c>
      <c r="B281" s="461" t="s">
        <v>17418</v>
      </c>
      <c r="C281" s="461" t="s">
        <v>48</v>
      </c>
      <c r="D281">
        <v>0</v>
      </c>
      <c r="E281">
        <v>0</v>
      </c>
      <c r="F281">
        <v>0</v>
      </c>
      <c r="G281">
        <v>2</v>
      </c>
      <c r="H281">
        <v>0</v>
      </c>
      <c r="I281">
        <v>2</v>
      </c>
    </row>
    <row r="282" spans="1:9" x14ac:dyDescent="0.35">
      <c r="A282" s="461" t="s">
        <v>241</v>
      </c>
      <c r="B282" s="461" t="s">
        <v>17418</v>
      </c>
      <c r="C282" s="461" t="s">
        <v>57</v>
      </c>
      <c r="D282">
        <v>0</v>
      </c>
      <c r="E282">
        <v>0</v>
      </c>
      <c r="F282">
        <v>0</v>
      </c>
      <c r="G282">
        <v>1</v>
      </c>
      <c r="H282">
        <v>0</v>
      </c>
      <c r="I282">
        <v>1</v>
      </c>
    </row>
    <row r="283" spans="1:9" x14ac:dyDescent="0.35">
      <c r="A283" s="461" t="s">
        <v>241</v>
      </c>
      <c r="B283" s="461" t="s">
        <v>17418</v>
      </c>
      <c r="C283" s="461" t="s">
        <v>59</v>
      </c>
      <c r="D283">
        <v>0</v>
      </c>
      <c r="E283">
        <v>0</v>
      </c>
      <c r="F283">
        <v>0</v>
      </c>
      <c r="G283">
        <v>2</v>
      </c>
      <c r="H283">
        <v>0</v>
      </c>
      <c r="I283">
        <v>2</v>
      </c>
    </row>
    <row r="284" spans="1:9" x14ac:dyDescent="0.35">
      <c r="A284" s="461" t="s">
        <v>241</v>
      </c>
      <c r="B284" s="461" t="s">
        <v>17418</v>
      </c>
      <c r="C284" s="461" t="s">
        <v>245</v>
      </c>
      <c r="D284">
        <v>0</v>
      </c>
      <c r="E284">
        <v>0</v>
      </c>
      <c r="F284">
        <v>0</v>
      </c>
      <c r="G284">
        <v>1</v>
      </c>
      <c r="H284">
        <v>0</v>
      </c>
      <c r="I284">
        <v>1</v>
      </c>
    </row>
    <row r="285" spans="1:9" x14ac:dyDescent="0.35">
      <c r="A285" s="461" t="s">
        <v>241</v>
      </c>
      <c r="B285" s="461" t="s">
        <v>17418</v>
      </c>
      <c r="C285" s="461" t="s">
        <v>167</v>
      </c>
      <c r="D285">
        <v>0</v>
      </c>
      <c r="E285">
        <v>0</v>
      </c>
      <c r="F285">
        <v>0</v>
      </c>
      <c r="G285">
        <v>2</v>
      </c>
      <c r="H285">
        <v>0</v>
      </c>
      <c r="I285">
        <v>2</v>
      </c>
    </row>
    <row r="286" spans="1:9" x14ac:dyDescent="0.35">
      <c r="A286" s="461" t="s">
        <v>241</v>
      </c>
      <c r="B286" s="461" t="s">
        <v>17418</v>
      </c>
      <c r="C286" s="461" t="s">
        <v>114</v>
      </c>
      <c r="D286">
        <v>0</v>
      </c>
      <c r="E286">
        <v>0</v>
      </c>
      <c r="F286">
        <v>0</v>
      </c>
      <c r="G286">
        <v>3</v>
      </c>
      <c r="H286">
        <v>0</v>
      </c>
      <c r="I286">
        <v>3</v>
      </c>
    </row>
    <row r="287" spans="1:9" x14ac:dyDescent="0.35">
      <c r="A287" s="461" t="s">
        <v>241</v>
      </c>
      <c r="B287" s="461" t="s">
        <v>17418</v>
      </c>
      <c r="C287" s="461" t="s">
        <v>44</v>
      </c>
      <c r="D287">
        <v>0</v>
      </c>
      <c r="E287">
        <v>0</v>
      </c>
      <c r="F287">
        <v>0</v>
      </c>
      <c r="G287">
        <v>1</v>
      </c>
      <c r="H287">
        <v>0</v>
      </c>
      <c r="I287">
        <v>1</v>
      </c>
    </row>
    <row r="288" spans="1:9" x14ac:dyDescent="0.35">
      <c r="A288" s="461" t="s">
        <v>241</v>
      </c>
      <c r="B288" s="461" t="s">
        <v>17418</v>
      </c>
      <c r="C288" s="461" t="s">
        <v>50</v>
      </c>
      <c r="D288">
        <v>0</v>
      </c>
      <c r="E288">
        <v>0</v>
      </c>
      <c r="F288">
        <v>0</v>
      </c>
      <c r="G288">
        <v>2</v>
      </c>
      <c r="H288">
        <v>0</v>
      </c>
      <c r="I288">
        <v>2</v>
      </c>
    </row>
    <row r="289" spans="1:9" x14ac:dyDescent="0.35">
      <c r="A289" s="461" t="s">
        <v>241</v>
      </c>
      <c r="B289" s="461" t="s">
        <v>17418</v>
      </c>
      <c r="C289" s="461" t="s">
        <v>51</v>
      </c>
      <c r="D289">
        <v>0</v>
      </c>
      <c r="E289">
        <v>0</v>
      </c>
      <c r="F289">
        <v>0</v>
      </c>
      <c r="G289">
        <v>1</v>
      </c>
      <c r="H289">
        <v>0</v>
      </c>
      <c r="I289">
        <v>1</v>
      </c>
    </row>
    <row r="290" spans="1:9" x14ac:dyDescent="0.35">
      <c r="A290" s="461" t="s">
        <v>241</v>
      </c>
      <c r="B290" s="461" t="s">
        <v>17418</v>
      </c>
      <c r="C290" s="461" t="s">
        <v>53</v>
      </c>
      <c r="D290">
        <v>0</v>
      </c>
      <c r="E290">
        <v>0</v>
      </c>
      <c r="F290">
        <v>0</v>
      </c>
      <c r="G290">
        <v>2</v>
      </c>
      <c r="H290">
        <v>0</v>
      </c>
      <c r="I290">
        <v>2</v>
      </c>
    </row>
    <row r="291" spans="1:9" x14ac:dyDescent="0.35">
      <c r="A291" s="461" t="s">
        <v>241</v>
      </c>
      <c r="B291" s="461" t="s">
        <v>17418</v>
      </c>
      <c r="C291" s="461" t="s">
        <v>60</v>
      </c>
      <c r="D291">
        <v>0</v>
      </c>
      <c r="E291">
        <v>0</v>
      </c>
      <c r="F291">
        <v>0</v>
      </c>
      <c r="G291">
        <v>2</v>
      </c>
      <c r="H291">
        <v>0</v>
      </c>
      <c r="I291">
        <v>2</v>
      </c>
    </row>
    <row r="292" spans="1:9" x14ac:dyDescent="0.35">
      <c r="A292" s="461" t="s">
        <v>241</v>
      </c>
      <c r="B292" s="461" t="s">
        <v>17418</v>
      </c>
      <c r="C292" s="461" t="s">
        <v>39</v>
      </c>
      <c r="D292">
        <v>0</v>
      </c>
      <c r="E292">
        <v>0</v>
      </c>
      <c r="F292">
        <v>0</v>
      </c>
      <c r="G292">
        <v>1</v>
      </c>
      <c r="H292">
        <v>0</v>
      </c>
      <c r="I292">
        <v>1</v>
      </c>
    </row>
    <row r="293" spans="1:9" x14ac:dyDescent="0.35">
      <c r="A293" s="461" t="s">
        <v>241</v>
      </c>
      <c r="B293" s="461" t="s">
        <v>17418</v>
      </c>
      <c r="C293" s="461" t="s">
        <v>41</v>
      </c>
      <c r="D293">
        <v>0</v>
      </c>
      <c r="E293">
        <v>0</v>
      </c>
      <c r="F293">
        <v>0</v>
      </c>
      <c r="G293">
        <v>1</v>
      </c>
      <c r="H293">
        <v>0</v>
      </c>
      <c r="I293">
        <v>1</v>
      </c>
    </row>
    <row r="294" spans="1:9" x14ac:dyDescent="0.35">
      <c r="A294" s="461" t="s">
        <v>241</v>
      </c>
      <c r="B294" s="461" t="s">
        <v>17418</v>
      </c>
      <c r="C294" s="461" t="s">
        <v>43</v>
      </c>
      <c r="D294">
        <v>0</v>
      </c>
      <c r="E294">
        <v>0</v>
      </c>
      <c r="F294">
        <v>0</v>
      </c>
      <c r="G294">
        <v>1</v>
      </c>
      <c r="H294">
        <v>0</v>
      </c>
      <c r="I294">
        <v>1</v>
      </c>
    </row>
    <row r="295" spans="1:9" x14ac:dyDescent="0.35">
      <c r="A295" s="461" t="s">
        <v>241</v>
      </c>
      <c r="B295" s="461" t="s">
        <v>17418</v>
      </c>
      <c r="C295" s="461" t="s">
        <v>44</v>
      </c>
      <c r="D295">
        <v>0</v>
      </c>
      <c r="E295">
        <v>0</v>
      </c>
      <c r="F295">
        <v>0</v>
      </c>
      <c r="G295">
        <v>3</v>
      </c>
      <c r="H295">
        <v>0</v>
      </c>
      <c r="I295">
        <v>3</v>
      </c>
    </row>
    <row r="296" spans="1:9" x14ac:dyDescent="0.35">
      <c r="A296" s="461" t="s">
        <v>241</v>
      </c>
      <c r="B296" s="461" t="s">
        <v>17418</v>
      </c>
      <c r="C296" s="461" t="s">
        <v>55</v>
      </c>
      <c r="D296">
        <v>0</v>
      </c>
      <c r="E296">
        <v>0</v>
      </c>
      <c r="F296">
        <v>0</v>
      </c>
      <c r="G296">
        <v>1</v>
      </c>
      <c r="H296">
        <v>0</v>
      </c>
      <c r="I296">
        <v>1</v>
      </c>
    </row>
    <row r="297" spans="1:9" x14ac:dyDescent="0.35">
      <c r="A297" s="461" t="s">
        <v>241</v>
      </c>
      <c r="B297" s="461" t="s">
        <v>17418</v>
      </c>
      <c r="C297" s="461" t="s">
        <v>38</v>
      </c>
      <c r="D297">
        <v>0</v>
      </c>
      <c r="E297">
        <v>0</v>
      </c>
      <c r="F297">
        <v>0</v>
      </c>
      <c r="G297">
        <v>2</v>
      </c>
      <c r="H297">
        <v>0</v>
      </c>
      <c r="I297">
        <v>2</v>
      </c>
    </row>
    <row r="298" spans="1:9" x14ac:dyDescent="0.35">
      <c r="A298" s="461" t="s">
        <v>241</v>
      </c>
      <c r="B298" s="461" t="s">
        <v>17418</v>
      </c>
      <c r="C298" s="461" t="s">
        <v>49</v>
      </c>
      <c r="D298">
        <v>0</v>
      </c>
      <c r="E298">
        <v>0</v>
      </c>
      <c r="F298">
        <v>0</v>
      </c>
      <c r="G298">
        <v>6</v>
      </c>
      <c r="H298">
        <v>0</v>
      </c>
      <c r="I298">
        <v>6</v>
      </c>
    </row>
    <row r="299" spans="1:9" x14ac:dyDescent="0.35">
      <c r="A299" s="461" t="s">
        <v>241</v>
      </c>
      <c r="B299" s="461" t="s">
        <v>235</v>
      </c>
      <c r="C299" s="461" t="s">
        <v>17411</v>
      </c>
      <c r="D299">
        <v>53</v>
      </c>
      <c r="E299">
        <v>198</v>
      </c>
      <c r="F299">
        <v>0</v>
      </c>
      <c r="G299">
        <v>0</v>
      </c>
      <c r="H299">
        <v>6</v>
      </c>
      <c r="I299">
        <v>257</v>
      </c>
    </row>
    <row r="300" spans="1:9" x14ac:dyDescent="0.35">
      <c r="A300" s="461" t="s">
        <v>241</v>
      </c>
      <c r="B300" s="461" t="s">
        <v>235</v>
      </c>
      <c r="C300" s="461" t="s">
        <v>45</v>
      </c>
      <c r="D300">
        <v>72</v>
      </c>
      <c r="E300">
        <v>44</v>
      </c>
      <c r="F300">
        <v>0</v>
      </c>
      <c r="G300">
        <v>0</v>
      </c>
      <c r="H300">
        <v>0</v>
      </c>
      <c r="I300">
        <v>116</v>
      </c>
    </row>
    <row r="301" spans="1:9" x14ac:dyDescent="0.35">
      <c r="A301" s="461" t="s">
        <v>241</v>
      </c>
      <c r="B301" s="461" t="s">
        <v>235</v>
      </c>
      <c r="C301" s="461" t="s">
        <v>47</v>
      </c>
      <c r="D301">
        <v>30</v>
      </c>
      <c r="E301">
        <v>120</v>
      </c>
      <c r="F301">
        <v>0</v>
      </c>
      <c r="G301">
        <v>0</v>
      </c>
      <c r="H301">
        <v>4</v>
      </c>
      <c r="I301">
        <v>154</v>
      </c>
    </row>
    <row r="302" spans="1:9" x14ac:dyDescent="0.35">
      <c r="A302" s="461" t="s">
        <v>241</v>
      </c>
      <c r="B302" s="461" t="s">
        <v>235</v>
      </c>
      <c r="C302" s="461" t="s">
        <v>49</v>
      </c>
      <c r="D302">
        <v>76</v>
      </c>
      <c r="E302">
        <v>107</v>
      </c>
      <c r="F302">
        <v>0</v>
      </c>
      <c r="G302">
        <v>0</v>
      </c>
      <c r="H302">
        <v>22</v>
      </c>
      <c r="I302">
        <v>205</v>
      </c>
    </row>
    <row r="303" spans="1:9" x14ac:dyDescent="0.35">
      <c r="A303" s="461" t="s">
        <v>241</v>
      </c>
      <c r="B303" s="461" t="s">
        <v>235</v>
      </c>
      <c r="C303" s="461" t="s">
        <v>53</v>
      </c>
      <c r="D303">
        <v>99</v>
      </c>
      <c r="E303">
        <v>17</v>
      </c>
      <c r="F303">
        <v>0</v>
      </c>
      <c r="G303">
        <v>0</v>
      </c>
      <c r="H303">
        <v>0</v>
      </c>
      <c r="I303">
        <v>116</v>
      </c>
    </row>
    <row r="304" spans="1:9" x14ac:dyDescent="0.35">
      <c r="A304" s="461" t="s">
        <v>241</v>
      </c>
      <c r="B304" s="461" t="s">
        <v>235</v>
      </c>
      <c r="C304" s="461" t="s">
        <v>54</v>
      </c>
      <c r="D304">
        <v>56</v>
      </c>
      <c r="E304">
        <v>143</v>
      </c>
      <c r="F304">
        <v>0</v>
      </c>
      <c r="G304">
        <v>0</v>
      </c>
      <c r="H304">
        <v>0</v>
      </c>
      <c r="I304">
        <v>199</v>
      </c>
    </row>
    <row r="305" spans="1:9" x14ac:dyDescent="0.35">
      <c r="A305" s="461" t="s">
        <v>241</v>
      </c>
      <c r="B305" s="461" t="s">
        <v>235</v>
      </c>
      <c r="C305" s="461" t="s">
        <v>41</v>
      </c>
      <c r="D305">
        <v>52</v>
      </c>
      <c r="E305">
        <v>0</v>
      </c>
      <c r="F305">
        <v>0</v>
      </c>
      <c r="G305">
        <v>0</v>
      </c>
      <c r="H305">
        <v>0</v>
      </c>
      <c r="I305">
        <v>52</v>
      </c>
    </row>
    <row r="306" spans="1:9" x14ac:dyDescent="0.35">
      <c r="A306" s="461" t="s">
        <v>241</v>
      </c>
      <c r="B306" s="461" t="s">
        <v>235</v>
      </c>
      <c r="C306" s="461" t="s">
        <v>58</v>
      </c>
      <c r="D306">
        <v>49</v>
      </c>
      <c r="E306">
        <v>75</v>
      </c>
      <c r="F306">
        <v>0</v>
      </c>
      <c r="G306">
        <v>0</v>
      </c>
      <c r="H306">
        <v>0</v>
      </c>
      <c r="I306">
        <v>124</v>
      </c>
    </row>
    <row r="307" spans="1:9" x14ac:dyDescent="0.35">
      <c r="A307" s="461" t="s">
        <v>241</v>
      </c>
      <c r="B307" s="461" t="s">
        <v>235</v>
      </c>
      <c r="C307" s="461" t="s">
        <v>60</v>
      </c>
      <c r="D307">
        <v>56</v>
      </c>
      <c r="E307">
        <v>59</v>
      </c>
      <c r="F307">
        <v>0</v>
      </c>
      <c r="G307">
        <v>0</v>
      </c>
      <c r="H307">
        <v>0</v>
      </c>
      <c r="I307">
        <v>115</v>
      </c>
    </row>
    <row r="308" spans="1:9" x14ac:dyDescent="0.35">
      <c r="A308" s="461" t="s">
        <v>241</v>
      </c>
      <c r="B308" s="461" t="s">
        <v>235</v>
      </c>
      <c r="C308" s="461" t="s">
        <v>31</v>
      </c>
      <c r="D308">
        <v>154</v>
      </c>
      <c r="E308">
        <v>9</v>
      </c>
      <c r="F308">
        <v>0</v>
      </c>
      <c r="G308">
        <v>0</v>
      </c>
      <c r="H308">
        <v>0</v>
      </c>
      <c r="I308">
        <v>163</v>
      </c>
    </row>
    <row r="309" spans="1:9" x14ac:dyDescent="0.35">
      <c r="A309" s="461" t="s">
        <v>241</v>
      </c>
      <c r="B309" s="461" t="s">
        <v>235</v>
      </c>
      <c r="C309" s="461" t="s">
        <v>50</v>
      </c>
      <c r="D309">
        <v>166</v>
      </c>
      <c r="E309">
        <v>35</v>
      </c>
      <c r="F309">
        <v>0</v>
      </c>
      <c r="G309">
        <v>0</v>
      </c>
      <c r="H309">
        <v>0</v>
      </c>
      <c r="I309">
        <v>201</v>
      </c>
    </row>
    <row r="310" spans="1:9" x14ac:dyDescent="0.35">
      <c r="A310" s="461" t="s">
        <v>241</v>
      </c>
      <c r="B310" s="461" t="s">
        <v>235</v>
      </c>
      <c r="C310" s="461" t="s">
        <v>33</v>
      </c>
      <c r="D310">
        <v>28</v>
      </c>
      <c r="E310">
        <v>98</v>
      </c>
      <c r="F310">
        <v>0</v>
      </c>
      <c r="G310">
        <v>0</v>
      </c>
      <c r="H310">
        <v>0</v>
      </c>
      <c r="I310">
        <v>126</v>
      </c>
    </row>
    <row r="311" spans="1:9" x14ac:dyDescent="0.35">
      <c r="A311" s="461" t="s">
        <v>241</v>
      </c>
      <c r="B311" s="461" t="s">
        <v>235</v>
      </c>
      <c r="C311" s="461" t="s">
        <v>245</v>
      </c>
      <c r="D311">
        <v>297</v>
      </c>
      <c r="E311">
        <v>9</v>
      </c>
      <c r="F311">
        <v>0</v>
      </c>
      <c r="G311">
        <v>0</v>
      </c>
      <c r="H311">
        <v>0</v>
      </c>
      <c r="I311">
        <v>306</v>
      </c>
    </row>
    <row r="312" spans="1:9" x14ac:dyDescent="0.35">
      <c r="A312" s="461" t="s">
        <v>241</v>
      </c>
      <c r="B312" s="461" t="s">
        <v>235</v>
      </c>
      <c r="C312" s="461" t="s">
        <v>38</v>
      </c>
      <c r="D312">
        <v>47</v>
      </c>
      <c r="E312">
        <v>77</v>
      </c>
      <c r="F312">
        <v>0</v>
      </c>
      <c r="G312">
        <v>0</v>
      </c>
      <c r="H312">
        <v>0</v>
      </c>
      <c r="I312">
        <v>124</v>
      </c>
    </row>
    <row r="313" spans="1:9" x14ac:dyDescent="0.35">
      <c r="A313" s="461" t="s">
        <v>241</v>
      </c>
      <c r="B313" s="461" t="s">
        <v>235</v>
      </c>
      <c r="C313" s="461" t="s">
        <v>114</v>
      </c>
      <c r="D313">
        <v>515</v>
      </c>
      <c r="E313">
        <v>0</v>
      </c>
      <c r="F313">
        <v>0</v>
      </c>
      <c r="G313">
        <v>0</v>
      </c>
      <c r="H313">
        <v>0</v>
      </c>
      <c r="I313">
        <v>515</v>
      </c>
    </row>
    <row r="314" spans="1:9" x14ac:dyDescent="0.35">
      <c r="A314" s="461" t="s">
        <v>241</v>
      </c>
      <c r="B314" s="461" t="s">
        <v>235</v>
      </c>
      <c r="C314" s="461" t="s">
        <v>52</v>
      </c>
      <c r="D314">
        <v>69</v>
      </c>
      <c r="E314">
        <v>131</v>
      </c>
      <c r="F314">
        <v>0</v>
      </c>
      <c r="G314">
        <v>0</v>
      </c>
      <c r="H314">
        <v>22</v>
      </c>
      <c r="I314">
        <v>222</v>
      </c>
    </row>
    <row r="315" spans="1:9" x14ac:dyDescent="0.35">
      <c r="A315" s="461" t="s">
        <v>241</v>
      </c>
      <c r="B315" s="461" t="s">
        <v>235</v>
      </c>
      <c r="C315" s="461" t="s">
        <v>56</v>
      </c>
      <c r="D315">
        <v>50</v>
      </c>
      <c r="E315">
        <v>58</v>
      </c>
      <c r="F315">
        <v>0</v>
      </c>
      <c r="G315">
        <v>0</v>
      </c>
      <c r="H315">
        <v>0</v>
      </c>
      <c r="I315">
        <v>108</v>
      </c>
    </row>
    <row r="316" spans="1:9" x14ac:dyDescent="0.35">
      <c r="A316" s="461" t="s">
        <v>241</v>
      </c>
      <c r="B316" s="461" t="s">
        <v>235</v>
      </c>
      <c r="C316" s="461" t="s">
        <v>59</v>
      </c>
      <c r="D316">
        <v>73</v>
      </c>
      <c r="E316">
        <v>20</v>
      </c>
      <c r="F316">
        <v>0</v>
      </c>
      <c r="G316">
        <v>0</v>
      </c>
      <c r="H316">
        <v>0</v>
      </c>
      <c r="I316">
        <v>93</v>
      </c>
    </row>
    <row r="317" spans="1:9" x14ac:dyDescent="0.35">
      <c r="A317" s="461" t="s">
        <v>241</v>
      </c>
      <c r="B317" s="461" t="s">
        <v>235</v>
      </c>
      <c r="C317" s="461" t="s">
        <v>34</v>
      </c>
      <c r="D317">
        <v>54</v>
      </c>
      <c r="E317">
        <v>176</v>
      </c>
      <c r="F317">
        <v>0</v>
      </c>
      <c r="G317">
        <v>0</v>
      </c>
      <c r="H317">
        <v>203</v>
      </c>
      <c r="I317">
        <v>433</v>
      </c>
    </row>
    <row r="318" spans="1:9" x14ac:dyDescent="0.35">
      <c r="A318" s="461" t="s">
        <v>241</v>
      </c>
      <c r="B318" s="461" t="s">
        <v>235</v>
      </c>
      <c r="C318" s="461" t="s">
        <v>35</v>
      </c>
      <c r="D318">
        <v>25</v>
      </c>
      <c r="E318">
        <v>20</v>
      </c>
      <c r="F318">
        <v>0</v>
      </c>
      <c r="G318">
        <v>0</v>
      </c>
      <c r="H318">
        <v>0</v>
      </c>
      <c r="I318">
        <v>45</v>
      </c>
    </row>
    <row r="319" spans="1:9" x14ac:dyDescent="0.35">
      <c r="A319" s="461" t="s">
        <v>241</v>
      </c>
      <c r="B319" s="461" t="s">
        <v>235</v>
      </c>
      <c r="C319" s="461" t="s">
        <v>37</v>
      </c>
      <c r="D319">
        <v>177</v>
      </c>
      <c r="E319">
        <v>12</v>
      </c>
      <c r="F319">
        <v>0</v>
      </c>
      <c r="G319">
        <v>0</v>
      </c>
      <c r="H319">
        <v>0</v>
      </c>
      <c r="I319">
        <v>189</v>
      </c>
    </row>
    <row r="320" spans="1:9" x14ac:dyDescent="0.35">
      <c r="A320" s="461" t="s">
        <v>241</v>
      </c>
      <c r="B320" s="461" t="s">
        <v>235</v>
      </c>
      <c r="C320" s="461" t="s">
        <v>43</v>
      </c>
      <c r="D320">
        <v>274</v>
      </c>
      <c r="E320">
        <v>116</v>
      </c>
      <c r="F320">
        <v>0</v>
      </c>
      <c r="G320">
        <v>0</v>
      </c>
      <c r="H320">
        <v>0</v>
      </c>
      <c r="I320">
        <v>390</v>
      </c>
    </row>
    <row r="321" spans="1:9" x14ac:dyDescent="0.35">
      <c r="A321" s="461" t="s">
        <v>241</v>
      </c>
      <c r="B321" s="461" t="s">
        <v>235</v>
      </c>
      <c r="C321" s="461" t="s">
        <v>46</v>
      </c>
      <c r="D321">
        <v>26</v>
      </c>
      <c r="E321">
        <v>13</v>
      </c>
      <c r="F321">
        <v>0</v>
      </c>
      <c r="G321">
        <v>0</v>
      </c>
      <c r="H321">
        <v>0</v>
      </c>
      <c r="I321">
        <v>39</v>
      </c>
    </row>
    <row r="322" spans="1:9" x14ac:dyDescent="0.35">
      <c r="A322" s="461" t="s">
        <v>241</v>
      </c>
      <c r="B322" s="461" t="s">
        <v>235</v>
      </c>
      <c r="C322" s="461" t="s">
        <v>42</v>
      </c>
      <c r="D322">
        <v>88</v>
      </c>
      <c r="E322">
        <v>55</v>
      </c>
      <c r="F322">
        <v>0</v>
      </c>
      <c r="G322">
        <v>0</v>
      </c>
      <c r="H322">
        <v>0</v>
      </c>
      <c r="I322">
        <v>143</v>
      </c>
    </row>
    <row r="323" spans="1:9" x14ac:dyDescent="0.35">
      <c r="A323" s="461" t="s">
        <v>241</v>
      </c>
      <c r="B323" s="461" t="s">
        <v>235</v>
      </c>
      <c r="C323" s="461" t="s">
        <v>44</v>
      </c>
      <c r="D323">
        <v>70</v>
      </c>
      <c r="E323">
        <v>552</v>
      </c>
      <c r="F323">
        <v>0</v>
      </c>
      <c r="G323">
        <v>0</v>
      </c>
      <c r="H323">
        <v>62</v>
      </c>
      <c r="I323">
        <v>684</v>
      </c>
    </row>
    <row r="324" spans="1:9" x14ac:dyDescent="0.35">
      <c r="A324" s="461" t="s">
        <v>241</v>
      </c>
      <c r="B324" s="461" t="s">
        <v>235</v>
      </c>
      <c r="C324" s="461" t="s">
        <v>48</v>
      </c>
      <c r="D324">
        <v>0</v>
      </c>
      <c r="E324">
        <v>132</v>
      </c>
      <c r="F324">
        <v>0</v>
      </c>
      <c r="G324">
        <v>0</v>
      </c>
      <c r="H324">
        <v>0</v>
      </c>
      <c r="I324">
        <v>132</v>
      </c>
    </row>
    <row r="325" spans="1:9" x14ac:dyDescent="0.35">
      <c r="A325" s="461" t="s">
        <v>241</v>
      </c>
      <c r="B325" s="461" t="s">
        <v>235</v>
      </c>
      <c r="C325" s="461" t="s">
        <v>57</v>
      </c>
      <c r="D325">
        <v>167</v>
      </c>
      <c r="E325">
        <v>77</v>
      </c>
      <c r="F325">
        <v>0</v>
      </c>
      <c r="G325">
        <v>0</v>
      </c>
      <c r="H325">
        <v>2</v>
      </c>
      <c r="I325">
        <v>246</v>
      </c>
    </row>
    <row r="326" spans="1:9" x14ac:dyDescent="0.35">
      <c r="A326" s="461" t="s">
        <v>241</v>
      </c>
      <c r="B326" s="461" t="s">
        <v>235</v>
      </c>
      <c r="C326" s="461" t="s">
        <v>32</v>
      </c>
      <c r="D326">
        <v>30</v>
      </c>
      <c r="E326">
        <v>284</v>
      </c>
      <c r="F326">
        <v>0</v>
      </c>
      <c r="G326">
        <v>0</v>
      </c>
      <c r="H326">
        <v>0</v>
      </c>
      <c r="I326">
        <v>314</v>
      </c>
    </row>
    <row r="327" spans="1:9" x14ac:dyDescent="0.35">
      <c r="A327" s="461" t="s">
        <v>241</v>
      </c>
      <c r="B327" s="461" t="s">
        <v>235</v>
      </c>
      <c r="C327" s="461" t="s">
        <v>39</v>
      </c>
      <c r="D327">
        <v>78</v>
      </c>
      <c r="E327">
        <v>0</v>
      </c>
      <c r="F327">
        <v>0</v>
      </c>
      <c r="G327">
        <v>0</v>
      </c>
      <c r="H327">
        <v>0</v>
      </c>
      <c r="I327">
        <v>78</v>
      </c>
    </row>
    <row r="328" spans="1:9" x14ac:dyDescent="0.35">
      <c r="A328" s="461" t="s">
        <v>241</v>
      </c>
      <c r="B328" s="461" t="s">
        <v>235</v>
      </c>
      <c r="C328" s="461" t="s">
        <v>40</v>
      </c>
      <c r="D328">
        <v>24</v>
      </c>
      <c r="E328">
        <v>62</v>
      </c>
      <c r="F328">
        <v>0</v>
      </c>
      <c r="G328">
        <v>0</v>
      </c>
      <c r="H328">
        <v>0</v>
      </c>
      <c r="I328">
        <v>86</v>
      </c>
    </row>
    <row r="329" spans="1:9" x14ac:dyDescent="0.35">
      <c r="A329" s="461" t="s">
        <v>241</v>
      </c>
      <c r="B329" s="461" t="s">
        <v>235</v>
      </c>
      <c r="C329" s="461" t="s">
        <v>51</v>
      </c>
      <c r="D329">
        <v>0</v>
      </c>
      <c r="E329">
        <v>109</v>
      </c>
      <c r="F329">
        <v>0</v>
      </c>
      <c r="G329">
        <v>0</v>
      </c>
      <c r="H329">
        <v>0</v>
      </c>
      <c r="I329">
        <v>109</v>
      </c>
    </row>
    <row r="330" spans="1:9" x14ac:dyDescent="0.35">
      <c r="A330" s="461" t="s">
        <v>241</v>
      </c>
      <c r="B330" s="461" t="s">
        <v>235</v>
      </c>
      <c r="C330" s="461" t="s">
        <v>55</v>
      </c>
      <c r="D330">
        <v>0</v>
      </c>
      <c r="E330">
        <v>127</v>
      </c>
      <c r="F330">
        <v>0</v>
      </c>
      <c r="G330">
        <v>0</v>
      </c>
      <c r="H330">
        <v>0</v>
      </c>
      <c r="I330">
        <v>127</v>
      </c>
    </row>
    <row r="331" spans="1:9" x14ac:dyDescent="0.35">
      <c r="A331" s="461" t="s">
        <v>241</v>
      </c>
      <c r="B331" s="461" t="s">
        <v>236</v>
      </c>
      <c r="C331" s="461" t="s">
        <v>68</v>
      </c>
      <c r="D331">
        <v>14</v>
      </c>
      <c r="E331">
        <v>0</v>
      </c>
      <c r="F331">
        <v>0</v>
      </c>
      <c r="G331">
        <v>0</v>
      </c>
      <c r="H331">
        <v>0</v>
      </c>
      <c r="I331">
        <v>14</v>
      </c>
    </row>
    <row r="332" spans="1:9" x14ac:dyDescent="0.35">
      <c r="A332" s="461" t="s">
        <v>241</v>
      </c>
      <c r="B332" s="461" t="s">
        <v>236</v>
      </c>
      <c r="C332" s="461" t="s">
        <v>114</v>
      </c>
      <c r="D332">
        <v>25</v>
      </c>
      <c r="E332">
        <v>0</v>
      </c>
      <c r="F332">
        <v>0</v>
      </c>
      <c r="G332">
        <v>0</v>
      </c>
      <c r="H332">
        <v>0</v>
      </c>
      <c r="I332">
        <v>25</v>
      </c>
    </row>
    <row r="333" spans="1:9" x14ac:dyDescent="0.35">
      <c r="A333" s="461" t="s">
        <v>241</v>
      </c>
      <c r="B333" s="461" t="s">
        <v>236</v>
      </c>
      <c r="C333" s="461" t="s">
        <v>36</v>
      </c>
      <c r="D333">
        <v>22</v>
      </c>
      <c r="E333">
        <v>0</v>
      </c>
      <c r="F333">
        <v>0</v>
      </c>
      <c r="G333">
        <v>0</v>
      </c>
      <c r="H333">
        <v>0</v>
      </c>
      <c r="I333">
        <v>22</v>
      </c>
    </row>
    <row r="334" spans="1:9" x14ac:dyDescent="0.35">
      <c r="A334" s="461" t="s">
        <v>241</v>
      </c>
      <c r="B334" s="461" t="s">
        <v>236</v>
      </c>
      <c r="C334" s="461" t="s">
        <v>17412</v>
      </c>
      <c r="D334">
        <v>18</v>
      </c>
      <c r="E334">
        <v>0</v>
      </c>
      <c r="F334">
        <v>0</v>
      </c>
      <c r="G334">
        <v>0</v>
      </c>
      <c r="H334">
        <v>0</v>
      </c>
      <c r="I334">
        <v>18</v>
      </c>
    </row>
    <row r="335" spans="1:9" x14ac:dyDescent="0.35">
      <c r="A335" s="461" t="s">
        <v>241</v>
      </c>
      <c r="B335" s="461" t="s">
        <v>236</v>
      </c>
      <c r="C335" s="461" t="s">
        <v>31</v>
      </c>
      <c r="D335">
        <v>16</v>
      </c>
      <c r="E335">
        <v>0</v>
      </c>
      <c r="F335">
        <v>0</v>
      </c>
      <c r="G335">
        <v>0</v>
      </c>
      <c r="H335">
        <v>0</v>
      </c>
      <c r="I335">
        <v>16</v>
      </c>
    </row>
    <row r="336" spans="1:9" x14ac:dyDescent="0.35">
      <c r="A336" s="461" t="s">
        <v>241</v>
      </c>
      <c r="B336" s="461" t="s">
        <v>236</v>
      </c>
      <c r="C336" s="461" t="s">
        <v>43</v>
      </c>
      <c r="D336">
        <v>18</v>
      </c>
      <c r="E336">
        <v>0</v>
      </c>
      <c r="F336">
        <v>0</v>
      </c>
      <c r="G336">
        <v>0</v>
      </c>
      <c r="H336">
        <v>0</v>
      </c>
      <c r="I336">
        <v>18</v>
      </c>
    </row>
    <row r="337" spans="1:9" x14ac:dyDescent="0.35">
      <c r="A337" s="461" t="s">
        <v>241</v>
      </c>
      <c r="B337" s="461" t="s">
        <v>236</v>
      </c>
      <c r="C337" s="461" t="s">
        <v>57</v>
      </c>
      <c r="D337">
        <v>16</v>
      </c>
      <c r="E337">
        <v>0</v>
      </c>
      <c r="F337">
        <v>0</v>
      </c>
      <c r="G337">
        <v>0</v>
      </c>
      <c r="H337">
        <v>0</v>
      </c>
      <c r="I337">
        <v>16</v>
      </c>
    </row>
    <row r="338" spans="1:9" x14ac:dyDescent="0.35">
      <c r="A338" s="461" t="s">
        <v>241</v>
      </c>
      <c r="B338" s="461" t="s">
        <v>236</v>
      </c>
      <c r="C338" s="461" t="s">
        <v>63</v>
      </c>
      <c r="D338">
        <v>25</v>
      </c>
      <c r="E338">
        <v>0</v>
      </c>
      <c r="F338">
        <v>0</v>
      </c>
      <c r="G338">
        <v>0</v>
      </c>
      <c r="H338">
        <v>0</v>
      </c>
      <c r="I338">
        <v>25</v>
      </c>
    </row>
    <row r="339" spans="1:9" x14ac:dyDescent="0.35">
      <c r="A339" s="461" t="s">
        <v>241</v>
      </c>
      <c r="B339" s="461" t="s">
        <v>236</v>
      </c>
      <c r="C339" s="461" t="s">
        <v>64</v>
      </c>
      <c r="D339">
        <v>26</v>
      </c>
      <c r="E339">
        <v>0</v>
      </c>
      <c r="F339">
        <v>0</v>
      </c>
      <c r="G339">
        <v>0</v>
      </c>
      <c r="H339">
        <v>0</v>
      </c>
      <c r="I339">
        <v>26</v>
      </c>
    </row>
    <row r="340" spans="1:9" x14ac:dyDescent="0.35">
      <c r="A340" s="461" t="s">
        <v>241</v>
      </c>
      <c r="B340" s="461" t="s">
        <v>236</v>
      </c>
      <c r="C340" s="461" t="s">
        <v>67</v>
      </c>
      <c r="D340">
        <v>25</v>
      </c>
      <c r="E340">
        <v>0</v>
      </c>
      <c r="F340">
        <v>0</v>
      </c>
      <c r="G340">
        <v>0</v>
      </c>
      <c r="H340">
        <v>0</v>
      </c>
      <c r="I340">
        <v>25</v>
      </c>
    </row>
    <row r="341" spans="1:9" x14ac:dyDescent="0.35">
      <c r="A341" s="461" t="s">
        <v>241</v>
      </c>
      <c r="B341" s="461" t="s">
        <v>236</v>
      </c>
      <c r="C341" s="461" t="s">
        <v>71</v>
      </c>
      <c r="D341">
        <v>16</v>
      </c>
      <c r="E341">
        <v>0</v>
      </c>
      <c r="F341">
        <v>0</v>
      </c>
      <c r="G341">
        <v>0</v>
      </c>
      <c r="H341">
        <v>0</v>
      </c>
      <c r="I341">
        <v>16</v>
      </c>
    </row>
    <row r="342" spans="1:9" x14ac:dyDescent="0.35">
      <c r="A342" s="461" t="s">
        <v>241</v>
      </c>
      <c r="B342" s="461" t="s">
        <v>236</v>
      </c>
      <c r="C342" s="461" t="s">
        <v>66</v>
      </c>
      <c r="D342">
        <v>25</v>
      </c>
      <c r="E342">
        <v>0</v>
      </c>
      <c r="F342">
        <v>0</v>
      </c>
      <c r="G342">
        <v>0</v>
      </c>
      <c r="H342">
        <v>0</v>
      </c>
      <c r="I342">
        <v>25</v>
      </c>
    </row>
    <row r="343" spans="1:9" x14ac:dyDescent="0.35">
      <c r="A343" s="461" t="s">
        <v>241</v>
      </c>
      <c r="B343" s="461" t="s">
        <v>236</v>
      </c>
      <c r="C343" s="461" t="s">
        <v>167</v>
      </c>
      <c r="D343">
        <v>30</v>
      </c>
      <c r="E343">
        <v>0</v>
      </c>
      <c r="F343">
        <v>0</v>
      </c>
      <c r="G343">
        <v>0</v>
      </c>
      <c r="H343">
        <v>0</v>
      </c>
      <c r="I343">
        <v>30</v>
      </c>
    </row>
    <row r="344" spans="1:9" x14ac:dyDescent="0.35">
      <c r="A344" s="461" t="s">
        <v>241</v>
      </c>
      <c r="B344" s="461" t="s">
        <v>236</v>
      </c>
      <c r="C344" s="461" t="s">
        <v>70</v>
      </c>
      <c r="D344">
        <v>45</v>
      </c>
      <c r="E344">
        <v>0</v>
      </c>
      <c r="F344">
        <v>0</v>
      </c>
      <c r="G344">
        <v>0</v>
      </c>
      <c r="H344">
        <v>0</v>
      </c>
      <c r="I344">
        <v>45</v>
      </c>
    </row>
    <row r="345" spans="1:9" x14ac:dyDescent="0.35">
      <c r="A345" s="461" t="s">
        <v>241</v>
      </c>
      <c r="B345" s="461" t="s">
        <v>236</v>
      </c>
      <c r="C345" s="461" t="s">
        <v>50</v>
      </c>
      <c r="D345">
        <v>17</v>
      </c>
      <c r="E345">
        <v>0</v>
      </c>
      <c r="F345">
        <v>0</v>
      </c>
      <c r="G345">
        <v>0</v>
      </c>
      <c r="H345">
        <v>0</v>
      </c>
      <c r="I345">
        <v>17</v>
      </c>
    </row>
    <row r="346" spans="1:9" x14ac:dyDescent="0.35">
      <c r="A346" s="461" t="s">
        <v>241</v>
      </c>
      <c r="B346" s="461" t="s">
        <v>236</v>
      </c>
      <c r="C346" s="461" t="s">
        <v>65</v>
      </c>
      <c r="D346">
        <v>29</v>
      </c>
      <c r="E346">
        <v>0</v>
      </c>
      <c r="F346">
        <v>0</v>
      </c>
      <c r="G346">
        <v>0</v>
      </c>
      <c r="H346">
        <v>0</v>
      </c>
      <c r="I346">
        <v>29</v>
      </c>
    </row>
    <row r="347" spans="1:9" x14ac:dyDescent="0.35">
      <c r="A347" s="461" t="s">
        <v>241</v>
      </c>
      <c r="B347" s="461" t="s">
        <v>236</v>
      </c>
      <c r="C347" s="461" t="s">
        <v>69</v>
      </c>
      <c r="D347">
        <v>20</v>
      </c>
      <c r="E347">
        <v>0</v>
      </c>
      <c r="F347">
        <v>0</v>
      </c>
      <c r="G347">
        <v>0</v>
      </c>
      <c r="H347">
        <v>0</v>
      </c>
      <c r="I347">
        <v>20</v>
      </c>
    </row>
    <row r="348" spans="1:9" x14ac:dyDescent="0.35">
      <c r="A348" s="461" t="s">
        <v>241</v>
      </c>
      <c r="B348" s="461" t="s">
        <v>237</v>
      </c>
      <c r="C348" s="461" t="s">
        <v>166</v>
      </c>
      <c r="D348">
        <v>37</v>
      </c>
      <c r="E348">
        <v>0</v>
      </c>
      <c r="F348">
        <v>0</v>
      </c>
      <c r="G348">
        <v>0</v>
      </c>
      <c r="H348">
        <v>0</v>
      </c>
      <c r="I348">
        <v>37</v>
      </c>
    </row>
    <row r="349" spans="1:9" x14ac:dyDescent="0.35">
      <c r="A349" s="461" t="s">
        <v>241</v>
      </c>
      <c r="B349" s="461" t="s">
        <v>237</v>
      </c>
      <c r="C349" s="461" t="s">
        <v>164</v>
      </c>
      <c r="D349">
        <v>30</v>
      </c>
      <c r="E349">
        <v>0</v>
      </c>
      <c r="F349">
        <v>0</v>
      </c>
      <c r="G349">
        <v>0</v>
      </c>
      <c r="H349">
        <v>0</v>
      </c>
      <c r="I349">
        <v>30</v>
      </c>
    </row>
    <row r="350" spans="1:9" x14ac:dyDescent="0.35">
      <c r="A350" s="461" t="s">
        <v>241</v>
      </c>
      <c r="B350" s="461" t="s">
        <v>237</v>
      </c>
      <c r="C350" s="461" t="s">
        <v>165</v>
      </c>
      <c r="D350">
        <v>79</v>
      </c>
      <c r="E350">
        <v>0</v>
      </c>
      <c r="F350">
        <v>0</v>
      </c>
      <c r="G350">
        <v>0</v>
      </c>
      <c r="H350">
        <v>0</v>
      </c>
      <c r="I350">
        <v>79</v>
      </c>
    </row>
    <row r="351" spans="1:9" x14ac:dyDescent="0.35">
      <c r="A351" s="461" t="s">
        <v>241</v>
      </c>
      <c r="B351" s="461" t="s">
        <v>238</v>
      </c>
      <c r="C351" s="461" t="s">
        <v>246</v>
      </c>
      <c r="D351">
        <v>149</v>
      </c>
      <c r="E351">
        <v>0</v>
      </c>
      <c r="F351">
        <v>207</v>
      </c>
      <c r="G351">
        <v>0</v>
      </c>
      <c r="H351">
        <v>0</v>
      </c>
      <c r="I351">
        <v>356</v>
      </c>
    </row>
    <row r="352" spans="1:9" x14ac:dyDescent="0.35">
      <c r="A352" s="461" t="s">
        <v>773</v>
      </c>
      <c r="B352" s="461" t="s">
        <v>17418</v>
      </c>
      <c r="C352" s="461" t="s">
        <v>49</v>
      </c>
      <c r="D352">
        <v>0</v>
      </c>
      <c r="E352">
        <v>0</v>
      </c>
      <c r="F352">
        <v>0</v>
      </c>
      <c r="G352">
        <v>4</v>
      </c>
      <c r="H352">
        <v>0</v>
      </c>
      <c r="I352">
        <v>4</v>
      </c>
    </row>
    <row r="353" spans="1:9" x14ac:dyDescent="0.35">
      <c r="A353" s="461" t="s">
        <v>773</v>
      </c>
      <c r="B353" s="461" t="s">
        <v>17418</v>
      </c>
      <c r="C353" s="461" t="s">
        <v>57</v>
      </c>
      <c r="D353">
        <v>0</v>
      </c>
      <c r="E353">
        <v>0</v>
      </c>
      <c r="F353">
        <v>0</v>
      </c>
      <c r="G353">
        <v>1</v>
      </c>
      <c r="H353">
        <v>0</v>
      </c>
      <c r="I353">
        <v>1</v>
      </c>
    </row>
    <row r="354" spans="1:9" x14ac:dyDescent="0.35">
      <c r="A354" s="461" t="s">
        <v>773</v>
      </c>
      <c r="B354" s="461" t="s">
        <v>17418</v>
      </c>
      <c r="C354" s="461" t="s">
        <v>59</v>
      </c>
      <c r="D354">
        <v>0</v>
      </c>
      <c r="E354">
        <v>0</v>
      </c>
      <c r="F354">
        <v>0</v>
      </c>
      <c r="G354">
        <v>1</v>
      </c>
      <c r="H354">
        <v>0</v>
      </c>
      <c r="I354">
        <v>1</v>
      </c>
    </row>
    <row r="355" spans="1:9" x14ac:dyDescent="0.35">
      <c r="A355" s="461" t="s">
        <v>773</v>
      </c>
      <c r="B355" s="461" t="s">
        <v>17418</v>
      </c>
      <c r="C355" s="461" t="s">
        <v>31</v>
      </c>
      <c r="D355">
        <v>0</v>
      </c>
      <c r="E355">
        <v>0</v>
      </c>
      <c r="F355">
        <v>0</v>
      </c>
      <c r="G355">
        <v>7</v>
      </c>
      <c r="H355">
        <v>0</v>
      </c>
      <c r="I355">
        <v>7</v>
      </c>
    </row>
    <row r="356" spans="1:9" x14ac:dyDescent="0.35">
      <c r="A356" s="461" t="s">
        <v>773</v>
      </c>
      <c r="B356" s="461" t="s">
        <v>17418</v>
      </c>
      <c r="C356" s="461" t="s">
        <v>34</v>
      </c>
      <c r="D356">
        <v>0</v>
      </c>
      <c r="E356">
        <v>0</v>
      </c>
      <c r="F356">
        <v>0</v>
      </c>
      <c r="G356">
        <v>1</v>
      </c>
      <c r="H356">
        <v>0</v>
      </c>
      <c r="I356">
        <v>1</v>
      </c>
    </row>
    <row r="357" spans="1:9" x14ac:dyDescent="0.35">
      <c r="A357" s="461" t="s">
        <v>773</v>
      </c>
      <c r="B357" s="461" t="s">
        <v>17418</v>
      </c>
      <c r="C357" s="461" t="s">
        <v>44</v>
      </c>
      <c r="D357">
        <v>0</v>
      </c>
      <c r="E357">
        <v>0</v>
      </c>
      <c r="F357">
        <v>0</v>
      </c>
      <c r="G357">
        <v>2</v>
      </c>
      <c r="H357">
        <v>0</v>
      </c>
      <c r="I357">
        <v>2</v>
      </c>
    </row>
    <row r="358" spans="1:9" x14ac:dyDescent="0.35">
      <c r="A358" s="461" t="s">
        <v>773</v>
      </c>
      <c r="B358" s="461" t="s">
        <v>17418</v>
      </c>
      <c r="C358" s="461" t="s">
        <v>38</v>
      </c>
      <c r="D358">
        <v>0</v>
      </c>
      <c r="E358">
        <v>0</v>
      </c>
      <c r="F358">
        <v>0</v>
      </c>
      <c r="G358">
        <v>2</v>
      </c>
      <c r="H358">
        <v>0</v>
      </c>
      <c r="I358">
        <v>2</v>
      </c>
    </row>
    <row r="359" spans="1:9" x14ac:dyDescent="0.35">
      <c r="A359" s="461" t="s">
        <v>773</v>
      </c>
      <c r="B359" s="461" t="s">
        <v>17418</v>
      </c>
      <c r="C359" s="461" t="s">
        <v>50</v>
      </c>
      <c r="D359">
        <v>0</v>
      </c>
      <c r="E359">
        <v>0</v>
      </c>
      <c r="F359">
        <v>0</v>
      </c>
      <c r="G359">
        <v>2</v>
      </c>
      <c r="H359">
        <v>0</v>
      </c>
      <c r="I359">
        <v>2</v>
      </c>
    </row>
    <row r="360" spans="1:9" x14ac:dyDescent="0.35">
      <c r="A360" s="461" t="s">
        <v>773</v>
      </c>
      <c r="B360" s="461" t="s">
        <v>17418</v>
      </c>
      <c r="C360" s="461" t="s">
        <v>17420</v>
      </c>
      <c r="D360">
        <v>0</v>
      </c>
      <c r="E360">
        <v>0</v>
      </c>
      <c r="F360">
        <v>0</v>
      </c>
      <c r="G360">
        <v>2</v>
      </c>
      <c r="H360">
        <v>0</v>
      </c>
      <c r="I360">
        <v>2</v>
      </c>
    </row>
    <row r="361" spans="1:9" x14ac:dyDescent="0.35">
      <c r="A361" s="461" t="s">
        <v>773</v>
      </c>
      <c r="B361" s="461" t="s">
        <v>17418</v>
      </c>
      <c r="C361" s="461" t="s">
        <v>53</v>
      </c>
      <c r="D361">
        <v>0</v>
      </c>
      <c r="E361">
        <v>0</v>
      </c>
      <c r="F361">
        <v>0</v>
      </c>
      <c r="G361">
        <v>2</v>
      </c>
      <c r="H361">
        <v>0</v>
      </c>
      <c r="I361">
        <v>2</v>
      </c>
    </row>
    <row r="362" spans="1:9" x14ac:dyDescent="0.35">
      <c r="A362" s="461" t="s">
        <v>773</v>
      </c>
      <c r="B362" s="461" t="s">
        <v>17418</v>
      </c>
      <c r="C362" s="461" t="s">
        <v>55</v>
      </c>
      <c r="D362">
        <v>0</v>
      </c>
      <c r="E362">
        <v>0</v>
      </c>
      <c r="F362">
        <v>0</v>
      </c>
      <c r="G362">
        <v>1</v>
      </c>
      <c r="H362">
        <v>0</v>
      </c>
      <c r="I362">
        <v>1</v>
      </c>
    </row>
    <row r="363" spans="1:9" x14ac:dyDescent="0.35">
      <c r="A363" s="461" t="s">
        <v>773</v>
      </c>
      <c r="B363" s="461" t="s">
        <v>17418</v>
      </c>
      <c r="C363" s="461" t="s">
        <v>44</v>
      </c>
      <c r="D363">
        <v>0</v>
      </c>
      <c r="E363">
        <v>0</v>
      </c>
      <c r="F363">
        <v>0</v>
      </c>
      <c r="G363">
        <v>2</v>
      </c>
      <c r="H363">
        <v>0</v>
      </c>
      <c r="I363">
        <v>2</v>
      </c>
    </row>
    <row r="364" spans="1:9" x14ac:dyDescent="0.35">
      <c r="A364" s="461" t="s">
        <v>773</v>
      </c>
      <c r="B364" s="461" t="s">
        <v>17418</v>
      </c>
      <c r="C364" s="461" t="s">
        <v>60</v>
      </c>
      <c r="D364">
        <v>0</v>
      </c>
      <c r="E364">
        <v>0</v>
      </c>
      <c r="F364">
        <v>0</v>
      </c>
      <c r="G364">
        <v>2</v>
      </c>
      <c r="H364">
        <v>0</v>
      </c>
      <c r="I364">
        <v>2</v>
      </c>
    </row>
    <row r="365" spans="1:9" x14ac:dyDescent="0.35">
      <c r="A365" s="461" t="s">
        <v>773</v>
      </c>
      <c r="B365" s="461" t="s">
        <v>17418</v>
      </c>
      <c r="C365" s="461" t="s">
        <v>42</v>
      </c>
      <c r="D365">
        <v>0</v>
      </c>
      <c r="E365">
        <v>0</v>
      </c>
      <c r="F365">
        <v>0</v>
      </c>
      <c r="G365">
        <v>3</v>
      </c>
      <c r="H365">
        <v>0</v>
      </c>
      <c r="I365">
        <v>3</v>
      </c>
    </row>
    <row r="366" spans="1:9" x14ac:dyDescent="0.35">
      <c r="A366" s="461" t="s">
        <v>773</v>
      </c>
      <c r="B366" s="461" t="s">
        <v>17418</v>
      </c>
      <c r="C366" s="461" t="s">
        <v>58</v>
      </c>
      <c r="D366">
        <v>0</v>
      </c>
      <c r="E366">
        <v>0</v>
      </c>
      <c r="F366">
        <v>0</v>
      </c>
      <c r="G366">
        <v>1</v>
      </c>
      <c r="H366">
        <v>0</v>
      </c>
      <c r="I366">
        <v>1</v>
      </c>
    </row>
    <row r="367" spans="1:9" x14ac:dyDescent="0.35">
      <c r="A367" s="461" t="s">
        <v>773</v>
      </c>
      <c r="B367" s="461" t="s">
        <v>17418</v>
      </c>
      <c r="C367" s="461" t="s">
        <v>31</v>
      </c>
      <c r="D367">
        <v>0</v>
      </c>
      <c r="E367">
        <v>0</v>
      </c>
      <c r="F367">
        <v>0</v>
      </c>
      <c r="G367">
        <v>1</v>
      </c>
      <c r="H367">
        <v>0</v>
      </c>
      <c r="I367">
        <v>1</v>
      </c>
    </row>
    <row r="368" spans="1:9" x14ac:dyDescent="0.35">
      <c r="A368" s="461" t="s">
        <v>773</v>
      </c>
      <c r="B368" s="461" t="s">
        <v>17418</v>
      </c>
      <c r="C368" s="461" t="s">
        <v>32</v>
      </c>
      <c r="D368">
        <v>0</v>
      </c>
      <c r="E368">
        <v>0</v>
      </c>
      <c r="F368">
        <v>0</v>
      </c>
      <c r="G368">
        <v>1</v>
      </c>
      <c r="H368">
        <v>0</v>
      </c>
      <c r="I368">
        <v>1</v>
      </c>
    </row>
    <row r="369" spans="1:9" x14ac:dyDescent="0.35">
      <c r="A369" s="461" t="s">
        <v>773</v>
      </c>
      <c r="B369" s="461" t="s">
        <v>17418</v>
      </c>
      <c r="C369" s="461" t="s">
        <v>167</v>
      </c>
      <c r="D369">
        <v>0</v>
      </c>
      <c r="E369">
        <v>0</v>
      </c>
      <c r="F369">
        <v>0</v>
      </c>
      <c r="G369">
        <v>2</v>
      </c>
      <c r="H369">
        <v>0</v>
      </c>
      <c r="I369">
        <v>2</v>
      </c>
    </row>
    <row r="370" spans="1:9" x14ac:dyDescent="0.35">
      <c r="A370" s="461" t="s">
        <v>773</v>
      </c>
      <c r="B370" s="461" t="s">
        <v>17418</v>
      </c>
      <c r="C370" s="461" t="s">
        <v>46</v>
      </c>
      <c r="D370">
        <v>0</v>
      </c>
      <c r="E370">
        <v>0</v>
      </c>
      <c r="F370">
        <v>0</v>
      </c>
      <c r="G370">
        <v>1</v>
      </c>
      <c r="H370">
        <v>0</v>
      </c>
      <c r="I370">
        <v>1</v>
      </c>
    </row>
    <row r="371" spans="1:9" x14ac:dyDescent="0.35">
      <c r="A371" s="461" t="s">
        <v>773</v>
      </c>
      <c r="B371" s="461" t="s">
        <v>17418</v>
      </c>
      <c r="C371" s="461"/>
      <c r="D371">
        <v>0</v>
      </c>
      <c r="E371">
        <v>0</v>
      </c>
      <c r="F371">
        <v>0</v>
      </c>
      <c r="G371">
        <v>754</v>
      </c>
      <c r="H371">
        <v>0</v>
      </c>
      <c r="I371">
        <v>754</v>
      </c>
    </row>
    <row r="372" spans="1:9" x14ac:dyDescent="0.35">
      <c r="A372" s="461" t="s">
        <v>773</v>
      </c>
      <c r="B372" s="461" t="s">
        <v>17418</v>
      </c>
      <c r="C372" s="461" t="s">
        <v>41</v>
      </c>
      <c r="D372">
        <v>0</v>
      </c>
      <c r="E372">
        <v>0</v>
      </c>
      <c r="F372">
        <v>0</v>
      </c>
      <c r="G372">
        <v>1</v>
      </c>
      <c r="H372">
        <v>0</v>
      </c>
      <c r="I372">
        <v>1</v>
      </c>
    </row>
    <row r="373" spans="1:9" x14ac:dyDescent="0.35">
      <c r="A373" s="461" t="s">
        <v>773</v>
      </c>
      <c r="B373" s="461" t="s">
        <v>17418</v>
      </c>
      <c r="C373" s="461" t="s">
        <v>43</v>
      </c>
      <c r="D373">
        <v>0</v>
      </c>
      <c r="E373">
        <v>0</v>
      </c>
      <c r="F373">
        <v>0</v>
      </c>
      <c r="G373">
        <v>2</v>
      </c>
      <c r="H373">
        <v>0</v>
      </c>
      <c r="I373">
        <v>2</v>
      </c>
    </row>
    <row r="374" spans="1:9" x14ac:dyDescent="0.35">
      <c r="A374" s="461" t="s">
        <v>773</v>
      </c>
      <c r="B374" s="461" t="s">
        <v>17418</v>
      </c>
      <c r="C374" s="461" t="s">
        <v>114</v>
      </c>
      <c r="D374">
        <v>0</v>
      </c>
      <c r="E374">
        <v>0</v>
      </c>
      <c r="F374">
        <v>0</v>
      </c>
      <c r="G374">
        <v>3</v>
      </c>
      <c r="H374">
        <v>0</v>
      </c>
      <c r="I374">
        <v>3</v>
      </c>
    </row>
    <row r="375" spans="1:9" x14ac:dyDescent="0.35">
      <c r="A375" s="461" t="s">
        <v>773</v>
      </c>
      <c r="B375" s="461" t="s">
        <v>17418</v>
      </c>
      <c r="C375" s="461" t="s">
        <v>114</v>
      </c>
      <c r="D375">
        <v>0</v>
      </c>
      <c r="E375">
        <v>0</v>
      </c>
      <c r="F375">
        <v>0</v>
      </c>
      <c r="G375">
        <v>5</v>
      </c>
      <c r="H375">
        <v>0</v>
      </c>
      <c r="I375">
        <v>5</v>
      </c>
    </row>
    <row r="376" spans="1:9" x14ac:dyDescent="0.35">
      <c r="A376" s="461" t="s">
        <v>773</v>
      </c>
      <c r="B376" s="461" t="s">
        <v>17418</v>
      </c>
      <c r="C376" s="461" t="s">
        <v>45</v>
      </c>
      <c r="D376">
        <v>0</v>
      </c>
      <c r="E376">
        <v>0</v>
      </c>
      <c r="F376">
        <v>0</v>
      </c>
      <c r="G376">
        <v>1</v>
      </c>
      <c r="H376">
        <v>0</v>
      </c>
      <c r="I376">
        <v>1</v>
      </c>
    </row>
    <row r="377" spans="1:9" x14ac:dyDescent="0.35">
      <c r="A377" s="461" t="s">
        <v>773</v>
      </c>
      <c r="B377" s="461" t="s">
        <v>17418</v>
      </c>
      <c r="C377" s="461" t="s">
        <v>45</v>
      </c>
      <c r="D377">
        <v>0</v>
      </c>
      <c r="E377">
        <v>0</v>
      </c>
      <c r="F377">
        <v>0</v>
      </c>
      <c r="G377">
        <v>1</v>
      </c>
      <c r="H377">
        <v>0</v>
      </c>
      <c r="I377">
        <v>1</v>
      </c>
    </row>
    <row r="378" spans="1:9" x14ac:dyDescent="0.35">
      <c r="A378" s="461" t="s">
        <v>773</v>
      </c>
      <c r="B378" s="461" t="s">
        <v>17418</v>
      </c>
      <c r="C378" s="461" t="s">
        <v>48</v>
      </c>
      <c r="D378">
        <v>0</v>
      </c>
      <c r="E378">
        <v>0</v>
      </c>
      <c r="F378">
        <v>0</v>
      </c>
      <c r="G378">
        <v>1</v>
      </c>
      <c r="H378">
        <v>0</v>
      </c>
      <c r="I378">
        <v>1</v>
      </c>
    </row>
    <row r="379" spans="1:9" x14ac:dyDescent="0.35">
      <c r="A379" s="461" t="s">
        <v>773</v>
      </c>
      <c r="B379" s="461" t="s">
        <v>17418</v>
      </c>
      <c r="C379" s="461" t="s">
        <v>49</v>
      </c>
      <c r="D379">
        <v>0</v>
      </c>
      <c r="E379">
        <v>0</v>
      </c>
      <c r="F379">
        <v>0</v>
      </c>
      <c r="G379">
        <v>3</v>
      </c>
      <c r="H379">
        <v>0</v>
      </c>
      <c r="I379">
        <v>3</v>
      </c>
    </row>
    <row r="380" spans="1:9" x14ac:dyDescent="0.35">
      <c r="A380" s="461" t="s">
        <v>773</v>
      </c>
      <c r="B380" s="461" t="s">
        <v>17418</v>
      </c>
      <c r="C380" s="461" t="s">
        <v>51</v>
      </c>
      <c r="D380">
        <v>0</v>
      </c>
      <c r="E380">
        <v>0</v>
      </c>
      <c r="F380">
        <v>0</v>
      </c>
      <c r="G380">
        <v>1</v>
      </c>
      <c r="H380">
        <v>0</v>
      </c>
      <c r="I380">
        <v>1</v>
      </c>
    </row>
    <row r="381" spans="1:9" x14ac:dyDescent="0.35">
      <c r="A381" s="461" t="s">
        <v>773</v>
      </c>
      <c r="B381" s="461" t="s">
        <v>17418</v>
      </c>
      <c r="C381" s="461" t="s">
        <v>53</v>
      </c>
      <c r="D381">
        <v>0</v>
      </c>
      <c r="E381">
        <v>0</v>
      </c>
      <c r="F381">
        <v>0</v>
      </c>
      <c r="G381">
        <v>1</v>
      </c>
      <c r="H381">
        <v>0</v>
      </c>
      <c r="I381">
        <v>1</v>
      </c>
    </row>
    <row r="382" spans="1:9" x14ac:dyDescent="0.35">
      <c r="A382" s="461" t="s">
        <v>773</v>
      </c>
      <c r="B382" s="461" t="s">
        <v>17418</v>
      </c>
      <c r="C382" s="461" t="s">
        <v>56</v>
      </c>
      <c r="D382">
        <v>0</v>
      </c>
      <c r="E382">
        <v>0</v>
      </c>
      <c r="F382">
        <v>0</v>
      </c>
      <c r="G382">
        <v>6</v>
      </c>
      <c r="H382">
        <v>0</v>
      </c>
      <c r="I382">
        <v>6</v>
      </c>
    </row>
    <row r="383" spans="1:9" x14ac:dyDescent="0.35">
      <c r="A383" s="461" t="s">
        <v>773</v>
      </c>
      <c r="B383" s="461" t="s">
        <v>235</v>
      </c>
      <c r="C383" s="461" t="s">
        <v>49</v>
      </c>
      <c r="D383">
        <v>75</v>
      </c>
      <c r="E383">
        <v>104</v>
      </c>
      <c r="F383">
        <v>0</v>
      </c>
      <c r="G383">
        <v>0</v>
      </c>
      <c r="H383">
        <v>22</v>
      </c>
      <c r="I383">
        <v>201</v>
      </c>
    </row>
    <row r="384" spans="1:9" x14ac:dyDescent="0.35">
      <c r="A384" s="461" t="s">
        <v>773</v>
      </c>
      <c r="B384" s="461" t="s">
        <v>235</v>
      </c>
      <c r="C384" s="461" t="s">
        <v>52</v>
      </c>
      <c r="D384">
        <v>67</v>
      </c>
      <c r="E384">
        <v>131</v>
      </c>
      <c r="F384">
        <v>0</v>
      </c>
      <c r="G384">
        <v>0</v>
      </c>
      <c r="H384">
        <v>21</v>
      </c>
      <c r="I384">
        <v>219</v>
      </c>
    </row>
    <row r="385" spans="1:9" x14ac:dyDescent="0.35">
      <c r="A385" s="461" t="s">
        <v>773</v>
      </c>
      <c r="B385" s="461" t="s">
        <v>235</v>
      </c>
      <c r="C385" s="461" t="s">
        <v>56</v>
      </c>
      <c r="D385">
        <v>50</v>
      </c>
      <c r="E385">
        <v>55</v>
      </c>
      <c r="F385">
        <v>0</v>
      </c>
      <c r="G385">
        <v>0</v>
      </c>
      <c r="H385">
        <v>0</v>
      </c>
      <c r="I385">
        <v>105</v>
      </c>
    </row>
    <row r="386" spans="1:9" x14ac:dyDescent="0.35">
      <c r="A386" s="461" t="s">
        <v>773</v>
      </c>
      <c r="B386" s="461" t="s">
        <v>235</v>
      </c>
      <c r="C386" s="461" t="s">
        <v>31</v>
      </c>
      <c r="D386">
        <v>155</v>
      </c>
      <c r="E386">
        <v>8</v>
      </c>
      <c r="F386">
        <v>0</v>
      </c>
      <c r="G386">
        <v>0</v>
      </c>
      <c r="H386">
        <v>0</v>
      </c>
      <c r="I386">
        <v>163</v>
      </c>
    </row>
    <row r="387" spans="1:9" x14ac:dyDescent="0.35">
      <c r="A387" s="461" t="s">
        <v>773</v>
      </c>
      <c r="B387" s="461" t="s">
        <v>235</v>
      </c>
      <c r="C387" s="461" t="s">
        <v>32</v>
      </c>
      <c r="D387">
        <v>32</v>
      </c>
      <c r="E387">
        <v>285</v>
      </c>
      <c r="F387">
        <v>0</v>
      </c>
      <c r="G387">
        <v>0</v>
      </c>
      <c r="H387">
        <v>0</v>
      </c>
      <c r="I387">
        <v>317</v>
      </c>
    </row>
    <row r="388" spans="1:9" x14ac:dyDescent="0.35">
      <c r="A388" s="461" t="s">
        <v>773</v>
      </c>
      <c r="B388" s="461" t="s">
        <v>235</v>
      </c>
      <c r="C388" s="461" t="s">
        <v>34</v>
      </c>
      <c r="D388">
        <v>53</v>
      </c>
      <c r="E388">
        <v>174</v>
      </c>
      <c r="F388">
        <v>0</v>
      </c>
      <c r="G388">
        <v>0</v>
      </c>
      <c r="H388">
        <v>212</v>
      </c>
      <c r="I388">
        <v>439</v>
      </c>
    </row>
    <row r="389" spans="1:9" x14ac:dyDescent="0.35">
      <c r="A389" s="461" t="s">
        <v>773</v>
      </c>
      <c r="B389" s="461" t="s">
        <v>235</v>
      </c>
      <c r="C389" s="461" t="s">
        <v>17411</v>
      </c>
      <c r="D389">
        <v>52</v>
      </c>
      <c r="E389">
        <v>192</v>
      </c>
      <c r="F389">
        <v>0</v>
      </c>
      <c r="G389">
        <v>0</v>
      </c>
      <c r="H389">
        <v>5</v>
      </c>
      <c r="I389">
        <v>249</v>
      </c>
    </row>
    <row r="390" spans="1:9" x14ac:dyDescent="0.35">
      <c r="A390" s="461" t="s">
        <v>773</v>
      </c>
      <c r="B390" s="461" t="s">
        <v>235</v>
      </c>
      <c r="C390" s="461" t="s">
        <v>37</v>
      </c>
      <c r="D390">
        <v>182</v>
      </c>
      <c r="E390">
        <v>12</v>
      </c>
      <c r="F390">
        <v>0</v>
      </c>
      <c r="G390">
        <v>0</v>
      </c>
      <c r="H390">
        <v>0</v>
      </c>
      <c r="I390">
        <v>194</v>
      </c>
    </row>
    <row r="391" spans="1:9" x14ac:dyDescent="0.35">
      <c r="A391" s="461" t="s">
        <v>773</v>
      </c>
      <c r="B391" s="461" t="s">
        <v>235</v>
      </c>
      <c r="C391" s="461" t="s">
        <v>42</v>
      </c>
      <c r="D391">
        <v>88</v>
      </c>
      <c r="E391">
        <v>57</v>
      </c>
      <c r="F391">
        <v>0</v>
      </c>
      <c r="G391">
        <v>0</v>
      </c>
      <c r="H391">
        <v>0</v>
      </c>
      <c r="I391">
        <v>145</v>
      </c>
    </row>
    <row r="392" spans="1:9" x14ac:dyDescent="0.35">
      <c r="A392" s="461" t="s">
        <v>773</v>
      </c>
      <c r="B392" s="461" t="s">
        <v>235</v>
      </c>
      <c r="C392" s="461" t="s">
        <v>54</v>
      </c>
      <c r="D392">
        <v>53</v>
      </c>
      <c r="E392">
        <v>148</v>
      </c>
      <c r="F392">
        <v>0</v>
      </c>
      <c r="G392">
        <v>0</v>
      </c>
      <c r="H392">
        <v>0</v>
      </c>
      <c r="I392">
        <v>201</v>
      </c>
    </row>
    <row r="393" spans="1:9" x14ac:dyDescent="0.35">
      <c r="A393" s="461" t="s">
        <v>773</v>
      </c>
      <c r="B393" s="461" t="s">
        <v>235</v>
      </c>
      <c r="C393" s="461" t="s">
        <v>60</v>
      </c>
      <c r="D393">
        <v>58</v>
      </c>
      <c r="E393">
        <v>65</v>
      </c>
      <c r="F393">
        <v>0</v>
      </c>
      <c r="G393">
        <v>0</v>
      </c>
      <c r="H393">
        <v>0</v>
      </c>
      <c r="I393">
        <v>123</v>
      </c>
    </row>
    <row r="394" spans="1:9" x14ac:dyDescent="0.35">
      <c r="A394" s="461" t="s">
        <v>773</v>
      </c>
      <c r="B394" s="461" t="s">
        <v>235</v>
      </c>
      <c r="C394" s="461" t="s">
        <v>114</v>
      </c>
      <c r="D394">
        <v>517</v>
      </c>
      <c r="E394">
        <v>0</v>
      </c>
      <c r="F394">
        <v>0</v>
      </c>
      <c r="G394">
        <v>0</v>
      </c>
      <c r="H394">
        <v>0</v>
      </c>
      <c r="I394">
        <v>517</v>
      </c>
    </row>
    <row r="395" spans="1:9" x14ac:dyDescent="0.35">
      <c r="A395" s="461" t="s">
        <v>773</v>
      </c>
      <c r="B395" s="461" t="s">
        <v>235</v>
      </c>
      <c r="C395" s="461" t="s">
        <v>51</v>
      </c>
      <c r="D395">
        <v>0</v>
      </c>
      <c r="E395">
        <v>109</v>
      </c>
      <c r="F395">
        <v>0</v>
      </c>
      <c r="G395">
        <v>0</v>
      </c>
      <c r="H395">
        <v>0</v>
      </c>
      <c r="I395">
        <v>109</v>
      </c>
    </row>
    <row r="396" spans="1:9" x14ac:dyDescent="0.35">
      <c r="A396" s="461" t="s">
        <v>773</v>
      </c>
      <c r="B396" s="461" t="s">
        <v>235</v>
      </c>
      <c r="C396" s="461" t="s">
        <v>38</v>
      </c>
      <c r="D396">
        <v>49</v>
      </c>
      <c r="E396">
        <v>80</v>
      </c>
      <c r="F396">
        <v>0</v>
      </c>
      <c r="G396">
        <v>0</v>
      </c>
      <c r="H396">
        <v>0</v>
      </c>
      <c r="I396">
        <v>129</v>
      </c>
    </row>
    <row r="397" spans="1:9" x14ac:dyDescent="0.35">
      <c r="A397" s="461" t="s">
        <v>773</v>
      </c>
      <c r="B397" s="461" t="s">
        <v>235</v>
      </c>
      <c r="C397" s="461" t="s">
        <v>41</v>
      </c>
      <c r="D397">
        <v>50</v>
      </c>
      <c r="E397">
        <v>0</v>
      </c>
      <c r="F397">
        <v>0</v>
      </c>
      <c r="G397">
        <v>0</v>
      </c>
      <c r="H397">
        <v>0</v>
      </c>
      <c r="I397">
        <v>50</v>
      </c>
    </row>
    <row r="398" spans="1:9" x14ac:dyDescent="0.35">
      <c r="A398" s="461" t="s">
        <v>773</v>
      </c>
      <c r="B398" s="461" t="s">
        <v>235</v>
      </c>
      <c r="C398" s="461" t="s">
        <v>45</v>
      </c>
      <c r="D398">
        <v>70</v>
      </c>
      <c r="E398">
        <v>42</v>
      </c>
      <c r="F398">
        <v>0</v>
      </c>
      <c r="G398">
        <v>0</v>
      </c>
      <c r="H398">
        <v>0</v>
      </c>
      <c r="I398">
        <v>112</v>
      </c>
    </row>
    <row r="399" spans="1:9" x14ac:dyDescent="0.35">
      <c r="A399" s="461" t="s">
        <v>773</v>
      </c>
      <c r="B399" s="461" t="s">
        <v>235</v>
      </c>
      <c r="C399" s="461" t="s">
        <v>46</v>
      </c>
      <c r="D399">
        <v>26</v>
      </c>
      <c r="E399">
        <v>13</v>
      </c>
      <c r="F399">
        <v>0</v>
      </c>
      <c r="G399">
        <v>0</v>
      </c>
      <c r="H399">
        <v>0</v>
      </c>
      <c r="I399">
        <v>39</v>
      </c>
    </row>
    <row r="400" spans="1:9" x14ac:dyDescent="0.35">
      <c r="A400" s="461" t="s">
        <v>773</v>
      </c>
      <c r="B400" s="461" t="s">
        <v>235</v>
      </c>
      <c r="C400" s="461" t="s">
        <v>47</v>
      </c>
      <c r="D400">
        <v>30</v>
      </c>
      <c r="E400">
        <v>121</v>
      </c>
      <c r="F400">
        <v>0</v>
      </c>
      <c r="G400">
        <v>0</v>
      </c>
      <c r="H400">
        <v>4</v>
      </c>
      <c r="I400">
        <v>155</v>
      </c>
    </row>
    <row r="401" spans="1:9" x14ac:dyDescent="0.35">
      <c r="A401" s="461" t="s">
        <v>773</v>
      </c>
      <c r="B401" s="461" t="s">
        <v>235</v>
      </c>
      <c r="C401" s="461" t="s">
        <v>59</v>
      </c>
      <c r="D401">
        <v>73</v>
      </c>
      <c r="E401">
        <v>20</v>
      </c>
      <c r="F401">
        <v>0</v>
      </c>
      <c r="G401">
        <v>0</v>
      </c>
      <c r="H401">
        <v>0</v>
      </c>
      <c r="I401">
        <v>93</v>
      </c>
    </row>
    <row r="402" spans="1:9" x14ac:dyDescent="0.35">
      <c r="A402" s="461" t="s">
        <v>773</v>
      </c>
      <c r="B402" s="461" t="s">
        <v>235</v>
      </c>
      <c r="C402" s="461" t="s">
        <v>245</v>
      </c>
      <c r="D402">
        <v>306</v>
      </c>
      <c r="E402">
        <v>8</v>
      </c>
      <c r="F402">
        <v>0</v>
      </c>
      <c r="G402">
        <v>0</v>
      </c>
      <c r="H402">
        <v>0</v>
      </c>
      <c r="I402">
        <v>314</v>
      </c>
    </row>
    <row r="403" spans="1:9" x14ac:dyDescent="0.35">
      <c r="A403" s="461" t="s">
        <v>773</v>
      </c>
      <c r="B403" s="461" t="s">
        <v>235</v>
      </c>
      <c r="C403" s="461" t="s">
        <v>48</v>
      </c>
      <c r="D403">
        <v>0</v>
      </c>
      <c r="E403">
        <v>135</v>
      </c>
      <c r="F403">
        <v>0</v>
      </c>
      <c r="G403">
        <v>0</v>
      </c>
      <c r="H403">
        <v>0</v>
      </c>
      <c r="I403">
        <v>135</v>
      </c>
    </row>
    <row r="404" spans="1:9" x14ac:dyDescent="0.35">
      <c r="A404" s="461" t="s">
        <v>773</v>
      </c>
      <c r="B404" s="461" t="s">
        <v>235</v>
      </c>
      <c r="C404" s="461" t="s">
        <v>53</v>
      </c>
      <c r="D404">
        <v>102</v>
      </c>
      <c r="E404">
        <v>15</v>
      </c>
      <c r="F404">
        <v>0</v>
      </c>
      <c r="G404">
        <v>0</v>
      </c>
      <c r="H404">
        <v>0</v>
      </c>
      <c r="I404">
        <v>117</v>
      </c>
    </row>
    <row r="405" spans="1:9" x14ac:dyDescent="0.35">
      <c r="A405" s="461" t="s">
        <v>773</v>
      </c>
      <c r="B405" s="461" t="s">
        <v>235</v>
      </c>
      <c r="C405" s="461" t="s">
        <v>58</v>
      </c>
      <c r="D405">
        <v>51</v>
      </c>
      <c r="E405">
        <v>75</v>
      </c>
      <c r="F405">
        <v>0</v>
      </c>
      <c r="G405">
        <v>0</v>
      </c>
      <c r="H405">
        <v>0</v>
      </c>
      <c r="I405">
        <v>126</v>
      </c>
    </row>
    <row r="406" spans="1:9" x14ac:dyDescent="0.35">
      <c r="A406" s="461" t="s">
        <v>773</v>
      </c>
      <c r="B406" s="461" t="s">
        <v>235</v>
      </c>
      <c r="C406" s="461" t="s">
        <v>35</v>
      </c>
      <c r="D406">
        <v>25</v>
      </c>
      <c r="E406">
        <v>25</v>
      </c>
      <c r="F406">
        <v>0</v>
      </c>
      <c r="G406">
        <v>0</v>
      </c>
      <c r="H406">
        <v>0</v>
      </c>
      <c r="I406">
        <v>50</v>
      </c>
    </row>
    <row r="407" spans="1:9" x14ac:dyDescent="0.35">
      <c r="A407" s="461" t="s">
        <v>773</v>
      </c>
      <c r="B407" s="461" t="s">
        <v>235</v>
      </c>
      <c r="C407" s="461" t="s">
        <v>39</v>
      </c>
      <c r="D407">
        <v>79</v>
      </c>
      <c r="E407">
        <v>0</v>
      </c>
      <c r="F407">
        <v>0</v>
      </c>
      <c r="G407">
        <v>0</v>
      </c>
      <c r="H407">
        <v>0</v>
      </c>
      <c r="I407">
        <v>79</v>
      </c>
    </row>
    <row r="408" spans="1:9" x14ac:dyDescent="0.35">
      <c r="A408" s="461" t="s">
        <v>773</v>
      </c>
      <c r="B408" s="461" t="s">
        <v>235</v>
      </c>
      <c r="C408" s="461" t="s">
        <v>40</v>
      </c>
      <c r="D408">
        <v>25</v>
      </c>
      <c r="E408">
        <v>65</v>
      </c>
      <c r="F408">
        <v>0</v>
      </c>
      <c r="G408">
        <v>0</v>
      </c>
      <c r="H408">
        <v>0</v>
      </c>
      <c r="I408">
        <v>90</v>
      </c>
    </row>
    <row r="409" spans="1:9" x14ac:dyDescent="0.35">
      <c r="A409" s="461" t="s">
        <v>773</v>
      </c>
      <c r="B409" s="461" t="s">
        <v>235</v>
      </c>
      <c r="C409" s="461" t="s">
        <v>55</v>
      </c>
      <c r="D409">
        <v>0</v>
      </c>
      <c r="E409">
        <v>134</v>
      </c>
      <c r="F409">
        <v>0</v>
      </c>
      <c r="G409">
        <v>0</v>
      </c>
      <c r="H409">
        <v>0</v>
      </c>
      <c r="I409">
        <v>134</v>
      </c>
    </row>
    <row r="410" spans="1:9" x14ac:dyDescent="0.35">
      <c r="A410" s="461" t="s">
        <v>773</v>
      </c>
      <c r="B410" s="461" t="s">
        <v>235</v>
      </c>
      <c r="C410" s="461" t="s">
        <v>33</v>
      </c>
      <c r="D410">
        <v>27</v>
      </c>
      <c r="E410">
        <v>103</v>
      </c>
      <c r="F410">
        <v>0</v>
      </c>
      <c r="G410">
        <v>0</v>
      </c>
      <c r="H410">
        <v>0</v>
      </c>
      <c r="I410">
        <v>130</v>
      </c>
    </row>
    <row r="411" spans="1:9" x14ac:dyDescent="0.35">
      <c r="A411" s="461" t="s">
        <v>773</v>
      </c>
      <c r="B411" s="461" t="s">
        <v>235</v>
      </c>
      <c r="C411" s="461" t="s">
        <v>43</v>
      </c>
      <c r="D411">
        <v>269</v>
      </c>
      <c r="E411">
        <v>113</v>
      </c>
      <c r="F411">
        <v>0</v>
      </c>
      <c r="G411">
        <v>0</v>
      </c>
      <c r="H411">
        <v>0</v>
      </c>
      <c r="I411">
        <v>382</v>
      </c>
    </row>
    <row r="412" spans="1:9" x14ac:dyDescent="0.35">
      <c r="A412" s="461" t="s">
        <v>773</v>
      </c>
      <c r="B412" s="461" t="s">
        <v>235</v>
      </c>
      <c r="C412" s="461" t="s">
        <v>44</v>
      </c>
      <c r="D412">
        <v>71</v>
      </c>
      <c r="E412">
        <v>525</v>
      </c>
      <c r="F412">
        <v>0</v>
      </c>
      <c r="G412">
        <v>0</v>
      </c>
      <c r="H412">
        <v>49</v>
      </c>
      <c r="I412">
        <v>645</v>
      </c>
    </row>
    <row r="413" spans="1:9" x14ac:dyDescent="0.35">
      <c r="A413" s="461" t="s">
        <v>773</v>
      </c>
      <c r="B413" s="461" t="s">
        <v>235</v>
      </c>
      <c r="C413" s="461" t="s">
        <v>50</v>
      </c>
      <c r="D413">
        <v>163</v>
      </c>
      <c r="E413">
        <v>37</v>
      </c>
      <c r="F413">
        <v>0</v>
      </c>
      <c r="G413">
        <v>0</v>
      </c>
      <c r="H413">
        <v>0</v>
      </c>
      <c r="I413">
        <v>200</v>
      </c>
    </row>
    <row r="414" spans="1:9" x14ac:dyDescent="0.35">
      <c r="A414" s="461" t="s">
        <v>773</v>
      </c>
      <c r="B414" s="461" t="s">
        <v>235</v>
      </c>
      <c r="C414" s="461" t="s">
        <v>57</v>
      </c>
      <c r="D414">
        <v>168</v>
      </c>
      <c r="E414">
        <v>86</v>
      </c>
      <c r="F414">
        <v>0</v>
      </c>
      <c r="G414">
        <v>0</v>
      </c>
      <c r="H414">
        <v>2</v>
      </c>
      <c r="I414">
        <v>256</v>
      </c>
    </row>
    <row r="415" spans="1:9" x14ac:dyDescent="0.35">
      <c r="A415" s="461" t="s">
        <v>773</v>
      </c>
      <c r="B415" s="461" t="s">
        <v>236</v>
      </c>
      <c r="C415" s="461" t="s">
        <v>63</v>
      </c>
      <c r="D415">
        <v>25</v>
      </c>
      <c r="E415">
        <v>0</v>
      </c>
      <c r="F415">
        <v>0</v>
      </c>
      <c r="G415">
        <v>0</v>
      </c>
      <c r="H415">
        <v>0</v>
      </c>
      <c r="I415">
        <v>25</v>
      </c>
    </row>
    <row r="416" spans="1:9" x14ac:dyDescent="0.35">
      <c r="A416" s="461" t="s">
        <v>773</v>
      </c>
      <c r="B416" s="461" t="s">
        <v>236</v>
      </c>
      <c r="C416" s="461" t="s">
        <v>67</v>
      </c>
      <c r="D416">
        <v>29</v>
      </c>
      <c r="E416">
        <v>0</v>
      </c>
      <c r="F416">
        <v>0</v>
      </c>
      <c r="G416">
        <v>0</v>
      </c>
      <c r="H416">
        <v>0</v>
      </c>
      <c r="I416">
        <v>29</v>
      </c>
    </row>
    <row r="417" spans="1:9" x14ac:dyDescent="0.35">
      <c r="A417" s="461" t="s">
        <v>773</v>
      </c>
      <c r="B417" s="461" t="s">
        <v>236</v>
      </c>
      <c r="C417" s="461" t="s">
        <v>114</v>
      </c>
      <c r="D417">
        <v>25</v>
      </c>
      <c r="E417">
        <v>0</v>
      </c>
      <c r="F417">
        <v>0</v>
      </c>
      <c r="G417">
        <v>0</v>
      </c>
      <c r="H417">
        <v>0</v>
      </c>
      <c r="I417">
        <v>25</v>
      </c>
    </row>
    <row r="418" spans="1:9" x14ac:dyDescent="0.35">
      <c r="A418" s="461" t="s">
        <v>773</v>
      </c>
      <c r="B418" s="461" t="s">
        <v>236</v>
      </c>
      <c r="C418" s="461" t="s">
        <v>57</v>
      </c>
      <c r="D418">
        <v>16</v>
      </c>
      <c r="E418">
        <v>0</v>
      </c>
      <c r="F418">
        <v>0</v>
      </c>
      <c r="G418">
        <v>0</v>
      </c>
      <c r="H418">
        <v>0</v>
      </c>
      <c r="I418">
        <v>16</v>
      </c>
    </row>
    <row r="419" spans="1:9" x14ac:dyDescent="0.35">
      <c r="A419" s="461" t="s">
        <v>773</v>
      </c>
      <c r="B419" s="461" t="s">
        <v>236</v>
      </c>
      <c r="C419" s="461" t="s">
        <v>65</v>
      </c>
      <c r="D419">
        <v>31</v>
      </c>
      <c r="E419">
        <v>0</v>
      </c>
      <c r="F419">
        <v>0</v>
      </c>
      <c r="G419">
        <v>0</v>
      </c>
      <c r="H419">
        <v>0</v>
      </c>
      <c r="I419">
        <v>31</v>
      </c>
    </row>
    <row r="420" spans="1:9" x14ac:dyDescent="0.35">
      <c r="A420" s="461" t="s">
        <v>773</v>
      </c>
      <c r="B420" s="461" t="s">
        <v>236</v>
      </c>
      <c r="C420" s="461" t="s">
        <v>68</v>
      </c>
      <c r="D420">
        <v>13</v>
      </c>
      <c r="E420">
        <v>0</v>
      </c>
      <c r="F420">
        <v>0</v>
      </c>
      <c r="G420">
        <v>0</v>
      </c>
      <c r="H420">
        <v>0</v>
      </c>
      <c r="I420">
        <v>13</v>
      </c>
    </row>
    <row r="421" spans="1:9" x14ac:dyDescent="0.35">
      <c r="A421" s="461" t="s">
        <v>773</v>
      </c>
      <c r="B421" s="461" t="s">
        <v>236</v>
      </c>
      <c r="C421" s="461" t="s">
        <v>70</v>
      </c>
      <c r="D421">
        <v>38</v>
      </c>
      <c r="E421">
        <v>0</v>
      </c>
      <c r="F421">
        <v>0</v>
      </c>
      <c r="G421">
        <v>0</v>
      </c>
      <c r="H421">
        <v>0</v>
      </c>
      <c r="I421">
        <v>38</v>
      </c>
    </row>
    <row r="422" spans="1:9" x14ac:dyDescent="0.35">
      <c r="A422" s="461" t="s">
        <v>773</v>
      </c>
      <c r="B422" s="461" t="s">
        <v>236</v>
      </c>
      <c r="C422" s="461" t="s">
        <v>775</v>
      </c>
      <c r="D422">
        <v>38</v>
      </c>
      <c r="E422">
        <v>0</v>
      </c>
      <c r="F422">
        <v>0</v>
      </c>
      <c r="G422">
        <v>0</v>
      </c>
      <c r="H422">
        <v>0</v>
      </c>
      <c r="I422">
        <v>38</v>
      </c>
    </row>
    <row r="423" spans="1:9" x14ac:dyDescent="0.35">
      <c r="A423" s="461" t="s">
        <v>773</v>
      </c>
      <c r="B423" s="461" t="s">
        <v>236</v>
      </c>
      <c r="C423" s="461" t="s">
        <v>71</v>
      </c>
      <c r="D423">
        <v>14</v>
      </c>
      <c r="E423">
        <v>0</v>
      </c>
      <c r="F423">
        <v>0</v>
      </c>
      <c r="G423">
        <v>0</v>
      </c>
      <c r="H423">
        <v>0</v>
      </c>
      <c r="I423">
        <v>14</v>
      </c>
    </row>
    <row r="424" spans="1:9" x14ac:dyDescent="0.35">
      <c r="A424" s="461" t="s">
        <v>773</v>
      </c>
      <c r="B424" s="461" t="s">
        <v>236</v>
      </c>
      <c r="C424" s="461" t="s">
        <v>31</v>
      </c>
      <c r="D424">
        <v>13</v>
      </c>
      <c r="E424">
        <v>0</v>
      </c>
      <c r="F424">
        <v>0</v>
      </c>
      <c r="G424">
        <v>0</v>
      </c>
      <c r="H424">
        <v>0</v>
      </c>
      <c r="I424">
        <v>13</v>
      </c>
    </row>
    <row r="425" spans="1:9" x14ac:dyDescent="0.35">
      <c r="A425" s="461" t="s">
        <v>773</v>
      </c>
      <c r="B425" s="461" t="s">
        <v>236</v>
      </c>
      <c r="C425" s="461" t="s">
        <v>66</v>
      </c>
      <c r="D425">
        <v>28</v>
      </c>
      <c r="E425">
        <v>0</v>
      </c>
      <c r="F425">
        <v>0</v>
      </c>
      <c r="G425">
        <v>0</v>
      </c>
      <c r="H425">
        <v>0</v>
      </c>
      <c r="I425">
        <v>28</v>
      </c>
    </row>
    <row r="426" spans="1:9" x14ac:dyDescent="0.35">
      <c r="A426" s="461" t="s">
        <v>773</v>
      </c>
      <c r="B426" s="461" t="s">
        <v>236</v>
      </c>
      <c r="C426" s="461" t="s">
        <v>50</v>
      </c>
      <c r="D426">
        <v>16</v>
      </c>
      <c r="E426">
        <v>0</v>
      </c>
      <c r="F426">
        <v>0</v>
      </c>
      <c r="G426">
        <v>0</v>
      </c>
      <c r="H426">
        <v>0</v>
      </c>
      <c r="I426">
        <v>16</v>
      </c>
    </row>
    <row r="427" spans="1:9" x14ac:dyDescent="0.35">
      <c r="A427" s="461" t="s">
        <v>773</v>
      </c>
      <c r="B427" s="461" t="s">
        <v>236</v>
      </c>
      <c r="C427" s="461" t="s">
        <v>36</v>
      </c>
      <c r="D427">
        <v>22</v>
      </c>
      <c r="E427">
        <v>0</v>
      </c>
      <c r="F427">
        <v>0</v>
      </c>
      <c r="G427">
        <v>0</v>
      </c>
      <c r="H427">
        <v>0</v>
      </c>
      <c r="I427">
        <v>22</v>
      </c>
    </row>
    <row r="428" spans="1:9" x14ac:dyDescent="0.35">
      <c r="A428" s="461" t="s">
        <v>773</v>
      </c>
      <c r="B428" s="461" t="s">
        <v>236</v>
      </c>
      <c r="C428" s="461" t="s">
        <v>167</v>
      </c>
      <c r="D428">
        <v>28</v>
      </c>
      <c r="E428">
        <v>0</v>
      </c>
      <c r="F428">
        <v>0</v>
      </c>
      <c r="G428">
        <v>0</v>
      </c>
      <c r="H428">
        <v>0</v>
      </c>
      <c r="I428">
        <v>28</v>
      </c>
    </row>
    <row r="429" spans="1:9" x14ac:dyDescent="0.35">
      <c r="A429" s="461" t="s">
        <v>773</v>
      </c>
      <c r="B429" s="461" t="s">
        <v>236</v>
      </c>
      <c r="C429" s="461" t="s">
        <v>64</v>
      </c>
      <c r="D429">
        <v>28</v>
      </c>
      <c r="E429">
        <v>0</v>
      </c>
      <c r="F429">
        <v>0</v>
      </c>
      <c r="G429">
        <v>0</v>
      </c>
      <c r="H429">
        <v>0</v>
      </c>
      <c r="I429">
        <v>28</v>
      </c>
    </row>
    <row r="430" spans="1:9" x14ac:dyDescent="0.35">
      <c r="A430" s="461" t="s">
        <v>773</v>
      </c>
      <c r="B430" s="461" t="s">
        <v>236</v>
      </c>
      <c r="C430" s="461" t="s">
        <v>69</v>
      </c>
      <c r="D430">
        <v>19</v>
      </c>
      <c r="E430">
        <v>0</v>
      </c>
      <c r="F430">
        <v>0</v>
      </c>
      <c r="G430">
        <v>0</v>
      </c>
      <c r="H430">
        <v>0</v>
      </c>
      <c r="I430">
        <v>19</v>
      </c>
    </row>
    <row r="431" spans="1:9" x14ac:dyDescent="0.35">
      <c r="A431" s="461" t="s">
        <v>773</v>
      </c>
      <c r="B431" s="461" t="s">
        <v>237</v>
      </c>
      <c r="C431" s="461" t="s">
        <v>166</v>
      </c>
      <c r="D431">
        <v>52</v>
      </c>
      <c r="E431">
        <v>0</v>
      </c>
      <c r="F431">
        <v>0</v>
      </c>
      <c r="G431">
        <v>0</v>
      </c>
      <c r="H431">
        <v>0</v>
      </c>
      <c r="I431">
        <v>52</v>
      </c>
    </row>
    <row r="432" spans="1:9" x14ac:dyDescent="0.35">
      <c r="A432" s="461" t="s">
        <v>773</v>
      </c>
      <c r="B432" s="461" t="s">
        <v>237</v>
      </c>
      <c r="C432" s="461" t="s">
        <v>164</v>
      </c>
      <c r="D432">
        <v>42</v>
      </c>
      <c r="E432">
        <v>0</v>
      </c>
      <c r="F432">
        <v>0</v>
      </c>
      <c r="G432">
        <v>0</v>
      </c>
      <c r="H432">
        <v>0</v>
      </c>
      <c r="I432">
        <v>42</v>
      </c>
    </row>
    <row r="433" spans="1:9" x14ac:dyDescent="0.35">
      <c r="A433" s="461" t="s">
        <v>773</v>
      </c>
      <c r="B433" s="461" t="s">
        <v>237</v>
      </c>
      <c r="C433" s="461" t="s">
        <v>165</v>
      </c>
      <c r="D433">
        <v>103</v>
      </c>
      <c r="E433">
        <v>0</v>
      </c>
      <c r="F433">
        <v>0</v>
      </c>
      <c r="G433">
        <v>0</v>
      </c>
      <c r="H433">
        <v>0</v>
      </c>
      <c r="I433">
        <v>103</v>
      </c>
    </row>
    <row r="434" spans="1:9" x14ac:dyDescent="0.35">
      <c r="A434" s="461" t="s">
        <v>773</v>
      </c>
      <c r="B434" s="461" t="s">
        <v>238</v>
      </c>
      <c r="C434" s="461" t="s">
        <v>246</v>
      </c>
      <c r="D434">
        <v>90</v>
      </c>
      <c r="E434">
        <v>0</v>
      </c>
      <c r="F434">
        <v>188</v>
      </c>
      <c r="G434">
        <v>0</v>
      </c>
      <c r="H434">
        <v>0</v>
      </c>
      <c r="I434">
        <v>278</v>
      </c>
    </row>
    <row r="435" spans="1:9" x14ac:dyDescent="0.35">
      <c r="A435" s="461" t="s">
        <v>951</v>
      </c>
      <c r="B435" s="461" t="s">
        <v>17418</v>
      </c>
      <c r="C435" s="461" t="s">
        <v>44</v>
      </c>
      <c r="D435">
        <v>0</v>
      </c>
      <c r="E435">
        <v>0</v>
      </c>
      <c r="F435">
        <v>0</v>
      </c>
      <c r="G435">
        <v>3</v>
      </c>
      <c r="H435">
        <v>0</v>
      </c>
      <c r="I435">
        <v>3</v>
      </c>
    </row>
    <row r="436" spans="1:9" x14ac:dyDescent="0.35">
      <c r="A436" s="461" t="s">
        <v>951</v>
      </c>
      <c r="B436" s="461" t="s">
        <v>17418</v>
      </c>
      <c r="C436" s="461" t="s">
        <v>45</v>
      </c>
      <c r="D436">
        <v>0</v>
      </c>
      <c r="E436">
        <v>0</v>
      </c>
      <c r="F436">
        <v>0</v>
      </c>
      <c r="G436">
        <v>2</v>
      </c>
      <c r="H436">
        <v>0</v>
      </c>
      <c r="I436">
        <v>2</v>
      </c>
    </row>
    <row r="437" spans="1:9" x14ac:dyDescent="0.35">
      <c r="A437" s="461" t="s">
        <v>951</v>
      </c>
      <c r="B437" s="461" t="s">
        <v>17418</v>
      </c>
      <c r="C437" s="461" t="s">
        <v>53</v>
      </c>
      <c r="D437">
        <v>0</v>
      </c>
      <c r="E437">
        <v>0</v>
      </c>
      <c r="F437">
        <v>0</v>
      </c>
      <c r="G437">
        <v>3</v>
      </c>
      <c r="H437">
        <v>0</v>
      </c>
      <c r="I437">
        <v>3</v>
      </c>
    </row>
    <row r="438" spans="1:9" x14ac:dyDescent="0.35">
      <c r="A438" s="461" t="s">
        <v>951</v>
      </c>
      <c r="B438" s="461" t="s">
        <v>17418</v>
      </c>
      <c r="C438" s="461" t="s">
        <v>31</v>
      </c>
      <c r="D438">
        <v>0</v>
      </c>
      <c r="E438">
        <v>0</v>
      </c>
      <c r="F438">
        <v>0</v>
      </c>
      <c r="G438">
        <v>8</v>
      </c>
      <c r="H438">
        <v>0</v>
      </c>
      <c r="I438">
        <v>8</v>
      </c>
    </row>
    <row r="439" spans="1:9" x14ac:dyDescent="0.35">
      <c r="A439" s="461" t="s">
        <v>951</v>
      </c>
      <c r="B439" s="461" t="s">
        <v>17418</v>
      </c>
      <c r="C439" s="461" t="s">
        <v>42</v>
      </c>
      <c r="D439">
        <v>0</v>
      </c>
      <c r="E439">
        <v>0</v>
      </c>
      <c r="F439">
        <v>0</v>
      </c>
      <c r="G439">
        <v>3</v>
      </c>
      <c r="H439">
        <v>0</v>
      </c>
      <c r="I439">
        <v>3</v>
      </c>
    </row>
    <row r="440" spans="1:9" x14ac:dyDescent="0.35">
      <c r="A440" s="461" t="s">
        <v>951</v>
      </c>
      <c r="B440" s="461" t="s">
        <v>17418</v>
      </c>
      <c r="C440" s="461" t="s">
        <v>46</v>
      </c>
      <c r="D440">
        <v>0</v>
      </c>
      <c r="E440">
        <v>0</v>
      </c>
      <c r="F440">
        <v>0</v>
      </c>
      <c r="G440">
        <v>1</v>
      </c>
      <c r="H440">
        <v>0</v>
      </c>
      <c r="I440">
        <v>1</v>
      </c>
    </row>
    <row r="441" spans="1:9" x14ac:dyDescent="0.35">
      <c r="A441" s="461" t="s">
        <v>951</v>
      </c>
      <c r="B441" s="461" t="s">
        <v>17418</v>
      </c>
      <c r="C441" s="461" t="s">
        <v>50</v>
      </c>
      <c r="D441">
        <v>0</v>
      </c>
      <c r="E441">
        <v>0</v>
      </c>
      <c r="F441">
        <v>0</v>
      </c>
      <c r="G441">
        <v>2</v>
      </c>
      <c r="H441">
        <v>0</v>
      </c>
      <c r="I441">
        <v>2</v>
      </c>
    </row>
    <row r="442" spans="1:9" x14ac:dyDescent="0.35">
      <c r="A442" s="461" t="s">
        <v>951</v>
      </c>
      <c r="B442" s="461" t="s">
        <v>17418</v>
      </c>
      <c r="C442" s="461" t="s">
        <v>51</v>
      </c>
      <c r="D442">
        <v>0</v>
      </c>
      <c r="E442">
        <v>0</v>
      </c>
      <c r="F442">
        <v>0</v>
      </c>
      <c r="G442">
        <v>1</v>
      </c>
      <c r="H442">
        <v>0</v>
      </c>
      <c r="I442">
        <v>1</v>
      </c>
    </row>
    <row r="443" spans="1:9" x14ac:dyDescent="0.35">
      <c r="A443" s="461" t="s">
        <v>951</v>
      </c>
      <c r="B443" s="461" t="s">
        <v>17418</v>
      </c>
      <c r="C443" s="461" t="s">
        <v>17420</v>
      </c>
      <c r="D443">
        <v>0</v>
      </c>
      <c r="E443">
        <v>0</v>
      </c>
      <c r="F443">
        <v>0</v>
      </c>
      <c r="G443">
        <v>1</v>
      </c>
      <c r="H443">
        <v>0</v>
      </c>
      <c r="I443">
        <v>1</v>
      </c>
    </row>
    <row r="444" spans="1:9" x14ac:dyDescent="0.35">
      <c r="A444" s="461" t="s">
        <v>951</v>
      </c>
      <c r="B444" s="461" t="s">
        <v>17418</v>
      </c>
      <c r="C444" s="461" t="s">
        <v>56</v>
      </c>
      <c r="D444">
        <v>0</v>
      </c>
      <c r="E444">
        <v>0</v>
      </c>
      <c r="F444">
        <v>0</v>
      </c>
      <c r="G444">
        <v>6</v>
      </c>
      <c r="H444">
        <v>0</v>
      </c>
      <c r="I444">
        <v>6</v>
      </c>
    </row>
    <row r="445" spans="1:9" x14ac:dyDescent="0.35">
      <c r="A445" s="461" t="s">
        <v>951</v>
      </c>
      <c r="B445" s="461" t="s">
        <v>17418</v>
      </c>
      <c r="C445" s="461" t="s">
        <v>60</v>
      </c>
      <c r="D445">
        <v>0</v>
      </c>
      <c r="E445">
        <v>0</v>
      </c>
      <c r="F445">
        <v>0</v>
      </c>
      <c r="G445">
        <v>2</v>
      </c>
      <c r="H445">
        <v>0</v>
      </c>
      <c r="I445">
        <v>2</v>
      </c>
    </row>
    <row r="446" spans="1:9" x14ac:dyDescent="0.35">
      <c r="A446" s="461" t="s">
        <v>951</v>
      </c>
      <c r="B446" s="461" t="s">
        <v>17418</v>
      </c>
      <c r="C446" s="461" t="s">
        <v>41</v>
      </c>
      <c r="D446">
        <v>0</v>
      </c>
      <c r="E446">
        <v>0</v>
      </c>
      <c r="F446">
        <v>0</v>
      </c>
      <c r="G446">
        <v>1</v>
      </c>
      <c r="H446">
        <v>0</v>
      </c>
      <c r="I446">
        <v>1</v>
      </c>
    </row>
    <row r="447" spans="1:9" x14ac:dyDescent="0.35">
      <c r="A447" s="461" t="s">
        <v>951</v>
      </c>
      <c r="B447" s="461" t="s">
        <v>17418</v>
      </c>
      <c r="C447" s="461" t="s">
        <v>32</v>
      </c>
      <c r="D447">
        <v>0</v>
      </c>
      <c r="E447">
        <v>0</v>
      </c>
      <c r="F447">
        <v>0</v>
      </c>
      <c r="G447">
        <v>1</v>
      </c>
      <c r="H447">
        <v>0</v>
      </c>
      <c r="I447">
        <v>1</v>
      </c>
    </row>
    <row r="448" spans="1:9" x14ac:dyDescent="0.35">
      <c r="A448" s="461" t="s">
        <v>951</v>
      </c>
      <c r="B448" s="461" t="s">
        <v>17418</v>
      </c>
      <c r="C448" s="461" t="s">
        <v>17421</v>
      </c>
      <c r="D448">
        <v>0</v>
      </c>
      <c r="E448">
        <v>0</v>
      </c>
      <c r="F448">
        <v>0</v>
      </c>
      <c r="G448">
        <v>1</v>
      </c>
      <c r="H448">
        <v>0</v>
      </c>
      <c r="I448">
        <v>1</v>
      </c>
    </row>
    <row r="449" spans="1:9" x14ac:dyDescent="0.35">
      <c r="A449" s="461" t="s">
        <v>951</v>
      </c>
      <c r="B449" s="461" t="s">
        <v>17418</v>
      </c>
      <c r="C449" s="461" t="s">
        <v>114</v>
      </c>
      <c r="D449">
        <v>0</v>
      </c>
      <c r="E449">
        <v>0</v>
      </c>
      <c r="F449">
        <v>0</v>
      </c>
      <c r="G449">
        <v>7</v>
      </c>
      <c r="H449">
        <v>0</v>
      </c>
      <c r="I449">
        <v>7</v>
      </c>
    </row>
    <row r="450" spans="1:9" x14ac:dyDescent="0.35">
      <c r="A450" s="461" t="s">
        <v>951</v>
      </c>
      <c r="B450" s="461" t="s">
        <v>17418</v>
      </c>
      <c r="C450" s="461" t="s">
        <v>48</v>
      </c>
      <c r="D450">
        <v>0</v>
      </c>
      <c r="E450">
        <v>0</v>
      </c>
      <c r="F450">
        <v>0</v>
      </c>
      <c r="G450">
        <v>1</v>
      </c>
      <c r="H450">
        <v>0</v>
      </c>
      <c r="I450">
        <v>1</v>
      </c>
    </row>
    <row r="451" spans="1:9" x14ac:dyDescent="0.35">
      <c r="A451" s="461" t="s">
        <v>951</v>
      </c>
      <c r="B451" s="461" t="s">
        <v>17418</v>
      </c>
      <c r="C451" s="461" t="s">
        <v>55</v>
      </c>
      <c r="D451">
        <v>0</v>
      </c>
      <c r="E451">
        <v>0</v>
      </c>
      <c r="F451">
        <v>0</v>
      </c>
      <c r="G451">
        <v>1</v>
      </c>
      <c r="H451">
        <v>0</v>
      </c>
      <c r="I451">
        <v>1</v>
      </c>
    </row>
    <row r="452" spans="1:9" x14ac:dyDescent="0.35">
      <c r="A452" s="461" t="s">
        <v>951</v>
      </c>
      <c r="B452" s="461" t="s">
        <v>17418</v>
      </c>
      <c r="C452" s="461" t="s">
        <v>43</v>
      </c>
      <c r="D452">
        <v>0</v>
      </c>
      <c r="E452">
        <v>0</v>
      </c>
      <c r="F452">
        <v>0</v>
      </c>
      <c r="G452">
        <v>2</v>
      </c>
      <c r="H452">
        <v>0</v>
      </c>
      <c r="I452">
        <v>2</v>
      </c>
    </row>
    <row r="453" spans="1:9" x14ac:dyDescent="0.35">
      <c r="A453" s="461" t="s">
        <v>951</v>
      </c>
      <c r="B453" s="461" t="s">
        <v>17418</v>
      </c>
      <c r="C453" s="461" t="s">
        <v>49</v>
      </c>
      <c r="D453">
        <v>0</v>
      </c>
      <c r="E453">
        <v>0</v>
      </c>
      <c r="F453">
        <v>0</v>
      </c>
      <c r="G453">
        <v>5</v>
      </c>
      <c r="H453">
        <v>0</v>
      </c>
      <c r="I453">
        <v>5</v>
      </c>
    </row>
    <row r="454" spans="1:9" x14ac:dyDescent="0.35">
      <c r="A454" s="461" t="s">
        <v>951</v>
      </c>
      <c r="B454" s="461" t="s">
        <v>17418</v>
      </c>
      <c r="C454" s="461"/>
      <c r="D454">
        <v>0</v>
      </c>
      <c r="E454">
        <v>0</v>
      </c>
      <c r="F454">
        <v>0</v>
      </c>
      <c r="G454">
        <v>781</v>
      </c>
      <c r="H454">
        <v>0</v>
      </c>
      <c r="I454">
        <v>781</v>
      </c>
    </row>
    <row r="455" spans="1:9" x14ac:dyDescent="0.35">
      <c r="A455" s="461" t="s">
        <v>951</v>
      </c>
      <c r="B455" s="461" t="s">
        <v>17418</v>
      </c>
      <c r="C455" s="461" t="s">
        <v>38</v>
      </c>
      <c r="D455">
        <v>0</v>
      </c>
      <c r="E455">
        <v>0</v>
      </c>
      <c r="F455">
        <v>0</v>
      </c>
      <c r="G455">
        <v>1</v>
      </c>
      <c r="H455">
        <v>0</v>
      </c>
      <c r="I455">
        <v>1</v>
      </c>
    </row>
    <row r="456" spans="1:9" x14ac:dyDescent="0.35">
      <c r="A456" s="461" t="s">
        <v>951</v>
      </c>
      <c r="B456" s="461" t="s">
        <v>17418</v>
      </c>
      <c r="C456" s="461" t="s">
        <v>57</v>
      </c>
      <c r="D456">
        <v>0</v>
      </c>
      <c r="E456">
        <v>0</v>
      </c>
      <c r="F456">
        <v>0</v>
      </c>
      <c r="G456">
        <v>1</v>
      </c>
      <c r="H456">
        <v>0</v>
      </c>
      <c r="I456">
        <v>1</v>
      </c>
    </row>
    <row r="457" spans="1:9" x14ac:dyDescent="0.35">
      <c r="A457" s="461" t="s">
        <v>951</v>
      </c>
      <c r="B457" s="461" t="s">
        <v>17418</v>
      </c>
      <c r="C457" s="461" t="s">
        <v>167</v>
      </c>
      <c r="D457">
        <v>0</v>
      </c>
      <c r="E457">
        <v>0</v>
      </c>
      <c r="F457">
        <v>0</v>
      </c>
      <c r="G457">
        <v>2</v>
      </c>
      <c r="H457">
        <v>0</v>
      </c>
      <c r="I457">
        <v>2</v>
      </c>
    </row>
    <row r="458" spans="1:9" x14ac:dyDescent="0.35">
      <c r="A458" s="461" t="s">
        <v>951</v>
      </c>
      <c r="B458" s="461" t="s">
        <v>235</v>
      </c>
      <c r="C458" s="461" t="s">
        <v>31</v>
      </c>
      <c r="D458">
        <v>149</v>
      </c>
      <c r="E458">
        <v>10</v>
      </c>
      <c r="F458">
        <v>0</v>
      </c>
      <c r="G458">
        <v>0</v>
      </c>
      <c r="H458">
        <v>0</v>
      </c>
      <c r="I458">
        <v>159</v>
      </c>
    </row>
    <row r="459" spans="1:9" x14ac:dyDescent="0.35">
      <c r="A459" s="461" t="s">
        <v>951</v>
      </c>
      <c r="B459" s="461" t="s">
        <v>235</v>
      </c>
      <c r="C459" s="461" t="s">
        <v>33</v>
      </c>
      <c r="D459">
        <v>27</v>
      </c>
      <c r="E459">
        <v>104</v>
      </c>
      <c r="F459">
        <v>0</v>
      </c>
      <c r="G459">
        <v>0</v>
      </c>
      <c r="H459">
        <v>0</v>
      </c>
      <c r="I459">
        <v>131</v>
      </c>
    </row>
    <row r="460" spans="1:9" x14ac:dyDescent="0.35">
      <c r="A460" s="461" t="s">
        <v>951</v>
      </c>
      <c r="B460" s="461" t="s">
        <v>235</v>
      </c>
      <c r="C460" s="461" t="s">
        <v>17411</v>
      </c>
      <c r="D460">
        <v>51</v>
      </c>
      <c r="E460">
        <v>186</v>
      </c>
      <c r="F460">
        <v>0</v>
      </c>
      <c r="G460">
        <v>0</v>
      </c>
      <c r="H460">
        <v>6</v>
      </c>
      <c r="I460">
        <v>243</v>
      </c>
    </row>
    <row r="461" spans="1:9" x14ac:dyDescent="0.35">
      <c r="A461" s="461" t="s">
        <v>951</v>
      </c>
      <c r="B461" s="461" t="s">
        <v>235</v>
      </c>
      <c r="C461" s="461" t="s">
        <v>42</v>
      </c>
      <c r="D461">
        <v>88</v>
      </c>
      <c r="E461">
        <v>56</v>
      </c>
      <c r="F461">
        <v>0</v>
      </c>
      <c r="G461">
        <v>0</v>
      </c>
      <c r="H461">
        <v>0</v>
      </c>
      <c r="I461">
        <v>144</v>
      </c>
    </row>
    <row r="462" spans="1:9" x14ac:dyDescent="0.35">
      <c r="A462" s="461" t="s">
        <v>951</v>
      </c>
      <c r="B462" s="461" t="s">
        <v>235</v>
      </c>
      <c r="C462" s="461" t="s">
        <v>43</v>
      </c>
      <c r="D462">
        <v>254</v>
      </c>
      <c r="E462">
        <v>109</v>
      </c>
      <c r="F462">
        <v>0</v>
      </c>
      <c r="G462">
        <v>0</v>
      </c>
      <c r="H462">
        <v>0</v>
      </c>
      <c r="I462">
        <v>363</v>
      </c>
    </row>
    <row r="463" spans="1:9" x14ac:dyDescent="0.35">
      <c r="A463" s="461" t="s">
        <v>951</v>
      </c>
      <c r="B463" s="461" t="s">
        <v>235</v>
      </c>
      <c r="C463" s="461" t="s">
        <v>53</v>
      </c>
      <c r="D463">
        <v>100</v>
      </c>
      <c r="E463">
        <v>13</v>
      </c>
      <c r="F463">
        <v>0</v>
      </c>
      <c r="G463">
        <v>0</v>
      </c>
      <c r="H463">
        <v>0</v>
      </c>
      <c r="I463">
        <v>113</v>
      </c>
    </row>
    <row r="464" spans="1:9" x14ac:dyDescent="0.35">
      <c r="A464" s="461" t="s">
        <v>951</v>
      </c>
      <c r="B464" s="461" t="s">
        <v>235</v>
      </c>
      <c r="C464" s="461" t="s">
        <v>60</v>
      </c>
      <c r="D464">
        <v>57</v>
      </c>
      <c r="E464">
        <v>58</v>
      </c>
      <c r="F464">
        <v>0</v>
      </c>
      <c r="G464">
        <v>0</v>
      </c>
      <c r="H464">
        <v>0</v>
      </c>
      <c r="I464">
        <v>115</v>
      </c>
    </row>
    <row r="465" spans="1:9" x14ac:dyDescent="0.35">
      <c r="A465" s="461" t="s">
        <v>951</v>
      </c>
      <c r="B465" s="461" t="s">
        <v>235</v>
      </c>
      <c r="C465" s="461" t="s">
        <v>41</v>
      </c>
      <c r="D465">
        <v>48</v>
      </c>
      <c r="E465">
        <v>0</v>
      </c>
      <c r="F465">
        <v>0</v>
      </c>
      <c r="G465">
        <v>0</v>
      </c>
      <c r="H465">
        <v>0</v>
      </c>
      <c r="I465">
        <v>48</v>
      </c>
    </row>
    <row r="466" spans="1:9" x14ac:dyDescent="0.35">
      <c r="A466" s="461" t="s">
        <v>951</v>
      </c>
      <c r="B466" s="461" t="s">
        <v>235</v>
      </c>
      <c r="C466" s="461" t="s">
        <v>54</v>
      </c>
      <c r="D466">
        <v>51</v>
      </c>
      <c r="E466">
        <v>149</v>
      </c>
      <c r="F466">
        <v>0</v>
      </c>
      <c r="G466">
        <v>0</v>
      </c>
      <c r="H466">
        <v>0</v>
      </c>
      <c r="I466">
        <v>200</v>
      </c>
    </row>
    <row r="467" spans="1:9" x14ac:dyDescent="0.35">
      <c r="A467" s="461" t="s">
        <v>951</v>
      </c>
      <c r="B467" s="461" t="s">
        <v>235</v>
      </c>
      <c r="C467" s="461" t="s">
        <v>57</v>
      </c>
      <c r="D467">
        <v>168</v>
      </c>
      <c r="E467">
        <v>84</v>
      </c>
      <c r="F467">
        <v>0</v>
      </c>
      <c r="G467">
        <v>0</v>
      </c>
      <c r="H467">
        <v>2</v>
      </c>
      <c r="I467">
        <v>254</v>
      </c>
    </row>
    <row r="468" spans="1:9" x14ac:dyDescent="0.35">
      <c r="A468" s="461" t="s">
        <v>951</v>
      </c>
      <c r="B468" s="461" t="s">
        <v>235</v>
      </c>
      <c r="C468" s="461" t="s">
        <v>59</v>
      </c>
      <c r="D468">
        <v>73</v>
      </c>
      <c r="E468">
        <v>22</v>
      </c>
      <c r="F468">
        <v>0</v>
      </c>
      <c r="G468">
        <v>0</v>
      </c>
      <c r="H468">
        <v>0</v>
      </c>
      <c r="I468">
        <v>95</v>
      </c>
    </row>
    <row r="469" spans="1:9" x14ac:dyDescent="0.35">
      <c r="A469" s="461" t="s">
        <v>951</v>
      </c>
      <c r="B469" s="461" t="s">
        <v>235</v>
      </c>
      <c r="C469" s="461" t="s">
        <v>245</v>
      </c>
      <c r="D469">
        <v>300</v>
      </c>
      <c r="E469">
        <v>8</v>
      </c>
      <c r="F469">
        <v>0</v>
      </c>
      <c r="G469">
        <v>0</v>
      </c>
      <c r="H469">
        <v>0</v>
      </c>
      <c r="I469">
        <v>308</v>
      </c>
    </row>
    <row r="470" spans="1:9" x14ac:dyDescent="0.35">
      <c r="A470" s="461" t="s">
        <v>951</v>
      </c>
      <c r="B470" s="461" t="s">
        <v>235</v>
      </c>
      <c r="C470" s="461" t="s">
        <v>35</v>
      </c>
      <c r="D470">
        <v>24</v>
      </c>
      <c r="E470">
        <v>27</v>
      </c>
      <c r="F470">
        <v>0</v>
      </c>
      <c r="G470">
        <v>0</v>
      </c>
      <c r="H470">
        <v>0</v>
      </c>
      <c r="I470">
        <v>51</v>
      </c>
    </row>
    <row r="471" spans="1:9" x14ac:dyDescent="0.35">
      <c r="A471" s="461" t="s">
        <v>951</v>
      </c>
      <c r="B471" s="461" t="s">
        <v>235</v>
      </c>
      <c r="C471" s="461" t="s">
        <v>39</v>
      </c>
      <c r="D471">
        <v>76</v>
      </c>
      <c r="E471">
        <v>0</v>
      </c>
      <c r="F471">
        <v>0</v>
      </c>
      <c r="G471">
        <v>0</v>
      </c>
      <c r="H471">
        <v>0</v>
      </c>
      <c r="I471">
        <v>76</v>
      </c>
    </row>
    <row r="472" spans="1:9" x14ac:dyDescent="0.35">
      <c r="A472" s="461" t="s">
        <v>951</v>
      </c>
      <c r="B472" s="461" t="s">
        <v>235</v>
      </c>
      <c r="C472" s="461" t="s">
        <v>44</v>
      </c>
      <c r="D472">
        <v>74</v>
      </c>
      <c r="E472">
        <v>500</v>
      </c>
      <c r="F472">
        <v>0</v>
      </c>
      <c r="G472">
        <v>0</v>
      </c>
      <c r="H472">
        <v>48</v>
      </c>
      <c r="I472">
        <v>622</v>
      </c>
    </row>
    <row r="473" spans="1:9" x14ac:dyDescent="0.35">
      <c r="A473" s="461" t="s">
        <v>951</v>
      </c>
      <c r="B473" s="461" t="s">
        <v>235</v>
      </c>
      <c r="C473" s="461" t="s">
        <v>47</v>
      </c>
      <c r="D473">
        <v>30</v>
      </c>
      <c r="E473">
        <v>114</v>
      </c>
      <c r="F473">
        <v>0</v>
      </c>
      <c r="G473">
        <v>0</v>
      </c>
      <c r="H473">
        <v>3</v>
      </c>
      <c r="I473">
        <v>147</v>
      </c>
    </row>
    <row r="474" spans="1:9" x14ac:dyDescent="0.35">
      <c r="A474" s="461" t="s">
        <v>951</v>
      </c>
      <c r="B474" s="461" t="s">
        <v>235</v>
      </c>
      <c r="C474" s="461" t="s">
        <v>49</v>
      </c>
      <c r="D474">
        <v>75</v>
      </c>
      <c r="E474">
        <v>100</v>
      </c>
      <c r="F474">
        <v>0</v>
      </c>
      <c r="G474">
        <v>0</v>
      </c>
      <c r="H474">
        <v>22</v>
      </c>
      <c r="I474">
        <v>197</v>
      </c>
    </row>
    <row r="475" spans="1:9" x14ac:dyDescent="0.35">
      <c r="A475" s="461" t="s">
        <v>951</v>
      </c>
      <c r="B475" s="461" t="s">
        <v>235</v>
      </c>
      <c r="C475" s="461" t="s">
        <v>40</v>
      </c>
      <c r="D475">
        <v>26</v>
      </c>
      <c r="E475">
        <v>64</v>
      </c>
      <c r="F475">
        <v>0</v>
      </c>
      <c r="G475">
        <v>0</v>
      </c>
      <c r="H475">
        <v>0</v>
      </c>
      <c r="I475">
        <v>90</v>
      </c>
    </row>
    <row r="476" spans="1:9" x14ac:dyDescent="0.35">
      <c r="A476" s="461" t="s">
        <v>951</v>
      </c>
      <c r="B476" s="461" t="s">
        <v>235</v>
      </c>
      <c r="C476" s="461" t="s">
        <v>114</v>
      </c>
      <c r="D476">
        <v>499</v>
      </c>
      <c r="E476">
        <v>0</v>
      </c>
      <c r="F476">
        <v>0</v>
      </c>
      <c r="G476">
        <v>0</v>
      </c>
      <c r="H476">
        <v>0</v>
      </c>
      <c r="I476">
        <v>499</v>
      </c>
    </row>
    <row r="477" spans="1:9" x14ac:dyDescent="0.35">
      <c r="A477" s="461" t="s">
        <v>951</v>
      </c>
      <c r="B477" s="461" t="s">
        <v>235</v>
      </c>
      <c r="C477" s="461" t="s">
        <v>50</v>
      </c>
      <c r="D477">
        <v>160</v>
      </c>
      <c r="E477">
        <v>38</v>
      </c>
      <c r="F477">
        <v>0</v>
      </c>
      <c r="G477">
        <v>0</v>
      </c>
      <c r="H477">
        <v>0</v>
      </c>
      <c r="I477">
        <v>198</v>
      </c>
    </row>
    <row r="478" spans="1:9" x14ac:dyDescent="0.35">
      <c r="A478" s="461" t="s">
        <v>951</v>
      </c>
      <c r="B478" s="461" t="s">
        <v>235</v>
      </c>
      <c r="C478" s="461" t="s">
        <v>38</v>
      </c>
      <c r="D478">
        <v>47</v>
      </c>
      <c r="E478">
        <v>78</v>
      </c>
      <c r="F478">
        <v>0</v>
      </c>
      <c r="G478">
        <v>0</v>
      </c>
      <c r="H478">
        <v>0</v>
      </c>
      <c r="I478">
        <v>125</v>
      </c>
    </row>
    <row r="479" spans="1:9" x14ac:dyDescent="0.35">
      <c r="A479" s="461" t="s">
        <v>951</v>
      </c>
      <c r="B479" s="461" t="s">
        <v>235</v>
      </c>
      <c r="C479" s="461" t="s">
        <v>48</v>
      </c>
      <c r="D479">
        <v>0</v>
      </c>
      <c r="E479">
        <v>131</v>
      </c>
      <c r="F479">
        <v>0</v>
      </c>
      <c r="G479">
        <v>0</v>
      </c>
      <c r="H479">
        <v>0</v>
      </c>
      <c r="I479">
        <v>131</v>
      </c>
    </row>
    <row r="480" spans="1:9" x14ac:dyDescent="0.35">
      <c r="A480" s="461" t="s">
        <v>951</v>
      </c>
      <c r="B480" s="461" t="s">
        <v>235</v>
      </c>
      <c r="C480" s="461" t="s">
        <v>32</v>
      </c>
      <c r="D480">
        <v>29</v>
      </c>
      <c r="E480">
        <v>286</v>
      </c>
      <c r="F480">
        <v>0</v>
      </c>
      <c r="G480">
        <v>0</v>
      </c>
      <c r="H480">
        <v>0</v>
      </c>
      <c r="I480">
        <v>315</v>
      </c>
    </row>
    <row r="481" spans="1:9" x14ac:dyDescent="0.35">
      <c r="A481" s="461" t="s">
        <v>951</v>
      </c>
      <c r="B481" s="461" t="s">
        <v>235</v>
      </c>
      <c r="C481" s="461" t="s">
        <v>34</v>
      </c>
      <c r="D481">
        <v>52</v>
      </c>
      <c r="E481">
        <v>168</v>
      </c>
      <c r="F481">
        <v>0</v>
      </c>
      <c r="G481">
        <v>0</v>
      </c>
      <c r="H481">
        <v>201</v>
      </c>
      <c r="I481">
        <v>421</v>
      </c>
    </row>
    <row r="482" spans="1:9" x14ac:dyDescent="0.35">
      <c r="A482" s="461" t="s">
        <v>951</v>
      </c>
      <c r="B482" s="461" t="s">
        <v>235</v>
      </c>
      <c r="C482" s="461" t="s">
        <v>37</v>
      </c>
      <c r="D482">
        <v>182</v>
      </c>
      <c r="E482">
        <v>11</v>
      </c>
      <c r="F482">
        <v>0</v>
      </c>
      <c r="G482">
        <v>0</v>
      </c>
      <c r="H482">
        <v>0</v>
      </c>
      <c r="I482">
        <v>193</v>
      </c>
    </row>
    <row r="483" spans="1:9" x14ac:dyDescent="0.35">
      <c r="A483" s="461" t="s">
        <v>951</v>
      </c>
      <c r="B483" s="461" t="s">
        <v>235</v>
      </c>
      <c r="C483" s="461" t="s">
        <v>45</v>
      </c>
      <c r="D483">
        <v>70</v>
      </c>
      <c r="E483">
        <v>44</v>
      </c>
      <c r="F483">
        <v>0</v>
      </c>
      <c r="G483">
        <v>0</v>
      </c>
      <c r="H483">
        <v>0</v>
      </c>
      <c r="I483">
        <v>114</v>
      </c>
    </row>
    <row r="484" spans="1:9" x14ac:dyDescent="0.35">
      <c r="A484" s="461" t="s">
        <v>951</v>
      </c>
      <c r="B484" s="461" t="s">
        <v>235</v>
      </c>
      <c r="C484" s="461" t="s">
        <v>46</v>
      </c>
      <c r="D484">
        <v>27</v>
      </c>
      <c r="E484">
        <v>11</v>
      </c>
      <c r="F484">
        <v>0</v>
      </c>
      <c r="G484">
        <v>0</v>
      </c>
      <c r="H484">
        <v>0</v>
      </c>
      <c r="I484">
        <v>38</v>
      </c>
    </row>
    <row r="485" spans="1:9" x14ac:dyDescent="0.35">
      <c r="A485" s="461" t="s">
        <v>951</v>
      </c>
      <c r="B485" s="461" t="s">
        <v>235</v>
      </c>
      <c r="C485" s="461" t="s">
        <v>51</v>
      </c>
      <c r="D485">
        <v>0</v>
      </c>
      <c r="E485">
        <v>112</v>
      </c>
      <c r="F485">
        <v>0</v>
      </c>
      <c r="G485">
        <v>0</v>
      </c>
      <c r="H485">
        <v>0</v>
      </c>
      <c r="I485">
        <v>112</v>
      </c>
    </row>
    <row r="486" spans="1:9" x14ac:dyDescent="0.35">
      <c r="A486" s="461" t="s">
        <v>951</v>
      </c>
      <c r="B486" s="461" t="s">
        <v>235</v>
      </c>
      <c r="C486" s="461" t="s">
        <v>52</v>
      </c>
      <c r="D486">
        <v>63</v>
      </c>
      <c r="E486">
        <v>130</v>
      </c>
      <c r="F486">
        <v>0</v>
      </c>
      <c r="G486">
        <v>0</v>
      </c>
      <c r="H486">
        <v>21</v>
      </c>
      <c r="I486">
        <v>214</v>
      </c>
    </row>
    <row r="487" spans="1:9" x14ac:dyDescent="0.35">
      <c r="A487" s="461" t="s">
        <v>951</v>
      </c>
      <c r="B487" s="461" t="s">
        <v>235</v>
      </c>
      <c r="C487" s="461" t="s">
        <v>55</v>
      </c>
      <c r="D487">
        <v>0</v>
      </c>
      <c r="E487">
        <v>132</v>
      </c>
      <c r="F487">
        <v>0</v>
      </c>
      <c r="G487">
        <v>0</v>
      </c>
      <c r="H487">
        <v>0</v>
      </c>
      <c r="I487">
        <v>132</v>
      </c>
    </row>
    <row r="488" spans="1:9" x14ac:dyDescent="0.35">
      <c r="A488" s="461" t="s">
        <v>951</v>
      </c>
      <c r="B488" s="461" t="s">
        <v>235</v>
      </c>
      <c r="C488" s="461" t="s">
        <v>56</v>
      </c>
      <c r="D488">
        <v>51</v>
      </c>
      <c r="E488">
        <v>52</v>
      </c>
      <c r="F488">
        <v>0</v>
      </c>
      <c r="G488">
        <v>0</v>
      </c>
      <c r="H488">
        <v>0</v>
      </c>
      <c r="I488">
        <v>103</v>
      </c>
    </row>
    <row r="489" spans="1:9" x14ac:dyDescent="0.35">
      <c r="A489" s="461" t="s">
        <v>951</v>
      </c>
      <c r="B489" s="461" t="s">
        <v>235</v>
      </c>
      <c r="C489" s="461" t="s">
        <v>58</v>
      </c>
      <c r="D489">
        <v>52</v>
      </c>
      <c r="E489">
        <v>75</v>
      </c>
      <c r="F489">
        <v>0</v>
      </c>
      <c r="G489">
        <v>0</v>
      </c>
      <c r="H489">
        <v>0</v>
      </c>
      <c r="I489">
        <v>127</v>
      </c>
    </row>
    <row r="490" spans="1:9" x14ac:dyDescent="0.35">
      <c r="A490" s="461" t="s">
        <v>951</v>
      </c>
      <c r="B490" s="461" t="s">
        <v>236</v>
      </c>
      <c r="C490" s="461" t="s">
        <v>68</v>
      </c>
      <c r="D490">
        <v>17</v>
      </c>
      <c r="E490">
        <v>0</v>
      </c>
      <c r="F490">
        <v>0</v>
      </c>
      <c r="G490">
        <v>0</v>
      </c>
      <c r="H490">
        <v>0</v>
      </c>
      <c r="I490">
        <v>17</v>
      </c>
    </row>
    <row r="491" spans="1:9" x14ac:dyDescent="0.35">
      <c r="A491" s="461" t="s">
        <v>951</v>
      </c>
      <c r="B491" s="461" t="s">
        <v>236</v>
      </c>
      <c r="C491" s="461" t="s">
        <v>50</v>
      </c>
      <c r="D491">
        <v>15</v>
      </c>
      <c r="E491">
        <v>0</v>
      </c>
      <c r="F491">
        <v>0</v>
      </c>
      <c r="G491">
        <v>0</v>
      </c>
      <c r="H491">
        <v>0</v>
      </c>
      <c r="I491">
        <v>15</v>
      </c>
    </row>
    <row r="492" spans="1:9" x14ac:dyDescent="0.35">
      <c r="A492" s="461" t="s">
        <v>951</v>
      </c>
      <c r="B492" s="461" t="s">
        <v>236</v>
      </c>
      <c r="C492" s="461" t="s">
        <v>63</v>
      </c>
      <c r="D492">
        <v>26</v>
      </c>
      <c r="E492">
        <v>0</v>
      </c>
      <c r="F492">
        <v>0</v>
      </c>
      <c r="G492">
        <v>0</v>
      </c>
      <c r="H492">
        <v>0</v>
      </c>
      <c r="I492">
        <v>26</v>
      </c>
    </row>
    <row r="493" spans="1:9" x14ac:dyDescent="0.35">
      <c r="A493" s="461" t="s">
        <v>951</v>
      </c>
      <c r="B493" s="461" t="s">
        <v>236</v>
      </c>
      <c r="C493" s="461" t="s">
        <v>69</v>
      </c>
      <c r="D493">
        <v>19</v>
      </c>
      <c r="E493">
        <v>0</v>
      </c>
      <c r="F493">
        <v>0</v>
      </c>
      <c r="G493">
        <v>0</v>
      </c>
      <c r="H493">
        <v>0</v>
      </c>
      <c r="I493">
        <v>19</v>
      </c>
    </row>
    <row r="494" spans="1:9" x14ac:dyDescent="0.35">
      <c r="A494" s="461" t="s">
        <v>951</v>
      </c>
      <c r="B494" s="461" t="s">
        <v>236</v>
      </c>
      <c r="C494" s="461" t="s">
        <v>114</v>
      </c>
      <c r="D494">
        <v>26</v>
      </c>
      <c r="E494">
        <v>0</v>
      </c>
      <c r="F494">
        <v>0</v>
      </c>
      <c r="G494">
        <v>0</v>
      </c>
      <c r="H494">
        <v>0</v>
      </c>
      <c r="I494">
        <v>26</v>
      </c>
    </row>
    <row r="495" spans="1:9" x14ac:dyDescent="0.35">
      <c r="A495" s="461" t="s">
        <v>951</v>
      </c>
      <c r="B495" s="461" t="s">
        <v>236</v>
      </c>
      <c r="C495" s="461" t="s">
        <v>64</v>
      </c>
      <c r="D495">
        <v>26</v>
      </c>
      <c r="E495">
        <v>0</v>
      </c>
      <c r="F495">
        <v>0</v>
      </c>
      <c r="G495">
        <v>0</v>
      </c>
      <c r="H495">
        <v>0</v>
      </c>
      <c r="I495">
        <v>26</v>
      </c>
    </row>
    <row r="496" spans="1:9" x14ac:dyDescent="0.35">
      <c r="A496" s="461" t="s">
        <v>951</v>
      </c>
      <c r="B496" s="461" t="s">
        <v>236</v>
      </c>
      <c r="C496" s="461" t="s">
        <v>65</v>
      </c>
      <c r="D496">
        <v>28</v>
      </c>
      <c r="E496">
        <v>0</v>
      </c>
      <c r="F496">
        <v>0</v>
      </c>
      <c r="G496">
        <v>0</v>
      </c>
      <c r="H496">
        <v>0</v>
      </c>
      <c r="I496">
        <v>28</v>
      </c>
    </row>
    <row r="497" spans="1:9" x14ac:dyDescent="0.35">
      <c r="A497" s="461" t="s">
        <v>951</v>
      </c>
      <c r="B497" s="461" t="s">
        <v>236</v>
      </c>
      <c r="C497" s="461" t="s">
        <v>66</v>
      </c>
      <c r="D497">
        <v>27</v>
      </c>
      <c r="E497">
        <v>0</v>
      </c>
      <c r="F497">
        <v>0</v>
      </c>
      <c r="G497">
        <v>0</v>
      </c>
      <c r="H497">
        <v>0</v>
      </c>
      <c r="I497">
        <v>27</v>
      </c>
    </row>
    <row r="498" spans="1:9" x14ac:dyDescent="0.35">
      <c r="A498" s="461" t="s">
        <v>951</v>
      </c>
      <c r="B498" s="461" t="s">
        <v>236</v>
      </c>
      <c r="C498" s="461" t="s">
        <v>57</v>
      </c>
      <c r="D498">
        <v>16</v>
      </c>
      <c r="E498">
        <v>0</v>
      </c>
      <c r="F498">
        <v>0</v>
      </c>
      <c r="G498">
        <v>0</v>
      </c>
      <c r="H498">
        <v>0</v>
      </c>
      <c r="I498">
        <v>16</v>
      </c>
    </row>
    <row r="499" spans="1:9" x14ac:dyDescent="0.35">
      <c r="A499" s="461" t="s">
        <v>951</v>
      </c>
      <c r="B499" s="461" t="s">
        <v>236</v>
      </c>
      <c r="C499" s="461" t="s">
        <v>36</v>
      </c>
      <c r="D499">
        <v>21</v>
      </c>
      <c r="E499">
        <v>0</v>
      </c>
      <c r="F499">
        <v>0</v>
      </c>
      <c r="G499">
        <v>0</v>
      </c>
      <c r="H499">
        <v>0</v>
      </c>
      <c r="I499">
        <v>21</v>
      </c>
    </row>
    <row r="500" spans="1:9" x14ac:dyDescent="0.35">
      <c r="A500" s="461" t="s">
        <v>951</v>
      </c>
      <c r="B500" s="461" t="s">
        <v>236</v>
      </c>
      <c r="C500" s="461" t="s">
        <v>67</v>
      </c>
      <c r="D500">
        <v>28</v>
      </c>
      <c r="E500">
        <v>0</v>
      </c>
      <c r="F500">
        <v>0</v>
      </c>
      <c r="G500">
        <v>0</v>
      </c>
      <c r="H500">
        <v>0</v>
      </c>
      <c r="I500">
        <v>28</v>
      </c>
    </row>
    <row r="501" spans="1:9" x14ac:dyDescent="0.35">
      <c r="A501" s="461" t="s">
        <v>951</v>
      </c>
      <c r="B501" s="461" t="s">
        <v>236</v>
      </c>
      <c r="C501" s="461" t="s">
        <v>167</v>
      </c>
      <c r="D501">
        <v>29</v>
      </c>
      <c r="E501">
        <v>0</v>
      </c>
      <c r="F501">
        <v>0</v>
      </c>
      <c r="G501">
        <v>0</v>
      </c>
      <c r="H501">
        <v>0</v>
      </c>
      <c r="I501">
        <v>29</v>
      </c>
    </row>
    <row r="502" spans="1:9" x14ac:dyDescent="0.35">
      <c r="A502" s="461" t="s">
        <v>951</v>
      </c>
      <c r="B502" s="461" t="s">
        <v>236</v>
      </c>
      <c r="C502" s="461" t="s">
        <v>70</v>
      </c>
      <c r="D502">
        <v>35</v>
      </c>
      <c r="E502">
        <v>0</v>
      </c>
      <c r="F502">
        <v>0</v>
      </c>
      <c r="G502">
        <v>0</v>
      </c>
      <c r="H502">
        <v>0</v>
      </c>
      <c r="I502">
        <v>35</v>
      </c>
    </row>
    <row r="503" spans="1:9" x14ac:dyDescent="0.35">
      <c r="A503" s="461" t="s">
        <v>951</v>
      </c>
      <c r="B503" s="461" t="s">
        <v>236</v>
      </c>
      <c r="C503" s="461" t="s">
        <v>31</v>
      </c>
      <c r="D503">
        <v>12</v>
      </c>
      <c r="E503">
        <v>0</v>
      </c>
      <c r="F503">
        <v>0</v>
      </c>
      <c r="G503">
        <v>0</v>
      </c>
      <c r="H503">
        <v>0</v>
      </c>
      <c r="I503">
        <v>12</v>
      </c>
    </row>
    <row r="504" spans="1:9" x14ac:dyDescent="0.35">
      <c r="A504" s="461" t="s">
        <v>951</v>
      </c>
      <c r="B504" s="461" t="s">
        <v>236</v>
      </c>
      <c r="C504" s="461" t="s">
        <v>775</v>
      </c>
      <c r="D504">
        <v>37</v>
      </c>
      <c r="E504">
        <v>0</v>
      </c>
      <c r="F504">
        <v>0</v>
      </c>
      <c r="G504">
        <v>0</v>
      </c>
      <c r="H504">
        <v>0</v>
      </c>
      <c r="I504">
        <v>37</v>
      </c>
    </row>
    <row r="505" spans="1:9" x14ac:dyDescent="0.35">
      <c r="A505" s="461" t="s">
        <v>951</v>
      </c>
      <c r="B505" s="461" t="s">
        <v>236</v>
      </c>
      <c r="C505" s="461" t="s">
        <v>71</v>
      </c>
      <c r="D505">
        <v>15</v>
      </c>
      <c r="E505">
        <v>0</v>
      </c>
      <c r="F505">
        <v>0</v>
      </c>
      <c r="G505">
        <v>0</v>
      </c>
      <c r="H505">
        <v>0</v>
      </c>
      <c r="I505">
        <v>15</v>
      </c>
    </row>
    <row r="506" spans="1:9" x14ac:dyDescent="0.35">
      <c r="A506" s="461" t="s">
        <v>951</v>
      </c>
      <c r="B506" s="461" t="s">
        <v>237</v>
      </c>
      <c r="C506" s="461" t="s">
        <v>164</v>
      </c>
      <c r="D506">
        <v>55</v>
      </c>
      <c r="E506">
        <v>0</v>
      </c>
      <c r="F506">
        <v>0</v>
      </c>
      <c r="G506">
        <v>0</v>
      </c>
      <c r="H506">
        <v>0</v>
      </c>
      <c r="I506">
        <v>55</v>
      </c>
    </row>
    <row r="507" spans="1:9" x14ac:dyDescent="0.35">
      <c r="A507" s="461" t="s">
        <v>951</v>
      </c>
      <c r="B507" s="461" t="s">
        <v>237</v>
      </c>
      <c r="C507" s="461" t="s">
        <v>165</v>
      </c>
      <c r="D507">
        <v>91</v>
      </c>
      <c r="E507">
        <v>0</v>
      </c>
      <c r="F507">
        <v>0</v>
      </c>
      <c r="G507">
        <v>0</v>
      </c>
      <c r="H507">
        <v>0</v>
      </c>
      <c r="I507">
        <v>91</v>
      </c>
    </row>
    <row r="508" spans="1:9" x14ac:dyDescent="0.35">
      <c r="A508" s="461" t="s">
        <v>951</v>
      </c>
      <c r="B508" s="461" t="s">
        <v>237</v>
      </c>
      <c r="C508" s="461" t="s">
        <v>166</v>
      </c>
      <c r="D508">
        <v>66</v>
      </c>
      <c r="E508">
        <v>0</v>
      </c>
      <c r="F508">
        <v>0</v>
      </c>
      <c r="G508">
        <v>0</v>
      </c>
      <c r="H508">
        <v>0</v>
      </c>
      <c r="I508">
        <v>66</v>
      </c>
    </row>
    <row r="509" spans="1:9" x14ac:dyDescent="0.35">
      <c r="A509" s="461" t="s">
        <v>951</v>
      </c>
      <c r="B509" s="461" t="s">
        <v>238</v>
      </c>
      <c r="C509" s="461" t="s">
        <v>246</v>
      </c>
      <c r="D509">
        <v>92</v>
      </c>
      <c r="E509">
        <v>0</v>
      </c>
      <c r="F509">
        <v>182</v>
      </c>
      <c r="G509">
        <v>0</v>
      </c>
      <c r="H509">
        <v>0</v>
      </c>
      <c r="I509">
        <v>274</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4"/>
  <sheetViews>
    <sheetView workbookViewId="0">
      <selection activeCell="A18" sqref="A18"/>
    </sheetView>
  </sheetViews>
  <sheetFormatPr defaultRowHeight="14.5" x14ac:dyDescent="0.35"/>
  <cols>
    <col min="1" max="1" width="58.1796875" bestFit="1" customWidth="1"/>
    <col min="2" max="2" width="9.90625" bestFit="1" customWidth="1"/>
    <col min="3" max="3" width="10.36328125" bestFit="1" customWidth="1"/>
    <col min="4" max="4" width="17.7265625" bestFit="1" customWidth="1"/>
    <col min="5" max="5" width="13.453125" bestFit="1" customWidth="1"/>
    <col min="6" max="6" width="13.90625" bestFit="1" customWidth="1"/>
    <col min="7" max="7" width="9.81640625" bestFit="1" customWidth="1"/>
    <col min="8" max="8" width="11.36328125" bestFit="1" customWidth="1"/>
  </cols>
  <sheetData>
    <row r="1" spans="1:8" x14ac:dyDescent="0.35">
      <c r="A1" s="459" t="s">
        <v>1</v>
      </c>
      <c r="B1" t="s">
        <v>951</v>
      </c>
    </row>
    <row r="3" spans="1:8" x14ac:dyDescent="0.35">
      <c r="A3" s="459" t="s">
        <v>234</v>
      </c>
      <c r="B3" t="s">
        <v>17451</v>
      </c>
      <c r="C3" t="s">
        <v>247</v>
      </c>
      <c r="D3" t="s">
        <v>17453</v>
      </c>
      <c r="E3" t="s">
        <v>248</v>
      </c>
      <c r="F3" t="s">
        <v>249</v>
      </c>
      <c r="G3" t="s">
        <v>17452</v>
      </c>
      <c r="H3" t="s">
        <v>240</v>
      </c>
    </row>
    <row r="4" spans="1:8" x14ac:dyDescent="0.35">
      <c r="A4" s="1154" t="s">
        <v>235</v>
      </c>
      <c r="B4" s="461"/>
      <c r="C4" s="461"/>
      <c r="D4" s="461"/>
      <c r="E4" s="461"/>
      <c r="F4" s="461"/>
      <c r="G4" s="461"/>
      <c r="H4" s="461"/>
    </row>
    <row r="5" spans="1:8" x14ac:dyDescent="0.35">
      <c r="A5" s="462" t="s">
        <v>31</v>
      </c>
      <c r="B5" s="461">
        <v>149</v>
      </c>
      <c r="C5" s="461">
        <v>10</v>
      </c>
      <c r="D5" s="461">
        <v>0</v>
      </c>
      <c r="E5" s="461">
        <v>0</v>
      </c>
      <c r="F5" s="461">
        <v>0</v>
      </c>
      <c r="G5" s="461">
        <v>0</v>
      </c>
      <c r="H5" s="461">
        <v>159</v>
      </c>
    </row>
    <row r="6" spans="1:8" x14ac:dyDescent="0.35">
      <c r="A6" s="462" t="s">
        <v>32</v>
      </c>
      <c r="B6" s="461">
        <v>29</v>
      </c>
      <c r="C6" s="461">
        <v>286</v>
      </c>
      <c r="D6" s="461">
        <v>0</v>
      </c>
      <c r="E6" s="461">
        <v>0</v>
      </c>
      <c r="F6" s="461">
        <v>0</v>
      </c>
      <c r="G6" s="461">
        <v>0</v>
      </c>
      <c r="H6" s="461">
        <v>315</v>
      </c>
    </row>
    <row r="7" spans="1:8" x14ac:dyDescent="0.35">
      <c r="A7" s="462" t="s">
        <v>33</v>
      </c>
      <c r="B7" s="461">
        <v>27</v>
      </c>
      <c r="C7" s="461">
        <v>104</v>
      </c>
      <c r="D7" s="461">
        <v>0</v>
      </c>
      <c r="E7" s="461">
        <v>0</v>
      </c>
      <c r="F7" s="461">
        <v>0</v>
      </c>
      <c r="G7" s="461">
        <v>0</v>
      </c>
      <c r="H7" s="461">
        <v>131</v>
      </c>
    </row>
    <row r="8" spans="1:8" x14ac:dyDescent="0.35">
      <c r="A8" s="462" t="s">
        <v>34</v>
      </c>
      <c r="B8" s="461">
        <v>52</v>
      </c>
      <c r="C8" s="461">
        <v>168</v>
      </c>
      <c r="D8" s="461">
        <v>0</v>
      </c>
      <c r="E8" s="461">
        <v>0</v>
      </c>
      <c r="F8" s="461">
        <v>0</v>
      </c>
      <c r="G8" s="461">
        <v>201</v>
      </c>
      <c r="H8" s="461">
        <v>421</v>
      </c>
    </row>
    <row r="9" spans="1:8" x14ac:dyDescent="0.35">
      <c r="A9" s="462" t="s">
        <v>245</v>
      </c>
      <c r="B9" s="461">
        <v>300</v>
      </c>
      <c r="C9" s="461">
        <v>8</v>
      </c>
      <c r="D9" s="461">
        <v>0</v>
      </c>
      <c r="E9" s="461">
        <v>0</v>
      </c>
      <c r="F9" s="461">
        <v>0</v>
      </c>
      <c r="G9" s="461">
        <v>0</v>
      </c>
      <c r="H9" s="461">
        <v>308</v>
      </c>
    </row>
    <row r="10" spans="1:8" x14ac:dyDescent="0.35">
      <c r="A10" s="462" t="s">
        <v>35</v>
      </c>
      <c r="B10" s="461">
        <v>24</v>
      </c>
      <c r="C10" s="461">
        <v>27</v>
      </c>
      <c r="D10" s="461">
        <v>0</v>
      </c>
      <c r="E10" s="461">
        <v>0</v>
      </c>
      <c r="F10" s="461">
        <v>0</v>
      </c>
      <c r="G10" s="461">
        <v>0</v>
      </c>
      <c r="H10" s="461">
        <v>51</v>
      </c>
    </row>
    <row r="11" spans="1:8" x14ac:dyDescent="0.35">
      <c r="A11" s="462" t="s">
        <v>17411</v>
      </c>
      <c r="B11" s="461">
        <v>51</v>
      </c>
      <c r="C11" s="461">
        <v>186</v>
      </c>
      <c r="D11" s="461">
        <v>0</v>
      </c>
      <c r="E11" s="461">
        <v>0</v>
      </c>
      <c r="F11" s="461">
        <v>0</v>
      </c>
      <c r="G11" s="461">
        <v>6</v>
      </c>
      <c r="H11" s="461">
        <v>243</v>
      </c>
    </row>
    <row r="12" spans="1:8" x14ac:dyDescent="0.35">
      <c r="A12" s="462" t="s">
        <v>37</v>
      </c>
      <c r="B12" s="461">
        <v>182</v>
      </c>
      <c r="C12" s="461">
        <v>11</v>
      </c>
      <c r="D12" s="461">
        <v>0</v>
      </c>
      <c r="E12" s="461">
        <v>0</v>
      </c>
      <c r="F12" s="461">
        <v>0</v>
      </c>
      <c r="G12" s="461">
        <v>0</v>
      </c>
      <c r="H12" s="461">
        <v>193</v>
      </c>
    </row>
    <row r="13" spans="1:8" x14ac:dyDescent="0.35">
      <c r="A13" s="462" t="s">
        <v>38</v>
      </c>
      <c r="B13" s="461">
        <v>47</v>
      </c>
      <c r="C13" s="461">
        <v>78</v>
      </c>
      <c r="D13" s="461">
        <v>0</v>
      </c>
      <c r="E13" s="461">
        <v>0</v>
      </c>
      <c r="F13" s="461">
        <v>0</v>
      </c>
      <c r="G13" s="461">
        <v>0</v>
      </c>
      <c r="H13" s="461">
        <v>125</v>
      </c>
    </row>
    <row r="14" spans="1:8" x14ac:dyDescent="0.35">
      <c r="A14" s="462" t="s">
        <v>39</v>
      </c>
      <c r="B14" s="461">
        <v>76</v>
      </c>
      <c r="C14" s="461">
        <v>0</v>
      </c>
      <c r="D14" s="461">
        <v>0</v>
      </c>
      <c r="E14" s="461">
        <v>0</v>
      </c>
      <c r="F14" s="461">
        <v>0</v>
      </c>
      <c r="G14" s="461">
        <v>0</v>
      </c>
      <c r="H14" s="461">
        <v>76</v>
      </c>
    </row>
    <row r="15" spans="1:8" x14ac:dyDescent="0.35">
      <c r="A15" s="462" t="s">
        <v>40</v>
      </c>
      <c r="B15" s="461">
        <v>26</v>
      </c>
      <c r="C15" s="461">
        <v>64</v>
      </c>
      <c r="D15" s="461">
        <v>0</v>
      </c>
      <c r="E15" s="461">
        <v>0</v>
      </c>
      <c r="F15" s="461">
        <v>0</v>
      </c>
      <c r="G15" s="461">
        <v>0</v>
      </c>
      <c r="H15" s="461">
        <v>90</v>
      </c>
    </row>
    <row r="16" spans="1:8" x14ac:dyDescent="0.35">
      <c r="A16" s="462" t="s">
        <v>41</v>
      </c>
      <c r="B16" s="461">
        <v>48</v>
      </c>
      <c r="C16" s="461">
        <v>0</v>
      </c>
      <c r="D16" s="461">
        <v>0</v>
      </c>
      <c r="E16" s="461">
        <v>0</v>
      </c>
      <c r="F16" s="461">
        <v>0</v>
      </c>
      <c r="G16" s="461">
        <v>0</v>
      </c>
      <c r="H16" s="461">
        <v>48</v>
      </c>
    </row>
    <row r="17" spans="1:8" x14ac:dyDescent="0.35">
      <c r="A17" s="462" t="s">
        <v>42</v>
      </c>
      <c r="B17" s="461">
        <v>88</v>
      </c>
      <c r="C17" s="461">
        <v>56</v>
      </c>
      <c r="D17" s="461">
        <v>0</v>
      </c>
      <c r="E17" s="461">
        <v>0</v>
      </c>
      <c r="F17" s="461">
        <v>0</v>
      </c>
      <c r="G17" s="461">
        <v>0</v>
      </c>
      <c r="H17" s="461">
        <v>144</v>
      </c>
    </row>
    <row r="18" spans="1:8" x14ac:dyDescent="0.35">
      <c r="A18" s="462" t="s">
        <v>43</v>
      </c>
      <c r="B18" s="461">
        <v>254</v>
      </c>
      <c r="C18" s="461">
        <v>109</v>
      </c>
      <c r="D18" s="461">
        <v>0</v>
      </c>
      <c r="E18" s="461">
        <v>0</v>
      </c>
      <c r="F18" s="461">
        <v>0</v>
      </c>
      <c r="G18" s="461">
        <v>0</v>
      </c>
      <c r="H18" s="461">
        <v>363</v>
      </c>
    </row>
    <row r="19" spans="1:8" x14ac:dyDescent="0.35">
      <c r="A19" s="462" t="s">
        <v>114</v>
      </c>
      <c r="B19" s="461">
        <v>499</v>
      </c>
      <c r="C19" s="461">
        <v>0</v>
      </c>
      <c r="D19" s="461">
        <v>0</v>
      </c>
      <c r="E19" s="461">
        <v>0</v>
      </c>
      <c r="F19" s="461">
        <v>0</v>
      </c>
      <c r="G19" s="461">
        <v>0</v>
      </c>
      <c r="H19" s="461">
        <v>499</v>
      </c>
    </row>
    <row r="20" spans="1:8" x14ac:dyDescent="0.35">
      <c r="A20" s="462" t="s">
        <v>44</v>
      </c>
      <c r="B20" s="461">
        <v>74</v>
      </c>
      <c r="C20" s="461">
        <v>500</v>
      </c>
      <c r="D20" s="461">
        <v>0</v>
      </c>
      <c r="E20" s="461">
        <v>0</v>
      </c>
      <c r="F20" s="461">
        <v>0</v>
      </c>
      <c r="G20" s="461">
        <v>48</v>
      </c>
      <c r="H20" s="461">
        <v>622</v>
      </c>
    </row>
    <row r="21" spans="1:8" x14ac:dyDescent="0.35">
      <c r="A21" s="462" t="s">
        <v>45</v>
      </c>
      <c r="B21" s="461">
        <v>70</v>
      </c>
      <c r="C21" s="461">
        <v>44</v>
      </c>
      <c r="D21" s="461">
        <v>0</v>
      </c>
      <c r="E21" s="461">
        <v>0</v>
      </c>
      <c r="F21" s="461">
        <v>0</v>
      </c>
      <c r="G21" s="461">
        <v>0</v>
      </c>
      <c r="H21" s="461">
        <v>114</v>
      </c>
    </row>
    <row r="22" spans="1:8" x14ac:dyDescent="0.35">
      <c r="A22" s="462" t="s">
        <v>46</v>
      </c>
      <c r="B22" s="461">
        <v>27</v>
      </c>
      <c r="C22" s="461">
        <v>11</v>
      </c>
      <c r="D22" s="461">
        <v>0</v>
      </c>
      <c r="E22" s="461">
        <v>0</v>
      </c>
      <c r="F22" s="461">
        <v>0</v>
      </c>
      <c r="G22" s="461">
        <v>0</v>
      </c>
      <c r="H22" s="461">
        <v>38</v>
      </c>
    </row>
    <row r="23" spans="1:8" x14ac:dyDescent="0.35">
      <c r="A23" s="462" t="s">
        <v>47</v>
      </c>
      <c r="B23" s="461">
        <v>30</v>
      </c>
      <c r="C23" s="461">
        <v>114</v>
      </c>
      <c r="D23" s="461">
        <v>0</v>
      </c>
      <c r="E23" s="461">
        <v>0</v>
      </c>
      <c r="F23" s="461">
        <v>0</v>
      </c>
      <c r="G23" s="461">
        <v>3</v>
      </c>
      <c r="H23" s="461">
        <v>147</v>
      </c>
    </row>
    <row r="24" spans="1:8" x14ac:dyDescent="0.35">
      <c r="A24" s="462" t="s">
        <v>48</v>
      </c>
      <c r="B24" s="461">
        <v>0</v>
      </c>
      <c r="C24" s="461">
        <v>131</v>
      </c>
      <c r="D24" s="461">
        <v>0</v>
      </c>
      <c r="E24" s="461">
        <v>0</v>
      </c>
      <c r="F24" s="461">
        <v>0</v>
      </c>
      <c r="G24" s="461">
        <v>0</v>
      </c>
      <c r="H24" s="461">
        <v>131</v>
      </c>
    </row>
    <row r="25" spans="1:8" x14ac:dyDescent="0.35">
      <c r="A25" s="462" t="s">
        <v>49</v>
      </c>
      <c r="B25" s="461">
        <v>75</v>
      </c>
      <c r="C25" s="461">
        <v>100</v>
      </c>
      <c r="D25" s="461">
        <v>0</v>
      </c>
      <c r="E25" s="461">
        <v>0</v>
      </c>
      <c r="F25" s="461">
        <v>0</v>
      </c>
      <c r="G25" s="461">
        <v>22</v>
      </c>
      <c r="H25" s="461">
        <v>197</v>
      </c>
    </row>
    <row r="26" spans="1:8" x14ac:dyDescent="0.35">
      <c r="A26" s="462" t="s">
        <v>50</v>
      </c>
      <c r="B26" s="461">
        <v>160</v>
      </c>
      <c r="C26" s="461">
        <v>38</v>
      </c>
      <c r="D26" s="461">
        <v>0</v>
      </c>
      <c r="E26" s="461">
        <v>0</v>
      </c>
      <c r="F26" s="461">
        <v>0</v>
      </c>
      <c r="G26" s="461">
        <v>0</v>
      </c>
      <c r="H26" s="461">
        <v>198</v>
      </c>
    </row>
    <row r="27" spans="1:8" x14ac:dyDescent="0.35">
      <c r="A27" s="462" t="s">
        <v>51</v>
      </c>
      <c r="B27" s="461">
        <v>0</v>
      </c>
      <c r="C27" s="461">
        <v>112</v>
      </c>
      <c r="D27" s="461">
        <v>0</v>
      </c>
      <c r="E27" s="461">
        <v>0</v>
      </c>
      <c r="F27" s="461">
        <v>0</v>
      </c>
      <c r="G27" s="461">
        <v>0</v>
      </c>
      <c r="H27" s="461">
        <v>112</v>
      </c>
    </row>
    <row r="28" spans="1:8" x14ac:dyDescent="0.35">
      <c r="A28" s="462" t="s">
        <v>52</v>
      </c>
      <c r="B28" s="461">
        <v>63</v>
      </c>
      <c r="C28" s="461">
        <v>130</v>
      </c>
      <c r="D28" s="461">
        <v>0</v>
      </c>
      <c r="E28" s="461">
        <v>0</v>
      </c>
      <c r="F28" s="461">
        <v>0</v>
      </c>
      <c r="G28" s="461">
        <v>21</v>
      </c>
      <c r="H28" s="461">
        <v>214</v>
      </c>
    </row>
    <row r="29" spans="1:8" x14ac:dyDescent="0.35">
      <c r="A29" s="462" t="s">
        <v>53</v>
      </c>
      <c r="B29" s="461">
        <v>100</v>
      </c>
      <c r="C29" s="461">
        <v>13</v>
      </c>
      <c r="D29" s="461">
        <v>0</v>
      </c>
      <c r="E29" s="461">
        <v>0</v>
      </c>
      <c r="F29" s="461">
        <v>0</v>
      </c>
      <c r="G29" s="461">
        <v>0</v>
      </c>
      <c r="H29" s="461">
        <v>113</v>
      </c>
    </row>
    <row r="30" spans="1:8" x14ac:dyDescent="0.35">
      <c r="A30" s="462" t="s">
        <v>54</v>
      </c>
      <c r="B30" s="461">
        <v>51</v>
      </c>
      <c r="C30" s="461">
        <v>149</v>
      </c>
      <c r="D30" s="461">
        <v>0</v>
      </c>
      <c r="E30" s="461">
        <v>0</v>
      </c>
      <c r="F30" s="461">
        <v>0</v>
      </c>
      <c r="G30" s="461">
        <v>0</v>
      </c>
      <c r="H30" s="461">
        <v>200</v>
      </c>
    </row>
    <row r="31" spans="1:8" x14ac:dyDescent="0.35">
      <c r="A31" s="462" t="s">
        <v>55</v>
      </c>
      <c r="B31" s="461">
        <v>0</v>
      </c>
      <c r="C31" s="461">
        <v>132</v>
      </c>
      <c r="D31" s="461">
        <v>0</v>
      </c>
      <c r="E31" s="461">
        <v>0</v>
      </c>
      <c r="F31" s="461">
        <v>0</v>
      </c>
      <c r="G31" s="461">
        <v>0</v>
      </c>
      <c r="H31" s="461">
        <v>132</v>
      </c>
    </row>
    <row r="32" spans="1:8" x14ac:dyDescent="0.35">
      <c r="A32" s="462" t="s">
        <v>56</v>
      </c>
      <c r="B32" s="461">
        <v>51</v>
      </c>
      <c r="C32" s="461">
        <v>52</v>
      </c>
      <c r="D32" s="461">
        <v>0</v>
      </c>
      <c r="E32" s="461">
        <v>0</v>
      </c>
      <c r="F32" s="461">
        <v>0</v>
      </c>
      <c r="G32" s="461">
        <v>0</v>
      </c>
      <c r="H32" s="461">
        <v>103</v>
      </c>
    </row>
    <row r="33" spans="1:8" x14ac:dyDescent="0.35">
      <c r="A33" s="462" t="s">
        <v>57</v>
      </c>
      <c r="B33" s="461">
        <v>168</v>
      </c>
      <c r="C33" s="461">
        <v>84</v>
      </c>
      <c r="D33" s="461">
        <v>0</v>
      </c>
      <c r="E33" s="461">
        <v>0</v>
      </c>
      <c r="F33" s="461">
        <v>0</v>
      </c>
      <c r="G33" s="461">
        <v>2</v>
      </c>
      <c r="H33" s="461">
        <v>254</v>
      </c>
    </row>
    <row r="34" spans="1:8" x14ac:dyDescent="0.35">
      <c r="A34" s="462" t="s">
        <v>58</v>
      </c>
      <c r="B34" s="461">
        <v>52</v>
      </c>
      <c r="C34" s="461">
        <v>75</v>
      </c>
      <c r="D34" s="461">
        <v>0</v>
      </c>
      <c r="E34" s="461">
        <v>0</v>
      </c>
      <c r="F34" s="461">
        <v>0</v>
      </c>
      <c r="G34" s="461">
        <v>0</v>
      </c>
      <c r="H34" s="461">
        <v>127</v>
      </c>
    </row>
    <row r="35" spans="1:8" x14ac:dyDescent="0.35">
      <c r="A35" s="462" t="s">
        <v>59</v>
      </c>
      <c r="B35" s="461">
        <v>73</v>
      </c>
      <c r="C35" s="461">
        <v>22</v>
      </c>
      <c r="D35" s="461">
        <v>0</v>
      </c>
      <c r="E35" s="461">
        <v>0</v>
      </c>
      <c r="F35" s="461">
        <v>0</v>
      </c>
      <c r="G35" s="461">
        <v>0</v>
      </c>
      <c r="H35" s="461">
        <v>95</v>
      </c>
    </row>
    <row r="36" spans="1:8" x14ac:dyDescent="0.35">
      <c r="A36" s="462" t="s">
        <v>60</v>
      </c>
      <c r="B36" s="461">
        <v>57</v>
      </c>
      <c r="C36" s="461">
        <v>58</v>
      </c>
      <c r="D36" s="461">
        <v>0</v>
      </c>
      <c r="E36" s="461">
        <v>0</v>
      </c>
      <c r="F36" s="461">
        <v>0</v>
      </c>
      <c r="G36" s="461">
        <v>0</v>
      </c>
      <c r="H36" s="461">
        <v>115</v>
      </c>
    </row>
    <row r="37" spans="1:8" x14ac:dyDescent="0.35">
      <c r="A37" s="1154" t="s">
        <v>851</v>
      </c>
      <c r="B37" s="461">
        <v>2903</v>
      </c>
      <c r="C37" s="461">
        <v>2872</v>
      </c>
      <c r="D37" s="461">
        <v>0</v>
      </c>
      <c r="E37" s="461">
        <v>0</v>
      </c>
      <c r="F37" s="461">
        <v>0</v>
      </c>
      <c r="G37" s="461">
        <v>303</v>
      </c>
      <c r="H37" s="461">
        <v>6078</v>
      </c>
    </row>
    <row r="38" spans="1:8" x14ac:dyDescent="0.35">
      <c r="A38" s="1154" t="s">
        <v>236</v>
      </c>
      <c r="B38" s="461"/>
      <c r="C38" s="461"/>
      <c r="D38" s="461"/>
      <c r="E38" s="461"/>
      <c r="F38" s="461"/>
      <c r="G38" s="461"/>
      <c r="H38" s="461"/>
    </row>
    <row r="39" spans="1:8" x14ac:dyDescent="0.35">
      <c r="A39" s="462" t="s">
        <v>31</v>
      </c>
      <c r="B39" s="461">
        <v>12</v>
      </c>
      <c r="C39" s="461">
        <v>0</v>
      </c>
      <c r="D39" s="461">
        <v>0</v>
      </c>
      <c r="E39" s="461">
        <v>0</v>
      </c>
      <c r="F39" s="461">
        <v>0</v>
      </c>
      <c r="G39" s="461">
        <v>0</v>
      </c>
      <c r="H39" s="461">
        <v>12</v>
      </c>
    </row>
    <row r="40" spans="1:8" x14ac:dyDescent="0.35">
      <c r="A40" s="462" t="s">
        <v>63</v>
      </c>
      <c r="B40" s="461">
        <v>26</v>
      </c>
      <c r="C40" s="461">
        <v>0</v>
      </c>
      <c r="D40" s="461">
        <v>7</v>
      </c>
      <c r="E40" s="461">
        <v>0</v>
      </c>
      <c r="F40" s="461">
        <v>0</v>
      </c>
      <c r="G40" s="461">
        <v>0</v>
      </c>
      <c r="H40" s="461">
        <v>26</v>
      </c>
    </row>
    <row r="41" spans="1:8" x14ac:dyDescent="0.35">
      <c r="A41" s="462" t="s">
        <v>64</v>
      </c>
      <c r="B41" s="461">
        <v>26</v>
      </c>
      <c r="C41" s="461">
        <v>0</v>
      </c>
      <c r="D41" s="461">
        <v>6</v>
      </c>
      <c r="E41" s="461">
        <v>0</v>
      </c>
      <c r="F41" s="461">
        <v>0</v>
      </c>
      <c r="G41" s="461">
        <v>0</v>
      </c>
      <c r="H41" s="461">
        <v>26</v>
      </c>
    </row>
    <row r="42" spans="1:8" x14ac:dyDescent="0.35">
      <c r="A42" s="462" t="s">
        <v>36</v>
      </c>
      <c r="B42" s="461">
        <v>21</v>
      </c>
      <c r="C42" s="461">
        <v>0</v>
      </c>
      <c r="D42" s="461">
        <v>4</v>
      </c>
      <c r="E42" s="461">
        <v>0</v>
      </c>
      <c r="F42" s="461">
        <v>0</v>
      </c>
      <c r="G42" s="461">
        <v>0</v>
      </c>
      <c r="H42" s="461">
        <v>21</v>
      </c>
    </row>
    <row r="43" spans="1:8" x14ac:dyDescent="0.35">
      <c r="A43" s="462" t="s">
        <v>65</v>
      </c>
      <c r="B43" s="461">
        <v>28</v>
      </c>
      <c r="C43" s="461">
        <v>0</v>
      </c>
      <c r="D43" s="461">
        <v>3</v>
      </c>
      <c r="E43" s="461">
        <v>0</v>
      </c>
      <c r="F43" s="461">
        <v>0</v>
      </c>
      <c r="G43" s="461">
        <v>0</v>
      </c>
      <c r="H43" s="461">
        <v>28</v>
      </c>
    </row>
    <row r="44" spans="1:8" x14ac:dyDescent="0.35">
      <c r="A44" s="462" t="s">
        <v>66</v>
      </c>
      <c r="B44" s="461">
        <v>27</v>
      </c>
      <c r="C44" s="461">
        <v>0</v>
      </c>
      <c r="D44" s="461">
        <v>4</v>
      </c>
      <c r="E44" s="461">
        <v>0</v>
      </c>
      <c r="F44" s="461">
        <v>0</v>
      </c>
      <c r="G44" s="461">
        <v>0</v>
      </c>
      <c r="H44" s="461">
        <v>27</v>
      </c>
    </row>
    <row r="45" spans="1:8" x14ac:dyDescent="0.35">
      <c r="A45" s="462" t="s">
        <v>67</v>
      </c>
      <c r="B45" s="461">
        <v>28</v>
      </c>
      <c r="C45" s="461">
        <v>0</v>
      </c>
      <c r="D45" s="461">
        <v>4</v>
      </c>
      <c r="E45" s="461">
        <v>0</v>
      </c>
      <c r="F45" s="461">
        <v>0</v>
      </c>
      <c r="G45" s="461">
        <v>0</v>
      </c>
      <c r="H45" s="461">
        <v>28</v>
      </c>
    </row>
    <row r="46" spans="1:8" x14ac:dyDescent="0.35">
      <c r="A46" s="462" t="s">
        <v>68</v>
      </c>
      <c r="B46" s="461">
        <v>17</v>
      </c>
      <c r="C46" s="461">
        <v>0</v>
      </c>
      <c r="D46" s="461">
        <v>0</v>
      </c>
      <c r="E46" s="461">
        <v>0</v>
      </c>
      <c r="F46" s="461">
        <v>0</v>
      </c>
      <c r="G46" s="461">
        <v>0</v>
      </c>
      <c r="H46" s="461">
        <v>17</v>
      </c>
    </row>
    <row r="47" spans="1:8" x14ac:dyDescent="0.35">
      <c r="A47" s="462" t="s">
        <v>167</v>
      </c>
      <c r="B47" s="461">
        <v>29</v>
      </c>
      <c r="C47" s="461">
        <v>0</v>
      </c>
      <c r="D47" s="461">
        <v>0</v>
      </c>
      <c r="E47" s="461">
        <v>0</v>
      </c>
      <c r="F47" s="461">
        <v>0</v>
      </c>
      <c r="G47" s="461">
        <v>0</v>
      </c>
      <c r="H47" s="461">
        <v>29</v>
      </c>
    </row>
    <row r="48" spans="1:8" x14ac:dyDescent="0.35">
      <c r="A48" s="462" t="s">
        <v>69</v>
      </c>
      <c r="B48" s="461">
        <v>19</v>
      </c>
      <c r="C48" s="461">
        <v>0</v>
      </c>
      <c r="D48" s="461">
        <v>2</v>
      </c>
      <c r="E48" s="461">
        <v>0</v>
      </c>
      <c r="F48" s="461">
        <v>0</v>
      </c>
      <c r="G48" s="461">
        <v>0</v>
      </c>
      <c r="H48" s="461">
        <v>19</v>
      </c>
    </row>
    <row r="49" spans="1:8" x14ac:dyDescent="0.35">
      <c r="A49" s="462" t="s">
        <v>114</v>
      </c>
      <c r="B49" s="461">
        <v>26</v>
      </c>
      <c r="C49" s="461">
        <v>0</v>
      </c>
      <c r="D49" s="461">
        <v>0</v>
      </c>
      <c r="E49" s="461">
        <v>0</v>
      </c>
      <c r="F49" s="461">
        <v>0</v>
      </c>
      <c r="G49" s="461">
        <v>0</v>
      </c>
      <c r="H49" s="461">
        <v>26</v>
      </c>
    </row>
    <row r="50" spans="1:8" x14ac:dyDescent="0.35">
      <c r="A50" s="462" t="s">
        <v>70</v>
      </c>
      <c r="B50" s="461">
        <v>35</v>
      </c>
      <c r="C50" s="461">
        <v>0</v>
      </c>
      <c r="D50" s="461">
        <v>11</v>
      </c>
      <c r="E50" s="461">
        <v>0</v>
      </c>
      <c r="F50" s="461">
        <v>0</v>
      </c>
      <c r="G50" s="461">
        <v>0</v>
      </c>
      <c r="H50" s="461">
        <v>35</v>
      </c>
    </row>
    <row r="51" spans="1:8" x14ac:dyDescent="0.35">
      <c r="A51" s="462" t="s">
        <v>50</v>
      </c>
      <c r="B51" s="461">
        <v>15</v>
      </c>
      <c r="C51" s="461">
        <v>0</v>
      </c>
      <c r="D51" s="461">
        <v>0</v>
      </c>
      <c r="E51" s="461">
        <v>0</v>
      </c>
      <c r="F51" s="461">
        <v>0</v>
      </c>
      <c r="G51" s="461">
        <v>0</v>
      </c>
      <c r="H51" s="461">
        <v>15</v>
      </c>
    </row>
    <row r="52" spans="1:8" x14ac:dyDescent="0.35">
      <c r="A52" s="462" t="s">
        <v>57</v>
      </c>
      <c r="B52" s="461">
        <v>16</v>
      </c>
      <c r="C52" s="461">
        <v>0</v>
      </c>
      <c r="D52" s="461">
        <v>2</v>
      </c>
      <c r="E52" s="461">
        <v>0</v>
      </c>
      <c r="F52" s="461">
        <v>0</v>
      </c>
      <c r="G52" s="461">
        <v>0</v>
      </c>
      <c r="H52" s="461">
        <v>16</v>
      </c>
    </row>
    <row r="53" spans="1:8" x14ac:dyDescent="0.35">
      <c r="A53" s="462" t="s">
        <v>775</v>
      </c>
      <c r="B53" s="461">
        <v>37</v>
      </c>
      <c r="C53" s="461">
        <v>0</v>
      </c>
      <c r="D53" s="461">
        <v>4</v>
      </c>
      <c r="E53" s="461">
        <v>0</v>
      </c>
      <c r="F53" s="461">
        <v>0</v>
      </c>
      <c r="G53" s="461">
        <v>0</v>
      </c>
      <c r="H53" s="461">
        <v>37</v>
      </c>
    </row>
    <row r="54" spans="1:8" x14ac:dyDescent="0.35">
      <c r="A54" s="462" t="s">
        <v>71</v>
      </c>
      <c r="B54" s="461">
        <v>15</v>
      </c>
      <c r="C54" s="461">
        <v>0</v>
      </c>
      <c r="D54" s="461">
        <v>7</v>
      </c>
      <c r="E54" s="461">
        <v>0</v>
      </c>
      <c r="F54" s="461">
        <v>0</v>
      </c>
      <c r="G54" s="461">
        <v>0</v>
      </c>
      <c r="H54" s="461">
        <v>15</v>
      </c>
    </row>
    <row r="55" spans="1:8" x14ac:dyDescent="0.35">
      <c r="A55" s="1154" t="s">
        <v>852</v>
      </c>
      <c r="B55" s="461">
        <v>377</v>
      </c>
      <c r="C55" s="461">
        <v>0</v>
      </c>
      <c r="D55" s="461">
        <v>54</v>
      </c>
      <c r="E55" s="461">
        <v>0</v>
      </c>
      <c r="F55" s="461">
        <v>0</v>
      </c>
      <c r="G55" s="461">
        <v>0</v>
      </c>
      <c r="H55" s="461">
        <v>377</v>
      </c>
    </row>
    <row r="56" spans="1:8" x14ac:dyDescent="0.35">
      <c r="A56" s="1154" t="s">
        <v>237</v>
      </c>
      <c r="B56" s="461"/>
      <c r="C56" s="461"/>
      <c r="D56" s="461"/>
      <c r="E56" s="461"/>
      <c r="F56" s="461"/>
      <c r="G56" s="461"/>
      <c r="H56" s="461"/>
    </row>
    <row r="57" spans="1:8" x14ac:dyDescent="0.35">
      <c r="A57" s="462" t="s">
        <v>166</v>
      </c>
      <c r="B57" s="461">
        <v>66</v>
      </c>
      <c r="C57" s="461">
        <v>0</v>
      </c>
      <c r="D57" s="461">
        <v>0</v>
      </c>
      <c r="E57" s="461">
        <v>0</v>
      </c>
      <c r="F57" s="461">
        <v>0</v>
      </c>
      <c r="G57" s="461">
        <v>0</v>
      </c>
      <c r="H57" s="461">
        <v>66</v>
      </c>
    </row>
    <row r="58" spans="1:8" x14ac:dyDescent="0.35">
      <c r="A58" s="462" t="s">
        <v>164</v>
      </c>
      <c r="B58" s="461">
        <v>55</v>
      </c>
      <c r="C58" s="461">
        <v>0</v>
      </c>
      <c r="D58" s="461">
        <v>0</v>
      </c>
      <c r="E58" s="461">
        <v>0</v>
      </c>
      <c r="F58" s="461">
        <v>0</v>
      </c>
      <c r="G58" s="461">
        <v>0</v>
      </c>
      <c r="H58" s="461">
        <v>55</v>
      </c>
    </row>
    <row r="59" spans="1:8" x14ac:dyDescent="0.35">
      <c r="A59" s="462" t="s">
        <v>165</v>
      </c>
      <c r="B59" s="461">
        <v>91</v>
      </c>
      <c r="C59" s="461">
        <v>0</v>
      </c>
      <c r="D59" s="461">
        <v>0</v>
      </c>
      <c r="E59" s="461">
        <v>0</v>
      </c>
      <c r="F59" s="461">
        <v>0</v>
      </c>
      <c r="G59" s="461">
        <v>0</v>
      </c>
      <c r="H59" s="461">
        <v>91</v>
      </c>
    </row>
    <row r="60" spans="1:8" x14ac:dyDescent="0.35">
      <c r="A60" s="1154" t="s">
        <v>853</v>
      </c>
      <c r="B60" s="461">
        <v>212</v>
      </c>
      <c r="C60" s="461">
        <v>0</v>
      </c>
      <c r="D60" s="461">
        <v>0</v>
      </c>
      <c r="E60" s="461">
        <v>0</v>
      </c>
      <c r="F60" s="461">
        <v>0</v>
      </c>
      <c r="G60" s="461">
        <v>0</v>
      </c>
      <c r="H60" s="461">
        <v>212</v>
      </c>
    </row>
    <row r="61" spans="1:8" x14ac:dyDescent="0.35">
      <c r="A61" s="1154" t="s">
        <v>238</v>
      </c>
      <c r="B61" s="461"/>
      <c r="C61" s="461"/>
      <c r="D61" s="461"/>
      <c r="E61" s="461"/>
      <c r="F61" s="461"/>
      <c r="G61" s="461"/>
      <c r="H61" s="461"/>
    </row>
    <row r="62" spans="1:8" x14ac:dyDescent="0.35">
      <c r="A62" s="462" t="s">
        <v>246</v>
      </c>
      <c r="B62" s="461">
        <v>92</v>
      </c>
      <c r="C62" s="461">
        <v>0</v>
      </c>
      <c r="D62" s="461">
        <v>0</v>
      </c>
      <c r="E62" s="461">
        <v>182</v>
      </c>
      <c r="F62" s="461">
        <v>836</v>
      </c>
      <c r="G62" s="461">
        <v>0</v>
      </c>
      <c r="H62" s="461">
        <v>1110</v>
      </c>
    </row>
    <row r="63" spans="1:8" x14ac:dyDescent="0.35">
      <c r="A63" s="1154" t="s">
        <v>854</v>
      </c>
      <c r="B63" s="461">
        <v>92</v>
      </c>
      <c r="C63" s="461">
        <v>0</v>
      </c>
      <c r="D63" s="461">
        <v>0</v>
      </c>
      <c r="E63" s="461">
        <v>182</v>
      </c>
      <c r="F63" s="461">
        <v>836</v>
      </c>
      <c r="G63" s="461">
        <v>0</v>
      </c>
      <c r="H63" s="461">
        <v>1110</v>
      </c>
    </row>
    <row r="64" spans="1:8" x14ac:dyDescent="0.35">
      <c r="A64" s="1154" t="s">
        <v>239</v>
      </c>
      <c r="B64" s="461">
        <v>3584</v>
      </c>
      <c r="C64" s="461">
        <v>2872</v>
      </c>
      <c r="D64" s="461">
        <v>54</v>
      </c>
      <c r="E64" s="461">
        <v>182</v>
      </c>
      <c r="F64" s="461">
        <v>836</v>
      </c>
      <c r="G64" s="461">
        <v>303</v>
      </c>
      <c r="H64" s="461">
        <v>7777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423"/>
  <sheetViews>
    <sheetView workbookViewId="0">
      <selection activeCell="K424" sqref="K424"/>
    </sheetView>
  </sheetViews>
  <sheetFormatPr defaultRowHeight="14.5" x14ac:dyDescent="0.35"/>
  <cols>
    <col min="1" max="1" width="7.453125" bestFit="1" customWidth="1"/>
    <col min="2" max="2" width="15.54296875" bestFit="1" customWidth="1"/>
    <col min="3" max="3" width="54.36328125" bestFit="1" customWidth="1"/>
    <col min="4" max="4" width="9.7265625" bestFit="1" customWidth="1"/>
    <col min="5" max="5" width="7.36328125" bestFit="1" customWidth="1"/>
    <col min="6" max="6" width="9.36328125" bestFit="1" customWidth="1"/>
    <col min="7" max="7" width="13.54296875" bestFit="1" customWidth="1"/>
    <col min="8" max="8" width="6.36328125" bestFit="1" customWidth="1"/>
    <col min="9" max="9" width="9.81640625" bestFit="1" customWidth="1"/>
    <col min="10" max="10" width="5.81640625" bestFit="1" customWidth="1"/>
    <col min="11" max="11" width="5.90625" customWidth="1"/>
  </cols>
  <sheetData>
    <row r="1" spans="1:11" x14ac:dyDescent="0.35">
      <c r="A1" s="461" t="s">
        <v>1</v>
      </c>
      <c r="B1" s="461" t="s">
        <v>17409</v>
      </c>
      <c r="C1" s="461" t="s">
        <v>17410</v>
      </c>
      <c r="D1" s="461" t="s">
        <v>244</v>
      </c>
      <c r="E1" s="461" t="s">
        <v>26</v>
      </c>
      <c r="F1" s="461" t="s">
        <v>2</v>
      </c>
      <c r="G1" t="s">
        <v>774</v>
      </c>
      <c r="H1" s="461" t="s">
        <v>9</v>
      </c>
      <c r="I1" s="461" t="s">
        <v>3</v>
      </c>
      <c r="J1" s="461" t="s">
        <v>300</v>
      </c>
      <c r="K1" s="461" t="s">
        <v>301</v>
      </c>
    </row>
    <row r="2" spans="1:11" hidden="1" x14ac:dyDescent="0.35">
      <c r="A2" s="461" t="s">
        <v>194</v>
      </c>
      <c r="B2" s="461" t="s">
        <v>235</v>
      </c>
      <c r="C2" s="461" t="s">
        <v>33</v>
      </c>
      <c r="D2" s="461" t="s">
        <v>293</v>
      </c>
      <c r="E2" s="461">
        <v>134</v>
      </c>
      <c r="F2" s="461"/>
      <c r="H2" s="461">
        <v>99</v>
      </c>
      <c r="I2" s="461"/>
      <c r="J2" s="461">
        <v>0</v>
      </c>
      <c r="K2" s="461">
        <v>35</v>
      </c>
    </row>
    <row r="3" spans="1:11" hidden="1" x14ac:dyDescent="0.35">
      <c r="A3" s="461" t="s">
        <v>194</v>
      </c>
      <c r="B3" s="461" t="s">
        <v>235</v>
      </c>
      <c r="C3" s="461" t="s">
        <v>35</v>
      </c>
      <c r="D3" s="461" t="s">
        <v>267</v>
      </c>
      <c r="E3" s="461">
        <v>64</v>
      </c>
      <c r="F3" s="461"/>
      <c r="H3" s="461">
        <v>21</v>
      </c>
      <c r="I3" s="461"/>
      <c r="J3" s="461">
        <v>0</v>
      </c>
      <c r="K3" s="461">
        <v>43</v>
      </c>
    </row>
    <row r="4" spans="1:11" hidden="1" x14ac:dyDescent="0.35">
      <c r="A4" s="461" t="s">
        <v>194</v>
      </c>
      <c r="B4" s="461" t="s">
        <v>235</v>
      </c>
      <c r="C4" s="461" t="s">
        <v>47</v>
      </c>
      <c r="D4" s="461" t="s">
        <v>277</v>
      </c>
      <c r="E4" s="461">
        <v>156</v>
      </c>
      <c r="F4" s="461"/>
      <c r="H4" s="461">
        <v>104</v>
      </c>
      <c r="I4" s="461"/>
      <c r="J4" s="461">
        <v>32</v>
      </c>
      <c r="K4" s="461">
        <v>20</v>
      </c>
    </row>
    <row r="5" spans="1:11" hidden="1" x14ac:dyDescent="0.35">
      <c r="A5" s="461" t="s">
        <v>194</v>
      </c>
      <c r="B5" s="461" t="s">
        <v>235</v>
      </c>
      <c r="C5" s="461" t="s">
        <v>56</v>
      </c>
      <c r="D5" s="461" t="s">
        <v>283</v>
      </c>
      <c r="E5" s="461">
        <v>119</v>
      </c>
      <c r="F5" s="461"/>
      <c r="H5" s="461">
        <v>54</v>
      </c>
      <c r="I5" s="461"/>
      <c r="J5" s="461">
        <v>0</v>
      </c>
      <c r="K5" s="461">
        <v>65</v>
      </c>
    </row>
    <row r="6" spans="1:11" hidden="1" x14ac:dyDescent="0.35">
      <c r="A6" s="461" t="s">
        <v>194</v>
      </c>
      <c r="B6" s="461" t="s">
        <v>236</v>
      </c>
      <c r="C6" s="461" t="s">
        <v>31</v>
      </c>
      <c r="D6" s="461" t="s">
        <v>326</v>
      </c>
      <c r="E6" s="461">
        <v>15</v>
      </c>
      <c r="F6" s="461"/>
      <c r="H6" s="461"/>
      <c r="I6" s="461"/>
      <c r="J6" s="461"/>
      <c r="K6" s="461">
        <v>15</v>
      </c>
    </row>
    <row r="7" spans="1:11" hidden="1" x14ac:dyDescent="0.35">
      <c r="A7" s="461" t="s">
        <v>194</v>
      </c>
      <c r="B7" s="461" t="s">
        <v>236</v>
      </c>
      <c r="C7" s="461" t="s">
        <v>65</v>
      </c>
      <c r="D7" s="461" t="s">
        <v>328</v>
      </c>
      <c r="E7" s="461">
        <v>11</v>
      </c>
      <c r="F7" s="461"/>
      <c r="H7" s="461"/>
      <c r="I7" s="461"/>
      <c r="J7" s="461"/>
      <c r="K7" s="461">
        <v>11</v>
      </c>
    </row>
    <row r="8" spans="1:11" hidden="1" x14ac:dyDescent="0.35">
      <c r="A8" s="461" t="s">
        <v>194</v>
      </c>
      <c r="B8" s="461" t="s">
        <v>236</v>
      </c>
      <c r="C8" s="461" t="s">
        <v>66</v>
      </c>
      <c r="D8" s="461" t="s">
        <v>331</v>
      </c>
      <c r="E8" s="461">
        <v>23</v>
      </c>
      <c r="F8" s="461"/>
      <c r="H8" s="461"/>
      <c r="I8" s="461"/>
      <c r="J8" s="461"/>
      <c r="K8" s="461">
        <v>23</v>
      </c>
    </row>
    <row r="9" spans="1:11" hidden="1" x14ac:dyDescent="0.35">
      <c r="A9" s="461" t="s">
        <v>194</v>
      </c>
      <c r="B9" s="461" t="s">
        <v>236</v>
      </c>
      <c r="C9" s="461" t="s">
        <v>67</v>
      </c>
      <c r="D9" s="461" t="s">
        <v>332</v>
      </c>
      <c r="E9" s="461">
        <v>21</v>
      </c>
      <c r="F9" s="461"/>
      <c r="H9" s="461"/>
      <c r="I9" s="461"/>
      <c r="J9" s="461"/>
      <c r="K9" s="461">
        <v>21</v>
      </c>
    </row>
    <row r="10" spans="1:11" hidden="1" x14ac:dyDescent="0.35">
      <c r="A10" s="461" t="s">
        <v>194</v>
      </c>
      <c r="B10" s="461" t="s">
        <v>236</v>
      </c>
      <c r="C10" s="461" t="s">
        <v>68</v>
      </c>
      <c r="D10" s="461" t="s">
        <v>333</v>
      </c>
      <c r="E10" s="461">
        <v>12</v>
      </c>
      <c r="F10" s="461"/>
      <c r="H10" s="461"/>
      <c r="I10" s="461"/>
      <c r="J10" s="461"/>
      <c r="K10" s="461">
        <v>12</v>
      </c>
    </row>
    <row r="11" spans="1:11" hidden="1" x14ac:dyDescent="0.35">
      <c r="A11" s="461" t="s">
        <v>194</v>
      </c>
      <c r="B11" s="461" t="s">
        <v>236</v>
      </c>
      <c r="C11" s="461" t="s">
        <v>57</v>
      </c>
      <c r="D11" s="461" t="s">
        <v>337</v>
      </c>
      <c r="E11" s="461">
        <v>10</v>
      </c>
      <c r="F11" s="461"/>
      <c r="H11" s="461"/>
      <c r="I11" s="461"/>
      <c r="J11" s="461"/>
      <c r="K11" s="461">
        <v>10</v>
      </c>
    </row>
    <row r="12" spans="1:11" hidden="1" x14ac:dyDescent="0.35">
      <c r="A12" s="461" t="s">
        <v>194</v>
      </c>
      <c r="B12" s="461" t="s">
        <v>236</v>
      </c>
      <c r="C12" s="461" t="s">
        <v>71</v>
      </c>
      <c r="D12" s="461" t="s">
        <v>338</v>
      </c>
      <c r="E12" s="461">
        <v>9</v>
      </c>
      <c r="F12" s="461"/>
      <c r="H12" s="461"/>
      <c r="I12" s="461"/>
      <c r="J12" s="461"/>
      <c r="K12" s="461">
        <v>9</v>
      </c>
    </row>
    <row r="13" spans="1:11" hidden="1" x14ac:dyDescent="0.35">
      <c r="A13" s="461" t="s">
        <v>194</v>
      </c>
      <c r="B13" s="461" t="s">
        <v>237</v>
      </c>
      <c r="C13" s="461" t="s">
        <v>166</v>
      </c>
      <c r="D13" s="461" t="s">
        <v>353</v>
      </c>
      <c r="E13" s="461">
        <v>255</v>
      </c>
      <c r="F13" s="461"/>
      <c r="H13" s="461"/>
      <c r="I13" s="461"/>
      <c r="J13" s="461"/>
      <c r="K13" s="461">
        <v>80</v>
      </c>
    </row>
    <row r="14" spans="1:11" hidden="1" x14ac:dyDescent="0.35">
      <c r="A14" s="461" t="s">
        <v>194</v>
      </c>
      <c r="B14" s="461" t="s">
        <v>235</v>
      </c>
      <c r="C14" s="461" t="s">
        <v>45</v>
      </c>
      <c r="D14" s="461" t="s">
        <v>275</v>
      </c>
      <c r="E14" s="461">
        <v>120</v>
      </c>
      <c r="F14" s="461"/>
      <c r="H14" s="461">
        <v>42</v>
      </c>
      <c r="I14" s="461"/>
      <c r="J14" s="461">
        <v>0</v>
      </c>
      <c r="K14" s="461">
        <v>78</v>
      </c>
    </row>
    <row r="15" spans="1:11" hidden="1" x14ac:dyDescent="0.35">
      <c r="A15" s="461" t="s">
        <v>194</v>
      </c>
      <c r="B15" s="461" t="s">
        <v>235</v>
      </c>
      <c r="C15" s="461" t="s">
        <v>52</v>
      </c>
      <c r="D15" s="461" t="s">
        <v>280</v>
      </c>
      <c r="E15" s="461">
        <v>253</v>
      </c>
      <c r="F15" s="461"/>
      <c r="H15" s="461">
        <v>140</v>
      </c>
      <c r="I15" s="461"/>
      <c r="J15" s="461">
        <v>25</v>
      </c>
      <c r="K15" s="461">
        <v>88</v>
      </c>
    </row>
    <row r="16" spans="1:11" hidden="1" x14ac:dyDescent="0.35">
      <c r="A16" s="461" t="s">
        <v>194</v>
      </c>
      <c r="B16" s="461" t="s">
        <v>236</v>
      </c>
      <c r="C16" s="461" t="s">
        <v>64</v>
      </c>
      <c r="D16" s="461" t="s">
        <v>329</v>
      </c>
      <c r="E16" s="461">
        <v>23</v>
      </c>
      <c r="F16" s="461"/>
      <c r="H16" s="461"/>
      <c r="I16" s="461"/>
      <c r="J16" s="461"/>
      <c r="K16" s="461">
        <v>23</v>
      </c>
    </row>
    <row r="17" spans="1:11" hidden="1" x14ac:dyDescent="0.35">
      <c r="A17" s="461" t="s">
        <v>194</v>
      </c>
      <c r="B17" s="461" t="s">
        <v>236</v>
      </c>
      <c r="C17" s="461" t="s">
        <v>70</v>
      </c>
      <c r="D17" s="461" t="s">
        <v>336</v>
      </c>
      <c r="E17" s="461">
        <v>13</v>
      </c>
      <c r="F17" s="461"/>
      <c r="H17" s="461"/>
      <c r="I17" s="461"/>
      <c r="J17" s="461"/>
      <c r="K17" s="461">
        <v>13</v>
      </c>
    </row>
    <row r="18" spans="1:11" hidden="1" x14ac:dyDescent="0.35">
      <c r="A18" s="461" t="s">
        <v>194</v>
      </c>
      <c r="B18" s="461" t="s">
        <v>238</v>
      </c>
      <c r="C18" s="461" t="s">
        <v>246</v>
      </c>
      <c r="D18" s="461" t="s">
        <v>339</v>
      </c>
      <c r="E18" s="461">
        <v>516</v>
      </c>
      <c r="F18" s="461">
        <v>223</v>
      </c>
      <c r="H18" s="461"/>
      <c r="I18" s="461">
        <v>961</v>
      </c>
      <c r="J18" s="461"/>
      <c r="K18" s="461">
        <v>56</v>
      </c>
    </row>
    <row r="19" spans="1:11" hidden="1" x14ac:dyDescent="0.35">
      <c r="A19" s="461" t="s">
        <v>194</v>
      </c>
      <c r="B19" s="461" t="s">
        <v>235</v>
      </c>
      <c r="C19" s="461" t="s">
        <v>36</v>
      </c>
      <c r="D19" s="461" t="s">
        <v>268</v>
      </c>
      <c r="E19" s="461">
        <v>271</v>
      </c>
      <c r="F19" s="461"/>
      <c r="H19" s="461">
        <v>198</v>
      </c>
      <c r="I19" s="461"/>
      <c r="J19" s="461">
        <v>4</v>
      </c>
      <c r="K19" s="461">
        <v>69</v>
      </c>
    </row>
    <row r="20" spans="1:11" hidden="1" x14ac:dyDescent="0.35">
      <c r="A20" s="461" t="s">
        <v>194</v>
      </c>
      <c r="B20" s="461" t="s">
        <v>235</v>
      </c>
      <c r="C20" s="461" t="s">
        <v>39</v>
      </c>
      <c r="D20" s="461" t="s">
        <v>296</v>
      </c>
      <c r="E20" s="461">
        <v>74</v>
      </c>
      <c r="F20" s="461"/>
      <c r="H20" s="461">
        <v>0</v>
      </c>
      <c r="I20" s="461"/>
      <c r="J20" s="461">
        <v>0</v>
      </c>
      <c r="K20" s="461">
        <v>74</v>
      </c>
    </row>
    <row r="21" spans="1:11" hidden="1" x14ac:dyDescent="0.35">
      <c r="A21" s="461" t="s">
        <v>194</v>
      </c>
      <c r="B21" s="461" t="s">
        <v>235</v>
      </c>
      <c r="C21" s="461" t="s">
        <v>42</v>
      </c>
      <c r="D21" s="461" t="s">
        <v>273</v>
      </c>
      <c r="E21">
        <v>161</v>
      </c>
      <c r="H21">
        <v>65</v>
      </c>
      <c r="J21">
        <v>0</v>
      </c>
      <c r="K21">
        <v>96</v>
      </c>
    </row>
    <row r="22" spans="1:11" hidden="1" x14ac:dyDescent="0.35">
      <c r="A22" s="461" t="s">
        <v>194</v>
      </c>
      <c r="B22" s="461" t="s">
        <v>235</v>
      </c>
      <c r="C22" s="461" t="s">
        <v>49</v>
      </c>
      <c r="D22" s="461" t="s">
        <v>278</v>
      </c>
      <c r="E22">
        <v>191</v>
      </c>
      <c r="H22">
        <v>94</v>
      </c>
      <c r="J22">
        <v>21</v>
      </c>
      <c r="K22">
        <v>76</v>
      </c>
    </row>
    <row r="23" spans="1:11" hidden="1" x14ac:dyDescent="0.35">
      <c r="A23" s="461" t="s">
        <v>194</v>
      </c>
      <c r="B23" s="461" t="s">
        <v>235</v>
      </c>
      <c r="C23" s="461" t="s">
        <v>50</v>
      </c>
      <c r="D23" s="461" t="s">
        <v>295</v>
      </c>
      <c r="E23">
        <v>216</v>
      </c>
      <c r="H23">
        <v>28</v>
      </c>
      <c r="J23">
        <v>0</v>
      </c>
      <c r="K23">
        <v>188</v>
      </c>
    </row>
    <row r="24" spans="1:11" hidden="1" x14ac:dyDescent="0.35">
      <c r="A24" s="461" t="s">
        <v>194</v>
      </c>
      <c r="B24" s="461" t="s">
        <v>235</v>
      </c>
      <c r="C24" s="461" t="s">
        <v>51</v>
      </c>
      <c r="D24" s="461" t="s">
        <v>279</v>
      </c>
      <c r="E24">
        <v>113</v>
      </c>
      <c r="H24">
        <v>113</v>
      </c>
      <c r="J24">
        <v>0</v>
      </c>
      <c r="K24">
        <v>0</v>
      </c>
    </row>
    <row r="25" spans="1:11" hidden="1" x14ac:dyDescent="0.35">
      <c r="A25" s="461" t="s">
        <v>194</v>
      </c>
      <c r="B25" s="461" t="s">
        <v>236</v>
      </c>
      <c r="C25" s="461" t="s">
        <v>69</v>
      </c>
      <c r="D25" s="461" t="s">
        <v>335</v>
      </c>
      <c r="E25">
        <v>13</v>
      </c>
      <c r="K25">
        <v>13</v>
      </c>
    </row>
    <row r="26" spans="1:11" hidden="1" x14ac:dyDescent="0.35">
      <c r="A26" s="461" t="s">
        <v>194</v>
      </c>
      <c r="B26" s="461" t="s">
        <v>236</v>
      </c>
      <c r="C26" s="461" t="s">
        <v>43</v>
      </c>
      <c r="D26" s="461" t="s">
        <v>17425</v>
      </c>
      <c r="E26">
        <v>21</v>
      </c>
      <c r="K26">
        <v>21</v>
      </c>
    </row>
    <row r="27" spans="1:11" hidden="1" x14ac:dyDescent="0.35">
      <c r="A27" s="461" t="s">
        <v>194</v>
      </c>
      <c r="B27" s="461" t="s">
        <v>236</v>
      </c>
      <c r="C27" s="461" t="s">
        <v>114</v>
      </c>
      <c r="D27" s="461" t="s">
        <v>17426</v>
      </c>
      <c r="E27">
        <v>28</v>
      </c>
      <c r="K27">
        <v>28</v>
      </c>
    </row>
    <row r="28" spans="1:11" hidden="1" x14ac:dyDescent="0.35">
      <c r="A28" s="461" t="s">
        <v>194</v>
      </c>
      <c r="B28" s="461" t="s">
        <v>235</v>
      </c>
      <c r="C28" s="461" t="s">
        <v>31</v>
      </c>
      <c r="D28" s="461" t="s">
        <v>286</v>
      </c>
      <c r="E28">
        <v>182</v>
      </c>
      <c r="H28">
        <v>8</v>
      </c>
      <c r="J28">
        <v>0</v>
      </c>
      <c r="K28">
        <v>174</v>
      </c>
    </row>
    <row r="29" spans="1:11" hidden="1" x14ac:dyDescent="0.35">
      <c r="A29" s="461" t="s">
        <v>194</v>
      </c>
      <c r="B29" s="461" t="s">
        <v>235</v>
      </c>
      <c r="C29" s="461" t="s">
        <v>43</v>
      </c>
      <c r="D29" s="461" t="s">
        <v>298</v>
      </c>
      <c r="E29">
        <v>400</v>
      </c>
      <c r="H29">
        <v>111</v>
      </c>
      <c r="J29">
        <v>0</v>
      </c>
      <c r="K29">
        <v>289</v>
      </c>
    </row>
    <row r="30" spans="1:11" hidden="1" x14ac:dyDescent="0.35">
      <c r="A30" s="461" t="s">
        <v>194</v>
      </c>
      <c r="B30" s="461" t="s">
        <v>235</v>
      </c>
      <c r="C30" s="461" t="s">
        <v>48</v>
      </c>
      <c r="D30" s="461" t="s">
        <v>272</v>
      </c>
      <c r="E30">
        <v>132</v>
      </c>
      <c r="H30">
        <v>132</v>
      </c>
      <c r="J30">
        <v>0</v>
      </c>
      <c r="K30">
        <v>0</v>
      </c>
    </row>
    <row r="31" spans="1:11" hidden="1" x14ac:dyDescent="0.35">
      <c r="A31" s="461" t="s">
        <v>194</v>
      </c>
      <c r="B31" s="461" t="s">
        <v>235</v>
      </c>
      <c r="C31" s="461" t="s">
        <v>58</v>
      </c>
      <c r="D31" s="461" t="s">
        <v>285</v>
      </c>
      <c r="E31">
        <v>136</v>
      </c>
      <c r="H31">
        <v>74</v>
      </c>
      <c r="J31">
        <v>0</v>
      </c>
      <c r="K31">
        <v>62</v>
      </c>
    </row>
    <row r="32" spans="1:11" hidden="1" x14ac:dyDescent="0.35">
      <c r="A32" s="461" t="s">
        <v>194</v>
      </c>
      <c r="B32" s="461" t="s">
        <v>236</v>
      </c>
      <c r="C32" s="461" t="s">
        <v>63</v>
      </c>
      <c r="D32" s="461" t="s">
        <v>327</v>
      </c>
      <c r="E32">
        <v>22</v>
      </c>
      <c r="K32">
        <v>22</v>
      </c>
    </row>
    <row r="33" spans="1:11" hidden="1" x14ac:dyDescent="0.35">
      <c r="A33" s="461" t="s">
        <v>194</v>
      </c>
      <c r="B33" s="461" t="s">
        <v>237</v>
      </c>
      <c r="C33" s="461" t="s">
        <v>164</v>
      </c>
      <c r="D33" s="461" t="s">
        <v>355</v>
      </c>
      <c r="E33">
        <v>210</v>
      </c>
      <c r="K33">
        <v>77</v>
      </c>
    </row>
    <row r="34" spans="1:11" hidden="1" x14ac:dyDescent="0.35">
      <c r="A34" s="461" t="s">
        <v>194</v>
      </c>
      <c r="B34" s="461" t="s">
        <v>235</v>
      </c>
      <c r="C34" s="461" t="s">
        <v>41</v>
      </c>
      <c r="D34" s="461" t="s">
        <v>271</v>
      </c>
      <c r="E34">
        <v>59</v>
      </c>
      <c r="H34">
        <v>0</v>
      </c>
      <c r="J34">
        <v>0</v>
      </c>
      <c r="K34">
        <v>59</v>
      </c>
    </row>
    <row r="35" spans="1:11" hidden="1" x14ac:dyDescent="0.35">
      <c r="A35" s="461" t="s">
        <v>194</v>
      </c>
      <c r="B35" s="461" t="s">
        <v>235</v>
      </c>
      <c r="C35" s="461" t="s">
        <v>44</v>
      </c>
      <c r="D35" s="461" t="s">
        <v>274</v>
      </c>
      <c r="E35">
        <v>717</v>
      </c>
      <c r="H35">
        <v>564</v>
      </c>
      <c r="J35">
        <v>72</v>
      </c>
      <c r="K35">
        <v>81</v>
      </c>
    </row>
    <row r="36" spans="1:11" hidden="1" x14ac:dyDescent="0.35">
      <c r="A36" s="461" t="s">
        <v>194</v>
      </c>
      <c r="B36" s="461" t="s">
        <v>235</v>
      </c>
      <c r="C36" s="461" t="s">
        <v>54</v>
      </c>
      <c r="D36" s="461" t="s">
        <v>281</v>
      </c>
      <c r="E36">
        <v>209</v>
      </c>
      <c r="H36">
        <v>134</v>
      </c>
      <c r="J36">
        <v>0</v>
      </c>
      <c r="K36">
        <v>75</v>
      </c>
    </row>
    <row r="37" spans="1:11" hidden="1" x14ac:dyDescent="0.35">
      <c r="A37" s="461" t="s">
        <v>194</v>
      </c>
      <c r="B37" s="461" t="s">
        <v>235</v>
      </c>
      <c r="C37" s="461" t="s">
        <v>60</v>
      </c>
      <c r="D37" s="461" t="s">
        <v>292</v>
      </c>
      <c r="E37">
        <v>143</v>
      </c>
      <c r="H37">
        <v>58</v>
      </c>
      <c r="J37">
        <v>0</v>
      </c>
      <c r="K37">
        <v>85</v>
      </c>
    </row>
    <row r="38" spans="1:11" hidden="1" x14ac:dyDescent="0.35">
      <c r="A38" s="461" t="s">
        <v>194</v>
      </c>
      <c r="B38" s="461" t="s">
        <v>236</v>
      </c>
      <c r="C38" s="461" t="s">
        <v>167</v>
      </c>
      <c r="D38" s="461" t="s">
        <v>334</v>
      </c>
      <c r="E38">
        <v>26</v>
      </c>
      <c r="K38">
        <v>26</v>
      </c>
    </row>
    <row r="39" spans="1:11" hidden="1" x14ac:dyDescent="0.35">
      <c r="A39" s="461" t="s">
        <v>194</v>
      </c>
      <c r="B39" s="461" t="s">
        <v>236</v>
      </c>
      <c r="C39" s="461" t="s">
        <v>50</v>
      </c>
      <c r="D39" s="461" t="s">
        <v>17427</v>
      </c>
      <c r="E39">
        <v>14</v>
      </c>
      <c r="K39">
        <v>14</v>
      </c>
    </row>
    <row r="40" spans="1:11" hidden="1" x14ac:dyDescent="0.35">
      <c r="A40" s="461" t="s">
        <v>194</v>
      </c>
      <c r="B40" s="461" t="s">
        <v>235</v>
      </c>
      <c r="C40" s="461" t="s">
        <v>37</v>
      </c>
      <c r="D40" s="461" t="s">
        <v>294</v>
      </c>
      <c r="E40">
        <v>229</v>
      </c>
      <c r="H40">
        <v>14</v>
      </c>
      <c r="J40">
        <v>0</v>
      </c>
      <c r="K40">
        <v>215</v>
      </c>
    </row>
    <row r="41" spans="1:11" hidden="1" x14ac:dyDescent="0.35">
      <c r="A41" s="461" t="s">
        <v>194</v>
      </c>
      <c r="B41" s="461" t="s">
        <v>235</v>
      </c>
      <c r="C41" s="461" t="s">
        <v>40</v>
      </c>
      <c r="D41" s="461" t="s">
        <v>270</v>
      </c>
      <c r="E41">
        <v>81</v>
      </c>
      <c r="H41">
        <v>52</v>
      </c>
      <c r="J41">
        <v>0</v>
      </c>
      <c r="K41">
        <v>29</v>
      </c>
    </row>
    <row r="42" spans="1:11" hidden="1" x14ac:dyDescent="0.35">
      <c r="A42" s="461" t="s">
        <v>194</v>
      </c>
      <c r="B42" s="461" t="s">
        <v>236</v>
      </c>
      <c r="C42" s="461" t="s">
        <v>36</v>
      </c>
      <c r="D42" s="461" t="s">
        <v>330</v>
      </c>
      <c r="E42">
        <v>16</v>
      </c>
      <c r="K42">
        <v>16</v>
      </c>
    </row>
    <row r="43" spans="1:11" hidden="1" x14ac:dyDescent="0.35">
      <c r="A43" s="461" t="s">
        <v>194</v>
      </c>
      <c r="B43" s="461" t="s">
        <v>235</v>
      </c>
      <c r="C43" s="461" t="s">
        <v>32</v>
      </c>
      <c r="D43" s="461" t="s">
        <v>287</v>
      </c>
      <c r="E43">
        <v>320</v>
      </c>
      <c r="H43">
        <v>297</v>
      </c>
      <c r="J43">
        <v>0</v>
      </c>
      <c r="K43">
        <v>23</v>
      </c>
    </row>
    <row r="44" spans="1:11" hidden="1" x14ac:dyDescent="0.35">
      <c r="A44" s="461" t="s">
        <v>194</v>
      </c>
      <c r="B44" s="461" t="s">
        <v>235</v>
      </c>
      <c r="C44" s="461" t="s">
        <v>245</v>
      </c>
      <c r="D44" s="461" t="s">
        <v>289</v>
      </c>
      <c r="E44">
        <v>382</v>
      </c>
      <c r="H44">
        <v>12</v>
      </c>
      <c r="J44">
        <v>0</v>
      </c>
      <c r="K44">
        <v>370</v>
      </c>
    </row>
    <row r="45" spans="1:11" hidden="1" x14ac:dyDescent="0.35">
      <c r="A45" s="461" t="s">
        <v>194</v>
      </c>
      <c r="B45" s="461" t="s">
        <v>235</v>
      </c>
      <c r="C45" s="461" t="s">
        <v>46</v>
      </c>
      <c r="D45" s="461" t="s">
        <v>276</v>
      </c>
      <c r="E45">
        <v>45</v>
      </c>
      <c r="H45">
        <v>10</v>
      </c>
      <c r="J45">
        <v>0</v>
      </c>
      <c r="K45">
        <v>35</v>
      </c>
    </row>
    <row r="46" spans="1:11" hidden="1" x14ac:dyDescent="0.35">
      <c r="A46" s="461" t="s">
        <v>194</v>
      </c>
      <c r="B46" s="461" t="s">
        <v>235</v>
      </c>
      <c r="C46" s="461" t="s">
        <v>55</v>
      </c>
      <c r="D46" s="461" t="s">
        <v>282</v>
      </c>
      <c r="E46">
        <v>134</v>
      </c>
      <c r="H46">
        <v>134</v>
      </c>
      <c r="J46">
        <v>0</v>
      </c>
      <c r="K46">
        <v>0</v>
      </c>
    </row>
    <row r="47" spans="1:11" hidden="1" x14ac:dyDescent="0.35">
      <c r="A47" s="461" t="s">
        <v>194</v>
      </c>
      <c r="B47" s="461" t="s">
        <v>235</v>
      </c>
      <c r="C47" s="461" t="s">
        <v>57</v>
      </c>
      <c r="D47" s="461" t="s">
        <v>284</v>
      </c>
      <c r="E47">
        <v>276</v>
      </c>
      <c r="H47">
        <v>84</v>
      </c>
      <c r="J47">
        <v>2</v>
      </c>
      <c r="K47">
        <v>190</v>
      </c>
    </row>
    <row r="48" spans="1:11" hidden="1" x14ac:dyDescent="0.35">
      <c r="A48" s="461" t="s">
        <v>194</v>
      </c>
      <c r="B48" s="461" t="s">
        <v>235</v>
      </c>
      <c r="C48" s="461" t="s">
        <v>59</v>
      </c>
      <c r="D48" s="461" t="s">
        <v>291</v>
      </c>
      <c r="E48">
        <v>98</v>
      </c>
      <c r="H48">
        <v>18</v>
      </c>
      <c r="J48">
        <v>0</v>
      </c>
      <c r="K48">
        <v>80</v>
      </c>
    </row>
    <row r="49" spans="1:11" hidden="1" x14ac:dyDescent="0.35">
      <c r="A49" s="461" t="s">
        <v>194</v>
      </c>
      <c r="B49" s="461" t="s">
        <v>237</v>
      </c>
      <c r="C49" s="461" t="s">
        <v>165</v>
      </c>
      <c r="D49" s="461" t="s">
        <v>354</v>
      </c>
      <c r="E49">
        <v>527</v>
      </c>
      <c r="K49">
        <v>111</v>
      </c>
    </row>
    <row r="50" spans="1:11" hidden="1" x14ac:dyDescent="0.35">
      <c r="A50" s="461" t="s">
        <v>194</v>
      </c>
      <c r="B50" s="461" t="s">
        <v>235</v>
      </c>
      <c r="C50" s="461" t="s">
        <v>34</v>
      </c>
      <c r="D50" s="461" t="s">
        <v>288</v>
      </c>
      <c r="E50">
        <v>448</v>
      </c>
      <c r="H50">
        <v>187</v>
      </c>
      <c r="J50">
        <v>203</v>
      </c>
      <c r="K50">
        <v>58</v>
      </c>
    </row>
    <row r="51" spans="1:11" hidden="1" x14ac:dyDescent="0.35">
      <c r="A51" s="461" t="s">
        <v>194</v>
      </c>
      <c r="B51" s="461" t="s">
        <v>235</v>
      </c>
      <c r="C51" s="461" t="s">
        <v>38</v>
      </c>
      <c r="D51" s="461" t="s">
        <v>269</v>
      </c>
      <c r="E51">
        <v>136</v>
      </c>
      <c r="H51">
        <v>77</v>
      </c>
      <c r="J51">
        <v>0</v>
      </c>
      <c r="K51">
        <v>59</v>
      </c>
    </row>
    <row r="52" spans="1:11" hidden="1" x14ac:dyDescent="0.35">
      <c r="A52" s="461" t="s">
        <v>194</v>
      </c>
      <c r="B52" s="461" t="s">
        <v>235</v>
      </c>
      <c r="C52" s="461" t="s">
        <v>114</v>
      </c>
      <c r="D52" s="461" t="s">
        <v>297</v>
      </c>
      <c r="E52">
        <v>562</v>
      </c>
      <c r="H52">
        <v>2</v>
      </c>
      <c r="J52">
        <v>0</v>
      </c>
      <c r="K52">
        <v>560</v>
      </c>
    </row>
    <row r="53" spans="1:11" hidden="1" x14ac:dyDescent="0.35">
      <c r="A53" s="461" t="s">
        <v>194</v>
      </c>
      <c r="B53" s="461" t="s">
        <v>235</v>
      </c>
      <c r="C53" s="461" t="s">
        <v>53</v>
      </c>
      <c r="D53" s="461" t="s">
        <v>290</v>
      </c>
      <c r="E53">
        <v>130</v>
      </c>
      <c r="H53">
        <v>14</v>
      </c>
      <c r="J53">
        <v>0</v>
      </c>
      <c r="K53">
        <v>116</v>
      </c>
    </row>
    <row r="54" spans="1:11" hidden="1" x14ac:dyDescent="0.35">
      <c r="A54" s="461" t="s">
        <v>194</v>
      </c>
      <c r="B54" s="461" t="s">
        <v>236</v>
      </c>
      <c r="C54" s="461" t="s">
        <v>17412</v>
      </c>
      <c r="D54" s="461" t="s">
        <v>17428</v>
      </c>
      <c r="E54">
        <v>8</v>
      </c>
      <c r="K54">
        <v>8</v>
      </c>
    </row>
    <row r="55" spans="1:11" hidden="1" x14ac:dyDescent="0.35">
      <c r="A55" s="461" t="s">
        <v>193</v>
      </c>
      <c r="B55" s="461" t="s">
        <v>235</v>
      </c>
      <c r="C55" s="461" t="s">
        <v>31</v>
      </c>
      <c r="D55" s="461" t="s">
        <v>286</v>
      </c>
      <c r="E55">
        <v>181</v>
      </c>
      <c r="H55">
        <v>8</v>
      </c>
      <c r="J55">
        <v>0</v>
      </c>
      <c r="K55">
        <v>173</v>
      </c>
    </row>
    <row r="56" spans="1:11" hidden="1" x14ac:dyDescent="0.35">
      <c r="A56" s="461" t="s">
        <v>193</v>
      </c>
      <c r="B56" s="461" t="s">
        <v>235</v>
      </c>
      <c r="C56" s="461" t="s">
        <v>33</v>
      </c>
      <c r="D56" s="461" t="s">
        <v>293</v>
      </c>
      <c r="E56">
        <v>122</v>
      </c>
      <c r="H56">
        <v>95</v>
      </c>
      <c r="J56">
        <v>0</v>
      </c>
      <c r="K56">
        <v>27</v>
      </c>
    </row>
    <row r="57" spans="1:11" hidden="1" x14ac:dyDescent="0.35">
      <c r="A57" s="461" t="s">
        <v>193</v>
      </c>
      <c r="B57" s="461" t="s">
        <v>235</v>
      </c>
      <c r="C57" s="461" t="s">
        <v>58</v>
      </c>
      <c r="D57" s="461" t="s">
        <v>285</v>
      </c>
      <c r="E57">
        <v>130</v>
      </c>
      <c r="H57">
        <v>75</v>
      </c>
      <c r="J57">
        <v>0</v>
      </c>
      <c r="K57">
        <v>55</v>
      </c>
    </row>
    <row r="58" spans="1:11" hidden="1" x14ac:dyDescent="0.35">
      <c r="A58" s="461" t="s">
        <v>193</v>
      </c>
      <c r="B58" s="461" t="s">
        <v>236</v>
      </c>
      <c r="C58" s="461" t="s">
        <v>71</v>
      </c>
      <c r="D58" s="461" t="s">
        <v>338</v>
      </c>
      <c r="E58">
        <v>7</v>
      </c>
      <c r="K58">
        <v>7</v>
      </c>
    </row>
    <row r="59" spans="1:11" hidden="1" x14ac:dyDescent="0.35">
      <c r="A59" s="461" t="s">
        <v>193</v>
      </c>
      <c r="B59" s="461" t="s">
        <v>237</v>
      </c>
      <c r="C59" s="461" t="s">
        <v>164</v>
      </c>
      <c r="D59" s="461" t="s">
        <v>355</v>
      </c>
      <c r="E59">
        <v>193</v>
      </c>
      <c r="K59">
        <v>67</v>
      </c>
    </row>
    <row r="60" spans="1:11" hidden="1" x14ac:dyDescent="0.35">
      <c r="A60" s="461" t="s">
        <v>193</v>
      </c>
      <c r="B60" s="461" t="s">
        <v>235</v>
      </c>
      <c r="C60" s="461" t="s">
        <v>245</v>
      </c>
      <c r="D60" s="461" t="s">
        <v>289</v>
      </c>
      <c r="E60">
        <v>361</v>
      </c>
      <c r="H60">
        <v>13</v>
      </c>
      <c r="J60">
        <v>0</v>
      </c>
      <c r="K60">
        <v>348</v>
      </c>
    </row>
    <row r="61" spans="1:11" hidden="1" x14ac:dyDescent="0.35">
      <c r="A61" s="461" t="s">
        <v>193</v>
      </c>
      <c r="B61" s="461" t="s">
        <v>235</v>
      </c>
      <c r="C61" s="461" t="s">
        <v>35</v>
      </c>
      <c r="D61" s="461" t="s">
        <v>267</v>
      </c>
      <c r="E61">
        <v>60</v>
      </c>
      <c r="H61">
        <v>23</v>
      </c>
      <c r="J61">
        <v>0</v>
      </c>
      <c r="K61">
        <v>37</v>
      </c>
    </row>
    <row r="62" spans="1:11" hidden="1" x14ac:dyDescent="0.35">
      <c r="A62" s="461" t="s">
        <v>193</v>
      </c>
      <c r="B62" s="461" t="s">
        <v>235</v>
      </c>
      <c r="C62" s="461" t="s">
        <v>42</v>
      </c>
      <c r="D62" s="461" t="s">
        <v>273</v>
      </c>
      <c r="E62">
        <v>162</v>
      </c>
      <c r="H62">
        <v>68</v>
      </c>
      <c r="J62">
        <v>0</v>
      </c>
      <c r="K62">
        <v>94</v>
      </c>
    </row>
    <row r="63" spans="1:11" hidden="1" x14ac:dyDescent="0.35">
      <c r="A63" s="461" t="s">
        <v>193</v>
      </c>
      <c r="B63" s="461" t="s">
        <v>235</v>
      </c>
      <c r="C63" s="461" t="s">
        <v>43</v>
      </c>
      <c r="D63" s="461" t="s">
        <v>298</v>
      </c>
      <c r="E63">
        <v>400</v>
      </c>
      <c r="H63">
        <v>112</v>
      </c>
      <c r="J63">
        <v>0</v>
      </c>
      <c r="K63">
        <v>288</v>
      </c>
    </row>
    <row r="64" spans="1:11" hidden="1" x14ac:dyDescent="0.35">
      <c r="A64" s="461" t="s">
        <v>193</v>
      </c>
      <c r="B64" s="461" t="s">
        <v>235</v>
      </c>
      <c r="C64" s="461" t="s">
        <v>114</v>
      </c>
      <c r="D64" s="461" t="s">
        <v>297</v>
      </c>
      <c r="E64">
        <v>544</v>
      </c>
      <c r="H64">
        <v>0</v>
      </c>
      <c r="J64">
        <v>0</v>
      </c>
      <c r="K64">
        <v>544</v>
      </c>
    </row>
    <row r="65" spans="1:11" hidden="1" x14ac:dyDescent="0.35">
      <c r="A65" s="461" t="s">
        <v>193</v>
      </c>
      <c r="B65" s="461" t="s">
        <v>235</v>
      </c>
      <c r="C65" s="461" t="s">
        <v>47</v>
      </c>
      <c r="D65" s="461" t="s">
        <v>277</v>
      </c>
      <c r="E65">
        <v>167</v>
      </c>
      <c r="H65">
        <v>121</v>
      </c>
      <c r="J65">
        <v>25</v>
      </c>
      <c r="K65">
        <v>21</v>
      </c>
    </row>
    <row r="66" spans="1:11" hidden="1" x14ac:dyDescent="0.35">
      <c r="A66" s="461" t="s">
        <v>193</v>
      </c>
      <c r="B66" s="461" t="s">
        <v>235</v>
      </c>
      <c r="C66" s="461" t="s">
        <v>51</v>
      </c>
      <c r="D66" s="461" t="s">
        <v>279</v>
      </c>
      <c r="E66">
        <v>110</v>
      </c>
      <c r="H66">
        <v>109</v>
      </c>
      <c r="J66">
        <v>1</v>
      </c>
      <c r="K66">
        <v>0</v>
      </c>
    </row>
    <row r="67" spans="1:11" hidden="1" x14ac:dyDescent="0.35">
      <c r="A67" s="461" t="s">
        <v>193</v>
      </c>
      <c r="B67" s="461" t="s">
        <v>235</v>
      </c>
      <c r="C67" s="461" t="s">
        <v>54</v>
      </c>
      <c r="D67" s="461" t="s">
        <v>281</v>
      </c>
      <c r="E67">
        <v>224</v>
      </c>
      <c r="H67">
        <v>151</v>
      </c>
      <c r="J67">
        <v>0</v>
      </c>
      <c r="K67">
        <v>73</v>
      </c>
    </row>
    <row r="68" spans="1:11" hidden="1" x14ac:dyDescent="0.35">
      <c r="A68" s="461" t="s">
        <v>193</v>
      </c>
      <c r="B68" s="461" t="s">
        <v>237</v>
      </c>
      <c r="C68" s="461" t="s">
        <v>166</v>
      </c>
      <c r="D68" s="461" t="s">
        <v>353</v>
      </c>
      <c r="E68">
        <v>242</v>
      </c>
      <c r="K68">
        <v>79</v>
      </c>
    </row>
    <row r="69" spans="1:11" hidden="1" x14ac:dyDescent="0.35">
      <c r="A69" s="461" t="s">
        <v>193</v>
      </c>
      <c r="B69" s="461" t="s">
        <v>235</v>
      </c>
      <c r="C69" s="461" t="s">
        <v>38</v>
      </c>
      <c r="D69" s="461" t="s">
        <v>269</v>
      </c>
      <c r="E69">
        <v>136</v>
      </c>
      <c r="H69">
        <v>80</v>
      </c>
      <c r="J69">
        <v>0</v>
      </c>
      <c r="K69">
        <v>56</v>
      </c>
    </row>
    <row r="70" spans="1:11" hidden="1" x14ac:dyDescent="0.35">
      <c r="A70" s="461" t="s">
        <v>193</v>
      </c>
      <c r="B70" s="461" t="s">
        <v>235</v>
      </c>
      <c r="C70" s="461" t="s">
        <v>45</v>
      </c>
      <c r="D70" s="461" t="s">
        <v>275</v>
      </c>
      <c r="E70">
        <v>117</v>
      </c>
      <c r="H70">
        <v>40</v>
      </c>
      <c r="J70">
        <v>0</v>
      </c>
      <c r="K70">
        <v>77</v>
      </c>
    </row>
    <row r="71" spans="1:11" hidden="1" x14ac:dyDescent="0.35">
      <c r="A71" s="461" t="s">
        <v>193</v>
      </c>
      <c r="B71" s="461" t="s">
        <v>236</v>
      </c>
      <c r="C71" s="461" t="s">
        <v>50</v>
      </c>
      <c r="D71" s="461" t="s">
        <v>17427</v>
      </c>
      <c r="E71">
        <v>16</v>
      </c>
      <c r="K71">
        <v>16</v>
      </c>
    </row>
    <row r="72" spans="1:11" hidden="1" x14ac:dyDescent="0.35">
      <c r="A72" s="461" t="s">
        <v>193</v>
      </c>
      <c r="B72" s="461" t="s">
        <v>236</v>
      </c>
      <c r="C72" s="461" t="s">
        <v>57</v>
      </c>
      <c r="D72" s="461" t="s">
        <v>337</v>
      </c>
      <c r="E72">
        <v>10</v>
      </c>
      <c r="K72">
        <v>10</v>
      </c>
    </row>
    <row r="73" spans="1:11" hidden="1" x14ac:dyDescent="0.35">
      <c r="A73" s="461" t="s">
        <v>193</v>
      </c>
      <c r="B73" s="461" t="s">
        <v>235</v>
      </c>
      <c r="C73" s="461" t="s">
        <v>34</v>
      </c>
      <c r="D73" s="461" t="s">
        <v>288</v>
      </c>
      <c r="E73">
        <v>454</v>
      </c>
      <c r="H73">
        <v>175</v>
      </c>
      <c r="J73">
        <v>225</v>
      </c>
      <c r="K73">
        <v>54</v>
      </c>
    </row>
    <row r="74" spans="1:11" hidden="1" x14ac:dyDescent="0.35">
      <c r="A74" s="461" t="s">
        <v>193</v>
      </c>
      <c r="B74" s="461" t="s">
        <v>235</v>
      </c>
      <c r="C74" s="461" t="s">
        <v>36</v>
      </c>
      <c r="D74" s="461" t="s">
        <v>268</v>
      </c>
      <c r="E74">
        <v>278</v>
      </c>
      <c r="H74">
        <v>206</v>
      </c>
      <c r="J74">
        <v>3</v>
      </c>
      <c r="K74">
        <v>69</v>
      </c>
    </row>
    <row r="75" spans="1:11" hidden="1" x14ac:dyDescent="0.35">
      <c r="A75" s="461" t="s">
        <v>193</v>
      </c>
      <c r="B75" s="461" t="s">
        <v>235</v>
      </c>
      <c r="C75" s="461" t="s">
        <v>39</v>
      </c>
      <c r="D75" s="461" t="s">
        <v>296</v>
      </c>
      <c r="E75">
        <v>72</v>
      </c>
      <c r="H75">
        <v>0</v>
      </c>
      <c r="J75">
        <v>0</v>
      </c>
      <c r="K75">
        <v>72</v>
      </c>
    </row>
    <row r="76" spans="1:11" hidden="1" x14ac:dyDescent="0.35">
      <c r="A76" s="461" t="s">
        <v>193</v>
      </c>
      <c r="B76" s="461" t="s">
        <v>235</v>
      </c>
      <c r="C76" s="461" t="s">
        <v>44</v>
      </c>
      <c r="D76" s="461" t="s">
        <v>274</v>
      </c>
      <c r="E76">
        <v>698</v>
      </c>
      <c r="H76">
        <v>548</v>
      </c>
      <c r="J76">
        <v>69</v>
      </c>
      <c r="K76">
        <v>81</v>
      </c>
    </row>
    <row r="77" spans="1:11" hidden="1" x14ac:dyDescent="0.35">
      <c r="A77" s="461" t="s">
        <v>193</v>
      </c>
      <c r="B77" s="461" t="s">
        <v>235</v>
      </c>
      <c r="C77" s="461" t="s">
        <v>50</v>
      </c>
      <c r="D77" s="461" t="s">
        <v>295</v>
      </c>
      <c r="E77">
        <v>217</v>
      </c>
      <c r="H77">
        <v>30</v>
      </c>
      <c r="J77">
        <v>0</v>
      </c>
      <c r="K77">
        <v>187</v>
      </c>
    </row>
    <row r="78" spans="1:11" hidden="1" x14ac:dyDescent="0.35">
      <c r="A78" s="461" t="s">
        <v>193</v>
      </c>
      <c r="B78" s="461" t="s">
        <v>235</v>
      </c>
      <c r="C78" s="461" t="s">
        <v>56</v>
      </c>
      <c r="D78" s="461" t="s">
        <v>283</v>
      </c>
      <c r="E78">
        <v>114</v>
      </c>
      <c r="H78">
        <v>54</v>
      </c>
      <c r="J78">
        <v>0</v>
      </c>
      <c r="K78">
        <v>60</v>
      </c>
    </row>
    <row r="79" spans="1:11" hidden="1" x14ac:dyDescent="0.35">
      <c r="A79" s="461" t="s">
        <v>193</v>
      </c>
      <c r="B79" s="461" t="s">
        <v>236</v>
      </c>
      <c r="C79" s="461" t="s">
        <v>36</v>
      </c>
      <c r="D79" s="461" t="s">
        <v>330</v>
      </c>
      <c r="E79">
        <v>18</v>
      </c>
      <c r="K79">
        <v>18</v>
      </c>
    </row>
    <row r="80" spans="1:11" hidden="1" x14ac:dyDescent="0.35">
      <c r="A80" s="461" t="s">
        <v>193</v>
      </c>
      <c r="B80" s="461" t="s">
        <v>236</v>
      </c>
      <c r="C80" s="461" t="s">
        <v>66</v>
      </c>
      <c r="D80" s="461" t="s">
        <v>331</v>
      </c>
      <c r="E80">
        <v>20</v>
      </c>
      <c r="K80">
        <v>20</v>
      </c>
    </row>
    <row r="81" spans="1:11" hidden="1" x14ac:dyDescent="0.35">
      <c r="A81" s="461" t="s">
        <v>193</v>
      </c>
      <c r="B81" s="461" t="s">
        <v>236</v>
      </c>
      <c r="C81" s="461" t="s">
        <v>17412</v>
      </c>
      <c r="D81" s="461" t="s">
        <v>17428</v>
      </c>
      <c r="E81">
        <v>5</v>
      </c>
      <c r="K81">
        <v>5</v>
      </c>
    </row>
    <row r="82" spans="1:11" hidden="1" x14ac:dyDescent="0.35">
      <c r="A82" s="461" t="s">
        <v>193</v>
      </c>
      <c r="B82" s="461" t="s">
        <v>237</v>
      </c>
      <c r="C82" s="461" t="s">
        <v>165</v>
      </c>
      <c r="D82" s="461" t="s">
        <v>354</v>
      </c>
      <c r="E82">
        <v>445</v>
      </c>
      <c r="K82">
        <v>105</v>
      </c>
    </row>
    <row r="83" spans="1:11" hidden="1" x14ac:dyDescent="0.35">
      <c r="A83" s="461" t="s">
        <v>193</v>
      </c>
      <c r="B83" s="461" t="s">
        <v>235</v>
      </c>
      <c r="C83" s="461" t="s">
        <v>40</v>
      </c>
      <c r="D83" s="461" t="s">
        <v>270</v>
      </c>
      <c r="E83">
        <v>88</v>
      </c>
      <c r="H83">
        <v>60</v>
      </c>
      <c r="J83">
        <v>0</v>
      </c>
      <c r="K83">
        <v>28</v>
      </c>
    </row>
    <row r="84" spans="1:11" hidden="1" x14ac:dyDescent="0.35">
      <c r="A84" s="461" t="s">
        <v>193</v>
      </c>
      <c r="B84" s="461" t="s">
        <v>235</v>
      </c>
      <c r="C84" s="461" t="s">
        <v>46</v>
      </c>
      <c r="D84" s="461" t="s">
        <v>276</v>
      </c>
      <c r="E84">
        <v>49</v>
      </c>
      <c r="H84">
        <v>14</v>
      </c>
      <c r="J84">
        <v>0</v>
      </c>
      <c r="K84">
        <v>35</v>
      </c>
    </row>
    <row r="85" spans="1:11" hidden="1" x14ac:dyDescent="0.35">
      <c r="A85" s="461" t="s">
        <v>193</v>
      </c>
      <c r="B85" s="461" t="s">
        <v>235</v>
      </c>
      <c r="C85" s="461" t="s">
        <v>55</v>
      </c>
      <c r="D85" s="461" t="s">
        <v>282</v>
      </c>
      <c r="E85">
        <v>128</v>
      </c>
      <c r="H85">
        <v>127</v>
      </c>
      <c r="J85">
        <v>1</v>
      </c>
      <c r="K85">
        <v>0</v>
      </c>
    </row>
    <row r="86" spans="1:11" hidden="1" x14ac:dyDescent="0.35">
      <c r="A86" s="461" t="s">
        <v>193</v>
      </c>
      <c r="B86" s="461" t="s">
        <v>236</v>
      </c>
      <c r="C86" s="461" t="s">
        <v>31</v>
      </c>
      <c r="D86" s="461" t="s">
        <v>326</v>
      </c>
      <c r="E86">
        <v>18</v>
      </c>
      <c r="K86">
        <v>18</v>
      </c>
    </row>
    <row r="87" spans="1:11" hidden="1" x14ac:dyDescent="0.35">
      <c r="A87" s="461" t="s">
        <v>193</v>
      </c>
      <c r="B87" s="461" t="s">
        <v>236</v>
      </c>
      <c r="C87" s="461" t="s">
        <v>167</v>
      </c>
      <c r="D87" s="461" t="s">
        <v>334</v>
      </c>
      <c r="E87">
        <v>24</v>
      </c>
      <c r="K87">
        <v>24</v>
      </c>
    </row>
    <row r="88" spans="1:11" hidden="1" x14ac:dyDescent="0.35">
      <c r="A88" s="461" t="s">
        <v>193</v>
      </c>
      <c r="B88" s="461" t="s">
        <v>235</v>
      </c>
      <c r="C88" s="461" t="s">
        <v>32</v>
      </c>
      <c r="D88" s="461" t="s">
        <v>287</v>
      </c>
      <c r="E88">
        <v>303</v>
      </c>
      <c r="H88">
        <v>280</v>
      </c>
      <c r="J88">
        <v>0</v>
      </c>
      <c r="K88">
        <v>23</v>
      </c>
    </row>
    <row r="89" spans="1:11" hidden="1" x14ac:dyDescent="0.35">
      <c r="A89" s="461" t="s">
        <v>193</v>
      </c>
      <c r="B89" s="461" t="s">
        <v>235</v>
      </c>
      <c r="C89" s="461" t="s">
        <v>48</v>
      </c>
      <c r="D89" s="461" t="s">
        <v>272</v>
      </c>
      <c r="E89">
        <v>147</v>
      </c>
      <c r="H89">
        <v>147</v>
      </c>
      <c r="J89">
        <v>0</v>
      </c>
      <c r="K89">
        <v>0</v>
      </c>
    </row>
    <row r="90" spans="1:11" hidden="1" x14ac:dyDescent="0.35">
      <c r="A90" s="461" t="s">
        <v>193</v>
      </c>
      <c r="B90" s="461" t="s">
        <v>235</v>
      </c>
      <c r="C90" s="461" t="s">
        <v>57</v>
      </c>
      <c r="D90" s="461" t="s">
        <v>284</v>
      </c>
      <c r="E90">
        <v>273</v>
      </c>
      <c r="H90">
        <v>82</v>
      </c>
      <c r="J90">
        <v>4</v>
      </c>
      <c r="K90">
        <v>187</v>
      </c>
    </row>
    <row r="91" spans="1:11" hidden="1" x14ac:dyDescent="0.35">
      <c r="A91" s="461" t="s">
        <v>193</v>
      </c>
      <c r="B91" s="461" t="s">
        <v>235</v>
      </c>
      <c r="C91" s="461" t="s">
        <v>60</v>
      </c>
      <c r="D91" s="461" t="s">
        <v>292</v>
      </c>
      <c r="E91">
        <v>144</v>
      </c>
      <c r="H91">
        <v>65</v>
      </c>
      <c r="J91">
        <v>0</v>
      </c>
      <c r="K91">
        <v>79</v>
      </c>
    </row>
    <row r="92" spans="1:11" hidden="1" x14ac:dyDescent="0.35">
      <c r="A92" s="461" t="s">
        <v>193</v>
      </c>
      <c r="B92" s="461" t="s">
        <v>236</v>
      </c>
      <c r="C92" s="461" t="s">
        <v>69</v>
      </c>
      <c r="D92" s="461" t="s">
        <v>335</v>
      </c>
      <c r="E92">
        <v>13</v>
      </c>
      <c r="K92">
        <v>13</v>
      </c>
    </row>
    <row r="93" spans="1:11" hidden="1" x14ac:dyDescent="0.35">
      <c r="A93" s="461" t="s">
        <v>193</v>
      </c>
      <c r="B93" s="461" t="s">
        <v>236</v>
      </c>
      <c r="C93" s="461" t="s">
        <v>43</v>
      </c>
      <c r="D93" s="461" t="s">
        <v>17425</v>
      </c>
      <c r="E93">
        <v>21</v>
      </c>
      <c r="K93">
        <v>21</v>
      </c>
    </row>
    <row r="94" spans="1:11" hidden="1" x14ac:dyDescent="0.35">
      <c r="A94" s="461" t="s">
        <v>193</v>
      </c>
      <c r="B94" s="461" t="s">
        <v>235</v>
      </c>
      <c r="C94" s="461" t="s">
        <v>49</v>
      </c>
      <c r="D94" s="461" t="s">
        <v>278</v>
      </c>
      <c r="E94">
        <v>194</v>
      </c>
      <c r="H94">
        <v>90</v>
      </c>
      <c r="J94">
        <v>26</v>
      </c>
      <c r="K94">
        <v>78</v>
      </c>
    </row>
    <row r="95" spans="1:11" hidden="1" x14ac:dyDescent="0.35">
      <c r="A95" s="461" t="s">
        <v>193</v>
      </c>
      <c r="B95" s="461" t="s">
        <v>235</v>
      </c>
      <c r="C95" s="461" t="s">
        <v>52</v>
      </c>
      <c r="D95" s="461" t="s">
        <v>280</v>
      </c>
      <c r="E95">
        <v>238</v>
      </c>
      <c r="H95">
        <v>128</v>
      </c>
      <c r="J95">
        <v>24</v>
      </c>
      <c r="K95">
        <v>86</v>
      </c>
    </row>
    <row r="96" spans="1:11" hidden="1" x14ac:dyDescent="0.35">
      <c r="A96" s="461" t="s">
        <v>193</v>
      </c>
      <c r="B96" s="461" t="s">
        <v>235</v>
      </c>
      <c r="C96" s="461" t="s">
        <v>59</v>
      </c>
      <c r="D96" s="461" t="s">
        <v>291</v>
      </c>
      <c r="E96">
        <v>95</v>
      </c>
      <c r="H96">
        <v>21</v>
      </c>
      <c r="J96">
        <v>0</v>
      </c>
      <c r="K96">
        <v>74</v>
      </c>
    </row>
    <row r="97" spans="1:11" hidden="1" x14ac:dyDescent="0.35">
      <c r="A97" s="461" t="s">
        <v>193</v>
      </c>
      <c r="B97" s="461" t="s">
        <v>236</v>
      </c>
      <c r="C97" s="461" t="s">
        <v>63</v>
      </c>
      <c r="D97" s="461" t="s">
        <v>327</v>
      </c>
      <c r="E97">
        <v>18</v>
      </c>
      <c r="K97">
        <v>18</v>
      </c>
    </row>
    <row r="98" spans="1:11" hidden="1" x14ac:dyDescent="0.35">
      <c r="A98" s="461" t="s">
        <v>193</v>
      </c>
      <c r="B98" s="461" t="s">
        <v>236</v>
      </c>
      <c r="C98" s="461" t="s">
        <v>64</v>
      </c>
      <c r="D98" s="461" t="s">
        <v>329</v>
      </c>
      <c r="E98">
        <v>21</v>
      </c>
      <c r="K98">
        <v>21</v>
      </c>
    </row>
    <row r="99" spans="1:11" hidden="1" x14ac:dyDescent="0.35">
      <c r="A99" s="461" t="s">
        <v>193</v>
      </c>
      <c r="B99" s="461" t="s">
        <v>236</v>
      </c>
      <c r="C99" s="461" t="s">
        <v>67</v>
      </c>
      <c r="D99" s="461" t="s">
        <v>332</v>
      </c>
      <c r="E99">
        <v>17</v>
      </c>
      <c r="K99">
        <v>17</v>
      </c>
    </row>
    <row r="100" spans="1:11" hidden="1" x14ac:dyDescent="0.35">
      <c r="A100" s="461" t="s">
        <v>193</v>
      </c>
      <c r="B100" s="461" t="s">
        <v>236</v>
      </c>
      <c r="C100" s="461" t="s">
        <v>70</v>
      </c>
      <c r="D100" s="461" t="s">
        <v>336</v>
      </c>
      <c r="E100">
        <v>13</v>
      </c>
      <c r="K100">
        <v>13</v>
      </c>
    </row>
    <row r="101" spans="1:11" hidden="1" x14ac:dyDescent="0.35">
      <c r="A101" s="461" t="s">
        <v>193</v>
      </c>
      <c r="B101" s="461" t="s">
        <v>238</v>
      </c>
      <c r="C101" s="461" t="s">
        <v>246</v>
      </c>
      <c r="D101" s="461" t="s">
        <v>339</v>
      </c>
      <c r="E101">
        <v>518</v>
      </c>
      <c r="F101">
        <v>230</v>
      </c>
      <c r="I101">
        <v>867</v>
      </c>
      <c r="K101">
        <v>50</v>
      </c>
    </row>
    <row r="102" spans="1:11" hidden="1" x14ac:dyDescent="0.35">
      <c r="A102" s="461" t="s">
        <v>193</v>
      </c>
      <c r="B102" s="461" t="s">
        <v>235</v>
      </c>
      <c r="C102" s="461" t="s">
        <v>37</v>
      </c>
      <c r="D102" s="461" t="s">
        <v>294</v>
      </c>
      <c r="E102">
        <v>221</v>
      </c>
      <c r="H102">
        <v>14</v>
      </c>
      <c r="J102">
        <v>0</v>
      </c>
      <c r="K102">
        <v>207</v>
      </c>
    </row>
    <row r="103" spans="1:11" hidden="1" x14ac:dyDescent="0.35">
      <c r="A103" s="461" t="s">
        <v>193</v>
      </c>
      <c r="B103" s="461" t="s">
        <v>235</v>
      </c>
      <c r="C103" s="461" t="s">
        <v>41</v>
      </c>
      <c r="D103" s="461" t="s">
        <v>271</v>
      </c>
      <c r="E103">
        <v>57</v>
      </c>
      <c r="H103">
        <v>0</v>
      </c>
      <c r="J103">
        <v>0</v>
      </c>
      <c r="K103">
        <v>57</v>
      </c>
    </row>
    <row r="104" spans="1:11" hidden="1" x14ac:dyDescent="0.35">
      <c r="A104" s="461" t="s">
        <v>193</v>
      </c>
      <c r="B104" s="461" t="s">
        <v>235</v>
      </c>
      <c r="C104" s="461" t="s">
        <v>53</v>
      </c>
      <c r="D104" s="461" t="s">
        <v>290</v>
      </c>
      <c r="E104">
        <v>129</v>
      </c>
      <c r="H104">
        <v>14</v>
      </c>
      <c r="J104">
        <v>0</v>
      </c>
      <c r="K104">
        <v>115</v>
      </c>
    </row>
    <row r="105" spans="1:11" hidden="1" x14ac:dyDescent="0.35">
      <c r="A105" s="461" t="s">
        <v>193</v>
      </c>
      <c r="B105" s="461" t="s">
        <v>236</v>
      </c>
      <c r="C105" s="461" t="s">
        <v>65</v>
      </c>
      <c r="D105" s="461" t="s">
        <v>328</v>
      </c>
      <c r="E105">
        <v>12</v>
      </c>
      <c r="K105">
        <v>12</v>
      </c>
    </row>
    <row r="106" spans="1:11" hidden="1" x14ac:dyDescent="0.35">
      <c r="A106" s="461" t="s">
        <v>193</v>
      </c>
      <c r="B106" s="461" t="s">
        <v>236</v>
      </c>
      <c r="C106" s="461" t="s">
        <v>68</v>
      </c>
      <c r="D106" s="461" t="s">
        <v>333</v>
      </c>
      <c r="E106">
        <v>12</v>
      </c>
      <c r="K106">
        <v>12</v>
      </c>
    </row>
    <row r="107" spans="1:11" hidden="1" x14ac:dyDescent="0.35">
      <c r="A107" s="461" t="s">
        <v>193</v>
      </c>
      <c r="B107" s="461" t="s">
        <v>236</v>
      </c>
      <c r="C107" s="461" t="s">
        <v>114</v>
      </c>
      <c r="D107" s="461" t="s">
        <v>17426</v>
      </c>
      <c r="E107">
        <v>25</v>
      </c>
      <c r="K107">
        <v>25</v>
      </c>
    </row>
    <row r="108" spans="1:11" hidden="1" x14ac:dyDescent="0.35">
      <c r="A108" s="461" t="s">
        <v>192</v>
      </c>
      <c r="B108" s="461" t="s">
        <v>235</v>
      </c>
      <c r="C108" s="461" t="s">
        <v>31</v>
      </c>
      <c r="D108" s="461" t="s">
        <v>286</v>
      </c>
      <c r="E108">
        <v>167</v>
      </c>
      <c r="H108">
        <v>23</v>
      </c>
      <c r="J108">
        <v>0</v>
      </c>
      <c r="K108">
        <v>144</v>
      </c>
    </row>
    <row r="109" spans="1:11" hidden="1" x14ac:dyDescent="0.35">
      <c r="A109" s="461" t="s">
        <v>192</v>
      </c>
      <c r="B109" s="461" t="s">
        <v>235</v>
      </c>
      <c r="C109" s="461" t="s">
        <v>42</v>
      </c>
      <c r="D109" s="461" t="s">
        <v>273</v>
      </c>
      <c r="E109">
        <v>148</v>
      </c>
      <c r="H109">
        <v>53</v>
      </c>
      <c r="J109">
        <v>0</v>
      </c>
      <c r="K109">
        <v>95</v>
      </c>
    </row>
    <row r="110" spans="1:11" hidden="1" x14ac:dyDescent="0.35">
      <c r="A110" s="461" t="s">
        <v>192</v>
      </c>
      <c r="B110" s="461" t="s">
        <v>235</v>
      </c>
      <c r="C110" s="461" t="s">
        <v>47</v>
      </c>
      <c r="D110" s="461" t="s">
        <v>277</v>
      </c>
      <c r="E110">
        <v>161</v>
      </c>
      <c r="H110">
        <v>110</v>
      </c>
      <c r="J110">
        <v>20</v>
      </c>
      <c r="K110">
        <v>31</v>
      </c>
    </row>
    <row r="111" spans="1:11" hidden="1" x14ac:dyDescent="0.35">
      <c r="A111" s="461" t="s">
        <v>192</v>
      </c>
      <c r="B111" s="461" t="s">
        <v>235</v>
      </c>
      <c r="C111" s="461" t="s">
        <v>50</v>
      </c>
      <c r="D111" s="461" t="s">
        <v>295</v>
      </c>
      <c r="E111">
        <v>214</v>
      </c>
      <c r="H111">
        <v>34</v>
      </c>
      <c r="J111">
        <v>0</v>
      </c>
      <c r="K111">
        <v>180</v>
      </c>
    </row>
    <row r="112" spans="1:11" hidden="1" x14ac:dyDescent="0.35">
      <c r="A112" s="461" t="s">
        <v>192</v>
      </c>
      <c r="B112" s="461" t="s">
        <v>235</v>
      </c>
      <c r="C112" s="461" t="s">
        <v>53</v>
      </c>
      <c r="D112" s="461" t="s">
        <v>290</v>
      </c>
      <c r="E112">
        <v>105</v>
      </c>
      <c r="H112">
        <v>13</v>
      </c>
      <c r="J112">
        <v>0</v>
      </c>
      <c r="K112">
        <v>92</v>
      </c>
    </row>
    <row r="113" spans="1:11" hidden="1" x14ac:dyDescent="0.35">
      <c r="A113" s="461" t="s">
        <v>192</v>
      </c>
      <c r="B113" s="461" t="s">
        <v>235</v>
      </c>
      <c r="C113" s="461" t="s">
        <v>59</v>
      </c>
      <c r="D113" s="461" t="s">
        <v>291</v>
      </c>
      <c r="E113">
        <v>89</v>
      </c>
      <c r="H113">
        <v>19</v>
      </c>
      <c r="J113">
        <v>0</v>
      </c>
      <c r="K113">
        <v>70</v>
      </c>
    </row>
    <row r="114" spans="1:11" hidden="1" x14ac:dyDescent="0.35">
      <c r="A114" s="461" t="s">
        <v>192</v>
      </c>
      <c r="B114" s="461" t="s">
        <v>235</v>
      </c>
      <c r="C114" s="461" t="s">
        <v>60</v>
      </c>
      <c r="D114" s="461" t="s">
        <v>292</v>
      </c>
      <c r="E114">
        <v>116</v>
      </c>
      <c r="H114">
        <v>55</v>
      </c>
      <c r="J114">
        <v>0</v>
      </c>
      <c r="K114">
        <v>61</v>
      </c>
    </row>
    <row r="115" spans="1:11" hidden="1" x14ac:dyDescent="0.35">
      <c r="A115" s="461" t="s">
        <v>192</v>
      </c>
      <c r="B115" s="461" t="s">
        <v>236</v>
      </c>
      <c r="C115" s="461" t="s">
        <v>57</v>
      </c>
      <c r="D115" s="461" t="s">
        <v>337</v>
      </c>
      <c r="E115">
        <v>16</v>
      </c>
      <c r="K115">
        <v>16</v>
      </c>
    </row>
    <row r="116" spans="1:11" hidden="1" x14ac:dyDescent="0.35">
      <c r="A116" s="461" t="s">
        <v>192</v>
      </c>
      <c r="B116" s="461" t="s">
        <v>236</v>
      </c>
      <c r="C116" s="461" t="s">
        <v>31</v>
      </c>
      <c r="D116" s="461" t="s">
        <v>326</v>
      </c>
      <c r="E116">
        <v>16</v>
      </c>
      <c r="K116">
        <v>16</v>
      </c>
    </row>
    <row r="117" spans="1:11" hidden="1" x14ac:dyDescent="0.35">
      <c r="A117" s="461" t="s">
        <v>192</v>
      </c>
      <c r="B117" s="461" t="s">
        <v>236</v>
      </c>
      <c r="C117" s="461" t="s">
        <v>66</v>
      </c>
      <c r="D117" s="461" t="s">
        <v>331</v>
      </c>
      <c r="E117">
        <v>29</v>
      </c>
      <c r="K117">
        <v>29</v>
      </c>
    </row>
    <row r="118" spans="1:11" hidden="1" x14ac:dyDescent="0.35">
      <c r="A118" s="461" t="s">
        <v>192</v>
      </c>
      <c r="B118" s="461" t="s">
        <v>236</v>
      </c>
      <c r="C118" s="461" t="s">
        <v>68</v>
      </c>
      <c r="D118" s="461" t="s">
        <v>333</v>
      </c>
      <c r="E118">
        <v>17</v>
      </c>
      <c r="K118">
        <v>17</v>
      </c>
    </row>
    <row r="119" spans="1:11" hidden="1" x14ac:dyDescent="0.35">
      <c r="A119" s="461" t="s">
        <v>192</v>
      </c>
      <c r="B119" s="461" t="s">
        <v>235</v>
      </c>
      <c r="C119" s="461" t="s">
        <v>38</v>
      </c>
      <c r="D119" s="461" t="s">
        <v>269</v>
      </c>
      <c r="E119">
        <v>136</v>
      </c>
      <c r="H119">
        <v>83</v>
      </c>
      <c r="J119">
        <v>0</v>
      </c>
      <c r="K119">
        <v>53</v>
      </c>
    </row>
    <row r="120" spans="1:11" hidden="1" x14ac:dyDescent="0.35">
      <c r="A120" s="461" t="s">
        <v>192</v>
      </c>
      <c r="B120" s="461" t="s">
        <v>235</v>
      </c>
      <c r="C120" s="461" t="s">
        <v>39</v>
      </c>
      <c r="D120" s="461" t="s">
        <v>296</v>
      </c>
      <c r="E120">
        <v>71</v>
      </c>
      <c r="H120">
        <v>1</v>
      </c>
      <c r="J120">
        <v>0</v>
      </c>
      <c r="K120">
        <v>70</v>
      </c>
    </row>
    <row r="121" spans="1:11" hidden="1" x14ac:dyDescent="0.35">
      <c r="A121" s="461" t="s">
        <v>192</v>
      </c>
      <c r="B121" s="461" t="s">
        <v>236</v>
      </c>
      <c r="C121" s="461" t="s">
        <v>64</v>
      </c>
      <c r="D121" s="461" t="s">
        <v>329</v>
      </c>
      <c r="E121">
        <v>25</v>
      </c>
      <c r="K121">
        <v>25</v>
      </c>
    </row>
    <row r="122" spans="1:11" hidden="1" x14ac:dyDescent="0.35">
      <c r="A122" s="461" t="s">
        <v>192</v>
      </c>
      <c r="B122" s="461" t="s">
        <v>235</v>
      </c>
      <c r="C122" s="461" t="s">
        <v>43</v>
      </c>
      <c r="D122" s="461" t="s">
        <v>298</v>
      </c>
      <c r="E122">
        <v>390</v>
      </c>
      <c r="H122">
        <v>112</v>
      </c>
      <c r="J122">
        <v>0</v>
      </c>
      <c r="K122">
        <v>278</v>
      </c>
    </row>
    <row r="123" spans="1:11" hidden="1" x14ac:dyDescent="0.35">
      <c r="A123" s="461" t="s">
        <v>192</v>
      </c>
      <c r="B123" s="461" t="s">
        <v>235</v>
      </c>
      <c r="C123" s="461" t="s">
        <v>56</v>
      </c>
      <c r="D123" s="461" t="s">
        <v>283</v>
      </c>
      <c r="E123">
        <v>108</v>
      </c>
      <c r="H123">
        <v>53</v>
      </c>
      <c r="J123">
        <v>0</v>
      </c>
      <c r="K123">
        <v>55</v>
      </c>
    </row>
    <row r="124" spans="1:11" hidden="1" x14ac:dyDescent="0.35">
      <c r="A124" s="461" t="s">
        <v>192</v>
      </c>
      <c r="B124" s="461" t="s">
        <v>236</v>
      </c>
      <c r="C124" s="461" t="s">
        <v>69</v>
      </c>
      <c r="D124" s="461" t="s">
        <v>335</v>
      </c>
      <c r="E124">
        <v>16</v>
      </c>
      <c r="K124">
        <v>16</v>
      </c>
    </row>
    <row r="125" spans="1:11" hidden="1" x14ac:dyDescent="0.35">
      <c r="A125" s="461" t="s">
        <v>192</v>
      </c>
      <c r="B125" s="461" t="s">
        <v>235</v>
      </c>
      <c r="C125" s="461" t="s">
        <v>33</v>
      </c>
      <c r="D125" s="461" t="s">
        <v>293</v>
      </c>
      <c r="E125">
        <v>134</v>
      </c>
      <c r="H125">
        <v>98</v>
      </c>
      <c r="J125">
        <v>0</v>
      </c>
      <c r="K125">
        <v>36</v>
      </c>
    </row>
    <row r="126" spans="1:11" hidden="1" x14ac:dyDescent="0.35">
      <c r="A126" s="461" t="s">
        <v>192</v>
      </c>
      <c r="B126" s="461" t="s">
        <v>235</v>
      </c>
      <c r="C126" s="461" t="s">
        <v>34</v>
      </c>
      <c r="D126" s="461" t="s">
        <v>288</v>
      </c>
      <c r="E126">
        <v>438</v>
      </c>
      <c r="H126">
        <v>182</v>
      </c>
      <c r="J126">
        <v>201</v>
      </c>
      <c r="K126">
        <v>55</v>
      </c>
    </row>
    <row r="127" spans="1:11" hidden="1" x14ac:dyDescent="0.35">
      <c r="A127" s="461" t="s">
        <v>192</v>
      </c>
      <c r="B127" s="461" t="s">
        <v>235</v>
      </c>
      <c r="C127" s="461" t="s">
        <v>245</v>
      </c>
      <c r="D127" s="461" t="s">
        <v>289</v>
      </c>
      <c r="E127">
        <v>327</v>
      </c>
      <c r="H127">
        <v>12</v>
      </c>
      <c r="J127">
        <v>0</v>
      </c>
      <c r="K127">
        <v>315</v>
      </c>
    </row>
    <row r="128" spans="1:11" hidden="1" x14ac:dyDescent="0.35">
      <c r="A128" s="461" t="s">
        <v>192</v>
      </c>
      <c r="B128" s="461" t="s">
        <v>235</v>
      </c>
      <c r="C128" s="461" t="s">
        <v>36</v>
      </c>
      <c r="D128" s="461" t="s">
        <v>268</v>
      </c>
      <c r="E128">
        <v>260</v>
      </c>
      <c r="H128">
        <v>190</v>
      </c>
      <c r="J128">
        <v>5</v>
      </c>
      <c r="K128">
        <v>65</v>
      </c>
    </row>
    <row r="129" spans="1:11" hidden="1" x14ac:dyDescent="0.35">
      <c r="A129" s="461" t="s">
        <v>192</v>
      </c>
      <c r="B129" s="461" t="s">
        <v>235</v>
      </c>
      <c r="C129" s="461" t="s">
        <v>41</v>
      </c>
      <c r="D129" s="461" t="s">
        <v>271</v>
      </c>
      <c r="E129">
        <v>55</v>
      </c>
      <c r="H129">
        <v>2</v>
      </c>
      <c r="J129">
        <v>0</v>
      </c>
      <c r="K129">
        <v>53</v>
      </c>
    </row>
    <row r="130" spans="1:11" hidden="1" x14ac:dyDescent="0.35">
      <c r="A130" s="461" t="s">
        <v>192</v>
      </c>
      <c r="B130" s="461" t="s">
        <v>235</v>
      </c>
      <c r="C130" s="461" t="s">
        <v>46</v>
      </c>
      <c r="D130" s="461" t="s">
        <v>276</v>
      </c>
      <c r="E130">
        <v>34</v>
      </c>
      <c r="H130">
        <v>11</v>
      </c>
      <c r="J130">
        <v>0</v>
      </c>
      <c r="K130">
        <v>23</v>
      </c>
    </row>
    <row r="131" spans="1:11" hidden="1" x14ac:dyDescent="0.35">
      <c r="A131" s="461" t="s">
        <v>192</v>
      </c>
      <c r="B131" s="461" t="s">
        <v>235</v>
      </c>
      <c r="C131" s="461" t="s">
        <v>48</v>
      </c>
      <c r="D131" s="461" t="s">
        <v>272</v>
      </c>
      <c r="E131">
        <v>140</v>
      </c>
      <c r="H131">
        <v>140</v>
      </c>
      <c r="J131">
        <v>0</v>
      </c>
      <c r="K131">
        <v>0</v>
      </c>
    </row>
    <row r="132" spans="1:11" hidden="1" x14ac:dyDescent="0.35">
      <c r="A132" s="461" t="s">
        <v>192</v>
      </c>
      <c r="B132" s="461" t="s">
        <v>235</v>
      </c>
      <c r="C132" s="461" t="s">
        <v>51</v>
      </c>
      <c r="D132" s="461" t="s">
        <v>279</v>
      </c>
      <c r="E132">
        <v>98</v>
      </c>
      <c r="H132">
        <v>98</v>
      </c>
      <c r="J132">
        <v>0</v>
      </c>
      <c r="K132">
        <v>0</v>
      </c>
    </row>
    <row r="133" spans="1:11" hidden="1" x14ac:dyDescent="0.35">
      <c r="A133" s="461" t="s">
        <v>192</v>
      </c>
      <c r="B133" s="461" t="s">
        <v>235</v>
      </c>
      <c r="C133" s="461" t="s">
        <v>54</v>
      </c>
      <c r="D133" s="461" t="s">
        <v>281</v>
      </c>
      <c r="E133">
        <v>218</v>
      </c>
      <c r="H133">
        <v>147</v>
      </c>
      <c r="J133">
        <v>0</v>
      </c>
      <c r="K133">
        <v>71</v>
      </c>
    </row>
    <row r="134" spans="1:11" hidden="1" x14ac:dyDescent="0.35">
      <c r="A134" s="461" t="s">
        <v>192</v>
      </c>
      <c r="B134" s="461" t="s">
        <v>236</v>
      </c>
      <c r="C134" s="461" t="s">
        <v>50</v>
      </c>
      <c r="D134" s="461" t="s">
        <v>17427</v>
      </c>
      <c r="E134">
        <v>20</v>
      </c>
      <c r="K134">
        <v>20</v>
      </c>
    </row>
    <row r="135" spans="1:11" hidden="1" x14ac:dyDescent="0.35">
      <c r="A135" s="461" t="s">
        <v>192</v>
      </c>
      <c r="B135" s="461" t="s">
        <v>236</v>
      </c>
      <c r="C135" s="461" t="s">
        <v>17412</v>
      </c>
      <c r="D135" s="461" t="s">
        <v>17428</v>
      </c>
      <c r="E135">
        <v>13</v>
      </c>
      <c r="K135">
        <v>13</v>
      </c>
    </row>
    <row r="136" spans="1:11" hidden="1" x14ac:dyDescent="0.35">
      <c r="A136" s="461" t="s">
        <v>192</v>
      </c>
      <c r="B136" s="461" t="s">
        <v>237</v>
      </c>
      <c r="C136" s="461" t="s">
        <v>164</v>
      </c>
      <c r="D136" s="461" t="s">
        <v>355</v>
      </c>
      <c r="E136">
        <v>165</v>
      </c>
      <c r="K136">
        <v>44</v>
      </c>
    </row>
    <row r="137" spans="1:11" hidden="1" x14ac:dyDescent="0.35">
      <c r="A137" s="461" t="s">
        <v>192</v>
      </c>
      <c r="B137" s="461" t="s">
        <v>235</v>
      </c>
      <c r="C137" s="461" t="s">
        <v>44</v>
      </c>
      <c r="D137" s="461" t="s">
        <v>274</v>
      </c>
      <c r="E137">
        <v>661</v>
      </c>
      <c r="H137">
        <v>525</v>
      </c>
      <c r="J137">
        <v>68</v>
      </c>
      <c r="K137">
        <v>68</v>
      </c>
    </row>
    <row r="138" spans="1:11" hidden="1" x14ac:dyDescent="0.35">
      <c r="A138" s="461" t="s">
        <v>192</v>
      </c>
      <c r="B138" s="461" t="s">
        <v>235</v>
      </c>
      <c r="C138" s="461" t="s">
        <v>45</v>
      </c>
      <c r="D138" s="461" t="s">
        <v>275</v>
      </c>
      <c r="E138">
        <v>111</v>
      </c>
      <c r="H138">
        <v>41</v>
      </c>
      <c r="J138">
        <v>0</v>
      </c>
      <c r="K138">
        <v>70</v>
      </c>
    </row>
    <row r="139" spans="1:11" hidden="1" x14ac:dyDescent="0.35">
      <c r="A139" s="461" t="s">
        <v>192</v>
      </c>
      <c r="B139" s="461" t="s">
        <v>235</v>
      </c>
      <c r="C139" s="461" t="s">
        <v>49</v>
      </c>
      <c r="D139" s="461" t="s">
        <v>278</v>
      </c>
      <c r="E139">
        <v>208</v>
      </c>
      <c r="H139">
        <v>108</v>
      </c>
      <c r="J139">
        <v>22</v>
      </c>
      <c r="K139">
        <v>78</v>
      </c>
    </row>
    <row r="140" spans="1:11" hidden="1" x14ac:dyDescent="0.35">
      <c r="A140" s="461" t="s">
        <v>192</v>
      </c>
      <c r="B140" s="461" t="s">
        <v>235</v>
      </c>
      <c r="C140" s="461" t="s">
        <v>57</v>
      </c>
      <c r="D140" s="461" t="s">
        <v>284</v>
      </c>
      <c r="E140">
        <v>252</v>
      </c>
      <c r="H140">
        <v>71</v>
      </c>
      <c r="J140">
        <v>3</v>
      </c>
      <c r="K140">
        <v>178</v>
      </c>
    </row>
    <row r="141" spans="1:11" hidden="1" x14ac:dyDescent="0.35">
      <c r="A141" s="461" t="s">
        <v>192</v>
      </c>
      <c r="B141" s="461" t="s">
        <v>235</v>
      </c>
      <c r="C141" s="461" t="s">
        <v>58</v>
      </c>
      <c r="D141" s="461" t="s">
        <v>285</v>
      </c>
      <c r="E141">
        <v>124</v>
      </c>
      <c r="H141">
        <v>73</v>
      </c>
      <c r="J141">
        <v>0</v>
      </c>
      <c r="K141">
        <v>51</v>
      </c>
    </row>
    <row r="142" spans="1:11" hidden="1" x14ac:dyDescent="0.35">
      <c r="A142" s="461" t="s">
        <v>192</v>
      </c>
      <c r="B142" s="461" t="s">
        <v>236</v>
      </c>
      <c r="C142" s="461" t="s">
        <v>63</v>
      </c>
      <c r="D142" s="461" t="s">
        <v>327</v>
      </c>
      <c r="E142">
        <v>27</v>
      </c>
      <c r="K142">
        <v>27</v>
      </c>
    </row>
    <row r="143" spans="1:11" hidden="1" x14ac:dyDescent="0.35">
      <c r="A143" s="461" t="s">
        <v>192</v>
      </c>
      <c r="B143" s="461" t="s">
        <v>236</v>
      </c>
      <c r="C143" s="461" t="s">
        <v>43</v>
      </c>
      <c r="D143" s="461" t="s">
        <v>17425</v>
      </c>
      <c r="E143">
        <v>26</v>
      </c>
      <c r="K143">
        <v>26</v>
      </c>
    </row>
    <row r="144" spans="1:11" hidden="1" x14ac:dyDescent="0.35">
      <c r="A144" s="461" t="s">
        <v>192</v>
      </c>
      <c r="B144" s="461" t="s">
        <v>236</v>
      </c>
      <c r="C144" s="461" t="s">
        <v>114</v>
      </c>
      <c r="D144" s="461" t="s">
        <v>17426</v>
      </c>
      <c r="E144">
        <v>32</v>
      </c>
      <c r="K144">
        <v>32</v>
      </c>
    </row>
    <row r="145" spans="1:11" hidden="1" x14ac:dyDescent="0.35">
      <c r="A145" s="461" t="s">
        <v>192</v>
      </c>
      <c r="B145" s="461" t="s">
        <v>237</v>
      </c>
      <c r="C145" s="461" t="s">
        <v>166</v>
      </c>
      <c r="D145" s="461" t="s">
        <v>353</v>
      </c>
      <c r="E145">
        <v>149</v>
      </c>
      <c r="K145">
        <v>25</v>
      </c>
    </row>
    <row r="146" spans="1:11" hidden="1" x14ac:dyDescent="0.35">
      <c r="A146" s="461" t="s">
        <v>192</v>
      </c>
      <c r="B146" s="461" t="s">
        <v>235</v>
      </c>
      <c r="C146" s="461" t="s">
        <v>37</v>
      </c>
      <c r="D146" s="461" t="s">
        <v>294</v>
      </c>
      <c r="E146">
        <v>187</v>
      </c>
      <c r="H146">
        <v>11</v>
      </c>
      <c r="J146">
        <v>0</v>
      </c>
      <c r="K146">
        <v>176</v>
      </c>
    </row>
    <row r="147" spans="1:11" hidden="1" x14ac:dyDescent="0.35">
      <c r="A147" s="461" t="s">
        <v>192</v>
      </c>
      <c r="B147" s="461" t="s">
        <v>235</v>
      </c>
      <c r="C147" s="461" t="s">
        <v>52</v>
      </c>
      <c r="D147" s="461" t="s">
        <v>280</v>
      </c>
      <c r="E147">
        <v>222</v>
      </c>
      <c r="H147">
        <v>126</v>
      </c>
      <c r="J147">
        <v>23</v>
      </c>
      <c r="K147">
        <v>73</v>
      </c>
    </row>
    <row r="148" spans="1:11" hidden="1" x14ac:dyDescent="0.35">
      <c r="A148" s="461" t="s">
        <v>192</v>
      </c>
      <c r="B148" s="461" t="s">
        <v>235</v>
      </c>
      <c r="C148" s="461" t="s">
        <v>55</v>
      </c>
      <c r="D148" s="461" t="s">
        <v>282</v>
      </c>
      <c r="E148">
        <v>126</v>
      </c>
      <c r="H148">
        <v>126</v>
      </c>
      <c r="J148">
        <v>0</v>
      </c>
      <c r="K148">
        <v>0</v>
      </c>
    </row>
    <row r="149" spans="1:11" hidden="1" x14ac:dyDescent="0.35">
      <c r="A149" s="461" t="s">
        <v>192</v>
      </c>
      <c r="B149" s="461" t="s">
        <v>236</v>
      </c>
      <c r="C149" s="461" t="s">
        <v>36</v>
      </c>
      <c r="D149" s="461" t="s">
        <v>330</v>
      </c>
      <c r="E149">
        <v>19</v>
      </c>
      <c r="K149">
        <v>19</v>
      </c>
    </row>
    <row r="150" spans="1:11" hidden="1" x14ac:dyDescent="0.35">
      <c r="A150" s="461" t="s">
        <v>192</v>
      </c>
      <c r="B150" s="461" t="s">
        <v>236</v>
      </c>
      <c r="C150" s="461" t="s">
        <v>65</v>
      </c>
      <c r="D150" s="461" t="s">
        <v>328</v>
      </c>
      <c r="E150">
        <v>24</v>
      </c>
      <c r="K150">
        <v>24</v>
      </c>
    </row>
    <row r="151" spans="1:11" hidden="1" x14ac:dyDescent="0.35">
      <c r="A151" s="461" t="s">
        <v>192</v>
      </c>
      <c r="B151" s="461" t="s">
        <v>236</v>
      </c>
      <c r="C151" s="461" t="s">
        <v>67</v>
      </c>
      <c r="D151" s="461" t="s">
        <v>332</v>
      </c>
      <c r="E151">
        <v>38</v>
      </c>
      <c r="K151">
        <v>38</v>
      </c>
    </row>
    <row r="152" spans="1:11" hidden="1" x14ac:dyDescent="0.35">
      <c r="A152" s="461" t="s">
        <v>192</v>
      </c>
      <c r="B152" s="461" t="s">
        <v>236</v>
      </c>
      <c r="C152" s="461" t="s">
        <v>167</v>
      </c>
      <c r="D152" s="461" t="s">
        <v>334</v>
      </c>
      <c r="E152">
        <v>27</v>
      </c>
      <c r="K152">
        <v>27</v>
      </c>
    </row>
    <row r="153" spans="1:11" hidden="1" x14ac:dyDescent="0.35">
      <c r="A153" s="461" t="s">
        <v>192</v>
      </c>
      <c r="B153" s="461" t="s">
        <v>235</v>
      </c>
      <c r="C153" s="461" t="s">
        <v>32</v>
      </c>
      <c r="D153" s="461" t="s">
        <v>287</v>
      </c>
      <c r="E153">
        <v>303</v>
      </c>
      <c r="H153">
        <v>271</v>
      </c>
      <c r="J153">
        <v>0</v>
      </c>
      <c r="K153">
        <v>32</v>
      </c>
    </row>
    <row r="154" spans="1:11" hidden="1" x14ac:dyDescent="0.35">
      <c r="A154" s="461" t="s">
        <v>192</v>
      </c>
      <c r="B154" s="461" t="s">
        <v>235</v>
      </c>
      <c r="C154" s="461" t="s">
        <v>35</v>
      </c>
      <c r="D154" s="461" t="s">
        <v>267</v>
      </c>
      <c r="E154">
        <v>47</v>
      </c>
      <c r="H154">
        <v>21</v>
      </c>
      <c r="J154">
        <v>0</v>
      </c>
      <c r="K154">
        <v>26</v>
      </c>
    </row>
    <row r="155" spans="1:11" hidden="1" x14ac:dyDescent="0.35">
      <c r="A155" s="461" t="s">
        <v>192</v>
      </c>
      <c r="B155" s="461" t="s">
        <v>235</v>
      </c>
      <c r="C155" s="461" t="s">
        <v>40</v>
      </c>
      <c r="D155" s="461" t="s">
        <v>270</v>
      </c>
      <c r="E155">
        <v>82</v>
      </c>
      <c r="H155">
        <v>55</v>
      </c>
      <c r="J155">
        <v>0</v>
      </c>
      <c r="K155">
        <v>27</v>
      </c>
    </row>
    <row r="156" spans="1:11" hidden="1" x14ac:dyDescent="0.35">
      <c r="A156" s="461" t="s">
        <v>192</v>
      </c>
      <c r="B156" s="461" t="s">
        <v>235</v>
      </c>
      <c r="C156" s="461" t="s">
        <v>114</v>
      </c>
      <c r="D156" s="461" t="s">
        <v>297</v>
      </c>
      <c r="E156">
        <v>505</v>
      </c>
      <c r="H156">
        <v>6</v>
      </c>
      <c r="J156">
        <v>0</v>
      </c>
      <c r="K156">
        <v>499</v>
      </c>
    </row>
    <row r="157" spans="1:11" hidden="1" x14ac:dyDescent="0.35">
      <c r="A157" s="461" t="s">
        <v>192</v>
      </c>
      <c r="B157" s="461" t="s">
        <v>236</v>
      </c>
      <c r="C157" s="461" t="s">
        <v>70</v>
      </c>
      <c r="D157" s="461" t="s">
        <v>336</v>
      </c>
      <c r="E157">
        <v>29</v>
      </c>
      <c r="K157">
        <v>29</v>
      </c>
    </row>
    <row r="158" spans="1:11" hidden="1" x14ac:dyDescent="0.35">
      <c r="A158" s="461" t="s">
        <v>192</v>
      </c>
      <c r="B158" s="461" t="s">
        <v>236</v>
      </c>
      <c r="C158" s="461" t="s">
        <v>71</v>
      </c>
      <c r="D158" s="461" t="s">
        <v>338</v>
      </c>
      <c r="E158">
        <v>11</v>
      </c>
      <c r="K158">
        <v>11</v>
      </c>
    </row>
    <row r="159" spans="1:11" hidden="1" x14ac:dyDescent="0.35">
      <c r="A159" s="461" t="s">
        <v>192</v>
      </c>
      <c r="B159" s="461" t="s">
        <v>237</v>
      </c>
      <c r="C159" s="461" t="s">
        <v>165</v>
      </c>
      <c r="D159" s="461" t="s">
        <v>354</v>
      </c>
      <c r="E159">
        <v>302</v>
      </c>
      <c r="K159">
        <v>16</v>
      </c>
    </row>
    <row r="160" spans="1:11" hidden="1" x14ac:dyDescent="0.35">
      <c r="A160" s="461" t="s">
        <v>192</v>
      </c>
      <c r="B160" s="461" t="s">
        <v>238</v>
      </c>
      <c r="C160" s="461" t="s">
        <v>246</v>
      </c>
      <c r="D160" s="461" t="s">
        <v>339</v>
      </c>
      <c r="E160">
        <v>695</v>
      </c>
      <c r="F160">
        <v>203</v>
      </c>
      <c r="I160">
        <v>828</v>
      </c>
      <c r="K160">
        <v>195</v>
      </c>
    </row>
    <row r="161" spans="1:11" hidden="1" x14ac:dyDescent="0.35">
      <c r="A161" s="461" t="s">
        <v>258</v>
      </c>
      <c r="B161" s="461" t="s">
        <v>235</v>
      </c>
      <c r="C161" s="461" t="s">
        <v>35</v>
      </c>
      <c r="D161" s="461" t="s">
        <v>267</v>
      </c>
      <c r="E161">
        <v>46</v>
      </c>
      <c r="H161">
        <v>24</v>
      </c>
      <c r="J161">
        <v>0</v>
      </c>
      <c r="K161">
        <v>22</v>
      </c>
    </row>
    <row r="162" spans="1:11" hidden="1" x14ac:dyDescent="0.35">
      <c r="A162" s="461" t="s">
        <v>258</v>
      </c>
      <c r="B162" s="461" t="s">
        <v>235</v>
      </c>
      <c r="C162" s="461" t="s">
        <v>45</v>
      </c>
      <c r="D162" s="461" t="s">
        <v>275</v>
      </c>
      <c r="E162">
        <v>107</v>
      </c>
      <c r="H162">
        <v>39</v>
      </c>
      <c r="J162">
        <v>0</v>
      </c>
      <c r="K162">
        <v>68</v>
      </c>
    </row>
    <row r="163" spans="1:11" hidden="1" x14ac:dyDescent="0.35">
      <c r="A163" s="461" t="s">
        <v>258</v>
      </c>
      <c r="B163" s="461" t="s">
        <v>235</v>
      </c>
      <c r="C163" s="461" t="s">
        <v>47</v>
      </c>
      <c r="D163" s="461" t="s">
        <v>277</v>
      </c>
      <c r="E163">
        <v>156</v>
      </c>
      <c r="H163">
        <v>125</v>
      </c>
      <c r="J163">
        <v>4</v>
      </c>
      <c r="K163">
        <v>27</v>
      </c>
    </row>
    <row r="164" spans="1:11" hidden="1" x14ac:dyDescent="0.35">
      <c r="A164" s="461" t="s">
        <v>258</v>
      </c>
      <c r="B164" s="461" t="s">
        <v>235</v>
      </c>
      <c r="C164" s="461" t="s">
        <v>53</v>
      </c>
      <c r="D164" s="461" t="s">
        <v>290</v>
      </c>
      <c r="E164">
        <v>110</v>
      </c>
      <c r="H164">
        <v>13</v>
      </c>
      <c r="J164">
        <v>0</v>
      </c>
      <c r="K164">
        <v>97</v>
      </c>
    </row>
    <row r="165" spans="1:11" hidden="1" x14ac:dyDescent="0.35">
      <c r="A165" s="461" t="s">
        <v>258</v>
      </c>
      <c r="B165" s="461" t="s">
        <v>235</v>
      </c>
      <c r="C165" s="461" t="s">
        <v>54</v>
      </c>
      <c r="D165" s="461" t="s">
        <v>281</v>
      </c>
      <c r="E165">
        <v>199</v>
      </c>
      <c r="H165">
        <v>143</v>
      </c>
      <c r="J165">
        <v>0</v>
      </c>
      <c r="K165">
        <v>56</v>
      </c>
    </row>
    <row r="166" spans="1:11" hidden="1" x14ac:dyDescent="0.35">
      <c r="A166" s="461" t="s">
        <v>258</v>
      </c>
      <c r="B166" s="461" t="s">
        <v>235</v>
      </c>
      <c r="C166" s="461" t="s">
        <v>55</v>
      </c>
      <c r="D166" s="461" t="s">
        <v>282</v>
      </c>
      <c r="E166">
        <v>122</v>
      </c>
      <c r="H166">
        <v>122</v>
      </c>
      <c r="J166">
        <v>0</v>
      </c>
      <c r="K166">
        <v>0</v>
      </c>
    </row>
    <row r="167" spans="1:11" hidden="1" x14ac:dyDescent="0.35">
      <c r="A167" s="461" t="s">
        <v>258</v>
      </c>
      <c r="B167" s="461" t="s">
        <v>235</v>
      </c>
      <c r="C167" s="461" t="s">
        <v>58</v>
      </c>
      <c r="D167" s="461" t="s">
        <v>285</v>
      </c>
      <c r="E167">
        <v>126</v>
      </c>
      <c r="H167">
        <v>73</v>
      </c>
      <c r="J167">
        <v>0</v>
      </c>
      <c r="K167">
        <v>53</v>
      </c>
    </row>
    <row r="168" spans="1:11" hidden="1" x14ac:dyDescent="0.35">
      <c r="A168" s="461" t="s">
        <v>258</v>
      </c>
      <c r="B168" s="461" t="s">
        <v>235</v>
      </c>
      <c r="C168" s="461" t="s">
        <v>59</v>
      </c>
      <c r="D168" s="461" t="s">
        <v>291</v>
      </c>
      <c r="E168">
        <v>86</v>
      </c>
      <c r="H168">
        <v>17</v>
      </c>
      <c r="J168">
        <v>0</v>
      </c>
      <c r="K168">
        <v>69</v>
      </c>
    </row>
    <row r="169" spans="1:11" hidden="1" x14ac:dyDescent="0.35">
      <c r="A169" s="461" t="s">
        <v>258</v>
      </c>
      <c r="B169" s="461" t="s">
        <v>235</v>
      </c>
      <c r="C169" s="461" t="s">
        <v>245</v>
      </c>
      <c r="D169" s="461" t="s">
        <v>289</v>
      </c>
      <c r="E169">
        <v>325</v>
      </c>
      <c r="H169">
        <v>12</v>
      </c>
      <c r="J169">
        <v>0</v>
      </c>
      <c r="K169">
        <v>313</v>
      </c>
    </row>
    <row r="170" spans="1:11" hidden="1" x14ac:dyDescent="0.35">
      <c r="A170" s="461" t="s">
        <v>258</v>
      </c>
      <c r="B170" s="461" t="s">
        <v>235</v>
      </c>
      <c r="C170" s="461" t="s">
        <v>36</v>
      </c>
      <c r="D170" s="461" t="s">
        <v>268</v>
      </c>
      <c r="E170">
        <v>270</v>
      </c>
      <c r="H170">
        <v>202</v>
      </c>
      <c r="J170">
        <v>5</v>
      </c>
      <c r="K170">
        <v>63</v>
      </c>
    </row>
    <row r="171" spans="1:11" hidden="1" x14ac:dyDescent="0.35">
      <c r="A171" s="461" t="s">
        <v>258</v>
      </c>
      <c r="B171" s="461" t="s">
        <v>235</v>
      </c>
      <c r="C171" s="461" t="s">
        <v>41</v>
      </c>
      <c r="D171" s="461" t="s">
        <v>271</v>
      </c>
      <c r="E171">
        <v>50</v>
      </c>
      <c r="H171">
        <v>0</v>
      </c>
      <c r="J171">
        <v>0</v>
      </c>
      <c r="K171">
        <v>50</v>
      </c>
    </row>
    <row r="172" spans="1:11" hidden="1" x14ac:dyDescent="0.35">
      <c r="A172" s="461" t="s">
        <v>258</v>
      </c>
      <c r="B172" s="461" t="s">
        <v>235</v>
      </c>
      <c r="C172" s="461" t="s">
        <v>42</v>
      </c>
      <c r="D172" s="461" t="s">
        <v>273</v>
      </c>
      <c r="E172">
        <v>142</v>
      </c>
      <c r="H172">
        <v>56</v>
      </c>
      <c r="J172">
        <v>0</v>
      </c>
      <c r="K172">
        <v>86</v>
      </c>
    </row>
    <row r="173" spans="1:11" hidden="1" x14ac:dyDescent="0.35">
      <c r="A173" s="461" t="s">
        <v>258</v>
      </c>
      <c r="B173" s="461" t="s">
        <v>235</v>
      </c>
      <c r="C173" s="461" t="s">
        <v>46</v>
      </c>
      <c r="D173" s="461" t="s">
        <v>276</v>
      </c>
      <c r="E173">
        <v>33</v>
      </c>
      <c r="H173">
        <v>11</v>
      </c>
      <c r="J173">
        <v>0</v>
      </c>
      <c r="K173">
        <v>22</v>
      </c>
    </row>
    <row r="174" spans="1:11" hidden="1" x14ac:dyDescent="0.35">
      <c r="A174" s="461" t="s">
        <v>258</v>
      </c>
      <c r="B174" s="461" t="s">
        <v>236</v>
      </c>
      <c r="C174" s="461" t="s">
        <v>36</v>
      </c>
      <c r="D174" s="461" t="s">
        <v>330</v>
      </c>
      <c r="E174">
        <v>22</v>
      </c>
      <c r="K174">
        <v>22</v>
      </c>
    </row>
    <row r="175" spans="1:11" hidden="1" x14ac:dyDescent="0.35">
      <c r="A175" s="461" t="s">
        <v>258</v>
      </c>
      <c r="B175" s="461" t="s">
        <v>236</v>
      </c>
      <c r="C175" s="461" t="s">
        <v>66</v>
      </c>
      <c r="D175" s="461" t="s">
        <v>331</v>
      </c>
      <c r="E175">
        <v>30</v>
      </c>
      <c r="K175">
        <v>30</v>
      </c>
    </row>
    <row r="176" spans="1:11" hidden="1" x14ac:dyDescent="0.35">
      <c r="A176" s="461" t="s">
        <v>258</v>
      </c>
      <c r="B176" s="461" t="s">
        <v>236</v>
      </c>
      <c r="C176" s="461" t="s">
        <v>69</v>
      </c>
      <c r="D176" s="461" t="s">
        <v>335</v>
      </c>
      <c r="E176">
        <v>21</v>
      </c>
      <c r="K176">
        <v>21</v>
      </c>
    </row>
    <row r="177" spans="1:11" hidden="1" x14ac:dyDescent="0.35">
      <c r="A177" s="461" t="s">
        <v>258</v>
      </c>
      <c r="B177" s="461" t="s">
        <v>235</v>
      </c>
      <c r="C177" s="461" t="s">
        <v>37</v>
      </c>
      <c r="D177" s="461" t="s">
        <v>294</v>
      </c>
      <c r="E177">
        <v>205</v>
      </c>
      <c r="H177">
        <v>13</v>
      </c>
      <c r="J177">
        <v>0</v>
      </c>
      <c r="K177">
        <v>192</v>
      </c>
    </row>
    <row r="178" spans="1:11" hidden="1" x14ac:dyDescent="0.35">
      <c r="A178" s="461" t="s">
        <v>258</v>
      </c>
      <c r="B178" s="461" t="s">
        <v>235</v>
      </c>
      <c r="C178" s="461" t="s">
        <v>43</v>
      </c>
      <c r="D178" s="461" t="s">
        <v>298</v>
      </c>
      <c r="E178">
        <v>379</v>
      </c>
      <c r="H178">
        <v>109</v>
      </c>
      <c r="J178">
        <v>0</v>
      </c>
      <c r="K178">
        <v>270</v>
      </c>
    </row>
    <row r="179" spans="1:11" hidden="1" x14ac:dyDescent="0.35">
      <c r="A179" s="461" t="s">
        <v>258</v>
      </c>
      <c r="B179" s="461" t="s">
        <v>235</v>
      </c>
      <c r="C179" s="461" t="s">
        <v>114</v>
      </c>
      <c r="D179" s="461" t="s">
        <v>297</v>
      </c>
      <c r="E179">
        <v>475</v>
      </c>
      <c r="H179">
        <v>0</v>
      </c>
      <c r="J179">
        <v>0</v>
      </c>
      <c r="K179">
        <v>475</v>
      </c>
    </row>
    <row r="180" spans="1:11" hidden="1" x14ac:dyDescent="0.35">
      <c r="A180" s="461" t="s">
        <v>258</v>
      </c>
      <c r="B180" s="461" t="s">
        <v>235</v>
      </c>
      <c r="C180" s="461" t="s">
        <v>57</v>
      </c>
      <c r="D180" s="461" t="s">
        <v>284</v>
      </c>
      <c r="E180">
        <v>248</v>
      </c>
      <c r="H180">
        <v>74</v>
      </c>
      <c r="J180">
        <v>3</v>
      </c>
      <c r="K180">
        <v>171</v>
      </c>
    </row>
    <row r="181" spans="1:11" hidden="1" x14ac:dyDescent="0.35">
      <c r="A181" s="461" t="s">
        <v>258</v>
      </c>
      <c r="B181" s="461" t="s">
        <v>236</v>
      </c>
      <c r="C181" s="461" t="s">
        <v>67</v>
      </c>
      <c r="D181" s="461" t="s">
        <v>332</v>
      </c>
      <c r="E181">
        <v>31</v>
      </c>
      <c r="K181">
        <v>31</v>
      </c>
    </row>
    <row r="182" spans="1:11" hidden="1" x14ac:dyDescent="0.35">
      <c r="A182" s="461" t="s">
        <v>258</v>
      </c>
      <c r="B182" s="461" t="s">
        <v>236</v>
      </c>
      <c r="C182" s="461" t="s">
        <v>70</v>
      </c>
      <c r="D182" s="461" t="s">
        <v>336</v>
      </c>
      <c r="E182">
        <v>37</v>
      </c>
      <c r="K182">
        <v>37</v>
      </c>
    </row>
    <row r="183" spans="1:11" hidden="1" x14ac:dyDescent="0.35">
      <c r="A183" s="461" t="s">
        <v>258</v>
      </c>
      <c r="B183" s="461" t="s">
        <v>236</v>
      </c>
      <c r="C183" s="461" t="s">
        <v>57</v>
      </c>
      <c r="D183" s="461" t="s">
        <v>337</v>
      </c>
      <c r="E183">
        <v>15</v>
      </c>
      <c r="K183">
        <v>15</v>
      </c>
    </row>
    <row r="184" spans="1:11" hidden="1" x14ac:dyDescent="0.35">
      <c r="A184" s="461" t="s">
        <v>258</v>
      </c>
      <c r="B184" s="461" t="s">
        <v>235</v>
      </c>
      <c r="C184" s="461" t="s">
        <v>32</v>
      </c>
      <c r="D184" s="461" t="s">
        <v>287</v>
      </c>
      <c r="E184">
        <v>307</v>
      </c>
      <c r="H184">
        <v>282</v>
      </c>
      <c r="J184">
        <v>0</v>
      </c>
      <c r="K184">
        <v>25</v>
      </c>
    </row>
    <row r="185" spans="1:11" hidden="1" x14ac:dyDescent="0.35">
      <c r="A185" s="461" t="s">
        <v>258</v>
      </c>
      <c r="B185" s="461" t="s">
        <v>235</v>
      </c>
      <c r="C185" s="461" t="s">
        <v>33</v>
      </c>
      <c r="D185" s="461" t="s">
        <v>293</v>
      </c>
      <c r="E185">
        <v>119</v>
      </c>
      <c r="H185">
        <v>94</v>
      </c>
      <c r="J185">
        <v>0</v>
      </c>
      <c r="K185">
        <v>25</v>
      </c>
    </row>
    <row r="186" spans="1:11" hidden="1" x14ac:dyDescent="0.35">
      <c r="A186" s="461" t="s">
        <v>258</v>
      </c>
      <c r="B186" s="461" t="s">
        <v>235</v>
      </c>
      <c r="C186" s="461" t="s">
        <v>34</v>
      </c>
      <c r="D186" s="461" t="s">
        <v>288</v>
      </c>
      <c r="E186">
        <v>428</v>
      </c>
      <c r="H186">
        <v>185</v>
      </c>
      <c r="J186">
        <v>200</v>
      </c>
      <c r="K186">
        <v>43</v>
      </c>
    </row>
    <row r="187" spans="1:11" hidden="1" x14ac:dyDescent="0.35">
      <c r="A187" s="461" t="s">
        <v>258</v>
      </c>
      <c r="B187" s="461" t="s">
        <v>235</v>
      </c>
      <c r="C187" s="461" t="s">
        <v>39</v>
      </c>
      <c r="D187" s="461" t="s">
        <v>296</v>
      </c>
      <c r="E187">
        <v>68</v>
      </c>
      <c r="H187">
        <v>0</v>
      </c>
      <c r="J187">
        <v>0</v>
      </c>
      <c r="K187">
        <v>68</v>
      </c>
    </row>
    <row r="188" spans="1:11" hidden="1" x14ac:dyDescent="0.35">
      <c r="A188" s="461" t="s">
        <v>258</v>
      </c>
      <c r="B188" s="461" t="s">
        <v>235</v>
      </c>
      <c r="C188" s="461" t="s">
        <v>40</v>
      </c>
      <c r="D188" s="461" t="s">
        <v>270</v>
      </c>
      <c r="E188">
        <v>82</v>
      </c>
      <c r="H188">
        <v>55</v>
      </c>
      <c r="J188">
        <v>0</v>
      </c>
      <c r="K188">
        <v>27</v>
      </c>
    </row>
    <row r="189" spans="1:11" hidden="1" x14ac:dyDescent="0.35">
      <c r="A189" s="461" t="s">
        <v>258</v>
      </c>
      <c r="B189" s="461" t="s">
        <v>235</v>
      </c>
      <c r="C189" s="461" t="s">
        <v>44</v>
      </c>
      <c r="D189" s="461" t="s">
        <v>274</v>
      </c>
      <c r="E189">
        <v>659</v>
      </c>
      <c r="H189">
        <v>525</v>
      </c>
      <c r="J189">
        <v>67</v>
      </c>
      <c r="K189">
        <v>67</v>
      </c>
    </row>
    <row r="190" spans="1:11" hidden="1" x14ac:dyDescent="0.35">
      <c r="A190" s="461" t="s">
        <v>258</v>
      </c>
      <c r="B190" s="461" t="s">
        <v>237</v>
      </c>
      <c r="C190" s="461" t="s">
        <v>166</v>
      </c>
      <c r="D190" s="461" t="s">
        <v>353</v>
      </c>
      <c r="E190">
        <v>202</v>
      </c>
      <c r="K190">
        <v>38</v>
      </c>
    </row>
    <row r="191" spans="1:11" hidden="1" x14ac:dyDescent="0.35">
      <c r="A191" s="461" t="s">
        <v>258</v>
      </c>
      <c r="B191" s="461" t="s">
        <v>237</v>
      </c>
      <c r="C191" s="461" t="s">
        <v>164</v>
      </c>
      <c r="D191" s="461" t="s">
        <v>355</v>
      </c>
      <c r="E191">
        <v>180</v>
      </c>
      <c r="K191">
        <v>45</v>
      </c>
    </row>
    <row r="192" spans="1:11" hidden="1" x14ac:dyDescent="0.35">
      <c r="A192" s="461" t="s">
        <v>258</v>
      </c>
      <c r="B192" s="461" t="s">
        <v>236</v>
      </c>
      <c r="C192" s="461" t="s">
        <v>64</v>
      </c>
      <c r="D192" s="461" t="s">
        <v>329</v>
      </c>
      <c r="E192">
        <v>26</v>
      </c>
      <c r="K192">
        <v>26</v>
      </c>
    </row>
    <row r="193" spans="1:11" hidden="1" x14ac:dyDescent="0.35">
      <c r="A193" s="461" t="s">
        <v>258</v>
      </c>
      <c r="B193" s="461" t="s">
        <v>236</v>
      </c>
      <c r="C193" s="461" t="s">
        <v>65</v>
      </c>
      <c r="D193" s="461" t="s">
        <v>328</v>
      </c>
      <c r="E193">
        <v>28</v>
      </c>
      <c r="K193">
        <v>28</v>
      </c>
    </row>
    <row r="194" spans="1:11" hidden="1" x14ac:dyDescent="0.35">
      <c r="A194" s="461" t="s">
        <v>258</v>
      </c>
      <c r="B194" s="461" t="s">
        <v>235</v>
      </c>
      <c r="C194" s="461" t="s">
        <v>38</v>
      </c>
      <c r="D194" s="461" t="s">
        <v>269</v>
      </c>
      <c r="E194">
        <v>127</v>
      </c>
      <c r="H194">
        <v>81</v>
      </c>
      <c r="J194">
        <v>0</v>
      </c>
      <c r="K194">
        <v>46</v>
      </c>
    </row>
    <row r="195" spans="1:11" hidden="1" x14ac:dyDescent="0.35">
      <c r="A195" s="461" t="s">
        <v>258</v>
      </c>
      <c r="B195" s="461" t="s">
        <v>235</v>
      </c>
      <c r="C195" s="461" t="s">
        <v>48</v>
      </c>
      <c r="D195" s="461" t="s">
        <v>272</v>
      </c>
      <c r="E195">
        <v>137</v>
      </c>
      <c r="H195">
        <v>137</v>
      </c>
      <c r="J195">
        <v>0</v>
      </c>
      <c r="K195">
        <v>0</v>
      </c>
    </row>
    <row r="196" spans="1:11" hidden="1" x14ac:dyDescent="0.35">
      <c r="A196" s="461" t="s">
        <v>258</v>
      </c>
      <c r="B196" s="461" t="s">
        <v>235</v>
      </c>
      <c r="C196" s="461" t="s">
        <v>49</v>
      </c>
      <c r="D196" s="461" t="s">
        <v>278</v>
      </c>
      <c r="E196">
        <v>202</v>
      </c>
      <c r="H196">
        <v>106</v>
      </c>
      <c r="J196">
        <v>18</v>
      </c>
      <c r="K196">
        <v>78</v>
      </c>
    </row>
    <row r="197" spans="1:11" hidden="1" x14ac:dyDescent="0.35">
      <c r="A197" s="461" t="s">
        <v>258</v>
      </c>
      <c r="B197" s="461" t="s">
        <v>236</v>
      </c>
      <c r="C197" s="461" t="s">
        <v>31</v>
      </c>
      <c r="D197" s="461" t="s">
        <v>326</v>
      </c>
      <c r="E197">
        <v>14</v>
      </c>
      <c r="K197">
        <v>14</v>
      </c>
    </row>
    <row r="198" spans="1:11" hidden="1" x14ac:dyDescent="0.35">
      <c r="A198" s="461" t="s">
        <v>258</v>
      </c>
      <c r="B198" s="461" t="s">
        <v>236</v>
      </c>
      <c r="C198" s="461" t="s">
        <v>63</v>
      </c>
      <c r="D198" s="461" t="s">
        <v>327</v>
      </c>
      <c r="E198">
        <v>25</v>
      </c>
      <c r="K198">
        <v>25</v>
      </c>
    </row>
    <row r="199" spans="1:11" hidden="1" x14ac:dyDescent="0.35">
      <c r="A199" s="461" t="s">
        <v>258</v>
      </c>
      <c r="B199" s="461" t="s">
        <v>236</v>
      </c>
      <c r="C199" s="461" t="s">
        <v>114</v>
      </c>
      <c r="D199" s="461" t="s">
        <v>17426</v>
      </c>
      <c r="E199">
        <v>25</v>
      </c>
      <c r="K199">
        <v>25</v>
      </c>
    </row>
    <row r="200" spans="1:11" hidden="1" x14ac:dyDescent="0.35">
      <c r="A200" s="461" t="s">
        <v>258</v>
      </c>
      <c r="B200" s="461" t="s">
        <v>237</v>
      </c>
      <c r="C200" s="461" t="s">
        <v>165</v>
      </c>
      <c r="D200" s="461" t="s">
        <v>354</v>
      </c>
      <c r="E200">
        <v>340</v>
      </c>
      <c r="K200">
        <v>68</v>
      </c>
    </row>
    <row r="201" spans="1:11" hidden="1" x14ac:dyDescent="0.35">
      <c r="A201" s="461" t="s">
        <v>258</v>
      </c>
      <c r="B201" s="461" t="s">
        <v>235</v>
      </c>
      <c r="C201" s="461" t="s">
        <v>50</v>
      </c>
      <c r="D201" s="461" t="s">
        <v>295</v>
      </c>
      <c r="E201">
        <v>208</v>
      </c>
      <c r="H201">
        <v>35</v>
      </c>
      <c r="J201">
        <v>0</v>
      </c>
      <c r="K201">
        <v>173</v>
      </c>
    </row>
    <row r="202" spans="1:11" hidden="1" x14ac:dyDescent="0.35">
      <c r="A202" s="461" t="s">
        <v>258</v>
      </c>
      <c r="B202" s="461" t="s">
        <v>235</v>
      </c>
      <c r="C202" s="461" t="s">
        <v>56</v>
      </c>
      <c r="D202" s="461" t="s">
        <v>283</v>
      </c>
      <c r="E202">
        <v>102</v>
      </c>
      <c r="H202">
        <v>48</v>
      </c>
      <c r="J202">
        <v>0</v>
      </c>
      <c r="K202">
        <v>54</v>
      </c>
    </row>
    <row r="203" spans="1:11" hidden="1" x14ac:dyDescent="0.35">
      <c r="A203" s="461" t="s">
        <v>258</v>
      </c>
      <c r="B203" s="461" t="s">
        <v>236</v>
      </c>
      <c r="C203" s="461" t="s">
        <v>167</v>
      </c>
      <c r="D203" s="461" t="s">
        <v>334</v>
      </c>
      <c r="E203">
        <v>27</v>
      </c>
      <c r="K203">
        <v>27</v>
      </c>
    </row>
    <row r="204" spans="1:11" hidden="1" x14ac:dyDescent="0.35">
      <c r="A204" s="461" t="s">
        <v>258</v>
      </c>
      <c r="B204" s="461" t="s">
        <v>236</v>
      </c>
      <c r="C204" s="461" t="s">
        <v>50</v>
      </c>
      <c r="D204" s="461" t="s">
        <v>17427</v>
      </c>
      <c r="E204">
        <v>15</v>
      </c>
      <c r="K204">
        <v>15</v>
      </c>
    </row>
    <row r="205" spans="1:11" hidden="1" x14ac:dyDescent="0.35">
      <c r="A205" s="461" t="s">
        <v>258</v>
      </c>
      <c r="B205" s="461" t="s">
        <v>236</v>
      </c>
      <c r="C205" s="461" t="s">
        <v>71</v>
      </c>
      <c r="D205" s="461" t="s">
        <v>338</v>
      </c>
      <c r="E205">
        <v>16</v>
      </c>
      <c r="K205">
        <v>16</v>
      </c>
    </row>
    <row r="206" spans="1:11" hidden="1" x14ac:dyDescent="0.35">
      <c r="A206" s="461" t="s">
        <v>258</v>
      </c>
      <c r="B206" s="461" t="s">
        <v>235</v>
      </c>
      <c r="C206" s="461" t="s">
        <v>31</v>
      </c>
      <c r="D206" s="461" t="s">
        <v>286</v>
      </c>
      <c r="E206">
        <v>163</v>
      </c>
      <c r="H206">
        <v>8</v>
      </c>
      <c r="J206">
        <v>0</v>
      </c>
      <c r="K206">
        <v>155</v>
      </c>
    </row>
    <row r="207" spans="1:11" hidden="1" x14ac:dyDescent="0.35">
      <c r="A207" s="461" t="s">
        <v>258</v>
      </c>
      <c r="B207" s="461" t="s">
        <v>235</v>
      </c>
      <c r="C207" s="461" t="s">
        <v>51</v>
      </c>
      <c r="D207" s="461" t="s">
        <v>279</v>
      </c>
      <c r="E207">
        <v>95</v>
      </c>
      <c r="H207">
        <v>95</v>
      </c>
      <c r="J207">
        <v>0</v>
      </c>
      <c r="K207">
        <v>0</v>
      </c>
    </row>
    <row r="208" spans="1:11" hidden="1" x14ac:dyDescent="0.35">
      <c r="A208" s="461" t="s">
        <v>258</v>
      </c>
      <c r="B208" s="461" t="s">
        <v>235</v>
      </c>
      <c r="C208" s="461" t="s">
        <v>52</v>
      </c>
      <c r="D208" s="461" t="s">
        <v>280</v>
      </c>
      <c r="E208">
        <v>213</v>
      </c>
      <c r="H208">
        <v>122</v>
      </c>
      <c r="J208">
        <v>23</v>
      </c>
      <c r="K208">
        <v>68</v>
      </c>
    </row>
    <row r="209" spans="1:11" hidden="1" x14ac:dyDescent="0.35">
      <c r="A209" s="461" t="s">
        <v>258</v>
      </c>
      <c r="B209" s="461" t="s">
        <v>235</v>
      </c>
      <c r="C209" s="461" t="s">
        <v>60</v>
      </c>
      <c r="D209" s="461" t="s">
        <v>292</v>
      </c>
      <c r="E209">
        <v>124</v>
      </c>
      <c r="H209">
        <v>64</v>
      </c>
      <c r="J209">
        <v>0</v>
      </c>
      <c r="K209">
        <v>60</v>
      </c>
    </row>
    <row r="210" spans="1:11" hidden="1" x14ac:dyDescent="0.35">
      <c r="A210" s="461" t="s">
        <v>258</v>
      </c>
      <c r="B210" s="461" t="s">
        <v>236</v>
      </c>
      <c r="C210" s="461" t="s">
        <v>68</v>
      </c>
      <c r="D210" s="461" t="s">
        <v>333</v>
      </c>
      <c r="E210">
        <v>18</v>
      </c>
      <c r="K210">
        <v>18</v>
      </c>
    </row>
    <row r="211" spans="1:11" hidden="1" x14ac:dyDescent="0.35">
      <c r="A211" s="461" t="s">
        <v>258</v>
      </c>
      <c r="B211" s="461" t="s">
        <v>236</v>
      </c>
      <c r="C211" s="461" t="s">
        <v>43</v>
      </c>
      <c r="D211" s="461" t="s">
        <v>17425</v>
      </c>
      <c r="E211">
        <v>24</v>
      </c>
      <c r="K211">
        <v>24</v>
      </c>
    </row>
    <row r="212" spans="1:11" hidden="1" x14ac:dyDescent="0.35">
      <c r="A212" s="461" t="s">
        <v>258</v>
      </c>
      <c r="B212" s="461" t="s">
        <v>236</v>
      </c>
      <c r="C212" s="461" t="s">
        <v>17412</v>
      </c>
      <c r="D212" s="461" t="s">
        <v>17428</v>
      </c>
      <c r="E212">
        <v>15</v>
      </c>
      <c r="K212">
        <v>15</v>
      </c>
    </row>
    <row r="213" spans="1:11" hidden="1" x14ac:dyDescent="0.35">
      <c r="A213" s="461" t="s">
        <v>258</v>
      </c>
      <c r="B213" s="461" t="s">
        <v>238</v>
      </c>
      <c r="C213" s="461" t="s">
        <v>246</v>
      </c>
      <c r="D213" s="461" t="s">
        <v>339</v>
      </c>
      <c r="E213">
        <v>614</v>
      </c>
      <c r="F213">
        <v>165</v>
      </c>
      <c r="I213">
        <v>838</v>
      </c>
      <c r="K213">
        <v>182</v>
      </c>
    </row>
    <row r="214" spans="1:11" hidden="1" x14ac:dyDescent="0.35">
      <c r="A214" s="461" t="s">
        <v>242</v>
      </c>
      <c r="B214" s="461" t="s">
        <v>235</v>
      </c>
      <c r="C214" s="461" t="s">
        <v>42</v>
      </c>
      <c r="D214" s="461" t="s">
        <v>273</v>
      </c>
      <c r="E214">
        <v>141</v>
      </c>
      <c r="F214">
        <v>0</v>
      </c>
      <c r="H214">
        <v>54</v>
      </c>
      <c r="I214">
        <v>0</v>
      </c>
      <c r="J214">
        <v>0</v>
      </c>
      <c r="K214">
        <v>87</v>
      </c>
    </row>
    <row r="215" spans="1:11" hidden="1" x14ac:dyDescent="0.35">
      <c r="A215" s="461" t="s">
        <v>242</v>
      </c>
      <c r="B215" s="461" t="s">
        <v>235</v>
      </c>
      <c r="C215" s="461" t="s">
        <v>48</v>
      </c>
      <c r="D215" s="461" t="s">
        <v>272</v>
      </c>
      <c r="E215">
        <v>131</v>
      </c>
      <c r="F215">
        <v>0</v>
      </c>
      <c r="H215">
        <v>131</v>
      </c>
      <c r="I215">
        <v>0</v>
      </c>
      <c r="J215">
        <v>0</v>
      </c>
      <c r="K215">
        <v>0</v>
      </c>
    </row>
    <row r="216" spans="1:11" hidden="1" x14ac:dyDescent="0.35">
      <c r="A216" s="461" t="s">
        <v>242</v>
      </c>
      <c r="B216" s="461" t="s">
        <v>235</v>
      </c>
      <c r="C216" s="461" t="s">
        <v>50</v>
      </c>
      <c r="D216" s="461" t="s">
        <v>295</v>
      </c>
      <c r="E216">
        <v>200</v>
      </c>
      <c r="F216">
        <v>0</v>
      </c>
      <c r="H216">
        <v>37</v>
      </c>
      <c r="I216">
        <v>0</v>
      </c>
      <c r="J216">
        <v>0</v>
      </c>
      <c r="K216">
        <v>163</v>
      </c>
    </row>
    <row r="217" spans="1:11" hidden="1" x14ac:dyDescent="0.35">
      <c r="A217" s="461" t="s">
        <v>242</v>
      </c>
      <c r="B217" s="461" t="s">
        <v>235</v>
      </c>
      <c r="C217" s="461" t="s">
        <v>59</v>
      </c>
      <c r="D217" s="461" t="s">
        <v>291</v>
      </c>
      <c r="E217">
        <v>86</v>
      </c>
      <c r="F217">
        <v>0</v>
      </c>
      <c r="H217">
        <v>18</v>
      </c>
      <c r="I217">
        <v>0</v>
      </c>
      <c r="J217">
        <v>0</v>
      </c>
      <c r="K217">
        <v>68</v>
      </c>
    </row>
    <row r="218" spans="1:11" hidden="1" x14ac:dyDescent="0.35">
      <c r="A218" s="461" t="s">
        <v>242</v>
      </c>
      <c r="B218" s="461" t="s">
        <v>236</v>
      </c>
      <c r="C218" s="461" t="s">
        <v>68</v>
      </c>
      <c r="D218" s="461" t="s">
        <v>333</v>
      </c>
      <c r="E218">
        <v>16</v>
      </c>
      <c r="F218">
        <v>0</v>
      </c>
      <c r="H218">
        <v>0</v>
      </c>
      <c r="I218">
        <v>0</v>
      </c>
      <c r="J218">
        <v>0</v>
      </c>
      <c r="K218">
        <v>16</v>
      </c>
    </row>
    <row r="219" spans="1:11" hidden="1" x14ac:dyDescent="0.35">
      <c r="A219" s="461" t="s">
        <v>242</v>
      </c>
      <c r="B219" s="461" t="s">
        <v>236</v>
      </c>
      <c r="C219" s="461" t="s">
        <v>17412</v>
      </c>
      <c r="D219" s="461" t="s">
        <v>17428</v>
      </c>
      <c r="E219">
        <v>18</v>
      </c>
      <c r="F219">
        <v>0</v>
      </c>
      <c r="H219">
        <v>0</v>
      </c>
      <c r="I219">
        <v>0</v>
      </c>
      <c r="J219">
        <v>0</v>
      </c>
      <c r="K219">
        <v>18</v>
      </c>
    </row>
    <row r="220" spans="1:11" hidden="1" x14ac:dyDescent="0.35">
      <c r="A220" s="461" t="s">
        <v>242</v>
      </c>
      <c r="B220" s="461" t="s">
        <v>235</v>
      </c>
      <c r="C220" s="461" t="s">
        <v>245</v>
      </c>
      <c r="D220" s="461" t="s">
        <v>289</v>
      </c>
      <c r="E220">
        <v>304</v>
      </c>
      <c r="F220">
        <v>0</v>
      </c>
      <c r="H220">
        <v>11</v>
      </c>
      <c r="I220">
        <v>0</v>
      </c>
      <c r="J220">
        <v>0</v>
      </c>
      <c r="K220">
        <v>293</v>
      </c>
    </row>
    <row r="221" spans="1:11" hidden="1" x14ac:dyDescent="0.35">
      <c r="A221" s="461" t="s">
        <v>242</v>
      </c>
      <c r="B221" s="461" t="s">
        <v>235</v>
      </c>
      <c r="C221" s="461" t="s">
        <v>51</v>
      </c>
      <c r="D221" s="461" t="s">
        <v>279</v>
      </c>
      <c r="E221">
        <v>100</v>
      </c>
      <c r="F221">
        <v>0</v>
      </c>
      <c r="H221">
        <v>100</v>
      </c>
      <c r="I221">
        <v>0</v>
      </c>
      <c r="J221">
        <v>0</v>
      </c>
      <c r="K221">
        <v>0</v>
      </c>
    </row>
    <row r="222" spans="1:11" hidden="1" x14ac:dyDescent="0.35">
      <c r="A222" s="461" t="s">
        <v>242</v>
      </c>
      <c r="B222" s="461" t="s">
        <v>236</v>
      </c>
      <c r="C222" s="461" t="s">
        <v>65</v>
      </c>
      <c r="D222" s="461" t="s">
        <v>328</v>
      </c>
      <c r="E222">
        <v>28</v>
      </c>
      <c r="F222">
        <v>0</v>
      </c>
      <c r="H222">
        <v>0</v>
      </c>
      <c r="I222">
        <v>0</v>
      </c>
      <c r="J222">
        <v>0</v>
      </c>
      <c r="K222">
        <v>28</v>
      </c>
    </row>
    <row r="223" spans="1:11" hidden="1" x14ac:dyDescent="0.35">
      <c r="A223" s="461" t="s">
        <v>242</v>
      </c>
      <c r="B223" s="461" t="s">
        <v>236</v>
      </c>
      <c r="C223" s="461" t="s">
        <v>67</v>
      </c>
      <c r="D223" s="461" t="s">
        <v>332</v>
      </c>
      <c r="E223">
        <v>27</v>
      </c>
      <c r="F223">
        <v>0</v>
      </c>
      <c r="H223">
        <v>0</v>
      </c>
      <c r="I223">
        <v>0</v>
      </c>
      <c r="J223">
        <v>0</v>
      </c>
      <c r="K223">
        <v>27</v>
      </c>
    </row>
    <row r="224" spans="1:11" hidden="1" x14ac:dyDescent="0.35">
      <c r="A224" s="461" t="s">
        <v>242</v>
      </c>
      <c r="B224" s="461" t="s">
        <v>237</v>
      </c>
      <c r="C224" s="461" t="s">
        <v>164</v>
      </c>
      <c r="D224" s="461" t="s">
        <v>355</v>
      </c>
      <c r="E224">
        <v>46</v>
      </c>
      <c r="F224">
        <v>0</v>
      </c>
      <c r="H224">
        <v>0</v>
      </c>
      <c r="I224">
        <v>0</v>
      </c>
      <c r="J224">
        <v>0</v>
      </c>
      <c r="K224">
        <v>46</v>
      </c>
    </row>
    <row r="225" spans="1:11" hidden="1" x14ac:dyDescent="0.35">
      <c r="A225" s="461" t="s">
        <v>242</v>
      </c>
      <c r="B225" s="461" t="s">
        <v>235</v>
      </c>
      <c r="C225" s="461" t="s">
        <v>37</v>
      </c>
      <c r="D225" s="461" t="s">
        <v>294</v>
      </c>
      <c r="E225">
        <v>191</v>
      </c>
      <c r="F225">
        <v>0</v>
      </c>
      <c r="H225">
        <v>13</v>
      </c>
      <c r="I225">
        <v>0</v>
      </c>
      <c r="J225">
        <v>0</v>
      </c>
      <c r="K225">
        <v>178</v>
      </c>
    </row>
    <row r="226" spans="1:11" hidden="1" x14ac:dyDescent="0.35">
      <c r="A226" s="461" t="s">
        <v>242</v>
      </c>
      <c r="B226" s="461" t="s">
        <v>235</v>
      </c>
      <c r="C226" s="461" t="s">
        <v>38</v>
      </c>
      <c r="D226" s="461" t="s">
        <v>269</v>
      </c>
      <c r="E226">
        <v>131</v>
      </c>
      <c r="F226">
        <v>0</v>
      </c>
      <c r="H226">
        <v>82</v>
      </c>
      <c r="I226">
        <v>0</v>
      </c>
      <c r="J226">
        <v>0</v>
      </c>
      <c r="K226">
        <v>49</v>
      </c>
    </row>
    <row r="227" spans="1:11" hidden="1" x14ac:dyDescent="0.35">
      <c r="A227" s="461" t="s">
        <v>242</v>
      </c>
      <c r="B227" s="461" t="s">
        <v>235</v>
      </c>
      <c r="C227" s="461" t="s">
        <v>41</v>
      </c>
      <c r="D227" s="461" t="s">
        <v>271</v>
      </c>
      <c r="E227">
        <v>51</v>
      </c>
      <c r="F227">
        <v>0</v>
      </c>
      <c r="H227">
        <v>0</v>
      </c>
      <c r="I227">
        <v>0</v>
      </c>
      <c r="J227">
        <v>0</v>
      </c>
      <c r="K227">
        <v>51</v>
      </c>
    </row>
    <row r="228" spans="1:11" hidden="1" x14ac:dyDescent="0.35">
      <c r="A228" s="461" t="s">
        <v>242</v>
      </c>
      <c r="B228" s="461" t="s">
        <v>235</v>
      </c>
      <c r="C228" s="461" t="s">
        <v>45</v>
      </c>
      <c r="D228" s="461" t="s">
        <v>275</v>
      </c>
      <c r="E228">
        <v>114</v>
      </c>
      <c r="F228">
        <v>0</v>
      </c>
      <c r="H228">
        <v>42</v>
      </c>
      <c r="I228">
        <v>0</v>
      </c>
      <c r="J228">
        <v>0</v>
      </c>
      <c r="K228">
        <v>72</v>
      </c>
    </row>
    <row r="229" spans="1:11" hidden="1" x14ac:dyDescent="0.35">
      <c r="A229" s="461" t="s">
        <v>242</v>
      </c>
      <c r="B229" s="461" t="s">
        <v>235</v>
      </c>
      <c r="C229" s="461" t="s">
        <v>52</v>
      </c>
      <c r="D229" s="461" t="s">
        <v>280</v>
      </c>
      <c r="E229">
        <v>223</v>
      </c>
      <c r="F229">
        <v>0</v>
      </c>
      <c r="H229">
        <v>126</v>
      </c>
      <c r="I229">
        <v>0</v>
      </c>
      <c r="J229">
        <v>28</v>
      </c>
      <c r="K229">
        <v>69</v>
      </c>
    </row>
    <row r="230" spans="1:11" hidden="1" x14ac:dyDescent="0.35">
      <c r="A230" s="461" t="s">
        <v>242</v>
      </c>
      <c r="B230" s="461" t="s">
        <v>235</v>
      </c>
      <c r="C230" s="461" t="s">
        <v>60</v>
      </c>
      <c r="D230" s="461" t="s">
        <v>292</v>
      </c>
      <c r="E230">
        <v>123</v>
      </c>
      <c r="F230">
        <v>0</v>
      </c>
      <c r="H230">
        <v>65</v>
      </c>
      <c r="I230">
        <v>0</v>
      </c>
      <c r="J230">
        <v>0</v>
      </c>
      <c r="K230">
        <v>58</v>
      </c>
    </row>
    <row r="231" spans="1:11" hidden="1" x14ac:dyDescent="0.35">
      <c r="A231" s="461" t="s">
        <v>242</v>
      </c>
      <c r="B231" s="461" t="s">
        <v>236</v>
      </c>
      <c r="C231" s="461" t="s">
        <v>31</v>
      </c>
      <c r="D231" s="461" t="s">
        <v>326</v>
      </c>
      <c r="E231">
        <v>15</v>
      </c>
      <c r="F231">
        <v>0</v>
      </c>
      <c r="H231">
        <v>0</v>
      </c>
      <c r="I231">
        <v>0</v>
      </c>
      <c r="J231">
        <v>0</v>
      </c>
      <c r="K231">
        <v>15</v>
      </c>
    </row>
    <row r="232" spans="1:11" hidden="1" x14ac:dyDescent="0.35">
      <c r="A232" s="461" t="s">
        <v>242</v>
      </c>
      <c r="B232" s="461" t="s">
        <v>236</v>
      </c>
      <c r="C232" s="461" t="s">
        <v>66</v>
      </c>
      <c r="D232" s="461" t="s">
        <v>331</v>
      </c>
      <c r="E232">
        <v>27</v>
      </c>
      <c r="F232">
        <v>0</v>
      </c>
      <c r="H232">
        <v>0</v>
      </c>
      <c r="I232">
        <v>0</v>
      </c>
      <c r="J232">
        <v>0</v>
      </c>
      <c r="K232">
        <v>27</v>
      </c>
    </row>
    <row r="233" spans="1:11" hidden="1" x14ac:dyDescent="0.35">
      <c r="A233" s="461" t="s">
        <v>242</v>
      </c>
      <c r="B233" s="461" t="s">
        <v>236</v>
      </c>
      <c r="C233" s="461" t="s">
        <v>70</v>
      </c>
      <c r="D233" s="461" t="s">
        <v>336</v>
      </c>
      <c r="E233">
        <v>32</v>
      </c>
      <c r="F233">
        <v>0</v>
      </c>
      <c r="H233">
        <v>0</v>
      </c>
      <c r="I233">
        <v>0</v>
      </c>
      <c r="J233">
        <v>0</v>
      </c>
      <c r="K233">
        <v>32</v>
      </c>
    </row>
    <row r="234" spans="1:11" hidden="1" x14ac:dyDescent="0.35">
      <c r="A234" s="461" t="s">
        <v>242</v>
      </c>
      <c r="B234" s="461" t="s">
        <v>237</v>
      </c>
      <c r="C234" s="461" t="s">
        <v>165</v>
      </c>
      <c r="D234" s="461" t="s">
        <v>354</v>
      </c>
      <c r="E234">
        <v>73</v>
      </c>
      <c r="F234">
        <v>0</v>
      </c>
      <c r="H234">
        <v>0</v>
      </c>
      <c r="I234">
        <v>0</v>
      </c>
      <c r="J234">
        <v>0</v>
      </c>
      <c r="K234">
        <v>73</v>
      </c>
    </row>
    <row r="235" spans="1:11" hidden="1" x14ac:dyDescent="0.35">
      <c r="A235" s="461" t="s">
        <v>242</v>
      </c>
      <c r="B235" s="461" t="s">
        <v>236</v>
      </c>
      <c r="C235" s="461" t="s">
        <v>43</v>
      </c>
      <c r="D235" s="461" t="s">
        <v>17425</v>
      </c>
      <c r="E235">
        <v>19</v>
      </c>
      <c r="F235">
        <v>0</v>
      </c>
      <c r="H235">
        <v>0</v>
      </c>
      <c r="I235">
        <v>0</v>
      </c>
      <c r="J235">
        <v>0</v>
      </c>
      <c r="K235">
        <v>19</v>
      </c>
    </row>
    <row r="236" spans="1:11" hidden="1" x14ac:dyDescent="0.35">
      <c r="A236" s="461" t="s">
        <v>242</v>
      </c>
      <c r="B236" s="461" t="s">
        <v>235</v>
      </c>
      <c r="C236" s="461" t="s">
        <v>33</v>
      </c>
      <c r="D236" s="461" t="s">
        <v>293</v>
      </c>
      <c r="E236">
        <v>121</v>
      </c>
      <c r="F236">
        <v>0</v>
      </c>
      <c r="H236">
        <v>93</v>
      </c>
      <c r="I236">
        <v>0</v>
      </c>
      <c r="J236">
        <v>0</v>
      </c>
      <c r="K236">
        <v>28</v>
      </c>
    </row>
    <row r="237" spans="1:11" hidden="1" x14ac:dyDescent="0.35">
      <c r="A237" s="461" t="s">
        <v>242</v>
      </c>
      <c r="B237" s="461" t="s">
        <v>235</v>
      </c>
      <c r="C237" s="461" t="s">
        <v>17411</v>
      </c>
      <c r="D237" s="461" t="s">
        <v>268</v>
      </c>
      <c r="E237">
        <v>247</v>
      </c>
      <c r="F237">
        <v>0</v>
      </c>
      <c r="H237">
        <v>189</v>
      </c>
      <c r="I237">
        <v>0</v>
      </c>
      <c r="J237">
        <v>4</v>
      </c>
      <c r="K237">
        <v>54</v>
      </c>
    </row>
    <row r="238" spans="1:11" hidden="1" x14ac:dyDescent="0.35">
      <c r="A238" s="461" t="s">
        <v>242</v>
      </c>
      <c r="B238" s="461" t="s">
        <v>235</v>
      </c>
      <c r="C238" s="461" t="s">
        <v>43</v>
      </c>
      <c r="D238" s="461" t="s">
        <v>298</v>
      </c>
      <c r="E238">
        <v>369</v>
      </c>
      <c r="F238">
        <v>0</v>
      </c>
      <c r="H238">
        <v>115</v>
      </c>
      <c r="I238">
        <v>0</v>
      </c>
      <c r="J238">
        <v>0</v>
      </c>
      <c r="K238">
        <v>254</v>
      </c>
    </row>
    <row r="239" spans="1:11" hidden="1" x14ac:dyDescent="0.35">
      <c r="A239" s="461" t="s">
        <v>242</v>
      </c>
      <c r="B239" s="461" t="s">
        <v>235</v>
      </c>
      <c r="C239" s="461" t="s">
        <v>44</v>
      </c>
      <c r="D239" s="461" t="s">
        <v>274</v>
      </c>
      <c r="E239">
        <v>670</v>
      </c>
      <c r="F239">
        <v>0</v>
      </c>
      <c r="H239">
        <v>538</v>
      </c>
      <c r="I239">
        <v>0</v>
      </c>
      <c r="J239">
        <v>64</v>
      </c>
      <c r="K239">
        <v>68</v>
      </c>
    </row>
    <row r="240" spans="1:11" hidden="1" x14ac:dyDescent="0.35">
      <c r="A240" s="461" t="s">
        <v>242</v>
      </c>
      <c r="B240" s="461" t="s">
        <v>235</v>
      </c>
      <c r="C240" s="461" t="s">
        <v>49</v>
      </c>
      <c r="D240" s="461" t="s">
        <v>278</v>
      </c>
      <c r="E240">
        <v>205</v>
      </c>
      <c r="F240">
        <v>0</v>
      </c>
      <c r="H240">
        <v>106</v>
      </c>
      <c r="I240">
        <v>0</v>
      </c>
      <c r="J240">
        <v>23</v>
      </c>
      <c r="K240">
        <v>76</v>
      </c>
    </row>
    <row r="241" spans="1:11" hidden="1" x14ac:dyDescent="0.35">
      <c r="A241" s="461" t="s">
        <v>242</v>
      </c>
      <c r="B241" s="461" t="s">
        <v>235</v>
      </c>
      <c r="C241" s="461" t="s">
        <v>57</v>
      </c>
      <c r="D241" s="461" t="s">
        <v>284</v>
      </c>
      <c r="E241">
        <v>241</v>
      </c>
      <c r="F241">
        <v>0</v>
      </c>
      <c r="H241">
        <v>73</v>
      </c>
      <c r="I241">
        <v>0</v>
      </c>
      <c r="J241">
        <v>2</v>
      </c>
      <c r="K241">
        <v>166</v>
      </c>
    </row>
    <row r="242" spans="1:11" hidden="1" x14ac:dyDescent="0.35">
      <c r="A242" s="461" t="s">
        <v>242</v>
      </c>
      <c r="B242" s="461" t="s">
        <v>235</v>
      </c>
      <c r="C242" s="461" t="s">
        <v>58</v>
      </c>
      <c r="D242" s="461" t="s">
        <v>285</v>
      </c>
      <c r="E242">
        <v>122</v>
      </c>
      <c r="F242">
        <v>0</v>
      </c>
      <c r="H242">
        <v>74</v>
      </c>
      <c r="I242">
        <v>0</v>
      </c>
      <c r="J242">
        <v>0</v>
      </c>
      <c r="K242">
        <v>48</v>
      </c>
    </row>
    <row r="243" spans="1:11" hidden="1" x14ac:dyDescent="0.35">
      <c r="A243" s="461" t="s">
        <v>242</v>
      </c>
      <c r="B243" s="461" t="s">
        <v>235</v>
      </c>
      <c r="C243" s="461" t="s">
        <v>34</v>
      </c>
      <c r="D243" s="461" t="s">
        <v>288</v>
      </c>
      <c r="E243">
        <v>438</v>
      </c>
      <c r="F243">
        <v>0</v>
      </c>
      <c r="H243">
        <v>177</v>
      </c>
      <c r="I243">
        <v>0</v>
      </c>
      <c r="J243">
        <v>211</v>
      </c>
      <c r="K243">
        <v>50</v>
      </c>
    </row>
    <row r="244" spans="1:11" hidden="1" x14ac:dyDescent="0.35">
      <c r="A244" s="461" t="s">
        <v>242</v>
      </c>
      <c r="B244" s="461" t="s">
        <v>235</v>
      </c>
      <c r="C244" s="461" t="s">
        <v>53</v>
      </c>
      <c r="D244" s="461" t="s">
        <v>290</v>
      </c>
      <c r="E244">
        <v>110</v>
      </c>
      <c r="F244">
        <v>0</v>
      </c>
      <c r="H244">
        <v>16</v>
      </c>
      <c r="I244">
        <v>0</v>
      </c>
      <c r="J244">
        <v>0</v>
      </c>
      <c r="K244">
        <v>94</v>
      </c>
    </row>
    <row r="245" spans="1:11" hidden="1" x14ac:dyDescent="0.35">
      <c r="A245" s="461" t="s">
        <v>242</v>
      </c>
      <c r="B245" s="461" t="s">
        <v>235</v>
      </c>
      <c r="C245" s="461" t="s">
        <v>55</v>
      </c>
      <c r="D245" s="461" t="s">
        <v>282</v>
      </c>
      <c r="E245">
        <v>118</v>
      </c>
      <c r="F245">
        <v>0</v>
      </c>
      <c r="H245">
        <v>118</v>
      </c>
      <c r="I245">
        <v>0</v>
      </c>
      <c r="J245">
        <v>0</v>
      </c>
      <c r="K245">
        <v>0</v>
      </c>
    </row>
    <row r="246" spans="1:11" hidden="1" x14ac:dyDescent="0.35">
      <c r="A246" s="461" t="s">
        <v>242</v>
      </c>
      <c r="B246" s="461" t="s">
        <v>236</v>
      </c>
      <c r="C246" s="461" t="s">
        <v>63</v>
      </c>
      <c r="D246" s="461" t="s">
        <v>327</v>
      </c>
      <c r="E246">
        <v>25</v>
      </c>
      <c r="F246">
        <v>0</v>
      </c>
      <c r="H246">
        <v>0</v>
      </c>
      <c r="I246">
        <v>0</v>
      </c>
      <c r="J246">
        <v>0</v>
      </c>
      <c r="K246">
        <v>25</v>
      </c>
    </row>
    <row r="247" spans="1:11" hidden="1" x14ac:dyDescent="0.35">
      <c r="A247" s="461" t="s">
        <v>242</v>
      </c>
      <c r="B247" s="461" t="s">
        <v>236</v>
      </c>
      <c r="C247" s="461" t="s">
        <v>64</v>
      </c>
      <c r="D247" s="461" t="s">
        <v>329</v>
      </c>
      <c r="E247">
        <v>26</v>
      </c>
      <c r="F247">
        <v>0</v>
      </c>
      <c r="H247">
        <v>0</v>
      </c>
      <c r="I247">
        <v>0</v>
      </c>
      <c r="J247">
        <v>0</v>
      </c>
      <c r="K247">
        <v>26</v>
      </c>
    </row>
    <row r="248" spans="1:11" hidden="1" x14ac:dyDescent="0.35">
      <c r="A248" s="461" t="s">
        <v>242</v>
      </c>
      <c r="B248" s="461" t="s">
        <v>236</v>
      </c>
      <c r="C248" s="461" t="s">
        <v>114</v>
      </c>
      <c r="D248" s="461" t="s">
        <v>17426</v>
      </c>
      <c r="E248">
        <v>22</v>
      </c>
      <c r="F248">
        <v>0</v>
      </c>
      <c r="H248">
        <v>0</v>
      </c>
      <c r="I248">
        <v>0</v>
      </c>
      <c r="J248">
        <v>0</v>
      </c>
      <c r="K248">
        <v>22</v>
      </c>
    </row>
    <row r="249" spans="1:11" hidden="1" x14ac:dyDescent="0.35">
      <c r="A249" s="461" t="s">
        <v>242</v>
      </c>
      <c r="B249" s="461" t="s">
        <v>236</v>
      </c>
      <c r="C249" s="461" t="s">
        <v>57</v>
      </c>
      <c r="D249" s="461" t="s">
        <v>337</v>
      </c>
      <c r="E249">
        <v>16</v>
      </c>
      <c r="F249">
        <v>0</v>
      </c>
      <c r="H249">
        <v>0</v>
      </c>
      <c r="I249">
        <v>0</v>
      </c>
      <c r="J249">
        <v>0</v>
      </c>
      <c r="K249">
        <v>16</v>
      </c>
    </row>
    <row r="250" spans="1:11" hidden="1" x14ac:dyDescent="0.35">
      <c r="A250" s="461" t="s">
        <v>242</v>
      </c>
      <c r="B250" s="461" t="s">
        <v>235</v>
      </c>
      <c r="C250" s="461" t="s">
        <v>31</v>
      </c>
      <c r="D250" s="461" t="s">
        <v>286</v>
      </c>
      <c r="E250">
        <v>153</v>
      </c>
      <c r="F250">
        <v>0</v>
      </c>
      <c r="H250">
        <v>8</v>
      </c>
      <c r="I250">
        <v>0</v>
      </c>
      <c r="J250">
        <v>0</v>
      </c>
      <c r="K250">
        <v>145</v>
      </c>
    </row>
    <row r="251" spans="1:11" hidden="1" x14ac:dyDescent="0.35">
      <c r="A251" s="461" t="s">
        <v>242</v>
      </c>
      <c r="B251" s="461" t="s">
        <v>235</v>
      </c>
      <c r="C251" s="461" t="s">
        <v>35</v>
      </c>
      <c r="D251" s="461" t="s">
        <v>267</v>
      </c>
      <c r="E251">
        <v>47</v>
      </c>
      <c r="F251">
        <v>0</v>
      </c>
      <c r="H251">
        <v>22</v>
      </c>
      <c r="I251">
        <v>0</v>
      </c>
      <c r="J251">
        <v>0</v>
      </c>
      <c r="K251">
        <v>25</v>
      </c>
    </row>
    <row r="252" spans="1:11" x14ac:dyDescent="0.35">
      <c r="A252" s="461" t="s">
        <v>242</v>
      </c>
      <c r="B252" s="461" t="s">
        <v>235</v>
      </c>
      <c r="C252" s="461" t="s">
        <v>46</v>
      </c>
      <c r="D252" s="461" t="s">
        <v>276</v>
      </c>
      <c r="E252">
        <v>39</v>
      </c>
      <c r="F252">
        <v>0</v>
      </c>
      <c r="H252">
        <v>12</v>
      </c>
      <c r="I252">
        <v>0</v>
      </c>
      <c r="J252">
        <v>0</v>
      </c>
      <c r="K252">
        <v>28</v>
      </c>
    </row>
    <row r="253" spans="1:11" hidden="1" x14ac:dyDescent="0.35">
      <c r="A253" s="461" t="s">
        <v>242</v>
      </c>
      <c r="B253" s="461" t="s">
        <v>235</v>
      </c>
      <c r="C253" s="461" t="s">
        <v>47</v>
      </c>
      <c r="D253" s="461" t="s">
        <v>277</v>
      </c>
      <c r="E253">
        <v>149</v>
      </c>
      <c r="F253">
        <v>0</v>
      </c>
      <c r="H253">
        <v>120</v>
      </c>
      <c r="I253">
        <v>0</v>
      </c>
      <c r="J253">
        <v>0</v>
      </c>
      <c r="K253">
        <v>29</v>
      </c>
    </row>
    <row r="254" spans="1:11" hidden="1" x14ac:dyDescent="0.35">
      <c r="A254" s="461" t="s">
        <v>242</v>
      </c>
      <c r="B254" s="461" t="s">
        <v>235</v>
      </c>
      <c r="C254" s="461" t="s">
        <v>54</v>
      </c>
      <c r="D254" s="461" t="s">
        <v>281</v>
      </c>
      <c r="E254">
        <v>194</v>
      </c>
      <c r="F254">
        <v>0</v>
      </c>
      <c r="H254">
        <v>143</v>
      </c>
      <c r="I254">
        <v>0</v>
      </c>
      <c r="J254">
        <v>0</v>
      </c>
      <c r="K254">
        <v>51</v>
      </c>
    </row>
    <row r="255" spans="1:11" hidden="1" x14ac:dyDescent="0.35">
      <c r="A255" s="461" t="s">
        <v>242</v>
      </c>
      <c r="B255" s="461" t="s">
        <v>235</v>
      </c>
      <c r="C255" s="461" t="s">
        <v>56</v>
      </c>
      <c r="D255" s="461" t="s">
        <v>283</v>
      </c>
      <c r="E255">
        <v>99</v>
      </c>
      <c r="F255">
        <v>0</v>
      </c>
      <c r="H255">
        <v>49</v>
      </c>
      <c r="I255">
        <v>0</v>
      </c>
      <c r="J255">
        <v>0</v>
      </c>
      <c r="K255">
        <v>50</v>
      </c>
    </row>
    <row r="256" spans="1:11" hidden="1" x14ac:dyDescent="0.35">
      <c r="A256" s="461" t="s">
        <v>242</v>
      </c>
      <c r="B256" s="461" t="s">
        <v>236</v>
      </c>
      <c r="C256" s="461" t="s">
        <v>36</v>
      </c>
      <c r="D256" s="461" t="s">
        <v>330</v>
      </c>
      <c r="E256">
        <v>22</v>
      </c>
      <c r="F256">
        <v>0</v>
      </c>
      <c r="H256">
        <v>0</v>
      </c>
      <c r="I256">
        <v>0</v>
      </c>
      <c r="J256">
        <v>0</v>
      </c>
      <c r="K256">
        <v>22</v>
      </c>
    </row>
    <row r="257" spans="1:11" hidden="1" x14ac:dyDescent="0.35">
      <c r="A257" s="461" t="s">
        <v>242</v>
      </c>
      <c r="B257" s="461" t="s">
        <v>236</v>
      </c>
      <c r="C257" s="461" t="s">
        <v>69</v>
      </c>
      <c r="D257" s="461" t="s">
        <v>335</v>
      </c>
      <c r="E257">
        <v>19</v>
      </c>
      <c r="F257">
        <v>0</v>
      </c>
      <c r="H257">
        <v>0</v>
      </c>
      <c r="I257">
        <v>0</v>
      </c>
      <c r="J257">
        <v>0</v>
      </c>
      <c r="K257">
        <v>19</v>
      </c>
    </row>
    <row r="258" spans="1:11" hidden="1" x14ac:dyDescent="0.35">
      <c r="A258" s="461" t="s">
        <v>242</v>
      </c>
      <c r="B258" s="461" t="s">
        <v>236</v>
      </c>
      <c r="C258" s="461" t="s">
        <v>50</v>
      </c>
      <c r="D258" s="461" t="s">
        <v>17427</v>
      </c>
      <c r="E258">
        <v>17</v>
      </c>
      <c r="F258">
        <v>0</v>
      </c>
      <c r="H258">
        <v>0</v>
      </c>
      <c r="I258">
        <v>0</v>
      </c>
      <c r="J258">
        <v>0</v>
      </c>
      <c r="K258">
        <v>17</v>
      </c>
    </row>
    <row r="259" spans="1:11" hidden="1" x14ac:dyDescent="0.35">
      <c r="A259" s="461" t="s">
        <v>242</v>
      </c>
      <c r="B259" s="461" t="s">
        <v>236</v>
      </c>
      <c r="C259" s="461" t="s">
        <v>71</v>
      </c>
      <c r="D259" s="461" t="s">
        <v>338</v>
      </c>
      <c r="E259">
        <v>19</v>
      </c>
      <c r="F259">
        <v>0</v>
      </c>
      <c r="H259">
        <v>0</v>
      </c>
      <c r="I259">
        <v>0</v>
      </c>
      <c r="J259">
        <v>0</v>
      </c>
      <c r="K259">
        <v>19</v>
      </c>
    </row>
    <row r="260" spans="1:11" hidden="1" x14ac:dyDescent="0.35">
      <c r="A260" s="461" t="s">
        <v>242</v>
      </c>
      <c r="B260" s="461" t="s">
        <v>235</v>
      </c>
      <c r="C260" s="461" t="s">
        <v>32</v>
      </c>
      <c r="D260" s="461" t="s">
        <v>287</v>
      </c>
      <c r="E260">
        <v>299</v>
      </c>
      <c r="F260">
        <v>0</v>
      </c>
      <c r="H260">
        <v>275</v>
      </c>
      <c r="I260">
        <v>0</v>
      </c>
      <c r="J260">
        <v>0</v>
      </c>
      <c r="K260">
        <v>24</v>
      </c>
    </row>
    <row r="261" spans="1:11" hidden="1" x14ac:dyDescent="0.35">
      <c r="A261" s="461" t="s">
        <v>242</v>
      </c>
      <c r="B261" s="461" t="s">
        <v>235</v>
      </c>
      <c r="C261" s="461" t="s">
        <v>39</v>
      </c>
      <c r="D261" s="461" t="s">
        <v>296</v>
      </c>
      <c r="E261">
        <v>78</v>
      </c>
      <c r="F261">
        <v>0</v>
      </c>
      <c r="H261">
        <v>0</v>
      </c>
      <c r="I261">
        <v>0</v>
      </c>
      <c r="J261">
        <v>0</v>
      </c>
      <c r="K261">
        <v>78</v>
      </c>
    </row>
    <row r="262" spans="1:11" hidden="1" x14ac:dyDescent="0.35">
      <c r="A262" s="461" t="s">
        <v>242</v>
      </c>
      <c r="B262" s="461" t="s">
        <v>235</v>
      </c>
      <c r="C262" s="461" t="s">
        <v>40</v>
      </c>
      <c r="D262" s="461" t="s">
        <v>270</v>
      </c>
      <c r="E262">
        <v>79</v>
      </c>
      <c r="F262">
        <v>0</v>
      </c>
      <c r="H262">
        <v>56</v>
      </c>
      <c r="I262">
        <v>0</v>
      </c>
      <c r="J262">
        <v>0</v>
      </c>
      <c r="K262">
        <v>23</v>
      </c>
    </row>
    <row r="263" spans="1:11" hidden="1" x14ac:dyDescent="0.35">
      <c r="A263" s="461" t="s">
        <v>242</v>
      </c>
      <c r="B263" s="461" t="s">
        <v>235</v>
      </c>
      <c r="C263" s="461" t="s">
        <v>114</v>
      </c>
      <c r="D263" s="461" t="s">
        <v>297</v>
      </c>
      <c r="E263">
        <v>489</v>
      </c>
      <c r="F263">
        <v>0</v>
      </c>
      <c r="H263">
        <v>0</v>
      </c>
      <c r="I263">
        <v>0</v>
      </c>
      <c r="J263">
        <v>0</v>
      </c>
      <c r="K263">
        <v>489</v>
      </c>
    </row>
    <row r="264" spans="1:11" hidden="1" x14ac:dyDescent="0.35">
      <c r="A264" s="461" t="s">
        <v>242</v>
      </c>
      <c r="B264" s="461" t="s">
        <v>236</v>
      </c>
      <c r="C264" s="461" t="s">
        <v>167</v>
      </c>
      <c r="D264" s="461" t="s">
        <v>334</v>
      </c>
      <c r="E264">
        <v>31</v>
      </c>
      <c r="F264">
        <v>0</v>
      </c>
      <c r="H264">
        <v>0</v>
      </c>
      <c r="I264">
        <v>0</v>
      </c>
      <c r="J264">
        <v>0</v>
      </c>
      <c r="K264">
        <v>31</v>
      </c>
    </row>
    <row r="265" spans="1:11" hidden="1" x14ac:dyDescent="0.35">
      <c r="A265" s="461" t="s">
        <v>242</v>
      </c>
      <c r="B265" s="461" t="s">
        <v>237</v>
      </c>
      <c r="C265" s="461" t="s">
        <v>166</v>
      </c>
      <c r="D265" s="461" t="s">
        <v>353</v>
      </c>
      <c r="E265">
        <v>37</v>
      </c>
      <c r="F265">
        <v>0</v>
      </c>
      <c r="H265">
        <v>0</v>
      </c>
      <c r="I265">
        <v>0</v>
      </c>
      <c r="J265">
        <v>0</v>
      </c>
      <c r="K265">
        <v>37</v>
      </c>
    </row>
    <row r="266" spans="1:11" hidden="1" x14ac:dyDescent="0.35">
      <c r="A266" s="461" t="s">
        <v>242</v>
      </c>
      <c r="B266" s="461" t="s">
        <v>238</v>
      </c>
      <c r="C266" s="461" t="s">
        <v>246</v>
      </c>
      <c r="D266" s="461" t="s">
        <v>339</v>
      </c>
      <c r="E266">
        <v>1178</v>
      </c>
      <c r="F266">
        <v>189</v>
      </c>
      <c r="H266">
        <v>0</v>
      </c>
      <c r="I266">
        <v>846</v>
      </c>
      <c r="J266">
        <v>0</v>
      </c>
      <c r="K266">
        <v>143</v>
      </c>
    </row>
    <row r="267" spans="1:11" hidden="1" x14ac:dyDescent="0.35">
      <c r="A267" s="461" t="s">
        <v>241</v>
      </c>
      <c r="B267" s="461" t="s">
        <v>235</v>
      </c>
      <c r="C267" s="461" t="s">
        <v>17411</v>
      </c>
      <c r="D267" s="461" t="s">
        <v>268</v>
      </c>
      <c r="E267">
        <v>257</v>
      </c>
      <c r="F267">
        <v>0</v>
      </c>
      <c r="G267">
        <v>0</v>
      </c>
      <c r="H267">
        <v>198</v>
      </c>
      <c r="I267">
        <v>0</v>
      </c>
      <c r="J267">
        <v>6</v>
      </c>
      <c r="K267">
        <v>53</v>
      </c>
    </row>
    <row r="268" spans="1:11" hidden="1" x14ac:dyDescent="0.35">
      <c r="A268" s="461" t="s">
        <v>241</v>
      </c>
      <c r="B268" s="461" t="s">
        <v>235</v>
      </c>
      <c r="C268" s="461" t="s">
        <v>45</v>
      </c>
      <c r="D268" s="461" t="s">
        <v>275</v>
      </c>
      <c r="E268">
        <v>116</v>
      </c>
      <c r="F268">
        <v>0</v>
      </c>
      <c r="G268">
        <v>0</v>
      </c>
      <c r="H268">
        <v>44</v>
      </c>
      <c r="I268">
        <v>0</v>
      </c>
      <c r="J268">
        <v>0</v>
      </c>
      <c r="K268">
        <v>72</v>
      </c>
    </row>
    <row r="269" spans="1:11" hidden="1" x14ac:dyDescent="0.35">
      <c r="A269" s="461" t="s">
        <v>241</v>
      </c>
      <c r="B269" s="461" t="s">
        <v>235</v>
      </c>
      <c r="C269" s="461" t="s">
        <v>47</v>
      </c>
      <c r="D269" s="461" t="s">
        <v>277</v>
      </c>
      <c r="E269">
        <v>154</v>
      </c>
      <c r="F269">
        <v>0</v>
      </c>
      <c r="G269">
        <v>0</v>
      </c>
      <c r="H269">
        <v>120</v>
      </c>
      <c r="I269">
        <v>0</v>
      </c>
      <c r="J269">
        <v>4</v>
      </c>
      <c r="K269">
        <v>30</v>
      </c>
    </row>
    <row r="270" spans="1:11" hidden="1" x14ac:dyDescent="0.35">
      <c r="A270" s="461" t="s">
        <v>241</v>
      </c>
      <c r="B270" s="461" t="s">
        <v>235</v>
      </c>
      <c r="C270" s="461" t="s">
        <v>49</v>
      </c>
      <c r="D270" s="461" t="s">
        <v>278</v>
      </c>
      <c r="E270">
        <v>205</v>
      </c>
      <c r="F270">
        <v>0</v>
      </c>
      <c r="G270">
        <v>0</v>
      </c>
      <c r="H270">
        <v>107</v>
      </c>
      <c r="I270">
        <v>0</v>
      </c>
      <c r="J270">
        <v>22</v>
      </c>
      <c r="K270">
        <v>76</v>
      </c>
    </row>
    <row r="271" spans="1:11" hidden="1" x14ac:dyDescent="0.35">
      <c r="A271" s="461" t="s">
        <v>241</v>
      </c>
      <c r="B271" s="461" t="s">
        <v>235</v>
      </c>
      <c r="C271" s="461" t="s">
        <v>53</v>
      </c>
      <c r="D271" s="461" t="s">
        <v>290</v>
      </c>
      <c r="E271">
        <v>116</v>
      </c>
      <c r="F271">
        <v>0</v>
      </c>
      <c r="G271">
        <v>0</v>
      </c>
      <c r="H271">
        <v>17</v>
      </c>
      <c r="I271">
        <v>0</v>
      </c>
      <c r="J271">
        <v>0</v>
      </c>
      <c r="K271">
        <v>99</v>
      </c>
    </row>
    <row r="272" spans="1:11" hidden="1" x14ac:dyDescent="0.35">
      <c r="A272" s="461" t="s">
        <v>241</v>
      </c>
      <c r="B272" s="461" t="s">
        <v>235</v>
      </c>
      <c r="C272" s="461" t="s">
        <v>54</v>
      </c>
      <c r="D272" s="461" t="s">
        <v>281</v>
      </c>
      <c r="E272">
        <v>199</v>
      </c>
      <c r="F272">
        <v>0</v>
      </c>
      <c r="G272">
        <v>0</v>
      </c>
      <c r="H272">
        <v>143</v>
      </c>
      <c r="I272">
        <v>0</v>
      </c>
      <c r="J272">
        <v>0</v>
      </c>
      <c r="K272">
        <v>56</v>
      </c>
    </row>
    <row r="273" spans="1:11" hidden="1" x14ac:dyDescent="0.35">
      <c r="A273" s="461" t="s">
        <v>241</v>
      </c>
      <c r="B273" s="461" t="s">
        <v>236</v>
      </c>
      <c r="C273" s="461" t="s">
        <v>36</v>
      </c>
      <c r="D273" s="461" t="s">
        <v>330</v>
      </c>
      <c r="E273">
        <v>22</v>
      </c>
      <c r="F273">
        <v>0</v>
      </c>
      <c r="G273">
        <v>1</v>
      </c>
      <c r="H273">
        <v>0</v>
      </c>
      <c r="I273">
        <v>0</v>
      </c>
      <c r="J273">
        <v>0</v>
      </c>
      <c r="K273">
        <v>22</v>
      </c>
    </row>
    <row r="274" spans="1:11" hidden="1" x14ac:dyDescent="0.35">
      <c r="A274" s="461" t="s">
        <v>241</v>
      </c>
      <c r="B274" s="461" t="s">
        <v>236</v>
      </c>
      <c r="C274" s="461" t="s">
        <v>69</v>
      </c>
      <c r="D274" s="461" t="s">
        <v>335</v>
      </c>
      <c r="E274">
        <v>20</v>
      </c>
      <c r="F274">
        <v>0</v>
      </c>
      <c r="G274">
        <v>0</v>
      </c>
      <c r="H274">
        <v>0</v>
      </c>
      <c r="I274">
        <v>0</v>
      </c>
      <c r="J274">
        <v>0</v>
      </c>
      <c r="K274">
        <v>20</v>
      </c>
    </row>
    <row r="275" spans="1:11" hidden="1" x14ac:dyDescent="0.35">
      <c r="A275" s="461" t="s">
        <v>241</v>
      </c>
      <c r="B275" s="461" t="s">
        <v>236</v>
      </c>
      <c r="C275" s="461" t="s">
        <v>43</v>
      </c>
      <c r="D275" s="461" t="s">
        <v>17425</v>
      </c>
      <c r="E275">
        <v>18</v>
      </c>
      <c r="F275">
        <v>0</v>
      </c>
      <c r="G275">
        <v>1</v>
      </c>
      <c r="H275">
        <v>0</v>
      </c>
      <c r="I275">
        <v>0</v>
      </c>
      <c r="J275">
        <v>0</v>
      </c>
      <c r="K275">
        <v>18</v>
      </c>
    </row>
    <row r="276" spans="1:11" hidden="1" x14ac:dyDescent="0.35">
      <c r="A276" s="461" t="s">
        <v>241</v>
      </c>
      <c r="B276" s="461" t="s">
        <v>235</v>
      </c>
      <c r="C276" s="461" t="s">
        <v>41</v>
      </c>
      <c r="D276" s="461" t="s">
        <v>271</v>
      </c>
      <c r="E276">
        <v>52</v>
      </c>
      <c r="F276">
        <v>0</v>
      </c>
      <c r="G276">
        <v>0</v>
      </c>
      <c r="H276">
        <v>0</v>
      </c>
      <c r="I276">
        <v>0</v>
      </c>
      <c r="J276">
        <v>0</v>
      </c>
      <c r="K276">
        <v>52</v>
      </c>
    </row>
    <row r="277" spans="1:11" hidden="1" x14ac:dyDescent="0.35">
      <c r="A277" s="461" t="s">
        <v>241</v>
      </c>
      <c r="B277" s="461" t="s">
        <v>235</v>
      </c>
      <c r="C277" s="461" t="s">
        <v>58</v>
      </c>
      <c r="D277" s="461" t="s">
        <v>285</v>
      </c>
      <c r="E277">
        <v>124</v>
      </c>
      <c r="F277">
        <v>0</v>
      </c>
      <c r="G277">
        <v>0</v>
      </c>
      <c r="H277">
        <v>75</v>
      </c>
      <c r="I277">
        <v>0</v>
      </c>
      <c r="J277">
        <v>0</v>
      </c>
      <c r="K277">
        <v>49</v>
      </c>
    </row>
    <row r="278" spans="1:11" hidden="1" x14ac:dyDescent="0.35">
      <c r="A278" s="461" t="s">
        <v>241</v>
      </c>
      <c r="B278" s="461" t="s">
        <v>235</v>
      </c>
      <c r="C278" s="461" t="s">
        <v>60</v>
      </c>
      <c r="D278" s="461" t="s">
        <v>292</v>
      </c>
      <c r="E278">
        <v>115</v>
      </c>
      <c r="F278">
        <v>0</v>
      </c>
      <c r="G278">
        <v>0</v>
      </c>
      <c r="H278">
        <v>59</v>
      </c>
      <c r="I278">
        <v>0</v>
      </c>
      <c r="J278">
        <v>0</v>
      </c>
      <c r="K278">
        <v>56</v>
      </c>
    </row>
    <row r="279" spans="1:11" hidden="1" x14ac:dyDescent="0.35">
      <c r="A279" s="461" t="s">
        <v>241</v>
      </c>
      <c r="B279" s="461" t="s">
        <v>236</v>
      </c>
      <c r="C279" s="461" t="s">
        <v>64</v>
      </c>
      <c r="D279" s="461" t="s">
        <v>329</v>
      </c>
      <c r="E279">
        <v>26</v>
      </c>
      <c r="F279">
        <v>0</v>
      </c>
      <c r="G279">
        <v>1</v>
      </c>
      <c r="H279">
        <v>0</v>
      </c>
      <c r="I279">
        <v>0</v>
      </c>
      <c r="J279">
        <v>0</v>
      </c>
      <c r="K279">
        <v>26</v>
      </c>
    </row>
    <row r="280" spans="1:11" hidden="1" x14ac:dyDescent="0.35">
      <c r="A280" s="461" t="s">
        <v>241</v>
      </c>
      <c r="B280" s="461" t="s">
        <v>235</v>
      </c>
      <c r="C280" s="461" t="s">
        <v>31</v>
      </c>
      <c r="D280" s="461" t="s">
        <v>286</v>
      </c>
      <c r="E280">
        <v>163</v>
      </c>
      <c r="F280">
        <v>0</v>
      </c>
      <c r="G280">
        <v>0</v>
      </c>
      <c r="H280">
        <v>9</v>
      </c>
      <c r="I280">
        <v>0</v>
      </c>
      <c r="J280">
        <v>0</v>
      </c>
      <c r="K280">
        <v>154</v>
      </c>
    </row>
    <row r="281" spans="1:11" hidden="1" x14ac:dyDescent="0.35">
      <c r="A281" s="461" t="s">
        <v>241</v>
      </c>
      <c r="B281" s="461" t="s">
        <v>235</v>
      </c>
      <c r="C281" s="461" t="s">
        <v>50</v>
      </c>
      <c r="D281" s="461" t="s">
        <v>295</v>
      </c>
      <c r="E281">
        <v>201</v>
      </c>
      <c r="F281">
        <v>0</v>
      </c>
      <c r="G281">
        <v>0</v>
      </c>
      <c r="H281">
        <v>35</v>
      </c>
      <c r="I281">
        <v>0</v>
      </c>
      <c r="J281">
        <v>0</v>
      </c>
      <c r="K281">
        <v>166</v>
      </c>
    </row>
    <row r="282" spans="1:11" hidden="1" x14ac:dyDescent="0.35">
      <c r="A282" s="461" t="s">
        <v>241</v>
      </c>
      <c r="B282" s="461" t="s">
        <v>236</v>
      </c>
      <c r="C282" s="461" t="s">
        <v>167</v>
      </c>
      <c r="D282" s="461" t="s">
        <v>334</v>
      </c>
      <c r="E282">
        <v>30</v>
      </c>
      <c r="F282">
        <v>0</v>
      </c>
      <c r="G282">
        <v>0</v>
      </c>
      <c r="H282">
        <v>0</v>
      </c>
      <c r="I282">
        <v>0</v>
      </c>
      <c r="J282">
        <v>0</v>
      </c>
      <c r="K282">
        <v>30</v>
      </c>
    </row>
    <row r="283" spans="1:11" hidden="1" x14ac:dyDescent="0.35">
      <c r="A283" s="461" t="s">
        <v>241</v>
      </c>
      <c r="B283" s="461" t="s">
        <v>236</v>
      </c>
      <c r="C283" s="461" t="s">
        <v>50</v>
      </c>
      <c r="D283" s="461" t="s">
        <v>17427</v>
      </c>
      <c r="E283">
        <v>17</v>
      </c>
      <c r="F283">
        <v>0</v>
      </c>
      <c r="G283">
        <v>0</v>
      </c>
      <c r="H283">
        <v>0</v>
      </c>
      <c r="I283">
        <v>0</v>
      </c>
      <c r="J283">
        <v>0</v>
      </c>
      <c r="K283">
        <v>17</v>
      </c>
    </row>
    <row r="284" spans="1:11" hidden="1" x14ac:dyDescent="0.35">
      <c r="A284" s="461" t="s">
        <v>241</v>
      </c>
      <c r="B284" s="461" t="s">
        <v>236</v>
      </c>
      <c r="C284" s="461" t="s">
        <v>17412</v>
      </c>
      <c r="D284" s="461" t="s">
        <v>17428</v>
      </c>
      <c r="E284">
        <v>18</v>
      </c>
      <c r="F284">
        <v>0</v>
      </c>
      <c r="G284">
        <v>1</v>
      </c>
      <c r="H284">
        <v>0</v>
      </c>
      <c r="I284">
        <v>0</v>
      </c>
      <c r="J284">
        <v>0</v>
      </c>
      <c r="K284">
        <v>18</v>
      </c>
    </row>
    <row r="285" spans="1:11" hidden="1" x14ac:dyDescent="0.35">
      <c r="A285" s="461" t="s">
        <v>241</v>
      </c>
      <c r="B285" s="461" t="s">
        <v>235</v>
      </c>
      <c r="C285" s="461" t="s">
        <v>33</v>
      </c>
      <c r="D285" s="461" t="s">
        <v>293</v>
      </c>
      <c r="E285">
        <v>126</v>
      </c>
      <c r="F285">
        <v>0</v>
      </c>
      <c r="G285">
        <v>0</v>
      </c>
      <c r="H285">
        <v>98</v>
      </c>
      <c r="I285">
        <v>0</v>
      </c>
      <c r="J285">
        <v>0</v>
      </c>
      <c r="K285">
        <v>28</v>
      </c>
    </row>
    <row r="286" spans="1:11" hidden="1" x14ac:dyDescent="0.35">
      <c r="A286" s="461" t="s">
        <v>241</v>
      </c>
      <c r="B286" s="461" t="s">
        <v>235</v>
      </c>
      <c r="C286" s="461" t="s">
        <v>245</v>
      </c>
      <c r="D286" s="461" t="s">
        <v>289</v>
      </c>
      <c r="E286">
        <v>306</v>
      </c>
      <c r="F286">
        <v>0</v>
      </c>
      <c r="G286">
        <v>0</v>
      </c>
      <c r="H286">
        <v>9</v>
      </c>
      <c r="I286">
        <v>0</v>
      </c>
      <c r="J286">
        <v>0</v>
      </c>
      <c r="K286">
        <v>297</v>
      </c>
    </row>
    <row r="287" spans="1:11" hidden="1" x14ac:dyDescent="0.35">
      <c r="A287" s="461" t="s">
        <v>241</v>
      </c>
      <c r="B287" s="461" t="s">
        <v>236</v>
      </c>
      <c r="C287" s="461" t="s">
        <v>67</v>
      </c>
      <c r="D287" s="461" t="s">
        <v>332</v>
      </c>
      <c r="E287">
        <v>25</v>
      </c>
      <c r="F287">
        <v>0</v>
      </c>
      <c r="G287">
        <v>2</v>
      </c>
      <c r="H287">
        <v>0</v>
      </c>
      <c r="I287">
        <v>0</v>
      </c>
      <c r="J287">
        <v>0</v>
      </c>
      <c r="K287">
        <v>25</v>
      </c>
    </row>
    <row r="288" spans="1:11" hidden="1" x14ac:dyDescent="0.35">
      <c r="A288" s="461" t="s">
        <v>241</v>
      </c>
      <c r="B288" s="461" t="s">
        <v>235</v>
      </c>
      <c r="C288" s="461" t="s">
        <v>38</v>
      </c>
      <c r="D288" s="461" t="s">
        <v>269</v>
      </c>
      <c r="E288">
        <v>124</v>
      </c>
      <c r="F288">
        <v>0</v>
      </c>
      <c r="G288">
        <v>0</v>
      </c>
      <c r="H288">
        <v>77</v>
      </c>
      <c r="I288">
        <v>0</v>
      </c>
      <c r="J288">
        <v>0</v>
      </c>
      <c r="K288">
        <v>47</v>
      </c>
    </row>
    <row r="289" spans="1:11" hidden="1" x14ac:dyDescent="0.35">
      <c r="A289" s="461" t="s">
        <v>241</v>
      </c>
      <c r="B289" s="461" t="s">
        <v>235</v>
      </c>
      <c r="C289" s="461" t="s">
        <v>114</v>
      </c>
      <c r="D289" s="461" t="s">
        <v>297</v>
      </c>
      <c r="E289">
        <v>515</v>
      </c>
      <c r="F289">
        <v>0</v>
      </c>
      <c r="G289">
        <v>0</v>
      </c>
      <c r="H289">
        <v>0</v>
      </c>
      <c r="I289">
        <v>0</v>
      </c>
      <c r="J289">
        <v>0</v>
      </c>
      <c r="K289">
        <v>515</v>
      </c>
    </row>
    <row r="290" spans="1:11" hidden="1" x14ac:dyDescent="0.35">
      <c r="A290" s="461" t="s">
        <v>241</v>
      </c>
      <c r="B290" s="461" t="s">
        <v>235</v>
      </c>
      <c r="C290" s="461" t="s">
        <v>52</v>
      </c>
      <c r="D290" s="461" t="s">
        <v>280</v>
      </c>
      <c r="E290">
        <v>222</v>
      </c>
      <c r="F290">
        <v>0</v>
      </c>
      <c r="G290">
        <v>0</v>
      </c>
      <c r="H290">
        <v>131</v>
      </c>
      <c r="I290">
        <v>0</v>
      </c>
      <c r="J290">
        <v>22</v>
      </c>
      <c r="K290">
        <v>69</v>
      </c>
    </row>
    <row r="291" spans="1:11" hidden="1" x14ac:dyDescent="0.35">
      <c r="A291" s="461" t="s">
        <v>241</v>
      </c>
      <c r="B291" s="461" t="s">
        <v>235</v>
      </c>
      <c r="C291" s="461" t="s">
        <v>56</v>
      </c>
      <c r="D291" s="461" t="s">
        <v>283</v>
      </c>
      <c r="E291">
        <v>108</v>
      </c>
      <c r="F291">
        <v>0</v>
      </c>
      <c r="G291">
        <v>0</v>
      </c>
      <c r="H291">
        <v>58</v>
      </c>
      <c r="I291">
        <v>0</v>
      </c>
      <c r="J291">
        <v>0</v>
      </c>
      <c r="K291">
        <v>50</v>
      </c>
    </row>
    <row r="292" spans="1:11" hidden="1" x14ac:dyDescent="0.35">
      <c r="A292" s="461" t="s">
        <v>241</v>
      </c>
      <c r="B292" s="461" t="s">
        <v>235</v>
      </c>
      <c r="C292" s="461" t="s">
        <v>59</v>
      </c>
      <c r="D292" s="461" t="s">
        <v>291</v>
      </c>
      <c r="E292">
        <v>93</v>
      </c>
      <c r="F292">
        <v>0</v>
      </c>
      <c r="G292">
        <v>0</v>
      </c>
      <c r="H292">
        <v>20</v>
      </c>
      <c r="I292">
        <v>0</v>
      </c>
      <c r="J292">
        <v>0</v>
      </c>
      <c r="K292">
        <v>73</v>
      </c>
    </row>
    <row r="293" spans="1:11" hidden="1" x14ac:dyDescent="0.35">
      <c r="A293" s="461" t="s">
        <v>241</v>
      </c>
      <c r="B293" s="461" t="s">
        <v>236</v>
      </c>
      <c r="C293" s="461" t="s">
        <v>66</v>
      </c>
      <c r="D293" s="461" t="s">
        <v>331</v>
      </c>
      <c r="E293">
        <v>25</v>
      </c>
      <c r="F293">
        <v>0</v>
      </c>
      <c r="G293">
        <v>1</v>
      </c>
      <c r="H293">
        <v>0</v>
      </c>
      <c r="I293">
        <v>0</v>
      </c>
      <c r="J293">
        <v>0</v>
      </c>
      <c r="K293">
        <v>25</v>
      </c>
    </row>
    <row r="294" spans="1:11" hidden="1" x14ac:dyDescent="0.35">
      <c r="A294" s="461" t="s">
        <v>241</v>
      </c>
      <c r="B294" s="461" t="s">
        <v>236</v>
      </c>
      <c r="C294" s="461" t="s">
        <v>71</v>
      </c>
      <c r="D294" s="461" t="s">
        <v>338</v>
      </c>
      <c r="E294">
        <v>16</v>
      </c>
      <c r="F294">
        <v>0</v>
      </c>
      <c r="G294">
        <v>3</v>
      </c>
      <c r="H294">
        <v>0</v>
      </c>
      <c r="I294">
        <v>0</v>
      </c>
      <c r="J294">
        <v>0</v>
      </c>
      <c r="K294">
        <v>16</v>
      </c>
    </row>
    <row r="295" spans="1:11" hidden="1" x14ac:dyDescent="0.35">
      <c r="A295" s="461" t="s">
        <v>241</v>
      </c>
      <c r="B295" s="461" t="s">
        <v>235</v>
      </c>
      <c r="C295" s="461" t="s">
        <v>34</v>
      </c>
      <c r="D295" s="461" t="s">
        <v>288</v>
      </c>
      <c r="E295">
        <v>433</v>
      </c>
      <c r="F295">
        <v>0</v>
      </c>
      <c r="G295">
        <v>0</v>
      </c>
      <c r="H295">
        <v>176</v>
      </c>
      <c r="I295">
        <v>0</v>
      </c>
      <c r="J295">
        <v>203</v>
      </c>
      <c r="K295">
        <v>54</v>
      </c>
    </row>
    <row r="296" spans="1:11" hidden="1" x14ac:dyDescent="0.35">
      <c r="A296" s="461" t="s">
        <v>241</v>
      </c>
      <c r="B296" s="461" t="s">
        <v>235</v>
      </c>
      <c r="C296" s="461" t="s">
        <v>35</v>
      </c>
      <c r="D296" s="461" t="s">
        <v>267</v>
      </c>
      <c r="E296">
        <v>45</v>
      </c>
      <c r="F296">
        <v>0</v>
      </c>
      <c r="G296">
        <v>0</v>
      </c>
      <c r="H296">
        <v>20</v>
      </c>
      <c r="I296">
        <v>0</v>
      </c>
      <c r="J296">
        <v>0</v>
      </c>
      <c r="K296">
        <v>25</v>
      </c>
    </row>
    <row r="297" spans="1:11" hidden="1" x14ac:dyDescent="0.35">
      <c r="A297" s="461" t="s">
        <v>241</v>
      </c>
      <c r="B297" s="461" t="s">
        <v>235</v>
      </c>
      <c r="C297" s="461" t="s">
        <v>37</v>
      </c>
      <c r="D297" s="461" t="s">
        <v>294</v>
      </c>
      <c r="E297">
        <v>189</v>
      </c>
      <c r="F297">
        <v>0</v>
      </c>
      <c r="G297">
        <v>0</v>
      </c>
      <c r="H297">
        <v>12</v>
      </c>
      <c r="I297">
        <v>0</v>
      </c>
      <c r="J297">
        <v>0</v>
      </c>
      <c r="K297">
        <v>177</v>
      </c>
    </row>
    <row r="298" spans="1:11" hidden="1" x14ac:dyDescent="0.35">
      <c r="A298" s="461" t="s">
        <v>241</v>
      </c>
      <c r="B298" s="461" t="s">
        <v>235</v>
      </c>
      <c r="C298" s="461" t="s">
        <v>43</v>
      </c>
      <c r="D298" s="461" t="s">
        <v>298</v>
      </c>
      <c r="E298">
        <v>390</v>
      </c>
      <c r="F298">
        <v>0</v>
      </c>
      <c r="G298">
        <v>0</v>
      </c>
      <c r="H298">
        <v>116</v>
      </c>
      <c r="I298">
        <v>0</v>
      </c>
      <c r="J298">
        <v>0</v>
      </c>
      <c r="K298">
        <v>274</v>
      </c>
    </row>
    <row r="299" spans="1:11" hidden="1" x14ac:dyDescent="0.35">
      <c r="A299" s="461" t="s">
        <v>241</v>
      </c>
      <c r="B299" s="461" t="s">
        <v>235</v>
      </c>
      <c r="C299" s="461" t="s">
        <v>46</v>
      </c>
      <c r="D299" s="461" t="s">
        <v>276</v>
      </c>
      <c r="E299">
        <v>39</v>
      </c>
      <c r="F299">
        <v>0</v>
      </c>
      <c r="G299">
        <v>0</v>
      </c>
      <c r="H299">
        <v>13</v>
      </c>
      <c r="I299">
        <v>0</v>
      </c>
      <c r="J299">
        <v>0</v>
      </c>
      <c r="K299">
        <v>26</v>
      </c>
    </row>
    <row r="300" spans="1:11" hidden="1" x14ac:dyDescent="0.35">
      <c r="A300" s="461" t="s">
        <v>241</v>
      </c>
      <c r="B300" s="461" t="s">
        <v>236</v>
      </c>
      <c r="C300" s="461" t="s">
        <v>31</v>
      </c>
      <c r="D300" s="461" t="s">
        <v>326</v>
      </c>
      <c r="E300">
        <v>16</v>
      </c>
      <c r="F300">
        <v>0</v>
      </c>
      <c r="G300">
        <v>0</v>
      </c>
      <c r="H300">
        <v>0</v>
      </c>
      <c r="I300">
        <v>0</v>
      </c>
      <c r="J300">
        <v>0</v>
      </c>
      <c r="K300">
        <v>16</v>
      </c>
    </row>
    <row r="301" spans="1:11" hidden="1" x14ac:dyDescent="0.35">
      <c r="A301" s="461" t="s">
        <v>241</v>
      </c>
      <c r="B301" s="461" t="s">
        <v>236</v>
      </c>
      <c r="C301" s="461" t="s">
        <v>65</v>
      </c>
      <c r="D301" s="461" t="s">
        <v>328</v>
      </c>
      <c r="E301">
        <v>29</v>
      </c>
      <c r="F301">
        <v>0</v>
      </c>
      <c r="G301">
        <v>1</v>
      </c>
      <c r="H301">
        <v>0</v>
      </c>
      <c r="I301">
        <v>0</v>
      </c>
      <c r="J301">
        <v>0</v>
      </c>
      <c r="K301">
        <v>29</v>
      </c>
    </row>
    <row r="302" spans="1:11" hidden="1" x14ac:dyDescent="0.35">
      <c r="A302" s="461" t="s">
        <v>241</v>
      </c>
      <c r="B302" s="461" t="s">
        <v>238</v>
      </c>
      <c r="C302" s="461" t="s">
        <v>246</v>
      </c>
      <c r="D302" s="461" t="s">
        <v>339</v>
      </c>
      <c r="E302">
        <v>1148</v>
      </c>
      <c r="F302">
        <v>207</v>
      </c>
      <c r="G302">
        <v>0</v>
      </c>
      <c r="H302">
        <v>0</v>
      </c>
      <c r="I302">
        <v>792</v>
      </c>
      <c r="J302">
        <v>0</v>
      </c>
      <c r="K302">
        <v>149</v>
      </c>
    </row>
    <row r="303" spans="1:11" hidden="1" x14ac:dyDescent="0.35">
      <c r="A303" s="461" t="s">
        <v>241</v>
      </c>
      <c r="B303" s="461" t="s">
        <v>235</v>
      </c>
      <c r="C303" s="461" t="s">
        <v>32</v>
      </c>
      <c r="D303" s="461" t="s">
        <v>287</v>
      </c>
      <c r="E303">
        <v>314</v>
      </c>
      <c r="F303">
        <v>0</v>
      </c>
      <c r="G303">
        <v>0</v>
      </c>
      <c r="H303">
        <v>284</v>
      </c>
      <c r="I303">
        <v>0</v>
      </c>
      <c r="J303">
        <v>0</v>
      </c>
      <c r="K303">
        <v>30</v>
      </c>
    </row>
    <row r="304" spans="1:11" hidden="1" x14ac:dyDescent="0.35">
      <c r="A304" s="461" t="s">
        <v>241</v>
      </c>
      <c r="B304" s="461" t="s">
        <v>235</v>
      </c>
      <c r="C304" s="461" t="s">
        <v>39</v>
      </c>
      <c r="D304" s="461" t="s">
        <v>296</v>
      </c>
      <c r="E304">
        <v>78</v>
      </c>
      <c r="F304">
        <v>0</v>
      </c>
      <c r="G304">
        <v>0</v>
      </c>
      <c r="H304">
        <v>0</v>
      </c>
      <c r="I304">
        <v>0</v>
      </c>
      <c r="J304">
        <v>0</v>
      </c>
      <c r="K304">
        <v>78</v>
      </c>
    </row>
    <row r="305" spans="1:11" hidden="1" x14ac:dyDescent="0.35">
      <c r="A305" s="461" t="s">
        <v>241</v>
      </c>
      <c r="B305" s="461" t="s">
        <v>235</v>
      </c>
      <c r="C305" s="461" t="s">
        <v>40</v>
      </c>
      <c r="D305" s="461" t="s">
        <v>270</v>
      </c>
      <c r="E305">
        <v>86</v>
      </c>
      <c r="F305">
        <v>0</v>
      </c>
      <c r="G305">
        <v>0</v>
      </c>
      <c r="H305">
        <v>62</v>
      </c>
      <c r="I305">
        <v>0</v>
      </c>
      <c r="J305">
        <v>0</v>
      </c>
      <c r="K305">
        <v>24</v>
      </c>
    </row>
    <row r="306" spans="1:11" hidden="1" x14ac:dyDescent="0.35">
      <c r="A306" s="461" t="s">
        <v>241</v>
      </c>
      <c r="B306" s="461" t="s">
        <v>235</v>
      </c>
      <c r="C306" s="461" t="s">
        <v>51</v>
      </c>
      <c r="D306" s="461" t="s">
        <v>279</v>
      </c>
      <c r="E306">
        <v>109</v>
      </c>
      <c r="F306">
        <v>0</v>
      </c>
      <c r="G306">
        <v>0</v>
      </c>
      <c r="H306">
        <v>109</v>
      </c>
      <c r="I306">
        <v>0</v>
      </c>
      <c r="J306">
        <v>0</v>
      </c>
      <c r="K306">
        <v>0</v>
      </c>
    </row>
    <row r="307" spans="1:11" hidden="1" x14ac:dyDescent="0.35">
      <c r="A307" s="461" t="s">
        <v>241</v>
      </c>
      <c r="B307" s="461" t="s">
        <v>235</v>
      </c>
      <c r="C307" s="461" t="s">
        <v>55</v>
      </c>
      <c r="D307" s="461" t="s">
        <v>282</v>
      </c>
      <c r="E307">
        <v>127</v>
      </c>
      <c r="F307">
        <v>0</v>
      </c>
      <c r="G307">
        <v>0</v>
      </c>
      <c r="H307">
        <v>127</v>
      </c>
      <c r="I307">
        <v>0</v>
      </c>
      <c r="J307">
        <v>0</v>
      </c>
      <c r="K307">
        <v>0</v>
      </c>
    </row>
    <row r="308" spans="1:11" hidden="1" x14ac:dyDescent="0.35">
      <c r="A308" s="461" t="s">
        <v>241</v>
      </c>
      <c r="B308" s="461" t="s">
        <v>236</v>
      </c>
      <c r="C308" s="461" t="s">
        <v>68</v>
      </c>
      <c r="D308" s="461" t="s">
        <v>333</v>
      </c>
      <c r="E308">
        <v>14</v>
      </c>
      <c r="F308">
        <v>0</v>
      </c>
      <c r="G308">
        <v>0</v>
      </c>
      <c r="H308">
        <v>0</v>
      </c>
      <c r="I308">
        <v>0</v>
      </c>
      <c r="J308">
        <v>0</v>
      </c>
      <c r="K308">
        <v>14</v>
      </c>
    </row>
    <row r="309" spans="1:11" hidden="1" x14ac:dyDescent="0.35">
      <c r="A309" s="461" t="s">
        <v>241</v>
      </c>
      <c r="B309" s="461" t="s">
        <v>236</v>
      </c>
      <c r="C309" s="461" t="s">
        <v>114</v>
      </c>
      <c r="D309" s="461" t="s">
        <v>17426</v>
      </c>
      <c r="E309">
        <v>25</v>
      </c>
      <c r="F309">
        <v>0</v>
      </c>
      <c r="G309">
        <v>0</v>
      </c>
      <c r="H309">
        <v>0</v>
      </c>
      <c r="I309">
        <v>0</v>
      </c>
      <c r="J309">
        <v>0</v>
      </c>
      <c r="K309">
        <v>25</v>
      </c>
    </row>
    <row r="310" spans="1:11" hidden="1" x14ac:dyDescent="0.35">
      <c r="A310" s="461" t="s">
        <v>241</v>
      </c>
      <c r="B310" s="461" t="s">
        <v>237</v>
      </c>
      <c r="C310" s="461" t="s">
        <v>166</v>
      </c>
      <c r="D310" s="461" t="s">
        <v>353</v>
      </c>
      <c r="E310">
        <v>37</v>
      </c>
      <c r="F310">
        <v>0</v>
      </c>
      <c r="G310">
        <v>0</v>
      </c>
      <c r="H310">
        <v>0</v>
      </c>
      <c r="I310">
        <v>0</v>
      </c>
      <c r="J310">
        <v>0</v>
      </c>
      <c r="K310">
        <v>37</v>
      </c>
    </row>
    <row r="311" spans="1:11" hidden="1" x14ac:dyDescent="0.35">
      <c r="A311" s="461" t="s">
        <v>241</v>
      </c>
      <c r="B311" s="461" t="s">
        <v>237</v>
      </c>
      <c r="C311" s="461" t="s">
        <v>164</v>
      </c>
      <c r="D311" s="461" t="s">
        <v>355</v>
      </c>
      <c r="E311">
        <v>30</v>
      </c>
      <c r="F311">
        <v>0</v>
      </c>
      <c r="G311">
        <v>0</v>
      </c>
      <c r="H311">
        <v>0</v>
      </c>
      <c r="I311">
        <v>0</v>
      </c>
      <c r="J311">
        <v>0</v>
      </c>
      <c r="K311">
        <v>30</v>
      </c>
    </row>
    <row r="312" spans="1:11" hidden="1" x14ac:dyDescent="0.35">
      <c r="A312" s="461" t="s">
        <v>241</v>
      </c>
      <c r="B312" s="461" t="s">
        <v>237</v>
      </c>
      <c r="C312" s="461" t="s">
        <v>165</v>
      </c>
      <c r="D312" s="461" t="s">
        <v>354</v>
      </c>
      <c r="E312">
        <v>79</v>
      </c>
      <c r="F312">
        <v>0</v>
      </c>
      <c r="G312">
        <v>0</v>
      </c>
      <c r="H312">
        <v>0</v>
      </c>
      <c r="I312">
        <v>0</v>
      </c>
      <c r="J312">
        <v>0</v>
      </c>
      <c r="K312">
        <v>79</v>
      </c>
    </row>
    <row r="313" spans="1:11" hidden="1" x14ac:dyDescent="0.35">
      <c r="A313" s="461" t="s">
        <v>241</v>
      </c>
      <c r="B313" s="461" t="s">
        <v>235</v>
      </c>
      <c r="C313" s="461" t="s">
        <v>42</v>
      </c>
      <c r="D313" s="461" t="s">
        <v>273</v>
      </c>
      <c r="E313">
        <v>143</v>
      </c>
      <c r="F313">
        <v>0</v>
      </c>
      <c r="G313">
        <v>0</v>
      </c>
      <c r="H313">
        <v>55</v>
      </c>
      <c r="I313">
        <v>0</v>
      </c>
      <c r="J313">
        <v>0</v>
      </c>
      <c r="K313">
        <v>88</v>
      </c>
    </row>
    <row r="314" spans="1:11" hidden="1" x14ac:dyDescent="0.35">
      <c r="A314" s="461" t="s">
        <v>241</v>
      </c>
      <c r="B314" s="461" t="s">
        <v>235</v>
      </c>
      <c r="C314" s="461" t="s">
        <v>44</v>
      </c>
      <c r="D314" s="461" t="s">
        <v>274</v>
      </c>
      <c r="E314">
        <v>684</v>
      </c>
      <c r="F314">
        <v>0</v>
      </c>
      <c r="G314">
        <v>0</v>
      </c>
      <c r="H314">
        <v>552</v>
      </c>
      <c r="I314">
        <v>0</v>
      </c>
      <c r="J314">
        <v>62</v>
      </c>
      <c r="K314">
        <v>70</v>
      </c>
    </row>
    <row r="315" spans="1:11" hidden="1" x14ac:dyDescent="0.35">
      <c r="A315" s="461" t="s">
        <v>241</v>
      </c>
      <c r="B315" s="461" t="s">
        <v>235</v>
      </c>
      <c r="C315" s="461" t="s">
        <v>48</v>
      </c>
      <c r="D315" s="461" t="s">
        <v>272</v>
      </c>
      <c r="E315">
        <v>132</v>
      </c>
      <c r="F315">
        <v>0</v>
      </c>
      <c r="G315">
        <v>0</v>
      </c>
      <c r="H315">
        <v>132</v>
      </c>
      <c r="I315">
        <v>0</v>
      </c>
      <c r="J315">
        <v>0</v>
      </c>
      <c r="K315">
        <v>0</v>
      </c>
    </row>
    <row r="316" spans="1:11" hidden="1" x14ac:dyDescent="0.35">
      <c r="A316" s="461" t="s">
        <v>241</v>
      </c>
      <c r="B316" s="461" t="s">
        <v>235</v>
      </c>
      <c r="C316" s="461" t="s">
        <v>57</v>
      </c>
      <c r="D316" s="461" t="s">
        <v>284</v>
      </c>
      <c r="E316">
        <v>246</v>
      </c>
      <c r="F316">
        <v>0</v>
      </c>
      <c r="G316">
        <v>0</v>
      </c>
      <c r="H316">
        <v>77</v>
      </c>
      <c r="I316">
        <v>0</v>
      </c>
      <c r="J316">
        <v>2</v>
      </c>
      <c r="K316">
        <v>167</v>
      </c>
    </row>
    <row r="317" spans="1:11" hidden="1" x14ac:dyDescent="0.35">
      <c r="A317" s="461" t="s">
        <v>241</v>
      </c>
      <c r="B317" s="461" t="s">
        <v>236</v>
      </c>
      <c r="C317" s="461" t="s">
        <v>63</v>
      </c>
      <c r="D317" s="461" t="s">
        <v>327</v>
      </c>
      <c r="E317">
        <v>25</v>
      </c>
      <c r="F317">
        <v>0</v>
      </c>
      <c r="G317">
        <v>2</v>
      </c>
      <c r="H317">
        <v>0</v>
      </c>
      <c r="I317">
        <v>0</v>
      </c>
      <c r="J317">
        <v>0</v>
      </c>
      <c r="K317">
        <v>25</v>
      </c>
    </row>
    <row r="318" spans="1:11" hidden="1" x14ac:dyDescent="0.35">
      <c r="A318" s="461" t="s">
        <v>241</v>
      </c>
      <c r="B318" s="461" t="s">
        <v>236</v>
      </c>
      <c r="C318" s="461" t="s">
        <v>70</v>
      </c>
      <c r="D318" s="461" t="s">
        <v>336</v>
      </c>
      <c r="E318">
        <v>45</v>
      </c>
      <c r="F318">
        <v>0</v>
      </c>
      <c r="G318">
        <v>4</v>
      </c>
      <c r="H318">
        <v>0</v>
      </c>
      <c r="I318">
        <v>0</v>
      </c>
      <c r="J318">
        <v>0</v>
      </c>
      <c r="K318">
        <v>45</v>
      </c>
    </row>
    <row r="319" spans="1:11" hidden="1" x14ac:dyDescent="0.35">
      <c r="A319" s="461" t="s">
        <v>241</v>
      </c>
      <c r="B319" s="461" t="s">
        <v>236</v>
      </c>
      <c r="C319" s="461" t="s">
        <v>57</v>
      </c>
      <c r="D319" s="461" t="s">
        <v>337</v>
      </c>
      <c r="E319">
        <v>16</v>
      </c>
      <c r="F319">
        <v>0</v>
      </c>
      <c r="G319">
        <v>1</v>
      </c>
      <c r="H319">
        <v>0</v>
      </c>
      <c r="I319">
        <v>0</v>
      </c>
      <c r="J319">
        <v>0</v>
      </c>
      <c r="K319">
        <v>16</v>
      </c>
    </row>
    <row r="320" spans="1:11" hidden="1" x14ac:dyDescent="0.35">
      <c r="A320" s="461" t="s">
        <v>773</v>
      </c>
      <c r="B320" s="461" t="s">
        <v>235</v>
      </c>
      <c r="C320" s="461" t="s">
        <v>114</v>
      </c>
      <c r="D320" s="461" t="s">
        <v>354</v>
      </c>
      <c r="E320">
        <v>517</v>
      </c>
      <c r="F320">
        <v>0</v>
      </c>
      <c r="G320">
        <v>0</v>
      </c>
      <c r="H320">
        <v>0</v>
      </c>
      <c r="I320">
        <v>0</v>
      </c>
      <c r="J320">
        <v>0</v>
      </c>
      <c r="K320">
        <v>517</v>
      </c>
    </row>
    <row r="321" spans="1:11" hidden="1" x14ac:dyDescent="0.35">
      <c r="A321" s="461" t="s">
        <v>773</v>
      </c>
      <c r="B321" s="461" t="s">
        <v>235</v>
      </c>
      <c r="C321" s="461" t="s">
        <v>51</v>
      </c>
      <c r="D321" s="461" t="s">
        <v>355</v>
      </c>
      <c r="E321">
        <v>109</v>
      </c>
      <c r="F321">
        <v>0</v>
      </c>
      <c r="G321">
        <v>0</v>
      </c>
      <c r="H321">
        <v>109</v>
      </c>
      <c r="I321">
        <v>0</v>
      </c>
      <c r="J321">
        <v>0</v>
      </c>
      <c r="K321">
        <v>0</v>
      </c>
    </row>
    <row r="322" spans="1:11" hidden="1" x14ac:dyDescent="0.35">
      <c r="A322" s="461" t="s">
        <v>773</v>
      </c>
      <c r="B322" s="461" t="s">
        <v>236</v>
      </c>
      <c r="C322" s="461" t="s">
        <v>71</v>
      </c>
      <c r="D322" s="461" t="s">
        <v>355</v>
      </c>
      <c r="E322">
        <v>14</v>
      </c>
      <c r="F322">
        <v>0</v>
      </c>
      <c r="G322">
        <v>5</v>
      </c>
      <c r="H322">
        <v>0</v>
      </c>
      <c r="I322">
        <v>0</v>
      </c>
      <c r="J322">
        <v>0</v>
      </c>
      <c r="K322">
        <v>14</v>
      </c>
    </row>
    <row r="323" spans="1:11" hidden="1" x14ac:dyDescent="0.35">
      <c r="A323" s="461" t="s">
        <v>773</v>
      </c>
      <c r="B323" s="461" t="s">
        <v>237</v>
      </c>
      <c r="C323" s="461" t="s">
        <v>166</v>
      </c>
      <c r="D323" s="461" t="s">
        <v>353</v>
      </c>
      <c r="E323">
        <v>52</v>
      </c>
      <c r="F323">
        <v>0</v>
      </c>
      <c r="G323">
        <v>0</v>
      </c>
      <c r="H323">
        <v>0</v>
      </c>
      <c r="I323">
        <v>0</v>
      </c>
      <c r="J323">
        <v>0</v>
      </c>
      <c r="K323">
        <v>52</v>
      </c>
    </row>
    <row r="324" spans="1:11" hidden="1" x14ac:dyDescent="0.35">
      <c r="A324" s="461" t="s">
        <v>773</v>
      </c>
      <c r="B324" s="461" t="s">
        <v>236</v>
      </c>
      <c r="C324" s="461" t="s">
        <v>31</v>
      </c>
      <c r="D324" s="461" t="s">
        <v>355</v>
      </c>
      <c r="E324">
        <v>13</v>
      </c>
      <c r="F324">
        <v>0</v>
      </c>
      <c r="G324">
        <v>0</v>
      </c>
      <c r="H324">
        <v>0</v>
      </c>
      <c r="I324">
        <v>0</v>
      </c>
      <c r="J324">
        <v>0</v>
      </c>
      <c r="K324">
        <v>13</v>
      </c>
    </row>
    <row r="325" spans="1:11" hidden="1" x14ac:dyDescent="0.35">
      <c r="A325" s="461" t="s">
        <v>773</v>
      </c>
      <c r="B325" s="461" t="s">
        <v>236</v>
      </c>
      <c r="C325" s="461" t="s">
        <v>50</v>
      </c>
      <c r="D325" s="461" t="s">
        <v>354</v>
      </c>
      <c r="E325">
        <v>16</v>
      </c>
      <c r="F325">
        <v>0</v>
      </c>
      <c r="G325">
        <v>0</v>
      </c>
      <c r="H325">
        <v>0</v>
      </c>
      <c r="I325">
        <v>0</v>
      </c>
      <c r="J325">
        <v>0</v>
      </c>
      <c r="K325">
        <v>16</v>
      </c>
    </row>
    <row r="326" spans="1:11" hidden="1" x14ac:dyDescent="0.35">
      <c r="A326" s="461" t="s">
        <v>773</v>
      </c>
      <c r="B326" s="461" t="s">
        <v>236</v>
      </c>
      <c r="C326" s="461" t="s">
        <v>775</v>
      </c>
      <c r="D326" s="461"/>
      <c r="E326">
        <v>38</v>
      </c>
      <c r="F326">
        <v>0</v>
      </c>
      <c r="G326">
        <v>4</v>
      </c>
      <c r="H326">
        <v>0</v>
      </c>
      <c r="I326">
        <v>0</v>
      </c>
      <c r="J326">
        <v>0</v>
      </c>
      <c r="K326">
        <v>38</v>
      </c>
    </row>
    <row r="327" spans="1:11" hidden="1" x14ac:dyDescent="0.35">
      <c r="A327" s="461" t="s">
        <v>773</v>
      </c>
      <c r="B327" s="461" t="s">
        <v>235</v>
      </c>
      <c r="C327" s="461" t="s">
        <v>49</v>
      </c>
      <c r="D327" s="461" t="s">
        <v>354</v>
      </c>
      <c r="E327">
        <v>201</v>
      </c>
      <c r="F327">
        <v>0</v>
      </c>
      <c r="G327">
        <v>0</v>
      </c>
      <c r="H327">
        <v>104</v>
      </c>
      <c r="I327">
        <v>0</v>
      </c>
      <c r="J327">
        <v>22</v>
      </c>
      <c r="K327">
        <v>75</v>
      </c>
    </row>
    <row r="328" spans="1:11" hidden="1" x14ac:dyDescent="0.35">
      <c r="A328" s="461" t="s">
        <v>773</v>
      </c>
      <c r="B328" s="461" t="s">
        <v>235</v>
      </c>
      <c r="C328" s="461" t="s">
        <v>52</v>
      </c>
      <c r="D328" s="461" t="s">
        <v>355</v>
      </c>
      <c r="E328">
        <v>219</v>
      </c>
      <c r="F328">
        <v>0</v>
      </c>
      <c r="G328">
        <v>0</v>
      </c>
      <c r="H328">
        <v>131</v>
      </c>
      <c r="I328">
        <v>0</v>
      </c>
      <c r="J328">
        <v>21</v>
      </c>
      <c r="K328">
        <v>67</v>
      </c>
    </row>
    <row r="329" spans="1:11" hidden="1" x14ac:dyDescent="0.35">
      <c r="A329" s="461" t="s">
        <v>773</v>
      </c>
      <c r="B329" s="461" t="s">
        <v>235</v>
      </c>
      <c r="C329" s="461" t="s">
        <v>56</v>
      </c>
      <c r="D329" s="461" t="s">
        <v>354</v>
      </c>
      <c r="E329">
        <v>105</v>
      </c>
      <c r="F329">
        <v>0</v>
      </c>
      <c r="G329">
        <v>0</v>
      </c>
      <c r="H329">
        <v>55</v>
      </c>
      <c r="I329">
        <v>0</v>
      </c>
      <c r="J329">
        <v>0</v>
      </c>
      <c r="K329">
        <v>50</v>
      </c>
    </row>
    <row r="330" spans="1:11" hidden="1" x14ac:dyDescent="0.35">
      <c r="A330" s="461" t="s">
        <v>773</v>
      </c>
      <c r="B330" s="461" t="s">
        <v>236</v>
      </c>
      <c r="C330" s="461" t="s">
        <v>64</v>
      </c>
      <c r="D330" s="461" t="s">
        <v>354</v>
      </c>
      <c r="E330">
        <v>28</v>
      </c>
      <c r="F330">
        <v>0</v>
      </c>
      <c r="G330">
        <v>3</v>
      </c>
      <c r="H330">
        <v>0</v>
      </c>
      <c r="I330">
        <v>0</v>
      </c>
      <c r="J330">
        <v>0</v>
      </c>
      <c r="K330">
        <v>28</v>
      </c>
    </row>
    <row r="331" spans="1:11" hidden="1" x14ac:dyDescent="0.35">
      <c r="A331" s="461" t="s">
        <v>773</v>
      </c>
      <c r="B331" s="461" t="s">
        <v>236</v>
      </c>
      <c r="C331" s="461" t="s">
        <v>70</v>
      </c>
      <c r="D331" s="461" t="s">
        <v>355</v>
      </c>
      <c r="E331">
        <v>38</v>
      </c>
      <c r="F331">
        <v>0</v>
      </c>
      <c r="G331">
        <v>7</v>
      </c>
      <c r="H331">
        <v>0</v>
      </c>
      <c r="I331">
        <v>0</v>
      </c>
      <c r="J331">
        <v>0</v>
      </c>
      <c r="K331">
        <v>38</v>
      </c>
    </row>
    <row r="332" spans="1:11" hidden="1" x14ac:dyDescent="0.35">
      <c r="A332" s="461" t="s">
        <v>773</v>
      </c>
      <c r="B332" s="461" t="s">
        <v>238</v>
      </c>
      <c r="C332" s="461" t="s">
        <v>246</v>
      </c>
      <c r="D332" s="461" t="s">
        <v>339</v>
      </c>
      <c r="E332">
        <v>1095</v>
      </c>
      <c r="F332">
        <v>188</v>
      </c>
      <c r="G332">
        <v>0</v>
      </c>
      <c r="H332">
        <v>0</v>
      </c>
      <c r="I332">
        <v>817</v>
      </c>
      <c r="J332">
        <v>0</v>
      </c>
      <c r="K332">
        <v>90</v>
      </c>
    </row>
    <row r="333" spans="1:11" hidden="1" x14ac:dyDescent="0.35">
      <c r="A333" s="461" t="s">
        <v>773</v>
      </c>
      <c r="B333" s="461" t="s">
        <v>235</v>
      </c>
      <c r="C333" s="461" t="s">
        <v>31</v>
      </c>
      <c r="D333" s="461" t="s">
        <v>355</v>
      </c>
      <c r="E333">
        <v>163</v>
      </c>
      <c r="F333">
        <v>0</v>
      </c>
      <c r="G333">
        <v>0</v>
      </c>
      <c r="H333">
        <v>8</v>
      </c>
      <c r="I333">
        <v>0</v>
      </c>
      <c r="J333">
        <v>0</v>
      </c>
      <c r="K333">
        <v>155</v>
      </c>
    </row>
    <row r="334" spans="1:11" hidden="1" x14ac:dyDescent="0.35">
      <c r="A334" s="461" t="s">
        <v>773</v>
      </c>
      <c r="B334" s="461" t="s">
        <v>235</v>
      </c>
      <c r="C334" s="461" t="s">
        <v>32</v>
      </c>
      <c r="D334" s="461" t="s">
        <v>355</v>
      </c>
      <c r="E334">
        <v>317</v>
      </c>
      <c r="F334">
        <v>0</v>
      </c>
      <c r="G334">
        <v>0</v>
      </c>
      <c r="H334">
        <v>285</v>
      </c>
      <c r="I334">
        <v>0</v>
      </c>
      <c r="J334">
        <v>0</v>
      </c>
      <c r="K334">
        <v>32</v>
      </c>
    </row>
    <row r="335" spans="1:11" hidden="1" x14ac:dyDescent="0.35">
      <c r="A335" s="461" t="s">
        <v>773</v>
      </c>
      <c r="B335" s="461" t="s">
        <v>235</v>
      </c>
      <c r="C335" s="461" t="s">
        <v>34</v>
      </c>
      <c r="D335" s="461" t="s">
        <v>354</v>
      </c>
      <c r="E335">
        <v>439</v>
      </c>
      <c r="F335">
        <v>0</v>
      </c>
      <c r="G335">
        <v>0</v>
      </c>
      <c r="H335">
        <v>174</v>
      </c>
      <c r="I335">
        <v>0</v>
      </c>
      <c r="J335">
        <v>212</v>
      </c>
      <c r="K335">
        <v>53</v>
      </c>
    </row>
    <row r="336" spans="1:11" hidden="1" x14ac:dyDescent="0.35">
      <c r="A336" s="461" t="s">
        <v>773</v>
      </c>
      <c r="B336" s="461" t="s">
        <v>235</v>
      </c>
      <c r="C336" s="461" t="s">
        <v>17411</v>
      </c>
      <c r="D336" s="461" t="s">
        <v>354</v>
      </c>
      <c r="E336">
        <v>249</v>
      </c>
      <c r="F336">
        <v>0</v>
      </c>
      <c r="G336">
        <v>0</v>
      </c>
      <c r="H336">
        <v>192</v>
      </c>
      <c r="I336">
        <v>0</v>
      </c>
      <c r="J336">
        <v>5</v>
      </c>
      <c r="K336">
        <v>52</v>
      </c>
    </row>
    <row r="337" spans="1:11" hidden="1" x14ac:dyDescent="0.35">
      <c r="A337" s="461" t="s">
        <v>773</v>
      </c>
      <c r="B337" s="461" t="s">
        <v>235</v>
      </c>
      <c r="C337" s="461" t="s">
        <v>37</v>
      </c>
      <c r="D337" s="461" t="s">
        <v>355</v>
      </c>
      <c r="E337">
        <v>194</v>
      </c>
      <c r="F337">
        <v>0</v>
      </c>
      <c r="G337">
        <v>0</v>
      </c>
      <c r="H337">
        <v>12</v>
      </c>
      <c r="I337">
        <v>0</v>
      </c>
      <c r="J337">
        <v>0</v>
      </c>
      <c r="K337">
        <v>182</v>
      </c>
    </row>
    <row r="338" spans="1:11" hidden="1" x14ac:dyDescent="0.35">
      <c r="A338" s="461" t="s">
        <v>773</v>
      </c>
      <c r="B338" s="461" t="s">
        <v>235</v>
      </c>
      <c r="C338" s="461" t="s">
        <v>42</v>
      </c>
      <c r="D338" s="461" t="s">
        <v>353</v>
      </c>
      <c r="E338">
        <v>145</v>
      </c>
      <c r="F338">
        <v>0</v>
      </c>
      <c r="G338">
        <v>0</v>
      </c>
      <c r="H338">
        <v>57</v>
      </c>
      <c r="I338">
        <v>0</v>
      </c>
      <c r="J338">
        <v>0</v>
      </c>
      <c r="K338">
        <v>88</v>
      </c>
    </row>
    <row r="339" spans="1:11" hidden="1" x14ac:dyDescent="0.35">
      <c r="A339" s="461" t="s">
        <v>773</v>
      </c>
      <c r="B339" s="461" t="s">
        <v>235</v>
      </c>
      <c r="C339" s="461" t="s">
        <v>54</v>
      </c>
      <c r="D339" s="461" t="s">
        <v>353</v>
      </c>
      <c r="E339">
        <v>201</v>
      </c>
      <c r="F339">
        <v>0</v>
      </c>
      <c r="G339">
        <v>0</v>
      </c>
      <c r="H339">
        <v>148</v>
      </c>
      <c r="I339">
        <v>0</v>
      </c>
      <c r="J339">
        <v>0</v>
      </c>
      <c r="K339">
        <v>53</v>
      </c>
    </row>
    <row r="340" spans="1:11" hidden="1" x14ac:dyDescent="0.35">
      <c r="A340" s="461" t="s">
        <v>773</v>
      </c>
      <c r="B340" s="461" t="s">
        <v>235</v>
      </c>
      <c r="C340" s="461" t="s">
        <v>60</v>
      </c>
      <c r="D340" s="461" t="s">
        <v>353</v>
      </c>
      <c r="E340">
        <v>123</v>
      </c>
      <c r="F340">
        <v>0</v>
      </c>
      <c r="G340">
        <v>0</v>
      </c>
      <c r="H340">
        <v>65</v>
      </c>
      <c r="I340">
        <v>0</v>
      </c>
      <c r="J340">
        <v>0</v>
      </c>
      <c r="K340">
        <v>58</v>
      </c>
    </row>
    <row r="341" spans="1:11" hidden="1" x14ac:dyDescent="0.35">
      <c r="A341" s="461" t="s">
        <v>773</v>
      </c>
      <c r="B341" s="461" t="s">
        <v>236</v>
      </c>
      <c r="C341" s="461" t="s">
        <v>63</v>
      </c>
      <c r="D341" s="461" t="s">
        <v>355</v>
      </c>
      <c r="E341">
        <v>25</v>
      </c>
      <c r="F341">
        <v>0</v>
      </c>
      <c r="G341">
        <v>5</v>
      </c>
      <c r="H341">
        <v>0</v>
      </c>
      <c r="I341">
        <v>0</v>
      </c>
      <c r="J341">
        <v>0</v>
      </c>
      <c r="K341">
        <v>25</v>
      </c>
    </row>
    <row r="342" spans="1:11" hidden="1" x14ac:dyDescent="0.35">
      <c r="A342" s="461" t="s">
        <v>773</v>
      </c>
      <c r="B342" s="461" t="s">
        <v>236</v>
      </c>
      <c r="C342" s="461" t="s">
        <v>66</v>
      </c>
      <c r="D342" s="461" t="s">
        <v>354</v>
      </c>
      <c r="E342">
        <v>28</v>
      </c>
      <c r="F342">
        <v>0</v>
      </c>
      <c r="G342">
        <v>2</v>
      </c>
      <c r="H342">
        <v>0</v>
      </c>
      <c r="I342">
        <v>0</v>
      </c>
      <c r="J342">
        <v>0</v>
      </c>
      <c r="K342">
        <v>28</v>
      </c>
    </row>
    <row r="343" spans="1:11" hidden="1" x14ac:dyDescent="0.35">
      <c r="A343" s="461" t="s">
        <v>773</v>
      </c>
      <c r="B343" s="461" t="s">
        <v>236</v>
      </c>
      <c r="C343" s="461" t="s">
        <v>167</v>
      </c>
      <c r="D343" s="461" t="s">
        <v>353</v>
      </c>
      <c r="E343">
        <v>28</v>
      </c>
      <c r="F343">
        <v>0</v>
      </c>
      <c r="G343">
        <v>0</v>
      </c>
      <c r="H343">
        <v>0</v>
      </c>
      <c r="I343">
        <v>0</v>
      </c>
      <c r="J343">
        <v>0</v>
      </c>
      <c r="K343">
        <v>28</v>
      </c>
    </row>
    <row r="344" spans="1:11" hidden="1" x14ac:dyDescent="0.35">
      <c r="A344" s="461" t="s">
        <v>773</v>
      </c>
      <c r="B344" s="461" t="s">
        <v>235</v>
      </c>
      <c r="C344" s="461" t="s">
        <v>35</v>
      </c>
      <c r="D344" s="461" t="s">
        <v>353</v>
      </c>
      <c r="E344">
        <v>50</v>
      </c>
      <c r="F344">
        <v>0</v>
      </c>
      <c r="G344">
        <v>0</v>
      </c>
      <c r="H344">
        <v>25</v>
      </c>
      <c r="I344">
        <v>0</v>
      </c>
      <c r="J344">
        <v>0</v>
      </c>
      <c r="K344">
        <v>25</v>
      </c>
    </row>
    <row r="345" spans="1:11" hidden="1" x14ac:dyDescent="0.35">
      <c r="A345" s="461" t="s">
        <v>773</v>
      </c>
      <c r="B345" s="461" t="s">
        <v>235</v>
      </c>
      <c r="C345" s="461" t="s">
        <v>39</v>
      </c>
      <c r="D345" s="461" t="s">
        <v>354</v>
      </c>
      <c r="E345">
        <v>79</v>
      </c>
      <c r="F345">
        <v>0</v>
      </c>
      <c r="G345">
        <v>0</v>
      </c>
      <c r="H345">
        <v>0</v>
      </c>
      <c r="I345">
        <v>0</v>
      </c>
      <c r="J345">
        <v>0</v>
      </c>
      <c r="K345">
        <v>79</v>
      </c>
    </row>
    <row r="346" spans="1:11" hidden="1" x14ac:dyDescent="0.35">
      <c r="A346" s="461" t="s">
        <v>773</v>
      </c>
      <c r="B346" s="461" t="s">
        <v>235</v>
      </c>
      <c r="C346" s="461" t="s">
        <v>40</v>
      </c>
      <c r="D346" s="461" t="s">
        <v>353</v>
      </c>
      <c r="E346">
        <v>90</v>
      </c>
      <c r="F346">
        <v>0</v>
      </c>
      <c r="G346">
        <v>0</v>
      </c>
      <c r="H346">
        <v>65</v>
      </c>
      <c r="I346">
        <v>0</v>
      </c>
      <c r="J346">
        <v>0</v>
      </c>
      <c r="K346">
        <v>25</v>
      </c>
    </row>
    <row r="347" spans="1:11" hidden="1" x14ac:dyDescent="0.35">
      <c r="A347" s="461" t="s">
        <v>773</v>
      </c>
      <c r="B347" s="461" t="s">
        <v>235</v>
      </c>
      <c r="C347" s="461" t="s">
        <v>55</v>
      </c>
      <c r="D347" s="461" t="s">
        <v>355</v>
      </c>
      <c r="E347">
        <v>134</v>
      </c>
      <c r="F347">
        <v>0</v>
      </c>
      <c r="G347">
        <v>0</v>
      </c>
      <c r="H347">
        <v>134</v>
      </c>
      <c r="I347">
        <v>0</v>
      </c>
      <c r="J347">
        <v>0</v>
      </c>
      <c r="K347">
        <v>0</v>
      </c>
    </row>
    <row r="348" spans="1:11" hidden="1" x14ac:dyDescent="0.35">
      <c r="A348" s="461" t="s">
        <v>773</v>
      </c>
      <c r="B348" s="461" t="s">
        <v>236</v>
      </c>
      <c r="C348" s="461" t="s">
        <v>114</v>
      </c>
      <c r="D348" s="461" t="s">
        <v>354</v>
      </c>
      <c r="E348">
        <v>25</v>
      </c>
      <c r="F348">
        <v>0</v>
      </c>
      <c r="G348">
        <v>0</v>
      </c>
      <c r="H348">
        <v>0</v>
      </c>
      <c r="I348">
        <v>0</v>
      </c>
      <c r="J348">
        <v>0</v>
      </c>
      <c r="K348">
        <v>25</v>
      </c>
    </row>
    <row r="349" spans="1:11" hidden="1" x14ac:dyDescent="0.35">
      <c r="A349" s="461" t="s">
        <v>773</v>
      </c>
      <c r="B349" s="461" t="s">
        <v>235</v>
      </c>
      <c r="C349" s="461" t="s">
        <v>33</v>
      </c>
      <c r="D349" s="461" t="s">
        <v>355</v>
      </c>
      <c r="E349">
        <v>130</v>
      </c>
      <c r="F349">
        <v>0</v>
      </c>
      <c r="G349">
        <v>0</v>
      </c>
      <c r="H349">
        <v>103</v>
      </c>
      <c r="I349">
        <v>0</v>
      </c>
      <c r="J349">
        <v>0</v>
      </c>
      <c r="K349">
        <v>27</v>
      </c>
    </row>
    <row r="350" spans="1:11" hidden="1" x14ac:dyDescent="0.35">
      <c r="A350" s="461" t="s">
        <v>773</v>
      </c>
      <c r="B350" s="461" t="s">
        <v>235</v>
      </c>
      <c r="C350" s="461" t="s">
        <v>43</v>
      </c>
      <c r="D350" s="461" t="s">
        <v>353</v>
      </c>
      <c r="E350">
        <v>382</v>
      </c>
      <c r="F350">
        <v>0</v>
      </c>
      <c r="G350">
        <v>0</v>
      </c>
      <c r="H350">
        <v>113</v>
      </c>
      <c r="I350">
        <v>0</v>
      </c>
      <c r="J350">
        <v>0</v>
      </c>
      <c r="K350">
        <v>269</v>
      </c>
    </row>
    <row r="351" spans="1:11" hidden="1" x14ac:dyDescent="0.35">
      <c r="A351" s="461" t="s">
        <v>773</v>
      </c>
      <c r="B351" s="461" t="s">
        <v>235</v>
      </c>
      <c r="C351" s="461" t="s">
        <v>44</v>
      </c>
      <c r="D351" s="461" t="s">
        <v>355</v>
      </c>
      <c r="E351">
        <v>645</v>
      </c>
      <c r="F351">
        <v>0</v>
      </c>
      <c r="G351">
        <v>0</v>
      </c>
      <c r="H351">
        <v>525</v>
      </c>
      <c r="I351">
        <v>0</v>
      </c>
      <c r="J351">
        <v>49</v>
      </c>
      <c r="K351">
        <v>71</v>
      </c>
    </row>
    <row r="352" spans="1:11" hidden="1" x14ac:dyDescent="0.35">
      <c r="A352" s="461" t="s">
        <v>773</v>
      </c>
      <c r="B352" s="461" t="s">
        <v>235</v>
      </c>
      <c r="C352" s="461" t="s">
        <v>50</v>
      </c>
      <c r="D352" s="461" t="s">
        <v>354</v>
      </c>
      <c r="E352">
        <v>200</v>
      </c>
      <c r="F352">
        <v>0</v>
      </c>
      <c r="G352">
        <v>0</v>
      </c>
      <c r="H352">
        <v>37</v>
      </c>
      <c r="I352">
        <v>0</v>
      </c>
      <c r="J352">
        <v>0</v>
      </c>
      <c r="K352">
        <v>163</v>
      </c>
    </row>
    <row r="353" spans="1:11" hidden="1" x14ac:dyDescent="0.35">
      <c r="A353" s="461" t="s">
        <v>773</v>
      </c>
      <c r="B353" s="461" t="s">
        <v>235</v>
      </c>
      <c r="C353" s="461" t="s">
        <v>57</v>
      </c>
      <c r="D353" s="461" t="s">
        <v>354</v>
      </c>
      <c r="E353">
        <v>256</v>
      </c>
      <c r="F353">
        <v>0</v>
      </c>
      <c r="G353">
        <v>0</v>
      </c>
      <c r="H353">
        <v>86</v>
      </c>
      <c r="I353">
        <v>0</v>
      </c>
      <c r="J353">
        <v>2</v>
      </c>
      <c r="K353">
        <v>168</v>
      </c>
    </row>
    <row r="354" spans="1:11" hidden="1" x14ac:dyDescent="0.35">
      <c r="A354" s="461" t="s">
        <v>773</v>
      </c>
      <c r="B354" s="461" t="s">
        <v>236</v>
      </c>
      <c r="C354" s="461" t="s">
        <v>36</v>
      </c>
      <c r="D354" s="461" t="s">
        <v>354</v>
      </c>
      <c r="E354">
        <v>22</v>
      </c>
      <c r="F354">
        <v>0</v>
      </c>
      <c r="G354">
        <v>2</v>
      </c>
      <c r="H354">
        <v>0</v>
      </c>
      <c r="I354">
        <v>0</v>
      </c>
      <c r="J354">
        <v>0</v>
      </c>
      <c r="K354">
        <v>22</v>
      </c>
    </row>
    <row r="355" spans="1:11" hidden="1" x14ac:dyDescent="0.35">
      <c r="A355" s="461" t="s">
        <v>773</v>
      </c>
      <c r="B355" s="461" t="s">
        <v>236</v>
      </c>
      <c r="C355" s="461" t="s">
        <v>65</v>
      </c>
      <c r="D355" s="461" t="s">
        <v>355</v>
      </c>
      <c r="E355">
        <v>31</v>
      </c>
      <c r="F355">
        <v>0</v>
      </c>
      <c r="G355">
        <v>2</v>
      </c>
      <c r="H355">
        <v>0</v>
      </c>
      <c r="I355">
        <v>0</v>
      </c>
      <c r="J355">
        <v>0</v>
      </c>
      <c r="K355">
        <v>31</v>
      </c>
    </row>
    <row r="356" spans="1:11" hidden="1" x14ac:dyDescent="0.35">
      <c r="A356" s="461" t="s">
        <v>773</v>
      </c>
      <c r="B356" s="461" t="s">
        <v>236</v>
      </c>
      <c r="C356" s="461" t="s">
        <v>67</v>
      </c>
      <c r="D356" s="461" t="s">
        <v>353</v>
      </c>
      <c r="E356">
        <v>29</v>
      </c>
      <c r="F356">
        <v>0</v>
      </c>
      <c r="G356">
        <v>3</v>
      </c>
      <c r="H356">
        <v>0</v>
      </c>
      <c r="I356">
        <v>0</v>
      </c>
      <c r="J356">
        <v>0</v>
      </c>
      <c r="K356">
        <v>29</v>
      </c>
    </row>
    <row r="357" spans="1:11" hidden="1" x14ac:dyDescent="0.35">
      <c r="A357" s="461" t="s">
        <v>773</v>
      </c>
      <c r="B357" s="461" t="s">
        <v>236</v>
      </c>
      <c r="C357" s="461" t="s">
        <v>57</v>
      </c>
      <c r="D357" s="461" t="s">
        <v>354</v>
      </c>
      <c r="E357">
        <v>16</v>
      </c>
      <c r="F357">
        <v>0</v>
      </c>
      <c r="G357">
        <v>2</v>
      </c>
      <c r="H357">
        <v>0</v>
      </c>
      <c r="I357">
        <v>0</v>
      </c>
      <c r="J357">
        <v>0</v>
      </c>
      <c r="K357">
        <v>16</v>
      </c>
    </row>
    <row r="358" spans="1:11" hidden="1" x14ac:dyDescent="0.35">
      <c r="A358" s="461" t="s">
        <v>773</v>
      </c>
      <c r="B358" s="461" t="s">
        <v>235</v>
      </c>
      <c r="C358" s="461" t="s">
        <v>38</v>
      </c>
      <c r="D358" s="461" t="s">
        <v>354</v>
      </c>
      <c r="E358">
        <v>129</v>
      </c>
      <c r="F358">
        <v>0</v>
      </c>
      <c r="G358">
        <v>0</v>
      </c>
      <c r="H358">
        <v>80</v>
      </c>
      <c r="I358">
        <v>0</v>
      </c>
      <c r="J358">
        <v>0</v>
      </c>
      <c r="K358">
        <v>49</v>
      </c>
    </row>
    <row r="359" spans="1:11" hidden="1" x14ac:dyDescent="0.35">
      <c r="A359" s="461" t="s">
        <v>773</v>
      </c>
      <c r="B359" s="461" t="s">
        <v>235</v>
      </c>
      <c r="C359" s="461" t="s">
        <v>41</v>
      </c>
      <c r="D359" s="461" t="s">
        <v>354</v>
      </c>
      <c r="E359">
        <v>50</v>
      </c>
      <c r="F359">
        <v>0</v>
      </c>
      <c r="G359">
        <v>0</v>
      </c>
      <c r="H359">
        <v>0</v>
      </c>
      <c r="I359">
        <v>0</v>
      </c>
      <c r="J359">
        <v>0</v>
      </c>
      <c r="K359">
        <v>50</v>
      </c>
    </row>
    <row r="360" spans="1:11" hidden="1" x14ac:dyDescent="0.35">
      <c r="A360" s="461" t="s">
        <v>773</v>
      </c>
      <c r="B360" s="461" t="s">
        <v>235</v>
      </c>
      <c r="C360" s="461" t="s">
        <v>45</v>
      </c>
      <c r="D360" s="461" t="s">
        <v>354</v>
      </c>
      <c r="E360">
        <v>112</v>
      </c>
      <c r="F360">
        <v>0</v>
      </c>
      <c r="G360">
        <v>0</v>
      </c>
      <c r="H360">
        <v>42</v>
      </c>
      <c r="I360">
        <v>0</v>
      </c>
      <c r="J360">
        <v>0</v>
      </c>
      <c r="K360">
        <v>70</v>
      </c>
    </row>
    <row r="361" spans="1:11" hidden="1" x14ac:dyDescent="0.35">
      <c r="A361" s="461" t="s">
        <v>773</v>
      </c>
      <c r="B361" s="461" t="s">
        <v>235</v>
      </c>
      <c r="C361" s="461" t="s">
        <v>46</v>
      </c>
      <c r="D361" s="461" t="s">
        <v>353</v>
      </c>
      <c r="E361">
        <v>39</v>
      </c>
      <c r="F361">
        <v>0</v>
      </c>
      <c r="G361">
        <v>0</v>
      </c>
      <c r="H361">
        <v>13</v>
      </c>
      <c r="I361">
        <v>0</v>
      </c>
      <c r="J361">
        <v>0</v>
      </c>
      <c r="K361">
        <v>26</v>
      </c>
    </row>
    <row r="362" spans="1:11" hidden="1" x14ac:dyDescent="0.35">
      <c r="A362" s="461" t="s">
        <v>773</v>
      </c>
      <c r="B362" s="461" t="s">
        <v>235</v>
      </c>
      <c r="C362" s="461" t="s">
        <v>47</v>
      </c>
      <c r="D362" s="461" t="s">
        <v>355</v>
      </c>
      <c r="E362">
        <v>155</v>
      </c>
      <c r="F362">
        <v>0</v>
      </c>
      <c r="G362">
        <v>0</v>
      </c>
      <c r="H362">
        <v>121</v>
      </c>
      <c r="I362">
        <v>0</v>
      </c>
      <c r="J362">
        <v>4</v>
      </c>
      <c r="K362">
        <v>30</v>
      </c>
    </row>
    <row r="363" spans="1:11" hidden="1" x14ac:dyDescent="0.35">
      <c r="A363" s="461" t="s">
        <v>773</v>
      </c>
      <c r="B363" s="461" t="s">
        <v>235</v>
      </c>
      <c r="C363" s="461" t="s">
        <v>59</v>
      </c>
      <c r="D363" s="461" t="s">
        <v>354</v>
      </c>
      <c r="E363">
        <v>93</v>
      </c>
      <c r="F363">
        <v>0</v>
      </c>
      <c r="G363">
        <v>0</v>
      </c>
      <c r="H363">
        <v>20</v>
      </c>
      <c r="I363">
        <v>0</v>
      </c>
      <c r="J363">
        <v>0</v>
      </c>
      <c r="K363">
        <v>73</v>
      </c>
    </row>
    <row r="364" spans="1:11" hidden="1" x14ac:dyDescent="0.35">
      <c r="A364" s="461" t="s">
        <v>773</v>
      </c>
      <c r="B364" s="461" t="s">
        <v>236</v>
      </c>
      <c r="C364" s="461" t="s">
        <v>68</v>
      </c>
      <c r="D364" s="461" t="s">
        <v>354</v>
      </c>
      <c r="E364">
        <v>13</v>
      </c>
      <c r="F364">
        <v>0</v>
      </c>
      <c r="G364">
        <v>0</v>
      </c>
      <c r="H364">
        <v>0</v>
      </c>
      <c r="I364">
        <v>0</v>
      </c>
      <c r="J364">
        <v>0</v>
      </c>
      <c r="K364">
        <v>13</v>
      </c>
    </row>
    <row r="365" spans="1:11" hidden="1" x14ac:dyDescent="0.35">
      <c r="A365" s="461" t="s">
        <v>773</v>
      </c>
      <c r="B365" s="461" t="s">
        <v>237</v>
      </c>
      <c r="C365" s="461" t="s">
        <v>164</v>
      </c>
      <c r="D365" s="461" t="s">
        <v>355</v>
      </c>
      <c r="E365">
        <v>42</v>
      </c>
      <c r="F365">
        <v>0</v>
      </c>
      <c r="G365">
        <v>0</v>
      </c>
      <c r="H365">
        <v>0</v>
      </c>
      <c r="I365">
        <v>0</v>
      </c>
      <c r="J365">
        <v>0</v>
      </c>
      <c r="K365">
        <v>42</v>
      </c>
    </row>
    <row r="366" spans="1:11" hidden="1" x14ac:dyDescent="0.35">
      <c r="A366" s="461" t="s">
        <v>773</v>
      </c>
      <c r="B366" s="461" t="s">
        <v>237</v>
      </c>
      <c r="C366" s="461" t="s">
        <v>165</v>
      </c>
      <c r="D366" s="461" t="s">
        <v>354</v>
      </c>
      <c r="E366">
        <v>103</v>
      </c>
      <c r="F366">
        <v>0</v>
      </c>
      <c r="G366">
        <v>0</v>
      </c>
      <c r="H366">
        <v>0</v>
      </c>
      <c r="I366">
        <v>0</v>
      </c>
      <c r="J366">
        <v>0</v>
      </c>
      <c r="K366">
        <v>103</v>
      </c>
    </row>
    <row r="367" spans="1:11" hidden="1" x14ac:dyDescent="0.35">
      <c r="A367" s="461" t="s">
        <v>773</v>
      </c>
      <c r="B367" s="461" t="s">
        <v>235</v>
      </c>
      <c r="C367" s="461" t="s">
        <v>245</v>
      </c>
      <c r="D367" s="461" t="s">
        <v>353</v>
      </c>
      <c r="E367">
        <v>314</v>
      </c>
      <c r="F367">
        <v>0</v>
      </c>
      <c r="G367">
        <v>0</v>
      </c>
      <c r="H367">
        <v>8</v>
      </c>
      <c r="I367">
        <v>0</v>
      </c>
      <c r="J367">
        <v>0</v>
      </c>
      <c r="K367">
        <v>306</v>
      </c>
    </row>
    <row r="368" spans="1:11" hidden="1" x14ac:dyDescent="0.35">
      <c r="A368" s="461" t="s">
        <v>773</v>
      </c>
      <c r="B368" s="461" t="s">
        <v>235</v>
      </c>
      <c r="C368" s="461" t="s">
        <v>48</v>
      </c>
      <c r="D368" s="461" t="s">
        <v>355</v>
      </c>
      <c r="E368">
        <v>135</v>
      </c>
      <c r="F368">
        <v>0</v>
      </c>
      <c r="G368">
        <v>0</v>
      </c>
      <c r="H368">
        <v>135</v>
      </c>
      <c r="I368">
        <v>0</v>
      </c>
      <c r="J368">
        <v>0</v>
      </c>
      <c r="K368">
        <v>0</v>
      </c>
    </row>
    <row r="369" spans="1:11" hidden="1" x14ac:dyDescent="0.35">
      <c r="A369" s="461" t="s">
        <v>773</v>
      </c>
      <c r="B369" s="461" t="s">
        <v>235</v>
      </c>
      <c r="C369" s="461" t="s">
        <v>53</v>
      </c>
      <c r="D369" s="461" t="s">
        <v>354</v>
      </c>
      <c r="E369">
        <v>117</v>
      </c>
      <c r="F369">
        <v>0</v>
      </c>
      <c r="G369">
        <v>0</v>
      </c>
      <c r="H369">
        <v>15</v>
      </c>
      <c r="I369">
        <v>0</v>
      </c>
      <c r="J369">
        <v>0</v>
      </c>
      <c r="K369">
        <v>102</v>
      </c>
    </row>
    <row r="370" spans="1:11" hidden="1" x14ac:dyDescent="0.35">
      <c r="A370" s="461" t="s">
        <v>773</v>
      </c>
      <c r="B370" s="461" t="s">
        <v>235</v>
      </c>
      <c r="C370" s="461" t="s">
        <v>58</v>
      </c>
      <c r="D370" s="461" t="s">
        <v>353</v>
      </c>
      <c r="E370">
        <v>126</v>
      </c>
      <c r="F370">
        <v>0</v>
      </c>
      <c r="G370">
        <v>0</v>
      </c>
      <c r="H370">
        <v>75</v>
      </c>
      <c r="I370">
        <v>0</v>
      </c>
      <c r="J370">
        <v>0</v>
      </c>
      <c r="K370">
        <v>51</v>
      </c>
    </row>
    <row r="371" spans="1:11" hidden="1" x14ac:dyDescent="0.35">
      <c r="A371" s="461" t="s">
        <v>773</v>
      </c>
      <c r="B371" s="461" t="s">
        <v>236</v>
      </c>
      <c r="C371" s="461" t="s">
        <v>69</v>
      </c>
      <c r="D371" s="461" t="s">
        <v>353</v>
      </c>
      <c r="E371">
        <v>19</v>
      </c>
      <c r="F371">
        <v>0</v>
      </c>
      <c r="G371">
        <v>1</v>
      </c>
      <c r="H371">
        <v>0</v>
      </c>
      <c r="I371">
        <v>0</v>
      </c>
      <c r="J371">
        <v>0</v>
      </c>
      <c r="K371">
        <v>19</v>
      </c>
    </row>
    <row r="372" spans="1:11" hidden="1" x14ac:dyDescent="0.35">
      <c r="A372" s="461" t="s">
        <v>951</v>
      </c>
      <c r="B372" s="461" t="s">
        <v>235</v>
      </c>
      <c r="C372" s="461" t="s">
        <v>38</v>
      </c>
      <c r="D372" s="461" t="s">
        <v>354</v>
      </c>
      <c r="E372">
        <v>125</v>
      </c>
      <c r="F372">
        <v>0</v>
      </c>
      <c r="G372">
        <v>0</v>
      </c>
      <c r="H372">
        <v>78</v>
      </c>
      <c r="I372">
        <v>0</v>
      </c>
      <c r="J372">
        <v>0</v>
      </c>
      <c r="K372">
        <v>47</v>
      </c>
    </row>
    <row r="373" spans="1:11" hidden="1" x14ac:dyDescent="0.35">
      <c r="A373" s="461" t="s">
        <v>951</v>
      </c>
      <c r="B373" s="461" t="s">
        <v>235</v>
      </c>
      <c r="C373" s="461" t="s">
        <v>48</v>
      </c>
      <c r="D373" s="461" t="s">
        <v>355</v>
      </c>
      <c r="E373">
        <v>131</v>
      </c>
      <c r="F373">
        <v>0</v>
      </c>
      <c r="G373">
        <v>0</v>
      </c>
      <c r="H373">
        <v>131</v>
      </c>
      <c r="I373">
        <v>0</v>
      </c>
      <c r="J373">
        <v>0</v>
      </c>
      <c r="K373">
        <v>0</v>
      </c>
    </row>
    <row r="374" spans="1:11" hidden="1" x14ac:dyDescent="0.35">
      <c r="A374" s="461" t="s">
        <v>951</v>
      </c>
      <c r="B374" s="461" t="s">
        <v>236</v>
      </c>
      <c r="C374" s="461" t="s">
        <v>66</v>
      </c>
      <c r="D374" s="461" t="s">
        <v>354</v>
      </c>
      <c r="E374">
        <v>27</v>
      </c>
      <c r="F374">
        <v>0</v>
      </c>
      <c r="G374">
        <v>4</v>
      </c>
      <c r="H374">
        <v>0</v>
      </c>
      <c r="I374">
        <v>0</v>
      </c>
      <c r="J374">
        <v>0</v>
      </c>
      <c r="K374">
        <v>27</v>
      </c>
    </row>
    <row r="375" spans="1:11" hidden="1" x14ac:dyDescent="0.35">
      <c r="A375" s="461" t="s">
        <v>951</v>
      </c>
      <c r="B375" s="461" t="s">
        <v>236</v>
      </c>
      <c r="C375" s="461" t="s">
        <v>69</v>
      </c>
      <c r="D375" s="461" t="s">
        <v>353</v>
      </c>
      <c r="E375">
        <v>19</v>
      </c>
      <c r="F375">
        <v>0</v>
      </c>
      <c r="G375">
        <v>2</v>
      </c>
      <c r="H375">
        <v>0</v>
      </c>
      <c r="I375">
        <v>0</v>
      </c>
      <c r="J375">
        <v>0</v>
      </c>
      <c r="K375">
        <v>19</v>
      </c>
    </row>
    <row r="376" spans="1:11" hidden="1" x14ac:dyDescent="0.35">
      <c r="A376" s="461" t="s">
        <v>951</v>
      </c>
      <c r="B376" s="461" t="s">
        <v>236</v>
      </c>
      <c r="C376" s="461" t="s">
        <v>57</v>
      </c>
      <c r="D376" s="461" t="s">
        <v>354</v>
      </c>
      <c r="E376">
        <v>16</v>
      </c>
      <c r="F376">
        <v>0</v>
      </c>
      <c r="G376">
        <v>2</v>
      </c>
      <c r="H376">
        <v>0</v>
      </c>
      <c r="I376">
        <v>0</v>
      </c>
      <c r="J376">
        <v>0</v>
      </c>
      <c r="K376">
        <v>16</v>
      </c>
    </row>
    <row r="377" spans="1:11" hidden="1" x14ac:dyDescent="0.35">
      <c r="A377" s="461" t="s">
        <v>951</v>
      </c>
      <c r="B377" s="461" t="s">
        <v>236</v>
      </c>
      <c r="C377" s="461" t="s">
        <v>71</v>
      </c>
      <c r="D377" s="461" t="s">
        <v>355</v>
      </c>
      <c r="E377">
        <v>15</v>
      </c>
      <c r="F377">
        <v>0</v>
      </c>
      <c r="G377">
        <v>7</v>
      </c>
      <c r="H377">
        <v>0</v>
      </c>
      <c r="I377">
        <v>0</v>
      </c>
      <c r="J377">
        <v>0</v>
      </c>
      <c r="K377">
        <v>15</v>
      </c>
    </row>
    <row r="378" spans="1:11" hidden="1" x14ac:dyDescent="0.35">
      <c r="A378" s="461" t="s">
        <v>951</v>
      </c>
      <c r="B378" s="461" t="s">
        <v>235</v>
      </c>
      <c r="C378" s="461" t="s">
        <v>32</v>
      </c>
      <c r="D378" s="461" t="s">
        <v>355</v>
      </c>
      <c r="E378">
        <v>315</v>
      </c>
      <c r="F378">
        <v>0</v>
      </c>
      <c r="G378">
        <v>0</v>
      </c>
      <c r="H378">
        <v>286</v>
      </c>
      <c r="I378">
        <v>0</v>
      </c>
      <c r="J378">
        <v>0</v>
      </c>
      <c r="K378">
        <v>29</v>
      </c>
    </row>
    <row r="379" spans="1:11" hidden="1" x14ac:dyDescent="0.35">
      <c r="A379" s="461" t="s">
        <v>951</v>
      </c>
      <c r="B379" s="461" t="s">
        <v>235</v>
      </c>
      <c r="C379" s="461" t="s">
        <v>34</v>
      </c>
      <c r="D379" s="461" t="s">
        <v>354</v>
      </c>
      <c r="E379">
        <v>421</v>
      </c>
      <c r="F379">
        <v>0</v>
      </c>
      <c r="G379">
        <v>0</v>
      </c>
      <c r="H379">
        <v>168</v>
      </c>
      <c r="I379">
        <v>0</v>
      </c>
      <c r="J379">
        <v>201</v>
      </c>
      <c r="K379">
        <v>52</v>
      </c>
    </row>
    <row r="380" spans="1:11" hidden="1" x14ac:dyDescent="0.35">
      <c r="A380" s="461" t="s">
        <v>951</v>
      </c>
      <c r="B380" s="461" t="s">
        <v>235</v>
      </c>
      <c r="C380" s="461" t="s">
        <v>37</v>
      </c>
      <c r="D380" s="461" t="s">
        <v>355</v>
      </c>
      <c r="E380">
        <v>193</v>
      </c>
      <c r="F380">
        <v>0</v>
      </c>
      <c r="G380">
        <v>0</v>
      </c>
      <c r="H380">
        <v>11</v>
      </c>
      <c r="I380">
        <v>0</v>
      </c>
      <c r="J380">
        <v>0</v>
      </c>
      <c r="K380">
        <v>182</v>
      </c>
    </row>
    <row r="381" spans="1:11" hidden="1" x14ac:dyDescent="0.35">
      <c r="A381" s="461" t="s">
        <v>951</v>
      </c>
      <c r="B381" s="461" t="s">
        <v>235</v>
      </c>
      <c r="C381" s="461" t="s">
        <v>45</v>
      </c>
      <c r="D381" s="461" t="s">
        <v>354</v>
      </c>
      <c r="E381">
        <v>114</v>
      </c>
      <c r="F381">
        <v>0</v>
      </c>
      <c r="G381">
        <v>0</v>
      </c>
      <c r="H381">
        <v>44</v>
      </c>
      <c r="I381">
        <v>0</v>
      </c>
      <c r="J381">
        <v>0</v>
      </c>
      <c r="K381">
        <v>70</v>
      </c>
    </row>
    <row r="382" spans="1:11" hidden="1" x14ac:dyDescent="0.35">
      <c r="A382" s="461" t="s">
        <v>951</v>
      </c>
      <c r="B382" s="461" t="s">
        <v>235</v>
      </c>
      <c r="C382" s="461" t="s">
        <v>46</v>
      </c>
      <c r="D382" s="461" t="s">
        <v>353</v>
      </c>
      <c r="E382">
        <v>38</v>
      </c>
      <c r="F382">
        <v>0</v>
      </c>
      <c r="G382">
        <v>0</v>
      </c>
      <c r="H382">
        <v>11</v>
      </c>
      <c r="I382">
        <v>0</v>
      </c>
      <c r="J382">
        <v>0</v>
      </c>
      <c r="K382">
        <v>27</v>
      </c>
    </row>
    <row r="383" spans="1:11" hidden="1" x14ac:dyDescent="0.35">
      <c r="A383" s="461" t="s">
        <v>951</v>
      </c>
      <c r="B383" s="461" t="s">
        <v>235</v>
      </c>
      <c r="C383" s="461" t="s">
        <v>51</v>
      </c>
      <c r="D383" s="461" t="s">
        <v>355</v>
      </c>
      <c r="E383">
        <v>112</v>
      </c>
      <c r="F383">
        <v>0</v>
      </c>
      <c r="G383">
        <v>0</v>
      </c>
      <c r="H383">
        <v>112</v>
      </c>
      <c r="I383">
        <v>0</v>
      </c>
      <c r="J383">
        <v>0</v>
      </c>
      <c r="K383">
        <v>0</v>
      </c>
    </row>
    <row r="384" spans="1:11" hidden="1" x14ac:dyDescent="0.35">
      <c r="A384" s="461" t="s">
        <v>951</v>
      </c>
      <c r="B384" s="461" t="s">
        <v>235</v>
      </c>
      <c r="C384" s="461" t="s">
        <v>52</v>
      </c>
      <c r="D384" s="461" t="s">
        <v>355</v>
      </c>
      <c r="E384">
        <v>214</v>
      </c>
      <c r="F384">
        <v>0</v>
      </c>
      <c r="G384">
        <v>0</v>
      </c>
      <c r="H384">
        <v>130</v>
      </c>
      <c r="I384">
        <v>0</v>
      </c>
      <c r="J384">
        <v>21</v>
      </c>
      <c r="K384">
        <v>63</v>
      </c>
    </row>
    <row r="385" spans="1:11" hidden="1" x14ac:dyDescent="0.35">
      <c r="A385" s="461" t="s">
        <v>951</v>
      </c>
      <c r="B385" s="461" t="s">
        <v>235</v>
      </c>
      <c r="C385" s="461" t="s">
        <v>55</v>
      </c>
      <c r="D385" s="461" t="s">
        <v>355</v>
      </c>
      <c r="E385">
        <v>132</v>
      </c>
      <c r="F385">
        <v>0</v>
      </c>
      <c r="G385">
        <v>0</v>
      </c>
      <c r="H385">
        <v>132</v>
      </c>
      <c r="I385">
        <v>0</v>
      </c>
      <c r="J385">
        <v>0</v>
      </c>
      <c r="K385">
        <v>0</v>
      </c>
    </row>
    <row r="386" spans="1:11" hidden="1" x14ac:dyDescent="0.35">
      <c r="A386" s="461" t="s">
        <v>951</v>
      </c>
      <c r="B386" s="461" t="s">
        <v>235</v>
      </c>
      <c r="C386" s="461" t="s">
        <v>56</v>
      </c>
      <c r="D386" s="461" t="s">
        <v>354</v>
      </c>
      <c r="E386">
        <v>103</v>
      </c>
      <c r="F386">
        <v>0</v>
      </c>
      <c r="G386">
        <v>0</v>
      </c>
      <c r="H386">
        <v>52</v>
      </c>
      <c r="I386">
        <v>0</v>
      </c>
      <c r="J386">
        <v>0</v>
      </c>
      <c r="K386">
        <v>51</v>
      </c>
    </row>
    <row r="387" spans="1:11" hidden="1" x14ac:dyDescent="0.35">
      <c r="A387" s="461" t="s">
        <v>951</v>
      </c>
      <c r="B387" s="461" t="s">
        <v>235</v>
      </c>
      <c r="C387" s="461" t="s">
        <v>58</v>
      </c>
      <c r="D387" s="461" t="s">
        <v>353</v>
      </c>
      <c r="E387">
        <v>127</v>
      </c>
      <c r="F387">
        <v>0</v>
      </c>
      <c r="G387">
        <v>0</v>
      </c>
      <c r="H387">
        <v>75</v>
      </c>
      <c r="I387">
        <v>0</v>
      </c>
      <c r="J387">
        <v>0</v>
      </c>
      <c r="K387">
        <v>52</v>
      </c>
    </row>
    <row r="388" spans="1:11" hidden="1" x14ac:dyDescent="0.35">
      <c r="A388" s="461" t="s">
        <v>951</v>
      </c>
      <c r="B388" s="461" t="s">
        <v>236</v>
      </c>
      <c r="C388" s="461" t="s">
        <v>68</v>
      </c>
      <c r="D388" s="461" t="s">
        <v>354</v>
      </c>
      <c r="E388">
        <v>17</v>
      </c>
      <c r="F388">
        <v>0</v>
      </c>
      <c r="G388">
        <v>0</v>
      </c>
      <c r="H388">
        <v>0</v>
      </c>
      <c r="I388">
        <v>0</v>
      </c>
      <c r="J388">
        <v>0</v>
      </c>
      <c r="K388">
        <v>17</v>
      </c>
    </row>
    <row r="389" spans="1:11" hidden="1" x14ac:dyDescent="0.35">
      <c r="A389" s="461" t="s">
        <v>951</v>
      </c>
      <c r="B389" s="461" t="s">
        <v>236</v>
      </c>
      <c r="C389" s="461" t="s">
        <v>50</v>
      </c>
      <c r="D389" s="461" t="s">
        <v>354</v>
      </c>
      <c r="E389">
        <v>15</v>
      </c>
      <c r="F389">
        <v>0</v>
      </c>
      <c r="G389">
        <v>0</v>
      </c>
      <c r="H389">
        <v>0</v>
      </c>
      <c r="I389">
        <v>0</v>
      </c>
      <c r="J389">
        <v>0</v>
      </c>
      <c r="K389">
        <v>15</v>
      </c>
    </row>
    <row r="390" spans="1:11" hidden="1" x14ac:dyDescent="0.35">
      <c r="A390" s="461" t="s">
        <v>951</v>
      </c>
      <c r="B390" s="461" t="s">
        <v>236</v>
      </c>
      <c r="C390" s="461" t="s">
        <v>775</v>
      </c>
      <c r="D390" s="461"/>
      <c r="E390">
        <v>37</v>
      </c>
      <c r="F390">
        <v>0</v>
      </c>
      <c r="G390">
        <v>4</v>
      </c>
      <c r="H390">
        <v>0</v>
      </c>
      <c r="I390">
        <v>0</v>
      </c>
      <c r="J390">
        <v>0</v>
      </c>
      <c r="K390">
        <v>37</v>
      </c>
    </row>
    <row r="391" spans="1:11" hidden="1" x14ac:dyDescent="0.35">
      <c r="A391" s="461" t="s">
        <v>951</v>
      </c>
      <c r="B391" s="461" t="s">
        <v>237</v>
      </c>
      <c r="C391" s="461" t="s">
        <v>166</v>
      </c>
      <c r="D391" s="461" t="s">
        <v>353</v>
      </c>
      <c r="E391">
        <v>66</v>
      </c>
      <c r="F391">
        <v>0</v>
      </c>
      <c r="G391">
        <v>0</v>
      </c>
      <c r="H391">
        <v>0</v>
      </c>
      <c r="I391">
        <v>0</v>
      </c>
      <c r="J391">
        <v>0</v>
      </c>
      <c r="K391">
        <v>66</v>
      </c>
    </row>
    <row r="392" spans="1:11" hidden="1" x14ac:dyDescent="0.35">
      <c r="A392" s="461" t="s">
        <v>951</v>
      </c>
      <c r="B392" s="461" t="s">
        <v>235</v>
      </c>
      <c r="C392" s="461" t="s">
        <v>245</v>
      </c>
      <c r="D392" s="461" t="s">
        <v>353</v>
      </c>
      <c r="E392">
        <v>308</v>
      </c>
      <c r="F392">
        <v>0</v>
      </c>
      <c r="G392">
        <v>0</v>
      </c>
      <c r="H392">
        <v>8</v>
      </c>
      <c r="I392">
        <v>0</v>
      </c>
      <c r="J392">
        <v>0</v>
      </c>
      <c r="K392">
        <v>300</v>
      </c>
    </row>
    <row r="393" spans="1:11" hidden="1" x14ac:dyDescent="0.35">
      <c r="A393" s="461" t="s">
        <v>951</v>
      </c>
      <c r="B393" s="461" t="s">
        <v>235</v>
      </c>
      <c r="C393" s="461" t="s">
        <v>35</v>
      </c>
      <c r="D393" s="461" t="s">
        <v>353</v>
      </c>
      <c r="E393">
        <v>51</v>
      </c>
      <c r="F393">
        <v>0</v>
      </c>
      <c r="G393">
        <v>0</v>
      </c>
      <c r="H393">
        <v>27</v>
      </c>
      <c r="I393">
        <v>0</v>
      </c>
      <c r="J393">
        <v>0</v>
      </c>
      <c r="K393">
        <v>24</v>
      </c>
    </row>
    <row r="394" spans="1:11" hidden="1" x14ac:dyDescent="0.35">
      <c r="A394" s="461" t="s">
        <v>951</v>
      </c>
      <c r="B394" s="461" t="s">
        <v>235</v>
      </c>
      <c r="C394" s="461" t="s">
        <v>39</v>
      </c>
      <c r="D394" s="461" t="s">
        <v>354</v>
      </c>
      <c r="E394">
        <v>76</v>
      </c>
      <c r="F394">
        <v>0</v>
      </c>
      <c r="G394">
        <v>0</v>
      </c>
      <c r="H394">
        <v>0</v>
      </c>
      <c r="I394">
        <v>0</v>
      </c>
      <c r="J394">
        <v>0</v>
      </c>
      <c r="K394">
        <v>76</v>
      </c>
    </row>
    <row r="395" spans="1:11" hidden="1" x14ac:dyDescent="0.35">
      <c r="A395" s="461" t="s">
        <v>951</v>
      </c>
      <c r="B395" s="461" t="s">
        <v>235</v>
      </c>
      <c r="C395" s="461" t="s">
        <v>44</v>
      </c>
      <c r="D395" s="461" t="s">
        <v>355</v>
      </c>
      <c r="E395">
        <v>622</v>
      </c>
      <c r="F395">
        <v>0</v>
      </c>
      <c r="G395">
        <v>0</v>
      </c>
      <c r="H395">
        <v>500</v>
      </c>
      <c r="I395">
        <v>0</v>
      </c>
      <c r="J395">
        <v>48</v>
      </c>
      <c r="K395">
        <v>74</v>
      </c>
    </row>
    <row r="396" spans="1:11" hidden="1" x14ac:dyDescent="0.35">
      <c r="A396" s="461" t="s">
        <v>951</v>
      </c>
      <c r="B396" s="461" t="s">
        <v>235</v>
      </c>
      <c r="C396" s="461" t="s">
        <v>47</v>
      </c>
      <c r="D396" s="461" t="s">
        <v>355</v>
      </c>
      <c r="E396">
        <v>147</v>
      </c>
      <c r="F396">
        <v>0</v>
      </c>
      <c r="G396">
        <v>0</v>
      </c>
      <c r="H396">
        <v>114</v>
      </c>
      <c r="I396">
        <v>0</v>
      </c>
      <c r="J396">
        <v>3</v>
      </c>
      <c r="K396">
        <v>30</v>
      </c>
    </row>
    <row r="397" spans="1:11" hidden="1" x14ac:dyDescent="0.35">
      <c r="A397" s="461" t="s">
        <v>951</v>
      </c>
      <c r="B397" s="461" t="s">
        <v>235</v>
      </c>
      <c r="C397" s="461" t="s">
        <v>49</v>
      </c>
      <c r="D397" s="461" t="s">
        <v>354</v>
      </c>
      <c r="E397">
        <v>197</v>
      </c>
      <c r="F397">
        <v>0</v>
      </c>
      <c r="G397">
        <v>0</v>
      </c>
      <c r="H397">
        <v>100</v>
      </c>
      <c r="I397">
        <v>0</v>
      </c>
      <c r="J397">
        <v>22</v>
      </c>
      <c r="K397">
        <v>75</v>
      </c>
    </row>
    <row r="398" spans="1:11" hidden="1" x14ac:dyDescent="0.35">
      <c r="A398" s="461" t="s">
        <v>951</v>
      </c>
      <c r="B398" s="461" t="s">
        <v>236</v>
      </c>
      <c r="C398" s="461" t="s">
        <v>114</v>
      </c>
      <c r="D398" s="461" t="s">
        <v>354</v>
      </c>
      <c r="E398">
        <v>26</v>
      </c>
      <c r="F398">
        <v>0</v>
      </c>
      <c r="G398">
        <v>0</v>
      </c>
      <c r="H398">
        <v>0</v>
      </c>
      <c r="I398">
        <v>0</v>
      </c>
      <c r="J398">
        <v>0</v>
      </c>
      <c r="K398">
        <v>26</v>
      </c>
    </row>
    <row r="399" spans="1:11" hidden="1" x14ac:dyDescent="0.35">
      <c r="A399" s="461" t="s">
        <v>951</v>
      </c>
      <c r="B399" s="461" t="s">
        <v>235</v>
      </c>
      <c r="C399" s="461" t="s">
        <v>40</v>
      </c>
      <c r="D399" s="461" t="s">
        <v>353</v>
      </c>
      <c r="E399">
        <v>90</v>
      </c>
      <c r="F399">
        <v>0</v>
      </c>
      <c r="G399">
        <v>0</v>
      </c>
      <c r="H399">
        <v>64</v>
      </c>
      <c r="I399">
        <v>0</v>
      </c>
      <c r="J399">
        <v>0</v>
      </c>
      <c r="K399">
        <v>26</v>
      </c>
    </row>
    <row r="400" spans="1:11" hidden="1" x14ac:dyDescent="0.35">
      <c r="A400" s="461" t="s">
        <v>951</v>
      </c>
      <c r="B400" s="461" t="s">
        <v>235</v>
      </c>
      <c r="C400" s="461" t="s">
        <v>114</v>
      </c>
      <c r="D400" s="461" t="s">
        <v>354</v>
      </c>
      <c r="E400">
        <v>499</v>
      </c>
      <c r="F400">
        <v>0</v>
      </c>
      <c r="G400">
        <v>0</v>
      </c>
      <c r="H400">
        <v>0</v>
      </c>
      <c r="I400">
        <v>0</v>
      </c>
      <c r="J400">
        <v>0</v>
      </c>
      <c r="K400">
        <v>499</v>
      </c>
    </row>
    <row r="401" spans="1:11" hidden="1" x14ac:dyDescent="0.35">
      <c r="A401" s="461" t="s">
        <v>951</v>
      </c>
      <c r="B401" s="461" t="s">
        <v>235</v>
      </c>
      <c r="C401" s="461" t="s">
        <v>50</v>
      </c>
      <c r="D401" s="461" t="s">
        <v>354</v>
      </c>
      <c r="E401">
        <v>198</v>
      </c>
      <c r="F401">
        <v>0</v>
      </c>
      <c r="G401">
        <v>0</v>
      </c>
      <c r="H401">
        <v>38</v>
      </c>
      <c r="I401">
        <v>0</v>
      </c>
      <c r="J401">
        <v>0</v>
      </c>
      <c r="K401">
        <v>160</v>
      </c>
    </row>
    <row r="402" spans="1:11" hidden="1" x14ac:dyDescent="0.35">
      <c r="A402" s="461" t="s">
        <v>951</v>
      </c>
      <c r="B402" s="461" t="s">
        <v>236</v>
      </c>
      <c r="C402" s="461" t="s">
        <v>36</v>
      </c>
      <c r="D402" s="461" t="s">
        <v>354</v>
      </c>
      <c r="E402">
        <v>21</v>
      </c>
      <c r="F402">
        <v>0</v>
      </c>
      <c r="G402">
        <v>4</v>
      </c>
      <c r="H402">
        <v>0</v>
      </c>
      <c r="I402">
        <v>0</v>
      </c>
      <c r="J402">
        <v>0</v>
      </c>
      <c r="K402">
        <v>21</v>
      </c>
    </row>
    <row r="403" spans="1:11" hidden="1" x14ac:dyDescent="0.35">
      <c r="A403" s="461" t="s">
        <v>951</v>
      </c>
      <c r="B403" s="461" t="s">
        <v>237</v>
      </c>
      <c r="C403" s="461" t="s">
        <v>165</v>
      </c>
      <c r="D403" s="461" t="s">
        <v>354</v>
      </c>
      <c r="E403">
        <v>91</v>
      </c>
      <c r="F403">
        <v>0</v>
      </c>
      <c r="G403">
        <v>0</v>
      </c>
      <c r="H403">
        <v>0</v>
      </c>
      <c r="I403">
        <v>0</v>
      </c>
      <c r="J403">
        <v>0</v>
      </c>
      <c r="K403">
        <v>91</v>
      </c>
    </row>
    <row r="404" spans="1:11" hidden="1" x14ac:dyDescent="0.35">
      <c r="A404" s="461" t="s">
        <v>951</v>
      </c>
      <c r="B404" s="461" t="s">
        <v>236</v>
      </c>
      <c r="C404" s="461" t="s">
        <v>31</v>
      </c>
      <c r="D404" s="461" t="s">
        <v>355</v>
      </c>
      <c r="E404">
        <v>12</v>
      </c>
      <c r="F404">
        <v>0</v>
      </c>
      <c r="G404">
        <v>0</v>
      </c>
      <c r="H404">
        <v>0</v>
      </c>
      <c r="I404">
        <v>0</v>
      </c>
      <c r="J404">
        <v>0</v>
      </c>
      <c r="K404">
        <v>12</v>
      </c>
    </row>
    <row r="405" spans="1:11" hidden="1" x14ac:dyDescent="0.35">
      <c r="A405" s="461" t="s">
        <v>951</v>
      </c>
      <c r="B405" s="461" t="s">
        <v>236</v>
      </c>
      <c r="C405" s="461" t="s">
        <v>70</v>
      </c>
      <c r="D405" s="461" t="s">
        <v>355</v>
      </c>
      <c r="E405">
        <v>35</v>
      </c>
      <c r="F405">
        <v>0</v>
      </c>
      <c r="G405">
        <v>11</v>
      </c>
      <c r="H405">
        <v>0</v>
      </c>
      <c r="I405">
        <v>0</v>
      </c>
      <c r="J405">
        <v>0</v>
      </c>
      <c r="K405">
        <v>35</v>
      </c>
    </row>
    <row r="406" spans="1:11" hidden="1" x14ac:dyDescent="0.35">
      <c r="A406" s="461" t="s">
        <v>951</v>
      </c>
      <c r="B406" s="461" t="s">
        <v>237</v>
      </c>
      <c r="C406" s="461" t="s">
        <v>164</v>
      </c>
      <c r="D406" s="461" t="s">
        <v>355</v>
      </c>
      <c r="E406">
        <v>55</v>
      </c>
      <c r="F406">
        <v>0</v>
      </c>
      <c r="G406">
        <v>0</v>
      </c>
      <c r="H406">
        <v>0</v>
      </c>
      <c r="I406">
        <v>0</v>
      </c>
      <c r="J406">
        <v>0</v>
      </c>
      <c r="K406">
        <v>55</v>
      </c>
    </row>
    <row r="407" spans="1:11" hidden="1" x14ac:dyDescent="0.35">
      <c r="A407" s="461" t="s">
        <v>951</v>
      </c>
      <c r="B407" s="461" t="s">
        <v>238</v>
      </c>
      <c r="C407" s="461" t="s">
        <v>246</v>
      </c>
      <c r="D407" s="461" t="s">
        <v>339</v>
      </c>
      <c r="E407">
        <v>1110</v>
      </c>
      <c r="F407">
        <v>182</v>
      </c>
      <c r="G407">
        <v>0</v>
      </c>
      <c r="H407">
        <v>0</v>
      </c>
      <c r="I407">
        <v>836</v>
      </c>
      <c r="J407">
        <v>0</v>
      </c>
      <c r="K407">
        <v>92</v>
      </c>
    </row>
    <row r="408" spans="1:11" hidden="1" x14ac:dyDescent="0.35">
      <c r="A408" s="461" t="s">
        <v>951</v>
      </c>
      <c r="B408" s="461" t="s">
        <v>235</v>
      </c>
      <c r="C408" s="461" t="s">
        <v>31</v>
      </c>
      <c r="D408" s="461" t="s">
        <v>355</v>
      </c>
      <c r="E408">
        <v>159</v>
      </c>
      <c r="F408">
        <v>0</v>
      </c>
      <c r="G408">
        <v>0</v>
      </c>
      <c r="H408">
        <v>10</v>
      </c>
      <c r="I408">
        <v>0</v>
      </c>
      <c r="J408">
        <v>0</v>
      </c>
      <c r="K408">
        <v>149</v>
      </c>
    </row>
    <row r="409" spans="1:11" hidden="1" x14ac:dyDescent="0.35">
      <c r="A409" s="461" t="s">
        <v>951</v>
      </c>
      <c r="B409" s="461" t="s">
        <v>235</v>
      </c>
      <c r="C409" s="461" t="s">
        <v>33</v>
      </c>
      <c r="D409" s="461" t="s">
        <v>355</v>
      </c>
      <c r="E409">
        <v>131</v>
      </c>
      <c r="F409">
        <v>0</v>
      </c>
      <c r="G409">
        <v>0</v>
      </c>
      <c r="H409">
        <v>104</v>
      </c>
      <c r="I409">
        <v>0</v>
      </c>
      <c r="J409">
        <v>0</v>
      </c>
      <c r="K409">
        <v>27</v>
      </c>
    </row>
    <row r="410" spans="1:11" hidden="1" x14ac:dyDescent="0.35">
      <c r="A410" s="461" t="s">
        <v>951</v>
      </c>
      <c r="B410" s="461" t="s">
        <v>236</v>
      </c>
      <c r="C410" s="461" t="s">
        <v>63</v>
      </c>
      <c r="D410" s="461" t="s">
        <v>355</v>
      </c>
      <c r="E410">
        <v>26</v>
      </c>
      <c r="F410">
        <v>0</v>
      </c>
      <c r="G410">
        <v>7</v>
      </c>
      <c r="H410">
        <v>0</v>
      </c>
      <c r="I410">
        <v>0</v>
      </c>
      <c r="J410">
        <v>0</v>
      </c>
      <c r="K410">
        <v>26</v>
      </c>
    </row>
    <row r="411" spans="1:11" hidden="1" x14ac:dyDescent="0.35">
      <c r="A411" s="461" t="s">
        <v>951</v>
      </c>
      <c r="B411" s="461" t="s">
        <v>236</v>
      </c>
      <c r="C411" s="461" t="s">
        <v>167</v>
      </c>
      <c r="D411" s="461" t="s">
        <v>353</v>
      </c>
      <c r="E411">
        <v>29</v>
      </c>
      <c r="F411">
        <v>0</v>
      </c>
      <c r="G411">
        <v>0</v>
      </c>
      <c r="H411">
        <v>0</v>
      </c>
      <c r="I411">
        <v>0</v>
      </c>
      <c r="J411">
        <v>0</v>
      </c>
      <c r="K411">
        <v>29</v>
      </c>
    </row>
    <row r="412" spans="1:11" hidden="1" x14ac:dyDescent="0.35">
      <c r="A412" s="461" t="s">
        <v>951</v>
      </c>
      <c r="B412" s="461" t="s">
        <v>235</v>
      </c>
      <c r="C412" s="461" t="s">
        <v>17411</v>
      </c>
      <c r="D412" s="461" t="s">
        <v>354</v>
      </c>
      <c r="E412">
        <v>243</v>
      </c>
      <c r="F412">
        <v>0</v>
      </c>
      <c r="G412">
        <v>0</v>
      </c>
      <c r="H412">
        <v>186</v>
      </c>
      <c r="I412">
        <v>0</v>
      </c>
      <c r="J412">
        <v>6</v>
      </c>
      <c r="K412">
        <v>51</v>
      </c>
    </row>
    <row r="413" spans="1:11" hidden="1" x14ac:dyDescent="0.35">
      <c r="A413" s="461" t="s">
        <v>951</v>
      </c>
      <c r="B413" s="461" t="s">
        <v>235</v>
      </c>
      <c r="C413" s="461" t="s">
        <v>42</v>
      </c>
      <c r="D413" s="461" t="s">
        <v>353</v>
      </c>
      <c r="E413">
        <v>144</v>
      </c>
      <c r="F413">
        <v>0</v>
      </c>
      <c r="G413">
        <v>0</v>
      </c>
      <c r="H413">
        <v>56</v>
      </c>
      <c r="I413">
        <v>0</v>
      </c>
      <c r="J413">
        <v>0</v>
      </c>
      <c r="K413">
        <v>88</v>
      </c>
    </row>
    <row r="414" spans="1:11" hidden="1" x14ac:dyDescent="0.35">
      <c r="A414" s="461" t="s">
        <v>951</v>
      </c>
      <c r="B414" s="461" t="s">
        <v>235</v>
      </c>
      <c r="C414" s="461" t="s">
        <v>43</v>
      </c>
      <c r="D414" s="461" t="s">
        <v>353</v>
      </c>
      <c r="E414">
        <v>363</v>
      </c>
      <c r="F414">
        <v>0</v>
      </c>
      <c r="G414">
        <v>0</v>
      </c>
      <c r="H414">
        <v>109</v>
      </c>
      <c r="I414">
        <v>0</v>
      </c>
      <c r="J414">
        <v>0</v>
      </c>
      <c r="K414">
        <v>254</v>
      </c>
    </row>
    <row r="415" spans="1:11" hidden="1" x14ac:dyDescent="0.35">
      <c r="A415" s="461" t="s">
        <v>951</v>
      </c>
      <c r="B415" s="461" t="s">
        <v>235</v>
      </c>
      <c r="C415" s="461" t="s">
        <v>53</v>
      </c>
      <c r="D415" s="461" t="s">
        <v>354</v>
      </c>
      <c r="E415">
        <v>113</v>
      </c>
      <c r="F415">
        <v>0</v>
      </c>
      <c r="G415">
        <v>0</v>
      </c>
      <c r="H415">
        <v>13</v>
      </c>
      <c r="I415">
        <v>0</v>
      </c>
      <c r="J415">
        <v>0</v>
      </c>
      <c r="K415">
        <v>100</v>
      </c>
    </row>
    <row r="416" spans="1:11" hidden="1" x14ac:dyDescent="0.35">
      <c r="A416" s="461" t="s">
        <v>951</v>
      </c>
      <c r="B416" s="461" t="s">
        <v>235</v>
      </c>
      <c r="C416" s="461" t="s">
        <v>60</v>
      </c>
      <c r="D416" s="461" t="s">
        <v>353</v>
      </c>
      <c r="E416">
        <v>115</v>
      </c>
      <c r="F416">
        <v>0</v>
      </c>
      <c r="G416">
        <v>0</v>
      </c>
      <c r="H416">
        <v>58</v>
      </c>
      <c r="I416">
        <v>0</v>
      </c>
      <c r="J416">
        <v>0</v>
      </c>
      <c r="K416">
        <v>57</v>
      </c>
    </row>
    <row r="417" spans="1:11" hidden="1" x14ac:dyDescent="0.35">
      <c r="A417" s="461" t="s">
        <v>951</v>
      </c>
      <c r="B417" s="461" t="s">
        <v>236</v>
      </c>
      <c r="C417" s="461" t="s">
        <v>67</v>
      </c>
      <c r="D417" s="461" t="s">
        <v>353</v>
      </c>
      <c r="E417">
        <v>28</v>
      </c>
      <c r="F417">
        <v>0</v>
      </c>
      <c r="G417">
        <v>4</v>
      </c>
      <c r="H417">
        <v>0</v>
      </c>
      <c r="I417">
        <v>0</v>
      </c>
      <c r="J417">
        <v>0</v>
      </c>
      <c r="K417">
        <v>28</v>
      </c>
    </row>
    <row r="418" spans="1:11" hidden="1" x14ac:dyDescent="0.35">
      <c r="A418" s="461" t="s">
        <v>951</v>
      </c>
      <c r="B418" s="461" t="s">
        <v>235</v>
      </c>
      <c r="C418" s="461" t="s">
        <v>41</v>
      </c>
      <c r="D418" s="461" t="s">
        <v>354</v>
      </c>
      <c r="E418">
        <v>48</v>
      </c>
      <c r="F418">
        <v>0</v>
      </c>
      <c r="G418">
        <v>0</v>
      </c>
      <c r="H418">
        <v>0</v>
      </c>
      <c r="I418">
        <v>0</v>
      </c>
      <c r="J418">
        <v>0</v>
      </c>
      <c r="K418">
        <v>48</v>
      </c>
    </row>
    <row r="419" spans="1:11" hidden="1" x14ac:dyDescent="0.35">
      <c r="A419" s="461" t="s">
        <v>951</v>
      </c>
      <c r="B419" s="461" t="s">
        <v>235</v>
      </c>
      <c r="C419" s="461" t="s">
        <v>54</v>
      </c>
      <c r="D419" s="461" t="s">
        <v>353</v>
      </c>
      <c r="E419">
        <v>200</v>
      </c>
      <c r="F419">
        <v>0</v>
      </c>
      <c r="G419">
        <v>0</v>
      </c>
      <c r="H419">
        <v>149</v>
      </c>
      <c r="I419">
        <v>0</v>
      </c>
      <c r="J419">
        <v>0</v>
      </c>
      <c r="K419">
        <v>51</v>
      </c>
    </row>
    <row r="420" spans="1:11" hidden="1" x14ac:dyDescent="0.35">
      <c r="A420" s="461" t="s">
        <v>951</v>
      </c>
      <c r="B420" s="461" t="s">
        <v>235</v>
      </c>
      <c r="C420" s="461" t="s">
        <v>57</v>
      </c>
      <c r="D420" s="461" t="s">
        <v>354</v>
      </c>
      <c r="E420">
        <v>254</v>
      </c>
      <c r="F420">
        <v>0</v>
      </c>
      <c r="G420">
        <v>0</v>
      </c>
      <c r="H420">
        <v>84</v>
      </c>
      <c r="I420">
        <v>0</v>
      </c>
      <c r="J420">
        <v>2</v>
      </c>
      <c r="K420">
        <v>168</v>
      </c>
    </row>
    <row r="421" spans="1:11" hidden="1" x14ac:dyDescent="0.35">
      <c r="A421" s="461" t="s">
        <v>951</v>
      </c>
      <c r="B421" s="461" t="s">
        <v>235</v>
      </c>
      <c r="C421" s="461" t="s">
        <v>59</v>
      </c>
      <c r="D421" s="461" t="s">
        <v>354</v>
      </c>
      <c r="E421">
        <v>95</v>
      </c>
      <c r="F421">
        <v>0</v>
      </c>
      <c r="G421">
        <v>0</v>
      </c>
      <c r="H421">
        <v>22</v>
      </c>
      <c r="I421">
        <v>0</v>
      </c>
      <c r="J421">
        <v>0</v>
      </c>
      <c r="K421">
        <v>73</v>
      </c>
    </row>
    <row r="422" spans="1:11" hidden="1" x14ac:dyDescent="0.35">
      <c r="A422" s="461" t="s">
        <v>951</v>
      </c>
      <c r="B422" s="461" t="s">
        <v>236</v>
      </c>
      <c r="C422" s="461" t="s">
        <v>64</v>
      </c>
      <c r="D422" s="461" t="s">
        <v>354</v>
      </c>
      <c r="E422">
        <v>26</v>
      </c>
      <c r="F422">
        <v>0</v>
      </c>
      <c r="G422">
        <v>6</v>
      </c>
      <c r="H422">
        <v>0</v>
      </c>
      <c r="I422">
        <v>0</v>
      </c>
      <c r="J422">
        <v>0</v>
      </c>
      <c r="K422">
        <v>26</v>
      </c>
    </row>
    <row r="423" spans="1:11" hidden="1" x14ac:dyDescent="0.35">
      <c r="A423" s="461" t="s">
        <v>951</v>
      </c>
      <c r="B423" s="461" t="s">
        <v>236</v>
      </c>
      <c r="C423" s="461" t="s">
        <v>65</v>
      </c>
      <c r="D423" s="461" t="s">
        <v>355</v>
      </c>
      <c r="E423">
        <v>28</v>
      </c>
      <c r="F423">
        <v>0</v>
      </c>
      <c r="G423">
        <v>3</v>
      </c>
      <c r="H423">
        <v>0</v>
      </c>
      <c r="I423">
        <v>0</v>
      </c>
      <c r="J423">
        <v>0</v>
      </c>
      <c r="K423">
        <v>28</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pageSetUpPr fitToPage="1"/>
  </sheetPr>
  <dimension ref="A1:J78"/>
  <sheetViews>
    <sheetView showGridLines="0" zoomScaleNormal="100" workbookViewId="0">
      <pane ySplit="2" topLeftCell="A3" activePane="bottomLeft" state="frozen"/>
      <selection pane="bottomLeft" sqref="A1:H1"/>
    </sheetView>
  </sheetViews>
  <sheetFormatPr defaultRowHeight="14.5" x14ac:dyDescent="0.35"/>
  <cols>
    <col min="1" max="1" width="17.1796875" customWidth="1"/>
    <col min="2" max="2" width="59.453125" bestFit="1" customWidth="1"/>
    <col min="3" max="3" width="24.26953125" customWidth="1"/>
    <col min="4" max="4" width="23" customWidth="1"/>
    <col min="5" max="5" width="9.7265625" customWidth="1"/>
    <col min="6" max="6" width="10.81640625" customWidth="1"/>
    <col min="7" max="7" width="12" customWidth="1"/>
    <col min="8" max="8" width="12.7265625" customWidth="1"/>
    <col min="9" max="9" width="19.7265625" customWidth="1"/>
    <col min="10" max="10" width="12" customWidth="1"/>
  </cols>
  <sheetData>
    <row r="1" spans="1:10" ht="15.5" x14ac:dyDescent="0.35">
      <c r="A1" s="1160" t="s">
        <v>439</v>
      </c>
      <c r="B1" s="1160"/>
      <c r="C1" s="1160"/>
      <c r="D1" s="1160"/>
      <c r="E1" s="1160"/>
      <c r="F1" s="1160"/>
      <c r="G1" s="1160"/>
      <c r="H1" s="1160"/>
    </row>
    <row r="2" spans="1:10" ht="17.5" x14ac:dyDescent="0.35">
      <c r="A2" s="601" t="s">
        <v>509</v>
      </c>
      <c r="B2" s="1"/>
      <c r="C2" s="1"/>
      <c r="D2" s="1"/>
      <c r="E2" s="1"/>
      <c r="F2" s="1"/>
      <c r="G2" s="1"/>
      <c r="H2" s="1"/>
    </row>
    <row r="3" spans="1:10" ht="17.5" x14ac:dyDescent="0.35">
      <c r="A3" s="1"/>
      <c r="B3" s="1"/>
      <c r="C3" s="1"/>
      <c r="D3" s="1"/>
      <c r="E3" s="1"/>
      <c r="F3" s="1"/>
      <c r="G3" s="1"/>
      <c r="H3" s="1"/>
      <c r="I3" s="42"/>
    </row>
    <row r="4" spans="1:10" ht="30" customHeight="1" x14ac:dyDescent="0.35">
      <c r="A4" s="1178" t="s">
        <v>499</v>
      </c>
      <c r="B4" s="1178"/>
      <c r="C4" s="1178"/>
      <c r="D4" s="1178"/>
      <c r="E4" s="1178"/>
      <c r="F4" s="1178"/>
      <c r="G4" s="1178"/>
      <c r="H4" s="1178"/>
      <c r="I4" s="1178"/>
    </row>
    <row r="5" spans="1:10" ht="15" customHeight="1" x14ac:dyDescent="0.35">
      <c r="A5" t="s">
        <v>320</v>
      </c>
      <c r="B5" t="s">
        <v>651</v>
      </c>
      <c r="C5" s="509"/>
      <c r="D5" s="509"/>
      <c r="E5" s="509"/>
      <c r="F5" s="509"/>
      <c r="G5" s="509"/>
      <c r="H5" s="509"/>
      <c r="I5" s="509"/>
    </row>
    <row r="6" spans="1:10" ht="15" customHeight="1" x14ac:dyDescent="0.35">
      <c r="A6" t="s">
        <v>321</v>
      </c>
      <c r="B6" t="s">
        <v>323</v>
      </c>
      <c r="C6" s="509"/>
      <c r="D6" s="509"/>
      <c r="E6" s="509"/>
      <c r="F6" s="509"/>
      <c r="G6" s="509"/>
      <c r="H6" s="509"/>
      <c r="I6" s="509"/>
    </row>
    <row r="7" spans="1:10" ht="15" customHeight="1" x14ac:dyDescent="0.35">
      <c r="A7" t="s">
        <v>322</v>
      </c>
      <c r="B7" t="s">
        <v>324</v>
      </c>
      <c r="C7" s="509"/>
      <c r="D7" s="509"/>
      <c r="E7" s="509"/>
      <c r="F7" s="509"/>
      <c r="G7" s="509"/>
      <c r="H7" s="509"/>
      <c r="I7" s="509"/>
    </row>
    <row r="8" spans="1:10" ht="39.75" customHeight="1" x14ac:dyDescent="0.35">
      <c r="A8" s="43" t="s">
        <v>1</v>
      </c>
      <c r="B8" s="43"/>
      <c r="C8" s="44" t="s">
        <v>27</v>
      </c>
      <c r="D8" s="44" t="s">
        <v>28</v>
      </c>
      <c r="E8" s="44" t="s">
        <v>849</v>
      </c>
      <c r="F8" s="44" t="s">
        <v>2</v>
      </c>
      <c r="G8" s="44" t="s">
        <v>3</v>
      </c>
      <c r="H8" s="44" t="s">
        <v>29</v>
      </c>
      <c r="I8" s="4" t="s">
        <v>10</v>
      </c>
      <c r="J8" s="4" t="s">
        <v>95</v>
      </c>
    </row>
    <row r="9" spans="1:10" ht="22.5" customHeight="1" thickBot="1" x14ac:dyDescent="0.4">
      <c r="A9" s="45" t="str">
        <f>StaffSmallAreaPivot!B1</f>
        <v>2020-21</v>
      </c>
      <c r="B9" s="45" t="s">
        <v>75</v>
      </c>
      <c r="C9" s="331">
        <f t="shared" ref="C9:J9" si="0">C44+C64+C70+C73</f>
        <v>3584</v>
      </c>
      <c r="D9" s="331">
        <f t="shared" si="0"/>
        <v>2872</v>
      </c>
      <c r="E9" s="331">
        <f t="shared" si="0"/>
        <v>54</v>
      </c>
      <c r="F9" s="331">
        <f t="shared" si="0"/>
        <v>182</v>
      </c>
      <c r="G9" s="331">
        <f t="shared" si="0"/>
        <v>836</v>
      </c>
      <c r="H9" s="331">
        <f t="shared" si="0"/>
        <v>303</v>
      </c>
      <c r="I9" s="331">
        <f>I44+I64+I70+I73</f>
        <v>7831</v>
      </c>
      <c r="J9" s="331">
        <f t="shared" si="0"/>
        <v>7528</v>
      </c>
    </row>
    <row r="10" spans="1:10" ht="15.75" customHeight="1" x14ac:dyDescent="0.35">
      <c r="B10" s="46"/>
      <c r="C10" s="47"/>
      <c r="D10" s="47"/>
      <c r="E10" s="47"/>
      <c r="F10" s="47"/>
      <c r="G10" s="47"/>
      <c r="H10" s="47"/>
      <c r="I10" s="48"/>
      <c r="J10" s="48"/>
    </row>
    <row r="11" spans="1:10" ht="40.5" customHeight="1" x14ac:dyDescent="0.35">
      <c r="A11" s="49" t="s">
        <v>449</v>
      </c>
      <c r="B11" s="49" t="s">
        <v>30</v>
      </c>
      <c r="C11" s="93" t="s">
        <v>27</v>
      </c>
      <c r="D11" s="93" t="s">
        <v>28</v>
      </c>
      <c r="E11" s="93" t="s">
        <v>849</v>
      </c>
      <c r="F11" s="93" t="s">
        <v>2</v>
      </c>
      <c r="G11" s="93" t="s">
        <v>3</v>
      </c>
      <c r="H11" s="93" t="s">
        <v>29</v>
      </c>
      <c r="I11" s="3" t="s">
        <v>10</v>
      </c>
      <c r="J11" s="3" t="s">
        <v>95</v>
      </c>
    </row>
    <row r="12" spans="1:10" ht="19.5" customHeight="1" x14ac:dyDescent="0.35">
      <c r="A12" s="465" t="s">
        <v>286</v>
      </c>
      <c r="B12" s="52" t="s">
        <v>31</v>
      </c>
      <c r="C12" s="56">
        <f>StaffSmallAreaPivot!B5</f>
        <v>149</v>
      </c>
      <c r="D12" s="56">
        <f>StaffSmallAreaPivot!C5</f>
        <v>10</v>
      </c>
      <c r="E12" s="876">
        <f>StaffSmallAreaPivot!D5</f>
        <v>0</v>
      </c>
      <c r="F12" s="876">
        <f>StaffSmallAreaPivot!E5</f>
        <v>0</v>
      </c>
      <c r="G12" s="876">
        <f>StaffSmallAreaPivot!F5</f>
        <v>0</v>
      </c>
      <c r="H12" s="56">
        <f>StaffSmallAreaPivot!G5</f>
        <v>0</v>
      </c>
      <c r="I12" s="54">
        <f t="shared" ref="I12:I43" si="1">SUM(C12:H12)</f>
        <v>159</v>
      </c>
      <c r="J12" s="54">
        <f t="shared" ref="J12:J43" si="2">I12-H12</f>
        <v>159</v>
      </c>
    </row>
    <row r="13" spans="1:10" ht="15" customHeight="1" x14ac:dyDescent="0.35">
      <c r="A13" s="466" t="s">
        <v>287</v>
      </c>
      <c r="B13" s="55" t="s">
        <v>32</v>
      </c>
      <c r="C13" s="56">
        <f>StaffSmallAreaPivot!B6</f>
        <v>29</v>
      </c>
      <c r="D13" s="56">
        <f>StaffSmallAreaPivot!C6</f>
        <v>286</v>
      </c>
      <c r="E13" s="876">
        <f>StaffSmallAreaPivot!D6</f>
        <v>0</v>
      </c>
      <c r="F13" s="876">
        <f>StaffSmallAreaPivot!E6</f>
        <v>0</v>
      </c>
      <c r="G13" s="876">
        <f>StaffSmallAreaPivot!F6</f>
        <v>0</v>
      </c>
      <c r="H13" s="56">
        <f>StaffSmallAreaPivot!G6</f>
        <v>0</v>
      </c>
      <c r="I13" s="54">
        <f t="shared" si="1"/>
        <v>315</v>
      </c>
      <c r="J13" s="54">
        <f t="shared" si="2"/>
        <v>315</v>
      </c>
    </row>
    <row r="14" spans="1:10" ht="15" customHeight="1" x14ac:dyDescent="0.35">
      <c r="A14" s="466" t="s">
        <v>293</v>
      </c>
      <c r="B14" s="55" t="s">
        <v>33</v>
      </c>
      <c r="C14" s="56">
        <f>StaffSmallAreaPivot!B7</f>
        <v>27</v>
      </c>
      <c r="D14" s="56">
        <f>StaffSmallAreaPivot!C7</f>
        <v>104</v>
      </c>
      <c r="E14" s="876">
        <f>StaffSmallAreaPivot!D7</f>
        <v>0</v>
      </c>
      <c r="F14" s="876">
        <f>StaffSmallAreaPivot!E7</f>
        <v>0</v>
      </c>
      <c r="G14" s="876">
        <f>StaffSmallAreaPivot!F7</f>
        <v>0</v>
      </c>
      <c r="H14" s="56">
        <f>StaffSmallAreaPivot!G7</f>
        <v>0</v>
      </c>
      <c r="I14" s="54">
        <f t="shared" si="1"/>
        <v>131</v>
      </c>
      <c r="J14" s="54">
        <f t="shared" si="2"/>
        <v>131</v>
      </c>
    </row>
    <row r="15" spans="1:10" ht="15" customHeight="1" x14ac:dyDescent="0.35">
      <c r="A15" s="466" t="s">
        <v>288</v>
      </c>
      <c r="B15" s="55" t="s">
        <v>34</v>
      </c>
      <c r="C15" s="56">
        <f>StaffSmallAreaPivot!B8</f>
        <v>52</v>
      </c>
      <c r="D15" s="56">
        <f>StaffSmallAreaPivot!C8</f>
        <v>168</v>
      </c>
      <c r="E15" s="876">
        <f>StaffSmallAreaPivot!D8</f>
        <v>0</v>
      </c>
      <c r="F15" s="876">
        <f>StaffSmallAreaPivot!E8</f>
        <v>0</v>
      </c>
      <c r="G15" s="876">
        <f>StaffSmallAreaPivot!F8</f>
        <v>0</v>
      </c>
      <c r="H15" s="56">
        <f>StaffSmallAreaPivot!G8</f>
        <v>201</v>
      </c>
      <c r="I15" s="54">
        <f t="shared" si="1"/>
        <v>421</v>
      </c>
      <c r="J15" s="54">
        <f t="shared" si="2"/>
        <v>220</v>
      </c>
    </row>
    <row r="16" spans="1:10" ht="15" customHeight="1" x14ac:dyDescent="0.35">
      <c r="A16" s="466" t="s">
        <v>289</v>
      </c>
      <c r="B16" s="55" t="s">
        <v>245</v>
      </c>
      <c r="C16" s="56">
        <f>StaffSmallAreaPivot!B9</f>
        <v>300</v>
      </c>
      <c r="D16" s="56">
        <f>StaffSmallAreaPivot!C9</f>
        <v>8</v>
      </c>
      <c r="E16" s="876">
        <f>StaffSmallAreaPivot!D9</f>
        <v>0</v>
      </c>
      <c r="F16" s="876">
        <f>StaffSmallAreaPivot!E9</f>
        <v>0</v>
      </c>
      <c r="G16" s="876">
        <f>StaffSmallAreaPivot!F9</f>
        <v>0</v>
      </c>
      <c r="H16" s="56">
        <f>StaffSmallAreaPivot!G9</f>
        <v>0</v>
      </c>
      <c r="I16" s="54">
        <f t="shared" si="1"/>
        <v>308</v>
      </c>
      <c r="J16" s="54">
        <f t="shared" si="2"/>
        <v>308</v>
      </c>
    </row>
    <row r="17" spans="1:10" ht="15" customHeight="1" x14ac:dyDescent="0.35">
      <c r="A17" s="466" t="s">
        <v>267</v>
      </c>
      <c r="B17" s="55" t="s">
        <v>35</v>
      </c>
      <c r="C17" s="56">
        <f>StaffSmallAreaPivot!B10</f>
        <v>24</v>
      </c>
      <c r="D17" s="56">
        <f>StaffSmallAreaPivot!C10</f>
        <v>27</v>
      </c>
      <c r="E17" s="876">
        <f>StaffSmallAreaPivot!D10</f>
        <v>0</v>
      </c>
      <c r="F17" s="876">
        <f>StaffSmallAreaPivot!E10</f>
        <v>0</v>
      </c>
      <c r="G17" s="876">
        <f>StaffSmallAreaPivot!F10</f>
        <v>0</v>
      </c>
      <c r="H17" s="56">
        <f>StaffSmallAreaPivot!G10</f>
        <v>0</v>
      </c>
      <c r="I17" s="54">
        <f t="shared" si="1"/>
        <v>51</v>
      </c>
      <c r="J17" s="54">
        <f t="shared" si="2"/>
        <v>51</v>
      </c>
    </row>
    <row r="18" spans="1:10" ht="15" customHeight="1" x14ac:dyDescent="0.35">
      <c r="A18" s="466" t="s">
        <v>268</v>
      </c>
      <c r="B18" s="55" t="s">
        <v>36</v>
      </c>
      <c r="C18" s="56">
        <f>StaffSmallAreaPivot!B11</f>
        <v>51</v>
      </c>
      <c r="D18" s="56">
        <f>StaffSmallAreaPivot!C11</f>
        <v>186</v>
      </c>
      <c r="E18" s="876">
        <f>StaffSmallAreaPivot!D11</f>
        <v>0</v>
      </c>
      <c r="F18" s="876">
        <f>StaffSmallAreaPivot!E11</f>
        <v>0</v>
      </c>
      <c r="G18" s="876">
        <f>StaffSmallAreaPivot!F11</f>
        <v>0</v>
      </c>
      <c r="H18" s="56">
        <f>StaffSmallAreaPivot!G11</f>
        <v>6</v>
      </c>
      <c r="I18" s="54">
        <f t="shared" si="1"/>
        <v>243</v>
      </c>
      <c r="J18" s="54">
        <f t="shared" si="2"/>
        <v>237</v>
      </c>
    </row>
    <row r="19" spans="1:10" ht="15" customHeight="1" x14ac:dyDescent="0.35">
      <c r="A19" s="466" t="s">
        <v>294</v>
      </c>
      <c r="B19" s="55" t="s">
        <v>37</v>
      </c>
      <c r="C19" s="56">
        <f>StaffSmallAreaPivot!B12</f>
        <v>182</v>
      </c>
      <c r="D19" s="56">
        <f>StaffSmallAreaPivot!C12</f>
        <v>11</v>
      </c>
      <c r="E19" s="876">
        <f>StaffSmallAreaPivot!D12</f>
        <v>0</v>
      </c>
      <c r="F19" s="876">
        <f>StaffSmallAreaPivot!E12</f>
        <v>0</v>
      </c>
      <c r="G19" s="876">
        <f>StaffSmallAreaPivot!F12</f>
        <v>0</v>
      </c>
      <c r="H19" s="56">
        <f>StaffSmallAreaPivot!G12</f>
        <v>0</v>
      </c>
      <c r="I19" s="54">
        <f t="shared" si="1"/>
        <v>193</v>
      </c>
      <c r="J19" s="54">
        <f t="shared" si="2"/>
        <v>193</v>
      </c>
    </row>
    <row r="20" spans="1:10" ht="15" customHeight="1" x14ac:dyDescent="0.35">
      <c r="A20" s="466" t="s">
        <v>269</v>
      </c>
      <c r="B20" s="55" t="s">
        <v>38</v>
      </c>
      <c r="C20" s="56">
        <f>StaffSmallAreaPivot!B13</f>
        <v>47</v>
      </c>
      <c r="D20" s="56">
        <f>StaffSmallAreaPivot!C13</f>
        <v>78</v>
      </c>
      <c r="E20" s="876">
        <f>StaffSmallAreaPivot!D13</f>
        <v>0</v>
      </c>
      <c r="F20" s="876">
        <f>StaffSmallAreaPivot!E13</f>
        <v>0</v>
      </c>
      <c r="G20" s="876">
        <f>StaffSmallAreaPivot!F13</f>
        <v>0</v>
      </c>
      <c r="H20" s="56">
        <f>StaffSmallAreaPivot!G13</f>
        <v>0</v>
      </c>
      <c r="I20" s="54">
        <f t="shared" si="1"/>
        <v>125</v>
      </c>
      <c r="J20" s="54">
        <f t="shared" si="2"/>
        <v>125</v>
      </c>
    </row>
    <row r="21" spans="1:10" ht="15" customHeight="1" x14ac:dyDescent="0.35">
      <c r="A21" s="466" t="s">
        <v>296</v>
      </c>
      <c r="B21" s="55" t="s">
        <v>39</v>
      </c>
      <c r="C21" s="56">
        <f>StaffSmallAreaPivot!B14</f>
        <v>76</v>
      </c>
      <c r="D21" s="56">
        <f>StaffSmallAreaPivot!C14</f>
        <v>0</v>
      </c>
      <c r="E21" s="876">
        <f>StaffSmallAreaPivot!D14</f>
        <v>0</v>
      </c>
      <c r="F21" s="876">
        <f>StaffSmallAreaPivot!E14</f>
        <v>0</v>
      </c>
      <c r="G21" s="876">
        <f>StaffSmallAreaPivot!F14</f>
        <v>0</v>
      </c>
      <c r="H21" s="56">
        <f>StaffSmallAreaPivot!G14</f>
        <v>0</v>
      </c>
      <c r="I21" s="54">
        <f t="shared" si="1"/>
        <v>76</v>
      </c>
      <c r="J21" s="54">
        <f t="shared" si="2"/>
        <v>76</v>
      </c>
    </row>
    <row r="22" spans="1:10" ht="15" customHeight="1" x14ac:dyDescent="0.35">
      <c r="A22" s="466" t="s">
        <v>270</v>
      </c>
      <c r="B22" s="55" t="s">
        <v>40</v>
      </c>
      <c r="C22" s="56">
        <f>StaffSmallAreaPivot!B15</f>
        <v>26</v>
      </c>
      <c r="D22" s="56">
        <f>StaffSmallAreaPivot!C15</f>
        <v>64</v>
      </c>
      <c r="E22" s="876">
        <f>StaffSmallAreaPivot!D15</f>
        <v>0</v>
      </c>
      <c r="F22" s="876">
        <f>StaffSmallAreaPivot!E15</f>
        <v>0</v>
      </c>
      <c r="G22" s="876">
        <f>StaffSmallAreaPivot!F15</f>
        <v>0</v>
      </c>
      <c r="H22" s="56">
        <f>StaffSmallAreaPivot!G15</f>
        <v>0</v>
      </c>
      <c r="I22" s="54">
        <f t="shared" si="1"/>
        <v>90</v>
      </c>
      <c r="J22" s="54">
        <f t="shared" si="2"/>
        <v>90</v>
      </c>
    </row>
    <row r="23" spans="1:10" ht="15" customHeight="1" x14ac:dyDescent="0.35">
      <c r="A23" s="466" t="s">
        <v>271</v>
      </c>
      <c r="B23" s="55" t="s">
        <v>41</v>
      </c>
      <c r="C23" s="56">
        <f>StaffSmallAreaPivot!B16</f>
        <v>48</v>
      </c>
      <c r="D23" s="56">
        <f>StaffSmallAreaPivot!C16</f>
        <v>0</v>
      </c>
      <c r="E23" s="876">
        <f>StaffSmallAreaPivot!D16</f>
        <v>0</v>
      </c>
      <c r="F23" s="876">
        <f>StaffSmallAreaPivot!E16</f>
        <v>0</v>
      </c>
      <c r="G23" s="876">
        <f>StaffSmallAreaPivot!F16</f>
        <v>0</v>
      </c>
      <c r="H23" s="56">
        <f>StaffSmallAreaPivot!G16</f>
        <v>0</v>
      </c>
      <c r="I23" s="54">
        <f t="shared" si="1"/>
        <v>48</v>
      </c>
      <c r="J23" s="54">
        <f t="shared" si="2"/>
        <v>48</v>
      </c>
    </row>
    <row r="24" spans="1:10" ht="15" customHeight="1" x14ac:dyDescent="0.35">
      <c r="A24" s="466" t="s">
        <v>273</v>
      </c>
      <c r="B24" s="55" t="s">
        <v>42</v>
      </c>
      <c r="C24" s="56">
        <f>StaffSmallAreaPivot!B17</f>
        <v>88</v>
      </c>
      <c r="D24" s="56">
        <f>StaffSmallAreaPivot!C17</f>
        <v>56</v>
      </c>
      <c r="E24" s="876">
        <f>StaffSmallAreaPivot!D17</f>
        <v>0</v>
      </c>
      <c r="F24" s="876">
        <f>StaffSmallAreaPivot!E17</f>
        <v>0</v>
      </c>
      <c r="G24" s="876">
        <f>StaffSmallAreaPivot!F17</f>
        <v>0</v>
      </c>
      <c r="H24" s="56">
        <f>StaffSmallAreaPivot!G17</f>
        <v>0</v>
      </c>
      <c r="I24" s="54">
        <f t="shared" si="1"/>
        <v>144</v>
      </c>
      <c r="J24" s="54">
        <f t="shared" si="2"/>
        <v>144</v>
      </c>
    </row>
    <row r="25" spans="1:10" ht="15" customHeight="1" x14ac:dyDescent="0.35">
      <c r="A25" s="466" t="s">
        <v>298</v>
      </c>
      <c r="B25" s="55" t="s">
        <v>43</v>
      </c>
      <c r="C25" s="56">
        <f>StaffSmallAreaPivot!B18</f>
        <v>254</v>
      </c>
      <c r="D25" s="56">
        <f>StaffSmallAreaPivot!C18</f>
        <v>109</v>
      </c>
      <c r="E25" s="876">
        <f>StaffSmallAreaPivot!D18</f>
        <v>0</v>
      </c>
      <c r="F25" s="876">
        <f>StaffSmallAreaPivot!E18</f>
        <v>0</v>
      </c>
      <c r="G25" s="876">
        <f>StaffSmallAreaPivot!F18</f>
        <v>0</v>
      </c>
      <c r="H25" s="56">
        <f>StaffSmallAreaPivot!G18</f>
        <v>0</v>
      </c>
      <c r="I25" s="54">
        <f t="shared" si="1"/>
        <v>363</v>
      </c>
      <c r="J25" s="54">
        <f t="shared" si="2"/>
        <v>363</v>
      </c>
    </row>
    <row r="26" spans="1:10" ht="15" customHeight="1" x14ac:dyDescent="0.35">
      <c r="A26" s="466" t="str">
        <f>IF(A9 = "2019-20","S12000049","S12000046")</f>
        <v>S12000046</v>
      </c>
      <c r="B26" s="55" t="s">
        <v>114</v>
      </c>
      <c r="C26" s="56">
        <f>StaffSmallAreaPivot!B19</f>
        <v>499</v>
      </c>
      <c r="D26" s="56">
        <f>StaffSmallAreaPivot!C19</f>
        <v>0</v>
      </c>
      <c r="E26" s="876">
        <f>StaffSmallAreaPivot!D19</f>
        <v>0</v>
      </c>
      <c r="F26" s="876">
        <f>StaffSmallAreaPivot!E19</f>
        <v>0</v>
      </c>
      <c r="G26" s="876">
        <f>StaffSmallAreaPivot!F19</f>
        <v>0</v>
      </c>
      <c r="H26" s="56">
        <f>StaffSmallAreaPivot!G19</f>
        <v>0</v>
      </c>
      <c r="I26" s="54">
        <f t="shared" si="1"/>
        <v>499</v>
      </c>
      <c r="J26" s="54">
        <f t="shared" si="2"/>
        <v>499</v>
      </c>
    </row>
    <row r="27" spans="1:10" ht="15" customHeight="1" x14ac:dyDescent="0.35">
      <c r="A27" s="466" t="s">
        <v>274</v>
      </c>
      <c r="B27" s="55" t="s">
        <v>44</v>
      </c>
      <c r="C27" s="56">
        <f>StaffSmallAreaPivot!B20</f>
        <v>74</v>
      </c>
      <c r="D27" s="56">
        <f>StaffSmallAreaPivot!C20</f>
        <v>500</v>
      </c>
      <c r="E27" s="876">
        <f>StaffSmallAreaPivot!D20</f>
        <v>0</v>
      </c>
      <c r="F27" s="876">
        <f>StaffSmallAreaPivot!E20</f>
        <v>0</v>
      </c>
      <c r="G27" s="876">
        <f>StaffSmallAreaPivot!F20</f>
        <v>0</v>
      </c>
      <c r="H27" s="56">
        <f>StaffSmallAreaPivot!G20</f>
        <v>48</v>
      </c>
      <c r="I27" s="54">
        <f t="shared" si="1"/>
        <v>622</v>
      </c>
      <c r="J27" s="54">
        <f t="shared" si="2"/>
        <v>574</v>
      </c>
    </row>
    <row r="28" spans="1:10" ht="15" customHeight="1" x14ac:dyDescent="0.35">
      <c r="A28" s="466" t="s">
        <v>275</v>
      </c>
      <c r="B28" s="55" t="s">
        <v>45</v>
      </c>
      <c r="C28" s="56">
        <f>StaffSmallAreaPivot!B21</f>
        <v>70</v>
      </c>
      <c r="D28" s="56">
        <f>StaffSmallAreaPivot!C21</f>
        <v>44</v>
      </c>
      <c r="E28" s="876">
        <f>StaffSmallAreaPivot!D21</f>
        <v>0</v>
      </c>
      <c r="F28" s="876">
        <f>StaffSmallAreaPivot!E21</f>
        <v>0</v>
      </c>
      <c r="G28" s="876">
        <f>StaffSmallAreaPivot!F21</f>
        <v>0</v>
      </c>
      <c r="H28" s="56">
        <f>StaffSmallAreaPivot!G21</f>
        <v>0</v>
      </c>
      <c r="I28" s="54">
        <f t="shared" si="1"/>
        <v>114</v>
      </c>
      <c r="J28" s="54">
        <f t="shared" si="2"/>
        <v>114</v>
      </c>
    </row>
    <row r="29" spans="1:10" ht="15" customHeight="1" x14ac:dyDescent="0.35">
      <c r="A29" s="466" t="s">
        <v>276</v>
      </c>
      <c r="B29" s="55" t="s">
        <v>46</v>
      </c>
      <c r="C29" s="56">
        <f>StaffSmallAreaPivot!B22</f>
        <v>27</v>
      </c>
      <c r="D29" s="56">
        <f>StaffSmallAreaPivot!C22</f>
        <v>11</v>
      </c>
      <c r="E29" s="876">
        <f>StaffSmallAreaPivot!D22</f>
        <v>0</v>
      </c>
      <c r="F29" s="876">
        <f>StaffSmallAreaPivot!E22</f>
        <v>0</v>
      </c>
      <c r="G29" s="876">
        <f>StaffSmallAreaPivot!F22</f>
        <v>0</v>
      </c>
      <c r="H29" s="56">
        <f>StaffSmallAreaPivot!G22</f>
        <v>0</v>
      </c>
      <c r="I29" s="54">
        <f t="shared" si="1"/>
        <v>38</v>
      </c>
      <c r="J29" s="54">
        <f t="shared" si="2"/>
        <v>38</v>
      </c>
    </row>
    <row r="30" spans="1:10" ht="15" customHeight="1" x14ac:dyDescent="0.35">
      <c r="A30" s="466" t="s">
        <v>277</v>
      </c>
      <c r="B30" s="55" t="s">
        <v>47</v>
      </c>
      <c r="C30" s="56">
        <f>StaffSmallAreaPivot!B23</f>
        <v>30</v>
      </c>
      <c r="D30" s="56">
        <f>StaffSmallAreaPivot!C23</f>
        <v>114</v>
      </c>
      <c r="E30" s="876">
        <f>StaffSmallAreaPivot!D23</f>
        <v>0</v>
      </c>
      <c r="F30" s="876">
        <f>StaffSmallAreaPivot!E23</f>
        <v>0</v>
      </c>
      <c r="G30" s="876">
        <f>StaffSmallAreaPivot!F23</f>
        <v>0</v>
      </c>
      <c r="H30" s="56">
        <f>StaffSmallAreaPivot!G23</f>
        <v>3</v>
      </c>
      <c r="I30" s="54">
        <f t="shared" si="1"/>
        <v>147</v>
      </c>
      <c r="J30" s="54">
        <f t="shared" si="2"/>
        <v>144</v>
      </c>
    </row>
    <row r="31" spans="1:10" ht="15" customHeight="1" x14ac:dyDescent="0.35">
      <c r="A31" s="466" t="s">
        <v>272</v>
      </c>
      <c r="B31" s="55" t="s">
        <v>48</v>
      </c>
      <c r="C31" s="56">
        <f>StaffSmallAreaPivot!B24</f>
        <v>0</v>
      </c>
      <c r="D31" s="56">
        <f>StaffSmallAreaPivot!C24</f>
        <v>131</v>
      </c>
      <c r="E31" s="876">
        <f>StaffSmallAreaPivot!D24</f>
        <v>0</v>
      </c>
      <c r="F31" s="876">
        <f>StaffSmallAreaPivot!E24</f>
        <v>0</v>
      </c>
      <c r="G31" s="876">
        <f>StaffSmallAreaPivot!F24</f>
        <v>0</v>
      </c>
      <c r="H31" s="56">
        <f>StaffSmallAreaPivot!G24</f>
        <v>0</v>
      </c>
      <c r="I31" s="54">
        <f t="shared" si="1"/>
        <v>131</v>
      </c>
      <c r="J31" s="54">
        <f t="shared" si="2"/>
        <v>131</v>
      </c>
    </row>
    <row r="32" spans="1:10" ht="15" customHeight="1" x14ac:dyDescent="0.35">
      <c r="A32" s="466" t="s">
        <v>278</v>
      </c>
      <c r="B32" s="55" t="s">
        <v>49</v>
      </c>
      <c r="C32" s="56">
        <f>StaffSmallAreaPivot!B25</f>
        <v>75</v>
      </c>
      <c r="D32" s="56">
        <f>StaffSmallAreaPivot!C25</f>
        <v>100</v>
      </c>
      <c r="E32" s="876">
        <f>StaffSmallAreaPivot!D25</f>
        <v>0</v>
      </c>
      <c r="F32" s="876">
        <f>StaffSmallAreaPivot!E25</f>
        <v>0</v>
      </c>
      <c r="G32" s="876">
        <f>StaffSmallAreaPivot!F25</f>
        <v>0</v>
      </c>
      <c r="H32" s="56">
        <f>StaffSmallAreaPivot!G25</f>
        <v>22</v>
      </c>
      <c r="I32" s="54">
        <f t="shared" si="1"/>
        <v>197</v>
      </c>
      <c r="J32" s="54">
        <f t="shared" si="2"/>
        <v>175</v>
      </c>
    </row>
    <row r="33" spans="1:10" ht="15" customHeight="1" x14ac:dyDescent="0.35">
      <c r="A33" s="466" t="str">
        <f>IF(A9="2019-20","S12000050","S12000044")</f>
        <v>S12000044</v>
      </c>
      <c r="B33" s="55" t="s">
        <v>50</v>
      </c>
      <c r="C33" s="56">
        <f>StaffSmallAreaPivot!B26</f>
        <v>160</v>
      </c>
      <c r="D33" s="56">
        <f>StaffSmallAreaPivot!C26</f>
        <v>38</v>
      </c>
      <c r="E33" s="876">
        <f>StaffSmallAreaPivot!D26</f>
        <v>0</v>
      </c>
      <c r="F33" s="876">
        <f>StaffSmallAreaPivot!E26</f>
        <v>0</v>
      </c>
      <c r="G33" s="876">
        <f>StaffSmallAreaPivot!F26</f>
        <v>0</v>
      </c>
      <c r="H33" s="56">
        <f>StaffSmallAreaPivot!G26</f>
        <v>0</v>
      </c>
      <c r="I33" s="54">
        <f t="shared" si="1"/>
        <v>198</v>
      </c>
      <c r="J33" s="54">
        <f t="shared" si="2"/>
        <v>198</v>
      </c>
    </row>
    <row r="34" spans="1:10" ht="15" customHeight="1" x14ac:dyDescent="0.35">
      <c r="A34" s="466" t="s">
        <v>279</v>
      </c>
      <c r="B34" s="55" t="s">
        <v>51</v>
      </c>
      <c r="C34" s="56">
        <f>StaffSmallAreaPivot!B27</f>
        <v>0</v>
      </c>
      <c r="D34" s="56">
        <f>StaffSmallAreaPivot!C27</f>
        <v>112</v>
      </c>
      <c r="E34" s="876">
        <f>StaffSmallAreaPivot!D27</f>
        <v>0</v>
      </c>
      <c r="F34" s="876">
        <f>StaffSmallAreaPivot!E27</f>
        <v>0</v>
      </c>
      <c r="G34" s="876">
        <f>StaffSmallAreaPivot!F27</f>
        <v>0</v>
      </c>
      <c r="H34" s="56">
        <f>StaffSmallAreaPivot!G27</f>
        <v>0</v>
      </c>
      <c r="I34" s="54">
        <f t="shared" si="1"/>
        <v>112</v>
      </c>
      <c r="J34" s="54">
        <f t="shared" si="2"/>
        <v>112</v>
      </c>
    </row>
    <row r="35" spans="1:10" ht="15" customHeight="1" x14ac:dyDescent="0.35">
      <c r="A35" s="466" t="s">
        <v>280</v>
      </c>
      <c r="B35" s="55" t="s">
        <v>52</v>
      </c>
      <c r="C35" s="56">
        <f>StaffSmallAreaPivot!B28</f>
        <v>63</v>
      </c>
      <c r="D35" s="56">
        <f>StaffSmallAreaPivot!C28</f>
        <v>130</v>
      </c>
      <c r="E35" s="876">
        <f>StaffSmallAreaPivot!D28</f>
        <v>0</v>
      </c>
      <c r="F35" s="876">
        <f>StaffSmallAreaPivot!E28</f>
        <v>0</v>
      </c>
      <c r="G35" s="876">
        <f>StaffSmallAreaPivot!F28</f>
        <v>0</v>
      </c>
      <c r="H35" s="56">
        <f>StaffSmallAreaPivot!G28</f>
        <v>21</v>
      </c>
      <c r="I35" s="54">
        <f t="shared" si="1"/>
        <v>214</v>
      </c>
      <c r="J35" s="54">
        <f t="shared" si="2"/>
        <v>193</v>
      </c>
    </row>
    <row r="36" spans="1:10" ht="15" customHeight="1" x14ac:dyDescent="0.35">
      <c r="A36" s="466" t="s">
        <v>290</v>
      </c>
      <c r="B36" s="55" t="s">
        <v>53</v>
      </c>
      <c r="C36" s="56">
        <f>StaffSmallAreaPivot!B29</f>
        <v>100</v>
      </c>
      <c r="D36" s="56">
        <f>StaffSmallAreaPivot!C29</f>
        <v>13</v>
      </c>
      <c r="E36" s="876">
        <f>StaffSmallAreaPivot!D29</f>
        <v>0</v>
      </c>
      <c r="F36" s="876">
        <f>StaffSmallAreaPivot!E29</f>
        <v>0</v>
      </c>
      <c r="G36" s="876">
        <f>StaffSmallAreaPivot!F29</f>
        <v>0</v>
      </c>
      <c r="H36" s="56">
        <f>StaffSmallAreaPivot!G29</f>
        <v>0</v>
      </c>
      <c r="I36" s="54">
        <f t="shared" si="1"/>
        <v>113</v>
      </c>
      <c r="J36" s="54">
        <f t="shared" si="2"/>
        <v>113</v>
      </c>
    </row>
    <row r="37" spans="1:10" ht="15" customHeight="1" x14ac:dyDescent="0.35">
      <c r="A37" s="466" t="s">
        <v>281</v>
      </c>
      <c r="B37" s="55" t="s">
        <v>54</v>
      </c>
      <c r="C37" s="56">
        <f>StaffSmallAreaPivot!B30</f>
        <v>51</v>
      </c>
      <c r="D37" s="56">
        <f>StaffSmallAreaPivot!C30</f>
        <v>149</v>
      </c>
      <c r="E37" s="876">
        <f>StaffSmallAreaPivot!D30</f>
        <v>0</v>
      </c>
      <c r="F37" s="876">
        <f>StaffSmallAreaPivot!E30</f>
        <v>0</v>
      </c>
      <c r="G37" s="876">
        <f>StaffSmallAreaPivot!F30</f>
        <v>0</v>
      </c>
      <c r="H37" s="56">
        <f>StaffSmallAreaPivot!G30</f>
        <v>0</v>
      </c>
      <c r="I37" s="54">
        <f t="shared" si="1"/>
        <v>200</v>
      </c>
      <c r="J37" s="54">
        <f t="shared" si="2"/>
        <v>200</v>
      </c>
    </row>
    <row r="38" spans="1:10" ht="15" customHeight="1" x14ac:dyDescent="0.35">
      <c r="A38" s="466" t="s">
        <v>282</v>
      </c>
      <c r="B38" s="55" t="s">
        <v>55</v>
      </c>
      <c r="C38" s="56">
        <f>StaffSmallAreaPivot!B31</f>
        <v>0</v>
      </c>
      <c r="D38" s="56">
        <f>StaffSmallAreaPivot!C31</f>
        <v>132</v>
      </c>
      <c r="E38" s="876">
        <f>StaffSmallAreaPivot!D31</f>
        <v>0</v>
      </c>
      <c r="F38" s="876">
        <f>StaffSmallAreaPivot!E31</f>
        <v>0</v>
      </c>
      <c r="G38" s="876">
        <f>StaffSmallAreaPivot!F31</f>
        <v>0</v>
      </c>
      <c r="H38" s="56">
        <f>StaffSmallAreaPivot!G31</f>
        <v>0</v>
      </c>
      <c r="I38" s="54">
        <f t="shared" si="1"/>
        <v>132</v>
      </c>
      <c r="J38" s="54">
        <f t="shared" si="2"/>
        <v>132</v>
      </c>
    </row>
    <row r="39" spans="1:10" ht="15" customHeight="1" x14ac:dyDescent="0.35">
      <c r="A39" s="466" t="s">
        <v>283</v>
      </c>
      <c r="B39" s="55" t="s">
        <v>56</v>
      </c>
      <c r="C39" s="56">
        <f>StaffSmallAreaPivot!B32</f>
        <v>51</v>
      </c>
      <c r="D39" s="56">
        <f>StaffSmallAreaPivot!C32</f>
        <v>52</v>
      </c>
      <c r="E39" s="876">
        <f>StaffSmallAreaPivot!D32</f>
        <v>0</v>
      </c>
      <c r="F39" s="876">
        <f>StaffSmallAreaPivot!E32</f>
        <v>0</v>
      </c>
      <c r="G39" s="876">
        <f>StaffSmallAreaPivot!F32</f>
        <v>0</v>
      </c>
      <c r="H39" s="56">
        <f>StaffSmallAreaPivot!G32</f>
        <v>0</v>
      </c>
      <c r="I39" s="54">
        <f t="shared" si="1"/>
        <v>103</v>
      </c>
      <c r="J39" s="54">
        <f t="shared" si="2"/>
        <v>103</v>
      </c>
    </row>
    <row r="40" spans="1:10" ht="15" customHeight="1" x14ac:dyDescent="0.35">
      <c r="A40" s="466" t="s">
        <v>284</v>
      </c>
      <c r="B40" s="55" t="s">
        <v>57</v>
      </c>
      <c r="C40" s="56">
        <f>StaffSmallAreaPivot!B33</f>
        <v>168</v>
      </c>
      <c r="D40" s="56">
        <f>StaffSmallAreaPivot!C33</f>
        <v>84</v>
      </c>
      <c r="E40" s="876">
        <f>StaffSmallAreaPivot!D33</f>
        <v>0</v>
      </c>
      <c r="F40" s="876">
        <f>StaffSmallAreaPivot!E33</f>
        <v>0</v>
      </c>
      <c r="G40" s="876">
        <f>StaffSmallAreaPivot!F33</f>
        <v>0</v>
      </c>
      <c r="H40" s="56">
        <f>StaffSmallAreaPivot!G33</f>
        <v>2</v>
      </c>
      <c r="I40" s="54">
        <f t="shared" si="1"/>
        <v>254</v>
      </c>
      <c r="J40" s="54">
        <f t="shared" si="2"/>
        <v>252</v>
      </c>
    </row>
    <row r="41" spans="1:10" ht="15" customHeight="1" x14ac:dyDescent="0.35">
      <c r="A41" s="466" t="s">
        <v>285</v>
      </c>
      <c r="B41" s="55" t="s">
        <v>58</v>
      </c>
      <c r="C41" s="56">
        <f>StaffSmallAreaPivot!B34</f>
        <v>52</v>
      </c>
      <c r="D41" s="56">
        <f>StaffSmallAreaPivot!C34</f>
        <v>75</v>
      </c>
      <c r="E41" s="876">
        <f>StaffSmallAreaPivot!D34</f>
        <v>0</v>
      </c>
      <c r="F41" s="876">
        <f>StaffSmallAreaPivot!E34</f>
        <v>0</v>
      </c>
      <c r="G41" s="876">
        <f>StaffSmallAreaPivot!F34</f>
        <v>0</v>
      </c>
      <c r="H41" s="56">
        <f>StaffSmallAreaPivot!G34</f>
        <v>0</v>
      </c>
      <c r="I41" s="54">
        <f t="shared" si="1"/>
        <v>127</v>
      </c>
      <c r="J41" s="54">
        <f t="shared" si="2"/>
        <v>127</v>
      </c>
    </row>
    <row r="42" spans="1:10" ht="15" customHeight="1" x14ac:dyDescent="0.35">
      <c r="A42" s="466" t="s">
        <v>291</v>
      </c>
      <c r="B42" s="55" t="s">
        <v>59</v>
      </c>
      <c r="C42" s="56">
        <f>StaffSmallAreaPivot!B35</f>
        <v>73</v>
      </c>
      <c r="D42" s="56">
        <f>StaffSmallAreaPivot!C35</f>
        <v>22</v>
      </c>
      <c r="E42" s="876">
        <f>StaffSmallAreaPivot!D35</f>
        <v>0</v>
      </c>
      <c r="F42" s="876">
        <f>StaffSmallAreaPivot!E35</f>
        <v>0</v>
      </c>
      <c r="G42" s="876">
        <f>StaffSmallAreaPivot!F35</f>
        <v>0</v>
      </c>
      <c r="H42" s="56">
        <f>StaffSmallAreaPivot!G35</f>
        <v>0</v>
      </c>
      <c r="I42" s="54">
        <f t="shared" si="1"/>
        <v>95</v>
      </c>
      <c r="J42" s="54">
        <f t="shared" si="2"/>
        <v>95</v>
      </c>
    </row>
    <row r="43" spans="1:10" ht="15" customHeight="1" x14ac:dyDescent="0.35">
      <c r="A43" s="466" t="s">
        <v>292</v>
      </c>
      <c r="B43" s="55" t="s">
        <v>60</v>
      </c>
      <c r="C43" s="56">
        <f>StaffSmallAreaPivot!B36</f>
        <v>57</v>
      </c>
      <c r="D43" s="56">
        <f>StaffSmallAreaPivot!C36</f>
        <v>58</v>
      </c>
      <c r="E43" s="876">
        <f>StaffSmallAreaPivot!D36</f>
        <v>0</v>
      </c>
      <c r="F43" s="876">
        <f>StaffSmallAreaPivot!E36</f>
        <v>0</v>
      </c>
      <c r="G43" s="876">
        <f>StaffSmallAreaPivot!F36</f>
        <v>0</v>
      </c>
      <c r="H43" s="56">
        <f>StaffSmallAreaPivot!G36</f>
        <v>0</v>
      </c>
      <c r="I43" s="54">
        <f t="shared" si="1"/>
        <v>115</v>
      </c>
      <c r="J43" s="54">
        <f t="shared" si="2"/>
        <v>115</v>
      </c>
    </row>
    <row r="44" spans="1:10" ht="30" customHeight="1" thickBot="1" x14ac:dyDescent="0.4">
      <c r="A44" s="59"/>
      <c r="B44" s="59" t="s">
        <v>61</v>
      </c>
      <c r="C44" s="60">
        <f t="shared" ref="C44:I44" si="3">SUM(C12:C43)</f>
        <v>2903</v>
      </c>
      <c r="D44" s="60">
        <f t="shared" si="3"/>
        <v>2872</v>
      </c>
      <c r="E44" s="529">
        <f t="shared" si="3"/>
        <v>0</v>
      </c>
      <c r="F44" s="529">
        <f t="shared" si="3"/>
        <v>0</v>
      </c>
      <c r="G44" s="529">
        <f t="shared" si="3"/>
        <v>0</v>
      </c>
      <c r="H44" s="60">
        <f t="shared" si="3"/>
        <v>303</v>
      </c>
      <c r="I44" s="60">
        <f t="shared" si="3"/>
        <v>6078</v>
      </c>
      <c r="J44" s="60">
        <f t="shared" ref="J44" si="4">SUM(J12:J43)</f>
        <v>5775</v>
      </c>
    </row>
    <row r="45" spans="1:10" ht="19.5" customHeight="1" x14ac:dyDescent="0.35">
      <c r="A45" s="61"/>
      <c r="B45" s="61"/>
      <c r="C45" s="53"/>
      <c r="D45" s="53"/>
      <c r="E45" s="53"/>
      <c r="F45" s="53"/>
      <c r="G45" s="53"/>
      <c r="H45" s="53"/>
      <c r="I45" s="54"/>
      <c r="J45" s="54"/>
    </row>
    <row r="46" spans="1:10" ht="37.5" customHeight="1" x14ac:dyDescent="0.35">
      <c r="A46" s="537" t="s">
        <v>450</v>
      </c>
      <c r="B46" s="537" t="s">
        <v>62</v>
      </c>
      <c r="C46" s="44" t="s">
        <v>27</v>
      </c>
      <c r="D46" s="44" t="s">
        <v>28</v>
      </c>
      <c r="E46" s="44" t="s">
        <v>849</v>
      </c>
      <c r="F46" s="44" t="s">
        <v>2</v>
      </c>
      <c r="G46" s="44" t="s">
        <v>3</v>
      </c>
      <c r="H46" s="44" t="s">
        <v>29</v>
      </c>
      <c r="I46" s="4" t="s">
        <v>10</v>
      </c>
      <c r="J46" s="4" t="s">
        <v>95</v>
      </c>
    </row>
    <row r="47" spans="1:10" ht="22.5" customHeight="1" x14ac:dyDescent="0.35">
      <c r="A47" s="467" t="s">
        <v>326</v>
      </c>
      <c r="B47" s="64" t="s">
        <v>31</v>
      </c>
      <c r="C47" s="65">
        <f>StaffSmallAreaPivot!B39</f>
        <v>12</v>
      </c>
      <c r="D47" s="875">
        <f>StaffSmallAreaPivot!C39</f>
        <v>0</v>
      </c>
      <c r="E47" s="65">
        <f>StaffSmallAreaPivot!D39</f>
        <v>0</v>
      </c>
      <c r="F47" s="875">
        <f>StaffSmallAreaPivot!E39</f>
        <v>0</v>
      </c>
      <c r="G47" s="875">
        <f>StaffSmallAreaPivot!F39</f>
        <v>0</v>
      </c>
      <c r="H47" s="875">
        <f>StaffSmallAreaPivot!G39</f>
        <v>0</v>
      </c>
      <c r="I47" s="71">
        <f>SUM(C47:H47)</f>
        <v>12</v>
      </c>
      <c r="J47" s="71">
        <f t="shared" ref="J47:J56" si="5">I47-H47</f>
        <v>12</v>
      </c>
    </row>
    <row r="48" spans="1:10" ht="15" customHeight="1" x14ac:dyDescent="0.35">
      <c r="A48" s="468" t="s">
        <v>327</v>
      </c>
      <c r="B48" s="66" t="s">
        <v>63</v>
      </c>
      <c r="C48" s="56">
        <f>StaffSmallAreaPivot!B40</f>
        <v>26</v>
      </c>
      <c r="D48" s="876">
        <f>StaffSmallAreaPivot!C40</f>
        <v>0</v>
      </c>
      <c r="E48" s="56">
        <f>StaffSmallAreaPivot!D40</f>
        <v>7</v>
      </c>
      <c r="F48" s="876">
        <f>StaffSmallAreaPivot!E40</f>
        <v>0</v>
      </c>
      <c r="G48" s="876">
        <f>StaffSmallAreaPivot!F40</f>
        <v>0</v>
      </c>
      <c r="H48" s="876">
        <f>StaffSmallAreaPivot!G40</f>
        <v>0</v>
      </c>
      <c r="I48" s="54">
        <f t="shared" ref="I48:I63" si="6">SUM(C48:H48)</f>
        <v>33</v>
      </c>
      <c r="J48" s="54">
        <f t="shared" si="5"/>
        <v>33</v>
      </c>
    </row>
    <row r="49" spans="1:10" ht="15" customHeight="1" x14ac:dyDescent="0.35">
      <c r="A49" s="468" t="s">
        <v>329</v>
      </c>
      <c r="B49" s="66" t="s">
        <v>64</v>
      </c>
      <c r="C49" s="56">
        <f>StaffSmallAreaPivot!B41</f>
        <v>26</v>
      </c>
      <c r="D49" s="876">
        <f>StaffSmallAreaPivot!C41</f>
        <v>0</v>
      </c>
      <c r="E49" s="56">
        <f>StaffSmallAreaPivot!D41</f>
        <v>6</v>
      </c>
      <c r="F49" s="876">
        <f>StaffSmallAreaPivot!E41</f>
        <v>0</v>
      </c>
      <c r="G49" s="876">
        <f>StaffSmallAreaPivot!F41</f>
        <v>0</v>
      </c>
      <c r="H49" s="876">
        <f>StaffSmallAreaPivot!G41</f>
        <v>0</v>
      </c>
      <c r="I49" s="54">
        <f t="shared" si="6"/>
        <v>32</v>
      </c>
      <c r="J49" s="54">
        <f t="shared" si="5"/>
        <v>32</v>
      </c>
    </row>
    <row r="50" spans="1:10" ht="15" customHeight="1" x14ac:dyDescent="0.35">
      <c r="A50" s="468" t="s">
        <v>330</v>
      </c>
      <c r="B50" s="66" t="s">
        <v>36</v>
      </c>
      <c r="C50" s="56">
        <f>StaffSmallAreaPivot!B42</f>
        <v>21</v>
      </c>
      <c r="D50" s="876">
        <f>StaffSmallAreaPivot!C42</f>
        <v>0</v>
      </c>
      <c r="E50" s="56">
        <f>StaffSmallAreaPivot!D42</f>
        <v>4</v>
      </c>
      <c r="F50" s="876">
        <f>StaffSmallAreaPivot!E42</f>
        <v>0</v>
      </c>
      <c r="G50" s="876">
        <f>StaffSmallAreaPivot!F42</f>
        <v>0</v>
      </c>
      <c r="H50" s="876">
        <f>StaffSmallAreaPivot!G42</f>
        <v>0</v>
      </c>
      <c r="I50" s="54">
        <f t="shared" si="6"/>
        <v>25</v>
      </c>
      <c r="J50" s="54">
        <f t="shared" si="5"/>
        <v>25</v>
      </c>
    </row>
    <row r="51" spans="1:10" ht="15" customHeight="1" x14ac:dyDescent="0.35">
      <c r="A51" s="468" t="s">
        <v>328</v>
      </c>
      <c r="B51" s="66" t="s">
        <v>65</v>
      </c>
      <c r="C51" s="56">
        <f>StaffSmallAreaPivot!B43</f>
        <v>28</v>
      </c>
      <c r="D51" s="876">
        <f>StaffSmallAreaPivot!C43</f>
        <v>0</v>
      </c>
      <c r="E51" s="56">
        <f>StaffSmallAreaPivot!D43</f>
        <v>3</v>
      </c>
      <c r="F51" s="876">
        <f>StaffSmallAreaPivot!E43</f>
        <v>0</v>
      </c>
      <c r="G51" s="876">
        <f>StaffSmallAreaPivot!F43</f>
        <v>0</v>
      </c>
      <c r="H51" s="876">
        <f>StaffSmallAreaPivot!G43</f>
        <v>0</v>
      </c>
      <c r="I51" s="54">
        <f t="shared" si="6"/>
        <v>31</v>
      </c>
      <c r="J51" s="54">
        <f t="shared" si="5"/>
        <v>31</v>
      </c>
    </row>
    <row r="52" spans="1:10" ht="15" customHeight="1" x14ac:dyDescent="0.35">
      <c r="A52" s="468" t="s">
        <v>331</v>
      </c>
      <c r="B52" s="66" t="s">
        <v>66</v>
      </c>
      <c r="C52" s="56">
        <f>StaffSmallAreaPivot!B44</f>
        <v>27</v>
      </c>
      <c r="D52" s="876">
        <f>StaffSmallAreaPivot!C44</f>
        <v>0</v>
      </c>
      <c r="E52" s="56">
        <f>StaffSmallAreaPivot!D44</f>
        <v>4</v>
      </c>
      <c r="F52" s="876">
        <f>StaffSmallAreaPivot!E44</f>
        <v>0</v>
      </c>
      <c r="G52" s="876">
        <f>StaffSmallAreaPivot!F44</f>
        <v>0</v>
      </c>
      <c r="H52" s="876">
        <f>StaffSmallAreaPivot!G44</f>
        <v>0</v>
      </c>
      <c r="I52" s="54">
        <f t="shared" si="6"/>
        <v>31</v>
      </c>
      <c r="J52" s="54">
        <f t="shared" si="5"/>
        <v>31</v>
      </c>
    </row>
    <row r="53" spans="1:10" ht="15" customHeight="1" x14ac:dyDescent="0.35">
      <c r="A53" s="468" t="s">
        <v>332</v>
      </c>
      <c r="B53" s="66" t="s">
        <v>67</v>
      </c>
      <c r="C53" s="56">
        <f>StaffSmallAreaPivot!B45</f>
        <v>28</v>
      </c>
      <c r="D53" s="876">
        <f>StaffSmallAreaPivot!C45</f>
        <v>0</v>
      </c>
      <c r="E53" s="56">
        <f>StaffSmallAreaPivot!D45</f>
        <v>4</v>
      </c>
      <c r="F53" s="876">
        <f>StaffSmallAreaPivot!E45</f>
        <v>0</v>
      </c>
      <c r="G53" s="876">
        <f>StaffSmallAreaPivot!F45</f>
        <v>0</v>
      </c>
      <c r="H53" s="876">
        <f>StaffSmallAreaPivot!G45</f>
        <v>0</v>
      </c>
      <c r="I53" s="54">
        <f t="shared" si="6"/>
        <v>32</v>
      </c>
      <c r="J53" s="54">
        <f t="shared" si="5"/>
        <v>32</v>
      </c>
    </row>
    <row r="54" spans="1:10" ht="15" customHeight="1" x14ac:dyDescent="0.35">
      <c r="A54" s="420" t="s">
        <v>333</v>
      </c>
      <c r="B54" s="66" t="s">
        <v>68</v>
      </c>
      <c r="C54" s="56">
        <f>StaffSmallAreaPivot!B46</f>
        <v>17</v>
      </c>
      <c r="D54" s="876">
        <f>StaffSmallAreaPivot!C46</f>
        <v>0</v>
      </c>
      <c r="E54" s="56">
        <f>StaffSmallAreaPivot!D46</f>
        <v>0</v>
      </c>
      <c r="F54" s="876">
        <f>StaffSmallAreaPivot!E46</f>
        <v>0</v>
      </c>
      <c r="G54" s="876">
        <f>StaffSmallAreaPivot!F46</f>
        <v>0</v>
      </c>
      <c r="H54" s="876">
        <f>StaffSmallAreaPivot!G46</f>
        <v>0</v>
      </c>
      <c r="I54" s="54">
        <f t="shared" si="6"/>
        <v>17</v>
      </c>
      <c r="J54" s="54">
        <f t="shared" si="5"/>
        <v>17</v>
      </c>
    </row>
    <row r="55" spans="1:10" ht="15" customHeight="1" x14ac:dyDescent="0.35">
      <c r="A55" s="468" t="s">
        <v>334</v>
      </c>
      <c r="B55" s="66" t="s">
        <v>167</v>
      </c>
      <c r="C55" s="56">
        <f>StaffSmallAreaPivot!B47</f>
        <v>29</v>
      </c>
      <c r="D55" s="876">
        <f>StaffSmallAreaPivot!C47</f>
        <v>0</v>
      </c>
      <c r="E55" s="56">
        <f>StaffSmallAreaPivot!D47</f>
        <v>0</v>
      </c>
      <c r="F55" s="876">
        <f>StaffSmallAreaPivot!E47</f>
        <v>0</v>
      </c>
      <c r="G55" s="876">
        <f>StaffSmallAreaPivot!F47</f>
        <v>0</v>
      </c>
      <c r="H55" s="876">
        <f>StaffSmallAreaPivot!G47</f>
        <v>0</v>
      </c>
      <c r="I55" s="54">
        <f t="shared" si="6"/>
        <v>29</v>
      </c>
      <c r="J55" s="54">
        <f t="shared" si="5"/>
        <v>29</v>
      </c>
    </row>
    <row r="56" spans="1:10" ht="15" customHeight="1" x14ac:dyDescent="0.35">
      <c r="A56" s="468" t="s">
        <v>335</v>
      </c>
      <c r="B56" s="66" t="s">
        <v>69</v>
      </c>
      <c r="C56" s="56">
        <f>StaffSmallAreaPivot!B48</f>
        <v>19</v>
      </c>
      <c r="D56" s="876">
        <f>StaffSmallAreaPivot!C48</f>
        <v>0</v>
      </c>
      <c r="E56" s="56">
        <f>StaffSmallAreaPivot!D48</f>
        <v>2</v>
      </c>
      <c r="F56" s="876">
        <f>StaffSmallAreaPivot!E48</f>
        <v>0</v>
      </c>
      <c r="G56" s="876">
        <f>StaffSmallAreaPivot!F48</f>
        <v>0</v>
      </c>
      <c r="H56" s="876">
        <f>StaffSmallAreaPivot!G48</f>
        <v>0</v>
      </c>
      <c r="I56" s="54">
        <f t="shared" si="6"/>
        <v>21</v>
      </c>
      <c r="J56" s="54">
        <f t="shared" si="5"/>
        <v>21</v>
      </c>
    </row>
    <row r="57" spans="1:10" ht="15" customHeight="1" x14ac:dyDescent="0.35">
      <c r="A57" s="468" t="str">
        <f>IF(AND(A9 &lt;&gt; "2019-20", A9 &lt;&gt; "2020-21"),"S39000019","")</f>
        <v/>
      </c>
      <c r="B57" s="359" t="str">
        <f>IF(AND(A9 &lt;&gt; "2019-20", A9 &lt;&gt; "2020-21"), "Fife", " ")</f>
        <v xml:space="preserve"> </v>
      </c>
      <c r="C57" s="878" t="str">
        <f>IF(AND($A$9 &lt;&gt; "2019-20", $A$9 &lt;&gt; "2020-21"), StaffSmallAreaPivot!B49, "-")</f>
        <v>-</v>
      </c>
      <c r="D57" s="879" t="str">
        <f>IF(AND($A$9 &lt;&gt; "2019-20", $A$9 &lt;&gt; "2020-21"), StaffSmallAreaPivot!C49, "-")</f>
        <v>-</v>
      </c>
      <c r="E57" s="878" t="str">
        <f>IF(AND($A$9 &lt;&gt; "2019-20", $A$9 &lt;&gt; "2020-21"), StaffSmallAreaPivot!D49, "-")</f>
        <v>-</v>
      </c>
      <c r="F57" s="879" t="str">
        <f>IF(AND($A$9 &lt;&gt; "2019-20", $A$9 &lt;&gt; "2020-21"), StaffSmallAreaPivot!E49, "-")</f>
        <v>-</v>
      </c>
      <c r="G57" s="879" t="str">
        <f>IF(AND($A$9 &lt;&gt; "2019-20", $A$9 &lt;&gt; "2020-21"), StaffSmallAreaPivot!F49, "-")</f>
        <v>-</v>
      </c>
      <c r="H57" s="879" t="str">
        <f>IF(AND($A$9 &lt;&gt; "2019-20", $A$9 &lt;&gt; "2020-21"), StaffSmallAreaPivot!G49, "-")</f>
        <v>-</v>
      </c>
      <c r="I57" s="54">
        <f t="shared" si="6"/>
        <v>0</v>
      </c>
      <c r="J57" s="73" t="str">
        <f>IFERROR(I57-H57, "-")</f>
        <v>-</v>
      </c>
    </row>
    <row r="58" spans="1:10" ht="15" customHeight="1" x14ac:dyDescent="0.35">
      <c r="A58" s="468" t="str">
        <f>IF(A9="2018-19","S39000012","S39000020")</f>
        <v>S39000020</v>
      </c>
      <c r="B58" s="66" t="s">
        <v>114</v>
      </c>
      <c r="C58" s="874">
        <f>IF(AND($A$9 &lt;&gt; "2019-20", $A$9 &lt;&gt; "2020-21"), StaffSmallAreaPivot!B50, StaffSmallAreaPivot!B49)</f>
        <v>26</v>
      </c>
      <c r="D58" s="876">
        <f>IF(AND($A$9 &lt;&gt; "2019-20", $A$9 &lt;&gt; "2020-21"), StaffSmallAreaPivot!C50, StaffSmallAreaPivot!C49)</f>
        <v>0</v>
      </c>
      <c r="E58" s="874">
        <f>IF(AND($A$9 &lt;&gt; "2019-20", $A$9 &lt;&gt; "2020-21"), StaffSmallAreaPivot!D50, StaffSmallAreaPivot!D49)</f>
        <v>0</v>
      </c>
      <c r="F58" s="876">
        <f>IF(AND($A$9 &lt;&gt; "2019-20", $A$9 &lt;&gt; "2020-21"), StaffSmallAreaPivot!E50, StaffSmallAreaPivot!E49)</f>
        <v>0</v>
      </c>
      <c r="G58" s="876">
        <f>IF(AND($A$9 &lt;&gt; "2019-20", $A$9 &lt;&gt; "2020-21"), StaffSmallAreaPivot!F50, StaffSmallAreaPivot!F49)</f>
        <v>0</v>
      </c>
      <c r="H58" s="876">
        <f>IF(AND($A$9 &lt;&gt; "2019-20", $A$9 &lt;&gt; "2020-21"), StaffSmallAreaPivot!G50, StaffSmallAreaPivot!G49)</f>
        <v>0</v>
      </c>
      <c r="I58" s="54">
        <f t="shared" si="6"/>
        <v>26</v>
      </c>
      <c r="J58" s="54">
        <f t="shared" ref="J58:J63" si="7">I58-H58</f>
        <v>26</v>
      </c>
    </row>
    <row r="59" spans="1:10" ht="15" customHeight="1" x14ac:dyDescent="0.35">
      <c r="A59" s="468" t="s">
        <v>336</v>
      </c>
      <c r="B59" s="66" t="s">
        <v>70</v>
      </c>
      <c r="C59" s="874">
        <f>IF(AND($A$9 &lt;&gt; "2019-20", $A$9 &lt;&gt; "2020-21"), StaffSmallAreaPivot!B51, StaffSmallAreaPivot!B50)</f>
        <v>35</v>
      </c>
      <c r="D59" s="876">
        <f>IF(AND($A$9 &lt;&gt; "2019-20", $A$9 &lt;&gt; "2020-21"), StaffSmallAreaPivot!C51, StaffSmallAreaPivot!C50)</f>
        <v>0</v>
      </c>
      <c r="E59" s="874">
        <f>IF(AND($A$9 &lt;&gt; "2019-20", $A$9 &lt;&gt; "2020-21"), StaffSmallAreaPivot!D51, StaffSmallAreaPivot!D50)</f>
        <v>11</v>
      </c>
      <c r="F59" s="876">
        <f>IF(AND($A$9 &lt;&gt; "2019-20", $A$9 &lt;&gt; "2020-21"), StaffSmallAreaPivot!E51, StaffSmallAreaPivot!E50)</f>
        <v>0</v>
      </c>
      <c r="G59" s="876">
        <f>IF(AND($A$9 &lt;&gt; "2019-20", $A$9 &lt;&gt; "2020-21"), StaffSmallAreaPivot!F51, StaffSmallAreaPivot!F50)</f>
        <v>0</v>
      </c>
      <c r="H59" s="876">
        <f>IF(AND($A$9 &lt;&gt; "2019-20", $A$9 &lt;&gt; "2020-21"), StaffSmallAreaPivot!G51, StaffSmallAreaPivot!G50)</f>
        <v>0</v>
      </c>
      <c r="I59" s="54">
        <f t="shared" si="6"/>
        <v>46</v>
      </c>
      <c r="J59" s="54">
        <f t="shared" si="7"/>
        <v>46</v>
      </c>
    </row>
    <row r="60" spans="1:10" ht="15" customHeight="1" x14ac:dyDescent="0.35">
      <c r="A60" s="468" t="str">
        <f>IF(A9="2018-19","S39000014","S39000021")</f>
        <v>S39000021</v>
      </c>
      <c r="B60" s="66" t="s">
        <v>50</v>
      </c>
      <c r="C60" s="874">
        <f>IF(AND($A$9 &lt;&gt; "2019-20", $A$9 &lt;&gt; "2020-21"), StaffSmallAreaPivot!B52, StaffSmallAreaPivot!B51)</f>
        <v>15</v>
      </c>
      <c r="D60" s="876">
        <f>IF(AND($A$9 &lt;&gt; "2019-20", $A$9 &lt;&gt; "2020-21"), StaffSmallAreaPivot!C52, StaffSmallAreaPivot!C51)</f>
        <v>0</v>
      </c>
      <c r="E60" s="874">
        <f>IF(AND($A$9 &lt;&gt; "2019-20", $A$9 &lt;&gt; "2020-21"), StaffSmallAreaPivot!D52, StaffSmallAreaPivot!D51)</f>
        <v>0</v>
      </c>
      <c r="F60" s="876">
        <f>IF(AND($A$9 &lt;&gt; "2019-20", $A$9 &lt;&gt; "2020-21"), StaffSmallAreaPivot!E52, StaffSmallAreaPivot!E51)</f>
        <v>0</v>
      </c>
      <c r="G60" s="876">
        <f>IF(AND($A$9 &lt;&gt; "2019-20", $A$9 &lt;&gt; "2020-21"), StaffSmallAreaPivot!F52, StaffSmallAreaPivot!F51)</f>
        <v>0</v>
      </c>
      <c r="H60" s="876">
        <f>IF(AND($A$9 &lt;&gt; "2019-20", $A$9 &lt;&gt; "2020-21"), StaffSmallAreaPivot!G52, StaffSmallAreaPivot!G51)</f>
        <v>0</v>
      </c>
      <c r="I60" s="54">
        <f t="shared" si="6"/>
        <v>15</v>
      </c>
      <c r="J60" s="54">
        <f t="shared" si="7"/>
        <v>15</v>
      </c>
    </row>
    <row r="61" spans="1:10" ht="15" customHeight="1" x14ac:dyDescent="0.35">
      <c r="A61" s="468" t="s">
        <v>337</v>
      </c>
      <c r="B61" s="66" t="s">
        <v>57</v>
      </c>
      <c r="C61" s="874">
        <f>IF(AND($A$9 &lt;&gt; "2019-20", $A$9 &lt;&gt; "2020-21"), StaffSmallAreaPivot!B53, StaffSmallAreaPivot!B52)</f>
        <v>16</v>
      </c>
      <c r="D61" s="876">
        <f>IF(AND($A$9 &lt;&gt; "2019-20", $A$9 &lt;&gt; "2020-21"), StaffSmallAreaPivot!C53, StaffSmallAreaPivot!C52)</f>
        <v>0</v>
      </c>
      <c r="E61" s="874">
        <f>IF(AND($A$9 &lt;&gt; "2019-20", $A$9 &lt;&gt; "2020-21"), StaffSmallAreaPivot!D53, StaffSmallAreaPivot!D52)</f>
        <v>2</v>
      </c>
      <c r="F61" s="876">
        <f>IF(AND($A$9 &lt;&gt; "2019-20", $A$9 &lt;&gt; "2020-21"), StaffSmallAreaPivot!E53, StaffSmallAreaPivot!E52)</f>
        <v>0</v>
      </c>
      <c r="G61" s="876">
        <f>IF(AND($A$9 &lt;&gt; "2019-20", $A$9 &lt;&gt; "2020-21"), StaffSmallAreaPivot!F53, StaffSmallAreaPivot!F52)</f>
        <v>0</v>
      </c>
      <c r="H61" s="876">
        <f>IF(AND($A$9 &lt;&gt; "2019-20", $A$9 &lt;&gt; "2020-21"), StaffSmallAreaPivot!G53, StaffSmallAreaPivot!G52)</f>
        <v>0</v>
      </c>
      <c r="I61" s="54">
        <f t="shared" si="6"/>
        <v>18</v>
      </c>
      <c r="J61" s="54">
        <f t="shared" si="7"/>
        <v>18</v>
      </c>
    </row>
    <row r="62" spans="1:10" ht="15" customHeight="1" x14ac:dyDescent="0.35">
      <c r="A62" s="468" t="str">
        <f>IF(A9&lt;&gt;"2019-20","S39000016","LSO_E3")</f>
        <v>S39000016</v>
      </c>
      <c r="B62" s="359" t="str">
        <f>IF(A9&lt;&gt;"2019-20","Stirling and Clackmannanshire","Stirling, Clackmannanshire and Fife")</f>
        <v>Stirling and Clackmannanshire</v>
      </c>
      <c r="C62" s="874">
        <f>IF(AND($A$9 &lt;&gt; "2019-20", $A$9 &lt;&gt; "2020-21"), StaffSmallAreaPivot!B54, StaffSmallAreaPivot!B53)</f>
        <v>37</v>
      </c>
      <c r="D62" s="876">
        <f>IF(AND($A$9 &lt;&gt; "2019-20", $A$9 &lt;&gt; "2020-21"), StaffSmallAreaPivot!C54, StaffSmallAreaPivot!C53)</f>
        <v>0</v>
      </c>
      <c r="E62" s="874">
        <f>IF(AND($A$9 &lt;&gt; "2019-20", $A$9 &lt;&gt; "2020-21"), StaffSmallAreaPivot!D54, StaffSmallAreaPivot!D53)</f>
        <v>4</v>
      </c>
      <c r="F62" s="876">
        <f>IF(AND($A$9 &lt;&gt; "2019-20", $A$9 &lt;&gt; "2020-21"), StaffSmallAreaPivot!E54, StaffSmallAreaPivot!E53)</f>
        <v>0</v>
      </c>
      <c r="G62" s="876">
        <f>IF(AND($A$9 &lt;&gt; "2019-20", $A$9 &lt;&gt; "2020-21"), StaffSmallAreaPivot!F54, StaffSmallAreaPivot!F53)</f>
        <v>0</v>
      </c>
      <c r="H62" s="876">
        <f>IF(AND($A$9 &lt;&gt; "2019-20", $A$9 &lt;&gt; "2020-21"), StaffSmallAreaPivot!G54, StaffSmallAreaPivot!G53)</f>
        <v>0</v>
      </c>
      <c r="I62" s="54">
        <f t="shared" si="6"/>
        <v>41</v>
      </c>
      <c r="J62" s="54">
        <f t="shared" si="7"/>
        <v>41</v>
      </c>
    </row>
    <row r="63" spans="1:10" ht="15" customHeight="1" x14ac:dyDescent="0.35">
      <c r="A63" s="468" t="s">
        <v>338</v>
      </c>
      <c r="B63" s="66" t="s">
        <v>71</v>
      </c>
      <c r="C63" s="874">
        <f>IF(AND($A$9 &lt;&gt; "2019-20", $A$9 &lt;&gt; "2020-21"), StaffSmallAreaPivot!B55, StaffSmallAreaPivot!B54)</f>
        <v>15</v>
      </c>
      <c r="D63" s="876">
        <f>IF(AND($A$9 &lt;&gt; "2019-20", $A$9 &lt;&gt; "2020-21"), StaffSmallAreaPivot!C55, StaffSmallAreaPivot!C54)</f>
        <v>0</v>
      </c>
      <c r="E63" s="874">
        <f>IF(AND($A$9 &lt;&gt; "2019-20", $A$9 &lt;&gt; "2020-21"), StaffSmallAreaPivot!D55, StaffSmallAreaPivot!D54)</f>
        <v>7</v>
      </c>
      <c r="F63" s="876">
        <f>IF(AND($A$9 &lt;&gt; "2019-20", $A$9 &lt;&gt; "2020-21"), StaffSmallAreaPivot!E55, StaffSmallAreaPivot!E54)</f>
        <v>0</v>
      </c>
      <c r="G63" s="876">
        <f>IF(AND($A$9 &lt;&gt; "2019-20", $A$9 &lt;&gt; "2020-21"), StaffSmallAreaPivot!F55, StaffSmallAreaPivot!F54)</f>
        <v>0</v>
      </c>
      <c r="H63" s="876">
        <f>IF(AND($A$9 &lt;&gt; "2019-20", $A$9 &lt;&gt; "2020-21"), StaffSmallAreaPivot!G55, StaffSmallAreaPivot!G54)</f>
        <v>0</v>
      </c>
      <c r="I63" s="54">
        <f t="shared" si="6"/>
        <v>22</v>
      </c>
      <c r="J63" s="54">
        <f t="shared" si="7"/>
        <v>22</v>
      </c>
    </row>
    <row r="64" spans="1:10" ht="30" customHeight="1" thickBot="1" x14ac:dyDescent="0.4">
      <c r="A64" s="67"/>
      <c r="B64" s="67" t="s">
        <v>72</v>
      </c>
      <c r="C64" s="68">
        <f>SUM(C47:C63)</f>
        <v>377</v>
      </c>
      <c r="D64" s="529">
        <f t="shared" ref="D64:E64" si="8">SUM(D47:D63)</f>
        <v>0</v>
      </c>
      <c r="E64" s="880">
        <f t="shared" si="8"/>
        <v>54</v>
      </c>
      <c r="F64" s="529">
        <f t="shared" ref="F64:J64" si="9">SUM(F47:F63)</f>
        <v>0</v>
      </c>
      <c r="G64" s="529">
        <f t="shared" si="9"/>
        <v>0</v>
      </c>
      <c r="H64" s="529">
        <f t="shared" si="9"/>
        <v>0</v>
      </c>
      <c r="I64" s="68">
        <f>SUM(I47:I63)</f>
        <v>431</v>
      </c>
      <c r="J64" s="68">
        <f t="shared" si="9"/>
        <v>431</v>
      </c>
    </row>
    <row r="65" spans="1:10" ht="12.75" customHeight="1" x14ac:dyDescent="0.35">
      <c r="A65" s="61"/>
      <c r="B65" s="61"/>
      <c r="C65" s="53"/>
      <c r="D65" s="53"/>
      <c r="E65" s="53"/>
      <c r="F65" s="53"/>
      <c r="G65" s="53"/>
      <c r="H65" s="53"/>
      <c r="I65" s="54"/>
      <c r="J65" s="54"/>
    </row>
    <row r="66" spans="1:10" ht="37.5" customHeight="1" x14ac:dyDescent="0.35">
      <c r="A66" s="69" t="s">
        <v>325</v>
      </c>
      <c r="B66" s="92" t="s">
        <v>15</v>
      </c>
      <c r="C66" s="93" t="s">
        <v>27</v>
      </c>
      <c r="D66" s="93" t="s">
        <v>28</v>
      </c>
      <c r="E66" s="93" t="s">
        <v>849</v>
      </c>
      <c r="F66" s="93" t="s">
        <v>2</v>
      </c>
      <c r="G66" s="93" t="s">
        <v>3</v>
      </c>
      <c r="H66" s="93" t="s">
        <v>29</v>
      </c>
      <c r="I66" s="3" t="s">
        <v>10</v>
      </c>
      <c r="J66" s="3" t="s">
        <v>95</v>
      </c>
    </row>
    <row r="67" spans="1:10" ht="22.5" customHeight="1" x14ac:dyDescent="0.35">
      <c r="A67" s="608" t="s">
        <v>353</v>
      </c>
      <c r="B67" s="55" t="s">
        <v>166</v>
      </c>
      <c r="C67" s="56">
        <f>GETPIVOTDATA("Sum of WT",StaffSmallAreaPivot!$A$3,"ReportingLevel","3:SDA","lvl","East")</f>
        <v>66</v>
      </c>
      <c r="D67" s="876">
        <f>StaffSmallAreaPivot!C58</f>
        <v>0</v>
      </c>
      <c r="E67" s="876">
        <f>StaffSmallAreaPivot!D58</f>
        <v>0</v>
      </c>
      <c r="F67" s="876">
        <f>StaffSmallAreaPivot!E58</f>
        <v>0</v>
      </c>
      <c r="G67" s="876">
        <f>StaffSmallAreaPivot!F58</f>
        <v>0</v>
      </c>
      <c r="H67" s="876">
        <f>StaffSmallAreaPivot!G58</f>
        <v>0</v>
      </c>
      <c r="I67" s="54">
        <f t="shared" ref="I67:I69" si="10">SUM(C67:H67)</f>
        <v>66</v>
      </c>
      <c r="J67" s="54">
        <f>I67-H67</f>
        <v>66</v>
      </c>
    </row>
    <row r="68" spans="1:10" ht="15" customHeight="1" x14ac:dyDescent="0.35">
      <c r="A68" s="103" t="s">
        <v>355</v>
      </c>
      <c r="B68" s="55" t="s">
        <v>164</v>
      </c>
      <c r="C68" s="56">
        <f>GETPIVOTDATA("Sum of WT",StaffSmallAreaPivot!$A$3,"ReportingLevel","3:SDA","lvl","North")</f>
        <v>55</v>
      </c>
      <c r="D68" s="876">
        <f>StaffSmallAreaPivot!C59</f>
        <v>0</v>
      </c>
      <c r="E68" s="876">
        <f>StaffSmallAreaPivot!D59</f>
        <v>0</v>
      </c>
      <c r="F68" s="876">
        <f>StaffSmallAreaPivot!E59</f>
        <v>0</v>
      </c>
      <c r="G68" s="876">
        <f>StaffSmallAreaPivot!F59</f>
        <v>0</v>
      </c>
      <c r="H68" s="876">
        <f>StaffSmallAreaPivot!G59</f>
        <v>0</v>
      </c>
      <c r="I68" s="54">
        <f t="shared" si="10"/>
        <v>55</v>
      </c>
      <c r="J68" s="54">
        <f>I68-H68</f>
        <v>55</v>
      </c>
    </row>
    <row r="69" spans="1:10" ht="15" customHeight="1" x14ac:dyDescent="0.35">
      <c r="A69" s="103" t="s">
        <v>354</v>
      </c>
      <c r="B69" s="55" t="s">
        <v>165</v>
      </c>
      <c r="C69" s="56">
        <f>GETPIVOTDATA("Sum of WT",StaffSmallAreaPivot!$A$3,"ReportingLevel","3:SDA","lvl","West")</f>
        <v>91</v>
      </c>
      <c r="D69" s="876">
        <f>StaffSmallAreaPivot!C60</f>
        <v>0</v>
      </c>
      <c r="E69" s="876">
        <f>StaffSmallAreaPivot!D60</f>
        <v>0</v>
      </c>
      <c r="F69" s="876">
        <f>StaffSmallAreaPivot!E60</f>
        <v>0</v>
      </c>
      <c r="G69" s="876">
        <f>StaffSmallAreaPivot!F60</f>
        <v>0</v>
      </c>
      <c r="H69" s="876">
        <f>StaffSmallAreaPivot!G60</f>
        <v>0</v>
      </c>
      <c r="I69" s="54">
        <f t="shared" si="10"/>
        <v>91</v>
      </c>
      <c r="J69" s="54">
        <f>I69-H69</f>
        <v>91</v>
      </c>
    </row>
    <row r="70" spans="1:10" ht="30" customHeight="1" thickBot="1" x14ac:dyDescent="0.4">
      <c r="A70" s="72"/>
      <c r="B70" s="72" t="s">
        <v>73</v>
      </c>
      <c r="C70" s="68">
        <f>SUM(C67:C69)</f>
        <v>212</v>
      </c>
      <c r="D70" s="877">
        <f t="shared" ref="D70:E70" si="11">SUM(D67:D69)</f>
        <v>0</v>
      </c>
      <c r="E70" s="877">
        <f t="shared" si="11"/>
        <v>0</v>
      </c>
      <c r="F70" s="877">
        <f t="shared" ref="F70:J70" si="12">SUM(F67:F69)</f>
        <v>0</v>
      </c>
      <c r="G70" s="877">
        <f t="shared" si="12"/>
        <v>0</v>
      </c>
      <c r="H70" s="877">
        <f t="shared" si="12"/>
        <v>0</v>
      </c>
      <c r="I70" s="68">
        <f>SUM(I67:I69)</f>
        <v>212</v>
      </c>
      <c r="J70" s="68">
        <f t="shared" si="12"/>
        <v>212</v>
      </c>
    </row>
    <row r="71" spans="1:10" x14ac:dyDescent="0.35">
      <c r="A71" s="61"/>
      <c r="B71" s="61"/>
      <c r="C71" s="53"/>
      <c r="D71" s="53"/>
      <c r="E71" s="53"/>
      <c r="F71" s="53"/>
      <c r="G71" s="53"/>
      <c r="H71" s="53"/>
      <c r="I71" s="73"/>
      <c r="J71" s="73"/>
    </row>
    <row r="72" spans="1:10" ht="12" customHeight="1" x14ac:dyDescent="0.35">
      <c r="A72" s="69" t="s">
        <v>447</v>
      </c>
      <c r="B72" s="92"/>
      <c r="C72" s="53"/>
      <c r="D72" s="53"/>
      <c r="E72" s="53"/>
      <c r="F72" s="53"/>
      <c r="G72" s="53"/>
      <c r="H72" s="53"/>
      <c r="I72" s="73"/>
      <c r="J72" s="73"/>
    </row>
    <row r="73" spans="1:10" ht="18.75" customHeight="1" thickBot="1" x14ac:dyDescent="0.4">
      <c r="A73" s="72" t="s">
        <v>339</v>
      </c>
      <c r="B73" s="74" t="s">
        <v>74</v>
      </c>
      <c r="C73" s="68">
        <f>GETPIVOTDATA("Sum of WT",StaffSmallAreaPivot!$A$3,"ReportingLevel","4:National","lvl","Scotland")</f>
        <v>92</v>
      </c>
      <c r="D73" s="68">
        <v>0</v>
      </c>
      <c r="E73" s="68">
        <v>0</v>
      </c>
      <c r="F73" s="68">
        <f>GETPIVOTDATA("Sum of Control",StaffSmallAreaPivot!$A$3,"ReportingLevel","4:National")</f>
        <v>182</v>
      </c>
      <c r="G73" s="68">
        <f>GETPIVOTDATA("Sum of Support",StaffSmallAreaPivot!$A$3,"ReportingLevel","4:National","lvl","Scotland")</f>
        <v>836</v>
      </c>
      <c r="H73" s="68">
        <f>StaffSmallAreaPivot!G63</f>
        <v>0</v>
      </c>
      <c r="I73" s="68">
        <f>SUM(C73:H73)</f>
        <v>1110</v>
      </c>
      <c r="J73" s="68">
        <f>I73-H73</f>
        <v>1110</v>
      </c>
    </row>
    <row r="74" spans="1:10" ht="13.5" customHeight="1" x14ac:dyDescent="0.35">
      <c r="A74" s="12"/>
      <c r="B74" s="12"/>
      <c r="C74" s="73"/>
      <c r="D74" s="73"/>
      <c r="E74" s="73"/>
      <c r="F74" s="73"/>
      <c r="G74" s="73"/>
      <c r="H74" s="73"/>
      <c r="I74" s="54"/>
      <c r="J74" s="54"/>
    </row>
    <row r="75" spans="1:10" ht="13.5" customHeight="1" x14ac:dyDescent="0.35">
      <c r="A75" s="411"/>
      <c r="B75" s="411"/>
      <c r="C75" s="73"/>
      <c r="D75" s="73"/>
      <c r="E75" s="73"/>
      <c r="F75" s="73"/>
      <c r="G75" s="73"/>
      <c r="H75" s="73"/>
      <c r="I75" s="54"/>
      <c r="J75" s="54"/>
    </row>
    <row r="76" spans="1:10" x14ac:dyDescent="0.35">
      <c r="A76" s="408" t="s">
        <v>8</v>
      </c>
      <c r="C76" s="41"/>
      <c r="D76" s="41"/>
      <c r="E76" s="41"/>
      <c r="F76" s="41"/>
      <c r="G76" s="41"/>
      <c r="H76" s="41"/>
      <c r="I76" s="41"/>
      <c r="J76" s="41"/>
    </row>
    <row r="77" spans="1:10" ht="15.5" x14ac:dyDescent="0.35">
      <c r="A77" s="405" t="s">
        <v>219</v>
      </c>
      <c r="D77" s="91"/>
      <c r="E77" s="284"/>
      <c r="F77" s="284"/>
      <c r="G77" s="284"/>
      <c r="H77" s="284"/>
      <c r="I77" s="284"/>
      <c r="J77" s="284"/>
    </row>
    <row r="78" spans="1:10" s="563" customFormat="1" ht="45.5" customHeight="1" x14ac:dyDescent="0.35">
      <c r="A78" s="1159" t="s">
        <v>17484</v>
      </c>
      <c r="B78" s="1159"/>
      <c r="C78" s="1159"/>
    </row>
  </sheetData>
  <sheetProtection algorithmName="SHA-512" hashValue="kMWS79rKRjhfWcc2SbueMQLRFOSXWog5M9HVnQchFa2kH0YA8f8Xas1wkGjARI5IhOpF9uP1WJ5E3epj20AczQ==" saltValue="aYeQufQXOxRBvzcMn22IHw==" spinCount="100000" sheet="1" scenarios="1" formatCells="0" formatColumns="0" formatRows="0" sort="0" autoFilter="0" pivotTables="0"/>
  <mergeCells count="3">
    <mergeCell ref="A4:I4"/>
    <mergeCell ref="A1:H1"/>
    <mergeCell ref="A78:C78"/>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56" orientation="portrait" r:id="rId1"/>
  <ignoredErrors>
    <ignoredError sqref="C57:C63 C67 C69 D57:H63" calculatedColumn="1"/>
    <ignoredError sqref="J57" formula="1" calculatedColumn="1"/>
  </ignoredErrors>
  <drawing r:id="rId2"/>
  <tableParts count="3">
    <tablePart r:id="rId3"/>
    <tablePart r:id="rId4"/>
    <tablePart r:id="rId5"/>
  </tableParts>
  <extLst>
    <ext xmlns:x14="http://schemas.microsoft.com/office/spreadsheetml/2009/9/main" uri="{A8765BA9-456A-4dab-B4F3-ACF838C121DE}">
      <x14:slicerList>
        <x14:slicer r:id="rId6"/>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9"/>
  <sheetViews>
    <sheetView workbookViewId="0">
      <selection activeCell="B8" sqref="B8"/>
    </sheetView>
  </sheetViews>
  <sheetFormatPr defaultRowHeight="14.5" x14ac:dyDescent="0.35"/>
  <cols>
    <col min="1" max="1" width="12.36328125" bestFit="1" customWidth="1"/>
    <col min="2" max="2" width="21.54296875" bestFit="1" customWidth="1"/>
    <col min="3" max="3" width="19.08984375" bestFit="1" customWidth="1"/>
    <col min="4" max="4" width="20.453125" bestFit="1" customWidth="1"/>
    <col min="5" max="5" width="21.26953125" bestFit="1" customWidth="1"/>
    <col min="6" max="6" width="20.6328125" bestFit="1" customWidth="1"/>
    <col min="7" max="7" width="19.453125" bestFit="1" customWidth="1"/>
    <col min="8" max="8" width="15.81640625" bestFit="1" customWidth="1"/>
  </cols>
  <sheetData>
    <row r="1" spans="1:8" x14ac:dyDescent="0.35">
      <c r="A1" s="459" t="s">
        <v>1</v>
      </c>
      <c r="B1" t="s">
        <v>951</v>
      </c>
    </row>
    <row r="3" spans="1:8" x14ac:dyDescent="0.35">
      <c r="A3" s="459" t="s">
        <v>234</v>
      </c>
      <c r="B3" t="s">
        <v>250</v>
      </c>
      <c r="C3" t="s">
        <v>251</v>
      </c>
      <c r="D3" t="s">
        <v>252</v>
      </c>
      <c r="E3" t="s">
        <v>253</v>
      </c>
      <c r="F3" t="s">
        <v>243</v>
      </c>
      <c r="G3" t="s">
        <v>254</v>
      </c>
      <c r="H3" t="s">
        <v>255</v>
      </c>
    </row>
    <row r="4" spans="1:8" x14ac:dyDescent="0.35">
      <c r="A4" s="1000" t="s">
        <v>2</v>
      </c>
      <c r="B4" s="461"/>
      <c r="C4" s="461">
        <v>1</v>
      </c>
      <c r="D4" s="461">
        <v>4</v>
      </c>
      <c r="E4" s="461">
        <v>10</v>
      </c>
      <c r="F4" s="461">
        <v>41</v>
      </c>
      <c r="G4" s="461">
        <v>31</v>
      </c>
      <c r="H4" s="461">
        <v>95</v>
      </c>
    </row>
    <row r="5" spans="1:8" x14ac:dyDescent="0.35">
      <c r="A5" s="1000" t="s">
        <v>9</v>
      </c>
      <c r="B5" s="461"/>
      <c r="C5" s="461"/>
      <c r="D5" s="461"/>
      <c r="E5" s="461"/>
      <c r="F5" s="461">
        <v>267</v>
      </c>
      <c r="G5" s="461">
        <v>522</v>
      </c>
      <c r="H5" s="461">
        <v>2083</v>
      </c>
    </row>
    <row r="6" spans="1:8" x14ac:dyDescent="0.35">
      <c r="A6" s="1000" t="s">
        <v>774</v>
      </c>
      <c r="B6" s="461"/>
      <c r="C6" s="461"/>
      <c r="D6" s="461"/>
      <c r="E6" s="461"/>
      <c r="F6" s="461">
        <v>54</v>
      </c>
      <c r="G6" s="461"/>
      <c r="H6" s="461"/>
    </row>
    <row r="7" spans="1:8" x14ac:dyDescent="0.35">
      <c r="A7" s="1000" t="s">
        <v>300</v>
      </c>
      <c r="B7" s="461"/>
      <c r="C7" s="461"/>
      <c r="D7" s="461"/>
      <c r="E7" s="461"/>
      <c r="F7" s="461">
        <v>37</v>
      </c>
      <c r="G7" s="461">
        <v>43</v>
      </c>
      <c r="H7" s="461">
        <v>223</v>
      </c>
    </row>
    <row r="8" spans="1:8" x14ac:dyDescent="0.35">
      <c r="A8" s="1000" t="s">
        <v>301</v>
      </c>
      <c r="B8" s="461">
        <v>5</v>
      </c>
      <c r="C8" s="461">
        <v>35</v>
      </c>
      <c r="D8" s="461">
        <v>81</v>
      </c>
      <c r="E8" s="461">
        <v>152</v>
      </c>
      <c r="F8" s="461">
        <v>604</v>
      </c>
      <c r="G8" s="461">
        <v>687</v>
      </c>
      <c r="H8" s="461">
        <v>2020</v>
      </c>
    </row>
    <row r="9" spans="1:8" x14ac:dyDescent="0.35">
      <c r="A9" s="1000" t="s">
        <v>239</v>
      </c>
      <c r="B9" s="461">
        <v>5</v>
      </c>
      <c r="C9" s="461">
        <v>36</v>
      </c>
      <c r="D9" s="461">
        <v>85</v>
      </c>
      <c r="E9" s="461">
        <v>162</v>
      </c>
      <c r="F9" s="461">
        <v>1003</v>
      </c>
      <c r="G9" s="461">
        <v>1283</v>
      </c>
      <c r="H9" s="461">
        <v>4421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AFF0"/>
    <pageSetUpPr fitToPage="1"/>
  </sheetPr>
  <dimension ref="A1:J45"/>
  <sheetViews>
    <sheetView showGridLines="0" workbookViewId="0">
      <pane ySplit="2" topLeftCell="A3" activePane="bottomLeft" state="frozen"/>
      <selection pane="bottomLeft"/>
    </sheetView>
  </sheetViews>
  <sheetFormatPr defaultRowHeight="14.5" x14ac:dyDescent="0.35"/>
  <cols>
    <col min="1" max="1" width="17.81640625" customWidth="1"/>
    <col min="2" max="2" width="25.81640625" customWidth="1"/>
    <col min="3" max="3" width="13.1796875" customWidth="1"/>
    <col min="4" max="4" width="58.7265625" customWidth="1"/>
    <col min="5" max="5" width="54.36328125" bestFit="1" customWidth="1"/>
    <col min="6" max="6" width="13.1796875" customWidth="1"/>
    <col min="7" max="7" width="20" customWidth="1"/>
    <col min="8" max="8" width="10" bestFit="1" customWidth="1"/>
  </cols>
  <sheetData>
    <row r="1" spans="1:7" ht="15.5" x14ac:dyDescent="0.35">
      <c r="A1" s="506" t="s">
        <v>441</v>
      </c>
    </row>
    <row r="2" spans="1:7" x14ac:dyDescent="0.35">
      <c r="A2" s="601" t="s">
        <v>509</v>
      </c>
    </row>
    <row r="3" spans="1:7" ht="15.5" x14ac:dyDescent="0.35">
      <c r="B3" s="506"/>
      <c r="C3" s="506"/>
      <c r="D3" s="506"/>
      <c r="E3" s="705"/>
    </row>
    <row r="4" spans="1:7" ht="15" customHeight="1" x14ac:dyDescent="0.35">
      <c r="A4" t="s">
        <v>320</v>
      </c>
      <c r="B4" t="s">
        <v>635</v>
      </c>
      <c r="C4" s="507"/>
      <c r="F4" s="507"/>
      <c r="G4" s="507"/>
    </row>
    <row r="5" spans="1:7" ht="15" customHeight="1" x14ac:dyDescent="0.35">
      <c r="A5" t="s">
        <v>321</v>
      </c>
      <c r="B5" s="507" t="s">
        <v>323</v>
      </c>
      <c r="C5" s="507"/>
      <c r="D5" s="507"/>
      <c r="E5" s="507"/>
      <c r="F5" s="507"/>
      <c r="G5" s="507"/>
    </row>
    <row r="6" spans="1:7" ht="15" customHeight="1" x14ac:dyDescent="0.35">
      <c r="A6" t="s">
        <v>322</v>
      </c>
      <c r="B6" t="s">
        <v>324</v>
      </c>
      <c r="C6" s="507"/>
      <c r="D6" s="507"/>
      <c r="E6" s="507"/>
      <c r="F6" s="507"/>
      <c r="G6" s="507"/>
    </row>
    <row r="7" spans="1:7" ht="15" customHeight="1" x14ac:dyDescent="0.35">
      <c r="C7" s="916"/>
      <c r="D7" s="916"/>
      <c r="E7" s="916"/>
      <c r="F7" s="916"/>
      <c r="G7" s="916"/>
    </row>
    <row r="8" spans="1:7" ht="15" customHeight="1" x14ac:dyDescent="0.35">
      <c r="A8" s="711" t="s">
        <v>1</v>
      </c>
      <c r="B8" s="919" t="str">
        <f>yrslicer!C14</f>
        <v>2020-21</v>
      </c>
      <c r="C8" s="507"/>
      <c r="E8" s="507"/>
      <c r="F8" s="507"/>
      <c r="G8" s="507"/>
    </row>
    <row r="9" spans="1:7" x14ac:dyDescent="0.35">
      <c r="A9" s="527" t="s">
        <v>449</v>
      </c>
      <c r="B9" s="526" t="s">
        <v>113</v>
      </c>
      <c r="C9" s="527" t="s">
        <v>450</v>
      </c>
      <c r="D9" s="526" t="s">
        <v>826</v>
      </c>
      <c r="E9" s="526" t="s">
        <v>825</v>
      </c>
      <c r="F9" s="527" t="s">
        <v>325</v>
      </c>
      <c r="G9" s="526" t="s">
        <v>15</v>
      </c>
    </row>
    <row r="10" spans="1:7" x14ac:dyDescent="0.35">
      <c r="A10" s="420" t="str">
        <f>StructureData!C34</f>
        <v>S12000033</v>
      </c>
      <c r="B10" s="420" t="str">
        <f>StructureData!B34</f>
        <v>Aberdeen City</v>
      </c>
      <c r="C10" s="420" t="str">
        <f>StructureData!F34</f>
        <v>S39000001</v>
      </c>
      <c r="D10" s="420" t="str">
        <f>StructureData!D34</f>
        <v>Aberdeen City</v>
      </c>
      <c r="E10" s="420" t="str">
        <f>StructureData!E34</f>
        <v>Aberdeen City</v>
      </c>
      <c r="F10" s="420" t="str">
        <f>StructureData!H34</f>
        <v>S40000005</v>
      </c>
      <c r="G10" s="420" t="str">
        <f>StructureData!G34</f>
        <v>North</v>
      </c>
    </row>
    <row r="11" spans="1:7" x14ac:dyDescent="0.35">
      <c r="A11" s="420" t="str">
        <f>StructureData!C35</f>
        <v>S12000034</v>
      </c>
      <c r="B11" s="420" t="str">
        <f>StructureData!B35</f>
        <v>Aberdeenshire</v>
      </c>
      <c r="C11" s="420" t="str">
        <f>StructureData!F35</f>
        <v>S39000002</v>
      </c>
      <c r="D11" s="420" t="str">
        <f>StructureData!D35</f>
        <v>Aberdeenshire and Moray</v>
      </c>
      <c r="E11" s="420" t="str">
        <f>StructureData!E35</f>
        <v>Aberdeenshire and Moray</v>
      </c>
      <c r="F11" s="420" t="str">
        <f>StructureData!H35</f>
        <v>S40000005</v>
      </c>
      <c r="G11" s="420" t="str">
        <f>StructureData!G35</f>
        <v>North</v>
      </c>
    </row>
    <row r="12" spans="1:7" x14ac:dyDescent="0.35">
      <c r="A12" s="420" t="str">
        <f>StructureData!C36</f>
        <v>S12000041</v>
      </c>
      <c r="B12" s="420" t="str">
        <f>StructureData!B36</f>
        <v>Angus</v>
      </c>
      <c r="C12" s="420" t="str">
        <f>StructureData!F36</f>
        <v>S39000018</v>
      </c>
      <c r="D12" s="420" t="str">
        <f>StructureData!D36</f>
        <v>Dundee, Angus, Perth and Kinross</v>
      </c>
      <c r="E12" s="420" t="str">
        <f>StructureData!E36</f>
        <v>Dundee, Angus, Perth and Kinross</v>
      </c>
      <c r="F12" s="420" t="str">
        <f>StructureData!H36</f>
        <v>S40000005</v>
      </c>
      <c r="G12" s="420" t="str">
        <f>StructureData!G36</f>
        <v>North</v>
      </c>
    </row>
    <row r="13" spans="1:7" x14ac:dyDescent="0.35">
      <c r="A13" s="420" t="str">
        <f>StructureData!C37</f>
        <v>S12000035</v>
      </c>
      <c r="B13" s="420" t="str">
        <f>StructureData!B37</f>
        <v>Argyll and Bute</v>
      </c>
      <c r="C13" s="420" t="str">
        <f>StructureData!F37</f>
        <v>S39000003</v>
      </c>
      <c r="D13" s="420" t="str">
        <f>StructureData!D37</f>
        <v>Argyll and Bute, East Dunbartonshire and West Dunbartonshire</v>
      </c>
      <c r="E13" s="420" t="str">
        <f>StructureData!E37</f>
        <v>Argyll and Bute, East Dunbartonshire and West Dunbartonshire</v>
      </c>
      <c r="F13" s="420" t="str">
        <f>StructureData!H37</f>
        <v>S40000003</v>
      </c>
      <c r="G13" s="420" t="str">
        <f>StructureData!G37</f>
        <v>West</v>
      </c>
    </row>
    <row r="14" spans="1:7" x14ac:dyDescent="0.35">
      <c r="A14" s="420" t="str">
        <f>StructureData!C38</f>
        <v>S12000036</v>
      </c>
      <c r="B14" s="420" t="str">
        <f>StructureData!B38</f>
        <v>City of Edinburgh</v>
      </c>
      <c r="C14" s="420" t="str">
        <f>StructureData!F38</f>
        <v>S39000009</v>
      </c>
      <c r="D14" s="420" t="str">
        <f>StructureData!D38</f>
        <v>Edinburgh City</v>
      </c>
      <c r="E14" s="420" t="str">
        <f>StructureData!E38</f>
        <v>Edinburgh City</v>
      </c>
      <c r="F14" s="420" t="str">
        <f>StructureData!H38</f>
        <v>S40000004</v>
      </c>
      <c r="G14" s="420" t="str">
        <f>StructureData!G38</f>
        <v>East</v>
      </c>
    </row>
    <row r="15" spans="1:7" x14ac:dyDescent="0.35">
      <c r="A15" s="420" t="str">
        <f>StructureData!C39</f>
        <v>S12000005</v>
      </c>
      <c r="B15" s="420" t="str">
        <f>StructureData!B39</f>
        <v>Clackmannanshire</v>
      </c>
      <c r="C15" s="420" t="str">
        <f>StructureData!F39</f>
        <v>S39000016</v>
      </c>
      <c r="D15" s="420" t="str">
        <f>StructureData!D39</f>
        <v>Stirling and Clackmannanshire</v>
      </c>
      <c r="E15" s="420" t="str">
        <f>IF(D8="2018-19","Stirling and Clackmannanshire","Stirling, Clackmannanshire and Fife")</f>
        <v>Stirling, Clackmannanshire and Fife</v>
      </c>
      <c r="F15" s="420" t="str">
        <f>StructureData!H39</f>
        <v>S40000004</v>
      </c>
      <c r="G15" s="420" t="str">
        <f>StructureData!G39</f>
        <v>East</v>
      </c>
    </row>
    <row r="16" spans="1:7" x14ac:dyDescent="0.35">
      <c r="A16" s="420" t="str">
        <f>StructureData!C40</f>
        <v>S12000006</v>
      </c>
      <c r="B16" s="420" t="str">
        <f>StructureData!B40</f>
        <v>Dumfries and Galloway</v>
      </c>
      <c r="C16" s="420" t="str">
        <f>StructureData!F40</f>
        <v>S39000004</v>
      </c>
      <c r="D16" s="420" t="str">
        <f>StructureData!D40</f>
        <v>Dumfries and Galloway</v>
      </c>
      <c r="E16" s="420" t="str">
        <f>StructureData!E40</f>
        <v>Dumfries and Galloway</v>
      </c>
      <c r="F16" s="420" t="str">
        <f>StructureData!H40</f>
        <v>S40000003</v>
      </c>
      <c r="G16" s="420" t="str">
        <f>StructureData!G40</f>
        <v>West</v>
      </c>
    </row>
    <row r="17" spans="1:7" x14ac:dyDescent="0.35">
      <c r="A17" s="420" t="str">
        <f>StructureData!C41</f>
        <v>S12000042</v>
      </c>
      <c r="B17" s="420" t="str">
        <f>StructureData!B41</f>
        <v>Dundee City</v>
      </c>
      <c r="C17" s="420" t="str">
        <f>StructureData!F41</f>
        <v>S39000018</v>
      </c>
      <c r="D17" s="420" t="str">
        <f>StructureData!D41</f>
        <v>Dundee, Angus, Perth and Kinross</v>
      </c>
      <c r="E17" s="420" t="str">
        <f>StructureData!E41</f>
        <v>Dundee, Angus, Perth and Kinross</v>
      </c>
      <c r="F17" s="420" t="str">
        <f>StructureData!H41</f>
        <v>S40000005</v>
      </c>
      <c r="G17" s="420" t="str">
        <f>StructureData!G41</f>
        <v>North</v>
      </c>
    </row>
    <row r="18" spans="1:7" x14ac:dyDescent="0.35">
      <c r="A18" s="420" t="str">
        <f>StructureData!C42</f>
        <v>S12000008</v>
      </c>
      <c r="B18" s="420" t="str">
        <f>StructureData!B42</f>
        <v>East Ayrshire</v>
      </c>
      <c r="C18" s="420" t="str">
        <f>StructureData!F42</f>
        <v>S39000006</v>
      </c>
      <c r="D18" s="420" t="str">
        <f>StructureData!D42</f>
        <v>East Ayrshire, North Ayrshire and South Ayrshire</v>
      </c>
      <c r="E18" s="420" t="str">
        <f>StructureData!E42</f>
        <v>East Ayrshire, North Ayrshire and South Ayrshire</v>
      </c>
      <c r="F18" s="420" t="str">
        <f>StructureData!H42</f>
        <v>S40000003</v>
      </c>
      <c r="G18" s="420" t="str">
        <f>StructureData!G42</f>
        <v>West</v>
      </c>
    </row>
    <row r="19" spans="1:7" x14ac:dyDescent="0.35">
      <c r="A19" s="420" t="str">
        <f>StructureData!C43</f>
        <v>S12000045</v>
      </c>
      <c r="B19" s="420" t="str">
        <f>StructureData!B43</f>
        <v>East Dunbartonshire</v>
      </c>
      <c r="C19" s="420" t="str">
        <f>StructureData!F43</f>
        <v>S39000003</v>
      </c>
      <c r="D19" s="420" t="str">
        <f>StructureData!D43</f>
        <v>Argyll and Bute, East Dunbartonshire and West Dunbartonshire</v>
      </c>
      <c r="E19" s="420" t="str">
        <f>StructureData!E43</f>
        <v>Argyll and Bute, East Dunbartonshire and West Dunbartonshire</v>
      </c>
      <c r="F19" s="420" t="str">
        <f>StructureData!H43</f>
        <v>S40000003</v>
      </c>
      <c r="G19" s="420" t="str">
        <f>StructureData!G43</f>
        <v>West</v>
      </c>
    </row>
    <row r="20" spans="1:7" x14ac:dyDescent="0.35">
      <c r="A20" s="420" t="str">
        <f>StructureData!C44</f>
        <v>S12000010</v>
      </c>
      <c r="B20" s="420" t="str">
        <f>StructureData!B44</f>
        <v>East Lothian</v>
      </c>
      <c r="C20" s="420" t="str">
        <f>StructureData!F44</f>
        <v>S39000007</v>
      </c>
      <c r="D20" s="420" t="str">
        <f>StructureData!D44</f>
        <v>East Lothian, Midlothian and the Scottish Borders</v>
      </c>
      <c r="E20" s="420" t="str">
        <f>StructureData!E44</f>
        <v>East Lothian, Midlothian and the Scottish Borders</v>
      </c>
      <c r="F20" s="420" t="str">
        <f>StructureData!H44</f>
        <v>S40000004</v>
      </c>
      <c r="G20" s="420" t="str">
        <f>StructureData!G44</f>
        <v>East</v>
      </c>
    </row>
    <row r="21" spans="1:7" x14ac:dyDescent="0.35">
      <c r="A21" s="420" t="str">
        <f>StructureData!C45</f>
        <v>S12000011</v>
      </c>
      <c r="B21" s="420" t="str">
        <f>StructureData!B45</f>
        <v>East Renfrewshire</v>
      </c>
      <c r="C21" s="420" t="str">
        <f>StructureData!F45</f>
        <v>S39000008</v>
      </c>
      <c r="D21" s="420" t="str">
        <f>StructureData!D45</f>
        <v>East Renfrewshire, Renfrewshire and Inverclyde</v>
      </c>
      <c r="E21" s="420" t="str">
        <f>StructureData!E45</f>
        <v>East Renfrewshire, Renfrewshire and Inverclyde</v>
      </c>
      <c r="F21" s="420" t="str">
        <f>StructureData!H45</f>
        <v>S40000003</v>
      </c>
      <c r="G21" s="420" t="str">
        <f>StructureData!G45</f>
        <v>West</v>
      </c>
    </row>
    <row r="22" spans="1:7" x14ac:dyDescent="0.35">
      <c r="A22" s="420" t="str">
        <f>StructureData!C46</f>
        <v>S12000014</v>
      </c>
      <c r="B22" s="420" t="str">
        <f>StructureData!B46</f>
        <v>Falkirk</v>
      </c>
      <c r="C22" s="420" t="str">
        <f>StructureData!F46</f>
        <v>S39000010</v>
      </c>
      <c r="D22" s="420" t="str">
        <f>StructureData!D46</f>
        <v>Falkirk and West Lothian</v>
      </c>
      <c r="E22" s="420" t="str">
        <f>StructureData!E46</f>
        <v>Falkirk and West Lothian</v>
      </c>
      <c r="F22" s="420" t="str">
        <f>StructureData!H46</f>
        <v>S40000004</v>
      </c>
      <c r="G22" s="420" t="str">
        <f>StructureData!G46</f>
        <v>East</v>
      </c>
    </row>
    <row r="23" spans="1:7" x14ac:dyDescent="0.35">
      <c r="A23" s="420" t="str">
        <f>StructureData!C47</f>
        <v>S12000047</v>
      </c>
      <c r="B23" s="420" t="str">
        <f>StructureData!B47</f>
        <v>Fife</v>
      </c>
      <c r="C23" s="420" t="str">
        <f>StructureData!F47</f>
        <v>S39000019</v>
      </c>
      <c r="D23" s="420" t="str">
        <f>StructureData!D47</f>
        <v>Fife</v>
      </c>
      <c r="E23" s="420" t="str">
        <f>IF(D8="2018-19","Fife","Stirling, Clackmannanshire and Fife")</f>
        <v>Stirling, Clackmannanshire and Fife</v>
      </c>
      <c r="F23" s="420" t="str">
        <f>StructureData!H47</f>
        <v>S40000004</v>
      </c>
      <c r="G23" s="420" t="str">
        <f>StructureData!G47</f>
        <v>East</v>
      </c>
    </row>
    <row r="24" spans="1:7" x14ac:dyDescent="0.35">
      <c r="A24" s="420" t="str">
        <f>IF(D8 = "2018-19","S12000046","S12000049")</f>
        <v>S12000049</v>
      </c>
      <c r="B24" s="420" t="str">
        <f>StructureData!B48</f>
        <v>Glasgow City</v>
      </c>
      <c r="C24" s="420" t="str">
        <f>IF(D8 = "2018-19","S39000012","S39000020")</f>
        <v>S39000020</v>
      </c>
      <c r="D24" s="420" t="str">
        <f>StructureData!D48</f>
        <v>Glasgow City</v>
      </c>
      <c r="E24" s="420" t="str">
        <f>StructureData!E48</f>
        <v>Glasgow City</v>
      </c>
      <c r="F24" s="420" t="str">
        <f>StructureData!H48</f>
        <v>S40000003</v>
      </c>
      <c r="G24" s="420" t="str">
        <f>StructureData!G48</f>
        <v>West</v>
      </c>
    </row>
    <row r="25" spans="1:7" x14ac:dyDescent="0.35">
      <c r="A25" s="420" t="str">
        <f>StructureData!C49</f>
        <v>S12000017</v>
      </c>
      <c r="B25" s="420" t="str">
        <f>StructureData!B49</f>
        <v>Highland</v>
      </c>
      <c r="C25" s="420" t="str">
        <f>StructureData!F49</f>
        <v>S39000013</v>
      </c>
      <c r="D25" s="420" t="str">
        <f>StructureData!D49</f>
        <v>Highlands</v>
      </c>
      <c r="E25" s="420" t="str">
        <f>StructureData!E49</f>
        <v>Highlands</v>
      </c>
      <c r="F25" s="420" t="str">
        <f>StructureData!H49</f>
        <v>S40000005</v>
      </c>
      <c r="G25" s="420" t="str">
        <f>StructureData!G49</f>
        <v>North</v>
      </c>
    </row>
    <row r="26" spans="1:7" x14ac:dyDescent="0.35">
      <c r="A26" s="420" t="str">
        <f>StructureData!C50</f>
        <v>S12000018</v>
      </c>
      <c r="B26" s="420" t="str">
        <f>StructureData!B50</f>
        <v>Inverclyde</v>
      </c>
      <c r="C26" s="420" t="str">
        <f>StructureData!F50</f>
        <v>S39000008</v>
      </c>
      <c r="D26" s="420" t="str">
        <f>StructureData!D50</f>
        <v>East Renfrewshire, Renfrewshire and Inverclyde</v>
      </c>
      <c r="E26" s="420" t="str">
        <f>StructureData!E50</f>
        <v>East Renfrewshire, Renfrewshire and Inverclyde</v>
      </c>
      <c r="F26" s="420" t="str">
        <f>StructureData!H50</f>
        <v>S40000003</v>
      </c>
      <c r="G26" s="420" t="str">
        <f>StructureData!G50</f>
        <v>West</v>
      </c>
    </row>
    <row r="27" spans="1:7" x14ac:dyDescent="0.35">
      <c r="A27" s="420" t="str">
        <f>StructureData!C51</f>
        <v>S12000019</v>
      </c>
      <c r="B27" s="420" t="str">
        <f>StructureData!B51</f>
        <v>Midlothian</v>
      </c>
      <c r="C27" s="420" t="str">
        <f>StructureData!F51</f>
        <v>S39000007</v>
      </c>
      <c r="D27" s="420" t="str">
        <f>StructureData!D51</f>
        <v>East Lothian, Midlothian and the Scottish Borders</v>
      </c>
      <c r="E27" s="420" t="str">
        <f>StructureData!E51</f>
        <v>East Lothian, Midlothian and the Scottish Borders</v>
      </c>
      <c r="F27" s="420" t="str">
        <f>StructureData!H51</f>
        <v>S40000004</v>
      </c>
      <c r="G27" s="420" t="str">
        <f>StructureData!G51</f>
        <v>East</v>
      </c>
    </row>
    <row r="28" spans="1:7" x14ac:dyDescent="0.35">
      <c r="A28" s="420" t="str">
        <f>StructureData!C52</f>
        <v>S12000020</v>
      </c>
      <c r="B28" s="420" t="str">
        <f>StructureData!B52</f>
        <v>Moray</v>
      </c>
      <c r="C28" s="420" t="str">
        <f>StructureData!F52</f>
        <v>S39000002</v>
      </c>
      <c r="D28" s="420" t="str">
        <f>StructureData!D52</f>
        <v>Aberdeenshire and Moray</v>
      </c>
      <c r="E28" s="420" t="str">
        <f>StructureData!E52</f>
        <v>Aberdeenshire and Moray</v>
      </c>
      <c r="F28" s="420" t="str">
        <f>StructureData!H52</f>
        <v>S40000005</v>
      </c>
      <c r="G28" s="420" t="str">
        <f>StructureData!G52</f>
        <v>North</v>
      </c>
    </row>
    <row r="29" spans="1:7" x14ac:dyDescent="0.35">
      <c r="A29" s="420" t="str">
        <f>StructureData!C53</f>
        <v>S12000013</v>
      </c>
      <c r="B29" s="420" t="str">
        <f>StructureData!B53</f>
        <v>Na h-Eileanan Siar</v>
      </c>
      <c r="C29" s="420" t="str">
        <f>StructureData!F53</f>
        <v>S39000017</v>
      </c>
      <c r="D29" s="420" t="str">
        <f>StructureData!D53</f>
        <v>Western Isles, Orkney and Shetland Islands</v>
      </c>
      <c r="E29" s="420" t="str">
        <f>StructureData!E53</f>
        <v>Western Isles, Orkney and Shetland Islands</v>
      </c>
      <c r="F29" s="420" t="str">
        <f>StructureData!H53</f>
        <v>S40000005</v>
      </c>
      <c r="G29" s="420" t="str">
        <f>StructureData!G53</f>
        <v>North</v>
      </c>
    </row>
    <row r="30" spans="1:7" x14ac:dyDescent="0.35">
      <c r="A30" s="420" t="str">
        <f>StructureData!C54</f>
        <v>S12000021</v>
      </c>
      <c r="B30" s="420" t="str">
        <f>StructureData!B54</f>
        <v>North Ayrshire</v>
      </c>
      <c r="C30" s="420" t="str">
        <f>StructureData!F54</f>
        <v>S39000006</v>
      </c>
      <c r="D30" s="420" t="str">
        <f>StructureData!D54</f>
        <v>East Ayrshire, North Ayrshire and South Ayrshire</v>
      </c>
      <c r="E30" s="420" t="str">
        <f>StructureData!E54</f>
        <v>East Ayrshire, North Ayrshire and South Ayrshire</v>
      </c>
      <c r="F30" s="420" t="str">
        <f>StructureData!H54</f>
        <v>S40000003</v>
      </c>
      <c r="G30" s="420" t="str">
        <f>StructureData!G54</f>
        <v>West</v>
      </c>
    </row>
    <row r="31" spans="1:7" x14ac:dyDescent="0.35">
      <c r="A31" s="420" t="str">
        <f>IF(D8="2018-19","S12000044","S12000050")</f>
        <v>S12000050</v>
      </c>
      <c r="B31" s="420" t="str">
        <f>StructureData!B55</f>
        <v>North Lanarkshire</v>
      </c>
      <c r="C31" s="420" t="str">
        <f>IF(D8="2018-19","S39000014","S39000021")</f>
        <v>S39000021</v>
      </c>
      <c r="D31" s="420" t="str">
        <f>StructureData!D55</f>
        <v>North Lanarkshire</v>
      </c>
      <c r="E31" s="420" t="str">
        <f>StructureData!E55</f>
        <v>North Lanarkshire</v>
      </c>
      <c r="F31" s="420" t="str">
        <f>StructureData!H55</f>
        <v>S40000003</v>
      </c>
      <c r="G31" s="420" t="str">
        <f>StructureData!G55</f>
        <v>West</v>
      </c>
    </row>
    <row r="32" spans="1:7" x14ac:dyDescent="0.35">
      <c r="A32" s="420" t="str">
        <f>StructureData!C56</f>
        <v>S12000023</v>
      </c>
      <c r="B32" s="420" t="str">
        <f>StructureData!B56</f>
        <v>Orkney Islands</v>
      </c>
      <c r="C32" s="420" t="str">
        <f>StructureData!F56</f>
        <v>S39000017</v>
      </c>
      <c r="D32" s="420" t="str">
        <f>StructureData!D56</f>
        <v>Western Isles, Orkney and Shetland Islands</v>
      </c>
      <c r="E32" s="420" t="str">
        <f>StructureData!E56</f>
        <v>Western Isles, Orkney and Shetland Islands</v>
      </c>
      <c r="F32" s="420" t="str">
        <f>StructureData!H56</f>
        <v>S40000005</v>
      </c>
      <c r="G32" s="420" t="str">
        <f>StructureData!G56</f>
        <v>North</v>
      </c>
    </row>
    <row r="33" spans="1:10" x14ac:dyDescent="0.35">
      <c r="A33" s="420" t="str">
        <f>StructureData!C57</f>
        <v>S12000024</v>
      </c>
      <c r="B33" s="420" t="str">
        <f>StructureData!B57</f>
        <v>Perth and Kinross</v>
      </c>
      <c r="C33" s="420" t="str">
        <f>StructureData!F57</f>
        <v>S39000018</v>
      </c>
      <c r="D33" s="420" t="str">
        <f>StructureData!D57</f>
        <v>Dundee, Angus, Perth and Kinross</v>
      </c>
      <c r="E33" s="420" t="str">
        <f>StructureData!E57</f>
        <v>Dundee, Angus, Perth and Kinross</v>
      </c>
      <c r="F33" s="420" t="str">
        <f>StructureData!H57</f>
        <v>S40000005</v>
      </c>
      <c r="G33" s="420" t="str">
        <f>StructureData!G57</f>
        <v>North</v>
      </c>
    </row>
    <row r="34" spans="1:10" x14ac:dyDescent="0.35">
      <c r="A34" s="420" t="str">
        <f>StructureData!C58</f>
        <v>S12000038</v>
      </c>
      <c r="B34" s="420" t="str">
        <f>StructureData!B58</f>
        <v>Renfrewshire</v>
      </c>
      <c r="C34" s="420" t="str">
        <f>StructureData!F58</f>
        <v>S39000008</v>
      </c>
      <c r="D34" s="420" t="str">
        <f>StructureData!D58</f>
        <v>East Renfrewshire, Renfrewshire and Inverclyde</v>
      </c>
      <c r="E34" s="420" t="str">
        <f>StructureData!E58</f>
        <v>East Renfrewshire, Renfrewshire and Inverclyde</v>
      </c>
      <c r="F34" s="420" t="str">
        <f>StructureData!H58</f>
        <v>S40000003</v>
      </c>
      <c r="G34" s="420" t="str">
        <f>StructureData!G58</f>
        <v>West</v>
      </c>
    </row>
    <row r="35" spans="1:10" x14ac:dyDescent="0.35">
      <c r="A35" s="420" t="str">
        <f>StructureData!C59</f>
        <v>S12000026</v>
      </c>
      <c r="B35" s="420" t="str">
        <f>StructureData!B59</f>
        <v>Scottish Borders</v>
      </c>
      <c r="C35" s="420" t="str">
        <f>StructureData!F59</f>
        <v>S39000007</v>
      </c>
      <c r="D35" s="420" t="str">
        <f>StructureData!D59</f>
        <v>East Lothian, Midlothian and the Scottish Borders</v>
      </c>
      <c r="E35" s="420" t="str">
        <f>StructureData!E59</f>
        <v>East Lothian, Midlothian and the Scottish Borders</v>
      </c>
      <c r="F35" s="420" t="str">
        <f>StructureData!H59</f>
        <v>S40000004</v>
      </c>
      <c r="G35" s="420" t="str">
        <f>StructureData!G59</f>
        <v>East</v>
      </c>
    </row>
    <row r="36" spans="1:10" x14ac:dyDescent="0.35">
      <c r="A36" s="420" t="str">
        <f>StructureData!C60</f>
        <v>S12000027</v>
      </c>
      <c r="B36" s="420" t="str">
        <f>StructureData!B60</f>
        <v>Shetland Islands</v>
      </c>
      <c r="C36" s="420" t="str">
        <f>StructureData!F60</f>
        <v>S39000017</v>
      </c>
      <c r="D36" s="420" t="str">
        <f>StructureData!D60</f>
        <v>Western Isles, Orkney and Shetland Islands</v>
      </c>
      <c r="E36" s="420" t="str">
        <f>StructureData!E60</f>
        <v>Western Isles, Orkney and Shetland Islands</v>
      </c>
      <c r="F36" s="420" t="str">
        <f>StructureData!H60</f>
        <v>S40000005</v>
      </c>
      <c r="G36" s="420" t="str">
        <f>StructureData!G60</f>
        <v>North</v>
      </c>
    </row>
    <row r="37" spans="1:10" x14ac:dyDescent="0.35">
      <c r="A37" s="420" t="str">
        <f>StructureData!C61</f>
        <v>S12000028</v>
      </c>
      <c r="B37" s="420" t="str">
        <f>StructureData!B61</f>
        <v>South Ayrshire</v>
      </c>
      <c r="C37" s="420" t="str">
        <f>StructureData!F61</f>
        <v>S39000006</v>
      </c>
      <c r="D37" s="420" t="str">
        <f>StructureData!D61</f>
        <v>East Ayrshire, North Ayrshire and South Ayrshire</v>
      </c>
      <c r="E37" s="420" t="str">
        <f>StructureData!E61</f>
        <v>East Ayrshire, North Ayrshire and South Ayrshire</v>
      </c>
      <c r="F37" s="420" t="str">
        <f>StructureData!H61</f>
        <v>S40000003</v>
      </c>
      <c r="G37" s="420" t="str">
        <f>StructureData!G61</f>
        <v>West</v>
      </c>
    </row>
    <row r="38" spans="1:10" x14ac:dyDescent="0.35">
      <c r="A38" s="420" t="str">
        <f>StructureData!C62</f>
        <v>S12000029</v>
      </c>
      <c r="B38" s="420" t="str">
        <f>StructureData!B62</f>
        <v>South Lanarkshire</v>
      </c>
      <c r="C38" s="420" t="str">
        <f>StructureData!F62</f>
        <v>S39000015</v>
      </c>
      <c r="D38" s="420" t="str">
        <f>StructureData!D62</f>
        <v>South Lanarkshire</v>
      </c>
      <c r="E38" s="420" t="str">
        <f>StructureData!E62</f>
        <v>South Lanarkshire</v>
      </c>
      <c r="F38" s="420" t="str">
        <f>StructureData!H62</f>
        <v>S40000003</v>
      </c>
      <c r="G38" s="420" t="str">
        <f>StructureData!G62</f>
        <v>West</v>
      </c>
    </row>
    <row r="39" spans="1:10" x14ac:dyDescent="0.35">
      <c r="A39" s="420" t="str">
        <f>StructureData!C63</f>
        <v>S12000030</v>
      </c>
      <c r="B39" s="420" t="str">
        <f>StructureData!B63</f>
        <v>Stirling</v>
      </c>
      <c r="C39" s="420" t="str">
        <f>StructureData!F63</f>
        <v>S39000016</v>
      </c>
      <c r="D39" s="420" t="str">
        <f>StructureData!D63</f>
        <v>Stirling and Clackmannanshire</v>
      </c>
      <c r="E39" s="420" t="str">
        <f>IF(D8="2018-19","Stirling and Clackmannanshire","Stirling, Clackmannanshire and Fife")</f>
        <v>Stirling, Clackmannanshire and Fife</v>
      </c>
      <c r="F39" s="420" t="str">
        <f>StructureData!H63</f>
        <v>S40000004</v>
      </c>
      <c r="G39" s="420" t="str">
        <f>StructureData!G63</f>
        <v>East</v>
      </c>
    </row>
    <row r="40" spans="1:10" x14ac:dyDescent="0.35">
      <c r="A40" s="420" t="str">
        <f>StructureData!C64</f>
        <v>S12000039</v>
      </c>
      <c r="B40" s="420" t="str">
        <f>StructureData!B64</f>
        <v>West Dunbartonshire</v>
      </c>
      <c r="C40" s="420" t="str">
        <f>StructureData!F64</f>
        <v>S39000003</v>
      </c>
      <c r="D40" s="420" t="str">
        <f>StructureData!D64</f>
        <v>Argyll and Bute, East Dunbartonshire and West Dunbartonshire</v>
      </c>
      <c r="E40" s="420" t="str">
        <f>StructureData!E64</f>
        <v>Argyll and Bute, East Dunbartonshire and West Dunbartonshire</v>
      </c>
      <c r="F40" s="420" t="str">
        <f>StructureData!H64</f>
        <v>S40000003</v>
      </c>
      <c r="G40" s="420" t="str">
        <f>StructureData!G64</f>
        <v>West</v>
      </c>
    </row>
    <row r="41" spans="1:10" ht="15" thickBot="1" x14ac:dyDescent="0.4">
      <c r="A41" s="676" t="str">
        <f>StructureData!C65</f>
        <v>S12000040</v>
      </c>
      <c r="B41" s="676" t="str">
        <f>StructureData!B65</f>
        <v>West Lothian</v>
      </c>
      <c r="C41" s="676" t="str">
        <f>StructureData!F65</f>
        <v>S39000010</v>
      </c>
      <c r="D41" s="676" t="str">
        <f>StructureData!D65</f>
        <v>Falkirk and West Lothian</v>
      </c>
      <c r="E41" s="676" t="str">
        <f>StructureData!E65</f>
        <v>Falkirk and West Lothian</v>
      </c>
      <c r="F41" s="676" t="str">
        <f>StructureData!H65</f>
        <v>S40000004</v>
      </c>
      <c r="G41" s="676" t="str">
        <f>StructureData!G65</f>
        <v>East</v>
      </c>
    </row>
    <row r="43" spans="1:10" x14ac:dyDescent="0.35">
      <c r="A43" s="359" t="s">
        <v>8</v>
      </c>
    </row>
    <row r="44" spans="1:10" ht="30" customHeight="1" x14ac:dyDescent="0.35">
      <c r="A44" s="1158" t="s">
        <v>17489</v>
      </c>
      <c r="B44" s="1158"/>
      <c r="C44" s="1158"/>
      <c r="D44" s="1158"/>
      <c r="E44" s="1158"/>
      <c r="F44" s="1158"/>
      <c r="G44" s="1158"/>
      <c r="H44" s="442"/>
      <c r="I44" s="442"/>
      <c r="J44" s="442"/>
    </row>
    <row r="45" spans="1:10" ht="30" customHeight="1" x14ac:dyDescent="0.35">
      <c r="A45" s="1159" t="s">
        <v>828</v>
      </c>
      <c r="B45" s="1159"/>
      <c r="C45" s="1159"/>
      <c r="D45" s="1159"/>
      <c r="E45" s="1159"/>
      <c r="F45" s="1159"/>
      <c r="G45" s="1159"/>
    </row>
  </sheetData>
  <sheetProtection algorithmName="SHA-512" hashValue="gobD1sYfhXXmk6eLwf1XSDLDesJ+fE2P8O/FvhqYNXMTNxZ8nsVsgNhp8LZltGficx/2DNyHi21B6rM/xBpSIg==" saltValue="zUsDqUFr9YHgYrpNSpI76Q==" spinCount="100000" sheet="1" scenarios="1" formatCells="0" formatColumns="0" formatRows="0" sort="0" autoFilter="0" pivotTables="0"/>
  <mergeCells count="2">
    <mergeCell ref="A44:G44"/>
    <mergeCell ref="A45:G4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4" orientation="portrait" r:id="rId1"/>
  <drawing r:id="rId2"/>
  <extLst>
    <ext xmlns:x14="http://schemas.microsoft.com/office/spreadsheetml/2009/9/main" uri="{A8765BA9-456A-4dab-B4F3-ACF838C121DE}">
      <x14:slicerList>
        <x14:slicer r:id="rId3"/>
      </x14:slicerList>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36"/>
  <sheetViews>
    <sheetView workbookViewId="0">
      <selection activeCell="D15" sqref="D15"/>
    </sheetView>
  </sheetViews>
  <sheetFormatPr defaultRowHeight="14.5" x14ac:dyDescent="0.35"/>
  <cols>
    <col min="1" max="1" width="7.453125" bestFit="1" customWidth="1"/>
    <col min="2" max="2" width="11.1796875" bestFit="1" customWidth="1"/>
    <col min="3" max="3" width="17.36328125" bestFit="1" customWidth="1"/>
    <col min="4" max="4" width="14.90625" bestFit="1" customWidth="1"/>
    <col min="5" max="5" width="16.36328125" bestFit="1" customWidth="1"/>
    <col min="6" max="6" width="17.08984375" bestFit="1" customWidth="1"/>
    <col min="7" max="7" width="16.54296875" bestFit="1" customWidth="1"/>
    <col min="8" max="8" width="15.36328125" bestFit="1" customWidth="1"/>
    <col min="9" max="9" width="11.7265625" bestFit="1" customWidth="1"/>
    <col min="10" max="10" width="7.36328125" bestFit="1" customWidth="1"/>
  </cols>
  <sheetData>
    <row r="1" spans="1:10" x14ac:dyDescent="0.35">
      <c r="A1" s="461" t="s">
        <v>1</v>
      </c>
      <c r="B1" s="461" t="s">
        <v>1000</v>
      </c>
      <c r="C1" s="461" t="s">
        <v>198</v>
      </c>
      <c r="D1" s="461" t="s">
        <v>18</v>
      </c>
      <c r="E1" s="461" t="s">
        <v>19</v>
      </c>
      <c r="F1" s="461" t="s">
        <v>20</v>
      </c>
      <c r="G1" s="461" t="s">
        <v>21</v>
      </c>
      <c r="H1" s="461" t="s">
        <v>22</v>
      </c>
      <c r="I1" s="461" t="s">
        <v>23</v>
      </c>
      <c r="J1" s="461" t="s">
        <v>26</v>
      </c>
    </row>
    <row r="2" spans="1:10" x14ac:dyDescent="0.35">
      <c r="A2" s="461" t="s">
        <v>194</v>
      </c>
      <c r="B2" s="461" t="s">
        <v>2</v>
      </c>
      <c r="C2" s="461"/>
      <c r="D2" s="461"/>
      <c r="E2" s="461">
        <v>5</v>
      </c>
      <c r="F2" s="461">
        <v>11</v>
      </c>
      <c r="G2" s="461">
        <v>52</v>
      </c>
      <c r="H2" s="461">
        <v>52</v>
      </c>
      <c r="I2" s="461">
        <v>103</v>
      </c>
      <c r="J2" s="461">
        <v>223</v>
      </c>
    </row>
    <row r="3" spans="1:10" x14ac:dyDescent="0.35">
      <c r="A3" s="461" t="s">
        <v>194</v>
      </c>
      <c r="B3" s="461" t="s">
        <v>300</v>
      </c>
      <c r="C3" s="461"/>
      <c r="D3" s="461"/>
      <c r="E3" s="461"/>
      <c r="F3" s="461"/>
      <c r="G3" s="461">
        <v>9</v>
      </c>
      <c r="H3" s="461">
        <v>73</v>
      </c>
      <c r="I3" s="461">
        <v>277</v>
      </c>
      <c r="J3" s="461">
        <v>359</v>
      </c>
    </row>
    <row r="4" spans="1:10" x14ac:dyDescent="0.35">
      <c r="A4" s="461" t="s">
        <v>194</v>
      </c>
      <c r="B4" s="461" t="s">
        <v>301</v>
      </c>
      <c r="C4" s="461">
        <v>9</v>
      </c>
      <c r="D4" s="461">
        <v>28</v>
      </c>
      <c r="E4" s="461">
        <v>115</v>
      </c>
      <c r="F4" s="461">
        <v>136</v>
      </c>
      <c r="G4" s="461">
        <v>679</v>
      </c>
      <c r="H4" s="461">
        <v>660</v>
      </c>
      <c r="I4" s="461">
        <v>2374</v>
      </c>
      <c r="J4" s="461">
        <v>4001</v>
      </c>
    </row>
    <row r="5" spans="1:10" x14ac:dyDescent="0.35">
      <c r="A5" s="461" t="s">
        <v>194</v>
      </c>
      <c r="B5" s="461" t="s">
        <v>9</v>
      </c>
      <c r="C5" s="461"/>
      <c r="D5" s="461"/>
      <c r="E5" s="461"/>
      <c r="F5" s="461"/>
      <c r="G5" s="461">
        <v>278</v>
      </c>
      <c r="H5" s="461">
        <v>535</v>
      </c>
      <c r="I5" s="461">
        <v>2127</v>
      </c>
      <c r="J5" s="461">
        <v>2940</v>
      </c>
    </row>
    <row r="6" spans="1:10" x14ac:dyDescent="0.35">
      <c r="A6" s="461" t="s">
        <v>193</v>
      </c>
      <c r="B6" s="461" t="s">
        <v>2</v>
      </c>
      <c r="C6" s="461"/>
      <c r="D6" s="461"/>
      <c r="E6" s="461">
        <v>5</v>
      </c>
      <c r="F6" s="461">
        <v>13</v>
      </c>
      <c r="G6" s="461">
        <v>50</v>
      </c>
      <c r="H6" s="461">
        <v>52</v>
      </c>
      <c r="I6" s="461">
        <v>110</v>
      </c>
      <c r="J6" s="461">
        <v>230</v>
      </c>
    </row>
    <row r="7" spans="1:10" x14ac:dyDescent="0.35">
      <c r="A7" s="461" t="s">
        <v>193</v>
      </c>
      <c r="B7" s="461" t="s">
        <v>300</v>
      </c>
      <c r="C7" s="461"/>
      <c r="D7" s="461"/>
      <c r="E7" s="461"/>
      <c r="F7" s="461"/>
      <c r="G7" s="461">
        <v>38</v>
      </c>
      <c r="H7" s="461">
        <v>44</v>
      </c>
      <c r="I7" s="461">
        <v>296</v>
      </c>
      <c r="J7" s="461">
        <v>378</v>
      </c>
    </row>
    <row r="8" spans="1:10" x14ac:dyDescent="0.35">
      <c r="A8" s="461" t="s">
        <v>193</v>
      </c>
      <c r="B8" s="461" t="s">
        <v>301</v>
      </c>
      <c r="C8" s="461">
        <v>7</v>
      </c>
      <c r="D8" s="461">
        <v>33</v>
      </c>
      <c r="E8" s="461">
        <v>103</v>
      </c>
      <c r="F8" s="461">
        <v>130</v>
      </c>
      <c r="G8" s="461">
        <v>664</v>
      </c>
      <c r="H8" s="461">
        <v>634</v>
      </c>
      <c r="I8" s="461">
        <v>2285</v>
      </c>
      <c r="J8" s="461">
        <v>3856</v>
      </c>
    </row>
    <row r="9" spans="1:10" x14ac:dyDescent="0.35">
      <c r="A9" s="461" t="s">
        <v>193</v>
      </c>
      <c r="B9" s="461" t="s">
        <v>9</v>
      </c>
      <c r="C9" s="461"/>
      <c r="D9" s="461"/>
      <c r="E9" s="461"/>
      <c r="F9" s="461"/>
      <c r="G9" s="461">
        <v>280</v>
      </c>
      <c r="H9" s="461">
        <v>546</v>
      </c>
      <c r="I9" s="461">
        <v>2124</v>
      </c>
      <c r="J9" s="461">
        <v>2950</v>
      </c>
    </row>
    <row r="10" spans="1:10" x14ac:dyDescent="0.35">
      <c r="A10" s="461" t="s">
        <v>192</v>
      </c>
      <c r="B10" s="461" t="s">
        <v>2</v>
      </c>
      <c r="C10" s="461"/>
      <c r="D10" s="461"/>
      <c r="E10" s="461">
        <v>6</v>
      </c>
      <c r="F10" s="461">
        <v>7</v>
      </c>
      <c r="G10" s="461">
        <v>51</v>
      </c>
      <c r="H10" s="461">
        <v>44</v>
      </c>
      <c r="I10" s="461">
        <v>95</v>
      </c>
      <c r="J10" s="461">
        <v>203</v>
      </c>
    </row>
    <row r="11" spans="1:10" x14ac:dyDescent="0.35">
      <c r="A11" s="461" t="s">
        <v>192</v>
      </c>
      <c r="B11" s="461" t="s">
        <v>300</v>
      </c>
      <c r="C11" s="461"/>
      <c r="D11" s="461"/>
      <c r="E11" s="461"/>
      <c r="F11" s="461"/>
      <c r="G11" s="461">
        <v>36</v>
      </c>
      <c r="H11" s="461">
        <v>46</v>
      </c>
      <c r="I11" s="461">
        <v>260</v>
      </c>
      <c r="J11" s="461">
        <v>342</v>
      </c>
    </row>
    <row r="12" spans="1:10" x14ac:dyDescent="0.35">
      <c r="A12" s="461" t="s">
        <v>192</v>
      </c>
      <c r="B12" s="461" t="s">
        <v>301</v>
      </c>
      <c r="C12" s="461">
        <v>4</v>
      </c>
      <c r="D12" s="461">
        <v>35</v>
      </c>
      <c r="E12" s="461">
        <v>90</v>
      </c>
      <c r="F12" s="461">
        <v>126</v>
      </c>
      <c r="G12" s="461">
        <v>577</v>
      </c>
      <c r="H12" s="461">
        <v>600</v>
      </c>
      <c r="I12" s="461">
        <v>2258</v>
      </c>
      <c r="J12" s="461">
        <v>3690</v>
      </c>
    </row>
    <row r="13" spans="1:10" x14ac:dyDescent="0.35">
      <c r="A13" s="461" t="s">
        <v>192</v>
      </c>
      <c r="B13" s="461" t="s">
        <v>9</v>
      </c>
      <c r="C13" s="461"/>
      <c r="D13" s="461"/>
      <c r="E13" s="461"/>
      <c r="F13" s="461"/>
      <c r="G13" s="461">
        <v>262</v>
      </c>
      <c r="H13" s="461">
        <v>543</v>
      </c>
      <c r="I13" s="461">
        <v>2065</v>
      </c>
      <c r="J13" s="461">
        <v>2870</v>
      </c>
    </row>
    <row r="14" spans="1:10" x14ac:dyDescent="0.35">
      <c r="A14" s="461" t="s">
        <v>258</v>
      </c>
      <c r="B14" s="461" t="s">
        <v>2</v>
      </c>
      <c r="C14" s="461"/>
      <c r="D14" s="461"/>
      <c r="E14" s="461">
        <v>5</v>
      </c>
      <c r="F14" s="461">
        <v>8</v>
      </c>
      <c r="G14" s="461">
        <v>41</v>
      </c>
      <c r="H14" s="461">
        <v>31</v>
      </c>
      <c r="I14" s="461">
        <v>80</v>
      </c>
      <c r="J14" s="461">
        <v>165</v>
      </c>
    </row>
    <row r="15" spans="1:10" x14ac:dyDescent="0.35">
      <c r="A15" s="461" t="s">
        <v>258</v>
      </c>
      <c r="B15" s="461" t="s">
        <v>300</v>
      </c>
      <c r="C15" s="461"/>
      <c r="D15" s="461"/>
      <c r="E15" s="461"/>
      <c r="F15" s="461"/>
      <c r="G15" s="461">
        <v>36</v>
      </c>
      <c r="H15" s="461">
        <v>43</v>
      </c>
      <c r="I15" s="461">
        <v>241</v>
      </c>
      <c r="J15" s="461">
        <v>320</v>
      </c>
    </row>
    <row r="16" spans="1:10" x14ac:dyDescent="0.35">
      <c r="A16" s="461" t="s">
        <v>258</v>
      </c>
      <c r="B16" s="461" t="s">
        <v>301</v>
      </c>
      <c r="C16" s="461">
        <v>4</v>
      </c>
      <c r="D16" s="461">
        <v>34</v>
      </c>
      <c r="E16" s="461">
        <v>70</v>
      </c>
      <c r="F16" s="461">
        <v>151</v>
      </c>
      <c r="G16" s="461">
        <v>590</v>
      </c>
      <c r="H16" s="461">
        <v>635</v>
      </c>
      <c r="I16" s="461">
        <v>2161</v>
      </c>
      <c r="J16" s="461">
        <v>3645</v>
      </c>
    </row>
    <row r="17" spans="1:10" x14ac:dyDescent="0.35">
      <c r="A17" s="461" t="s">
        <v>258</v>
      </c>
      <c r="B17" s="461" t="s">
        <v>9</v>
      </c>
      <c r="C17" s="461"/>
      <c r="D17" s="461"/>
      <c r="E17" s="461"/>
      <c r="F17" s="461"/>
      <c r="G17" s="461">
        <v>260</v>
      </c>
      <c r="H17" s="461">
        <v>549</v>
      </c>
      <c r="I17" s="461">
        <v>2061</v>
      </c>
      <c r="J17" s="461">
        <v>2870</v>
      </c>
    </row>
    <row r="18" spans="1:10" x14ac:dyDescent="0.35">
      <c r="A18" s="461" t="s">
        <v>242</v>
      </c>
      <c r="B18" s="461" t="s">
        <v>2</v>
      </c>
      <c r="C18" s="461"/>
      <c r="D18" s="461"/>
      <c r="E18" s="461">
        <v>5</v>
      </c>
      <c r="F18" s="461">
        <v>8</v>
      </c>
      <c r="G18" s="461">
        <v>43</v>
      </c>
      <c r="H18" s="461">
        <v>27</v>
      </c>
      <c r="I18" s="461">
        <v>106</v>
      </c>
      <c r="J18" s="461">
        <v>189</v>
      </c>
    </row>
    <row r="19" spans="1:10" x14ac:dyDescent="0.35">
      <c r="A19" s="461" t="s">
        <v>242</v>
      </c>
      <c r="B19" s="461" t="s">
        <v>301</v>
      </c>
      <c r="C19" s="461">
        <v>4</v>
      </c>
      <c r="D19" s="461">
        <v>34</v>
      </c>
      <c r="E19" s="461">
        <v>74</v>
      </c>
      <c r="F19" s="461">
        <v>153</v>
      </c>
      <c r="G19" s="461">
        <v>603</v>
      </c>
      <c r="H19" s="461">
        <v>689</v>
      </c>
      <c r="I19" s="461">
        <v>1988</v>
      </c>
      <c r="J19" s="461">
        <v>3545</v>
      </c>
    </row>
    <row r="20" spans="1:10" x14ac:dyDescent="0.35">
      <c r="A20" s="461" t="s">
        <v>242</v>
      </c>
      <c r="B20" s="461" t="s">
        <v>9</v>
      </c>
      <c r="C20" s="461"/>
      <c r="D20" s="461"/>
      <c r="E20" s="461"/>
      <c r="F20" s="461"/>
      <c r="G20" s="461">
        <v>261</v>
      </c>
      <c r="H20" s="461">
        <v>525</v>
      </c>
      <c r="I20" s="461">
        <v>2077</v>
      </c>
      <c r="J20" s="461">
        <v>2863</v>
      </c>
    </row>
    <row r="21" spans="1:10" x14ac:dyDescent="0.35">
      <c r="A21" s="461" t="s">
        <v>242</v>
      </c>
      <c r="B21" s="461" t="s">
        <v>300</v>
      </c>
      <c r="G21">
        <v>37</v>
      </c>
      <c r="H21">
        <v>39</v>
      </c>
      <c r="I21">
        <v>256</v>
      </c>
      <c r="J21">
        <v>332</v>
      </c>
    </row>
    <row r="22" spans="1:10" x14ac:dyDescent="0.35">
      <c r="A22" s="461" t="s">
        <v>241</v>
      </c>
      <c r="B22" s="461" t="s">
        <v>2</v>
      </c>
      <c r="D22">
        <v>1</v>
      </c>
      <c r="E22">
        <v>4</v>
      </c>
      <c r="F22">
        <v>9</v>
      </c>
      <c r="G22">
        <v>42</v>
      </c>
      <c r="H22">
        <v>27</v>
      </c>
      <c r="I22">
        <v>124</v>
      </c>
      <c r="J22">
        <v>207</v>
      </c>
    </row>
    <row r="23" spans="1:10" x14ac:dyDescent="0.35">
      <c r="A23" s="461" t="s">
        <v>241</v>
      </c>
      <c r="B23" s="461" t="s">
        <v>9</v>
      </c>
      <c r="G23">
        <v>261</v>
      </c>
      <c r="H23">
        <v>533</v>
      </c>
      <c r="I23">
        <v>2141</v>
      </c>
      <c r="J23">
        <v>2935</v>
      </c>
    </row>
    <row r="24" spans="1:10" x14ac:dyDescent="0.35">
      <c r="A24" s="461" t="s">
        <v>241</v>
      </c>
      <c r="B24" s="461" t="s">
        <v>774</v>
      </c>
      <c r="J24">
        <v>18</v>
      </c>
    </row>
    <row r="25" spans="1:10" x14ac:dyDescent="0.35">
      <c r="A25" s="461" t="s">
        <v>241</v>
      </c>
      <c r="B25" s="461" t="s">
        <v>301</v>
      </c>
      <c r="C25">
        <v>4</v>
      </c>
      <c r="D25">
        <v>33</v>
      </c>
      <c r="E25">
        <v>80</v>
      </c>
      <c r="F25">
        <v>147</v>
      </c>
      <c r="G25">
        <v>611</v>
      </c>
      <c r="H25">
        <v>687</v>
      </c>
      <c r="I25">
        <v>2075</v>
      </c>
      <c r="J25">
        <v>3637</v>
      </c>
    </row>
    <row r="26" spans="1:10" x14ac:dyDescent="0.35">
      <c r="A26" s="461" t="s">
        <v>241</v>
      </c>
      <c r="B26" s="461" t="s">
        <v>300</v>
      </c>
      <c r="G26">
        <v>38</v>
      </c>
      <c r="H26">
        <v>42</v>
      </c>
      <c r="I26">
        <v>241</v>
      </c>
      <c r="J26">
        <v>321</v>
      </c>
    </row>
    <row r="27" spans="1:10" x14ac:dyDescent="0.35">
      <c r="A27" s="461" t="s">
        <v>773</v>
      </c>
      <c r="B27" s="461" t="s">
        <v>9</v>
      </c>
      <c r="G27">
        <v>262</v>
      </c>
      <c r="H27">
        <v>520</v>
      </c>
      <c r="I27">
        <v>2155</v>
      </c>
      <c r="J27">
        <v>2937</v>
      </c>
    </row>
    <row r="28" spans="1:10" x14ac:dyDescent="0.35">
      <c r="A28" s="461" t="s">
        <v>773</v>
      </c>
      <c r="B28" s="461" t="s">
        <v>2</v>
      </c>
      <c r="D28">
        <v>1</v>
      </c>
      <c r="E28">
        <v>4</v>
      </c>
      <c r="F28">
        <v>8</v>
      </c>
      <c r="G28">
        <v>45</v>
      </c>
      <c r="H28">
        <v>26</v>
      </c>
      <c r="I28">
        <v>104</v>
      </c>
      <c r="J28">
        <v>188</v>
      </c>
    </row>
    <row r="29" spans="1:10" x14ac:dyDescent="0.35">
      <c r="A29" s="461" t="s">
        <v>773</v>
      </c>
      <c r="B29" s="461" t="s">
        <v>300</v>
      </c>
      <c r="G29">
        <v>37</v>
      </c>
      <c r="H29">
        <v>41</v>
      </c>
      <c r="I29">
        <v>237</v>
      </c>
      <c r="J29">
        <v>315</v>
      </c>
    </row>
    <row r="30" spans="1:10" x14ac:dyDescent="0.35">
      <c r="A30" s="461" t="s">
        <v>773</v>
      </c>
      <c r="B30" s="461" t="s">
        <v>301</v>
      </c>
      <c r="C30">
        <v>6</v>
      </c>
      <c r="D30">
        <v>31</v>
      </c>
      <c r="E30">
        <v>80</v>
      </c>
      <c r="F30">
        <v>153</v>
      </c>
      <c r="G30">
        <v>608</v>
      </c>
      <c r="H30">
        <v>688</v>
      </c>
      <c r="I30">
        <v>2070</v>
      </c>
      <c r="J30">
        <v>3636</v>
      </c>
    </row>
    <row r="31" spans="1:10" x14ac:dyDescent="0.35">
      <c r="A31" s="461" t="s">
        <v>773</v>
      </c>
      <c r="B31" s="461" t="s">
        <v>774</v>
      </c>
      <c r="G31">
        <v>36</v>
      </c>
      <c r="J31">
        <v>36</v>
      </c>
    </row>
    <row r="32" spans="1:10" x14ac:dyDescent="0.35">
      <c r="A32" s="461" t="s">
        <v>951</v>
      </c>
      <c r="B32" s="461" t="s">
        <v>300</v>
      </c>
      <c r="G32">
        <v>37</v>
      </c>
      <c r="H32">
        <v>43</v>
      </c>
      <c r="I32">
        <v>223</v>
      </c>
      <c r="J32">
        <v>303</v>
      </c>
    </row>
    <row r="33" spans="1:10" x14ac:dyDescent="0.35">
      <c r="A33" s="461" t="s">
        <v>951</v>
      </c>
      <c r="B33" s="461" t="s">
        <v>2</v>
      </c>
      <c r="D33">
        <v>1</v>
      </c>
      <c r="E33">
        <v>4</v>
      </c>
      <c r="F33">
        <v>10</v>
      </c>
      <c r="G33">
        <v>41</v>
      </c>
      <c r="H33">
        <v>31</v>
      </c>
      <c r="I33">
        <v>95</v>
      </c>
      <c r="J33">
        <v>182</v>
      </c>
    </row>
    <row r="34" spans="1:10" x14ac:dyDescent="0.35">
      <c r="A34" s="461" t="s">
        <v>951</v>
      </c>
      <c r="B34" s="461" t="s">
        <v>774</v>
      </c>
      <c r="G34">
        <v>54</v>
      </c>
      <c r="J34">
        <v>54</v>
      </c>
    </row>
    <row r="35" spans="1:10" x14ac:dyDescent="0.35">
      <c r="A35" s="461" t="s">
        <v>951</v>
      </c>
      <c r="B35" s="461" t="s">
        <v>9</v>
      </c>
      <c r="G35">
        <v>267</v>
      </c>
      <c r="H35">
        <v>522</v>
      </c>
      <c r="I35">
        <v>2083</v>
      </c>
      <c r="J35">
        <v>2872</v>
      </c>
    </row>
    <row r="36" spans="1:10" x14ac:dyDescent="0.35">
      <c r="A36" s="461" t="s">
        <v>951</v>
      </c>
      <c r="B36" s="461" t="s">
        <v>301</v>
      </c>
      <c r="C36">
        <v>5</v>
      </c>
      <c r="D36">
        <v>35</v>
      </c>
      <c r="E36">
        <v>81</v>
      </c>
      <c r="F36">
        <v>152</v>
      </c>
      <c r="G36">
        <v>604</v>
      </c>
      <c r="H36">
        <v>687</v>
      </c>
      <c r="I36">
        <v>2020</v>
      </c>
      <c r="J36">
        <v>3584</v>
      </c>
    </row>
  </sheetData>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22"/>
  <sheetViews>
    <sheetView showGridLines="0" workbookViewId="0">
      <pane ySplit="2" topLeftCell="A3" activePane="bottomLeft" state="frozen"/>
      <selection pane="bottomLeft" sqref="A1:H1"/>
    </sheetView>
  </sheetViews>
  <sheetFormatPr defaultRowHeight="14.5" x14ac:dyDescent="0.35"/>
  <cols>
    <col min="1" max="1" width="31.7265625" bestFit="1" customWidth="1"/>
    <col min="2" max="9" width="12" customWidth="1"/>
  </cols>
  <sheetData>
    <row r="1" spans="1:11" ht="15.5" x14ac:dyDescent="0.35">
      <c r="A1" s="1160" t="s">
        <v>439</v>
      </c>
      <c r="B1" s="1160"/>
      <c r="C1" s="1160"/>
      <c r="D1" s="1160"/>
      <c r="E1" s="1160"/>
      <c r="F1" s="1160"/>
      <c r="G1" s="1160"/>
      <c r="H1" s="1160"/>
    </row>
    <row r="2" spans="1:11" ht="17.5" x14ac:dyDescent="0.35">
      <c r="A2" s="601" t="s">
        <v>509</v>
      </c>
      <c r="B2" s="1"/>
      <c r="C2" s="1"/>
      <c r="D2" s="1"/>
      <c r="E2" s="1"/>
      <c r="F2" s="1"/>
      <c r="G2" s="1"/>
      <c r="H2" s="1"/>
    </row>
    <row r="3" spans="1:11" ht="17.5" x14ac:dyDescent="0.35">
      <c r="A3" s="1"/>
      <c r="B3" s="1"/>
      <c r="C3" s="1"/>
      <c r="D3" s="1"/>
      <c r="E3" s="1"/>
      <c r="F3" s="1"/>
      <c r="G3" s="1"/>
      <c r="H3" s="1"/>
    </row>
    <row r="4" spans="1:11" ht="30" customHeight="1" x14ac:dyDescent="0.35">
      <c r="A4" s="1178" t="s">
        <v>442</v>
      </c>
      <c r="B4" s="1178"/>
      <c r="C4" s="1178"/>
      <c r="D4" s="1178"/>
      <c r="E4" s="1178"/>
      <c r="F4" s="1178"/>
      <c r="G4" s="1178"/>
      <c r="H4" s="1178"/>
      <c r="I4" s="1178"/>
      <c r="J4" s="1178"/>
      <c r="K4" s="1178"/>
    </row>
    <row r="5" spans="1:11" ht="15" customHeight="1" x14ac:dyDescent="0.35">
      <c r="A5" t="s">
        <v>320</v>
      </c>
      <c r="B5" t="s">
        <v>652</v>
      </c>
      <c r="C5" s="510"/>
      <c r="E5" s="510"/>
      <c r="F5" s="510"/>
      <c r="G5" s="510"/>
      <c r="H5" s="510"/>
      <c r="I5" s="510"/>
      <c r="J5" s="510"/>
      <c r="K5" s="510"/>
    </row>
    <row r="6" spans="1:11" ht="15" customHeight="1" x14ac:dyDescent="0.35">
      <c r="A6" t="s">
        <v>321</v>
      </c>
      <c r="C6" s="510"/>
      <c r="D6" s="510"/>
      <c r="E6" s="510"/>
      <c r="F6" s="510"/>
      <c r="G6" s="510"/>
      <c r="H6" s="510"/>
      <c r="I6" s="510"/>
      <c r="J6" s="510"/>
      <c r="K6" s="510"/>
    </row>
    <row r="7" spans="1:11" ht="15" customHeight="1" x14ac:dyDescent="0.35">
      <c r="A7" t="s">
        <v>322</v>
      </c>
      <c r="B7" t="s">
        <v>324</v>
      </c>
      <c r="C7" s="510"/>
      <c r="D7" s="510"/>
      <c r="E7" s="510"/>
      <c r="F7" s="510"/>
      <c r="G7" s="510"/>
      <c r="H7" s="510"/>
      <c r="I7" s="510"/>
      <c r="J7" s="510"/>
      <c r="K7" s="510"/>
    </row>
    <row r="8" spans="1:11" ht="15" customHeight="1" x14ac:dyDescent="0.35">
      <c r="C8" s="510"/>
      <c r="D8" s="510"/>
      <c r="E8" s="510"/>
      <c r="F8" s="510"/>
      <c r="G8" s="510"/>
      <c r="H8" s="510"/>
      <c r="I8" s="510"/>
      <c r="J8" s="510"/>
      <c r="K8" s="510"/>
    </row>
    <row r="9" spans="1:11" ht="26.5" x14ac:dyDescent="0.35">
      <c r="A9" s="21"/>
      <c r="B9" s="3" t="s">
        <v>856</v>
      </c>
      <c r="C9" s="3" t="s">
        <v>857</v>
      </c>
      <c r="D9" s="3" t="s">
        <v>858</v>
      </c>
      <c r="E9" s="3" t="s">
        <v>859</v>
      </c>
      <c r="F9" s="3" t="s">
        <v>860</v>
      </c>
      <c r="G9" s="3" t="s">
        <v>861</v>
      </c>
      <c r="H9" s="3" t="s">
        <v>23</v>
      </c>
      <c r="I9" s="273" t="s">
        <v>10</v>
      </c>
      <c r="K9" s="15"/>
    </row>
    <row r="10" spans="1:11" ht="16.5" customHeight="1" x14ac:dyDescent="0.35">
      <c r="A10" s="12" t="s">
        <v>168</v>
      </c>
      <c r="B10" s="323">
        <f>GETPIVOTDATA("Sum of Brigade Manager",rolepivot!$A$3,"Type","WT")</f>
        <v>5</v>
      </c>
      <c r="C10" s="323">
        <f>GETPIVOTDATA("Sum of Area Manager",rolepivot!$A$3,"Type","WT")</f>
        <v>35</v>
      </c>
      <c r="D10" s="323">
        <f>GETPIVOTDATA("Sum of Group Manager",rolepivot!$A$3,"Type","WT")</f>
        <v>81</v>
      </c>
      <c r="E10" s="323">
        <f>GETPIVOTDATA("Sum of Station Manager",rolepivot!$A$3,"Type","WT")</f>
        <v>152</v>
      </c>
      <c r="F10" s="323">
        <f>GETPIVOTDATA("Sum of Watch Manager",rolepivot!$A$3,"Type","WT")</f>
        <v>604</v>
      </c>
      <c r="G10" s="323">
        <f>GETPIVOTDATA("Sum of Crew Manager",rolepivot!$A$3,"Type","WT")</f>
        <v>687</v>
      </c>
      <c r="H10" s="323">
        <f>GETPIVOTDATA("Sum of Firefighter",rolepivot!$A$3,"Type","WT")</f>
        <v>2020</v>
      </c>
      <c r="I10" s="324">
        <f>SUM(B10:H10)</f>
        <v>3584</v>
      </c>
      <c r="J10" s="15"/>
      <c r="K10" s="15"/>
    </row>
    <row r="11" spans="1:11" ht="16.5" customHeight="1" x14ac:dyDescent="0.35">
      <c r="A11" s="2" t="s">
        <v>169</v>
      </c>
      <c r="B11" s="338">
        <f>B10/$I$10</f>
        <v>1.3950892857142857E-3</v>
      </c>
      <c r="C11" s="338">
        <f t="shared" ref="C11:G11" si="0">C10/$I$10</f>
        <v>9.765625E-3</v>
      </c>
      <c r="D11" s="338">
        <f t="shared" si="0"/>
        <v>2.2600446428571428E-2</v>
      </c>
      <c r="E11" s="338">
        <f t="shared" si="0"/>
        <v>4.2410714285714288E-2</v>
      </c>
      <c r="F11" s="338">
        <f t="shared" si="0"/>
        <v>0.16852678571428573</v>
      </c>
      <c r="G11" s="338">
        <f t="shared" si="0"/>
        <v>0.19168526785714285</v>
      </c>
      <c r="H11" s="338">
        <f>H10/$I$10</f>
        <v>0.5636160714285714</v>
      </c>
      <c r="I11" s="338">
        <f>I10/$I$10</f>
        <v>1</v>
      </c>
      <c r="J11" s="15"/>
      <c r="K11" s="15"/>
    </row>
    <row r="12" spans="1:11" ht="16.5" customHeight="1" x14ac:dyDescent="0.35">
      <c r="A12" s="12" t="s">
        <v>170</v>
      </c>
      <c r="B12" s="30">
        <f>GETPIVOTDATA("Sum of Brigade Manager",rolepivot!$A$3,"Type","RDS")</f>
        <v>0</v>
      </c>
      <c r="C12" s="464">
        <f>GETPIVOTDATA("Sum of Area Manager",rolepivot!$A$3,"Type","RDS")</f>
        <v>0</v>
      </c>
      <c r="D12" s="464">
        <f>GETPIVOTDATA("Sum of Group Manager",rolepivot!$A$3,"Type","RDS")</f>
        <v>0</v>
      </c>
      <c r="E12" s="464">
        <f>GETPIVOTDATA("Sum of Station Manager",rolepivot!$A$3,"Type","RDS")</f>
        <v>0</v>
      </c>
      <c r="F12" s="464">
        <f>GETPIVOTDATA("Sum of Watch Manager",rolepivot!$A$3,"Type","RDS")</f>
        <v>267</v>
      </c>
      <c r="G12" s="464">
        <f>GETPIVOTDATA("Sum of Crew Manager",rolepivot!$A$3,"Type","RDS")</f>
        <v>522</v>
      </c>
      <c r="H12" s="464">
        <f>GETPIVOTDATA("Sum of Firefighter",rolepivot!$A$3,"Type","RDS")</f>
        <v>2083</v>
      </c>
      <c r="I12" s="324">
        <f t="shared" ref="I12:I16" si="1">SUM(B12:H12)</f>
        <v>2872</v>
      </c>
      <c r="J12" s="15"/>
      <c r="K12" s="15"/>
    </row>
    <row r="13" spans="1:11" ht="16.5" customHeight="1" x14ac:dyDescent="0.35">
      <c r="A13" s="2" t="s">
        <v>171</v>
      </c>
      <c r="B13" s="339">
        <f>IF(ISBLANK(B12), "-", B12/$I$12)</f>
        <v>0</v>
      </c>
      <c r="C13" s="339">
        <f t="shared" ref="C13:G13" si="2">IF(ISBLANK(C12), "-", C12/$I$12)</f>
        <v>0</v>
      </c>
      <c r="D13" s="339">
        <f t="shared" si="2"/>
        <v>0</v>
      </c>
      <c r="E13" s="339">
        <f t="shared" si="2"/>
        <v>0</v>
      </c>
      <c r="F13" s="339">
        <f t="shared" si="2"/>
        <v>9.2966573816155987E-2</v>
      </c>
      <c r="G13" s="339">
        <f t="shared" si="2"/>
        <v>0.18175487465181059</v>
      </c>
      <c r="H13" s="339">
        <f>IF(ISBLANK(H12), "-", H12/$I$12)</f>
        <v>0.72527855153203347</v>
      </c>
      <c r="I13" s="339">
        <f>IF(ISBLANK(I12), "-", I12/$I$12)</f>
        <v>1</v>
      </c>
      <c r="J13" s="15"/>
      <c r="K13" s="15"/>
    </row>
    <row r="14" spans="1:11" ht="16.5" customHeight="1" x14ac:dyDescent="0.35">
      <c r="A14" s="12" t="s">
        <v>172</v>
      </c>
      <c r="B14" s="30">
        <f>GETPIVOTDATA("Sum of Brigade Manager",rolepivot!$A$3,"Type","Control")</f>
        <v>0</v>
      </c>
      <c r="C14" s="464">
        <f>GETPIVOTDATA("Sum of Area Manager",rolepivot!$A$3,"Type","Control")</f>
        <v>1</v>
      </c>
      <c r="D14" s="464">
        <f>GETPIVOTDATA("Sum of Group Manager",rolepivot!$A$3,"Type","Control")</f>
        <v>4</v>
      </c>
      <c r="E14" s="464">
        <f>GETPIVOTDATA("Sum of Station Manager",rolepivot!$A$3,"Type","Control")</f>
        <v>10</v>
      </c>
      <c r="F14" s="464">
        <f>GETPIVOTDATA("Sum of Watch Manager",rolepivot!$A$3,"Type","Control")</f>
        <v>41</v>
      </c>
      <c r="G14" s="464">
        <f>GETPIVOTDATA("Sum of Crew Manager",rolepivot!$A$3,"Type","Control")</f>
        <v>31</v>
      </c>
      <c r="H14" s="464">
        <f>GETPIVOTDATA("Sum of Firefighter",rolepivot!$A$3,"Type","Control")</f>
        <v>95</v>
      </c>
      <c r="I14" s="324">
        <f t="shared" si="1"/>
        <v>182</v>
      </c>
      <c r="J14" s="15"/>
      <c r="K14" s="15"/>
    </row>
    <row r="15" spans="1:11" ht="16.5" customHeight="1" x14ac:dyDescent="0.35">
      <c r="A15" s="2" t="s">
        <v>173</v>
      </c>
      <c r="B15" s="339">
        <f>IF(ISBLANK(B14), "-", B14/$I$14)</f>
        <v>0</v>
      </c>
      <c r="C15" s="339">
        <f t="shared" ref="C15:I15" si="3">IF(ISBLANK(C14), "-", C14/$I$14)</f>
        <v>5.4945054945054949E-3</v>
      </c>
      <c r="D15" s="339">
        <f t="shared" si="3"/>
        <v>2.197802197802198E-2</v>
      </c>
      <c r="E15" s="339">
        <f t="shared" si="3"/>
        <v>5.4945054945054944E-2</v>
      </c>
      <c r="F15" s="339">
        <f t="shared" si="3"/>
        <v>0.22527472527472528</v>
      </c>
      <c r="G15" s="339">
        <f t="shared" si="3"/>
        <v>0.17032967032967034</v>
      </c>
      <c r="H15" s="339">
        <f t="shared" si="3"/>
        <v>0.52197802197802201</v>
      </c>
      <c r="I15" s="339">
        <f t="shared" si="3"/>
        <v>1</v>
      </c>
      <c r="J15" s="15"/>
      <c r="K15" s="15"/>
    </row>
    <row r="16" spans="1:11" ht="16.5" customHeight="1" x14ac:dyDescent="0.35">
      <c r="A16" s="12" t="s">
        <v>443</v>
      </c>
      <c r="B16" s="30">
        <f>GETPIVOTDATA("Sum of Brigade Manager",rolepivot!$A$3,"Type","Vol")</f>
        <v>0</v>
      </c>
      <c r="C16" s="464">
        <f>GETPIVOTDATA("Sum of Area Manager",rolepivot!$A$3,"Type","Vol")</f>
        <v>0</v>
      </c>
      <c r="D16" s="464">
        <f>GETPIVOTDATA("Sum of Group Manager",rolepivot!$A$3,"Type","Vol")</f>
        <v>0</v>
      </c>
      <c r="E16" s="464">
        <f>GETPIVOTDATA("Sum of Station Manager",rolepivot!$A$3,"Type","Vol")</f>
        <v>0</v>
      </c>
      <c r="F16" s="464">
        <f>GETPIVOTDATA("Sum of Watch Manager",rolepivot!$A$3,"Type","Vol")</f>
        <v>37</v>
      </c>
      <c r="G16" s="464">
        <f>GETPIVOTDATA("Sum of Crew Manager",rolepivot!$A$3,"Type","Vol")</f>
        <v>43</v>
      </c>
      <c r="H16" s="464">
        <f>GETPIVOTDATA("Sum of Firefighter",rolepivot!$A$3,"Type","Vol")</f>
        <v>223</v>
      </c>
      <c r="I16" s="324">
        <f t="shared" si="1"/>
        <v>303</v>
      </c>
      <c r="J16" s="15"/>
      <c r="K16" s="15"/>
    </row>
    <row r="17" spans="1:11" ht="16.5" customHeight="1" thickBot="1" x14ac:dyDescent="0.4">
      <c r="A17" s="40" t="s">
        <v>444</v>
      </c>
      <c r="B17" s="340">
        <f>IF(ISBLANK(B16), "-", B16/$I$16)</f>
        <v>0</v>
      </c>
      <c r="C17" s="340">
        <f>IF(ISBLANK(C16), "-", C16/$I$16)</f>
        <v>0</v>
      </c>
      <c r="D17" s="340">
        <f t="shared" ref="D17:I17" si="4">IF(ISBLANK(D16), "-", D16/$I$16)</f>
        <v>0</v>
      </c>
      <c r="E17" s="340">
        <f t="shared" si="4"/>
        <v>0</v>
      </c>
      <c r="F17" s="340">
        <f t="shared" si="4"/>
        <v>0.12211221122112212</v>
      </c>
      <c r="G17" s="340">
        <f t="shared" si="4"/>
        <v>0.14191419141914191</v>
      </c>
      <c r="H17" s="340">
        <f t="shared" si="4"/>
        <v>0.735973597359736</v>
      </c>
      <c r="I17" s="340">
        <f t="shared" si="4"/>
        <v>1</v>
      </c>
      <c r="J17" s="15"/>
      <c r="K17" s="15"/>
    </row>
    <row r="18" spans="1:11" x14ac:dyDescent="0.35">
      <c r="A18" s="25"/>
      <c r="B18" s="436"/>
      <c r="C18" s="25"/>
      <c r="D18" s="25"/>
      <c r="E18" s="25"/>
      <c r="F18" s="25"/>
      <c r="G18" s="25"/>
      <c r="H18" s="25"/>
      <c r="I18" s="25"/>
      <c r="J18" s="15"/>
      <c r="K18" s="15"/>
    </row>
    <row r="19" spans="1:11" x14ac:dyDescent="0.35">
      <c r="A19" s="413" t="s">
        <v>8</v>
      </c>
      <c r="B19" s="394"/>
      <c r="C19" s="394"/>
      <c r="D19" s="394"/>
      <c r="E19" s="394"/>
      <c r="F19" s="394"/>
      <c r="G19" s="394"/>
      <c r="H19" s="394"/>
      <c r="I19" s="394"/>
      <c r="J19" s="394"/>
      <c r="K19" s="394"/>
    </row>
    <row r="20" spans="1:11" ht="45" customHeight="1" x14ac:dyDescent="0.35">
      <c r="A20" s="1180" t="s">
        <v>863</v>
      </c>
      <c r="B20" s="1180"/>
      <c r="C20" s="1180"/>
      <c r="D20" s="1180"/>
      <c r="E20" s="1180"/>
      <c r="F20" s="1180"/>
      <c r="G20" s="1180"/>
      <c r="H20" s="1180"/>
      <c r="I20" s="1180"/>
      <c r="J20" s="394"/>
      <c r="K20" s="394"/>
    </row>
    <row r="21" spans="1:11" ht="30" customHeight="1" x14ac:dyDescent="0.35">
      <c r="A21" s="1179" t="s">
        <v>862</v>
      </c>
      <c r="B21" s="1179"/>
      <c r="C21" s="1179"/>
      <c r="D21" s="1179"/>
      <c r="E21" s="1179"/>
      <c r="F21" s="1179"/>
      <c r="G21" s="1179"/>
      <c r="H21" s="1179"/>
      <c r="I21" s="1179"/>
      <c r="J21" s="393"/>
      <c r="K21" s="393"/>
    </row>
    <row r="22" spans="1:11" ht="30" customHeight="1" x14ac:dyDescent="0.35"/>
  </sheetData>
  <sheetProtection algorithmName="SHA-512" hashValue="laz9CLjKtEc8jK7ImV3bZPo2vd1sNYXls+mr3t46mH0ZjK+I1DMnKDAOh7jPBk85bcU/5F+FU5dmcArRB6VaIQ==" saltValue="4Z3rpzmtQxl4ob24iSyeHA==" spinCount="100000" sheet="1" scenarios="1" formatCells="0" formatColumns="0" formatRows="0" sort="0" autoFilter="0" pivotTables="0"/>
  <mergeCells count="4">
    <mergeCell ref="A4:K4"/>
    <mergeCell ref="A1:H1"/>
    <mergeCell ref="A21:I21"/>
    <mergeCell ref="A20:I20"/>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8"/>
  <sheetViews>
    <sheetView workbookViewId="0">
      <selection activeCell="B6" sqref="B6"/>
    </sheetView>
  </sheetViews>
  <sheetFormatPr defaultRowHeight="14.5" x14ac:dyDescent="0.35"/>
  <cols>
    <col min="1" max="1" width="23.81640625" bestFit="1" customWidth="1"/>
    <col min="2" max="2" width="24.453125" bestFit="1" customWidth="1"/>
    <col min="3" max="3" width="22.08984375" bestFit="1" customWidth="1"/>
    <col min="4" max="4" width="23.453125" bestFit="1" customWidth="1"/>
    <col min="5" max="5" width="24.1796875" bestFit="1" customWidth="1"/>
    <col min="6" max="6" width="23.6328125" bestFit="1" customWidth="1"/>
    <col min="7" max="7" width="22.453125" bestFit="1" customWidth="1"/>
    <col min="8" max="8" width="15.81640625" bestFit="1" customWidth="1"/>
  </cols>
  <sheetData>
    <row r="1" spans="1:8" x14ac:dyDescent="0.35">
      <c r="A1" s="459" t="s">
        <v>1</v>
      </c>
      <c r="B1" t="s">
        <v>951</v>
      </c>
    </row>
    <row r="3" spans="1:8" x14ac:dyDescent="0.35">
      <c r="A3" s="459" t="s">
        <v>234</v>
      </c>
      <c r="B3" t="s">
        <v>865</v>
      </c>
      <c r="C3" t="s">
        <v>866</v>
      </c>
      <c r="D3" t="s">
        <v>867</v>
      </c>
      <c r="E3" t="s">
        <v>868</v>
      </c>
      <c r="F3" t="s">
        <v>869</v>
      </c>
      <c r="G3" t="s">
        <v>870</v>
      </c>
      <c r="H3" t="s">
        <v>255</v>
      </c>
    </row>
    <row r="4" spans="1:8" x14ac:dyDescent="0.35">
      <c r="A4" s="1000" t="s">
        <v>780</v>
      </c>
      <c r="B4" s="461">
        <v>5</v>
      </c>
      <c r="C4" s="461">
        <v>35</v>
      </c>
      <c r="D4" s="461">
        <v>81</v>
      </c>
      <c r="E4" s="461">
        <v>152</v>
      </c>
      <c r="F4" s="461">
        <v>0</v>
      </c>
      <c r="G4" s="461">
        <v>0</v>
      </c>
      <c r="H4" s="461">
        <v>0</v>
      </c>
    </row>
    <row r="5" spans="1:8" x14ac:dyDescent="0.35">
      <c r="A5" s="1000" t="s">
        <v>782</v>
      </c>
      <c r="B5" s="461">
        <v>0</v>
      </c>
      <c r="C5" s="461">
        <v>0</v>
      </c>
      <c r="D5" s="461">
        <v>0</v>
      </c>
      <c r="E5" s="461">
        <v>0</v>
      </c>
      <c r="F5" s="461">
        <v>232</v>
      </c>
      <c r="G5" s="461">
        <v>91</v>
      </c>
      <c r="H5" s="461">
        <v>26</v>
      </c>
    </row>
    <row r="6" spans="1:8" x14ac:dyDescent="0.35">
      <c r="A6" s="1000" t="s">
        <v>864</v>
      </c>
      <c r="B6" s="461">
        <v>0</v>
      </c>
      <c r="C6" s="461">
        <v>0</v>
      </c>
      <c r="D6" s="461">
        <v>0</v>
      </c>
      <c r="E6" s="461">
        <v>0</v>
      </c>
      <c r="F6" s="461">
        <v>372</v>
      </c>
      <c r="G6" s="461">
        <v>596</v>
      </c>
      <c r="H6" s="461">
        <v>1935</v>
      </c>
    </row>
    <row r="7" spans="1:8" x14ac:dyDescent="0.35">
      <c r="A7" s="1000" t="s">
        <v>783</v>
      </c>
      <c r="B7" s="461">
        <v>0</v>
      </c>
      <c r="C7" s="461">
        <v>0</v>
      </c>
      <c r="D7" s="461">
        <v>0</v>
      </c>
      <c r="E7" s="461">
        <v>0</v>
      </c>
      <c r="F7" s="461">
        <v>0</v>
      </c>
      <c r="G7" s="461">
        <v>0</v>
      </c>
      <c r="H7" s="461">
        <v>59</v>
      </c>
    </row>
    <row r="8" spans="1:8" x14ac:dyDescent="0.35">
      <c r="A8" s="1000" t="s">
        <v>239</v>
      </c>
      <c r="B8" s="461">
        <v>5</v>
      </c>
      <c r="C8" s="461">
        <v>35</v>
      </c>
      <c r="D8" s="461">
        <v>81</v>
      </c>
      <c r="E8" s="461">
        <v>152</v>
      </c>
      <c r="F8" s="461">
        <v>604</v>
      </c>
      <c r="G8" s="461">
        <v>687</v>
      </c>
      <c r="H8" s="461">
        <v>2020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13"/>
  <sheetViews>
    <sheetView workbookViewId="0">
      <selection sqref="A1:I13"/>
    </sheetView>
  </sheetViews>
  <sheetFormatPr defaultRowHeight="14.5" x14ac:dyDescent="0.35"/>
  <cols>
    <col min="1" max="1" width="7.453125" bestFit="1" customWidth="1"/>
    <col min="2" max="2" width="23.81640625" bestFit="1" customWidth="1"/>
    <col min="3" max="3" width="20.36328125" bestFit="1" customWidth="1"/>
    <col min="4" max="4" width="17.90625" bestFit="1" customWidth="1"/>
    <col min="5" max="5" width="19.36328125" bestFit="1" customWidth="1"/>
    <col min="6" max="6" width="20.08984375" bestFit="1" customWidth="1"/>
    <col min="7" max="7" width="19.54296875" bestFit="1" customWidth="1"/>
    <col min="8" max="8" width="18.26953125" bestFit="1" customWidth="1"/>
    <col min="9" max="9" width="11.7265625" bestFit="1" customWidth="1"/>
  </cols>
  <sheetData>
    <row r="1" spans="1:9" x14ac:dyDescent="0.35">
      <c r="A1" s="461" t="s">
        <v>1</v>
      </c>
      <c r="B1" s="461" t="s">
        <v>17422</v>
      </c>
      <c r="C1" s="461" t="s">
        <v>856</v>
      </c>
      <c r="D1" s="461" t="s">
        <v>857</v>
      </c>
      <c r="E1" s="461" t="s">
        <v>858</v>
      </c>
      <c r="F1" s="461" t="s">
        <v>859</v>
      </c>
      <c r="G1" s="461" t="s">
        <v>860</v>
      </c>
      <c r="H1" s="461" t="s">
        <v>861</v>
      </c>
      <c r="I1" s="461" t="s">
        <v>23</v>
      </c>
    </row>
    <row r="2" spans="1:9" x14ac:dyDescent="0.35">
      <c r="A2" s="461" t="s">
        <v>241</v>
      </c>
      <c r="B2" s="461" t="s">
        <v>780</v>
      </c>
      <c r="C2" s="461">
        <v>4</v>
      </c>
      <c r="D2" s="461">
        <v>33</v>
      </c>
      <c r="E2" s="461">
        <v>80</v>
      </c>
      <c r="F2" s="461">
        <v>147</v>
      </c>
      <c r="G2" s="461">
        <v>0</v>
      </c>
      <c r="H2" s="461">
        <v>0</v>
      </c>
      <c r="I2" s="461">
        <v>0</v>
      </c>
    </row>
    <row r="3" spans="1:9" x14ac:dyDescent="0.35">
      <c r="A3" s="461" t="s">
        <v>241</v>
      </c>
      <c r="B3" s="461" t="s">
        <v>782</v>
      </c>
      <c r="C3" s="461">
        <v>0</v>
      </c>
      <c r="D3" s="461">
        <v>0</v>
      </c>
      <c r="E3" s="461">
        <v>0</v>
      </c>
      <c r="F3" s="461">
        <v>0</v>
      </c>
      <c r="G3" s="461">
        <v>234</v>
      </c>
      <c r="H3" s="461">
        <v>95</v>
      </c>
      <c r="I3" s="461">
        <v>29</v>
      </c>
    </row>
    <row r="4" spans="1:9" x14ac:dyDescent="0.35">
      <c r="A4" s="461" t="s">
        <v>241</v>
      </c>
      <c r="B4" s="461" t="s">
        <v>864</v>
      </c>
      <c r="C4" s="461">
        <v>0</v>
      </c>
      <c r="D4" s="461">
        <v>0</v>
      </c>
      <c r="E4" s="461">
        <v>0</v>
      </c>
      <c r="F4" s="461">
        <v>0</v>
      </c>
      <c r="G4" s="461">
        <v>377</v>
      </c>
      <c r="H4" s="461">
        <v>592</v>
      </c>
      <c r="I4" s="461">
        <v>1986</v>
      </c>
    </row>
    <row r="5" spans="1:9" x14ac:dyDescent="0.35">
      <c r="A5" s="461" t="s">
        <v>241</v>
      </c>
      <c r="B5" s="461" t="s">
        <v>783</v>
      </c>
      <c r="C5" s="461">
        <v>0</v>
      </c>
      <c r="D5" s="461">
        <v>0</v>
      </c>
      <c r="E5" s="461">
        <v>0</v>
      </c>
      <c r="F5" s="461">
        <v>0</v>
      </c>
      <c r="G5" s="461">
        <v>0</v>
      </c>
      <c r="H5" s="461">
        <v>0</v>
      </c>
      <c r="I5" s="461">
        <v>60</v>
      </c>
    </row>
    <row r="6" spans="1:9" x14ac:dyDescent="0.35">
      <c r="A6" s="461" t="s">
        <v>773</v>
      </c>
      <c r="B6" s="461" t="s">
        <v>780</v>
      </c>
      <c r="C6" s="461">
        <v>6</v>
      </c>
      <c r="D6" s="461">
        <v>31</v>
      </c>
      <c r="E6" s="461">
        <v>80</v>
      </c>
      <c r="F6" s="461">
        <v>153</v>
      </c>
      <c r="G6" s="461">
        <v>0</v>
      </c>
      <c r="H6" s="461">
        <v>0</v>
      </c>
      <c r="I6" s="461">
        <v>0</v>
      </c>
    </row>
    <row r="7" spans="1:9" x14ac:dyDescent="0.35">
      <c r="A7" s="461" t="s">
        <v>773</v>
      </c>
      <c r="B7" s="461" t="s">
        <v>782</v>
      </c>
      <c r="C7" s="461">
        <v>0</v>
      </c>
      <c r="D7" s="461">
        <v>0</v>
      </c>
      <c r="E7" s="461">
        <v>0</v>
      </c>
      <c r="F7" s="461">
        <v>0</v>
      </c>
      <c r="G7" s="461">
        <v>232</v>
      </c>
      <c r="H7" s="461">
        <v>91</v>
      </c>
      <c r="I7" s="461">
        <v>28</v>
      </c>
    </row>
    <row r="8" spans="1:9" x14ac:dyDescent="0.35">
      <c r="A8" s="461" t="s">
        <v>773</v>
      </c>
      <c r="B8" s="461" t="s">
        <v>864</v>
      </c>
      <c r="C8" s="461">
        <v>0</v>
      </c>
      <c r="D8" s="461">
        <v>0</v>
      </c>
      <c r="E8" s="461">
        <v>0</v>
      </c>
      <c r="F8" s="461">
        <v>0</v>
      </c>
      <c r="G8" s="461">
        <v>376</v>
      </c>
      <c r="H8" s="461">
        <v>597</v>
      </c>
      <c r="I8" s="461">
        <v>1993</v>
      </c>
    </row>
    <row r="9" spans="1:9" x14ac:dyDescent="0.35">
      <c r="A9" s="461" t="s">
        <v>773</v>
      </c>
      <c r="B9" s="461" t="s">
        <v>783</v>
      </c>
      <c r="C9" s="461">
        <v>0</v>
      </c>
      <c r="D9" s="461">
        <v>0</v>
      </c>
      <c r="E9" s="461">
        <v>0</v>
      </c>
      <c r="F9" s="461">
        <v>0</v>
      </c>
      <c r="G9" s="461">
        <v>0</v>
      </c>
      <c r="H9" s="461">
        <v>0</v>
      </c>
      <c r="I9" s="461">
        <v>49</v>
      </c>
    </row>
    <row r="10" spans="1:9" x14ac:dyDescent="0.35">
      <c r="A10" s="461" t="s">
        <v>951</v>
      </c>
      <c r="B10" s="461" t="s">
        <v>780</v>
      </c>
      <c r="C10" s="461">
        <v>5</v>
      </c>
      <c r="D10" s="461">
        <v>35</v>
      </c>
      <c r="E10" s="461">
        <v>81</v>
      </c>
      <c r="F10" s="461">
        <v>152</v>
      </c>
      <c r="G10" s="461">
        <v>0</v>
      </c>
      <c r="H10" s="461">
        <v>0</v>
      </c>
      <c r="I10" s="461">
        <v>0</v>
      </c>
    </row>
    <row r="11" spans="1:9" x14ac:dyDescent="0.35">
      <c r="A11" s="461" t="s">
        <v>951</v>
      </c>
      <c r="B11" s="461" t="s">
        <v>782</v>
      </c>
      <c r="C11" s="461">
        <v>0</v>
      </c>
      <c r="D11" s="461">
        <v>0</v>
      </c>
      <c r="E11" s="461">
        <v>0</v>
      </c>
      <c r="F11" s="461">
        <v>0</v>
      </c>
      <c r="G11" s="461">
        <v>232</v>
      </c>
      <c r="H11" s="461">
        <v>91</v>
      </c>
      <c r="I11" s="461">
        <v>26</v>
      </c>
    </row>
    <row r="12" spans="1:9" x14ac:dyDescent="0.35">
      <c r="A12" s="461" t="s">
        <v>951</v>
      </c>
      <c r="B12" s="461" t="s">
        <v>864</v>
      </c>
      <c r="C12" s="461">
        <v>0</v>
      </c>
      <c r="D12" s="461">
        <v>0</v>
      </c>
      <c r="E12" s="461">
        <v>0</v>
      </c>
      <c r="F12" s="461">
        <v>0</v>
      </c>
      <c r="G12" s="461">
        <v>372</v>
      </c>
      <c r="H12" s="461">
        <v>596</v>
      </c>
      <c r="I12" s="461">
        <v>1935</v>
      </c>
    </row>
    <row r="13" spans="1:9" x14ac:dyDescent="0.35">
      <c r="A13" s="461" t="s">
        <v>951</v>
      </c>
      <c r="B13" s="461" t="s">
        <v>783</v>
      </c>
      <c r="C13" s="461">
        <v>0</v>
      </c>
      <c r="D13" s="461">
        <v>0</v>
      </c>
      <c r="E13" s="461">
        <v>0</v>
      </c>
      <c r="F13" s="461">
        <v>0</v>
      </c>
      <c r="G13" s="461">
        <v>0</v>
      </c>
      <c r="H13" s="461">
        <v>0</v>
      </c>
      <c r="I13" s="461">
        <v>59</v>
      </c>
    </row>
  </sheetData>
  <pageMargins left="0.7" right="0.7" top="0.75" bottom="0.75" header="0.3" footer="0.3"/>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21"/>
  <sheetViews>
    <sheetView showGridLines="0" workbookViewId="0">
      <pane ySplit="2" topLeftCell="A3" activePane="bottomLeft" state="frozen"/>
      <selection pane="bottomLeft"/>
    </sheetView>
  </sheetViews>
  <sheetFormatPr defaultRowHeight="14.5" x14ac:dyDescent="0.35"/>
  <cols>
    <col min="1" max="1" width="27" customWidth="1"/>
    <col min="2" max="9" width="12.453125" customWidth="1"/>
    <col min="10" max="10" width="15.54296875" bestFit="1" customWidth="1"/>
    <col min="11" max="11" width="14.81640625" bestFit="1" customWidth="1"/>
  </cols>
  <sheetData>
    <row r="1" spans="1:9" ht="15.5" x14ac:dyDescent="0.35">
      <c r="A1" s="629" t="s">
        <v>439</v>
      </c>
    </row>
    <row r="2" spans="1:9" x14ac:dyDescent="0.35">
      <c r="A2" s="601" t="s">
        <v>509</v>
      </c>
    </row>
    <row r="3" spans="1:9" ht="17.5" x14ac:dyDescent="0.35">
      <c r="A3" s="1"/>
      <c r="B3" s="1"/>
      <c r="C3" s="1"/>
      <c r="D3" s="1"/>
      <c r="E3" s="1"/>
      <c r="F3" s="1"/>
    </row>
    <row r="4" spans="1:9" ht="15.5" x14ac:dyDescent="0.35">
      <c r="A4" s="535" t="s">
        <v>889</v>
      </c>
      <c r="B4" s="535"/>
      <c r="C4" s="535"/>
      <c r="D4" s="535"/>
      <c r="E4" s="535"/>
      <c r="F4" s="535"/>
    </row>
    <row r="5" spans="1:9" ht="15.5" x14ac:dyDescent="0.35">
      <c r="A5" t="s">
        <v>830</v>
      </c>
      <c r="B5" s="535"/>
      <c r="C5" s="535"/>
      <c r="D5" s="535"/>
      <c r="E5" s="535"/>
      <c r="F5" s="535"/>
    </row>
    <row r="6" spans="1:9" x14ac:dyDescent="0.35">
      <c r="A6" t="s">
        <v>320</v>
      </c>
      <c r="B6" t="s">
        <v>888</v>
      </c>
    </row>
    <row r="7" spans="1:9" x14ac:dyDescent="0.35">
      <c r="A7" t="s">
        <v>321</v>
      </c>
      <c r="B7" t="s">
        <v>323</v>
      </c>
    </row>
    <row r="8" spans="1:9" x14ac:dyDescent="0.35">
      <c r="A8" t="s">
        <v>322</v>
      </c>
      <c r="B8" t="s">
        <v>324</v>
      </c>
    </row>
    <row r="10" spans="1:9" x14ac:dyDescent="0.35">
      <c r="A10" s="43" t="s">
        <v>1</v>
      </c>
    </row>
    <row r="11" spans="1:9" x14ac:dyDescent="0.35">
      <c r="A11" s="46" t="str">
        <f>roledutysystempivot!B1</f>
        <v>2020-21</v>
      </c>
      <c r="B11" s="46"/>
    </row>
    <row r="12" spans="1:9" ht="26.5" x14ac:dyDescent="0.35">
      <c r="A12" s="2" t="s">
        <v>457</v>
      </c>
      <c r="B12" s="3" t="s">
        <v>856</v>
      </c>
      <c r="C12" s="3" t="s">
        <v>857</v>
      </c>
      <c r="D12" s="3" t="s">
        <v>858</v>
      </c>
      <c r="E12" s="3" t="s">
        <v>859</v>
      </c>
      <c r="F12" s="3" t="s">
        <v>860</v>
      </c>
      <c r="G12" s="3" t="s">
        <v>861</v>
      </c>
      <c r="H12" s="3" t="s">
        <v>23</v>
      </c>
      <c r="I12" s="708" t="s">
        <v>10</v>
      </c>
    </row>
    <row r="13" spans="1:9" x14ac:dyDescent="0.35">
      <c r="A13" s="5" t="s">
        <v>780</v>
      </c>
      <c r="B13" s="303">
        <f>roledutysystempivot!B4</f>
        <v>5</v>
      </c>
      <c r="C13" s="303">
        <f>roledutysystempivot!C4</f>
        <v>35</v>
      </c>
      <c r="D13" s="303">
        <f>roledutysystempivot!D4</f>
        <v>81</v>
      </c>
      <c r="E13" s="303">
        <f>roledutysystempivot!E4</f>
        <v>152</v>
      </c>
      <c r="F13" s="303">
        <f>roledutysystempivot!F4</f>
        <v>0</v>
      </c>
      <c r="G13" s="303">
        <f>roledutysystempivot!G4</f>
        <v>0</v>
      </c>
      <c r="H13" s="303">
        <f>roledutysystempivot!H4</f>
        <v>0</v>
      </c>
      <c r="I13" s="939">
        <f>SUM(B13:H13)</f>
        <v>273</v>
      </c>
    </row>
    <row r="14" spans="1:9" x14ac:dyDescent="0.35">
      <c r="A14" s="5" t="s">
        <v>864</v>
      </c>
      <c r="B14" s="303">
        <f>roledutysystempivot!B6</f>
        <v>0</v>
      </c>
      <c r="C14" s="303">
        <f>roledutysystempivot!C6</f>
        <v>0</v>
      </c>
      <c r="D14" s="303">
        <f>roledutysystempivot!D6</f>
        <v>0</v>
      </c>
      <c r="E14" s="303">
        <f>roledutysystempivot!E6</f>
        <v>0</v>
      </c>
      <c r="F14" s="303">
        <f>roledutysystempivot!F6</f>
        <v>372</v>
      </c>
      <c r="G14" s="303">
        <f>roledutysystempivot!G6</f>
        <v>596</v>
      </c>
      <c r="H14" s="303">
        <f>roledutysystempivot!H6</f>
        <v>1935</v>
      </c>
      <c r="I14" s="359">
        <f t="shared" ref="I14:I17" si="0">SUM(B14:H14)</f>
        <v>2903</v>
      </c>
    </row>
    <row r="15" spans="1:9" x14ac:dyDescent="0.35">
      <c r="A15" s="5" t="s">
        <v>782</v>
      </c>
      <c r="B15" s="303">
        <f>roledutysystempivot!B5</f>
        <v>0</v>
      </c>
      <c r="C15" s="303">
        <f>roledutysystempivot!C5</f>
        <v>0</v>
      </c>
      <c r="D15" s="303">
        <f>roledutysystempivot!D5</f>
        <v>0</v>
      </c>
      <c r="E15" s="303">
        <f>roledutysystempivot!E5</f>
        <v>0</v>
      </c>
      <c r="F15" s="303">
        <f>roledutysystempivot!F5</f>
        <v>232</v>
      </c>
      <c r="G15" s="303">
        <f>roledutysystempivot!G5</f>
        <v>91</v>
      </c>
      <c r="H15" s="303">
        <f>roledutysystempivot!H5</f>
        <v>26</v>
      </c>
      <c r="I15" s="359">
        <f t="shared" si="0"/>
        <v>349</v>
      </c>
    </row>
    <row r="16" spans="1:9" x14ac:dyDescent="0.35">
      <c r="A16" s="5" t="s">
        <v>783</v>
      </c>
      <c r="B16" s="303">
        <f>roledutysystempivot!B7</f>
        <v>0</v>
      </c>
      <c r="C16" s="303">
        <f>roledutysystempivot!C7</f>
        <v>0</v>
      </c>
      <c r="D16" s="303">
        <f>roledutysystempivot!D7</f>
        <v>0</v>
      </c>
      <c r="E16" s="303">
        <f>roledutysystempivot!E7</f>
        <v>0</v>
      </c>
      <c r="F16" s="303">
        <f>roledutysystempivot!F7</f>
        <v>0</v>
      </c>
      <c r="G16" s="303">
        <f>roledutysystempivot!G7</f>
        <v>0</v>
      </c>
      <c r="H16" s="303">
        <f>roledutysystempivot!H7</f>
        <v>59</v>
      </c>
      <c r="I16" s="359">
        <f t="shared" si="0"/>
        <v>59</v>
      </c>
    </row>
    <row r="17" spans="1:9" ht="15" thickBot="1" x14ac:dyDescent="0.4">
      <c r="A17" s="435" t="s">
        <v>26</v>
      </c>
      <c r="B17" s="740">
        <f>SUM(B13:B16)</f>
        <v>5</v>
      </c>
      <c r="C17" s="740">
        <f t="shared" ref="C17:H17" si="1">SUM(C13:C16)</f>
        <v>35</v>
      </c>
      <c r="D17" s="740">
        <f t="shared" si="1"/>
        <v>81</v>
      </c>
      <c r="E17" s="740">
        <f t="shared" si="1"/>
        <v>152</v>
      </c>
      <c r="F17" s="740">
        <f t="shared" si="1"/>
        <v>604</v>
      </c>
      <c r="G17" s="740">
        <f t="shared" si="1"/>
        <v>687</v>
      </c>
      <c r="H17" s="740">
        <f t="shared" si="1"/>
        <v>2020</v>
      </c>
      <c r="I17" s="740">
        <f t="shared" si="0"/>
        <v>3584</v>
      </c>
    </row>
    <row r="19" spans="1:9" x14ac:dyDescent="0.35">
      <c r="A19" s="359" t="s">
        <v>8</v>
      </c>
    </row>
    <row r="20" spans="1:9" ht="30.75" customHeight="1" x14ac:dyDescent="0.35">
      <c r="A20" s="1159" t="s">
        <v>850</v>
      </c>
      <c r="B20" s="1159"/>
      <c r="C20" s="1159"/>
      <c r="D20" s="1159"/>
      <c r="E20" s="1159"/>
      <c r="F20" s="1159"/>
      <c r="G20" s="1159"/>
      <c r="H20" s="1159"/>
      <c r="I20" s="1159"/>
    </row>
    <row r="21" spans="1:9" ht="46.5" customHeight="1" x14ac:dyDescent="0.35">
      <c r="A21" s="1180" t="s">
        <v>863</v>
      </c>
      <c r="B21" s="1180"/>
      <c r="C21" s="1180"/>
      <c r="D21" s="1180"/>
      <c r="E21" s="1180"/>
      <c r="F21" s="1180"/>
      <c r="G21" s="1180"/>
      <c r="H21" s="1180"/>
      <c r="I21" s="1180"/>
    </row>
  </sheetData>
  <sheetProtection algorithmName="SHA-512" hashValue="B/Wz0KEY9ncn6J5QCZU3YTaJmS5S49WWEY5HqsQPjBTiuR5M+i39pTnirAtJjs5IHJUK5VpBMDFny/mWTLInYw==" saltValue="7hR62T6oyq/rCyt5D0Ae5w==" spinCount="100000" sheet="1" scenarios="1" formatCells="0" formatColumns="0" formatRows="0" sort="0" autoFilter="0" pivotTables="0"/>
  <mergeCells count="2">
    <mergeCell ref="A21:I21"/>
    <mergeCell ref="A20:I20"/>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8"/>
  <sheetViews>
    <sheetView workbookViewId="0">
      <selection activeCell="B4" sqref="B4"/>
    </sheetView>
  </sheetViews>
  <sheetFormatPr defaultRowHeight="14.5" x14ac:dyDescent="0.35"/>
  <cols>
    <col min="1" max="1" width="12.36328125" bestFit="1" customWidth="1"/>
    <col min="2" max="2" width="21.54296875" bestFit="1" customWidth="1"/>
    <col min="3" max="3" width="19.08984375" bestFit="1" customWidth="1"/>
    <col min="4" max="4" width="20.453125" bestFit="1" customWidth="1"/>
    <col min="5" max="5" width="21.26953125" bestFit="1" customWidth="1"/>
    <col min="6" max="6" width="20.6328125" bestFit="1" customWidth="1"/>
    <col min="7" max="7" width="19.453125" bestFit="1" customWidth="1"/>
    <col min="8" max="8" width="15.81640625" bestFit="1" customWidth="1"/>
  </cols>
  <sheetData>
    <row r="1" spans="1:8" x14ac:dyDescent="0.35">
      <c r="A1" s="459" t="s">
        <v>1</v>
      </c>
      <c r="B1" t="s">
        <v>951</v>
      </c>
    </row>
    <row r="3" spans="1:8" x14ac:dyDescent="0.35">
      <c r="A3" s="459" t="s">
        <v>234</v>
      </c>
      <c r="B3" t="s">
        <v>250</v>
      </c>
      <c r="C3" t="s">
        <v>251</v>
      </c>
      <c r="D3" t="s">
        <v>252</v>
      </c>
      <c r="E3" t="s">
        <v>253</v>
      </c>
      <c r="F3" t="s">
        <v>243</v>
      </c>
      <c r="G3" t="s">
        <v>254</v>
      </c>
      <c r="H3" t="s">
        <v>255</v>
      </c>
    </row>
    <row r="4" spans="1:8" x14ac:dyDescent="0.35">
      <c r="A4" s="1000" t="s">
        <v>235</v>
      </c>
      <c r="B4" s="461"/>
      <c r="C4" s="461"/>
      <c r="D4" s="461"/>
      <c r="E4" s="461"/>
      <c r="F4" s="461">
        <v>372</v>
      </c>
      <c r="G4" s="461">
        <v>596</v>
      </c>
      <c r="H4" s="461">
        <v>1935</v>
      </c>
    </row>
    <row r="5" spans="1:8" x14ac:dyDescent="0.35">
      <c r="A5" s="1000" t="s">
        <v>236</v>
      </c>
      <c r="B5" s="461"/>
      <c r="C5" s="461">
        <v>16</v>
      </c>
      <c r="D5" s="461">
        <v>49</v>
      </c>
      <c r="E5" s="461">
        <v>116</v>
      </c>
      <c r="F5" s="461">
        <v>115</v>
      </c>
      <c r="G5" s="461">
        <v>55</v>
      </c>
      <c r="H5" s="461">
        <v>26</v>
      </c>
    </row>
    <row r="6" spans="1:8" x14ac:dyDescent="0.35">
      <c r="A6" s="1000" t="s">
        <v>237</v>
      </c>
      <c r="B6" s="461"/>
      <c r="C6" s="461">
        <v>6</v>
      </c>
      <c r="D6" s="461">
        <v>9</v>
      </c>
      <c r="E6" s="461">
        <v>16</v>
      </c>
      <c r="F6" s="461">
        <v>87</v>
      </c>
      <c r="G6" s="461">
        <v>36</v>
      </c>
      <c r="H6" s="461">
        <v>58</v>
      </c>
    </row>
    <row r="7" spans="1:8" x14ac:dyDescent="0.35">
      <c r="A7" s="1000" t="s">
        <v>238</v>
      </c>
      <c r="B7" s="461">
        <v>5</v>
      </c>
      <c r="C7" s="461">
        <v>13</v>
      </c>
      <c r="D7" s="461">
        <v>23</v>
      </c>
      <c r="E7" s="461">
        <v>20</v>
      </c>
      <c r="F7" s="461">
        <v>30</v>
      </c>
      <c r="G7" s="461"/>
      <c r="H7" s="461">
        <v>1</v>
      </c>
    </row>
    <row r="8" spans="1:8" x14ac:dyDescent="0.35">
      <c r="A8" s="1000" t="s">
        <v>239</v>
      </c>
      <c r="B8" s="461">
        <v>5</v>
      </c>
      <c r="C8" s="461">
        <v>35</v>
      </c>
      <c r="D8" s="461">
        <v>81</v>
      </c>
      <c r="E8" s="461">
        <v>152</v>
      </c>
      <c r="F8" s="461">
        <v>604</v>
      </c>
      <c r="G8" s="461">
        <v>687</v>
      </c>
      <c r="H8" s="461">
        <v>2020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33"/>
  <sheetViews>
    <sheetView workbookViewId="0">
      <selection sqref="A1:J33"/>
    </sheetView>
  </sheetViews>
  <sheetFormatPr defaultRowHeight="14.5" x14ac:dyDescent="0.35"/>
  <cols>
    <col min="1" max="1" width="7.453125" bestFit="1" customWidth="1"/>
    <col min="2" max="2" width="15.54296875" bestFit="1" customWidth="1"/>
    <col min="3" max="3" width="17.36328125" bestFit="1" customWidth="1"/>
    <col min="4" max="4" width="14.90625" bestFit="1" customWidth="1"/>
    <col min="5" max="5" width="16.36328125" bestFit="1" customWidth="1"/>
    <col min="6" max="6" width="17.08984375" bestFit="1" customWidth="1"/>
    <col min="7" max="7" width="16.54296875" bestFit="1" customWidth="1"/>
    <col min="8" max="8" width="15.36328125" bestFit="1" customWidth="1"/>
    <col min="9" max="9" width="11.7265625" bestFit="1" customWidth="1"/>
    <col min="10" max="10" width="7.36328125" bestFit="1" customWidth="1"/>
  </cols>
  <sheetData>
    <row r="1" spans="1:10" x14ac:dyDescent="0.35">
      <c r="A1" s="461" t="s">
        <v>1</v>
      </c>
      <c r="B1" s="461" t="s">
        <v>17409</v>
      </c>
      <c r="C1" s="461" t="s">
        <v>198</v>
      </c>
      <c r="D1" s="461" t="s">
        <v>18</v>
      </c>
      <c r="E1" s="461" t="s">
        <v>19</v>
      </c>
      <c r="F1" s="461" t="s">
        <v>20</v>
      </c>
      <c r="G1" s="461" t="s">
        <v>21</v>
      </c>
      <c r="H1" s="461" t="s">
        <v>22</v>
      </c>
      <c r="I1" s="461" t="s">
        <v>23</v>
      </c>
      <c r="J1" s="461" t="s">
        <v>26</v>
      </c>
    </row>
    <row r="2" spans="1:10" x14ac:dyDescent="0.35">
      <c r="A2" s="461" t="s">
        <v>194</v>
      </c>
      <c r="B2" s="461" t="s">
        <v>235</v>
      </c>
      <c r="C2" s="461"/>
      <c r="D2" s="461"/>
      <c r="E2" s="461"/>
      <c r="F2" s="461">
        <v>13</v>
      </c>
      <c r="G2" s="461">
        <v>416</v>
      </c>
      <c r="H2" s="461">
        <v>608</v>
      </c>
      <c r="I2" s="461">
        <v>2355</v>
      </c>
      <c r="J2" s="461"/>
    </row>
    <row r="3" spans="1:10" x14ac:dyDescent="0.35">
      <c r="A3" s="461" t="s">
        <v>194</v>
      </c>
      <c r="B3" s="461" t="s">
        <v>236</v>
      </c>
      <c r="C3" s="461"/>
      <c r="D3" s="461">
        <v>17</v>
      </c>
      <c r="E3" s="461">
        <v>69</v>
      </c>
      <c r="F3" s="461">
        <v>85</v>
      </c>
      <c r="G3" s="461">
        <v>94</v>
      </c>
      <c r="H3" s="461">
        <v>5</v>
      </c>
      <c r="I3" s="461">
        <v>15</v>
      </c>
      <c r="J3" s="461"/>
    </row>
    <row r="4" spans="1:10" x14ac:dyDescent="0.35">
      <c r="A4" s="461" t="s">
        <v>194</v>
      </c>
      <c r="B4" s="461" t="s">
        <v>237</v>
      </c>
      <c r="C4" s="461">
        <v>3</v>
      </c>
      <c r="D4" s="461">
        <v>6</v>
      </c>
      <c r="E4" s="461">
        <v>24</v>
      </c>
      <c r="F4" s="461">
        <v>33</v>
      </c>
      <c r="G4" s="461">
        <v>158</v>
      </c>
      <c r="H4" s="461">
        <v>40</v>
      </c>
      <c r="I4" s="461">
        <v>4</v>
      </c>
      <c r="J4" s="461">
        <v>268</v>
      </c>
    </row>
    <row r="5" spans="1:10" x14ac:dyDescent="0.35">
      <c r="A5" s="461" t="s">
        <v>194</v>
      </c>
      <c r="B5" s="461" t="s">
        <v>238</v>
      </c>
      <c r="C5" s="461">
        <v>6</v>
      </c>
      <c r="D5" s="461">
        <v>5</v>
      </c>
      <c r="E5" s="461">
        <v>22</v>
      </c>
      <c r="F5" s="461">
        <v>5</v>
      </c>
      <c r="G5" s="461">
        <v>11</v>
      </c>
      <c r="H5" s="461">
        <v>7</v>
      </c>
      <c r="I5" s="461"/>
      <c r="J5" s="461"/>
    </row>
    <row r="6" spans="1:10" x14ac:dyDescent="0.35">
      <c r="A6" s="461" t="s">
        <v>193</v>
      </c>
      <c r="B6" s="461" t="s">
        <v>235</v>
      </c>
      <c r="C6" s="461"/>
      <c r="D6" s="461"/>
      <c r="E6" s="461"/>
      <c r="F6" s="461">
        <v>14</v>
      </c>
      <c r="G6" s="461">
        <v>416</v>
      </c>
      <c r="H6" s="461">
        <v>592</v>
      </c>
      <c r="I6" s="461">
        <v>2263</v>
      </c>
      <c r="J6" s="461"/>
    </row>
    <row r="7" spans="1:10" x14ac:dyDescent="0.35">
      <c r="A7" s="461" t="s">
        <v>193</v>
      </c>
      <c r="B7" s="461" t="s">
        <v>236</v>
      </c>
      <c r="C7" s="461"/>
      <c r="D7" s="461">
        <v>18</v>
      </c>
      <c r="E7" s="461">
        <v>65</v>
      </c>
      <c r="F7" s="461">
        <v>79</v>
      </c>
      <c r="G7" s="461">
        <v>90</v>
      </c>
      <c r="H7" s="461">
        <v>4</v>
      </c>
      <c r="I7" s="461">
        <v>14</v>
      </c>
      <c r="J7" s="461"/>
    </row>
    <row r="8" spans="1:10" x14ac:dyDescent="0.35">
      <c r="A8" s="461" t="s">
        <v>193</v>
      </c>
      <c r="B8" s="461" t="s">
        <v>237</v>
      </c>
      <c r="C8" s="461"/>
      <c r="D8" s="461">
        <v>4</v>
      </c>
      <c r="E8" s="461">
        <v>26</v>
      </c>
      <c r="F8" s="461">
        <v>31</v>
      </c>
      <c r="G8" s="461">
        <v>147</v>
      </c>
      <c r="H8" s="461">
        <v>34</v>
      </c>
      <c r="I8" s="461">
        <v>7</v>
      </c>
      <c r="J8" s="461"/>
    </row>
    <row r="9" spans="1:10" x14ac:dyDescent="0.35">
      <c r="A9" s="461" t="s">
        <v>193</v>
      </c>
      <c r="B9" s="461" t="s">
        <v>238</v>
      </c>
      <c r="C9" s="461">
        <v>7</v>
      </c>
      <c r="D9" s="461">
        <v>11</v>
      </c>
      <c r="E9" s="461">
        <v>12</v>
      </c>
      <c r="F9" s="461">
        <v>6</v>
      </c>
      <c r="G9" s="461">
        <v>11</v>
      </c>
      <c r="H9" s="461">
        <v>4</v>
      </c>
      <c r="I9" s="461">
        <v>1</v>
      </c>
      <c r="J9" s="461">
        <v>52</v>
      </c>
    </row>
    <row r="10" spans="1:10" x14ac:dyDescent="0.35">
      <c r="A10" s="461" t="s">
        <v>192</v>
      </c>
      <c r="B10" s="461" t="s">
        <v>235</v>
      </c>
      <c r="C10" s="461"/>
      <c r="D10" s="461"/>
      <c r="E10" s="461"/>
      <c r="F10" s="461">
        <v>2</v>
      </c>
      <c r="G10" s="461">
        <v>305</v>
      </c>
      <c r="H10" s="461">
        <v>511</v>
      </c>
      <c r="I10" s="461">
        <v>2207</v>
      </c>
      <c r="J10" s="461"/>
    </row>
    <row r="11" spans="1:10" x14ac:dyDescent="0.35">
      <c r="A11" s="461" t="s">
        <v>192</v>
      </c>
      <c r="B11" s="461" t="s">
        <v>236</v>
      </c>
      <c r="C11" s="461"/>
      <c r="D11" s="461">
        <v>14</v>
      </c>
      <c r="E11" s="461">
        <v>62</v>
      </c>
      <c r="F11" s="461">
        <v>91</v>
      </c>
      <c r="G11" s="461">
        <v>133</v>
      </c>
      <c r="H11" s="461">
        <v>50</v>
      </c>
      <c r="I11" s="461">
        <v>35</v>
      </c>
      <c r="J11" s="461"/>
    </row>
    <row r="12" spans="1:10" x14ac:dyDescent="0.35">
      <c r="A12" s="461" t="s">
        <v>192</v>
      </c>
      <c r="B12" s="461" t="s">
        <v>237</v>
      </c>
      <c r="C12" s="461"/>
      <c r="D12" s="461">
        <v>3</v>
      </c>
      <c r="E12" s="461">
        <v>9</v>
      </c>
      <c r="F12" s="461">
        <v>14</v>
      </c>
      <c r="G12" s="461">
        <v>46</v>
      </c>
      <c r="H12" s="461">
        <v>13</v>
      </c>
      <c r="I12" s="461"/>
      <c r="J12" s="461"/>
    </row>
    <row r="13" spans="1:10" x14ac:dyDescent="0.35">
      <c r="A13" s="461" t="s">
        <v>192</v>
      </c>
      <c r="B13" s="461" t="s">
        <v>238</v>
      </c>
      <c r="C13" s="461">
        <v>4</v>
      </c>
      <c r="D13" s="461">
        <v>18</v>
      </c>
      <c r="E13" s="461">
        <v>19</v>
      </c>
      <c r="F13" s="461">
        <v>19</v>
      </c>
      <c r="G13" s="461">
        <v>93</v>
      </c>
      <c r="H13" s="461">
        <v>26</v>
      </c>
      <c r="I13" s="461">
        <v>16</v>
      </c>
      <c r="J13" s="461">
        <v>195</v>
      </c>
    </row>
    <row r="14" spans="1:10" x14ac:dyDescent="0.35">
      <c r="A14" s="461" t="s">
        <v>258</v>
      </c>
      <c r="B14" s="461" t="s">
        <v>235</v>
      </c>
      <c r="C14" s="461"/>
      <c r="D14" s="461"/>
      <c r="E14" s="461"/>
      <c r="F14" s="461">
        <v>1</v>
      </c>
      <c r="G14" s="461">
        <v>343</v>
      </c>
      <c r="H14" s="461">
        <v>552</v>
      </c>
      <c r="I14" s="461">
        <v>2027</v>
      </c>
      <c r="J14" s="461"/>
    </row>
    <row r="15" spans="1:10" x14ac:dyDescent="0.35">
      <c r="A15" s="461" t="s">
        <v>258</v>
      </c>
      <c r="B15" s="461" t="s">
        <v>236</v>
      </c>
      <c r="C15" s="461"/>
      <c r="D15" s="461">
        <v>16</v>
      </c>
      <c r="E15" s="461">
        <v>47</v>
      </c>
      <c r="F15" s="461">
        <v>116</v>
      </c>
      <c r="G15" s="461">
        <v>119</v>
      </c>
      <c r="H15" s="461">
        <v>61</v>
      </c>
      <c r="I15" s="461">
        <v>30</v>
      </c>
      <c r="J15" s="461"/>
    </row>
    <row r="16" spans="1:10" x14ac:dyDescent="0.35">
      <c r="A16" s="461" t="s">
        <v>258</v>
      </c>
      <c r="B16" s="461" t="s">
        <v>237</v>
      </c>
      <c r="C16" s="461"/>
      <c r="D16" s="461">
        <v>3</v>
      </c>
      <c r="E16" s="461">
        <v>12</v>
      </c>
      <c r="F16" s="461">
        <v>25</v>
      </c>
      <c r="G16" s="461">
        <v>86</v>
      </c>
      <c r="H16" s="461">
        <v>22</v>
      </c>
      <c r="I16" s="461">
        <v>3</v>
      </c>
      <c r="J16" s="461"/>
    </row>
    <row r="17" spans="1:10" x14ac:dyDescent="0.35">
      <c r="A17" s="461" t="s">
        <v>258</v>
      </c>
      <c r="B17" s="461" t="s">
        <v>238</v>
      </c>
      <c r="C17" s="461">
        <v>4</v>
      </c>
      <c r="D17" s="461">
        <v>15</v>
      </c>
      <c r="E17" s="461">
        <v>11</v>
      </c>
      <c r="F17" s="461">
        <v>9</v>
      </c>
      <c r="G17" s="461">
        <v>42</v>
      </c>
      <c r="H17" s="461"/>
      <c r="I17" s="461">
        <v>101</v>
      </c>
      <c r="J17" s="461"/>
    </row>
    <row r="18" spans="1:10" x14ac:dyDescent="0.35">
      <c r="A18" s="461" t="s">
        <v>242</v>
      </c>
      <c r="B18" s="461" t="s">
        <v>235</v>
      </c>
      <c r="C18" s="461"/>
      <c r="D18" s="461"/>
      <c r="E18" s="461"/>
      <c r="F18" s="461"/>
      <c r="G18" s="461">
        <v>375</v>
      </c>
      <c r="H18" s="461">
        <v>588</v>
      </c>
      <c r="I18" s="461">
        <v>1904</v>
      </c>
      <c r="J18" s="461">
        <v>2867</v>
      </c>
    </row>
    <row r="19" spans="1:10" x14ac:dyDescent="0.35">
      <c r="A19" s="461" t="s">
        <v>242</v>
      </c>
      <c r="B19" s="461" t="s">
        <v>236</v>
      </c>
      <c r="C19" s="461"/>
      <c r="D19" s="461">
        <v>16</v>
      </c>
      <c r="E19" s="461">
        <v>46</v>
      </c>
      <c r="F19" s="461">
        <v>115</v>
      </c>
      <c r="G19" s="461">
        <v>110</v>
      </c>
      <c r="H19" s="461">
        <v>63</v>
      </c>
      <c r="I19" s="461">
        <v>29</v>
      </c>
      <c r="J19" s="461">
        <v>379</v>
      </c>
    </row>
    <row r="20" spans="1:10" x14ac:dyDescent="0.35">
      <c r="A20" s="461" t="s">
        <v>242</v>
      </c>
      <c r="B20" s="461" t="s">
        <v>237</v>
      </c>
      <c r="C20" s="461"/>
      <c r="D20" s="461">
        <v>3</v>
      </c>
      <c r="E20" s="461">
        <v>15</v>
      </c>
      <c r="F20" s="461">
        <v>29</v>
      </c>
      <c r="G20" s="461">
        <v>71</v>
      </c>
      <c r="H20" s="461">
        <v>38</v>
      </c>
      <c r="I20" s="461"/>
      <c r="J20" s="461">
        <v>156</v>
      </c>
    </row>
    <row r="21" spans="1:10" x14ac:dyDescent="0.35">
      <c r="A21" s="461" t="s">
        <v>242</v>
      </c>
      <c r="B21" s="461" t="s">
        <v>238</v>
      </c>
      <c r="C21">
        <v>4</v>
      </c>
      <c r="D21">
        <v>15</v>
      </c>
      <c r="E21">
        <v>13</v>
      </c>
      <c r="F21">
        <v>9</v>
      </c>
      <c r="G21">
        <v>47</v>
      </c>
      <c r="I21">
        <v>55</v>
      </c>
      <c r="J21">
        <v>143</v>
      </c>
    </row>
    <row r="22" spans="1:10" x14ac:dyDescent="0.35">
      <c r="A22" s="461" t="s">
        <v>241</v>
      </c>
      <c r="B22" s="461" t="s">
        <v>235</v>
      </c>
      <c r="G22">
        <v>377</v>
      </c>
      <c r="H22">
        <v>592</v>
      </c>
      <c r="I22">
        <v>1986</v>
      </c>
      <c r="J22">
        <v>2955</v>
      </c>
    </row>
    <row r="23" spans="1:10" x14ac:dyDescent="0.35">
      <c r="A23" s="461" t="s">
        <v>241</v>
      </c>
      <c r="B23" s="461" t="s">
        <v>236</v>
      </c>
      <c r="D23">
        <v>16</v>
      </c>
      <c r="E23">
        <v>49</v>
      </c>
      <c r="F23">
        <v>115</v>
      </c>
      <c r="G23">
        <v>124</v>
      </c>
      <c r="H23">
        <v>54</v>
      </c>
      <c r="I23">
        <v>29</v>
      </c>
      <c r="J23">
        <v>387</v>
      </c>
    </row>
    <row r="24" spans="1:10" x14ac:dyDescent="0.35">
      <c r="A24" s="461" t="s">
        <v>241</v>
      </c>
      <c r="B24" s="461" t="s">
        <v>237</v>
      </c>
      <c r="D24">
        <v>3</v>
      </c>
      <c r="E24">
        <v>14</v>
      </c>
      <c r="F24">
        <v>24</v>
      </c>
      <c r="G24">
        <v>64</v>
      </c>
      <c r="H24">
        <v>41</v>
      </c>
      <c r="J24">
        <v>146</v>
      </c>
    </row>
    <row r="25" spans="1:10" x14ac:dyDescent="0.35">
      <c r="A25" s="461" t="s">
        <v>241</v>
      </c>
      <c r="B25" s="461" t="s">
        <v>238</v>
      </c>
      <c r="C25">
        <v>4</v>
      </c>
      <c r="D25">
        <v>14</v>
      </c>
      <c r="E25">
        <v>17</v>
      </c>
      <c r="F25">
        <v>8</v>
      </c>
      <c r="G25">
        <v>46</v>
      </c>
      <c r="I25">
        <v>60</v>
      </c>
      <c r="J25">
        <v>149</v>
      </c>
    </row>
    <row r="26" spans="1:10" x14ac:dyDescent="0.35">
      <c r="A26" s="461" t="s">
        <v>773</v>
      </c>
      <c r="B26" s="461" t="s">
        <v>235</v>
      </c>
      <c r="G26">
        <v>376</v>
      </c>
      <c r="H26">
        <v>597</v>
      </c>
      <c r="I26">
        <v>1993</v>
      </c>
      <c r="J26">
        <v>2966</v>
      </c>
    </row>
    <row r="27" spans="1:10" x14ac:dyDescent="0.35">
      <c r="A27" s="461" t="s">
        <v>773</v>
      </c>
      <c r="B27" s="461" t="s">
        <v>236</v>
      </c>
      <c r="D27">
        <v>16</v>
      </c>
      <c r="E27">
        <v>50</v>
      </c>
      <c r="F27">
        <v>118</v>
      </c>
      <c r="G27">
        <v>113</v>
      </c>
      <c r="H27">
        <v>58</v>
      </c>
      <c r="I27">
        <v>28</v>
      </c>
      <c r="J27">
        <v>383</v>
      </c>
    </row>
    <row r="28" spans="1:10" x14ac:dyDescent="0.35">
      <c r="A28" s="461" t="s">
        <v>773</v>
      </c>
      <c r="B28" s="461" t="s">
        <v>237</v>
      </c>
      <c r="D28">
        <v>6</v>
      </c>
      <c r="E28">
        <v>17</v>
      </c>
      <c r="F28">
        <v>29</v>
      </c>
      <c r="G28">
        <v>112</v>
      </c>
      <c r="H28">
        <v>33</v>
      </c>
      <c r="J28">
        <v>197</v>
      </c>
    </row>
    <row r="29" spans="1:10" x14ac:dyDescent="0.35">
      <c r="A29" s="461" t="s">
        <v>773</v>
      </c>
      <c r="B29" s="461" t="s">
        <v>238</v>
      </c>
      <c r="C29">
        <v>6</v>
      </c>
      <c r="D29">
        <v>9</v>
      </c>
      <c r="E29">
        <v>13</v>
      </c>
      <c r="F29">
        <v>6</v>
      </c>
      <c r="G29">
        <v>7</v>
      </c>
      <c r="I29">
        <v>49</v>
      </c>
      <c r="J29">
        <v>90</v>
      </c>
    </row>
    <row r="30" spans="1:10" x14ac:dyDescent="0.35">
      <c r="A30" s="461" t="s">
        <v>951</v>
      </c>
      <c r="B30" s="461" t="s">
        <v>235</v>
      </c>
      <c r="G30">
        <v>372</v>
      </c>
      <c r="H30">
        <v>596</v>
      </c>
      <c r="I30">
        <v>1935</v>
      </c>
      <c r="J30">
        <v>2903</v>
      </c>
    </row>
    <row r="31" spans="1:10" x14ac:dyDescent="0.35">
      <c r="A31" s="461" t="s">
        <v>951</v>
      </c>
      <c r="B31" s="461" t="s">
        <v>236</v>
      </c>
      <c r="D31">
        <v>16</v>
      </c>
      <c r="E31">
        <v>49</v>
      </c>
      <c r="F31">
        <v>116</v>
      </c>
      <c r="G31">
        <v>115</v>
      </c>
      <c r="H31">
        <v>55</v>
      </c>
      <c r="I31">
        <v>26</v>
      </c>
      <c r="J31">
        <v>377</v>
      </c>
    </row>
    <row r="32" spans="1:10" x14ac:dyDescent="0.35">
      <c r="A32" s="461" t="s">
        <v>951</v>
      </c>
      <c r="B32" s="461" t="s">
        <v>237</v>
      </c>
      <c r="D32">
        <v>6</v>
      </c>
      <c r="E32">
        <v>9</v>
      </c>
      <c r="F32">
        <v>16</v>
      </c>
      <c r="G32">
        <v>87</v>
      </c>
      <c r="H32">
        <v>36</v>
      </c>
      <c r="I32">
        <v>58</v>
      </c>
      <c r="J32">
        <v>212</v>
      </c>
    </row>
    <row r="33" spans="1:10" x14ac:dyDescent="0.35">
      <c r="A33" s="461" t="s">
        <v>951</v>
      </c>
      <c r="B33" s="461" t="s">
        <v>238</v>
      </c>
      <c r="C33">
        <v>5</v>
      </c>
      <c r="D33">
        <v>13</v>
      </c>
      <c r="E33">
        <v>23</v>
      </c>
      <c r="F33">
        <v>20</v>
      </c>
      <c r="G33">
        <v>30</v>
      </c>
      <c r="I33">
        <v>1</v>
      </c>
      <c r="J33">
        <v>92</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18"/>
  <sheetViews>
    <sheetView showGridLines="0" workbookViewId="0">
      <pane ySplit="2" topLeftCell="A3" activePane="bottomLeft" state="frozen"/>
      <selection pane="bottomLeft" sqref="A1:H1"/>
    </sheetView>
  </sheetViews>
  <sheetFormatPr defaultRowHeight="14.5" x14ac:dyDescent="0.35"/>
  <cols>
    <col min="1" max="1" width="24" customWidth="1"/>
    <col min="2" max="8" width="12" customWidth="1"/>
    <col min="9" max="9" width="16" customWidth="1"/>
    <col min="10" max="10" width="11.7265625" bestFit="1" customWidth="1"/>
  </cols>
  <sheetData>
    <row r="1" spans="1:10" ht="15.5" x14ac:dyDescent="0.35">
      <c r="A1" s="1160" t="s">
        <v>439</v>
      </c>
      <c r="B1" s="1160"/>
      <c r="C1" s="1160"/>
      <c r="D1" s="1160"/>
      <c r="E1" s="1160"/>
      <c r="F1" s="1160"/>
      <c r="G1" s="1160"/>
      <c r="H1" s="1160"/>
      <c r="I1" s="34"/>
      <c r="J1" s="35"/>
    </row>
    <row r="2" spans="1:10" ht="17.5" x14ac:dyDescent="0.35">
      <c r="A2" s="601" t="s">
        <v>509</v>
      </c>
      <c r="B2" s="1"/>
      <c r="C2" s="1"/>
      <c r="D2" s="1"/>
      <c r="E2" s="1"/>
      <c r="F2" s="1"/>
      <c r="G2" s="1"/>
      <c r="H2" s="1"/>
      <c r="I2" s="34"/>
      <c r="J2" s="35"/>
    </row>
    <row r="3" spans="1:10" ht="17.5" x14ac:dyDescent="0.35">
      <c r="A3" s="1"/>
      <c r="B3" s="1"/>
      <c r="C3" s="1"/>
      <c r="D3" s="1"/>
      <c r="E3" s="1"/>
      <c r="F3" s="1"/>
      <c r="G3" s="1"/>
      <c r="H3" s="1"/>
      <c r="I3" s="34"/>
      <c r="J3" s="35"/>
    </row>
    <row r="4" spans="1:10" ht="30" customHeight="1" x14ac:dyDescent="0.35">
      <c r="A4" s="1178" t="s">
        <v>505</v>
      </c>
      <c r="B4" s="1178"/>
      <c r="C4" s="1178"/>
      <c r="D4" s="1178"/>
      <c r="E4" s="1178"/>
      <c r="F4" s="1178"/>
      <c r="G4" s="1178"/>
      <c r="H4" s="1178"/>
      <c r="I4" s="1178"/>
      <c r="J4" s="1178"/>
    </row>
    <row r="5" spans="1:10" ht="15" customHeight="1" x14ac:dyDescent="0.35">
      <c r="A5" t="s">
        <v>320</v>
      </c>
      <c r="B5" t="s">
        <v>653</v>
      </c>
      <c r="C5" s="509"/>
      <c r="D5" s="509"/>
      <c r="E5" s="509"/>
      <c r="F5" s="509"/>
      <c r="G5" s="509"/>
      <c r="H5" s="509"/>
      <c r="I5" s="509"/>
      <c r="J5" s="509"/>
    </row>
    <row r="6" spans="1:10" ht="15" customHeight="1" x14ac:dyDescent="0.35">
      <c r="A6" t="s">
        <v>321</v>
      </c>
      <c r="B6" t="s">
        <v>323</v>
      </c>
      <c r="C6" s="509"/>
      <c r="D6" s="509"/>
      <c r="E6" s="509"/>
      <c r="F6" s="509"/>
      <c r="G6" s="509"/>
      <c r="H6" s="509"/>
      <c r="I6" s="509"/>
      <c r="J6" s="509"/>
    </row>
    <row r="7" spans="1:10" ht="15" customHeight="1" x14ac:dyDescent="0.35">
      <c r="A7" t="s">
        <v>322</v>
      </c>
      <c r="B7" t="s">
        <v>324</v>
      </c>
      <c r="C7" s="509"/>
      <c r="D7" s="509"/>
      <c r="E7" s="509"/>
      <c r="F7" s="509"/>
      <c r="H7" s="509"/>
      <c r="I7" s="509"/>
      <c r="J7" s="509"/>
    </row>
    <row r="8" spans="1:10" ht="19.5" customHeight="1" x14ac:dyDescent="0.35">
      <c r="A8" s="270"/>
      <c r="B8" s="29"/>
      <c r="C8" s="29"/>
      <c r="D8" s="29"/>
      <c r="E8" s="29"/>
      <c r="F8" s="29"/>
      <c r="G8" s="29"/>
      <c r="H8" s="3"/>
      <c r="I8" s="522" t="s">
        <v>6</v>
      </c>
      <c r="J8" s="522" t="s">
        <v>7</v>
      </c>
    </row>
    <row r="9" spans="1:10" ht="39.5" x14ac:dyDescent="0.35">
      <c r="A9" s="12" t="s">
        <v>207</v>
      </c>
      <c r="B9" s="3" t="s">
        <v>856</v>
      </c>
      <c r="C9" s="3" t="s">
        <v>857</v>
      </c>
      <c r="D9" s="3" t="s">
        <v>858</v>
      </c>
      <c r="E9" s="3" t="s">
        <v>859</v>
      </c>
      <c r="F9" s="3" t="s">
        <v>860</v>
      </c>
      <c r="G9" s="3" t="s">
        <v>861</v>
      </c>
      <c r="H9" s="3" t="s">
        <v>23</v>
      </c>
      <c r="I9" s="36" t="s">
        <v>24</v>
      </c>
      <c r="J9" s="274" t="s">
        <v>25</v>
      </c>
    </row>
    <row r="10" spans="1:10" ht="18.75" customHeight="1" x14ac:dyDescent="0.35">
      <c r="A10" s="37" t="s">
        <v>13</v>
      </c>
      <c r="B10" s="464">
        <f>roleareapivot!B4</f>
        <v>0</v>
      </c>
      <c r="C10" s="464">
        <f>roleareapivot!C4</f>
        <v>0</v>
      </c>
      <c r="D10" s="464">
        <f>roleareapivot!D4</f>
        <v>0</v>
      </c>
      <c r="E10" s="464">
        <f>roleareapivot!E4</f>
        <v>0</v>
      </c>
      <c r="F10" s="464">
        <f>roleareapivot!F4</f>
        <v>372</v>
      </c>
      <c r="G10" s="464">
        <f>roleareapivot!G4</f>
        <v>596</v>
      </c>
      <c r="H10" s="464">
        <f>roleareapivot!H4</f>
        <v>1935</v>
      </c>
      <c r="I10" s="324">
        <f>SUM(B10:H10)</f>
        <v>2903</v>
      </c>
      <c r="J10" s="332">
        <f>I10/$I$14</f>
        <v>0.8099888392857143</v>
      </c>
    </row>
    <row r="11" spans="1:10" x14ac:dyDescent="0.35">
      <c r="A11" s="12" t="s">
        <v>14</v>
      </c>
      <c r="B11" s="464">
        <f>roleareapivot!B5</f>
        <v>0</v>
      </c>
      <c r="C11" s="464">
        <f>roleareapivot!C5</f>
        <v>16</v>
      </c>
      <c r="D11" s="464">
        <f>roleareapivot!D5</f>
        <v>49</v>
      </c>
      <c r="E11" s="464">
        <f>roleareapivot!E5</f>
        <v>116</v>
      </c>
      <c r="F11" s="464">
        <f>roleareapivot!F5</f>
        <v>115</v>
      </c>
      <c r="G11" s="464">
        <f>roleareapivot!G5</f>
        <v>55</v>
      </c>
      <c r="H11" s="464">
        <f>roleareapivot!H5</f>
        <v>26</v>
      </c>
      <c r="I11" s="324">
        <f>SUM(B11:H11)</f>
        <v>377</v>
      </c>
      <c r="J11" s="333">
        <f>I11/$I$14</f>
        <v>0.10518973214285714</v>
      </c>
    </row>
    <row r="12" spans="1:10" x14ac:dyDescent="0.35">
      <c r="A12" s="12" t="s">
        <v>15</v>
      </c>
      <c r="B12" s="464">
        <f>roleareapivot!B6</f>
        <v>0</v>
      </c>
      <c r="C12" s="464">
        <f>roleareapivot!C6</f>
        <v>6</v>
      </c>
      <c r="D12" s="464">
        <f>roleareapivot!D6</f>
        <v>9</v>
      </c>
      <c r="E12" s="464">
        <f>roleareapivot!E6</f>
        <v>16</v>
      </c>
      <c r="F12" s="464">
        <f>roleareapivot!F6</f>
        <v>87</v>
      </c>
      <c r="G12" s="464">
        <f>roleareapivot!G6</f>
        <v>36</v>
      </c>
      <c r="H12" s="464">
        <f>roleareapivot!H6</f>
        <v>58</v>
      </c>
      <c r="I12" s="324">
        <f>SUM(B12:H12)</f>
        <v>212</v>
      </c>
      <c r="J12" s="333">
        <f>I12/$I$14</f>
        <v>5.9151785714285712E-2</v>
      </c>
    </row>
    <row r="13" spans="1:10" x14ac:dyDescent="0.35">
      <c r="A13" s="12" t="s">
        <v>16</v>
      </c>
      <c r="B13" s="464">
        <f>roleareapivot!B7</f>
        <v>5</v>
      </c>
      <c r="C13" s="464">
        <f>roleareapivot!C7</f>
        <v>13</v>
      </c>
      <c r="D13" s="464">
        <f>roleareapivot!D7</f>
        <v>23</v>
      </c>
      <c r="E13" s="464">
        <f>roleareapivot!E7</f>
        <v>20</v>
      </c>
      <c r="F13" s="464">
        <f>roleareapivot!F7</f>
        <v>30</v>
      </c>
      <c r="G13" s="464">
        <f>roleareapivot!G7</f>
        <v>0</v>
      </c>
      <c r="H13" s="464">
        <f>roleareapivot!H7</f>
        <v>1</v>
      </c>
      <c r="I13" s="324">
        <f>SUM(B13:H13)</f>
        <v>92</v>
      </c>
      <c r="J13" s="333">
        <f>I13/$I$14</f>
        <v>2.5669642857142856E-2</v>
      </c>
    </row>
    <row r="14" spans="1:10" ht="23.25" customHeight="1" thickBot="1" x14ac:dyDescent="0.4">
      <c r="A14" s="38" t="s">
        <v>734</v>
      </c>
      <c r="B14" s="328">
        <f t="shared" ref="B14:I14" si="0">SUM(B10:B13)</f>
        <v>5</v>
      </c>
      <c r="C14" s="328">
        <f t="shared" si="0"/>
        <v>35</v>
      </c>
      <c r="D14" s="328">
        <f t="shared" si="0"/>
        <v>81</v>
      </c>
      <c r="E14" s="328">
        <f t="shared" si="0"/>
        <v>152</v>
      </c>
      <c r="F14" s="328">
        <f t="shared" si="0"/>
        <v>604</v>
      </c>
      <c r="G14" s="328">
        <f t="shared" si="0"/>
        <v>687</v>
      </c>
      <c r="H14" s="328">
        <f t="shared" si="0"/>
        <v>2020</v>
      </c>
      <c r="I14" s="328">
        <f t="shared" si="0"/>
        <v>3584</v>
      </c>
      <c r="J14" s="336">
        <f>I14/I14</f>
        <v>1</v>
      </c>
    </row>
    <row r="16" spans="1:10" x14ac:dyDescent="0.35">
      <c r="A16" s="413" t="s">
        <v>8</v>
      </c>
      <c r="B16" s="394"/>
      <c r="C16" s="394"/>
      <c r="D16" s="394"/>
      <c r="E16" s="394"/>
      <c r="F16" s="394"/>
      <c r="G16" s="394"/>
      <c r="H16" s="394"/>
      <c r="I16" s="394"/>
    </row>
    <row r="17" spans="1:9" ht="46.5" customHeight="1" x14ac:dyDescent="0.35">
      <c r="A17" s="1180" t="s">
        <v>863</v>
      </c>
      <c r="B17" s="1180"/>
      <c r="C17" s="1180"/>
      <c r="D17" s="1180"/>
      <c r="E17" s="1180"/>
      <c r="F17" s="1180"/>
      <c r="G17" s="1180"/>
      <c r="H17" s="1180"/>
      <c r="I17" s="1180"/>
    </row>
    <row r="18" spans="1:9" ht="31.5" customHeight="1" x14ac:dyDescent="0.35">
      <c r="A18" s="1179" t="s">
        <v>730</v>
      </c>
      <c r="B18" s="1179"/>
      <c r="C18" s="1179"/>
      <c r="D18" s="1179"/>
      <c r="E18" s="1179"/>
      <c r="F18" s="1179"/>
      <c r="G18" s="1179"/>
      <c r="H18" s="1179"/>
      <c r="I18" s="1179"/>
    </row>
  </sheetData>
  <sheetProtection algorithmName="SHA-512" hashValue="cZG9Bw1FR2fABJMrh3kMV3yioVdSuQdyGEDe3XE7jez0qveSM/B0Nir8WMDSY5dqWmDyEL7tXoRhc4SqAd1xmg==" saltValue="GjPGt8crJImFikW+FgKXdQ==" spinCount="100000" sheet="1" scenarios="1" formatCells="0" formatColumns="0" formatRows="0" sort="0" autoFilter="0" pivotTables="0"/>
  <mergeCells count="4">
    <mergeCell ref="A4:J4"/>
    <mergeCell ref="A1:H1"/>
    <mergeCell ref="A18:I18"/>
    <mergeCell ref="A17:I17"/>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5"/>
  <sheetViews>
    <sheetView workbookViewId="0">
      <selection activeCell="B63" sqref="B63"/>
    </sheetView>
  </sheetViews>
  <sheetFormatPr defaultRowHeight="14.5" x14ac:dyDescent="0.35"/>
  <cols>
    <col min="1" max="1" width="58.1796875" bestFit="1" customWidth="1"/>
    <col min="2" max="2" width="21.54296875" bestFit="1" customWidth="1"/>
    <col min="3" max="3" width="19.08984375" bestFit="1" customWidth="1"/>
    <col min="4" max="4" width="20.453125" bestFit="1" customWidth="1"/>
    <col min="5" max="5" width="21.26953125" bestFit="1" customWidth="1"/>
    <col min="6" max="6" width="20.6328125" bestFit="1" customWidth="1"/>
    <col min="7" max="7" width="19.453125" bestFit="1" customWidth="1"/>
    <col min="8" max="8" width="15.81640625" bestFit="1" customWidth="1"/>
    <col min="9" max="51" width="9.7265625" bestFit="1" customWidth="1"/>
    <col min="52" max="52" width="19.08984375" bestFit="1" customWidth="1"/>
    <col min="53" max="101" width="9.7265625" bestFit="1" customWidth="1"/>
    <col min="102" max="102" width="20.453125" bestFit="1" customWidth="1"/>
    <col min="103" max="151" width="9.7265625" bestFit="1" customWidth="1"/>
    <col min="152" max="152" width="21.26953125" bestFit="1" customWidth="1"/>
    <col min="153" max="201" width="9.7265625" bestFit="1" customWidth="1"/>
    <col min="202" max="202" width="20.6328125" bestFit="1" customWidth="1"/>
    <col min="203" max="251" width="9.7265625" bestFit="1" customWidth="1"/>
    <col min="252" max="252" width="19.453125" bestFit="1" customWidth="1"/>
    <col min="253" max="301" width="9.7265625" bestFit="1" customWidth="1"/>
    <col min="302" max="302" width="15.81640625" bestFit="1" customWidth="1"/>
    <col min="303" max="351" width="9.7265625" bestFit="1" customWidth="1"/>
    <col min="352" max="352" width="26.36328125" bestFit="1" customWidth="1"/>
    <col min="353" max="353" width="23.90625" bestFit="1" customWidth="1"/>
    <col min="354" max="354" width="25.36328125" bestFit="1" customWidth="1"/>
    <col min="355" max="355" width="26.08984375" bestFit="1" customWidth="1"/>
    <col min="356" max="356" width="25.54296875" bestFit="1" customWidth="1"/>
    <col min="357" max="357" width="24.26953125" bestFit="1" customWidth="1"/>
    <col min="358" max="358" width="20.6328125" bestFit="1" customWidth="1"/>
  </cols>
  <sheetData>
    <row r="1" spans="1:8" x14ac:dyDescent="0.35">
      <c r="A1" s="459" t="s">
        <v>1</v>
      </c>
      <c r="B1" t="s">
        <v>951</v>
      </c>
    </row>
    <row r="3" spans="1:8" x14ac:dyDescent="0.35">
      <c r="A3" s="459" t="s">
        <v>234</v>
      </c>
      <c r="B3" t="s">
        <v>250</v>
      </c>
      <c r="C3" t="s">
        <v>251</v>
      </c>
      <c r="D3" t="s">
        <v>252</v>
      </c>
      <c r="E3" t="s">
        <v>253</v>
      </c>
      <c r="F3" t="s">
        <v>243</v>
      </c>
      <c r="G3" t="s">
        <v>254</v>
      </c>
      <c r="H3" t="s">
        <v>255</v>
      </c>
    </row>
    <row r="4" spans="1:8" x14ac:dyDescent="0.35">
      <c r="A4" s="1000" t="s">
        <v>235</v>
      </c>
      <c r="B4" s="461"/>
      <c r="C4" s="461"/>
      <c r="D4" s="461"/>
      <c r="E4" s="461"/>
      <c r="F4" s="461"/>
      <c r="G4" s="461"/>
      <c r="H4" s="461"/>
    </row>
    <row r="5" spans="1:8" x14ac:dyDescent="0.35">
      <c r="A5" s="462" t="s">
        <v>31</v>
      </c>
      <c r="B5" s="461">
        <v>0</v>
      </c>
      <c r="C5" s="461">
        <v>0</v>
      </c>
      <c r="D5" s="461">
        <v>0</v>
      </c>
      <c r="E5" s="461">
        <v>0</v>
      </c>
      <c r="F5" s="461">
        <v>15</v>
      </c>
      <c r="G5" s="461">
        <v>35</v>
      </c>
      <c r="H5" s="461">
        <v>99</v>
      </c>
    </row>
    <row r="6" spans="1:8" x14ac:dyDescent="0.35">
      <c r="A6" s="462" t="s">
        <v>32</v>
      </c>
      <c r="B6" s="461">
        <v>0</v>
      </c>
      <c r="C6" s="461">
        <v>0</v>
      </c>
      <c r="D6" s="461">
        <v>0</v>
      </c>
      <c r="E6" s="461">
        <v>0</v>
      </c>
      <c r="F6" s="461">
        <v>5</v>
      </c>
      <c r="G6" s="461">
        <v>5</v>
      </c>
      <c r="H6" s="461">
        <v>19</v>
      </c>
    </row>
    <row r="7" spans="1:8" x14ac:dyDescent="0.35">
      <c r="A7" s="462" t="s">
        <v>33</v>
      </c>
      <c r="B7" s="461">
        <v>0</v>
      </c>
      <c r="C7" s="461">
        <v>0</v>
      </c>
      <c r="D7" s="461">
        <v>0</v>
      </c>
      <c r="E7" s="461">
        <v>0</v>
      </c>
      <c r="F7" s="461">
        <v>5</v>
      </c>
      <c r="G7" s="461">
        <v>5</v>
      </c>
      <c r="H7" s="461">
        <v>17</v>
      </c>
    </row>
    <row r="8" spans="1:8" x14ac:dyDescent="0.35">
      <c r="A8" s="462" t="s">
        <v>34</v>
      </c>
      <c r="B8" s="461">
        <v>0</v>
      </c>
      <c r="C8" s="461">
        <v>0</v>
      </c>
      <c r="D8" s="461">
        <v>0</v>
      </c>
      <c r="E8" s="461">
        <v>0</v>
      </c>
      <c r="F8" s="461">
        <v>10</v>
      </c>
      <c r="G8" s="461">
        <v>10</v>
      </c>
      <c r="H8" s="461">
        <v>32</v>
      </c>
    </row>
    <row r="9" spans="1:8" x14ac:dyDescent="0.35">
      <c r="A9" s="462" t="s">
        <v>245</v>
      </c>
      <c r="B9" s="461">
        <v>0</v>
      </c>
      <c r="C9" s="461">
        <v>0</v>
      </c>
      <c r="D9" s="461">
        <v>0</v>
      </c>
      <c r="E9" s="461">
        <v>0</v>
      </c>
      <c r="F9" s="461">
        <v>36</v>
      </c>
      <c r="G9" s="461">
        <v>58</v>
      </c>
      <c r="H9" s="461">
        <v>206</v>
      </c>
    </row>
    <row r="10" spans="1:8" x14ac:dyDescent="0.35">
      <c r="A10" s="462" t="s">
        <v>35</v>
      </c>
      <c r="B10" s="461">
        <v>0</v>
      </c>
      <c r="C10" s="461">
        <v>0</v>
      </c>
      <c r="D10" s="461">
        <v>0</v>
      </c>
      <c r="E10" s="461">
        <v>0</v>
      </c>
      <c r="F10" s="461">
        <v>6</v>
      </c>
      <c r="G10" s="461">
        <v>5</v>
      </c>
      <c r="H10" s="461">
        <v>13</v>
      </c>
    </row>
    <row r="11" spans="1:8" x14ac:dyDescent="0.35">
      <c r="A11" s="462" t="s">
        <v>17411</v>
      </c>
      <c r="B11" s="461">
        <v>0</v>
      </c>
      <c r="C11" s="461">
        <v>0</v>
      </c>
      <c r="D11" s="461">
        <v>0</v>
      </c>
      <c r="E11" s="461">
        <v>0</v>
      </c>
      <c r="F11" s="461">
        <v>5</v>
      </c>
      <c r="G11" s="461">
        <v>10</v>
      </c>
      <c r="H11" s="461">
        <v>36</v>
      </c>
    </row>
    <row r="12" spans="1:8" x14ac:dyDescent="0.35">
      <c r="A12" s="462" t="s">
        <v>37</v>
      </c>
      <c r="B12" s="461">
        <v>0</v>
      </c>
      <c r="C12" s="461">
        <v>0</v>
      </c>
      <c r="D12" s="461">
        <v>0</v>
      </c>
      <c r="E12" s="461">
        <v>0</v>
      </c>
      <c r="F12" s="461">
        <v>19</v>
      </c>
      <c r="G12" s="461">
        <v>36</v>
      </c>
      <c r="H12" s="461">
        <v>127</v>
      </c>
    </row>
    <row r="13" spans="1:8" x14ac:dyDescent="0.35">
      <c r="A13" s="462" t="s">
        <v>38</v>
      </c>
      <c r="B13" s="461">
        <v>0</v>
      </c>
      <c r="C13" s="461">
        <v>0</v>
      </c>
      <c r="D13" s="461">
        <v>0</v>
      </c>
      <c r="E13" s="461">
        <v>0</v>
      </c>
      <c r="F13" s="461">
        <v>5</v>
      </c>
      <c r="G13" s="461">
        <v>10</v>
      </c>
      <c r="H13" s="461">
        <v>32</v>
      </c>
    </row>
    <row r="14" spans="1:8" x14ac:dyDescent="0.35">
      <c r="A14" s="462" t="s">
        <v>39</v>
      </c>
      <c r="B14" s="461">
        <v>0</v>
      </c>
      <c r="C14" s="461">
        <v>0</v>
      </c>
      <c r="D14" s="461">
        <v>0</v>
      </c>
      <c r="E14" s="461">
        <v>0</v>
      </c>
      <c r="F14" s="461">
        <v>16</v>
      </c>
      <c r="G14" s="461">
        <v>14</v>
      </c>
      <c r="H14" s="461">
        <v>46</v>
      </c>
    </row>
    <row r="15" spans="1:8" x14ac:dyDescent="0.35">
      <c r="A15" s="462" t="s">
        <v>40</v>
      </c>
      <c r="B15" s="461">
        <v>0</v>
      </c>
      <c r="C15" s="461">
        <v>0</v>
      </c>
      <c r="D15" s="461">
        <v>0</v>
      </c>
      <c r="E15" s="461">
        <v>0</v>
      </c>
      <c r="F15" s="461">
        <v>5</v>
      </c>
      <c r="G15" s="461">
        <v>5</v>
      </c>
      <c r="H15" s="461">
        <v>16</v>
      </c>
    </row>
    <row r="16" spans="1:8" x14ac:dyDescent="0.35">
      <c r="A16" s="462" t="s">
        <v>41</v>
      </c>
      <c r="B16" s="461">
        <v>0</v>
      </c>
      <c r="C16" s="461">
        <v>0</v>
      </c>
      <c r="D16" s="461">
        <v>0</v>
      </c>
      <c r="E16" s="461">
        <v>0</v>
      </c>
      <c r="F16" s="461">
        <v>10</v>
      </c>
      <c r="G16" s="461">
        <v>10</v>
      </c>
      <c r="H16" s="461">
        <v>28</v>
      </c>
    </row>
    <row r="17" spans="1:8" x14ac:dyDescent="0.35">
      <c r="A17" s="462" t="s">
        <v>42</v>
      </c>
      <c r="B17" s="461">
        <v>0</v>
      </c>
      <c r="C17" s="461">
        <v>0</v>
      </c>
      <c r="D17" s="461">
        <v>0</v>
      </c>
      <c r="E17" s="461">
        <v>0</v>
      </c>
      <c r="F17" s="461">
        <v>15</v>
      </c>
      <c r="G17" s="461">
        <v>20</v>
      </c>
      <c r="H17" s="461">
        <v>53</v>
      </c>
    </row>
    <row r="18" spans="1:8" x14ac:dyDescent="0.35">
      <c r="A18" s="462" t="s">
        <v>43</v>
      </c>
      <c r="B18" s="461">
        <v>0</v>
      </c>
      <c r="C18" s="461">
        <v>0</v>
      </c>
      <c r="D18" s="461">
        <v>0</v>
      </c>
      <c r="E18" s="461">
        <v>0</v>
      </c>
      <c r="F18" s="461">
        <v>25</v>
      </c>
      <c r="G18" s="461">
        <v>50</v>
      </c>
      <c r="H18" s="461">
        <v>179</v>
      </c>
    </row>
    <row r="19" spans="1:8" x14ac:dyDescent="0.35">
      <c r="A19" s="462" t="s">
        <v>114</v>
      </c>
      <c r="B19" s="461">
        <v>0</v>
      </c>
      <c r="C19" s="461">
        <v>0</v>
      </c>
      <c r="D19" s="461">
        <v>0</v>
      </c>
      <c r="E19" s="461">
        <v>0</v>
      </c>
      <c r="F19" s="461">
        <v>55</v>
      </c>
      <c r="G19" s="461">
        <v>109</v>
      </c>
      <c r="H19" s="461">
        <v>335</v>
      </c>
    </row>
    <row r="20" spans="1:8" x14ac:dyDescent="0.35">
      <c r="A20" s="462" t="s">
        <v>44</v>
      </c>
      <c r="B20" s="461">
        <v>0</v>
      </c>
      <c r="C20" s="461">
        <v>0</v>
      </c>
      <c r="D20" s="461">
        <v>0</v>
      </c>
      <c r="E20" s="461">
        <v>0</v>
      </c>
      <c r="F20" s="461">
        <v>5</v>
      </c>
      <c r="G20" s="461">
        <v>15</v>
      </c>
      <c r="H20" s="461">
        <v>54</v>
      </c>
    </row>
    <row r="21" spans="1:8" x14ac:dyDescent="0.35">
      <c r="A21" s="462" t="s">
        <v>45</v>
      </c>
      <c r="B21" s="461">
        <v>0</v>
      </c>
      <c r="C21" s="461">
        <v>0</v>
      </c>
      <c r="D21" s="461">
        <v>0</v>
      </c>
      <c r="E21" s="461">
        <v>0</v>
      </c>
      <c r="F21" s="461">
        <v>10</v>
      </c>
      <c r="G21" s="461">
        <v>15</v>
      </c>
      <c r="H21" s="461">
        <v>45</v>
      </c>
    </row>
    <row r="22" spans="1:8" x14ac:dyDescent="0.35">
      <c r="A22" s="462" t="s">
        <v>46</v>
      </c>
      <c r="B22" s="461">
        <v>0</v>
      </c>
      <c r="C22" s="461">
        <v>0</v>
      </c>
      <c r="D22" s="461">
        <v>0</v>
      </c>
      <c r="E22" s="461">
        <v>0</v>
      </c>
      <c r="F22" s="461">
        <v>5</v>
      </c>
      <c r="G22" s="461">
        <v>5</v>
      </c>
      <c r="H22" s="461">
        <v>17</v>
      </c>
    </row>
    <row r="23" spans="1:8" x14ac:dyDescent="0.35">
      <c r="A23" s="462" t="s">
        <v>47</v>
      </c>
      <c r="B23" s="461">
        <v>0</v>
      </c>
      <c r="C23" s="461">
        <v>0</v>
      </c>
      <c r="D23" s="461">
        <v>0</v>
      </c>
      <c r="E23" s="461">
        <v>0</v>
      </c>
      <c r="F23" s="461">
        <v>5</v>
      </c>
      <c r="G23" s="461">
        <v>5</v>
      </c>
      <c r="H23" s="461">
        <v>20</v>
      </c>
    </row>
    <row r="24" spans="1:8" x14ac:dyDescent="0.35">
      <c r="A24" s="462" t="s">
        <v>48</v>
      </c>
      <c r="B24" s="461"/>
      <c r="C24" s="461"/>
      <c r="D24" s="461"/>
      <c r="E24" s="461"/>
      <c r="F24" s="461"/>
      <c r="G24" s="461"/>
      <c r="H24" s="461"/>
    </row>
    <row r="25" spans="1:8" x14ac:dyDescent="0.35">
      <c r="A25" s="462" t="s">
        <v>49</v>
      </c>
      <c r="B25" s="461">
        <v>0</v>
      </c>
      <c r="C25" s="461">
        <v>0</v>
      </c>
      <c r="D25" s="461">
        <v>0</v>
      </c>
      <c r="E25" s="461">
        <v>0</v>
      </c>
      <c r="F25" s="461">
        <v>15</v>
      </c>
      <c r="G25" s="461">
        <v>15</v>
      </c>
      <c r="H25" s="461">
        <v>45</v>
      </c>
    </row>
    <row r="26" spans="1:8" x14ac:dyDescent="0.35">
      <c r="A26" s="462" t="s">
        <v>50</v>
      </c>
      <c r="B26" s="461">
        <v>0</v>
      </c>
      <c r="C26" s="461">
        <v>0</v>
      </c>
      <c r="D26" s="461">
        <v>0</v>
      </c>
      <c r="E26" s="461">
        <v>0</v>
      </c>
      <c r="F26" s="461">
        <v>20</v>
      </c>
      <c r="G26" s="461">
        <v>35</v>
      </c>
      <c r="H26" s="461">
        <v>105</v>
      </c>
    </row>
    <row r="27" spans="1:8" x14ac:dyDescent="0.35">
      <c r="A27" s="462" t="s">
        <v>51</v>
      </c>
      <c r="B27" s="461"/>
      <c r="C27" s="461"/>
      <c r="D27" s="461"/>
      <c r="E27" s="461"/>
      <c r="F27" s="461"/>
      <c r="G27" s="461"/>
      <c r="H27" s="461"/>
    </row>
    <row r="28" spans="1:8" x14ac:dyDescent="0.35">
      <c r="A28" s="462" t="s">
        <v>52</v>
      </c>
      <c r="B28" s="461">
        <v>0</v>
      </c>
      <c r="C28" s="461">
        <v>0</v>
      </c>
      <c r="D28" s="461">
        <v>0</v>
      </c>
      <c r="E28" s="461">
        <v>0</v>
      </c>
      <c r="F28" s="461">
        <v>5</v>
      </c>
      <c r="G28" s="461">
        <v>10</v>
      </c>
      <c r="H28" s="461">
        <v>48</v>
      </c>
    </row>
    <row r="29" spans="1:8" x14ac:dyDescent="0.35">
      <c r="A29" s="462" t="s">
        <v>53</v>
      </c>
      <c r="B29" s="461">
        <v>0</v>
      </c>
      <c r="C29" s="461">
        <v>0</v>
      </c>
      <c r="D29" s="461">
        <v>0</v>
      </c>
      <c r="E29" s="461">
        <v>0</v>
      </c>
      <c r="F29" s="461">
        <v>15</v>
      </c>
      <c r="G29" s="461">
        <v>21</v>
      </c>
      <c r="H29" s="461">
        <v>64</v>
      </c>
    </row>
    <row r="30" spans="1:8" x14ac:dyDescent="0.35">
      <c r="A30" s="462" t="s">
        <v>54</v>
      </c>
      <c r="B30" s="461">
        <v>0</v>
      </c>
      <c r="C30" s="461">
        <v>0</v>
      </c>
      <c r="D30" s="461">
        <v>0</v>
      </c>
      <c r="E30" s="461">
        <v>0</v>
      </c>
      <c r="F30" s="461">
        <v>10</v>
      </c>
      <c r="G30" s="461">
        <v>8</v>
      </c>
      <c r="H30" s="461">
        <v>33</v>
      </c>
    </row>
    <row r="31" spans="1:8" x14ac:dyDescent="0.35">
      <c r="A31" s="462" t="s">
        <v>55</v>
      </c>
      <c r="B31" s="461"/>
      <c r="C31" s="461"/>
      <c r="D31" s="461"/>
      <c r="E31" s="461"/>
      <c r="F31" s="461"/>
      <c r="G31" s="461"/>
      <c r="H31" s="461"/>
    </row>
    <row r="32" spans="1:8" x14ac:dyDescent="0.35">
      <c r="A32" s="462" t="s">
        <v>56</v>
      </c>
      <c r="B32" s="461">
        <v>0</v>
      </c>
      <c r="C32" s="461">
        <v>0</v>
      </c>
      <c r="D32" s="461">
        <v>0</v>
      </c>
      <c r="E32" s="461">
        <v>0</v>
      </c>
      <c r="F32" s="461">
        <v>5</v>
      </c>
      <c r="G32" s="461">
        <v>10</v>
      </c>
      <c r="H32" s="461">
        <v>36</v>
      </c>
    </row>
    <row r="33" spans="1:8" x14ac:dyDescent="0.35">
      <c r="A33" s="462" t="s">
        <v>57</v>
      </c>
      <c r="B33" s="461">
        <v>0</v>
      </c>
      <c r="C33" s="461">
        <v>0</v>
      </c>
      <c r="D33" s="461">
        <v>0</v>
      </c>
      <c r="E33" s="461">
        <v>0</v>
      </c>
      <c r="F33" s="461">
        <v>20</v>
      </c>
      <c r="G33" s="461">
        <v>37</v>
      </c>
      <c r="H33" s="461">
        <v>111</v>
      </c>
    </row>
    <row r="34" spans="1:8" x14ac:dyDescent="0.35">
      <c r="A34" s="462" t="s">
        <v>58</v>
      </c>
      <c r="B34" s="461">
        <v>0</v>
      </c>
      <c r="C34" s="461">
        <v>0</v>
      </c>
      <c r="D34" s="461">
        <v>0</v>
      </c>
      <c r="E34" s="461">
        <v>0</v>
      </c>
      <c r="F34" s="461">
        <v>5</v>
      </c>
      <c r="G34" s="461">
        <v>10</v>
      </c>
      <c r="H34" s="461">
        <v>37</v>
      </c>
    </row>
    <row r="35" spans="1:8" x14ac:dyDescent="0.35">
      <c r="A35" s="462" t="s">
        <v>59</v>
      </c>
      <c r="B35" s="461">
        <v>0</v>
      </c>
      <c r="C35" s="461">
        <v>0</v>
      </c>
      <c r="D35" s="461">
        <v>0</v>
      </c>
      <c r="E35" s="461">
        <v>0</v>
      </c>
      <c r="F35" s="461">
        <v>10</v>
      </c>
      <c r="G35" s="461">
        <v>17</v>
      </c>
      <c r="H35" s="461">
        <v>46</v>
      </c>
    </row>
    <row r="36" spans="1:8" x14ac:dyDescent="0.35">
      <c r="A36" s="462" t="s">
        <v>60</v>
      </c>
      <c r="B36" s="461">
        <v>0</v>
      </c>
      <c r="C36" s="461">
        <v>0</v>
      </c>
      <c r="D36" s="461">
        <v>0</v>
      </c>
      <c r="E36" s="461">
        <v>0</v>
      </c>
      <c r="F36" s="461">
        <v>10</v>
      </c>
      <c r="G36" s="461">
        <v>11</v>
      </c>
      <c r="H36" s="461">
        <v>36</v>
      </c>
    </row>
    <row r="37" spans="1:8" x14ac:dyDescent="0.35">
      <c r="A37" s="1000" t="s">
        <v>851</v>
      </c>
      <c r="B37" s="461">
        <v>0</v>
      </c>
      <c r="C37" s="461">
        <v>0</v>
      </c>
      <c r="D37" s="461">
        <v>0</v>
      </c>
      <c r="E37" s="461">
        <v>0</v>
      </c>
      <c r="F37" s="461">
        <v>372</v>
      </c>
      <c r="G37" s="461">
        <v>596</v>
      </c>
      <c r="H37" s="461">
        <v>1935</v>
      </c>
    </row>
    <row r="38" spans="1:8" x14ac:dyDescent="0.35">
      <c r="A38" s="1000" t="s">
        <v>236</v>
      </c>
      <c r="B38" s="461"/>
      <c r="C38" s="461"/>
      <c r="D38" s="461"/>
      <c r="E38" s="461"/>
      <c r="F38" s="461"/>
      <c r="G38" s="461"/>
      <c r="H38" s="461"/>
    </row>
    <row r="39" spans="1:8" x14ac:dyDescent="0.35">
      <c r="A39" s="462" t="s">
        <v>31</v>
      </c>
      <c r="B39" s="461">
        <v>0</v>
      </c>
      <c r="C39" s="461">
        <v>1</v>
      </c>
      <c r="D39" s="461">
        <v>2</v>
      </c>
      <c r="E39" s="461">
        <v>3</v>
      </c>
      <c r="F39" s="461">
        <v>4</v>
      </c>
      <c r="G39" s="461">
        <v>1</v>
      </c>
      <c r="H39" s="461">
        <v>1</v>
      </c>
    </row>
    <row r="40" spans="1:8" x14ac:dyDescent="0.35">
      <c r="A40" s="462" t="s">
        <v>63</v>
      </c>
      <c r="B40" s="461">
        <v>0</v>
      </c>
      <c r="C40" s="461">
        <v>1</v>
      </c>
      <c r="D40" s="461">
        <v>3</v>
      </c>
      <c r="E40" s="461">
        <v>9</v>
      </c>
      <c r="F40" s="461">
        <v>8</v>
      </c>
      <c r="G40" s="461">
        <v>4</v>
      </c>
      <c r="H40" s="461">
        <v>1</v>
      </c>
    </row>
    <row r="41" spans="1:8" x14ac:dyDescent="0.35">
      <c r="A41" s="462" t="s">
        <v>64</v>
      </c>
      <c r="B41" s="461">
        <v>0</v>
      </c>
      <c r="C41" s="461">
        <v>1</v>
      </c>
      <c r="D41" s="461">
        <v>3</v>
      </c>
      <c r="E41" s="461">
        <v>7</v>
      </c>
      <c r="F41" s="461">
        <v>7</v>
      </c>
      <c r="G41" s="461">
        <v>6</v>
      </c>
      <c r="H41" s="461">
        <v>2</v>
      </c>
    </row>
    <row r="42" spans="1:8" x14ac:dyDescent="0.35">
      <c r="A42" s="462" t="s">
        <v>36</v>
      </c>
      <c r="B42" s="461">
        <v>0</v>
      </c>
      <c r="C42" s="461">
        <v>1</v>
      </c>
      <c r="D42" s="461">
        <v>2</v>
      </c>
      <c r="E42" s="461">
        <v>6</v>
      </c>
      <c r="F42" s="461">
        <v>6</v>
      </c>
      <c r="G42" s="461">
        <v>4</v>
      </c>
      <c r="H42" s="461">
        <v>2</v>
      </c>
    </row>
    <row r="43" spans="1:8" x14ac:dyDescent="0.35">
      <c r="A43" s="462" t="s">
        <v>65</v>
      </c>
      <c r="B43" s="461">
        <v>0</v>
      </c>
      <c r="C43" s="461">
        <v>1</v>
      </c>
      <c r="D43" s="461">
        <v>4</v>
      </c>
      <c r="E43" s="461">
        <v>8</v>
      </c>
      <c r="F43" s="461">
        <v>10</v>
      </c>
      <c r="G43" s="461">
        <v>4</v>
      </c>
      <c r="H43" s="461">
        <v>1</v>
      </c>
    </row>
    <row r="44" spans="1:8" x14ac:dyDescent="0.35">
      <c r="A44" s="462" t="s">
        <v>66</v>
      </c>
      <c r="B44" s="461">
        <v>0</v>
      </c>
      <c r="C44" s="461">
        <v>1</v>
      </c>
      <c r="D44" s="461">
        <v>3</v>
      </c>
      <c r="E44" s="461">
        <v>9</v>
      </c>
      <c r="F44" s="461">
        <v>8</v>
      </c>
      <c r="G44" s="461">
        <v>5</v>
      </c>
      <c r="H44" s="461">
        <v>1</v>
      </c>
    </row>
    <row r="45" spans="1:8" x14ac:dyDescent="0.35">
      <c r="A45" s="462" t="s">
        <v>67</v>
      </c>
      <c r="B45" s="461">
        <v>0</v>
      </c>
      <c r="C45" s="461">
        <v>1</v>
      </c>
      <c r="D45" s="461">
        <v>3</v>
      </c>
      <c r="E45" s="461">
        <v>7</v>
      </c>
      <c r="F45" s="461">
        <v>10</v>
      </c>
      <c r="G45" s="461">
        <v>3</v>
      </c>
      <c r="H45" s="461">
        <v>4</v>
      </c>
    </row>
    <row r="46" spans="1:8" x14ac:dyDescent="0.35">
      <c r="A46" s="462" t="s">
        <v>68</v>
      </c>
      <c r="B46" s="461">
        <v>0</v>
      </c>
      <c r="C46" s="461">
        <v>1</v>
      </c>
      <c r="D46" s="461">
        <v>4</v>
      </c>
      <c r="E46" s="461">
        <v>5</v>
      </c>
      <c r="F46" s="461">
        <v>4</v>
      </c>
      <c r="G46" s="461">
        <v>2</v>
      </c>
      <c r="H46" s="461">
        <v>1</v>
      </c>
    </row>
    <row r="47" spans="1:8" x14ac:dyDescent="0.35">
      <c r="A47" s="462" t="s">
        <v>167</v>
      </c>
      <c r="B47" s="461">
        <v>0</v>
      </c>
      <c r="C47" s="461">
        <v>1</v>
      </c>
      <c r="D47" s="461">
        <v>3</v>
      </c>
      <c r="E47" s="461">
        <v>7</v>
      </c>
      <c r="F47" s="461">
        <v>11</v>
      </c>
      <c r="G47" s="461">
        <v>3</v>
      </c>
      <c r="H47" s="461">
        <v>4</v>
      </c>
    </row>
    <row r="48" spans="1:8" x14ac:dyDescent="0.35">
      <c r="A48" s="462" t="s">
        <v>69</v>
      </c>
      <c r="B48" s="461">
        <v>0</v>
      </c>
      <c r="C48" s="461">
        <v>1</v>
      </c>
      <c r="D48" s="461">
        <v>2</v>
      </c>
      <c r="E48" s="461">
        <v>5</v>
      </c>
      <c r="F48" s="461">
        <v>6</v>
      </c>
      <c r="G48" s="461">
        <v>3</v>
      </c>
      <c r="H48" s="461">
        <v>2</v>
      </c>
    </row>
    <row r="49" spans="1:8" x14ac:dyDescent="0.35">
      <c r="A49" s="462" t="s">
        <v>43</v>
      </c>
      <c r="B49" s="461"/>
      <c r="C49" s="461"/>
      <c r="D49" s="461"/>
      <c r="E49" s="461"/>
      <c r="F49" s="461"/>
      <c r="G49" s="461"/>
      <c r="H49" s="461"/>
    </row>
    <row r="50" spans="1:8" x14ac:dyDescent="0.35">
      <c r="A50" s="462" t="s">
        <v>114</v>
      </c>
      <c r="B50" s="461">
        <v>0</v>
      </c>
      <c r="C50" s="461">
        <v>1</v>
      </c>
      <c r="D50" s="461">
        <v>5</v>
      </c>
      <c r="E50" s="461">
        <v>9</v>
      </c>
      <c r="F50" s="461">
        <v>7</v>
      </c>
      <c r="G50" s="461">
        <v>2</v>
      </c>
      <c r="H50" s="461">
        <v>2</v>
      </c>
    </row>
    <row r="51" spans="1:8" x14ac:dyDescent="0.35">
      <c r="A51" s="462" t="s">
        <v>70</v>
      </c>
      <c r="B51" s="461">
        <v>0</v>
      </c>
      <c r="C51" s="461">
        <v>1</v>
      </c>
      <c r="D51" s="461">
        <v>4</v>
      </c>
      <c r="E51" s="461">
        <v>12</v>
      </c>
      <c r="F51" s="461">
        <v>10</v>
      </c>
      <c r="G51" s="461">
        <v>7</v>
      </c>
      <c r="H51" s="461">
        <v>1</v>
      </c>
    </row>
    <row r="52" spans="1:8" x14ac:dyDescent="0.35">
      <c r="A52" s="462" t="s">
        <v>50</v>
      </c>
      <c r="B52" s="461">
        <v>0</v>
      </c>
      <c r="C52" s="461">
        <v>1</v>
      </c>
      <c r="D52" s="461">
        <v>2</v>
      </c>
      <c r="E52" s="461">
        <v>5</v>
      </c>
      <c r="F52" s="461">
        <v>5</v>
      </c>
      <c r="G52" s="461">
        <v>2</v>
      </c>
      <c r="H52" s="461">
        <v>0</v>
      </c>
    </row>
    <row r="53" spans="1:8" x14ac:dyDescent="0.35">
      <c r="A53" s="462" t="s">
        <v>57</v>
      </c>
      <c r="B53" s="461">
        <v>0</v>
      </c>
      <c r="C53" s="461">
        <v>1</v>
      </c>
      <c r="D53" s="461">
        <v>2</v>
      </c>
      <c r="E53" s="461">
        <v>6</v>
      </c>
      <c r="F53" s="461">
        <v>4</v>
      </c>
      <c r="G53" s="461">
        <v>3</v>
      </c>
      <c r="H53" s="461">
        <v>0</v>
      </c>
    </row>
    <row r="54" spans="1:8" x14ac:dyDescent="0.35">
      <c r="A54" s="462" t="s">
        <v>71</v>
      </c>
      <c r="B54" s="461">
        <v>0</v>
      </c>
      <c r="C54" s="461">
        <v>1</v>
      </c>
      <c r="D54" s="461">
        <v>3</v>
      </c>
      <c r="E54" s="461">
        <v>7</v>
      </c>
      <c r="F54" s="461">
        <v>4</v>
      </c>
      <c r="G54" s="461">
        <v>0</v>
      </c>
      <c r="H54" s="461">
        <v>0</v>
      </c>
    </row>
    <row r="55" spans="1:8" x14ac:dyDescent="0.35">
      <c r="A55" s="462" t="s">
        <v>775</v>
      </c>
      <c r="B55" s="461">
        <v>0</v>
      </c>
      <c r="C55" s="461">
        <v>1</v>
      </c>
      <c r="D55" s="461">
        <v>4</v>
      </c>
      <c r="E55" s="461">
        <v>11</v>
      </c>
      <c r="F55" s="461">
        <v>11</v>
      </c>
      <c r="G55" s="461">
        <v>6</v>
      </c>
      <c r="H55" s="461">
        <v>4</v>
      </c>
    </row>
    <row r="56" spans="1:8" x14ac:dyDescent="0.35">
      <c r="A56" s="1000" t="s">
        <v>852</v>
      </c>
      <c r="B56" s="461">
        <v>0</v>
      </c>
      <c r="C56" s="461">
        <v>16</v>
      </c>
      <c r="D56" s="461">
        <v>49</v>
      </c>
      <c r="E56" s="461">
        <v>116</v>
      </c>
      <c r="F56" s="461">
        <v>115</v>
      </c>
      <c r="G56" s="461">
        <v>55</v>
      </c>
      <c r="H56" s="461">
        <v>26</v>
      </c>
    </row>
    <row r="57" spans="1:8" x14ac:dyDescent="0.35">
      <c r="A57" s="1000" t="s">
        <v>237</v>
      </c>
      <c r="B57" s="461"/>
      <c r="C57" s="461"/>
      <c r="D57" s="461"/>
      <c r="E57" s="461"/>
      <c r="F57" s="461"/>
      <c r="G57" s="461"/>
      <c r="H57" s="461"/>
    </row>
    <row r="58" spans="1:8" x14ac:dyDescent="0.35">
      <c r="A58" s="462" t="s">
        <v>166</v>
      </c>
      <c r="B58" s="461">
        <v>0</v>
      </c>
      <c r="C58" s="461">
        <v>1</v>
      </c>
      <c r="D58" s="461">
        <v>2</v>
      </c>
      <c r="E58" s="461">
        <v>5</v>
      </c>
      <c r="F58" s="461">
        <v>32</v>
      </c>
      <c r="G58" s="461">
        <v>6</v>
      </c>
      <c r="H58" s="461">
        <v>20</v>
      </c>
    </row>
    <row r="59" spans="1:8" x14ac:dyDescent="0.35">
      <c r="A59" s="462" t="s">
        <v>164</v>
      </c>
      <c r="B59" s="461">
        <v>0</v>
      </c>
      <c r="C59" s="461">
        <v>2</v>
      </c>
      <c r="D59" s="461">
        <v>2</v>
      </c>
      <c r="E59" s="461">
        <v>6</v>
      </c>
      <c r="F59" s="461">
        <v>19</v>
      </c>
      <c r="G59" s="461">
        <v>13</v>
      </c>
      <c r="H59" s="461">
        <v>13</v>
      </c>
    </row>
    <row r="60" spans="1:8" x14ac:dyDescent="0.35">
      <c r="A60" s="462" t="s">
        <v>165</v>
      </c>
      <c r="B60" s="461">
        <v>0</v>
      </c>
      <c r="C60" s="461">
        <v>3</v>
      </c>
      <c r="D60" s="461">
        <v>5</v>
      </c>
      <c r="E60" s="461">
        <v>5</v>
      </c>
      <c r="F60" s="461">
        <v>36</v>
      </c>
      <c r="G60" s="461">
        <v>17</v>
      </c>
      <c r="H60" s="461">
        <v>25</v>
      </c>
    </row>
    <row r="61" spans="1:8" x14ac:dyDescent="0.35">
      <c r="A61" s="1000" t="s">
        <v>853</v>
      </c>
      <c r="B61" s="461">
        <v>0</v>
      </c>
      <c r="C61" s="461">
        <v>6</v>
      </c>
      <c r="D61" s="461">
        <v>9</v>
      </c>
      <c r="E61" s="461">
        <v>16</v>
      </c>
      <c r="F61" s="461">
        <v>87</v>
      </c>
      <c r="G61" s="461">
        <v>36</v>
      </c>
      <c r="H61" s="461">
        <v>58</v>
      </c>
    </row>
    <row r="62" spans="1:8" x14ac:dyDescent="0.35">
      <c r="A62" s="1000" t="s">
        <v>238</v>
      </c>
      <c r="B62" s="461"/>
      <c r="C62" s="461"/>
      <c r="D62" s="461"/>
      <c r="E62" s="461"/>
      <c r="F62" s="461"/>
      <c r="G62" s="461"/>
      <c r="H62" s="461"/>
    </row>
    <row r="63" spans="1:8" x14ac:dyDescent="0.35">
      <c r="A63" s="462" t="s">
        <v>246</v>
      </c>
      <c r="B63" s="461">
        <v>5</v>
      </c>
      <c r="C63" s="461">
        <v>13</v>
      </c>
      <c r="D63" s="461">
        <v>23</v>
      </c>
      <c r="E63" s="461">
        <v>20</v>
      </c>
      <c r="F63" s="461">
        <v>30</v>
      </c>
      <c r="G63" s="461">
        <v>0</v>
      </c>
      <c r="H63" s="461">
        <v>1</v>
      </c>
    </row>
    <row r="64" spans="1:8" x14ac:dyDescent="0.35">
      <c r="A64" s="1000" t="s">
        <v>854</v>
      </c>
      <c r="B64" s="461">
        <v>5</v>
      </c>
      <c r="C64" s="461">
        <v>13</v>
      </c>
      <c r="D64" s="461">
        <v>23</v>
      </c>
      <c r="E64" s="461">
        <v>20</v>
      </c>
      <c r="F64" s="461">
        <v>30</v>
      </c>
      <c r="G64" s="461">
        <v>0</v>
      </c>
      <c r="H64" s="461">
        <v>1</v>
      </c>
    </row>
    <row r="65" spans="1:8" x14ac:dyDescent="0.35">
      <c r="A65" s="1000" t="s">
        <v>239</v>
      </c>
      <c r="B65" s="461">
        <v>5</v>
      </c>
      <c r="C65" s="461">
        <v>35</v>
      </c>
      <c r="D65" s="461">
        <v>81</v>
      </c>
      <c r="E65" s="461">
        <v>152</v>
      </c>
      <c r="F65" s="461">
        <v>604</v>
      </c>
      <c r="G65" s="461">
        <v>687</v>
      </c>
      <c r="H65" s="461">
        <v>2020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425"/>
  <sheetViews>
    <sheetView workbookViewId="0">
      <selection activeCell="C412" sqref="C412"/>
    </sheetView>
  </sheetViews>
  <sheetFormatPr defaultRowHeight="14.5" x14ac:dyDescent="0.35"/>
  <cols>
    <col min="1" max="1" width="7.453125" bestFit="1" customWidth="1"/>
    <col min="2" max="2" width="15.54296875" bestFit="1" customWidth="1"/>
    <col min="3" max="3" width="54.36328125" bestFit="1" customWidth="1"/>
    <col min="4" max="4" width="17.36328125" bestFit="1" customWidth="1"/>
    <col min="5" max="5" width="14.90625" bestFit="1" customWidth="1"/>
    <col min="6" max="6" width="16.36328125" bestFit="1" customWidth="1"/>
    <col min="7" max="7" width="17.08984375" bestFit="1" customWidth="1"/>
    <col min="8" max="8" width="16.54296875" bestFit="1" customWidth="1"/>
    <col min="9" max="9" width="15.36328125" bestFit="1" customWidth="1"/>
    <col min="10" max="10" width="11.7265625" bestFit="1" customWidth="1"/>
  </cols>
  <sheetData>
    <row r="1" spans="1:10" x14ac:dyDescent="0.35">
      <c r="A1" s="461" t="s">
        <v>1</v>
      </c>
      <c r="B1" s="461" t="s">
        <v>17409</v>
      </c>
      <c r="C1" s="461" t="s">
        <v>17410</v>
      </c>
      <c r="D1" s="461" t="s">
        <v>198</v>
      </c>
      <c r="E1" s="461" t="s">
        <v>18</v>
      </c>
      <c r="F1" s="461" t="s">
        <v>19</v>
      </c>
      <c r="G1" s="461" t="s">
        <v>20</v>
      </c>
      <c r="H1" s="461" t="s">
        <v>21</v>
      </c>
      <c r="I1" s="461" t="s">
        <v>22</v>
      </c>
      <c r="J1" s="461" t="s">
        <v>23</v>
      </c>
    </row>
    <row r="2" spans="1:10" hidden="1" x14ac:dyDescent="0.35">
      <c r="A2" s="461" t="s">
        <v>194</v>
      </c>
      <c r="B2" s="461" t="s">
        <v>235</v>
      </c>
      <c r="C2" s="461" t="s">
        <v>31</v>
      </c>
      <c r="D2" s="461"/>
      <c r="E2" s="461"/>
      <c r="F2" s="461"/>
      <c r="G2" s="461">
        <v>0</v>
      </c>
      <c r="H2" s="461">
        <v>22</v>
      </c>
      <c r="I2" s="461">
        <v>24</v>
      </c>
      <c r="J2" s="461">
        <v>128</v>
      </c>
    </row>
    <row r="3" spans="1:10" hidden="1" x14ac:dyDescent="0.35">
      <c r="A3" s="461" t="s">
        <v>194</v>
      </c>
      <c r="B3" s="461" t="s">
        <v>235</v>
      </c>
      <c r="C3" s="461" t="s">
        <v>32</v>
      </c>
      <c r="D3" s="461"/>
      <c r="E3" s="461"/>
      <c r="F3" s="461"/>
      <c r="G3" s="461">
        <v>0</v>
      </c>
      <c r="H3" s="461">
        <v>4</v>
      </c>
      <c r="I3" s="461">
        <v>3</v>
      </c>
      <c r="J3" s="461">
        <v>16</v>
      </c>
    </row>
    <row r="4" spans="1:10" hidden="1" x14ac:dyDescent="0.35">
      <c r="A4" s="461" t="s">
        <v>194</v>
      </c>
      <c r="B4" s="461" t="s">
        <v>235</v>
      </c>
      <c r="C4" s="461" t="s">
        <v>33</v>
      </c>
      <c r="D4" s="461"/>
      <c r="E4" s="461"/>
      <c r="F4" s="461"/>
      <c r="G4" s="461">
        <v>1</v>
      </c>
      <c r="H4" s="461">
        <v>9</v>
      </c>
      <c r="I4" s="461">
        <v>0</v>
      </c>
      <c r="J4" s="461">
        <v>25</v>
      </c>
    </row>
    <row r="5" spans="1:10" hidden="1" x14ac:dyDescent="0.35">
      <c r="A5" s="461" t="s">
        <v>194</v>
      </c>
      <c r="B5" s="461" t="s">
        <v>235</v>
      </c>
      <c r="C5" s="461" t="s">
        <v>34</v>
      </c>
      <c r="D5" s="461"/>
      <c r="E5" s="461"/>
      <c r="F5" s="461"/>
      <c r="G5" s="461">
        <v>2</v>
      </c>
      <c r="H5" s="461">
        <v>15</v>
      </c>
      <c r="I5" s="461">
        <v>10</v>
      </c>
      <c r="J5" s="461">
        <v>31</v>
      </c>
    </row>
    <row r="6" spans="1:10" hidden="1" x14ac:dyDescent="0.35">
      <c r="A6" s="461" t="s">
        <v>194</v>
      </c>
      <c r="B6" s="461" t="s">
        <v>235</v>
      </c>
      <c r="C6" s="461" t="s">
        <v>245</v>
      </c>
      <c r="D6" s="461"/>
      <c r="E6" s="461"/>
      <c r="F6" s="461"/>
      <c r="G6" s="461">
        <v>0</v>
      </c>
      <c r="H6" s="461">
        <v>25</v>
      </c>
      <c r="I6" s="461">
        <v>70</v>
      </c>
      <c r="J6" s="461">
        <v>275</v>
      </c>
    </row>
    <row r="7" spans="1:10" hidden="1" x14ac:dyDescent="0.35">
      <c r="A7" s="461" t="s">
        <v>194</v>
      </c>
      <c r="B7" s="461" t="s">
        <v>235</v>
      </c>
      <c r="C7" s="461" t="s">
        <v>35</v>
      </c>
      <c r="D7" s="461"/>
      <c r="E7" s="461"/>
      <c r="F7" s="461"/>
      <c r="G7" s="461">
        <v>0</v>
      </c>
      <c r="H7" s="461">
        <v>4</v>
      </c>
      <c r="I7" s="461">
        <v>9</v>
      </c>
      <c r="J7" s="461">
        <v>30</v>
      </c>
    </row>
    <row r="8" spans="1:10" hidden="1" x14ac:dyDescent="0.35">
      <c r="A8" s="461" t="s">
        <v>194</v>
      </c>
      <c r="B8" s="461" t="s">
        <v>235</v>
      </c>
      <c r="C8" s="461" t="s">
        <v>36</v>
      </c>
      <c r="D8" s="461"/>
      <c r="E8" s="461"/>
      <c r="F8" s="461"/>
      <c r="G8" s="461">
        <v>0</v>
      </c>
      <c r="H8" s="461">
        <v>5</v>
      </c>
      <c r="I8" s="461">
        <v>11</v>
      </c>
      <c r="J8" s="461">
        <v>53</v>
      </c>
    </row>
    <row r="9" spans="1:10" hidden="1" x14ac:dyDescent="0.35">
      <c r="A9" s="461" t="s">
        <v>194</v>
      </c>
      <c r="B9" s="461" t="s">
        <v>235</v>
      </c>
      <c r="C9" s="461" t="s">
        <v>37</v>
      </c>
      <c r="D9" s="461"/>
      <c r="E9" s="461"/>
      <c r="F9" s="461"/>
      <c r="G9" s="461">
        <v>1</v>
      </c>
      <c r="H9" s="461">
        <v>23</v>
      </c>
      <c r="I9" s="461">
        <v>29</v>
      </c>
      <c r="J9" s="461">
        <v>162</v>
      </c>
    </row>
    <row r="10" spans="1:10" hidden="1" x14ac:dyDescent="0.35">
      <c r="A10" s="461" t="s">
        <v>194</v>
      </c>
      <c r="B10" s="461" t="s">
        <v>235</v>
      </c>
      <c r="C10" s="461" t="s">
        <v>38</v>
      </c>
      <c r="D10" s="461"/>
      <c r="E10" s="461"/>
      <c r="F10" s="461"/>
      <c r="G10" s="461">
        <v>0</v>
      </c>
      <c r="H10" s="461">
        <v>8</v>
      </c>
      <c r="I10" s="461">
        <v>11</v>
      </c>
      <c r="J10" s="461">
        <v>40</v>
      </c>
    </row>
    <row r="11" spans="1:10" hidden="1" x14ac:dyDescent="0.35">
      <c r="A11" s="461" t="s">
        <v>194</v>
      </c>
      <c r="B11" s="461" t="s">
        <v>235</v>
      </c>
      <c r="C11" s="461" t="s">
        <v>39</v>
      </c>
      <c r="D11" s="461"/>
      <c r="E11" s="461"/>
      <c r="F11" s="461"/>
      <c r="G11" s="461">
        <v>0</v>
      </c>
      <c r="H11" s="461">
        <v>14</v>
      </c>
      <c r="I11" s="461">
        <v>15</v>
      </c>
      <c r="J11" s="461">
        <v>45</v>
      </c>
    </row>
    <row r="12" spans="1:10" hidden="1" x14ac:dyDescent="0.35">
      <c r="A12" s="461" t="s">
        <v>194</v>
      </c>
      <c r="B12" s="461" t="s">
        <v>235</v>
      </c>
      <c r="C12" s="461" t="s">
        <v>40</v>
      </c>
      <c r="D12" s="461"/>
      <c r="E12" s="461"/>
      <c r="F12" s="461"/>
      <c r="G12" s="461">
        <v>0</v>
      </c>
      <c r="H12" s="461">
        <v>3</v>
      </c>
      <c r="I12" s="461">
        <v>5</v>
      </c>
      <c r="J12" s="461">
        <v>21</v>
      </c>
    </row>
    <row r="13" spans="1:10" hidden="1" x14ac:dyDescent="0.35">
      <c r="A13" s="461" t="s">
        <v>194</v>
      </c>
      <c r="B13" s="461" t="s">
        <v>235</v>
      </c>
      <c r="C13" s="461" t="s">
        <v>41</v>
      </c>
      <c r="D13" s="461"/>
      <c r="E13" s="461"/>
      <c r="F13" s="461"/>
      <c r="G13" s="461">
        <v>0</v>
      </c>
      <c r="H13" s="461">
        <v>11</v>
      </c>
      <c r="I13" s="461">
        <v>14</v>
      </c>
      <c r="J13" s="461">
        <v>34</v>
      </c>
    </row>
    <row r="14" spans="1:10" hidden="1" x14ac:dyDescent="0.35">
      <c r="A14" s="461" t="s">
        <v>194</v>
      </c>
      <c r="B14" s="461" t="s">
        <v>235</v>
      </c>
      <c r="C14" s="461" t="s">
        <v>42</v>
      </c>
      <c r="D14" s="461"/>
      <c r="E14" s="461"/>
      <c r="F14" s="461"/>
      <c r="G14" s="461">
        <v>1</v>
      </c>
      <c r="H14" s="461">
        <v>12</v>
      </c>
      <c r="I14" s="461">
        <v>18</v>
      </c>
      <c r="J14" s="461">
        <v>65</v>
      </c>
    </row>
    <row r="15" spans="1:10" hidden="1" x14ac:dyDescent="0.35">
      <c r="A15" s="461" t="s">
        <v>194</v>
      </c>
      <c r="B15" s="461" t="s">
        <v>235</v>
      </c>
      <c r="C15" s="461" t="s">
        <v>43</v>
      </c>
      <c r="D15" s="461"/>
      <c r="E15" s="461"/>
      <c r="F15" s="461"/>
      <c r="G15" s="461">
        <v>0</v>
      </c>
      <c r="H15" s="461">
        <v>23</v>
      </c>
      <c r="I15" s="461">
        <v>58</v>
      </c>
      <c r="J15" s="461">
        <v>208</v>
      </c>
    </row>
    <row r="16" spans="1:10" hidden="1" x14ac:dyDescent="0.35">
      <c r="A16" s="461" t="s">
        <v>194</v>
      </c>
      <c r="B16" s="461" t="s">
        <v>235</v>
      </c>
      <c r="C16" s="461" t="s">
        <v>114</v>
      </c>
      <c r="D16" s="461"/>
      <c r="E16" s="461"/>
      <c r="F16" s="461"/>
      <c r="G16" s="461">
        <v>0</v>
      </c>
      <c r="H16" s="461">
        <v>68</v>
      </c>
      <c r="I16" s="461">
        <v>119</v>
      </c>
      <c r="J16" s="461">
        <v>373</v>
      </c>
    </row>
    <row r="17" spans="1:10" hidden="1" x14ac:dyDescent="0.35">
      <c r="A17" s="461" t="s">
        <v>194</v>
      </c>
      <c r="B17" s="461" t="s">
        <v>235</v>
      </c>
      <c r="C17" s="461" t="s">
        <v>44</v>
      </c>
      <c r="D17" s="461"/>
      <c r="E17" s="461"/>
      <c r="F17" s="461"/>
      <c r="G17" s="461">
        <v>2</v>
      </c>
      <c r="H17" s="461">
        <v>10</v>
      </c>
      <c r="I17" s="461">
        <v>9</v>
      </c>
      <c r="J17" s="461">
        <v>60</v>
      </c>
    </row>
    <row r="18" spans="1:10" hidden="1" x14ac:dyDescent="0.35">
      <c r="A18" s="461" t="s">
        <v>194</v>
      </c>
      <c r="B18" s="461" t="s">
        <v>235</v>
      </c>
      <c r="C18" s="461" t="s">
        <v>45</v>
      </c>
      <c r="D18" s="461"/>
      <c r="E18" s="461"/>
      <c r="F18" s="461"/>
      <c r="G18" s="461">
        <v>0</v>
      </c>
      <c r="H18" s="461">
        <v>11</v>
      </c>
      <c r="I18" s="461">
        <v>18</v>
      </c>
      <c r="J18" s="461">
        <v>49</v>
      </c>
    </row>
    <row r="19" spans="1:10" hidden="1" x14ac:dyDescent="0.35">
      <c r="A19" s="461" t="s">
        <v>194</v>
      </c>
      <c r="B19" s="461" t="s">
        <v>235</v>
      </c>
      <c r="C19" s="461" t="s">
        <v>46</v>
      </c>
      <c r="D19" s="461"/>
      <c r="E19" s="461"/>
      <c r="F19" s="461"/>
      <c r="G19" s="461">
        <v>0</v>
      </c>
      <c r="H19" s="461">
        <v>5</v>
      </c>
      <c r="I19" s="461">
        <v>4</v>
      </c>
      <c r="J19" s="461">
        <v>26</v>
      </c>
    </row>
    <row r="20" spans="1:10" hidden="1" x14ac:dyDescent="0.35">
      <c r="A20" s="461" t="s">
        <v>194</v>
      </c>
      <c r="B20" s="461" t="s">
        <v>235</v>
      </c>
      <c r="C20" s="461" t="s">
        <v>47</v>
      </c>
      <c r="D20" s="461"/>
      <c r="E20" s="461"/>
      <c r="F20" s="461"/>
      <c r="G20" s="461">
        <v>0</v>
      </c>
      <c r="H20" s="461">
        <v>3</v>
      </c>
      <c r="I20" s="461">
        <v>2</v>
      </c>
      <c r="J20" s="461">
        <v>15</v>
      </c>
    </row>
    <row r="21" spans="1:10" hidden="1" x14ac:dyDescent="0.35">
      <c r="A21" s="461" t="s">
        <v>194</v>
      </c>
      <c r="B21" s="461" t="s">
        <v>235</v>
      </c>
      <c r="C21" s="461" t="s">
        <v>48</v>
      </c>
      <c r="G21">
        <v>0</v>
      </c>
      <c r="H21">
        <v>0</v>
      </c>
      <c r="I21">
        <v>0</v>
      </c>
      <c r="J21">
        <v>0</v>
      </c>
    </row>
    <row r="22" spans="1:10" hidden="1" x14ac:dyDescent="0.35">
      <c r="A22" s="461" t="s">
        <v>194</v>
      </c>
      <c r="B22" s="461" t="s">
        <v>235</v>
      </c>
      <c r="C22" s="461" t="s">
        <v>49</v>
      </c>
      <c r="G22">
        <v>0</v>
      </c>
      <c r="H22">
        <v>13</v>
      </c>
      <c r="I22">
        <v>13</v>
      </c>
      <c r="J22">
        <v>50</v>
      </c>
    </row>
    <row r="23" spans="1:10" hidden="1" x14ac:dyDescent="0.35">
      <c r="A23" s="461" t="s">
        <v>194</v>
      </c>
      <c r="B23" s="461" t="s">
        <v>235</v>
      </c>
      <c r="C23" s="461" t="s">
        <v>50</v>
      </c>
      <c r="G23">
        <v>1</v>
      </c>
      <c r="H23">
        <v>24</v>
      </c>
      <c r="I23">
        <v>34</v>
      </c>
      <c r="J23">
        <v>129</v>
      </c>
    </row>
    <row r="24" spans="1:10" hidden="1" x14ac:dyDescent="0.35">
      <c r="A24" s="461" t="s">
        <v>194</v>
      </c>
      <c r="B24" s="461" t="s">
        <v>235</v>
      </c>
      <c r="C24" s="461" t="s">
        <v>51</v>
      </c>
      <c r="G24">
        <v>0</v>
      </c>
      <c r="H24">
        <v>0</v>
      </c>
      <c r="I24">
        <v>0</v>
      </c>
      <c r="J24">
        <v>0</v>
      </c>
    </row>
    <row r="25" spans="1:10" hidden="1" x14ac:dyDescent="0.35">
      <c r="A25" s="461" t="s">
        <v>194</v>
      </c>
      <c r="B25" s="461" t="s">
        <v>235</v>
      </c>
      <c r="C25" s="461" t="s">
        <v>52</v>
      </c>
      <c r="G25">
        <v>2</v>
      </c>
      <c r="H25">
        <v>11</v>
      </c>
      <c r="I25">
        <v>14</v>
      </c>
      <c r="J25">
        <v>61</v>
      </c>
    </row>
    <row r="26" spans="1:10" hidden="1" x14ac:dyDescent="0.35">
      <c r="A26" s="461" t="s">
        <v>194</v>
      </c>
      <c r="B26" s="461" t="s">
        <v>235</v>
      </c>
      <c r="C26" s="461" t="s">
        <v>53</v>
      </c>
      <c r="G26">
        <v>1</v>
      </c>
      <c r="H26">
        <v>19</v>
      </c>
      <c r="I26">
        <v>22</v>
      </c>
      <c r="J26">
        <v>74</v>
      </c>
    </row>
    <row r="27" spans="1:10" hidden="1" x14ac:dyDescent="0.35">
      <c r="A27" s="461" t="s">
        <v>194</v>
      </c>
      <c r="B27" s="461" t="s">
        <v>235</v>
      </c>
      <c r="C27" s="461" t="s">
        <v>54</v>
      </c>
      <c r="G27">
        <v>0</v>
      </c>
      <c r="H27">
        <v>10</v>
      </c>
      <c r="I27">
        <v>11</v>
      </c>
      <c r="J27">
        <v>54</v>
      </c>
    </row>
    <row r="28" spans="1:10" hidden="1" x14ac:dyDescent="0.35">
      <c r="A28" s="461" t="s">
        <v>194</v>
      </c>
      <c r="B28" s="461" t="s">
        <v>235</v>
      </c>
      <c r="C28" s="461" t="s">
        <v>55</v>
      </c>
      <c r="G28">
        <v>0</v>
      </c>
      <c r="H28">
        <v>0</v>
      </c>
      <c r="I28">
        <v>0</v>
      </c>
      <c r="J28">
        <v>0</v>
      </c>
    </row>
    <row r="29" spans="1:10" hidden="1" x14ac:dyDescent="0.35">
      <c r="A29" s="461" t="s">
        <v>194</v>
      </c>
      <c r="B29" s="461" t="s">
        <v>235</v>
      </c>
      <c r="C29" s="461" t="s">
        <v>56</v>
      </c>
      <c r="G29">
        <v>0</v>
      </c>
      <c r="H29">
        <v>8</v>
      </c>
      <c r="I29">
        <v>10</v>
      </c>
      <c r="J29">
        <v>47</v>
      </c>
    </row>
    <row r="30" spans="1:10" hidden="1" x14ac:dyDescent="0.35">
      <c r="A30" s="461" t="s">
        <v>194</v>
      </c>
      <c r="B30" s="461" t="s">
        <v>235</v>
      </c>
      <c r="C30" s="461" t="s">
        <v>57</v>
      </c>
      <c r="G30">
        <v>2</v>
      </c>
      <c r="H30">
        <v>26</v>
      </c>
      <c r="I30">
        <v>33</v>
      </c>
      <c r="J30">
        <v>129</v>
      </c>
    </row>
    <row r="31" spans="1:10" hidden="1" x14ac:dyDescent="0.35">
      <c r="A31" s="461" t="s">
        <v>194</v>
      </c>
      <c r="B31" s="461" t="s">
        <v>235</v>
      </c>
      <c r="C31" s="461" t="s">
        <v>58</v>
      </c>
      <c r="G31">
        <v>0</v>
      </c>
      <c r="H31">
        <v>10</v>
      </c>
      <c r="I31">
        <v>10</v>
      </c>
      <c r="J31">
        <v>42</v>
      </c>
    </row>
    <row r="32" spans="1:10" hidden="1" x14ac:dyDescent="0.35">
      <c r="A32" s="461" t="s">
        <v>194</v>
      </c>
      <c r="B32" s="461" t="s">
        <v>235</v>
      </c>
      <c r="C32" s="461" t="s">
        <v>59</v>
      </c>
      <c r="G32">
        <v>0</v>
      </c>
      <c r="H32">
        <v>10</v>
      </c>
      <c r="I32">
        <v>18</v>
      </c>
      <c r="J32">
        <v>52</v>
      </c>
    </row>
    <row r="33" spans="1:10" hidden="1" x14ac:dyDescent="0.35">
      <c r="A33" s="461" t="s">
        <v>194</v>
      </c>
      <c r="B33" s="461" t="s">
        <v>235</v>
      </c>
      <c r="C33" s="461" t="s">
        <v>60</v>
      </c>
      <c r="G33">
        <v>0</v>
      </c>
      <c r="H33">
        <v>10</v>
      </c>
      <c r="I33">
        <v>14</v>
      </c>
      <c r="J33">
        <v>61</v>
      </c>
    </row>
    <row r="34" spans="1:10" hidden="1" x14ac:dyDescent="0.35">
      <c r="A34" s="461" t="s">
        <v>194</v>
      </c>
      <c r="B34" s="461" t="s">
        <v>236</v>
      </c>
      <c r="C34" s="461" t="s">
        <v>31</v>
      </c>
      <c r="E34">
        <v>1</v>
      </c>
      <c r="F34">
        <v>7</v>
      </c>
      <c r="G34">
        <v>6</v>
      </c>
      <c r="H34">
        <v>8</v>
      </c>
      <c r="I34">
        <v>0</v>
      </c>
      <c r="J34">
        <v>1</v>
      </c>
    </row>
    <row r="35" spans="1:10" hidden="1" x14ac:dyDescent="0.35">
      <c r="A35" s="461" t="s">
        <v>194</v>
      </c>
      <c r="B35" s="461" t="s">
        <v>236</v>
      </c>
      <c r="C35" s="461" t="s">
        <v>63</v>
      </c>
      <c r="E35">
        <v>1</v>
      </c>
      <c r="F35">
        <v>2</v>
      </c>
      <c r="G35">
        <v>4</v>
      </c>
      <c r="H35">
        <v>8</v>
      </c>
      <c r="I35">
        <v>0</v>
      </c>
      <c r="J35">
        <v>0</v>
      </c>
    </row>
    <row r="36" spans="1:10" hidden="1" x14ac:dyDescent="0.35">
      <c r="A36" s="461" t="s">
        <v>194</v>
      </c>
      <c r="B36" s="461" t="s">
        <v>236</v>
      </c>
      <c r="C36" s="461" t="s">
        <v>64</v>
      </c>
      <c r="E36">
        <v>1</v>
      </c>
      <c r="F36">
        <v>3</v>
      </c>
      <c r="G36">
        <v>6</v>
      </c>
      <c r="H36">
        <v>10</v>
      </c>
      <c r="I36">
        <v>1</v>
      </c>
      <c r="J36">
        <v>1</v>
      </c>
    </row>
    <row r="37" spans="1:10" hidden="1" x14ac:dyDescent="0.35">
      <c r="A37" s="461" t="s">
        <v>194</v>
      </c>
      <c r="B37" s="461" t="s">
        <v>236</v>
      </c>
      <c r="C37" s="461" t="s">
        <v>36</v>
      </c>
      <c r="E37">
        <v>0</v>
      </c>
      <c r="F37">
        <v>2</v>
      </c>
      <c r="G37">
        <v>5</v>
      </c>
      <c r="H37">
        <v>9</v>
      </c>
      <c r="I37">
        <v>0</v>
      </c>
      <c r="J37">
        <v>0</v>
      </c>
    </row>
    <row r="38" spans="1:10" hidden="1" x14ac:dyDescent="0.35">
      <c r="A38" s="461" t="s">
        <v>194</v>
      </c>
      <c r="B38" s="461" t="s">
        <v>236</v>
      </c>
      <c r="C38" s="461" t="s">
        <v>65</v>
      </c>
      <c r="E38">
        <v>1</v>
      </c>
      <c r="F38">
        <v>3</v>
      </c>
      <c r="G38">
        <v>5</v>
      </c>
      <c r="H38">
        <v>2</v>
      </c>
      <c r="I38">
        <v>0</v>
      </c>
      <c r="J38">
        <v>0</v>
      </c>
    </row>
    <row r="39" spans="1:10" hidden="1" x14ac:dyDescent="0.35">
      <c r="A39" s="461" t="s">
        <v>194</v>
      </c>
      <c r="B39" s="461" t="s">
        <v>236</v>
      </c>
      <c r="C39" s="461" t="s">
        <v>66</v>
      </c>
      <c r="E39">
        <v>1</v>
      </c>
      <c r="F39">
        <v>7</v>
      </c>
      <c r="G39">
        <v>0</v>
      </c>
      <c r="H39">
        <v>8</v>
      </c>
      <c r="I39">
        <v>0</v>
      </c>
      <c r="J39">
        <v>5</v>
      </c>
    </row>
    <row r="40" spans="1:10" hidden="1" x14ac:dyDescent="0.35">
      <c r="A40" s="461" t="s">
        <v>194</v>
      </c>
      <c r="B40" s="461" t="s">
        <v>236</v>
      </c>
      <c r="C40" s="461" t="s">
        <v>67</v>
      </c>
      <c r="E40">
        <v>1</v>
      </c>
      <c r="F40">
        <v>3</v>
      </c>
      <c r="G40">
        <v>5</v>
      </c>
      <c r="H40">
        <v>2</v>
      </c>
      <c r="I40">
        <v>0</v>
      </c>
      <c r="J40">
        <v>1</v>
      </c>
    </row>
    <row r="41" spans="1:10" hidden="1" x14ac:dyDescent="0.35">
      <c r="A41" s="461" t="s">
        <v>194</v>
      </c>
      <c r="B41" s="461" t="s">
        <v>236</v>
      </c>
      <c r="C41" s="461" t="s">
        <v>68</v>
      </c>
      <c r="E41">
        <v>1</v>
      </c>
      <c r="F41">
        <v>9</v>
      </c>
      <c r="G41">
        <v>7</v>
      </c>
      <c r="H41">
        <v>6</v>
      </c>
      <c r="I41">
        <v>0</v>
      </c>
      <c r="J41">
        <v>0</v>
      </c>
    </row>
    <row r="42" spans="1:10" hidden="1" x14ac:dyDescent="0.35">
      <c r="A42" s="461" t="s">
        <v>194</v>
      </c>
      <c r="B42" s="461" t="s">
        <v>236</v>
      </c>
      <c r="C42" s="461" t="s">
        <v>167</v>
      </c>
      <c r="E42">
        <v>2</v>
      </c>
      <c r="F42">
        <v>9</v>
      </c>
      <c r="G42">
        <v>3</v>
      </c>
      <c r="H42">
        <v>7</v>
      </c>
      <c r="I42">
        <v>3</v>
      </c>
      <c r="J42">
        <v>2</v>
      </c>
    </row>
    <row r="43" spans="1:10" hidden="1" x14ac:dyDescent="0.35">
      <c r="A43" s="461" t="s">
        <v>194</v>
      </c>
      <c r="B43" s="461" t="s">
        <v>236</v>
      </c>
      <c r="C43" s="461" t="s">
        <v>69</v>
      </c>
      <c r="E43">
        <v>1</v>
      </c>
      <c r="F43">
        <v>2</v>
      </c>
      <c r="G43">
        <v>2</v>
      </c>
      <c r="H43">
        <v>6</v>
      </c>
      <c r="I43">
        <v>0</v>
      </c>
      <c r="J43">
        <v>2</v>
      </c>
    </row>
    <row r="44" spans="1:10" hidden="1" x14ac:dyDescent="0.35">
      <c r="A44" s="461" t="s">
        <v>194</v>
      </c>
      <c r="B44" s="461" t="s">
        <v>236</v>
      </c>
      <c r="C44" s="461" t="s">
        <v>43</v>
      </c>
      <c r="E44">
        <v>1</v>
      </c>
      <c r="F44">
        <v>3</v>
      </c>
      <c r="G44">
        <v>6</v>
      </c>
      <c r="H44">
        <v>11</v>
      </c>
      <c r="I44">
        <v>0</v>
      </c>
      <c r="J44">
        <v>0</v>
      </c>
    </row>
    <row r="45" spans="1:10" hidden="1" x14ac:dyDescent="0.35">
      <c r="A45" s="461" t="s">
        <v>194</v>
      </c>
      <c r="B45" s="461" t="s">
        <v>236</v>
      </c>
      <c r="C45" s="461" t="s">
        <v>114</v>
      </c>
      <c r="E45">
        <v>1</v>
      </c>
      <c r="F45">
        <v>4</v>
      </c>
      <c r="G45">
        <v>10</v>
      </c>
      <c r="H45">
        <v>10</v>
      </c>
      <c r="I45">
        <v>0</v>
      </c>
      <c r="J45">
        <v>3</v>
      </c>
    </row>
    <row r="46" spans="1:10" hidden="1" x14ac:dyDescent="0.35">
      <c r="A46" s="461" t="s">
        <v>194</v>
      </c>
      <c r="B46" s="461" t="s">
        <v>236</v>
      </c>
      <c r="C46" s="461" t="s">
        <v>70</v>
      </c>
      <c r="E46">
        <v>1</v>
      </c>
      <c r="F46">
        <v>4</v>
      </c>
      <c r="G46">
        <v>7</v>
      </c>
      <c r="H46">
        <v>1</v>
      </c>
      <c r="I46">
        <v>0</v>
      </c>
      <c r="J46">
        <v>0</v>
      </c>
    </row>
    <row r="47" spans="1:10" hidden="1" x14ac:dyDescent="0.35">
      <c r="A47" s="461" t="s">
        <v>194</v>
      </c>
      <c r="B47" s="461" t="s">
        <v>236</v>
      </c>
      <c r="C47" s="461" t="s">
        <v>50</v>
      </c>
      <c r="E47">
        <v>1</v>
      </c>
      <c r="F47">
        <v>2</v>
      </c>
      <c r="G47">
        <v>6</v>
      </c>
      <c r="H47">
        <v>4</v>
      </c>
      <c r="I47">
        <v>1</v>
      </c>
      <c r="J47">
        <v>0</v>
      </c>
    </row>
    <row r="48" spans="1:10" hidden="1" x14ac:dyDescent="0.35">
      <c r="A48" s="461" t="s">
        <v>194</v>
      </c>
      <c r="B48" s="461" t="s">
        <v>236</v>
      </c>
      <c r="C48" s="461" t="s">
        <v>57</v>
      </c>
      <c r="E48">
        <v>1</v>
      </c>
      <c r="F48">
        <v>3</v>
      </c>
      <c r="G48">
        <v>4</v>
      </c>
      <c r="H48">
        <v>2</v>
      </c>
      <c r="I48">
        <v>0</v>
      </c>
      <c r="J48">
        <v>0</v>
      </c>
    </row>
    <row r="49" spans="1:10" hidden="1" x14ac:dyDescent="0.35">
      <c r="A49" s="461" t="s">
        <v>194</v>
      </c>
      <c r="B49" s="461" t="s">
        <v>236</v>
      </c>
      <c r="C49" s="461" t="s">
        <v>17412</v>
      </c>
      <c r="E49">
        <v>1</v>
      </c>
      <c r="F49">
        <v>3</v>
      </c>
      <c r="G49">
        <v>4</v>
      </c>
      <c r="H49">
        <v>0</v>
      </c>
      <c r="I49">
        <v>0</v>
      </c>
      <c r="J49">
        <v>0</v>
      </c>
    </row>
    <row r="50" spans="1:10" hidden="1" x14ac:dyDescent="0.35">
      <c r="A50" s="461" t="s">
        <v>194</v>
      </c>
      <c r="B50" s="461" t="s">
        <v>236</v>
      </c>
      <c r="C50" s="461" t="s">
        <v>71</v>
      </c>
      <c r="E50">
        <v>1</v>
      </c>
      <c r="F50">
        <v>3</v>
      </c>
      <c r="G50">
        <v>5</v>
      </c>
      <c r="H50">
        <v>0</v>
      </c>
      <c r="I50">
        <v>0</v>
      </c>
      <c r="J50">
        <v>0</v>
      </c>
    </row>
    <row r="51" spans="1:10" hidden="1" x14ac:dyDescent="0.35">
      <c r="A51" s="461" t="s">
        <v>194</v>
      </c>
      <c r="B51" s="461" t="s">
        <v>237</v>
      </c>
      <c r="C51" s="461" t="s">
        <v>166</v>
      </c>
      <c r="D51">
        <v>1</v>
      </c>
      <c r="E51">
        <v>1</v>
      </c>
      <c r="F51">
        <v>3</v>
      </c>
      <c r="G51">
        <v>15</v>
      </c>
      <c r="H51">
        <v>49</v>
      </c>
      <c r="I51">
        <v>8</v>
      </c>
      <c r="J51">
        <v>3</v>
      </c>
    </row>
    <row r="52" spans="1:10" hidden="1" x14ac:dyDescent="0.35">
      <c r="A52" s="461" t="s">
        <v>194</v>
      </c>
      <c r="B52" s="461" t="s">
        <v>237</v>
      </c>
      <c r="C52" s="461" t="s">
        <v>164</v>
      </c>
      <c r="D52">
        <v>1</v>
      </c>
      <c r="E52">
        <v>2</v>
      </c>
      <c r="F52">
        <v>9</v>
      </c>
      <c r="G52">
        <v>10</v>
      </c>
      <c r="H52">
        <v>30</v>
      </c>
      <c r="I52">
        <v>24</v>
      </c>
      <c r="J52">
        <v>1</v>
      </c>
    </row>
    <row r="53" spans="1:10" hidden="1" x14ac:dyDescent="0.35">
      <c r="A53" s="461" t="s">
        <v>194</v>
      </c>
      <c r="B53" s="461" t="s">
        <v>237</v>
      </c>
      <c r="C53" s="461" t="s">
        <v>165</v>
      </c>
      <c r="D53">
        <v>1</v>
      </c>
      <c r="E53">
        <v>3</v>
      </c>
      <c r="F53">
        <v>12</v>
      </c>
      <c r="G53">
        <v>8</v>
      </c>
      <c r="H53">
        <v>79</v>
      </c>
      <c r="I53">
        <v>8</v>
      </c>
      <c r="J53">
        <v>0</v>
      </c>
    </row>
    <row r="54" spans="1:10" hidden="1" x14ac:dyDescent="0.35">
      <c r="A54" s="461" t="s">
        <v>194</v>
      </c>
      <c r="B54" s="461" t="s">
        <v>238</v>
      </c>
      <c r="C54" s="461" t="s">
        <v>246</v>
      </c>
      <c r="D54">
        <v>6</v>
      </c>
      <c r="E54">
        <v>5</v>
      </c>
      <c r="F54">
        <v>22</v>
      </c>
      <c r="G54">
        <v>5</v>
      </c>
      <c r="H54">
        <v>11</v>
      </c>
      <c r="I54">
        <v>7</v>
      </c>
      <c r="J54">
        <v>0</v>
      </c>
    </row>
    <row r="55" spans="1:10" hidden="1" x14ac:dyDescent="0.35">
      <c r="A55" s="461" t="s">
        <v>193</v>
      </c>
      <c r="B55" s="461" t="s">
        <v>235</v>
      </c>
      <c r="C55" s="461" t="s">
        <v>31</v>
      </c>
      <c r="G55">
        <v>0</v>
      </c>
      <c r="H55">
        <v>26</v>
      </c>
      <c r="I55">
        <v>25</v>
      </c>
      <c r="J55">
        <v>122</v>
      </c>
    </row>
    <row r="56" spans="1:10" hidden="1" x14ac:dyDescent="0.35">
      <c r="A56" s="461" t="s">
        <v>193</v>
      </c>
      <c r="B56" s="461" t="s">
        <v>235</v>
      </c>
      <c r="C56" s="461" t="s">
        <v>32</v>
      </c>
      <c r="G56">
        <v>0</v>
      </c>
      <c r="H56">
        <v>2</v>
      </c>
      <c r="I56">
        <v>3</v>
      </c>
      <c r="J56">
        <v>18</v>
      </c>
    </row>
    <row r="57" spans="1:10" hidden="1" x14ac:dyDescent="0.35">
      <c r="A57" s="461" t="s">
        <v>193</v>
      </c>
      <c r="B57" s="461" t="s">
        <v>235</v>
      </c>
      <c r="C57" s="461" t="s">
        <v>33</v>
      </c>
      <c r="G57">
        <v>1</v>
      </c>
      <c r="H57">
        <v>4</v>
      </c>
      <c r="I57">
        <v>0</v>
      </c>
      <c r="J57">
        <v>22</v>
      </c>
    </row>
    <row r="58" spans="1:10" hidden="1" x14ac:dyDescent="0.35">
      <c r="A58" s="461" t="s">
        <v>193</v>
      </c>
      <c r="B58" s="461" t="s">
        <v>235</v>
      </c>
      <c r="C58" s="461" t="s">
        <v>34</v>
      </c>
      <c r="G58">
        <v>2</v>
      </c>
      <c r="H58">
        <v>15</v>
      </c>
      <c r="I58">
        <v>10</v>
      </c>
      <c r="J58">
        <v>27</v>
      </c>
    </row>
    <row r="59" spans="1:10" hidden="1" x14ac:dyDescent="0.35">
      <c r="A59" s="461" t="s">
        <v>193</v>
      </c>
      <c r="B59" s="461" t="s">
        <v>235</v>
      </c>
      <c r="C59" s="461" t="s">
        <v>245</v>
      </c>
      <c r="G59">
        <v>1</v>
      </c>
      <c r="H59">
        <v>26</v>
      </c>
      <c r="I59">
        <v>64</v>
      </c>
      <c r="J59">
        <v>257</v>
      </c>
    </row>
    <row r="60" spans="1:10" hidden="1" x14ac:dyDescent="0.35">
      <c r="A60" s="461" t="s">
        <v>193</v>
      </c>
      <c r="B60" s="461" t="s">
        <v>235</v>
      </c>
      <c r="C60" s="461" t="s">
        <v>35</v>
      </c>
      <c r="G60">
        <v>0</v>
      </c>
      <c r="H60">
        <v>4</v>
      </c>
      <c r="I60">
        <v>8</v>
      </c>
      <c r="J60">
        <v>25</v>
      </c>
    </row>
    <row r="61" spans="1:10" hidden="1" x14ac:dyDescent="0.35">
      <c r="A61" s="461" t="s">
        <v>193</v>
      </c>
      <c r="B61" s="461" t="s">
        <v>235</v>
      </c>
      <c r="C61" s="461" t="s">
        <v>36</v>
      </c>
      <c r="G61">
        <v>0</v>
      </c>
      <c r="H61">
        <v>6</v>
      </c>
      <c r="I61">
        <v>11</v>
      </c>
      <c r="J61">
        <v>52</v>
      </c>
    </row>
    <row r="62" spans="1:10" hidden="1" x14ac:dyDescent="0.35">
      <c r="A62" s="461" t="s">
        <v>193</v>
      </c>
      <c r="B62" s="461" t="s">
        <v>235</v>
      </c>
      <c r="C62" s="461" t="s">
        <v>37</v>
      </c>
      <c r="G62">
        <v>1</v>
      </c>
      <c r="H62">
        <v>21</v>
      </c>
      <c r="I62">
        <v>27</v>
      </c>
      <c r="J62">
        <v>158</v>
      </c>
    </row>
    <row r="63" spans="1:10" hidden="1" x14ac:dyDescent="0.35">
      <c r="A63" s="461" t="s">
        <v>193</v>
      </c>
      <c r="B63" s="461" t="s">
        <v>235</v>
      </c>
      <c r="C63" s="461" t="s">
        <v>38</v>
      </c>
      <c r="G63">
        <v>0</v>
      </c>
      <c r="H63">
        <v>8</v>
      </c>
      <c r="I63">
        <v>9</v>
      </c>
      <c r="J63">
        <v>39</v>
      </c>
    </row>
    <row r="64" spans="1:10" hidden="1" x14ac:dyDescent="0.35">
      <c r="A64" s="461" t="s">
        <v>193</v>
      </c>
      <c r="B64" s="461" t="s">
        <v>235</v>
      </c>
      <c r="C64" s="461" t="s">
        <v>39</v>
      </c>
      <c r="G64">
        <v>0</v>
      </c>
      <c r="H64">
        <v>14</v>
      </c>
      <c r="I64">
        <v>14</v>
      </c>
      <c r="J64">
        <v>44</v>
      </c>
    </row>
    <row r="65" spans="1:10" hidden="1" x14ac:dyDescent="0.35">
      <c r="A65" s="461" t="s">
        <v>193</v>
      </c>
      <c r="B65" s="461" t="s">
        <v>235</v>
      </c>
      <c r="C65" s="461" t="s">
        <v>40</v>
      </c>
      <c r="G65">
        <v>0</v>
      </c>
      <c r="H65">
        <v>4</v>
      </c>
      <c r="I65">
        <v>3</v>
      </c>
      <c r="J65">
        <v>21</v>
      </c>
    </row>
    <row r="66" spans="1:10" hidden="1" x14ac:dyDescent="0.35">
      <c r="A66" s="461" t="s">
        <v>193</v>
      </c>
      <c r="B66" s="461" t="s">
        <v>235</v>
      </c>
      <c r="C66" s="461" t="s">
        <v>41</v>
      </c>
      <c r="G66">
        <v>0</v>
      </c>
      <c r="H66">
        <v>9</v>
      </c>
      <c r="I66">
        <v>13</v>
      </c>
      <c r="J66">
        <v>35</v>
      </c>
    </row>
    <row r="67" spans="1:10" hidden="1" x14ac:dyDescent="0.35">
      <c r="A67" s="461" t="s">
        <v>193</v>
      </c>
      <c r="B67" s="461" t="s">
        <v>235</v>
      </c>
      <c r="C67" s="461" t="s">
        <v>42</v>
      </c>
      <c r="G67">
        <v>2</v>
      </c>
      <c r="H67">
        <v>15</v>
      </c>
      <c r="I67">
        <v>17</v>
      </c>
      <c r="J67">
        <v>60</v>
      </c>
    </row>
    <row r="68" spans="1:10" hidden="1" x14ac:dyDescent="0.35">
      <c r="A68" s="461" t="s">
        <v>193</v>
      </c>
      <c r="B68" s="461" t="s">
        <v>235</v>
      </c>
      <c r="C68" s="461" t="s">
        <v>43</v>
      </c>
      <c r="G68">
        <v>0</v>
      </c>
      <c r="H68">
        <v>25</v>
      </c>
      <c r="I68">
        <v>54</v>
      </c>
      <c r="J68">
        <v>209</v>
      </c>
    </row>
    <row r="69" spans="1:10" hidden="1" x14ac:dyDescent="0.35">
      <c r="A69" s="461" t="s">
        <v>193</v>
      </c>
      <c r="B69" s="461" t="s">
        <v>235</v>
      </c>
      <c r="C69" s="461" t="s">
        <v>114</v>
      </c>
      <c r="G69">
        <v>1</v>
      </c>
      <c r="H69">
        <v>65</v>
      </c>
      <c r="I69">
        <v>116</v>
      </c>
      <c r="J69">
        <v>362</v>
      </c>
    </row>
    <row r="70" spans="1:10" hidden="1" x14ac:dyDescent="0.35">
      <c r="A70" s="461" t="s">
        <v>193</v>
      </c>
      <c r="B70" s="461" t="s">
        <v>235</v>
      </c>
      <c r="C70" s="461" t="s">
        <v>44</v>
      </c>
      <c r="G70">
        <v>1</v>
      </c>
      <c r="H70">
        <v>12</v>
      </c>
      <c r="I70">
        <v>11</v>
      </c>
      <c r="J70">
        <v>57</v>
      </c>
    </row>
    <row r="71" spans="1:10" hidden="1" x14ac:dyDescent="0.35">
      <c r="A71" s="461" t="s">
        <v>193</v>
      </c>
      <c r="B71" s="461" t="s">
        <v>235</v>
      </c>
      <c r="C71" s="461" t="s">
        <v>45</v>
      </c>
      <c r="G71">
        <v>0</v>
      </c>
      <c r="H71">
        <v>12</v>
      </c>
      <c r="I71">
        <v>16</v>
      </c>
      <c r="J71">
        <v>49</v>
      </c>
    </row>
    <row r="72" spans="1:10" hidden="1" x14ac:dyDescent="0.35">
      <c r="A72" s="461" t="s">
        <v>193</v>
      </c>
      <c r="B72" s="461" t="s">
        <v>235</v>
      </c>
      <c r="C72" s="461" t="s">
        <v>46</v>
      </c>
      <c r="G72">
        <v>0</v>
      </c>
      <c r="H72">
        <v>5</v>
      </c>
      <c r="I72">
        <v>4</v>
      </c>
      <c r="J72">
        <v>26</v>
      </c>
    </row>
    <row r="73" spans="1:10" hidden="1" x14ac:dyDescent="0.35">
      <c r="A73" s="461" t="s">
        <v>193</v>
      </c>
      <c r="B73" s="461" t="s">
        <v>235</v>
      </c>
      <c r="C73" s="461" t="s">
        <v>47</v>
      </c>
      <c r="G73">
        <v>0</v>
      </c>
      <c r="H73">
        <v>4</v>
      </c>
      <c r="I73">
        <v>3</v>
      </c>
      <c r="J73">
        <v>14</v>
      </c>
    </row>
    <row r="74" spans="1:10" hidden="1" x14ac:dyDescent="0.35">
      <c r="A74" s="461" t="s">
        <v>193</v>
      </c>
      <c r="B74" s="461" t="s">
        <v>235</v>
      </c>
      <c r="C74" s="461" t="s">
        <v>48</v>
      </c>
      <c r="G74">
        <v>0</v>
      </c>
      <c r="H74">
        <v>0</v>
      </c>
      <c r="I74">
        <v>0</v>
      </c>
      <c r="J74">
        <v>0</v>
      </c>
    </row>
    <row r="75" spans="1:10" hidden="1" x14ac:dyDescent="0.35">
      <c r="A75" s="461" t="s">
        <v>193</v>
      </c>
      <c r="B75" s="461" t="s">
        <v>235</v>
      </c>
      <c r="C75" s="461" t="s">
        <v>49</v>
      </c>
      <c r="G75">
        <v>0</v>
      </c>
      <c r="H75">
        <v>14</v>
      </c>
      <c r="I75">
        <v>14</v>
      </c>
      <c r="J75">
        <v>50</v>
      </c>
    </row>
    <row r="76" spans="1:10" hidden="1" x14ac:dyDescent="0.35">
      <c r="A76" s="461" t="s">
        <v>193</v>
      </c>
      <c r="B76" s="461" t="s">
        <v>235</v>
      </c>
      <c r="C76" s="461" t="s">
        <v>50</v>
      </c>
      <c r="G76">
        <v>1</v>
      </c>
      <c r="H76">
        <v>24</v>
      </c>
      <c r="I76">
        <v>37</v>
      </c>
      <c r="J76">
        <v>125</v>
      </c>
    </row>
    <row r="77" spans="1:10" hidden="1" x14ac:dyDescent="0.35">
      <c r="A77" s="461" t="s">
        <v>193</v>
      </c>
      <c r="B77" s="461" t="s">
        <v>235</v>
      </c>
      <c r="C77" s="461" t="s">
        <v>51</v>
      </c>
      <c r="G77">
        <v>0</v>
      </c>
      <c r="H77">
        <v>0</v>
      </c>
      <c r="I77">
        <v>0</v>
      </c>
      <c r="J77">
        <v>0</v>
      </c>
    </row>
    <row r="78" spans="1:10" hidden="1" x14ac:dyDescent="0.35">
      <c r="A78" s="461" t="s">
        <v>193</v>
      </c>
      <c r="B78" s="461" t="s">
        <v>235</v>
      </c>
      <c r="C78" s="461" t="s">
        <v>52</v>
      </c>
      <c r="G78">
        <v>1</v>
      </c>
      <c r="H78">
        <v>11</v>
      </c>
      <c r="I78">
        <v>16</v>
      </c>
      <c r="J78">
        <v>58</v>
      </c>
    </row>
    <row r="79" spans="1:10" hidden="1" x14ac:dyDescent="0.35">
      <c r="A79" s="461" t="s">
        <v>193</v>
      </c>
      <c r="B79" s="461" t="s">
        <v>235</v>
      </c>
      <c r="C79" s="461" t="s">
        <v>53</v>
      </c>
      <c r="G79">
        <v>0</v>
      </c>
      <c r="H79">
        <v>20</v>
      </c>
      <c r="I79">
        <v>23</v>
      </c>
      <c r="J79">
        <v>72</v>
      </c>
    </row>
    <row r="80" spans="1:10" hidden="1" x14ac:dyDescent="0.35">
      <c r="A80" s="461" t="s">
        <v>193</v>
      </c>
      <c r="B80" s="461" t="s">
        <v>235</v>
      </c>
      <c r="C80" s="461" t="s">
        <v>54</v>
      </c>
      <c r="G80">
        <v>0</v>
      </c>
      <c r="H80">
        <v>11</v>
      </c>
      <c r="I80">
        <v>11</v>
      </c>
      <c r="J80">
        <v>51</v>
      </c>
    </row>
    <row r="81" spans="1:10" hidden="1" x14ac:dyDescent="0.35">
      <c r="A81" s="461" t="s">
        <v>193</v>
      </c>
      <c r="B81" s="461" t="s">
        <v>235</v>
      </c>
      <c r="C81" s="461" t="s">
        <v>55</v>
      </c>
      <c r="G81">
        <v>0</v>
      </c>
      <c r="H81">
        <v>0</v>
      </c>
      <c r="I81">
        <v>0</v>
      </c>
      <c r="J81">
        <v>0</v>
      </c>
    </row>
    <row r="82" spans="1:10" hidden="1" x14ac:dyDescent="0.35">
      <c r="A82" s="461" t="s">
        <v>193</v>
      </c>
      <c r="B82" s="461" t="s">
        <v>235</v>
      </c>
      <c r="C82" s="461" t="s">
        <v>56</v>
      </c>
      <c r="G82">
        <v>0</v>
      </c>
      <c r="H82">
        <v>8</v>
      </c>
      <c r="I82">
        <v>9</v>
      </c>
      <c r="J82">
        <v>43</v>
      </c>
    </row>
    <row r="83" spans="1:10" hidden="1" x14ac:dyDescent="0.35">
      <c r="A83" s="461" t="s">
        <v>193</v>
      </c>
      <c r="B83" s="461" t="s">
        <v>235</v>
      </c>
      <c r="C83" s="461" t="s">
        <v>57</v>
      </c>
      <c r="G83">
        <v>2</v>
      </c>
      <c r="H83">
        <v>24</v>
      </c>
      <c r="I83">
        <v>35</v>
      </c>
      <c r="J83">
        <v>126</v>
      </c>
    </row>
    <row r="84" spans="1:10" hidden="1" x14ac:dyDescent="0.35">
      <c r="A84" s="461" t="s">
        <v>193</v>
      </c>
      <c r="B84" s="461" t="s">
        <v>235</v>
      </c>
      <c r="C84" s="461" t="s">
        <v>58</v>
      </c>
      <c r="G84">
        <v>0</v>
      </c>
      <c r="H84">
        <v>8</v>
      </c>
      <c r="I84">
        <v>10</v>
      </c>
      <c r="J84">
        <v>37</v>
      </c>
    </row>
    <row r="85" spans="1:10" hidden="1" x14ac:dyDescent="0.35">
      <c r="A85" s="461" t="s">
        <v>193</v>
      </c>
      <c r="B85" s="461" t="s">
        <v>235</v>
      </c>
      <c r="C85" s="461" t="s">
        <v>59</v>
      </c>
      <c r="G85">
        <v>0</v>
      </c>
      <c r="H85">
        <v>9</v>
      </c>
      <c r="I85">
        <v>20</v>
      </c>
      <c r="J85">
        <v>45</v>
      </c>
    </row>
    <row r="86" spans="1:10" hidden="1" x14ac:dyDescent="0.35">
      <c r="A86" s="461" t="s">
        <v>193</v>
      </c>
      <c r="B86" s="461" t="s">
        <v>235</v>
      </c>
      <c r="C86" s="461" t="s">
        <v>60</v>
      </c>
      <c r="G86">
        <v>1</v>
      </c>
      <c r="H86">
        <v>10</v>
      </c>
      <c r="I86">
        <v>9</v>
      </c>
      <c r="J86">
        <v>59</v>
      </c>
    </row>
    <row r="87" spans="1:10" hidden="1" x14ac:dyDescent="0.35">
      <c r="A87" s="461" t="s">
        <v>193</v>
      </c>
      <c r="B87" s="461" t="s">
        <v>236</v>
      </c>
      <c r="C87" s="461" t="s">
        <v>31</v>
      </c>
      <c r="E87">
        <v>1</v>
      </c>
      <c r="F87">
        <v>3</v>
      </c>
      <c r="G87">
        <v>7</v>
      </c>
      <c r="H87">
        <v>7</v>
      </c>
      <c r="I87">
        <v>0</v>
      </c>
      <c r="J87">
        <v>0</v>
      </c>
    </row>
    <row r="88" spans="1:10" hidden="1" x14ac:dyDescent="0.35">
      <c r="A88" s="461" t="s">
        <v>193</v>
      </c>
      <c r="B88" s="461" t="s">
        <v>236</v>
      </c>
      <c r="C88" s="461" t="s">
        <v>63</v>
      </c>
      <c r="E88">
        <v>1</v>
      </c>
      <c r="F88">
        <v>1</v>
      </c>
      <c r="G88">
        <v>4</v>
      </c>
      <c r="H88">
        <v>10</v>
      </c>
      <c r="I88">
        <v>0</v>
      </c>
      <c r="J88">
        <v>2</v>
      </c>
    </row>
    <row r="89" spans="1:10" hidden="1" x14ac:dyDescent="0.35">
      <c r="A89" s="461" t="s">
        <v>193</v>
      </c>
      <c r="B89" s="461" t="s">
        <v>236</v>
      </c>
      <c r="C89" s="461" t="s">
        <v>64</v>
      </c>
      <c r="E89">
        <v>1</v>
      </c>
      <c r="F89">
        <v>7</v>
      </c>
      <c r="G89">
        <v>5</v>
      </c>
      <c r="H89">
        <v>7</v>
      </c>
      <c r="I89">
        <v>0</v>
      </c>
      <c r="J89">
        <v>1</v>
      </c>
    </row>
    <row r="90" spans="1:10" hidden="1" x14ac:dyDescent="0.35">
      <c r="A90" s="461" t="s">
        <v>193</v>
      </c>
      <c r="B90" s="461" t="s">
        <v>236</v>
      </c>
      <c r="C90" s="461" t="s">
        <v>36</v>
      </c>
      <c r="E90">
        <v>0</v>
      </c>
      <c r="F90">
        <v>2</v>
      </c>
      <c r="G90">
        <v>5</v>
      </c>
      <c r="H90">
        <v>10</v>
      </c>
      <c r="I90">
        <v>0</v>
      </c>
      <c r="J90">
        <v>1</v>
      </c>
    </row>
    <row r="91" spans="1:10" hidden="1" x14ac:dyDescent="0.35">
      <c r="A91" s="461" t="s">
        <v>193</v>
      </c>
      <c r="B91" s="461" t="s">
        <v>236</v>
      </c>
      <c r="C91" s="461" t="s">
        <v>65</v>
      </c>
      <c r="E91">
        <v>1</v>
      </c>
      <c r="F91">
        <v>3</v>
      </c>
      <c r="G91">
        <v>5</v>
      </c>
      <c r="H91">
        <v>3</v>
      </c>
      <c r="I91">
        <v>0</v>
      </c>
      <c r="J91">
        <v>0</v>
      </c>
    </row>
    <row r="92" spans="1:10" hidden="1" x14ac:dyDescent="0.35">
      <c r="A92" s="461" t="s">
        <v>193</v>
      </c>
      <c r="B92" s="461" t="s">
        <v>236</v>
      </c>
      <c r="C92" s="461" t="s">
        <v>66</v>
      </c>
      <c r="E92">
        <v>1</v>
      </c>
      <c r="F92">
        <v>7</v>
      </c>
      <c r="G92">
        <v>7</v>
      </c>
      <c r="H92">
        <v>5</v>
      </c>
      <c r="I92">
        <v>0</v>
      </c>
      <c r="J92">
        <v>0</v>
      </c>
    </row>
    <row r="93" spans="1:10" hidden="1" x14ac:dyDescent="0.35">
      <c r="A93" s="461" t="s">
        <v>193</v>
      </c>
      <c r="B93" s="461" t="s">
        <v>236</v>
      </c>
      <c r="C93" s="461" t="s">
        <v>67</v>
      </c>
      <c r="E93">
        <v>1</v>
      </c>
      <c r="F93">
        <v>5</v>
      </c>
      <c r="G93">
        <v>1</v>
      </c>
      <c r="H93">
        <v>6</v>
      </c>
      <c r="I93">
        <v>0</v>
      </c>
      <c r="J93">
        <v>4</v>
      </c>
    </row>
    <row r="94" spans="1:10" hidden="1" x14ac:dyDescent="0.35">
      <c r="A94" s="461" t="s">
        <v>193</v>
      </c>
      <c r="B94" s="461" t="s">
        <v>236</v>
      </c>
      <c r="C94" s="461" t="s">
        <v>68</v>
      </c>
      <c r="E94">
        <v>1</v>
      </c>
      <c r="F94">
        <v>3</v>
      </c>
      <c r="G94">
        <v>5</v>
      </c>
      <c r="H94">
        <v>3</v>
      </c>
      <c r="I94">
        <v>0</v>
      </c>
      <c r="J94">
        <v>0</v>
      </c>
    </row>
    <row r="95" spans="1:10" hidden="1" x14ac:dyDescent="0.35">
      <c r="A95" s="461" t="s">
        <v>193</v>
      </c>
      <c r="B95" s="461" t="s">
        <v>236</v>
      </c>
      <c r="C95" s="461" t="s">
        <v>167</v>
      </c>
      <c r="E95">
        <v>2</v>
      </c>
      <c r="F95">
        <v>8</v>
      </c>
      <c r="G95">
        <v>4</v>
      </c>
      <c r="H95">
        <v>6</v>
      </c>
      <c r="I95">
        <v>2</v>
      </c>
      <c r="J95">
        <v>2</v>
      </c>
    </row>
    <row r="96" spans="1:10" hidden="1" x14ac:dyDescent="0.35">
      <c r="A96" s="461" t="s">
        <v>193</v>
      </c>
      <c r="B96" s="461" t="s">
        <v>236</v>
      </c>
      <c r="C96" s="461" t="s">
        <v>69</v>
      </c>
      <c r="E96">
        <v>1</v>
      </c>
      <c r="F96">
        <v>3</v>
      </c>
      <c r="G96">
        <v>3</v>
      </c>
      <c r="H96">
        <v>5</v>
      </c>
      <c r="I96">
        <v>0</v>
      </c>
      <c r="J96">
        <v>1</v>
      </c>
    </row>
    <row r="97" spans="1:10" hidden="1" x14ac:dyDescent="0.35">
      <c r="A97" s="461" t="s">
        <v>193</v>
      </c>
      <c r="B97" s="461" t="s">
        <v>236</v>
      </c>
      <c r="C97" s="461" t="s">
        <v>43</v>
      </c>
      <c r="E97">
        <v>2</v>
      </c>
      <c r="F97">
        <v>2</v>
      </c>
      <c r="G97">
        <v>6</v>
      </c>
      <c r="H97">
        <v>11</v>
      </c>
      <c r="I97">
        <v>0</v>
      </c>
      <c r="J97">
        <v>0</v>
      </c>
    </row>
    <row r="98" spans="1:10" hidden="1" x14ac:dyDescent="0.35">
      <c r="A98" s="461" t="s">
        <v>193</v>
      </c>
      <c r="B98" s="461" t="s">
        <v>236</v>
      </c>
      <c r="C98" s="461" t="s">
        <v>114</v>
      </c>
      <c r="E98">
        <v>1</v>
      </c>
      <c r="F98">
        <v>4</v>
      </c>
      <c r="G98">
        <v>8</v>
      </c>
      <c r="H98">
        <v>9</v>
      </c>
      <c r="I98">
        <v>1</v>
      </c>
      <c r="J98">
        <v>2</v>
      </c>
    </row>
    <row r="99" spans="1:10" hidden="1" x14ac:dyDescent="0.35">
      <c r="A99" s="461" t="s">
        <v>193</v>
      </c>
      <c r="B99" s="461" t="s">
        <v>236</v>
      </c>
      <c r="C99" s="461" t="s">
        <v>70</v>
      </c>
      <c r="E99">
        <v>1</v>
      </c>
      <c r="F99">
        <v>6</v>
      </c>
      <c r="G99">
        <v>5</v>
      </c>
      <c r="H99">
        <v>1</v>
      </c>
      <c r="I99">
        <v>0</v>
      </c>
      <c r="J99">
        <v>0</v>
      </c>
    </row>
    <row r="100" spans="1:10" hidden="1" x14ac:dyDescent="0.35">
      <c r="A100" s="461" t="s">
        <v>193</v>
      </c>
      <c r="B100" s="461" t="s">
        <v>236</v>
      </c>
      <c r="C100" s="461" t="s">
        <v>50</v>
      </c>
      <c r="E100">
        <v>2</v>
      </c>
      <c r="F100">
        <v>3</v>
      </c>
      <c r="G100">
        <v>5</v>
      </c>
      <c r="H100">
        <v>4</v>
      </c>
      <c r="I100">
        <v>1</v>
      </c>
      <c r="J100">
        <v>1</v>
      </c>
    </row>
    <row r="101" spans="1:10" hidden="1" x14ac:dyDescent="0.35">
      <c r="A101" s="461" t="s">
        <v>193</v>
      </c>
      <c r="B101" s="461" t="s">
        <v>236</v>
      </c>
      <c r="C101" s="461" t="s">
        <v>57</v>
      </c>
      <c r="E101">
        <v>1</v>
      </c>
      <c r="F101">
        <v>4</v>
      </c>
      <c r="G101">
        <v>2</v>
      </c>
      <c r="H101">
        <v>3</v>
      </c>
      <c r="I101">
        <v>0</v>
      </c>
      <c r="J101">
        <v>0</v>
      </c>
    </row>
    <row r="102" spans="1:10" hidden="1" x14ac:dyDescent="0.35">
      <c r="A102" s="461" t="s">
        <v>193</v>
      </c>
      <c r="B102" s="461" t="s">
        <v>236</v>
      </c>
      <c r="C102" s="461" t="s">
        <v>17412</v>
      </c>
      <c r="E102">
        <v>0</v>
      </c>
      <c r="F102">
        <v>1</v>
      </c>
      <c r="G102">
        <v>4</v>
      </c>
      <c r="H102">
        <v>0</v>
      </c>
      <c r="I102">
        <v>0</v>
      </c>
      <c r="J102">
        <v>0</v>
      </c>
    </row>
    <row r="103" spans="1:10" hidden="1" x14ac:dyDescent="0.35">
      <c r="A103" s="461" t="s">
        <v>193</v>
      </c>
      <c r="B103" s="461" t="s">
        <v>236</v>
      </c>
      <c r="C103" s="461" t="s">
        <v>71</v>
      </c>
      <c r="E103">
        <v>1</v>
      </c>
      <c r="F103">
        <v>3</v>
      </c>
      <c r="G103">
        <v>3</v>
      </c>
      <c r="H103">
        <v>0</v>
      </c>
      <c r="I103">
        <v>0</v>
      </c>
      <c r="J103">
        <v>0</v>
      </c>
    </row>
    <row r="104" spans="1:10" hidden="1" x14ac:dyDescent="0.35">
      <c r="A104" s="461" t="s">
        <v>193</v>
      </c>
      <c r="B104" s="461" t="s">
        <v>237</v>
      </c>
      <c r="C104" s="461" t="s">
        <v>166</v>
      </c>
      <c r="E104">
        <v>1</v>
      </c>
      <c r="F104">
        <v>4</v>
      </c>
      <c r="G104">
        <v>17</v>
      </c>
      <c r="H104">
        <v>46</v>
      </c>
      <c r="I104">
        <v>4</v>
      </c>
      <c r="J104">
        <v>6</v>
      </c>
    </row>
    <row r="105" spans="1:10" hidden="1" x14ac:dyDescent="0.35">
      <c r="A105" s="461" t="s">
        <v>193</v>
      </c>
      <c r="B105" s="461" t="s">
        <v>237</v>
      </c>
      <c r="C105" s="461" t="s">
        <v>164</v>
      </c>
      <c r="E105">
        <v>1</v>
      </c>
      <c r="F105">
        <v>7</v>
      </c>
      <c r="G105">
        <v>10</v>
      </c>
      <c r="H105">
        <v>26</v>
      </c>
      <c r="I105">
        <v>21</v>
      </c>
      <c r="J105">
        <v>1</v>
      </c>
    </row>
    <row r="106" spans="1:10" hidden="1" x14ac:dyDescent="0.35">
      <c r="A106" s="461" t="s">
        <v>193</v>
      </c>
      <c r="B106" s="461" t="s">
        <v>237</v>
      </c>
      <c r="C106" s="461" t="s">
        <v>165</v>
      </c>
      <c r="E106">
        <v>2</v>
      </c>
      <c r="F106">
        <v>15</v>
      </c>
      <c r="G106">
        <v>4</v>
      </c>
      <c r="H106">
        <v>75</v>
      </c>
      <c r="I106">
        <v>9</v>
      </c>
      <c r="J106">
        <v>0</v>
      </c>
    </row>
    <row r="107" spans="1:10" hidden="1" x14ac:dyDescent="0.35">
      <c r="A107" s="461" t="s">
        <v>193</v>
      </c>
      <c r="B107" s="461" t="s">
        <v>238</v>
      </c>
      <c r="C107" s="461" t="s">
        <v>246</v>
      </c>
      <c r="D107">
        <v>7</v>
      </c>
      <c r="E107">
        <v>11</v>
      </c>
      <c r="F107">
        <v>12</v>
      </c>
      <c r="G107">
        <v>6</v>
      </c>
      <c r="H107">
        <v>11</v>
      </c>
      <c r="I107">
        <v>4</v>
      </c>
      <c r="J107">
        <v>1</v>
      </c>
    </row>
    <row r="108" spans="1:10" hidden="1" x14ac:dyDescent="0.35">
      <c r="A108" s="461" t="s">
        <v>192</v>
      </c>
      <c r="B108" s="461" t="s">
        <v>235</v>
      </c>
      <c r="C108" s="461" t="s">
        <v>31</v>
      </c>
      <c r="G108">
        <v>0</v>
      </c>
      <c r="H108">
        <v>13</v>
      </c>
      <c r="I108">
        <v>22</v>
      </c>
      <c r="J108">
        <v>109</v>
      </c>
    </row>
    <row r="109" spans="1:10" hidden="1" x14ac:dyDescent="0.35">
      <c r="A109" s="461" t="s">
        <v>192</v>
      </c>
      <c r="B109" s="461" t="s">
        <v>235</v>
      </c>
      <c r="C109" s="461" t="s">
        <v>32</v>
      </c>
      <c r="G109">
        <v>0</v>
      </c>
      <c r="H109">
        <v>4</v>
      </c>
      <c r="I109">
        <v>6</v>
      </c>
      <c r="J109">
        <v>22</v>
      </c>
    </row>
    <row r="110" spans="1:10" hidden="1" x14ac:dyDescent="0.35">
      <c r="A110" s="461" t="s">
        <v>192</v>
      </c>
      <c r="B110" s="461" t="s">
        <v>235</v>
      </c>
      <c r="C110" s="461" t="s">
        <v>33</v>
      </c>
      <c r="G110">
        <v>0</v>
      </c>
      <c r="H110">
        <v>3</v>
      </c>
      <c r="I110">
        <v>8</v>
      </c>
      <c r="J110">
        <v>25</v>
      </c>
    </row>
    <row r="111" spans="1:10" hidden="1" x14ac:dyDescent="0.35">
      <c r="A111" s="461" t="s">
        <v>192</v>
      </c>
      <c r="B111" s="461" t="s">
        <v>235</v>
      </c>
      <c r="C111" s="461" t="s">
        <v>34</v>
      </c>
      <c r="G111">
        <v>0</v>
      </c>
      <c r="H111">
        <v>10</v>
      </c>
      <c r="I111">
        <v>8</v>
      </c>
      <c r="J111">
        <v>37</v>
      </c>
    </row>
    <row r="112" spans="1:10" hidden="1" x14ac:dyDescent="0.35">
      <c r="A112" s="461" t="s">
        <v>192</v>
      </c>
      <c r="B112" s="461" t="s">
        <v>235</v>
      </c>
      <c r="C112" s="461" t="s">
        <v>245</v>
      </c>
      <c r="G112">
        <v>0</v>
      </c>
      <c r="H112">
        <v>19</v>
      </c>
      <c r="I112">
        <v>48</v>
      </c>
      <c r="J112">
        <v>248</v>
      </c>
    </row>
    <row r="113" spans="1:10" hidden="1" x14ac:dyDescent="0.35">
      <c r="A113" s="461" t="s">
        <v>192</v>
      </c>
      <c r="B113" s="461" t="s">
        <v>235</v>
      </c>
      <c r="C113" s="461" t="s">
        <v>35</v>
      </c>
      <c r="G113">
        <v>0</v>
      </c>
      <c r="H113">
        <v>4</v>
      </c>
      <c r="I113">
        <v>5</v>
      </c>
      <c r="J113">
        <v>17</v>
      </c>
    </row>
    <row r="114" spans="1:10" hidden="1" x14ac:dyDescent="0.35">
      <c r="A114" s="461" t="s">
        <v>192</v>
      </c>
      <c r="B114" s="461" t="s">
        <v>235</v>
      </c>
      <c r="C114" s="461" t="s">
        <v>36</v>
      </c>
      <c r="G114">
        <v>0</v>
      </c>
      <c r="H114">
        <v>3</v>
      </c>
      <c r="I114">
        <v>14</v>
      </c>
      <c r="J114">
        <v>48</v>
      </c>
    </row>
    <row r="115" spans="1:10" hidden="1" x14ac:dyDescent="0.35">
      <c r="A115" s="461" t="s">
        <v>192</v>
      </c>
      <c r="B115" s="461" t="s">
        <v>235</v>
      </c>
      <c r="C115" s="461" t="s">
        <v>37</v>
      </c>
      <c r="G115">
        <v>1</v>
      </c>
      <c r="H115">
        <v>14</v>
      </c>
      <c r="I115">
        <v>26</v>
      </c>
      <c r="J115">
        <v>135</v>
      </c>
    </row>
    <row r="116" spans="1:10" hidden="1" x14ac:dyDescent="0.35">
      <c r="A116" s="461" t="s">
        <v>192</v>
      </c>
      <c r="B116" s="461" t="s">
        <v>235</v>
      </c>
      <c r="C116" s="461" t="s">
        <v>38</v>
      </c>
      <c r="G116">
        <v>0</v>
      </c>
      <c r="H116">
        <v>5</v>
      </c>
      <c r="I116">
        <v>7</v>
      </c>
      <c r="J116">
        <v>41</v>
      </c>
    </row>
    <row r="117" spans="1:10" hidden="1" x14ac:dyDescent="0.35">
      <c r="A117" s="461" t="s">
        <v>192</v>
      </c>
      <c r="B117" s="461" t="s">
        <v>235</v>
      </c>
      <c r="C117" s="461" t="s">
        <v>39</v>
      </c>
      <c r="G117">
        <v>0</v>
      </c>
      <c r="H117">
        <v>15</v>
      </c>
      <c r="I117">
        <v>9</v>
      </c>
      <c r="J117">
        <v>46</v>
      </c>
    </row>
    <row r="118" spans="1:10" hidden="1" x14ac:dyDescent="0.35">
      <c r="A118" s="461" t="s">
        <v>192</v>
      </c>
      <c r="B118" s="461" t="s">
        <v>235</v>
      </c>
      <c r="C118" s="461" t="s">
        <v>40</v>
      </c>
      <c r="G118">
        <v>0</v>
      </c>
      <c r="H118">
        <v>4</v>
      </c>
      <c r="I118">
        <v>4</v>
      </c>
      <c r="J118">
        <v>19</v>
      </c>
    </row>
    <row r="119" spans="1:10" hidden="1" x14ac:dyDescent="0.35">
      <c r="A119" s="461" t="s">
        <v>192</v>
      </c>
      <c r="B119" s="461" t="s">
        <v>235</v>
      </c>
      <c r="C119" s="461" t="s">
        <v>41</v>
      </c>
      <c r="G119">
        <v>0</v>
      </c>
      <c r="H119">
        <v>9</v>
      </c>
      <c r="I119">
        <v>10</v>
      </c>
      <c r="J119">
        <v>34</v>
      </c>
    </row>
    <row r="120" spans="1:10" hidden="1" x14ac:dyDescent="0.35">
      <c r="A120" s="461" t="s">
        <v>192</v>
      </c>
      <c r="B120" s="461" t="s">
        <v>235</v>
      </c>
      <c r="C120" s="461" t="s">
        <v>42</v>
      </c>
      <c r="G120">
        <v>0</v>
      </c>
      <c r="H120">
        <v>12</v>
      </c>
      <c r="I120">
        <v>17</v>
      </c>
      <c r="J120">
        <v>66</v>
      </c>
    </row>
    <row r="121" spans="1:10" hidden="1" x14ac:dyDescent="0.35">
      <c r="A121" s="461" t="s">
        <v>192</v>
      </c>
      <c r="B121" s="461" t="s">
        <v>235</v>
      </c>
      <c r="C121" s="461" t="s">
        <v>43</v>
      </c>
      <c r="G121">
        <v>0</v>
      </c>
      <c r="H121">
        <v>20</v>
      </c>
      <c r="I121">
        <v>47</v>
      </c>
      <c r="J121">
        <v>211</v>
      </c>
    </row>
    <row r="122" spans="1:10" hidden="1" x14ac:dyDescent="0.35">
      <c r="A122" s="461" t="s">
        <v>192</v>
      </c>
      <c r="B122" s="461" t="s">
        <v>235</v>
      </c>
      <c r="C122" s="461" t="s">
        <v>114</v>
      </c>
      <c r="G122">
        <v>0</v>
      </c>
      <c r="H122">
        <v>50</v>
      </c>
      <c r="I122">
        <v>99</v>
      </c>
      <c r="J122">
        <v>350</v>
      </c>
    </row>
    <row r="123" spans="1:10" hidden="1" x14ac:dyDescent="0.35">
      <c r="A123" s="461" t="s">
        <v>192</v>
      </c>
      <c r="B123" s="461" t="s">
        <v>235</v>
      </c>
      <c r="C123" s="461" t="s">
        <v>44</v>
      </c>
      <c r="G123">
        <v>0</v>
      </c>
      <c r="H123">
        <v>4</v>
      </c>
      <c r="I123">
        <v>11</v>
      </c>
      <c r="J123">
        <v>53</v>
      </c>
    </row>
    <row r="124" spans="1:10" hidden="1" x14ac:dyDescent="0.35">
      <c r="A124" s="461" t="s">
        <v>192</v>
      </c>
      <c r="B124" s="461" t="s">
        <v>235</v>
      </c>
      <c r="C124" s="461" t="s">
        <v>45</v>
      </c>
      <c r="G124">
        <v>1</v>
      </c>
      <c r="H124">
        <v>9</v>
      </c>
      <c r="I124">
        <v>12</v>
      </c>
      <c r="J124">
        <v>48</v>
      </c>
    </row>
    <row r="125" spans="1:10" hidden="1" x14ac:dyDescent="0.35">
      <c r="A125" s="461" t="s">
        <v>192</v>
      </c>
      <c r="B125" s="461" t="s">
        <v>235</v>
      </c>
      <c r="C125" s="461" t="s">
        <v>46</v>
      </c>
      <c r="G125">
        <v>0</v>
      </c>
      <c r="H125">
        <v>3</v>
      </c>
      <c r="I125">
        <v>4</v>
      </c>
      <c r="J125">
        <v>16</v>
      </c>
    </row>
    <row r="126" spans="1:10" hidden="1" x14ac:dyDescent="0.35">
      <c r="A126" s="461" t="s">
        <v>192</v>
      </c>
      <c r="B126" s="461" t="s">
        <v>235</v>
      </c>
      <c r="C126" s="461" t="s">
        <v>47</v>
      </c>
      <c r="G126">
        <v>0</v>
      </c>
      <c r="H126">
        <v>5</v>
      </c>
      <c r="I126">
        <v>5</v>
      </c>
      <c r="J126">
        <v>21</v>
      </c>
    </row>
    <row r="127" spans="1:10" hidden="1" x14ac:dyDescent="0.35">
      <c r="A127" s="461" t="s">
        <v>192</v>
      </c>
      <c r="B127" s="461" t="s">
        <v>235</v>
      </c>
      <c r="C127" s="461" t="s">
        <v>48</v>
      </c>
      <c r="G127">
        <v>0</v>
      </c>
      <c r="H127">
        <v>0</v>
      </c>
      <c r="I127">
        <v>0</v>
      </c>
      <c r="J127">
        <v>0</v>
      </c>
    </row>
    <row r="128" spans="1:10" hidden="1" x14ac:dyDescent="0.35">
      <c r="A128" s="461" t="s">
        <v>192</v>
      </c>
      <c r="B128" s="461" t="s">
        <v>235</v>
      </c>
      <c r="C128" s="461" t="s">
        <v>49</v>
      </c>
      <c r="G128">
        <v>0</v>
      </c>
      <c r="H128">
        <v>12</v>
      </c>
      <c r="I128">
        <v>14</v>
      </c>
      <c r="J128">
        <v>52</v>
      </c>
    </row>
    <row r="129" spans="1:10" hidden="1" x14ac:dyDescent="0.35">
      <c r="A129" s="461" t="s">
        <v>192</v>
      </c>
      <c r="B129" s="461" t="s">
        <v>235</v>
      </c>
      <c r="C129" s="461" t="s">
        <v>50</v>
      </c>
      <c r="G129">
        <v>0</v>
      </c>
      <c r="H129">
        <v>16</v>
      </c>
      <c r="I129">
        <v>28</v>
      </c>
      <c r="J129">
        <v>136</v>
      </c>
    </row>
    <row r="130" spans="1:10" hidden="1" x14ac:dyDescent="0.35">
      <c r="A130" s="461" t="s">
        <v>192</v>
      </c>
      <c r="B130" s="461" t="s">
        <v>235</v>
      </c>
      <c r="C130" s="461" t="s">
        <v>51</v>
      </c>
      <c r="G130">
        <v>0</v>
      </c>
      <c r="H130">
        <v>0</v>
      </c>
      <c r="I130">
        <v>0</v>
      </c>
      <c r="J130">
        <v>0</v>
      </c>
    </row>
    <row r="131" spans="1:10" hidden="1" x14ac:dyDescent="0.35">
      <c r="A131" s="461" t="s">
        <v>192</v>
      </c>
      <c r="B131" s="461" t="s">
        <v>235</v>
      </c>
      <c r="C131" s="461" t="s">
        <v>52</v>
      </c>
      <c r="G131">
        <v>0</v>
      </c>
      <c r="H131">
        <v>4</v>
      </c>
      <c r="I131">
        <v>13</v>
      </c>
      <c r="J131">
        <v>56</v>
      </c>
    </row>
    <row r="132" spans="1:10" hidden="1" x14ac:dyDescent="0.35">
      <c r="A132" s="461" t="s">
        <v>192</v>
      </c>
      <c r="B132" s="461" t="s">
        <v>235</v>
      </c>
      <c r="C132" s="461" t="s">
        <v>53</v>
      </c>
      <c r="G132">
        <v>0</v>
      </c>
      <c r="H132">
        <v>15</v>
      </c>
      <c r="I132">
        <v>15</v>
      </c>
      <c r="J132">
        <v>62</v>
      </c>
    </row>
    <row r="133" spans="1:10" hidden="1" x14ac:dyDescent="0.35">
      <c r="A133" s="461" t="s">
        <v>192</v>
      </c>
      <c r="B133" s="461" t="s">
        <v>235</v>
      </c>
      <c r="C133" s="461" t="s">
        <v>54</v>
      </c>
      <c r="G133">
        <v>0</v>
      </c>
      <c r="H133">
        <v>9</v>
      </c>
      <c r="I133">
        <v>12</v>
      </c>
      <c r="J133">
        <v>50</v>
      </c>
    </row>
    <row r="134" spans="1:10" hidden="1" x14ac:dyDescent="0.35">
      <c r="A134" s="461" t="s">
        <v>192</v>
      </c>
      <c r="B134" s="461" t="s">
        <v>235</v>
      </c>
      <c r="C134" s="461" t="s">
        <v>55</v>
      </c>
      <c r="G134">
        <v>0</v>
      </c>
      <c r="H134">
        <v>0</v>
      </c>
      <c r="I134">
        <v>0</v>
      </c>
      <c r="J134">
        <v>0</v>
      </c>
    </row>
    <row r="135" spans="1:10" hidden="1" x14ac:dyDescent="0.35">
      <c r="A135" s="461" t="s">
        <v>192</v>
      </c>
      <c r="B135" s="461" t="s">
        <v>235</v>
      </c>
      <c r="C135" s="461" t="s">
        <v>56</v>
      </c>
      <c r="G135">
        <v>0</v>
      </c>
      <c r="H135">
        <v>5</v>
      </c>
      <c r="I135">
        <v>10</v>
      </c>
      <c r="J135">
        <v>40</v>
      </c>
    </row>
    <row r="136" spans="1:10" hidden="1" x14ac:dyDescent="0.35">
      <c r="A136" s="461" t="s">
        <v>192</v>
      </c>
      <c r="B136" s="461" t="s">
        <v>235</v>
      </c>
      <c r="C136" s="461" t="s">
        <v>57</v>
      </c>
      <c r="G136">
        <v>0</v>
      </c>
      <c r="H136">
        <v>18</v>
      </c>
      <c r="I136">
        <v>28</v>
      </c>
      <c r="J136">
        <v>132</v>
      </c>
    </row>
    <row r="137" spans="1:10" hidden="1" x14ac:dyDescent="0.35">
      <c r="A137" s="461" t="s">
        <v>192</v>
      </c>
      <c r="B137" s="461" t="s">
        <v>235</v>
      </c>
      <c r="C137" s="461" t="s">
        <v>58</v>
      </c>
      <c r="G137">
        <v>0</v>
      </c>
      <c r="H137">
        <v>2</v>
      </c>
      <c r="I137">
        <v>9</v>
      </c>
      <c r="J137">
        <v>40</v>
      </c>
    </row>
    <row r="138" spans="1:10" hidden="1" x14ac:dyDescent="0.35">
      <c r="A138" s="461" t="s">
        <v>192</v>
      </c>
      <c r="B138" s="461" t="s">
        <v>235</v>
      </c>
      <c r="C138" s="461" t="s">
        <v>59</v>
      </c>
      <c r="G138">
        <v>0</v>
      </c>
      <c r="H138">
        <v>10</v>
      </c>
      <c r="I138">
        <v>11</v>
      </c>
      <c r="J138">
        <v>49</v>
      </c>
    </row>
    <row r="139" spans="1:10" hidden="1" x14ac:dyDescent="0.35">
      <c r="A139" s="461" t="s">
        <v>192</v>
      </c>
      <c r="B139" s="461" t="s">
        <v>235</v>
      </c>
      <c r="C139" s="461" t="s">
        <v>60</v>
      </c>
      <c r="G139">
        <v>0</v>
      </c>
      <c r="H139">
        <v>8</v>
      </c>
      <c r="I139">
        <v>9</v>
      </c>
      <c r="J139">
        <v>44</v>
      </c>
    </row>
    <row r="140" spans="1:10" hidden="1" x14ac:dyDescent="0.35">
      <c r="A140" s="461" t="s">
        <v>192</v>
      </c>
      <c r="B140" s="461" t="s">
        <v>236</v>
      </c>
      <c r="C140" s="461" t="s">
        <v>31</v>
      </c>
      <c r="E140">
        <v>1</v>
      </c>
      <c r="F140">
        <v>3</v>
      </c>
      <c r="G140">
        <v>2</v>
      </c>
      <c r="H140">
        <v>7</v>
      </c>
      <c r="I140">
        <v>0</v>
      </c>
      <c r="J140">
        <v>3</v>
      </c>
    </row>
    <row r="141" spans="1:10" hidden="1" x14ac:dyDescent="0.35">
      <c r="A141" s="461" t="s">
        <v>192</v>
      </c>
      <c r="B141" s="461" t="s">
        <v>236</v>
      </c>
      <c r="C141" s="461" t="s">
        <v>63</v>
      </c>
      <c r="E141">
        <v>1</v>
      </c>
      <c r="F141">
        <v>2</v>
      </c>
      <c r="G141">
        <v>6</v>
      </c>
      <c r="H141">
        <v>10</v>
      </c>
      <c r="I141">
        <v>7</v>
      </c>
      <c r="J141">
        <v>1</v>
      </c>
    </row>
    <row r="142" spans="1:10" hidden="1" x14ac:dyDescent="0.35">
      <c r="A142" s="461" t="s">
        <v>192</v>
      </c>
      <c r="B142" s="461" t="s">
        <v>236</v>
      </c>
      <c r="C142" s="461" t="s">
        <v>64</v>
      </c>
      <c r="E142">
        <v>1</v>
      </c>
      <c r="F142">
        <v>5</v>
      </c>
      <c r="G142">
        <v>7</v>
      </c>
      <c r="H142">
        <v>6</v>
      </c>
      <c r="I142">
        <v>2</v>
      </c>
      <c r="J142">
        <v>4</v>
      </c>
    </row>
    <row r="143" spans="1:10" hidden="1" x14ac:dyDescent="0.35">
      <c r="A143" s="461" t="s">
        <v>192</v>
      </c>
      <c r="B143" s="461" t="s">
        <v>236</v>
      </c>
      <c r="C143" s="461" t="s">
        <v>36</v>
      </c>
      <c r="E143">
        <v>0</v>
      </c>
      <c r="F143">
        <v>2</v>
      </c>
      <c r="G143">
        <v>5</v>
      </c>
      <c r="H143">
        <v>10</v>
      </c>
      <c r="I143">
        <v>0</v>
      </c>
      <c r="J143">
        <v>2</v>
      </c>
    </row>
    <row r="144" spans="1:10" hidden="1" x14ac:dyDescent="0.35">
      <c r="A144" s="461" t="s">
        <v>192</v>
      </c>
      <c r="B144" s="461" t="s">
        <v>236</v>
      </c>
      <c r="C144" s="461" t="s">
        <v>65</v>
      </c>
      <c r="E144">
        <v>1</v>
      </c>
      <c r="F144">
        <v>4</v>
      </c>
      <c r="G144">
        <v>10</v>
      </c>
      <c r="H144">
        <v>8</v>
      </c>
      <c r="I144">
        <v>0</v>
      </c>
      <c r="J144">
        <v>1</v>
      </c>
    </row>
    <row r="145" spans="1:10" hidden="1" x14ac:dyDescent="0.35">
      <c r="A145" s="461" t="s">
        <v>192</v>
      </c>
      <c r="B145" s="461" t="s">
        <v>236</v>
      </c>
      <c r="C145" s="461" t="s">
        <v>66</v>
      </c>
      <c r="E145">
        <v>1</v>
      </c>
      <c r="F145">
        <v>6</v>
      </c>
      <c r="G145">
        <v>7</v>
      </c>
      <c r="H145">
        <v>9</v>
      </c>
      <c r="I145">
        <v>4</v>
      </c>
      <c r="J145">
        <v>2</v>
      </c>
    </row>
    <row r="146" spans="1:10" hidden="1" x14ac:dyDescent="0.35">
      <c r="A146" s="461" t="s">
        <v>192</v>
      </c>
      <c r="B146" s="461" t="s">
        <v>236</v>
      </c>
      <c r="C146" s="461" t="s">
        <v>67</v>
      </c>
      <c r="E146">
        <v>1</v>
      </c>
      <c r="F146">
        <v>5</v>
      </c>
      <c r="G146">
        <v>6</v>
      </c>
      <c r="H146">
        <v>11</v>
      </c>
      <c r="I146">
        <v>10</v>
      </c>
      <c r="J146">
        <v>5</v>
      </c>
    </row>
    <row r="147" spans="1:10" hidden="1" x14ac:dyDescent="0.35">
      <c r="A147" s="461" t="s">
        <v>192</v>
      </c>
      <c r="B147" s="461" t="s">
        <v>236</v>
      </c>
      <c r="C147" s="461" t="s">
        <v>68</v>
      </c>
      <c r="E147">
        <v>1</v>
      </c>
      <c r="F147">
        <v>2</v>
      </c>
      <c r="G147">
        <v>3</v>
      </c>
      <c r="H147">
        <v>7</v>
      </c>
      <c r="I147">
        <v>1</v>
      </c>
      <c r="J147">
        <v>3</v>
      </c>
    </row>
    <row r="148" spans="1:10" hidden="1" x14ac:dyDescent="0.35">
      <c r="A148" s="461" t="s">
        <v>192</v>
      </c>
      <c r="B148" s="461" t="s">
        <v>236</v>
      </c>
      <c r="C148" s="461" t="s">
        <v>167</v>
      </c>
      <c r="E148">
        <v>0</v>
      </c>
      <c r="F148">
        <v>7</v>
      </c>
      <c r="G148">
        <v>2</v>
      </c>
      <c r="H148">
        <v>9</v>
      </c>
      <c r="I148">
        <v>5</v>
      </c>
      <c r="J148">
        <v>4</v>
      </c>
    </row>
    <row r="149" spans="1:10" hidden="1" x14ac:dyDescent="0.35">
      <c r="A149" s="461" t="s">
        <v>192</v>
      </c>
      <c r="B149" s="461" t="s">
        <v>236</v>
      </c>
      <c r="C149" s="461" t="s">
        <v>69</v>
      </c>
      <c r="E149">
        <v>1</v>
      </c>
      <c r="F149">
        <v>2</v>
      </c>
      <c r="G149">
        <v>3</v>
      </c>
      <c r="H149">
        <v>7</v>
      </c>
      <c r="I149">
        <v>1</v>
      </c>
      <c r="J149">
        <v>2</v>
      </c>
    </row>
    <row r="150" spans="1:10" hidden="1" x14ac:dyDescent="0.35">
      <c r="A150" s="461" t="s">
        <v>192</v>
      </c>
      <c r="B150" s="461" t="s">
        <v>236</v>
      </c>
      <c r="C150" s="461" t="s">
        <v>43</v>
      </c>
      <c r="E150">
        <v>1</v>
      </c>
      <c r="F150">
        <v>2</v>
      </c>
      <c r="G150">
        <v>5</v>
      </c>
      <c r="H150">
        <v>11</v>
      </c>
      <c r="I150">
        <v>3</v>
      </c>
      <c r="J150">
        <v>4</v>
      </c>
    </row>
    <row r="151" spans="1:10" hidden="1" x14ac:dyDescent="0.35">
      <c r="A151" s="461" t="s">
        <v>192</v>
      </c>
      <c r="B151" s="461" t="s">
        <v>236</v>
      </c>
      <c r="C151" s="461" t="s">
        <v>114</v>
      </c>
      <c r="E151">
        <v>1</v>
      </c>
      <c r="F151">
        <v>5</v>
      </c>
      <c r="G151">
        <v>8</v>
      </c>
      <c r="H151">
        <v>15</v>
      </c>
      <c r="I151">
        <v>1</v>
      </c>
      <c r="J151">
        <v>2</v>
      </c>
    </row>
    <row r="152" spans="1:10" hidden="1" x14ac:dyDescent="0.35">
      <c r="A152" s="461" t="s">
        <v>192</v>
      </c>
      <c r="B152" s="461" t="s">
        <v>236</v>
      </c>
      <c r="C152" s="461" t="s">
        <v>70</v>
      </c>
      <c r="E152">
        <v>1</v>
      </c>
      <c r="F152">
        <v>6</v>
      </c>
      <c r="G152">
        <v>8</v>
      </c>
      <c r="H152">
        <v>7</v>
      </c>
      <c r="I152">
        <v>7</v>
      </c>
      <c r="J152">
        <v>0</v>
      </c>
    </row>
    <row r="153" spans="1:10" hidden="1" x14ac:dyDescent="0.35">
      <c r="A153" s="461" t="s">
        <v>192</v>
      </c>
      <c r="B153" s="461" t="s">
        <v>236</v>
      </c>
      <c r="C153" s="461" t="s">
        <v>50</v>
      </c>
      <c r="E153">
        <v>1</v>
      </c>
      <c r="F153">
        <v>3</v>
      </c>
      <c r="G153">
        <v>4</v>
      </c>
      <c r="H153">
        <v>9</v>
      </c>
      <c r="I153">
        <v>3</v>
      </c>
      <c r="J153">
        <v>0</v>
      </c>
    </row>
    <row r="154" spans="1:10" hidden="1" x14ac:dyDescent="0.35">
      <c r="A154" s="461" t="s">
        <v>192</v>
      </c>
      <c r="B154" s="461" t="s">
        <v>236</v>
      </c>
      <c r="C154" s="461" t="s">
        <v>57</v>
      </c>
      <c r="E154">
        <v>1</v>
      </c>
      <c r="F154">
        <v>3</v>
      </c>
      <c r="G154">
        <v>5</v>
      </c>
      <c r="H154">
        <v>3</v>
      </c>
      <c r="I154">
        <v>3</v>
      </c>
      <c r="J154">
        <v>1</v>
      </c>
    </row>
    <row r="155" spans="1:10" hidden="1" x14ac:dyDescent="0.35">
      <c r="A155" s="461" t="s">
        <v>192</v>
      </c>
      <c r="B155" s="461" t="s">
        <v>236</v>
      </c>
      <c r="C155" s="461" t="s">
        <v>17412</v>
      </c>
      <c r="E155">
        <v>0</v>
      </c>
      <c r="F155">
        <v>2</v>
      </c>
      <c r="G155">
        <v>5</v>
      </c>
      <c r="H155">
        <v>3</v>
      </c>
      <c r="I155">
        <v>2</v>
      </c>
      <c r="J155">
        <v>1</v>
      </c>
    </row>
    <row r="156" spans="1:10" hidden="1" x14ac:dyDescent="0.35">
      <c r="A156" s="461" t="s">
        <v>192</v>
      </c>
      <c r="B156" s="461" t="s">
        <v>236</v>
      </c>
      <c r="C156" s="461" t="s">
        <v>71</v>
      </c>
      <c r="E156">
        <v>1</v>
      </c>
      <c r="F156">
        <v>3</v>
      </c>
      <c r="G156">
        <v>5</v>
      </c>
      <c r="H156">
        <v>1</v>
      </c>
      <c r="I156">
        <v>1</v>
      </c>
      <c r="J156">
        <v>0</v>
      </c>
    </row>
    <row r="157" spans="1:10" hidden="1" x14ac:dyDescent="0.35">
      <c r="A157" s="461" t="s">
        <v>192</v>
      </c>
      <c r="B157" s="461" t="s">
        <v>237</v>
      </c>
      <c r="C157" s="461" t="s">
        <v>166</v>
      </c>
      <c r="E157">
        <v>1</v>
      </c>
      <c r="F157">
        <v>2</v>
      </c>
      <c r="G157">
        <v>3</v>
      </c>
      <c r="H157">
        <v>17</v>
      </c>
      <c r="I157">
        <v>2</v>
      </c>
    </row>
    <row r="158" spans="1:10" hidden="1" x14ac:dyDescent="0.35">
      <c r="A158" s="461" t="s">
        <v>192</v>
      </c>
      <c r="B158" s="461" t="s">
        <v>237</v>
      </c>
      <c r="C158" s="461" t="s">
        <v>164</v>
      </c>
      <c r="E158">
        <v>1</v>
      </c>
      <c r="F158">
        <v>2</v>
      </c>
      <c r="G158">
        <v>8</v>
      </c>
      <c r="H158">
        <v>25</v>
      </c>
      <c r="I158">
        <v>8</v>
      </c>
    </row>
    <row r="159" spans="1:10" hidden="1" x14ac:dyDescent="0.35">
      <c r="A159" s="461" t="s">
        <v>192</v>
      </c>
      <c r="B159" s="461" t="s">
        <v>237</v>
      </c>
      <c r="C159" s="461" t="s">
        <v>165</v>
      </c>
      <c r="E159">
        <v>1</v>
      </c>
      <c r="F159">
        <v>5</v>
      </c>
      <c r="G159">
        <v>3</v>
      </c>
      <c r="H159">
        <v>4</v>
      </c>
      <c r="I159">
        <v>3</v>
      </c>
    </row>
    <row r="160" spans="1:10" hidden="1" x14ac:dyDescent="0.35">
      <c r="A160" s="461" t="s">
        <v>192</v>
      </c>
      <c r="B160" s="461" t="s">
        <v>238</v>
      </c>
      <c r="C160" s="461" t="s">
        <v>246</v>
      </c>
      <c r="D160">
        <v>4</v>
      </c>
      <c r="E160">
        <v>18</v>
      </c>
      <c r="F160">
        <v>19</v>
      </c>
      <c r="G160">
        <v>19</v>
      </c>
      <c r="H160">
        <v>93</v>
      </c>
      <c r="I160">
        <v>26</v>
      </c>
      <c r="J160">
        <v>16</v>
      </c>
    </row>
    <row r="161" spans="1:10" hidden="1" x14ac:dyDescent="0.35">
      <c r="A161" s="461" t="s">
        <v>258</v>
      </c>
      <c r="B161" s="461" t="s">
        <v>235</v>
      </c>
      <c r="C161" s="461" t="s">
        <v>31</v>
      </c>
      <c r="H161">
        <v>16</v>
      </c>
      <c r="I161">
        <v>26</v>
      </c>
      <c r="J161">
        <v>113</v>
      </c>
    </row>
    <row r="162" spans="1:10" hidden="1" x14ac:dyDescent="0.35">
      <c r="A162" s="461" t="s">
        <v>258</v>
      </c>
      <c r="B162" s="461" t="s">
        <v>235</v>
      </c>
      <c r="C162" s="461" t="s">
        <v>32</v>
      </c>
      <c r="H162">
        <v>4</v>
      </c>
      <c r="I162">
        <v>4</v>
      </c>
      <c r="J162">
        <v>17</v>
      </c>
    </row>
    <row r="163" spans="1:10" hidden="1" x14ac:dyDescent="0.35">
      <c r="A163" s="461" t="s">
        <v>258</v>
      </c>
      <c r="B163" s="461" t="s">
        <v>235</v>
      </c>
      <c r="C163" s="461" t="s">
        <v>33</v>
      </c>
      <c r="H163">
        <v>3</v>
      </c>
      <c r="I163">
        <v>4</v>
      </c>
      <c r="J163">
        <v>18</v>
      </c>
    </row>
    <row r="164" spans="1:10" hidden="1" x14ac:dyDescent="0.35">
      <c r="A164" s="461" t="s">
        <v>258</v>
      </c>
      <c r="B164" s="461" t="s">
        <v>235</v>
      </c>
      <c r="C164" s="461" t="s">
        <v>34</v>
      </c>
      <c r="H164">
        <v>10</v>
      </c>
      <c r="I164">
        <v>9</v>
      </c>
      <c r="J164">
        <v>24</v>
      </c>
    </row>
    <row r="165" spans="1:10" hidden="1" x14ac:dyDescent="0.35">
      <c r="A165" s="461" t="s">
        <v>258</v>
      </c>
      <c r="B165" s="461" t="s">
        <v>235</v>
      </c>
      <c r="C165" s="461" t="s">
        <v>245</v>
      </c>
      <c r="H165">
        <v>26</v>
      </c>
      <c r="I165">
        <v>60</v>
      </c>
      <c r="J165">
        <v>227</v>
      </c>
    </row>
    <row r="166" spans="1:10" hidden="1" x14ac:dyDescent="0.35">
      <c r="A166" s="461" t="s">
        <v>258</v>
      </c>
      <c r="B166" s="461" t="s">
        <v>235</v>
      </c>
      <c r="C166" s="461" t="s">
        <v>35</v>
      </c>
      <c r="H166">
        <v>4</v>
      </c>
      <c r="I166">
        <v>4</v>
      </c>
      <c r="J166">
        <v>14</v>
      </c>
    </row>
    <row r="167" spans="1:10" hidden="1" x14ac:dyDescent="0.35">
      <c r="A167" s="461" t="s">
        <v>258</v>
      </c>
      <c r="B167" s="461" t="s">
        <v>235</v>
      </c>
      <c r="C167" s="461" t="s">
        <v>36</v>
      </c>
      <c r="H167">
        <v>4</v>
      </c>
      <c r="I167">
        <v>11</v>
      </c>
      <c r="J167">
        <v>48</v>
      </c>
    </row>
    <row r="168" spans="1:10" hidden="1" x14ac:dyDescent="0.35">
      <c r="A168" s="461" t="s">
        <v>258</v>
      </c>
      <c r="B168" s="461" t="s">
        <v>235</v>
      </c>
      <c r="C168" s="461" t="s">
        <v>37</v>
      </c>
      <c r="H168">
        <v>18</v>
      </c>
      <c r="I168">
        <v>30</v>
      </c>
      <c r="J168">
        <v>144</v>
      </c>
    </row>
    <row r="169" spans="1:10" hidden="1" x14ac:dyDescent="0.35">
      <c r="A169" s="461" t="s">
        <v>258</v>
      </c>
      <c r="B169" s="461" t="s">
        <v>235</v>
      </c>
      <c r="C169" s="461" t="s">
        <v>38</v>
      </c>
      <c r="H169">
        <v>5</v>
      </c>
      <c r="I169">
        <v>9</v>
      </c>
      <c r="J169">
        <v>32</v>
      </c>
    </row>
    <row r="170" spans="1:10" hidden="1" x14ac:dyDescent="0.35">
      <c r="A170" s="461" t="s">
        <v>258</v>
      </c>
      <c r="B170" s="461" t="s">
        <v>235</v>
      </c>
      <c r="C170" s="461" t="s">
        <v>39</v>
      </c>
      <c r="H170">
        <v>15</v>
      </c>
      <c r="I170">
        <v>14</v>
      </c>
      <c r="J170">
        <v>39</v>
      </c>
    </row>
    <row r="171" spans="1:10" hidden="1" x14ac:dyDescent="0.35">
      <c r="A171" s="461" t="s">
        <v>258</v>
      </c>
      <c r="B171" s="461" t="s">
        <v>235</v>
      </c>
      <c r="C171" s="461" t="s">
        <v>40</v>
      </c>
      <c r="H171">
        <v>4</v>
      </c>
      <c r="I171">
        <v>4</v>
      </c>
      <c r="J171">
        <v>19</v>
      </c>
    </row>
    <row r="172" spans="1:10" hidden="1" x14ac:dyDescent="0.35">
      <c r="A172" s="461" t="s">
        <v>258</v>
      </c>
      <c r="B172" s="461" t="s">
        <v>235</v>
      </c>
      <c r="C172" s="461" t="s">
        <v>41</v>
      </c>
      <c r="H172">
        <v>10</v>
      </c>
      <c r="I172">
        <v>10</v>
      </c>
      <c r="J172">
        <v>30</v>
      </c>
    </row>
    <row r="173" spans="1:10" hidden="1" x14ac:dyDescent="0.35">
      <c r="A173" s="461" t="s">
        <v>258</v>
      </c>
      <c r="B173" s="461" t="s">
        <v>235</v>
      </c>
      <c r="C173" s="461" t="s">
        <v>42</v>
      </c>
      <c r="H173">
        <v>13</v>
      </c>
      <c r="I173">
        <v>16</v>
      </c>
      <c r="J173">
        <v>57</v>
      </c>
    </row>
    <row r="174" spans="1:10" hidden="1" x14ac:dyDescent="0.35">
      <c r="A174" s="461" t="s">
        <v>258</v>
      </c>
      <c r="B174" s="461" t="s">
        <v>235</v>
      </c>
      <c r="C174" s="461" t="s">
        <v>43</v>
      </c>
      <c r="H174">
        <v>21</v>
      </c>
      <c r="I174">
        <v>48</v>
      </c>
      <c r="J174">
        <v>201</v>
      </c>
    </row>
    <row r="175" spans="1:10" hidden="1" x14ac:dyDescent="0.35">
      <c r="A175" s="461" t="s">
        <v>258</v>
      </c>
      <c r="B175" s="461" t="s">
        <v>235</v>
      </c>
      <c r="C175" s="461" t="s">
        <v>114</v>
      </c>
      <c r="H175">
        <v>57</v>
      </c>
      <c r="I175">
        <v>105</v>
      </c>
      <c r="J175">
        <v>313</v>
      </c>
    </row>
    <row r="176" spans="1:10" hidden="1" x14ac:dyDescent="0.35">
      <c r="A176" s="461" t="s">
        <v>258</v>
      </c>
      <c r="B176" s="461" t="s">
        <v>235</v>
      </c>
      <c r="C176" s="461" t="s">
        <v>44</v>
      </c>
      <c r="H176">
        <v>4</v>
      </c>
      <c r="I176">
        <v>11</v>
      </c>
      <c r="J176">
        <v>52</v>
      </c>
    </row>
    <row r="177" spans="1:10" hidden="1" x14ac:dyDescent="0.35">
      <c r="A177" s="461" t="s">
        <v>258</v>
      </c>
      <c r="B177" s="461" t="s">
        <v>235</v>
      </c>
      <c r="C177" s="461" t="s">
        <v>45</v>
      </c>
      <c r="G177">
        <v>1</v>
      </c>
      <c r="H177">
        <v>11</v>
      </c>
      <c r="I177">
        <v>13</v>
      </c>
      <c r="J177">
        <v>43</v>
      </c>
    </row>
    <row r="178" spans="1:10" hidden="1" x14ac:dyDescent="0.35">
      <c r="A178" s="461" t="s">
        <v>258</v>
      </c>
      <c r="B178" s="461" t="s">
        <v>235</v>
      </c>
      <c r="C178" s="461" t="s">
        <v>46</v>
      </c>
      <c r="H178">
        <v>4</v>
      </c>
      <c r="I178">
        <v>4</v>
      </c>
      <c r="J178">
        <v>14</v>
      </c>
    </row>
    <row r="179" spans="1:10" hidden="1" x14ac:dyDescent="0.35">
      <c r="A179" s="461" t="s">
        <v>258</v>
      </c>
      <c r="B179" s="461" t="s">
        <v>235</v>
      </c>
      <c r="C179" s="461" t="s">
        <v>47</v>
      </c>
      <c r="H179">
        <v>4</v>
      </c>
      <c r="I179">
        <v>4</v>
      </c>
      <c r="J179">
        <v>19</v>
      </c>
    </row>
    <row r="180" spans="1:10" hidden="1" x14ac:dyDescent="0.35">
      <c r="A180" s="461" t="s">
        <v>258</v>
      </c>
      <c r="B180" s="461" t="s">
        <v>235</v>
      </c>
      <c r="C180" s="461" t="s">
        <v>48</v>
      </c>
      <c r="H180">
        <v>0</v>
      </c>
      <c r="I180">
        <v>0</v>
      </c>
      <c r="J180">
        <v>0</v>
      </c>
    </row>
    <row r="181" spans="1:10" hidden="1" x14ac:dyDescent="0.35">
      <c r="A181" s="461" t="s">
        <v>258</v>
      </c>
      <c r="B181" s="461" t="s">
        <v>235</v>
      </c>
      <c r="C181" s="461" t="s">
        <v>49</v>
      </c>
      <c r="H181">
        <v>15</v>
      </c>
      <c r="I181">
        <v>17</v>
      </c>
      <c r="J181">
        <v>46</v>
      </c>
    </row>
    <row r="182" spans="1:10" hidden="1" x14ac:dyDescent="0.35">
      <c r="A182" s="461" t="s">
        <v>258</v>
      </c>
      <c r="B182" s="461" t="s">
        <v>235</v>
      </c>
      <c r="C182" s="461" t="s">
        <v>50</v>
      </c>
      <c r="H182">
        <v>20</v>
      </c>
      <c r="I182">
        <v>30</v>
      </c>
      <c r="J182">
        <v>123</v>
      </c>
    </row>
    <row r="183" spans="1:10" hidden="1" x14ac:dyDescent="0.35">
      <c r="A183" s="461" t="s">
        <v>258</v>
      </c>
      <c r="B183" s="461" t="s">
        <v>235</v>
      </c>
      <c r="C183" s="461" t="s">
        <v>51</v>
      </c>
      <c r="H183">
        <v>0</v>
      </c>
      <c r="I183">
        <v>0</v>
      </c>
      <c r="J183">
        <v>0</v>
      </c>
    </row>
    <row r="184" spans="1:10" hidden="1" x14ac:dyDescent="0.35">
      <c r="A184" s="461" t="s">
        <v>258</v>
      </c>
      <c r="B184" s="461" t="s">
        <v>235</v>
      </c>
      <c r="C184" s="461" t="s">
        <v>52</v>
      </c>
      <c r="H184">
        <v>4</v>
      </c>
      <c r="I184">
        <v>12</v>
      </c>
      <c r="J184">
        <v>52</v>
      </c>
    </row>
    <row r="185" spans="1:10" hidden="1" x14ac:dyDescent="0.35">
      <c r="A185" s="461" t="s">
        <v>258</v>
      </c>
      <c r="B185" s="461" t="s">
        <v>235</v>
      </c>
      <c r="C185" s="461" t="s">
        <v>53</v>
      </c>
      <c r="H185">
        <v>16</v>
      </c>
      <c r="I185">
        <v>21</v>
      </c>
      <c r="J185">
        <v>60</v>
      </c>
    </row>
    <row r="186" spans="1:10" hidden="1" x14ac:dyDescent="0.35">
      <c r="A186" s="461" t="s">
        <v>258</v>
      </c>
      <c r="B186" s="461" t="s">
        <v>235</v>
      </c>
      <c r="C186" s="461" t="s">
        <v>54</v>
      </c>
      <c r="H186">
        <v>8</v>
      </c>
      <c r="I186">
        <v>8</v>
      </c>
      <c r="J186">
        <v>40</v>
      </c>
    </row>
    <row r="187" spans="1:10" hidden="1" x14ac:dyDescent="0.35">
      <c r="A187" s="461" t="s">
        <v>258</v>
      </c>
      <c r="B187" s="461" t="s">
        <v>235</v>
      </c>
      <c r="C187" s="461" t="s">
        <v>55</v>
      </c>
      <c r="H187">
        <v>0</v>
      </c>
      <c r="I187">
        <v>0</v>
      </c>
      <c r="J187">
        <v>0</v>
      </c>
    </row>
    <row r="188" spans="1:10" hidden="1" x14ac:dyDescent="0.35">
      <c r="A188" s="461" t="s">
        <v>258</v>
      </c>
      <c r="B188" s="461" t="s">
        <v>235</v>
      </c>
      <c r="C188" s="461" t="s">
        <v>56</v>
      </c>
      <c r="H188">
        <v>5</v>
      </c>
      <c r="I188">
        <v>10</v>
      </c>
      <c r="J188">
        <v>39</v>
      </c>
    </row>
    <row r="189" spans="1:10" hidden="1" x14ac:dyDescent="0.35">
      <c r="A189" s="461" t="s">
        <v>258</v>
      </c>
      <c r="B189" s="461" t="s">
        <v>235</v>
      </c>
      <c r="C189" s="461" t="s">
        <v>57</v>
      </c>
      <c r="H189">
        <v>20</v>
      </c>
      <c r="I189">
        <v>34</v>
      </c>
      <c r="J189">
        <v>117</v>
      </c>
    </row>
    <row r="190" spans="1:10" hidden="1" x14ac:dyDescent="0.35">
      <c r="A190" s="461" t="s">
        <v>258</v>
      </c>
      <c r="B190" s="461" t="s">
        <v>235</v>
      </c>
      <c r="C190" s="461" t="s">
        <v>58</v>
      </c>
      <c r="H190">
        <v>4</v>
      </c>
      <c r="I190">
        <v>9</v>
      </c>
      <c r="J190">
        <v>40</v>
      </c>
    </row>
    <row r="191" spans="1:10" hidden="1" x14ac:dyDescent="0.35">
      <c r="A191" s="461" t="s">
        <v>258</v>
      </c>
      <c r="B191" s="461" t="s">
        <v>235</v>
      </c>
      <c r="C191" s="461" t="s">
        <v>59</v>
      </c>
      <c r="H191">
        <v>10</v>
      </c>
      <c r="I191">
        <v>15</v>
      </c>
      <c r="J191">
        <v>44</v>
      </c>
    </row>
    <row r="192" spans="1:10" hidden="1" x14ac:dyDescent="0.35">
      <c r="A192" s="461" t="s">
        <v>258</v>
      </c>
      <c r="B192" s="461" t="s">
        <v>235</v>
      </c>
      <c r="C192" s="461" t="s">
        <v>60</v>
      </c>
      <c r="H192">
        <v>8</v>
      </c>
      <c r="I192">
        <v>10</v>
      </c>
      <c r="J192">
        <v>42</v>
      </c>
    </row>
    <row r="193" spans="1:10" hidden="1" x14ac:dyDescent="0.35">
      <c r="A193" s="461" t="s">
        <v>258</v>
      </c>
      <c r="B193" s="461" t="s">
        <v>236</v>
      </c>
      <c r="C193" s="461" t="s">
        <v>31</v>
      </c>
      <c r="E193">
        <v>1</v>
      </c>
      <c r="F193">
        <v>1</v>
      </c>
      <c r="G193">
        <v>3</v>
      </c>
      <c r="H193">
        <v>5</v>
      </c>
      <c r="I193">
        <v>2</v>
      </c>
      <c r="J193">
        <v>2</v>
      </c>
    </row>
    <row r="194" spans="1:10" hidden="1" x14ac:dyDescent="0.35">
      <c r="A194" s="461" t="s">
        <v>258</v>
      </c>
      <c r="B194" s="461" t="s">
        <v>236</v>
      </c>
      <c r="C194" s="461" t="s">
        <v>63</v>
      </c>
      <c r="E194">
        <v>1</v>
      </c>
      <c r="F194">
        <v>2</v>
      </c>
      <c r="G194">
        <v>8</v>
      </c>
      <c r="H194">
        <v>9</v>
      </c>
      <c r="I194">
        <v>5</v>
      </c>
      <c r="J194">
        <v>0</v>
      </c>
    </row>
    <row r="195" spans="1:10" hidden="1" x14ac:dyDescent="0.35">
      <c r="A195" s="461" t="s">
        <v>258</v>
      </c>
      <c r="B195" s="461" t="s">
        <v>236</v>
      </c>
      <c r="C195" s="461" t="s">
        <v>64</v>
      </c>
      <c r="E195">
        <v>1</v>
      </c>
      <c r="F195">
        <v>3</v>
      </c>
      <c r="G195">
        <v>9</v>
      </c>
      <c r="H195">
        <v>7</v>
      </c>
      <c r="I195">
        <v>4</v>
      </c>
      <c r="J195">
        <v>2</v>
      </c>
    </row>
    <row r="196" spans="1:10" hidden="1" x14ac:dyDescent="0.35">
      <c r="A196" s="461" t="s">
        <v>258</v>
      </c>
      <c r="B196" s="461" t="s">
        <v>236</v>
      </c>
      <c r="C196" s="461" t="s">
        <v>36</v>
      </c>
      <c r="E196">
        <v>1</v>
      </c>
      <c r="F196">
        <v>2</v>
      </c>
      <c r="G196">
        <v>6</v>
      </c>
      <c r="H196">
        <v>9</v>
      </c>
      <c r="I196">
        <v>3</v>
      </c>
      <c r="J196">
        <v>1</v>
      </c>
    </row>
    <row r="197" spans="1:10" hidden="1" x14ac:dyDescent="0.35">
      <c r="A197" s="461" t="s">
        <v>258</v>
      </c>
      <c r="B197" s="461" t="s">
        <v>236</v>
      </c>
      <c r="C197" s="461" t="s">
        <v>65</v>
      </c>
      <c r="E197">
        <v>1</v>
      </c>
      <c r="F197">
        <v>4</v>
      </c>
      <c r="G197">
        <v>9</v>
      </c>
      <c r="H197">
        <v>10</v>
      </c>
      <c r="I197">
        <v>2</v>
      </c>
      <c r="J197">
        <v>2</v>
      </c>
    </row>
    <row r="198" spans="1:10" hidden="1" x14ac:dyDescent="0.35">
      <c r="A198" s="461" t="s">
        <v>258</v>
      </c>
      <c r="B198" s="461" t="s">
        <v>236</v>
      </c>
      <c r="C198" s="461" t="s">
        <v>66</v>
      </c>
      <c r="E198">
        <v>1</v>
      </c>
      <c r="F198">
        <v>4</v>
      </c>
      <c r="G198">
        <v>9</v>
      </c>
      <c r="H198">
        <v>9</v>
      </c>
      <c r="I198">
        <v>5</v>
      </c>
      <c r="J198">
        <v>2</v>
      </c>
    </row>
    <row r="199" spans="1:10" hidden="1" x14ac:dyDescent="0.35">
      <c r="A199" s="461" t="s">
        <v>258</v>
      </c>
      <c r="B199" s="461" t="s">
        <v>236</v>
      </c>
      <c r="C199" s="461" t="s">
        <v>67</v>
      </c>
      <c r="E199">
        <v>1</v>
      </c>
      <c r="F199">
        <v>4</v>
      </c>
      <c r="G199">
        <v>8</v>
      </c>
      <c r="H199">
        <v>8</v>
      </c>
      <c r="I199">
        <v>5</v>
      </c>
      <c r="J199">
        <v>5</v>
      </c>
    </row>
    <row r="200" spans="1:10" hidden="1" x14ac:dyDescent="0.35">
      <c r="A200" s="461" t="s">
        <v>258</v>
      </c>
      <c r="B200" s="461" t="s">
        <v>236</v>
      </c>
      <c r="C200" s="461" t="s">
        <v>68</v>
      </c>
      <c r="E200">
        <v>1</v>
      </c>
      <c r="F200">
        <v>3</v>
      </c>
      <c r="G200">
        <v>4</v>
      </c>
      <c r="H200">
        <v>7</v>
      </c>
      <c r="I200">
        <v>2</v>
      </c>
      <c r="J200">
        <v>1</v>
      </c>
    </row>
    <row r="201" spans="1:10" hidden="1" x14ac:dyDescent="0.35">
      <c r="A201" s="461" t="s">
        <v>258</v>
      </c>
      <c r="B201" s="461" t="s">
        <v>236</v>
      </c>
      <c r="C201" s="461" t="s">
        <v>167</v>
      </c>
      <c r="E201">
        <v>1</v>
      </c>
      <c r="F201">
        <v>3</v>
      </c>
      <c r="G201">
        <v>6</v>
      </c>
      <c r="H201">
        <v>11</v>
      </c>
      <c r="I201">
        <v>2</v>
      </c>
      <c r="J201">
        <v>4</v>
      </c>
    </row>
    <row r="202" spans="1:10" hidden="1" x14ac:dyDescent="0.35">
      <c r="A202" s="461" t="s">
        <v>258</v>
      </c>
      <c r="B202" s="461" t="s">
        <v>236</v>
      </c>
      <c r="C202" s="461" t="s">
        <v>69</v>
      </c>
      <c r="E202">
        <v>1</v>
      </c>
      <c r="F202">
        <v>2</v>
      </c>
      <c r="G202">
        <v>6</v>
      </c>
      <c r="H202">
        <v>7</v>
      </c>
      <c r="I202">
        <v>3</v>
      </c>
      <c r="J202">
        <v>2</v>
      </c>
    </row>
    <row r="203" spans="1:10" hidden="1" x14ac:dyDescent="0.35">
      <c r="A203" s="461" t="s">
        <v>258</v>
      </c>
      <c r="B203" s="461" t="s">
        <v>236</v>
      </c>
      <c r="C203" s="461" t="s">
        <v>43</v>
      </c>
      <c r="E203">
        <v>1</v>
      </c>
      <c r="F203">
        <v>2</v>
      </c>
      <c r="G203">
        <v>7</v>
      </c>
      <c r="H203">
        <v>8</v>
      </c>
      <c r="I203">
        <v>3</v>
      </c>
      <c r="J203">
        <v>3</v>
      </c>
    </row>
    <row r="204" spans="1:10" hidden="1" x14ac:dyDescent="0.35">
      <c r="A204" s="461" t="s">
        <v>258</v>
      </c>
      <c r="B204" s="461" t="s">
        <v>236</v>
      </c>
      <c r="C204" s="461" t="s">
        <v>114</v>
      </c>
      <c r="E204">
        <v>1</v>
      </c>
      <c r="F204">
        <v>4</v>
      </c>
      <c r="G204">
        <v>9</v>
      </c>
      <c r="H204">
        <v>6</v>
      </c>
      <c r="I204">
        <v>3</v>
      </c>
      <c r="J204">
        <v>2</v>
      </c>
    </row>
    <row r="205" spans="1:10" hidden="1" x14ac:dyDescent="0.35">
      <c r="A205" s="461" t="s">
        <v>258</v>
      </c>
      <c r="B205" s="461" t="s">
        <v>236</v>
      </c>
      <c r="C205" s="461" t="s">
        <v>70</v>
      </c>
      <c r="E205">
        <v>1</v>
      </c>
      <c r="F205">
        <v>4</v>
      </c>
      <c r="G205">
        <v>13</v>
      </c>
      <c r="H205">
        <v>8</v>
      </c>
      <c r="I205">
        <v>10</v>
      </c>
      <c r="J205">
        <v>1</v>
      </c>
    </row>
    <row r="206" spans="1:10" hidden="1" x14ac:dyDescent="0.35">
      <c r="A206" s="461" t="s">
        <v>258</v>
      </c>
      <c r="B206" s="461" t="s">
        <v>236</v>
      </c>
      <c r="C206" s="461" t="s">
        <v>50</v>
      </c>
      <c r="E206">
        <v>1</v>
      </c>
      <c r="F206">
        <v>2</v>
      </c>
      <c r="G206">
        <v>5</v>
      </c>
      <c r="H206">
        <v>5</v>
      </c>
      <c r="I206">
        <v>1</v>
      </c>
      <c r="J206">
        <v>1</v>
      </c>
    </row>
    <row r="207" spans="1:10" hidden="1" x14ac:dyDescent="0.35">
      <c r="A207" s="461" t="s">
        <v>258</v>
      </c>
      <c r="B207" s="461" t="s">
        <v>236</v>
      </c>
      <c r="C207" s="461" t="s">
        <v>57</v>
      </c>
      <c r="E207">
        <v>1</v>
      </c>
      <c r="F207">
        <v>2</v>
      </c>
      <c r="G207">
        <v>5</v>
      </c>
      <c r="H207">
        <v>4</v>
      </c>
      <c r="I207">
        <v>2</v>
      </c>
      <c r="J207">
        <v>1</v>
      </c>
    </row>
    <row r="208" spans="1:10" hidden="1" x14ac:dyDescent="0.35">
      <c r="A208" s="461" t="s">
        <v>258</v>
      </c>
      <c r="B208" s="461" t="s">
        <v>236</v>
      </c>
      <c r="C208" s="461" t="s">
        <v>17412</v>
      </c>
      <c r="E208">
        <v>0</v>
      </c>
      <c r="F208">
        <v>2</v>
      </c>
      <c r="G208">
        <v>4</v>
      </c>
      <c r="H208">
        <v>5</v>
      </c>
      <c r="I208">
        <v>3</v>
      </c>
      <c r="J208">
        <v>1</v>
      </c>
    </row>
    <row r="209" spans="1:10" hidden="1" x14ac:dyDescent="0.35">
      <c r="A209" s="461" t="s">
        <v>258</v>
      </c>
      <c r="B209" s="461" t="s">
        <v>236</v>
      </c>
      <c r="C209" s="461" t="s">
        <v>71</v>
      </c>
      <c r="E209">
        <v>1</v>
      </c>
      <c r="F209">
        <v>3</v>
      </c>
      <c r="G209">
        <v>5</v>
      </c>
      <c r="H209">
        <v>1</v>
      </c>
      <c r="I209">
        <v>6</v>
      </c>
      <c r="J209">
        <v>0</v>
      </c>
    </row>
    <row r="210" spans="1:10" hidden="1" x14ac:dyDescent="0.35">
      <c r="A210" s="461" t="s">
        <v>258</v>
      </c>
      <c r="B210" s="461" t="s">
        <v>237</v>
      </c>
      <c r="C210" s="461" t="s">
        <v>166</v>
      </c>
      <c r="E210">
        <v>1</v>
      </c>
      <c r="F210">
        <v>5</v>
      </c>
      <c r="G210">
        <v>5</v>
      </c>
      <c r="H210">
        <v>20</v>
      </c>
      <c r="I210">
        <v>6</v>
      </c>
      <c r="J210">
        <v>1</v>
      </c>
    </row>
    <row r="211" spans="1:10" hidden="1" x14ac:dyDescent="0.35">
      <c r="A211" s="461" t="s">
        <v>258</v>
      </c>
      <c r="B211" s="461" t="s">
        <v>237</v>
      </c>
      <c r="C211" s="461" t="s">
        <v>164</v>
      </c>
      <c r="E211">
        <v>1</v>
      </c>
      <c r="F211">
        <v>4</v>
      </c>
      <c r="G211">
        <v>9</v>
      </c>
      <c r="H211">
        <v>24</v>
      </c>
      <c r="I211">
        <v>6</v>
      </c>
      <c r="J211">
        <v>1</v>
      </c>
    </row>
    <row r="212" spans="1:10" hidden="1" x14ac:dyDescent="0.35">
      <c r="A212" s="461" t="s">
        <v>258</v>
      </c>
      <c r="B212" s="461" t="s">
        <v>237</v>
      </c>
      <c r="C212" s="461" t="s">
        <v>165</v>
      </c>
      <c r="E212">
        <v>1</v>
      </c>
      <c r="F212">
        <v>3</v>
      </c>
      <c r="G212">
        <v>11</v>
      </c>
      <c r="H212">
        <v>42</v>
      </c>
      <c r="I212">
        <v>10</v>
      </c>
      <c r="J212">
        <v>1</v>
      </c>
    </row>
    <row r="213" spans="1:10" hidden="1" x14ac:dyDescent="0.35">
      <c r="A213" s="461" t="s">
        <v>258</v>
      </c>
      <c r="B213" s="461" t="s">
        <v>238</v>
      </c>
      <c r="C213" s="461" t="s">
        <v>246</v>
      </c>
      <c r="D213">
        <v>4</v>
      </c>
      <c r="E213">
        <v>15</v>
      </c>
      <c r="F213">
        <v>11</v>
      </c>
      <c r="G213">
        <v>9</v>
      </c>
      <c r="H213">
        <v>42</v>
      </c>
      <c r="I213">
        <v>0</v>
      </c>
      <c r="J213">
        <v>101</v>
      </c>
    </row>
    <row r="214" spans="1:10" hidden="1" x14ac:dyDescent="0.35">
      <c r="A214" s="461" t="s">
        <v>242</v>
      </c>
      <c r="B214" s="461" t="s">
        <v>235</v>
      </c>
      <c r="C214" s="461" t="s">
        <v>31</v>
      </c>
      <c r="D214">
        <v>0</v>
      </c>
      <c r="E214">
        <v>0</v>
      </c>
      <c r="F214">
        <v>0</v>
      </c>
      <c r="G214">
        <v>0</v>
      </c>
      <c r="H214">
        <v>15</v>
      </c>
      <c r="I214">
        <v>33</v>
      </c>
      <c r="J214">
        <v>97</v>
      </c>
    </row>
    <row r="215" spans="1:10" hidden="1" x14ac:dyDescent="0.35">
      <c r="A215" s="461" t="s">
        <v>242</v>
      </c>
      <c r="B215" s="461" t="s">
        <v>235</v>
      </c>
      <c r="C215" s="461" t="s">
        <v>32</v>
      </c>
      <c r="D215">
        <v>0</v>
      </c>
      <c r="E215">
        <v>0</v>
      </c>
      <c r="F215">
        <v>0</v>
      </c>
      <c r="G215">
        <v>0</v>
      </c>
      <c r="H215">
        <v>5</v>
      </c>
      <c r="I215">
        <v>5</v>
      </c>
      <c r="J215">
        <v>14</v>
      </c>
    </row>
    <row r="216" spans="1:10" hidden="1" x14ac:dyDescent="0.35">
      <c r="A216" s="461" t="s">
        <v>242</v>
      </c>
      <c r="B216" s="461" t="s">
        <v>235</v>
      </c>
      <c r="C216" s="461" t="s">
        <v>33</v>
      </c>
      <c r="D216">
        <v>0</v>
      </c>
      <c r="E216">
        <v>0</v>
      </c>
      <c r="F216">
        <v>0</v>
      </c>
      <c r="G216">
        <v>0</v>
      </c>
      <c r="H216">
        <v>5</v>
      </c>
      <c r="I216">
        <v>5</v>
      </c>
      <c r="J216">
        <v>18</v>
      </c>
    </row>
    <row r="217" spans="1:10" hidden="1" x14ac:dyDescent="0.35">
      <c r="A217" s="461" t="s">
        <v>242</v>
      </c>
      <c r="B217" s="461" t="s">
        <v>235</v>
      </c>
      <c r="C217" s="461" t="s">
        <v>34</v>
      </c>
      <c r="D217">
        <v>0</v>
      </c>
      <c r="E217">
        <v>0</v>
      </c>
      <c r="F217">
        <v>0</v>
      </c>
      <c r="G217">
        <v>0</v>
      </c>
      <c r="H217">
        <v>10</v>
      </c>
      <c r="I217">
        <v>10</v>
      </c>
      <c r="J217">
        <v>30</v>
      </c>
    </row>
    <row r="218" spans="1:10" hidden="1" x14ac:dyDescent="0.35">
      <c r="A218" s="461" t="s">
        <v>242</v>
      </c>
      <c r="B218" s="461" t="s">
        <v>235</v>
      </c>
      <c r="C218" s="461" t="s">
        <v>245</v>
      </c>
      <c r="D218">
        <v>0</v>
      </c>
      <c r="E218">
        <v>0</v>
      </c>
      <c r="F218">
        <v>0</v>
      </c>
      <c r="G218">
        <v>0</v>
      </c>
      <c r="H218">
        <v>35</v>
      </c>
      <c r="I218">
        <v>54</v>
      </c>
      <c r="J218">
        <v>204</v>
      </c>
    </row>
    <row r="219" spans="1:10" hidden="1" x14ac:dyDescent="0.35">
      <c r="A219" s="461" t="s">
        <v>242</v>
      </c>
      <c r="B219" s="461" t="s">
        <v>235</v>
      </c>
      <c r="C219" s="461" t="s">
        <v>35</v>
      </c>
      <c r="D219">
        <v>0</v>
      </c>
      <c r="E219">
        <v>0</v>
      </c>
      <c r="F219">
        <v>0</v>
      </c>
      <c r="G219">
        <v>0</v>
      </c>
      <c r="H219">
        <v>5</v>
      </c>
      <c r="I219">
        <v>5</v>
      </c>
      <c r="J219">
        <v>15</v>
      </c>
    </row>
    <row r="220" spans="1:10" hidden="1" x14ac:dyDescent="0.35">
      <c r="A220" s="461" t="s">
        <v>242</v>
      </c>
      <c r="B220" s="461" t="s">
        <v>235</v>
      </c>
      <c r="C220" s="461" t="s">
        <v>17411</v>
      </c>
      <c r="D220">
        <v>0</v>
      </c>
      <c r="E220">
        <v>0</v>
      </c>
      <c r="F220">
        <v>0</v>
      </c>
      <c r="G220">
        <v>0</v>
      </c>
      <c r="H220">
        <v>5</v>
      </c>
      <c r="I220">
        <v>11</v>
      </c>
      <c r="J220">
        <v>38</v>
      </c>
    </row>
    <row r="221" spans="1:10" hidden="1" x14ac:dyDescent="0.35">
      <c r="A221" s="461" t="s">
        <v>242</v>
      </c>
      <c r="B221" s="461" t="s">
        <v>235</v>
      </c>
      <c r="C221" s="461" t="s">
        <v>37</v>
      </c>
      <c r="D221">
        <v>0</v>
      </c>
      <c r="E221">
        <v>0</v>
      </c>
      <c r="F221">
        <v>0</v>
      </c>
      <c r="G221">
        <v>0</v>
      </c>
      <c r="H221">
        <v>21</v>
      </c>
      <c r="I221">
        <v>35</v>
      </c>
      <c r="J221">
        <v>122</v>
      </c>
    </row>
    <row r="222" spans="1:10" hidden="1" x14ac:dyDescent="0.35">
      <c r="A222" s="461" t="s">
        <v>242</v>
      </c>
      <c r="B222" s="461" t="s">
        <v>235</v>
      </c>
      <c r="C222" s="461" t="s">
        <v>38</v>
      </c>
      <c r="D222">
        <v>0</v>
      </c>
      <c r="E222">
        <v>0</v>
      </c>
      <c r="F222">
        <v>0</v>
      </c>
      <c r="G222">
        <v>0</v>
      </c>
      <c r="H222">
        <v>5</v>
      </c>
      <c r="I222">
        <v>10</v>
      </c>
      <c r="J222">
        <v>34</v>
      </c>
    </row>
    <row r="223" spans="1:10" hidden="1" x14ac:dyDescent="0.35">
      <c r="A223" s="461" t="s">
        <v>242</v>
      </c>
      <c r="B223" s="461" t="s">
        <v>235</v>
      </c>
      <c r="C223" s="461" t="s">
        <v>39</v>
      </c>
      <c r="D223">
        <v>0</v>
      </c>
      <c r="E223">
        <v>0</v>
      </c>
      <c r="F223">
        <v>0</v>
      </c>
      <c r="G223">
        <v>0</v>
      </c>
      <c r="H223">
        <v>15</v>
      </c>
      <c r="I223">
        <v>15</v>
      </c>
      <c r="J223">
        <v>48</v>
      </c>
    </row>
    <row r="224" spans="1:10" hidden="1" x14ac:dyDescent="0.35">
      <c r="A224" s="461" t="s">
        <v>242</v>
      </c>
      <c r="B224" s="461" t="s">
        <v>235</v>
      </c>
      <c r="C224" s="461" t="s">
        <v>40</v>
      </c>
      <c r="D224">
        <v>0</v>
      </c>
      <c r="E224">
        <v>0</v>
      </c>
      <c r="F224">
        <v>0</v>
      </c>
      <c r="G224">
        <v>0</v>
      </c>
      <c r="H224">
        <v>5</v>
      </c>
      <c r="I224">
        <v>5</v>
      </c>
      <c r="J224">
        <v>13</v>
      </c>
    </row>
    <row r="225" spans="1:10" hidden="1" x14ac:dyDescent="0.35">
      <c r="A225" s="461" t="s">
        <v>242</v>
      </c>
      <c r="B225" s="461" t="s">
        <v>235</v>
      </c>
      <c r="C225" s="461" t="s">
        <v>41</v>
      </c>
      <c r="D225">
        <v>0</v>
      </c>
      <c r="E225">
        <v>0</v>
      </c>
      <c r="F225">
        <v>0</v>
      </c>
      <c r="G225">
        <v>0</v>
      </c>
      <c r="H225">
        <v>11</v>
      </c>
      <c r="I225">
        <v>10</v>
      </c>
      <c r="J225">
        <v>30</v>
      </c>
    </row>
    <row r="226" spans="1:10" hidden="1" x14ac:dyDescent="0.35">
      <c r="A226" s="461" t="s">
        <v>242</v>
      </c>
      <c r="B226" s="461" t="s">
        <v>235</v>
      </c>
      <c r="C226" s="461" t="s">
        <v>42</v>
      </c>
      <c r="D226">
        <v>0</v>
      </c>
      <c r="E226">
        <v>0</v>
      </c>
      <c r="F226">
        <v>0</v>
      </c>
      <c r="G226">
        <v>0</v>
      </c>
      <c r="H226">
        <v>16</v>
      </c>
      <c r="I226">
        <v>22</v>
      </c>
      <c r="J226">
        <v>49</v>
      </c>
    </row>
    <row r="227" spans="1:10" hidden="1" x14ac:dyDescent="0.35">
      <c r="A227" s="461" t="s">
        <v>242</v>
      </c>
      <c r="B227" s="461" t="s">
        <v>235</v>
      </c>
      <c r="C227" s="461" t="s">
        <v>43</v>
      </c>
      <c r="D227">
        <v>0</v>
      </c>
      <c r="E227">
        <v>0</v>
      </c>
      <c r="F227">
        <v>0</v>
      </c>
      <c r="G227">
        <v>0</v>
      </c>
      <c r="H227">
        <v>24</v>
      </c>
      <c r="I227">
        <v>49</v>
      </c>
      <c r="J227">
        <v>181</v>
      </c>
    </row>
    <row r="228" spans="1:10" hidden="1" x14ac:dyDescent="0.35">
      <c r="A228" s="461" t="s">
        <v>242</v>
      </c>
      <c r="B228" s="461" t="s">
        <v>235</v>
      </c>
      <c r="C228" s="461" t="s">
        <v>114</v>
      </c>
      <c r="D228">
        <v>0</v>
      </c>
      <c r="E228">
        <v>0</v>
      </c>
      <c r="F228">
        <v>0</v>
      </c>
      <c r="G228">
        <v>0</v>
      </c>
      <c r="H228">
        <v>57</v>
      </c>
      <c r="I228">
        <v>113</v>
      </c>
      <c r="J228">
        <v>319</v>
      </c>
    </row>
    <row r="229" spans="1:10" hidden="1" x14ac:dyDescent="0.35">
      <c r="A229" s="461" t="s">
        <v>242</v>
      </c>
      <c r="B229" s="461" t="s">
        <v>235</v>
      </c>
      <c r="C229" s="461" t="s">
        <v>44</v>
      </c>
      <c r="D229">
        <v>0</v>
      </c>
      <c r="E229">
        <v>0</v>
      </c>
      <c r="F229">
        <v>0</v>
      </c>
      <c r="G229">
        <v>0</v>
      </c>
      <c r="H229">
        <v>4</v>
      </c>
      <c r="I229">
        <v>15</v>
      </c>
      <c r="J229">
        <v>49</v>
      </c>
    </row>
    <row r="230" spans="1:10" hidden="1" x14ac:dyDescent="0.35">
      <c r="A230" s="461" t="s">
        <v>242</v>
      </c>
      <c r="B230" s="461" t="s">
        <v>235</v>
      </c>
      <c r="C230" s="461" t="s">
        <v>45</v>
      </c>
      <c r="D230">
        <v>0</v>
      </c>
      <c r="E230">
        <v>0</v>
      </c>
      <c r="F230">
        <v>0</v>
      </c>
      <c r="G230">
        <v>0</v>
      </c>
      <c r="H230">
        <v>13</v>
      </c>
      <c r="I230">
        <v>15</v>
      </c>
      <c r="J230">
        <v>44</v>
      </c>
    </row>
    <row r="231" spans="1:10" hidden="1" x14ac:dyDescent="0.35">
      <c r="A231" s="461" t="s">
        <v>242</v>
      </c>
      <c r="B231" s="461" t="s">
        <v>235</v>
      </c>
      <c r="C231" s="461" t="s">
        <v>46</v>
      </c>
      <c r="D231">
        <v>0</v>
      </c>
      <c r="E231">
        <v>0</v>
      </c>
      <c r="F231">
        <v>0</v>
      </c>
      <c r="G231">
        <v>0</v>
      </c>
      <c r="H231">
        <v>5</v>
      </c>
      <c r="I231">
        <v>5</v>
      </c>
      <c r="J231">
        <v>18</v>
      </c>
    </row>
    <row r="232" spans="1:10" hidden="1" x14ac:dyDescent="0.35">
      <c r="A232" s="461" t="s">
        <v>242</v>
      </c>
      <c r="B232" s="461" t="s">
        <v>235</v>
      </c>
      <c r="C232" s="461" t="s">
        <v>47</v>
      </c>
      <c r="D232">
        <v>0</v>
      </c>
      <c r="E232">
        <v>0</v>
      </c>
      <c r="F232">
        <v>0</v>
      </c>
      <c r="G232">
        <v>0</v>
      </c>
      <c r="H232">
        <v>5</v>
      </c>
      <c r="I232">
        <v>5</v>
      </c>
      <c r="J232">
        <v>19</v>
      </c>
    </row>
    <row r="233" spans="1:10" hidden="1" x14ac:dyDescent="0.35">
      <c r="A233" s="461" t="s">
        <v>242</v>
      </c>
      <c r="B233" s="461" t="s">
        <v>235</v>
      </c>
      <c r="C233" s="461" t="s">
        <v>48</v>
      </c>
    </row>
    <row r="234" spans="1:10" hidden="1" x14ac:dyDescent="0.35">
      <c r="A234" s="461" t="s">
        <v>242</v>
      </c>
      <c r="B234" s="461" t="s">
        <v>235</v>
      </c>
      <c r="C234" s="461" t="s">
        <v>49</v>
      </c>
      <c r="D234">
        <v>0</v>
      </c>
      <c r="E234">
        <v>0</v>
      </c>
      <c r="F234">
        <v>0</v>
      </c>
      <c r="G234">
        <v>0</v>
      </c>
      <c r="H234">
        <v>15</v>
      </c>
      <c r="I234">
        <v>16</v>
      </c>
      <c r="J234">
        <v>45</v>
      </c>
    </row>
    <row r="235" spans="1:10" hidden="1" x14ac:dyDescent="0.35">
      <c r="A235" s="461" t="s">
        <v>242</v>
      </c>
      <c r="B235" s="461" t="s">
        <v>235</v>
      </c>
      <c r="C235" s="461" t="s">
        <v>50</v>
      </c>
      <c r="D235">
        <v>0</v>
      </c>
      <c r="E235">
        <v>0</v>
      </c>
      <c r="F235">
        <v>0</v>
      </c>
      <c r="G235">
        <v>0</v>
      </c>
      <c r="H235">
        <v>19</v>
      </c>
      <c r="I235">
        <v>31</v>
      </c>
      <c r="J235">
        <v>113</v>
      </c>
    </row>
    <row r="236" spans="1:10" hidden="1" x14ac:dyDescent="0.35">
      <c r="A236" s="461" t="s">
        <v>242</v>
      </c>
      <c r="B236" s="461" t="s">
        <v>235</v>
      </c>
      <c r="C236" s="461" t="s">
        <v>51</v>
      </c>
    </row>
    <row r="237" spans="1:10" hidden="1" x14ac:dyDescent="0.35">
      <c r="A237" s="461" t="s">
        <v>242</v>
      </c>
      <c r="B237" s="461" t="s">
        <v>235</v>
      </c>
      <c r="C237" s="461" t="s">
        <v>52</v>
      </c>
      <c r="D237">
        <v>0</v>
      </c>
      <c r="E237">
        <v>0</v>
      </c>
      <c r="F237">
        <v>0</v>
      </c>
      <c r="G237">
        <v>0</v>
      </c>
      <c r="H237">
        <v>5</v>
      </c>
      <c r="I237">
        <v>10</v>
      </c>
      <c r="J237">
        <v>54</v>
      </c>
    </row>
    <row r="238" spans="1:10" hidden="1" x14ac:dyDescent="0.35">
      <c r="A238" s="461" t="s">
        <v>242</v>
      </c>
      <c r="B238" s="461" t="s">
        <v>235</v>
      </c>
      <c r="C238" s="461" t="s">
        <v>53</v>
      </c>
      <c r="D238">
        <v>0</v>
      </c>
      <c r="E238">
        <v>0</v>
      </c>
      <c r="F238">
        <v>0</v>
      </c>
      <c r="G238">
        <v>0</v>
      </c>
      <c r="H238">
        <v>15</v>
      </c>
      <c r="I238">
        <v>20</v>
      </c>
      <c r="J238">
        <v>59</v>
      </c>
    </row>
    <row r="239" spans="1:10" hidden="1" x14ac:dyDescent="0.35">
      <c r="A239" s="461" t="s">
        <v>242</v>
      </c>
      <c r="B239" s="461" t="s">
        <v>235</v>
      </c>
      <c r="C239" s="461" t="s">
        <v>54</v>
      </c>
      <c r="D239">
        <v>0</v>
      </c>
      <c r="E239">
        <v>0</v>
      </c>
      <c r="F239">
        <v>0</v>
      </c>
      <c r="G239">
        <v>0</v>
      </c>
      <c r="H239">
        <v>10</v>
      </c>
      <c r="I239">
        <v>9</v>
      </c>
      <c r="J239">
        <v>32</v>
      </c>
    </row>
    <row r="240" spans="1:10" hidden="1" x14ac:dyDescent="0.35">
      <c r="A240" s="461" t="s">
        <v>242</v>
      </c>
      <c r="B240" s="461" t="s">
        <v>235</v>
      </c>
      <c r="C240" s="461" t="s">
        <v>55</v>
      </c>
    </row>
    <row r="241" spans="1:10" hidden="1" x14ac:dyDescent="0.35">
      <c r="A241" s="461" t="s">
        <v>242</v>
      </c>
      <c r="B241" s="461" t="s">
        <v>235</v>
      </c>
      <c r="C241" s="461" t="s">
        <v>56</v>
      </c>
      <c r="D241">
        <v>0</v>
      </c>
      <c r="E241">
        <v>0</v>
      </c>
      <c r="F241">
        <v>0</v>
      </c>
      <c r="G241">
        <v>0</v>
      </c>
      <c r="H241">
        <v>5</v>
      </c>
      <c r="I241">
        <v>10</v>
      </c>
      <c r="J241">
        <v>35</v>
      </c>
    </row>
    <row r="242" spans="1:10" hidden="1" x14ac:dyDescent="0.35">
      <c r="A242" s="461" t="s">
        <v>242</v>
      </c>
      <c r="B242" s="461" t="s">
        <v>235</v>
      </c>
      <c r="C242" s="461" t="s">
        <v>57</v>
      </c>
      <c r="D242">
        <v>0</v>
      </c>
      <c r="E242">
        <v>0</v>
      </c>
      <c r="F242">
        <v>0</v>
      </c>
      <c r="G242">
        <v>0</v>
      </c>
      <c r="H242">
        <v>20</v>
      </c>
      <c r="I242">
        <v>35</v>
      </c>
      <c r="J242">
        <v>111</v>
      </c>
    </row>
    <row r="243" spans="1:10" hidden="1" x14ac:dyDescent="0.35">
      <c r="A243" s="461" t="s">
        <v>242</v>
      </c>
      <c r="B243" s="461" t="s">
        <v>235</v>
      </c>
      <c r="C243" s="461" t="s">
        <v>58</v>
      </c>
      <c r="D243">
        <v>0</v>
      </c>
      <c r="E243">
        <v>0</v>
      </c>
      <c r="F243">
        <v>0</v>
      </c>
      <c r="G243">
        <v>0</v>
      </c>
      <c r="H243">
        <v>5</v>
      </c>
      <c r="I243">
        <v>9</v>
      </c>
      <c r="J243">
        <v>34</v>
      </c>
    </row>
    <row r="244" spans="1:10" hidden="1" x14ac:dyDescent="0.35">
      <c r="A244" s="461" t="s">
        <v>242</v>
      </c>
      <c r="B244" s="461" t="s">
        <v>235</v>
      </c>
      <c r="C244" s="461" t="s">
        <v>59</v>
      </c>
      <c r="D244">
        <v>0</v>
      </c>
      <c r="E244">
        <v>0</v>
      </c>
      <c r="F244">
        <v>0</v>
      </c>
      <c r="G244">
        <v>0</v>
      </c>
      <c r="H244">
        <v>10</v>
      </c>
      <c r="I244">
        <v>15</v>
      </c>
      <c r="J244">
        <v>43</v>
      </c>
    </row>
    <row r="245" spans="1:10" hidden="1" x14ac:dyDescent="0.35">
      <c r="A245" s="461" t="s">
        <v>242</v>
      </c>
      <c r="B245" s="461" t="s">
        <v>235</v>
      </c>
      <c r="C245" s="461" t="s">
        <v>60</v>
      </c>
      <c r="D245">
        <v>0</v>
      </c>
      <c r="E245">
        <v>0</v>
      </c>
      <c r="F245">
        <v>0</v>
      </c>
      <c r="G245">
        <v>0</v>
      </c>
      <c r="H245">
        <v>10</v>
      </c>
      <c r="I245">
        <v>11</v>
      </c>
      <c r="J245">
        <v>37</v>
      </c>
    </row>
    <row r="246" spans="1:10" hidden="1" x14ac:dyDescent="0.35">
      <c r="A246" s="461" t="s">
        <v>242</v>
      </c>
      <c r="B246" s="461" t="s">
        <v>236</v>
      </c>
      <c r="C246" s="461" t="s">
        <v>31</v>
      </c>
      <c r="D246">
        <v>0</v>
      </c>
      <c r="E246">
        <v>1</v>
      </c>
      <c r="F246">
        <v>2</v>
      </c>
      <c r="G246">
        <v>3</v>
      </c>
      <c r="H246">
        <v>5</v>
      </c>
      <c r="I246">
        <v>2</v>
      </c>
      <c r="J246">
        <v>2</v>
      </c>
    </row>
    <row r="247" spans="1:10" hidden="1" x14ac:dyDescent="0.35">
      <c r="A247" s="461" t="s">
        <v>242</v>
      </c>
      <c r="B247" s="461" t="s">
        <v>236</v>
      </c>
      <c r="C247" s="461" t="s">
        <v>63</v>
      </c>
      <c r="D247">
        <v>0</v>
      </c>
      <c r="E247">
        <v>1</v>
      </c>
      <c r="F247">
        <v>2</v>
      </c>
      <c r="G247">
        <v>7</v>
      </c>
      <c r="H247">
        <v>8</v>
      </c>
      <c r="I247">
        <v>7</v>
      </c>
      <c r="J247">
        <v>0</v>
      </c>
    </row>
    <row r="248" spans="1:10" hidden="1" x14ac:dyDescent="0.35">
      <c r="A248" s="461" t="s">
        <v>242</v>
      </c>
      <c r="B248" s="461" t="s">
        <v>236</v>
      </c>
      <c r="C248" s="461" t="s">
        <v>64</v>
      </c>
      <c r="D248">
        <v>0</v>
      </c>
      <c r="E248">
        <v>1</v>
      </c>
      <c r="F248">
        <v>3</v>
      </c>
      <c r="G248">
        <v>9</v>
      </c>
      <c r="H248">
        <v>6</v>
      </c>
      <c r="I248">
        <v>6</v>
      </c>
      <c r="J248">
        <v>1</v>
      </c>
    </row>
    <row r="249" spans="1:10" hidden="1" x14ac:dyDescent="0.35">
      <c r="A249" s="461" t="s">
        <v>242</v>
      </c>
      <c r="B249" s="461" t="s">
        <v>236</v>
      </c>
      <c r="C249" s="461" t="s">
        <v>36</v>
      </c>
      <c r="D249">
        <v>0</v>
      </c>
      <c r="E249">
        <v>1</v>
      </c>
      <c r="F249">
        <v>2</v>
      </c>
      <c r="G249">
        <v>6</v>
      </c>
      <c r="H249">
        <v>7</v>
      </c>
      <c r="I249">
        <v>4</v>
      </c>
      <c r="J249">
        <v>2</v>
      </c>
    </row>
    <row r="250" spans="1:10" hidden="1" x14ac:dyDescent="0.35">
      <c r="A250" s="461" t="s">
        <v>242</v>
      </c>
      <c r="B250" s="461" t="s">
        <v>236</v>
      </c>
      <c r="C250" s="461" t="s">
        <v>65</v>
      </c>
      <c r="D250">
        <v>0</v>
      </c>
      <c r="E250">
        <v>1</v>
      </c>
      <c r="F250">
        <v>4</v>
      </c>
      <c r="G250">
        <v>9</v>
      </c>
      <c r="H250">
        <v>9</v>
      </c>
      <c r="I250">
        <v>3</v>
      </c>
      <c r="J250">
        <v>2</v>
      </c>
    </row>
    <row r="251" spans="1:10" hidden="1" x14ac:dyDescent="0.35">
      <c r="A251" s="461" t="s">
        <v>242</v>
      </c>
      <c r="B251" s="461" t="s">
        <v>236</v>
      </c>
      <c r="C251" s="461" t="s">
        <v>66</v>
      </c>
      <c r="D251">
        <v>0</v>
      </c>
      <c r="E251">
        <v>1</v>
      </c>
      <c r="F251">
        <v>3</v>
      </c>
      <c r="G251">
        <v>9</v>
      </c>
      <c r="H251">
        <v>8</v>
      </c>
      <c r="I251">
        <v>5</v>
      </c>
      <c r="J251">
        <v>1</v>
      </c>
    </row>
    <row r="252" spans="1:10" hidden="1" x14ac:dyDescent="0.35">
      <c r="A252" s="461" t="s">
        <v>242</v>
      </c>
      <c r="B252" s="461" t="s">
        <v>236</v>
      </c>
      <c r="C252" s="461" t="s">
        <v>67</v>
      </c>
      <c r="D252">
        <v>0</v>
      </c>
      <c r="E252">
        <v>1</v>
      </c>
      <c r="F252">
        <v>3</v>
      </c>
      <c r="G252">
        <v>7</v>
      </c>
      <c r="H252">
        <v>8</v>
      </c>
      <c r="I252">
        <v>3</v>
      </c>
      <c r="J252">
        <v>5</v>
      </c>
    </row>
    <row r="253" spans="1:10" hidden="1" x14ac:dyDescent="0.35">
      <c r="A253" s="461" t="s">
        <v>242</v>
      </c>
      <c r="B253" s="461" t="s">
        <v>236</v>
      </c>
      <c r="C253" s="461" t="s">
        <v>68</v>
      </c>
      <c r="D253">
        <v>0</v>
      </c>
      <c r="E253">
        <v>1</v>
      </c>
      <c r="F253">
        <v>3</v>
      </c>
      <c r="G253">
        <v>4</v>
      </c>
      <c r="H253">
        <v>4</v>
      </c>
      <c r="I253">
        <v>2</v>
      </c>
      <c r="J253">
        <v>2</v>
      </c>
    </row>
    <row r="254" spans="1:10" hidden="1" x14ac:dyDescent="0.35">
      <c r="A254" s="461" t="s">
        <v>242</v>
      </c>
      <c r="B254" s="461" t="s">
        <v>236</v>
      </c>
      <c r="C254" s="461" t="s">
        <v>167</v>
      </c>
      <c r="D254">
        <v>0</v>
      </c>
      <c r="E254">
        <v>1</v>
      </c>
      <c r="F254">
        <v>3</v>
      </c>
      <c r="G254">
        <v>7</v>
      </c>
      <c r="H254">
        <v>11</v>
      </c>
      <c r="I254">
        <v>6</v>
      </c>
      <c r="J254">
        <v>3</v>
      </c>
    </row>
    <row r="255" spans="1:10" hidden="1" x14ac:dyDescent="0.35">
      <c r="A255" s="461" t="s">
        <v>242</v>
      </c>
      <c r="B255" s="461" t="s">
        <v>236</v>
      </c>
      <c r="C255" s="461" t="s">
        <v>69</v>
      </c>
      <c r="D255">
        <v>0</v>
      </c>
      <c r="E255">
        <v>1</v>
      </c>
      <c r="F255">
        <v>2</v>
      </c>
      <c r="G255">
        <v>5</v>
      </c>
      <c r="H255">
        <v>6</v>
      </c>
      <c r="I255">
        <v>3</v>
      </c>
      <c r="J255">
        <v>2</v>
      </c>
    </row>
    <row r="256" spans="1:10" hidden="1" x14ac:dyDescent="0.35">
      <c r="A256" s="461" t="s">
        <v>242</v>
      </c>
      <c r="B256" s="461" t="s">
        <v>236</v>
      </c>
      <c r="C256" s="461" t="s">
        <v>43</v>
      </c>
      <c r="D256">
        <v>0</v>
      </c>
      <c r="E256">
        <v>0</v>
      </c>
      <c r="F256">
        <v>2</v>
      </c>
      <c r="G256">
        <v>6</v>
      </c>
      <c r="H256">
        <v>6</v>
      </c>
      <c r="I256">
        <v>1</v>
      </c>
      <c r="J256">
        <v>4</v>
      </c>
    </row>
    <row r="257" spans="1:10" hidden="1" x14ac:dyDescent="0.35">
      <c r="A257" s="461" t="s">
        <v>242</v>
      </c>
      <c r="B257" s="461" t="s">
        <v>236</v>
      </c>
      <c r="C257" s="461" t="s">
        <v>114</v>
      </c>
      <c r="D257">
        <v>0</v>
      </c>
      <c r="E257">
        <v>1</v>
      </c>
      <c r="F257">
        <v>4</v>
      </c>
      <c r="G257">
        <v>8</v>
      </c>
      <c r="H257">
        <v>6</v>
      </c>
      <c r="I257">
        <v>2</v>
      </c>
      <c r="J257">
        <v>1</v>
      </c>
    </row>
    <row r="258" spans="1:10" hidden="1" x14ac:dyDescent="0.35">
      <c r="A258" s="461" t="s">
        <v>242</v>
      </c>
      <c r="B258" s="461" t="s">
        <v>236</v>
      </c>
      <c r="C258" s="461" t="s">
        <v>70</v>
      </c>
      <c r="D258">
        <v>0</v>
      </c>
      <c r="E258">
        <v>1</v>
      </c>
      <c r="F258">
        <v>4</v>
      </c>
      <c r="G258">
        <v>12</v>
      </c>
      <c r="H258">
        <v>7</v>
      </c>
      <c r="I258">
        <v>7</v>
      </c>
      <c r="J258">
        <v>1</v>
      </c>
    </row>
    <row r="259" spans="1:10" hidden="1" x14ac:dyDescent="0.35">
      <c r="A259" s="461" t="s">
        <v>242</v>
      </c>
      <c r="B259" s="461" t="s">
        <v>236</v>
      </c>
      <c r="C259" s="461" t="s">
        <v>50</v>
      </c>
      <c r="D259">
        <v>0</v>
      </c>
      <c r="E259">
        <v>1</v>
      </c>
      <c r="F259">
        <v>2</v>
      </c>
      <c r="G259">
        <v>6</v>
      </c>
      <c r="H259">
        <v>5</v>
      </c>
      <c r="I259">
        <v>2</v>
      </c>
      <c r="J259">
        <v>1</v>
      </c>
    </row>
    <row r="260" spans="1:10" hidden="1" x14ac:dyDescent="0.35">
      <c r="A260" s="461" t="s">
        <v>242</v>
      </c>
      <c r="B260" s="461" t="s">
        <v>236</v>
      </c>
      <c r="C260" s="461" t="s">
        <v>57</v>
      </c>
      <c r="D260">
        <v>0</v>
      </c>
      <c r="E260">
        <v>1</v>
      </c>
      <c r="F260">
        <v>2</v>
      </c>
      <c r="G260">
        <v>6</v>
      </c>
      <c r="H260">
        <v>4</v>
      </c>
      <c r="I260">
        <v>2</v>
      </c>
      <c r="J260">
        <v>1</v>
      </c>
    </row>
    <row r="261" spans="1:10" hidden="1" x14ac:dyDescent="0.35">
      <c r="A261" s="461" t="s">
        <v>242</v>
      </c>
      <c r="B261" s="461" t="s">
        <v>236</v>
      </c>
      <c r="C261" s="461" t="s">
        <v>17412</v>
      </c>
      <c r="D261">
        <v>0</v>
      </c>
      <c r="E261">
        <v>1</v>
      </c>
      <c r="F261">
        <v>3</v>
      </c>
      <c r="G261">
        <v>5</v>
      </c>
      <c r="H261">
        <v>5</v>
      </c>
      <c r="I261">
        <v>3</v>
      </c>
      <c r="J261">
        <v>1</v>
      </c>
    </row>
    <row r="262" spans="1:10" hidden="1" x14ac:dyDescent="0.35">
      <c r="A262" s="461" t="s">
        <v>242</v>
      </c>
      <c r="B262" s="461" t="s">
        <v>236</v>
      </c>
      <c r="C262" s="461" t="s">
        <v>71</v>
      </c>
      <c r="D262">
        <v>0</v>
      </c>
      <c r="E262">
        <v>1</v>
      </c>
      <c r="F262">
        <v>2</v>
      </c>
      <c r="G262">
        <v>6</v>
      </c>
      <c r="H262">
        <v>5</v>
      </c>
      <c r="I262">
        <v>5</v>
      </c>
      <c r="J262">
        <v>0</v>
      </c>
    </row>
    <row r="263" spans="1:10" hidden="1" x14ac:dyDescent="0.35">
      <c r="A263" s="461" t="s">
        <v>242</v>
      </c>
      <c r="B263" s="461" t="s">
        <v>237</v>
      </c>
      <c r="C263" s="461" t="s">
        <v>166</v>
      </c>
      <c r="D263">
        <v>0</v>
      </c>
      <c r="E263">
        <v>1</v>
      </c>
      <c r="F263">
        <v>5</v>
      </c>
      <c r="G263">
        <v>6</v>
      </c>
      <c r="H263">
        <v>16</v>
      </c>
      <c r="I263">
        <v>9</v>
      </c>
      <c r="J263">
        <v>0</v>
      </c>
    </row>
    <row r="264" spans="1:10" hidden="1" x14ac:dyDescent="0.35">
      <c r="A264" s="461" t="s">
        <v>242</v>
      </c>
      <c r="B264" s="461" t="s">
        <v>237</v>
      </c>
      <c r="C264" s="461" t="s">
        <v>164</v>
      </c>
      <c r="D264">
        <v>0</v>
      </c>
      <c r="E264">
        <v>1</v>
      </c>
      <c r="F264">
        <v>6</v>
      </c>
      <c r="G264">
        <v>10</v>
      </c>
      <c r="H264">
        <v>18</v>
      </c>
      <c r="I264">
        <v>11</v>
      </c>
      <c r="J264">
        <v>0</v>
      </c>
    </row>
    <row r="265" spans="1:10" hidden="1" x14ac:dyDescent="0.35">
      <c r="A265" s="461" t="s">
        <v>242</v>
      </c>
      <c r="B265" s="461" t="s">
        <v>237</v>
      </c>
      <c r="C265" s="461" t="s">
        <v>165</v>
      </c>
      <c r="D265">
        <v>0</v>
      </c>
      <c r="E265">
        <v>1</v>
      </c>
      <c r="F265">
        <v>4</v>
      </c>
      <c r="G265">
        <v>13</v>
      </c>
      <c r="H265">
        <v>37</v>
      </c>
      <c r="I265">
        <v>18</v>
      </c>
      <c r="J265">
        <v>0</v>
      </c>
    </row>
    <row r="266" spans="1:10" hidden="1" x14ac:dyDescent="0.35">
      <c r="A266" s="461" t="s">
        <v>242</v>
      </c>
      <c r="B266" s="461" t="s">
        <v>238</v>
      </c>
      <c r="C266" s="461" t="s">
        <v>246</v>
      </c>
      <c r="D266">
        <v>4</v>
      </c>
      <c r="E266">
        <v>15</v>
      </c>
      <c r="F266">
        <v>13</v>
      </c>
      <c r="G266">
        <v>9</v>
      </c>
      <c r="H266">
        <v>47</v>
      </c>
      <c r="I266">
        <v>0</v>
      </c>
      <c r="J266">
        <v>55</v>
      </c>
    </row>
    <row r="267" spans="1:10" hidden="1" x14ac:dyDescent="0.35">
      <c r="A267" s="461" t="s">
        <v>241</v>
      </c>
      <c r="B267" s="461" t="s">
        <v>235</v>
      </c>
      <c r="C267" s="461" t="s">
        <v>31</v>
      </c>
      <c r="D267">
        <v>0</v>
      </c>
      <c r="E267">
        <v>0</v>
      </c>
      <c r="F267">
        <v>0</v>
      </c>
      <c r="G267">
        <v>0</v>
      </c>
      <c r="H267">
        <v>15</v>
      </c>
      <c r="I267">
        <v>35</v>
      </c>
      <c r="J267">
        <v>104</v>
      </c>
    </row>
    <row r="268" spans="1:10" hidden="1" x14ac:dyDescent="0.35">
      <c r="A268" s="461" t="s">
        <v>241</v>
      </c>
      <c r="B268" s="461" t="s">
        <v>235</v>
      </c>
      <c r="C268" s="461" t="s">
        <v>32</v>
      </c>
      <c r="D268">
        <v>0</v>
      </c>
      <c r="E268">
        <v>0</v>
      </c>
      <c r="F268">
        <v>0</v>
      </c>
      <c r="G268">
        <v>0</v>
      </c>
      <c r="H268">
        <v>5</v>
      </c>
      <c r="I268">
        <v>5</v>
      </c>
      <c r="J268">
        <v>20</v>
      </c>
    </row>
    <row r="269" spans="1:10" hidden="1" x14ac:dyDescent="0.35">
      <c r="A269" s="461" t="s">
        <v>241</v>
      </c>
      <c r="B269" s="461" t="s">
        <v>235</v>
      </c>
      <c r="C269" s="461" t="s">
        <v>33</v>
      </c>
      <c r="D269">
        <v>0</v>
      </c>
      <c r="E269">
        <v>0</v>
      </c>
      <c r="F269">
        <v>0</v>
      </c>
      <c r="G269">
        <v>0</v>
      </c>
      <c r="H269">
        <v>5</v>
      </c>
      <c r="I269">
        <v>5</v>
      </c>
      <c r="J269">
        <v>18</v>
      </c>
    </row>
    <row r="270" spans="1:10" hidden="1" x14ac:dyDescent="0.35">
      <c r="A270" s="461" t="s">
        <v>241</v>
      </c>
      <c r="B270" s="461" t="s">
        <v>235</v>
      </c>
      <c r="C270" s="461" t="s">
        <v>34</v>
      </c>
      <c r="D270">
        <v>0</v>
      </c>
      <c r="E270">
        <v>0</v>
      </c>
      <c r="F270">
        <v>0</v>
      </c>
      <c r="G270">
        <v>0</v>
      </c>
      <c r="H270">
        <v>10</v>
      </c>
      <c r="I270">
        <v>11</v>
      </c>
      <c r="J270">
        <v>33</v>
      </c>
    </row>
    <row r="271" spans="1:10" hidden="1" x14ac:dyDescent="0.35">
      <c r="A271" s="461" t="s">
        <v>241</v>
      </c>
      <c r="B271" s="461" t="s">
        <v>235</v>
      </c>
      <c r="C271" s="461" t="s">
        <v>245</v>
      </c>
      <c r="D271">
        <v>0</v>
      </c>
      <c r="E271">
        <v>0</v>
      </c>
      <c r="F271">
        <v>0</v>
      </c>
      <c r="G271">
        <v>0</v>
      </c>
      <c r="H271">
        <v>35</v>
      </c>
      <c r="I271">
        <v>59</v>
      </c>
      <c r="J271">
        <v>203</v>
      </c>
    </row>
    <row r="272" spans="1:10" hidden="1" x14ac:dyDescent="0.35">
      <c r="A272" s="461" t="s">
        <v>241</v>
      </c>
      <c r="B272" s="461" t="s">
        <v>235</v>
      </c>
      <c r="C272" s="461" t="s">
        <v>35</v>
      </c>
      <c r="D272">
        <v>0</v>
      </c>
      <c r="E272">
        <v>0</v>
      </c>
      <c r="F272">
        <v>0</v>
      </c>
      <c r="G272">
        <v>0</v>
      </c>
      <c r="H272">
        <v>5</v>
      </c>
      <c r="I272">
        <v>5</v>
      </c>
      <c r="J272">
        <v>15</v>
      </c>
    </row>
    <row r="273" spans="1:10" hidden="1" x14ac:dyDescent="0.35">
      <c r="A273" s="461" t="s">
        <v>241</v>
      </c>
      <c r="B273" s="461" t="s">
        <v>235</v>
      </c>
      <c r="C273" s="461" t="s">
        <v>17411</v>
      </c>
      <c r="D273">
        <v>0</v>
      </c>
      <c r="E273">
        <v>0</v>
      </c>
      <c r="F273">
        <v>0</v>
      </c>
      <c r="G273">
        <v>0</v>
      </c>
      <c r="H273">
        <v>5</v>
      </c>
      <c r="I273">
        <v>10</v>
      </c>
      <c r="J273">
        <v>38</v>
      </c>
    </row>
    <row r="274" spans="1:10" hidden="1" x14ac:dyDescent="0.35">
      <c r="A274" s="461" t="s">
        <v>241</v>
      </c>
      <c r="B274" s="461" t="s">
        <v>235</v>
      </c>
      <c r="C274" s="461" t="s">
        <v>37</v>
      </c>
      <c r="D274">
        <v>0</v>
      </c>
      <c r="E274">
        <v>0</v>
      </c>
      <c r="F274">
        <v>0</v>
      </c>
      <c r="G274">
        <v>0</v>
      </c>
      <c r="H274">
        <v>20</v>
      </c>
      <c r="I274">
        <v>35</v>
      </c>
      <c r="J274">
        <v>122</v>
      </c>
    </row>
    <row r="275" spans="1:10" hidden="1" x14ac:dyDescent="0.35">
      <c r="A275" s="461" t="s">
        <v>241</v>
      </c>
      <c r="B275" s="461" t="s">
        <v>235</v>
      </c>
      <c r="C275" s="461" t="s">
        <v>38</v>
      </c>
      <c r="D275">
        <v>0</v>
      </c>
      <c r="E275">
        <v>0</v>
      </c>
      <c r="F275">
        <v>0</v>
      </c>
      <c r="G275">
        <v>0</v>
      </c>
      <c r="H275">
        <v>5</v>
      </c>
      <c r="I275">
        <v>10</v>
      </c>
      <c r="J275">
        <v>32</v>
      </c>
    </row>
    <row r="276" spans="1:10" hidden="1" x14ac:dyDescent="0.35">
      <c r="A276" s="461" t="s">
        <v>241</v>
      </c>
      <c r="B276" s="461" t="s">
        <v>235</v>
      </c>
      <c r="C276" s="461" t="s">
        <v>39</v>
      </c>
      <c r="D276">
        <v>0</v>
      </c>
      <c r="E276">
        <v>0</v>
      </c>
      <c r="F276">
        <v>0</v>
      </c>
      <c r="G276">
        <v>0</v>
      </c>
      <c r="H276">
        <v>16</v>
      </c>
      <c r="I276">
        <v>15</v>
      </c>
      <c r="J276">
        <v>47</v>
      </c>
    </row>
    <row r="277" spans="1:10" hidden="1" x14ac:dyDescent="0.35">
      <c r="A277" s="461" t="s">
        <v>241</v>
      </c>
      <c r="B277" s="461" t="s">
        <v>235</v>
      </c>
      <c r="C277" s="461" t="s">
        <v>40</v>
      </c>
      <c r="D277">
        <v>0</v>
      </c>
      <c r="E277">
        <v>0</v>
      </c>
      <c r="F277">
        <v>0</v>
      </c>
      <c r="G277">
        <v>0</v>
      </c>
      <c r="H277">
        <v>5</v>
      </c>
      <c r="I277">
        <v>5</v>
      </c>
      <c r="J277">
        <v>14</v>
      </c>
    </row>
    <row r="278" spans="1:10" hidden="1" x14ac:dyDescent="0.35">
      <c r="A278" s="461" t="s">
        <v>241</v>
      </c>
      <c r="B278" s="461" t="s">
        <v>235</v>
      </c>
      <c r="C278" s="461" t="s">
        <v>41</v>
      </c>
      <c r="D278">
        <v>0</v>
      </c>
      <c r="E278">
        <v>0</v>
      </c>
      <c r="F278">
        <v>0</v>
      </c>
      <c r="G278">
        <v>0</v>
      </c>
      <c r="H278">
        <v>11</v>
      </c>
      <c r="I278">
        <v>10</v>
      </c>
      <c r="J278">
        <v>31</v>
      </c>
    </row>
    <row r="279" spans="1:10" hidden="1" x14ac:dyDescent="0.35">
      <c r="A279" s="461" t="s">
        <v>241</v>
      </c>
      <c r="B279" s="461" t="s">
        <v>235</v>
      </c>
      <c r="C279" s="461" t="s">
        <v>42</v>
      </c>
      <c r="D279">
        <v>0</v>
      </c>
      <c r="E279">
        <v>0</v>
      </c>
      <c r="F279">
        <v>0</v>
      </c>
      <c r="G279">
        <v>0</v>
      </c>
      <c r="H279">
        <v>15</v>
      </c>
      <c r="I279">
        <v>20</v>
      </c>
      <c r="J279">
        <v>53</v>
      </c>
    </row>
    <row r="280" spans="1:10" hidden="1" x14ac:dyDescent="0.35">
      <c r="A280" s="461" t="s">
        <v>241</v>
      </c>
      <c r="B280" s="461" t="s">
        <v>235</v>
      </c>
      <c r="C280" s="461" t="s">
        <v>43</v>
      </c>
      <c r="D280">
        <v>0</v>
      </c>
      <c r="E280">
        <v>0</v>
      </c>
      <c r="F280">
        <v>0</v>
      </c>
      <c r="G280">
        <v>0</v>
      </c>
      <c r="H280">
        <v>27</v>
      </c>
      <c r="I280">
        <v>48</v>
      </c>
      <c r="J280">
        <v>199</v>
      </c>
    </row>
    <row r="281" spans="1:10" hidden="1" x14ac:dyDescent="0.35">
      <c r="A281" s="461" t="s">
        <v>241</v>
      </c>
      <c r="B281" s="461" t="s">
        <v>235</v>
      </c>
      <c r="C281" s="461" t="s">
        <v>114</v>
      </c>
      <c r="D281">
        <v>0</v>
      </c>
      <c r="E281">
        <v>0</v>
      </c>
      <c r="F281">
        <v>0</v>
      </c>
      <c r="G281">
        <v>0</v>
      </c>
      <c r="H281">
        <v>56</v>
      </c>
      <c r="I281">
        <v>110</v>
      </c>
      <c r="J281">
        <v>349</v>
      </c>
    </row>
    <row r="282" spans="1:10" hidden="1" x14ac:dyDescent="0.35">
      <c r="A282" s="461" t="s">
        <v>241</v>
      </c>
      <c r="B282" s="461" t="s">
        <v>235</v>
      </c>
      <c r="C282" s="461" t="s">
        <v>44</v>
      </c>
      <c r="D282">
        <v>0</v>
      </c>
      <c r="E282">
        <v>0</v>
      </c>
      <c r="F282">
        <v>0</v>
      </c>
      <c r="G282">
        <v>0</v>
      </c>
      <c r="H282">
        <v>5</v>
      </c>
      <c r="I282">
        <v>15</v>
      </c>
      <c r="J282">
        <v>50</v>
      </c>
    </row>
    <row r="283" spans="1:10" hidden="1" x14ac:dyDescent="0.35">
      <c r="A283" s="461" t="s">
        <v>241</v>
      </c>
      <c r="B283" s="461" t="s">
        <v>235</v>
      </c>
      <c r="C283" s="461" t="s">
        <v>45</v>
      </c>
      <c r="D283">
        <v>0</v>
      </c>
      <c r="E283">
        <v>0</v>
      </c>
      <c r="F283">
        <v>0</v>
      </c>
      <c r="G283">
        <v>0</v>
      </c>
      <c r="H283">
        <v>10</v>
      </c>
      <c r="I283">
        <v>15</v>
      </c>
      <c r="J283">
        <v>47</v>
      </c>
    </row>
    <row r="284" spans="1:10" hidden="1" x14ac:dyDescent="0.35">
      <c r="A284" s="461" t="s">
        <v>241</v>
      </c>
      <c r="B284" s="461" t="s">
        <v>235</v>
      </c>
      <c r="C284" s="461" t="s">
        <v>46</v>
      </c>
      <c r="D284">
        <v>0</v>
      </c>
      <c r="E284">
        <v>0</v>
      </c>
      <c r="F284">
        <v>0</v>
      </c>
      <c r="G284">
        <v>0</v>
      </c>
      <c r="H284">
        <v>5</v>
      </c>
      <c r="I284">
        <v>4</v>
      </c>
      <c r="J284">
        <v>17</v>
      </c>
    </row>
    <row r="285" spans="1:10" hidden="1" x14ac:dyDescent="0.35">
      <c r="A285" s="461" t="s">
        <v>241</v>
      </c>
      <c r="B285" s="461" t="s">
        <v>235</v>
      </c>
      <c r="C285" s="461" t="s">
        <v>47</v>
      </c>
      <c r="D285">
        <v>0</v>
      </c>
      <c r="E285">
        <v>0</v>
      </c>
      <c r="F285">
        <v>0</v>
      </c>
      <c r="G285">
        <v>0</v>
      </c>
      <c r="H285">
        <v>5</v>
      </c>
      <c r="I285">
        <v>5</v>
      </c>
      <c r="J285">
        <v>20</v>
      </c>
    </row>
    <row r="286" spans="1:10" hidden="1" x14ac:dyDescent="0.35">
      <c r="A286" s="461" t="s">
        <v>241</v>
      </c>
      <c r="B286" s="461" t="s">
        <v>235</v>
      </c>
      <c r="C286" s="461" t="s">
        <v>48</v>
      </c>
    </row>
    <row r="287" spans="1:10" hidden="1" x14ac:dyDescent="0.35">
      <c r="A287" s="461" t="s">
        <v>241</v>
      </c>
      <c r="B287" s="461" t="s">
        <v>235</v>
      </c>
      <c r="C287" s="461" t="s">
        <v>49</v>
      </c>
      <c r="D287">
        <v>0</v>
      </c>
      <c r="E287">
        <v>0</v>
      </c>
      <c r="F287">
        <v>0</v>
      </c>
      <c r="G287">
        <v>0</v>
      </c>
      <c r="H287">
        <v>16</v>
      </c>
      <c r="I287">
        <v>15</v>
      </c>
      <c r="J287">
        <v>45</v>
      </c>
    </row>
    <row r="288" spans="1:10" hidden="1" x14ac:dyDescent="0.35">
      <c r="A288" s="461" t="s">
        <v>241</v>
      </c>
      <c r="B288" s="461" t="s">
        <v>235</v>
      </c>
      <c r="C288" s="461" t="s">
        <v>50</v>
      </c>
      <c r="D288">
        <v>0</v>
      </c>
      <c r="E288">
        <v>0</v>
      </c>
      <c r="F288">
        <v>0</v>
      </c>
      <c r="G288">
        <v>0</v>
      </c>
      <c r="H288">
        <v>20</v>
      </c>
      <c r="I288">
        <v>35</v>
      </c>
      <c r="J288">
        <v>111</v>
      </c>
    </row>
    <row r="289" spans="1:10" hidden="1" x14ac:dyDescent="0.35">
      <c r="A289" s="461" t="s">
        <v>241</v>
      </c>
      <c r="B289" s="461" t="s">
        <v>235</v>
      </c>
      <c r="C289" s="461" t="s">
        <v>51</v>
      </c>
    </row>
    <row r="290" spans="1:10" hidden="1" x14ac:dyDescent="0.35">
      <c r="A290" s="461" t="s">
        <v>241</v>
      </c>
      <c r="B290" s="461" t="s">
        <v>235</v>
      </c>
      <c r="C290" s="461" t="s">
        <v>52</v>
      </c>
      <c r="D290">
        <v>0</v>
      </c>
      <c r="E290">
        <v>0</v>
      </c>
      <c r="F290">
        <v>0</v>
      </c>
      <c r="G290">
        <v>0</v>
      </c>
      <c r="H290">
        <v>5</v>
      </c>
      <c r="I290">
        <v>10</v>
      </c>
      <c r="J290">
        <v>54</v>
      </c>
    </row>
    <row r="291" spans="1:10" hidden="1" x14ac:dyDescent="0.35">
      <c r="A291" s="461" t="s">
        <v>241</v>
      </c>
      <c r="B291" s="461" t="s">
        <v>235</v>
      </c>
      <c r="C291" s="461" t="s">
        <v>53</v>
      </c>
      <c r="D291">
        <v>0</v>
      </c>
      <c r="E291">
        <v>0</v>
      </c>
      <c r="F291">
        <v>0</v>
      </c>
      <c r="G291">
        <v>0</v>
      </c>
      <c r="H291">
        <v>16</v>
      </c>
      <c r="I291">
        <v>18</v>
      </c>
      <c r="J291">
        <v>65</v>
      </c>
    </row>
    <row r="292" spans="1:10" hidden="1" x14ac:dyDescent="0.35">
      <c r="A292" s="461" t="s">
        <v>241</v>
      </c>
      <c r="B292" s="461" t="s">
        <v>235</v>
      </c>
      <c r="C292" s="461" t="s">
        <v>54</v>
      </c>
      <c r="D292">
        <v>0</v>
      </c>
      <c r="E292">
        <v>0</v>
      </c>
      <c r="F292">
        <v>0</v>
      </c>
      <c r="G292">
        <v>0</v>
      </c>
      <c r="H292">
        <v>10</v>
      </c>
      <c r="I292">
        <v>10</v>
      </c>
      <c r="J292">
        <v>36</v>
      </c>
    </row>
    <row r="293" spans="1:10" hidden="1" x14ac:dyDescent="0.35">
      <c r="A293" s="461" t="s">
        <v>241</v>
      </c>
      <c r="B293" s="461" t="s">
        <v>235</v>
      </c>
      <c r="C293" s="461" t="s">
        <v>55</v>
      </c>
    </row>
    <row r="294" spans="1:10" hidden="1" x14ac:dyDescent="0.35">
      <c r="A294" s="461" t="s">
        <v>241</v>
      </c>
      <c r="B294" s="461" t="s">
        <v>235</v>
      </c>
      <c r="C294" s="461" t="s">
        <v>56</v>
      </c>
      <c r="D294">
        <v>0</v>
      </c>
      <c r="E294">
        <v>0</v>
      </c>
      <c r="F294">
        <v>0</v>
      </c>
      <c r="G294">
        <v>0</v>
      </c>
      <c r="H294">
        <v>5</v>
      </c>
      <c r="I294">
        <v>11</v>
      </c>
      <c r="J294">
        <v>34</v>
      </c>
    </row>
    <row r="295" spans="1:10" hidden="1" x14ac:dyDescent="0.35">
      <c r="A295" s="461" t="s">
        <v>241</v>
      </c>
      <c r="B295" s="461" t="s">
        <v>235</v>
      </c>
      <c r="C295" s="461" t="s">
        <v>57</v>
      </c>
      <c r="D295">
        <v>0</v>
      </c>
      <c r="E295">
        <v>0</v>
      </c>
      <c r="F295">
        <v>0</v>
      </c>
      <c r="G295">
        <v>0</v>
      </c>
      <c r="H295">
        <v>20</v>
      </c>
      <c r="I295">
        <v>36</v>
      </c>
      <c r="J295">
        <v>111</v>
      </c>
    </row>
    <row r="296" spans="1:10" hidden="1" x14ac:dyDescent="0.35">
      <c r="A296" s="461" t="s">
        <v>241</v>
      </c>
      <c r="B296" s="461" t="s">
        <v>235</v>
      </c>
      <c r="C296" s="461" t="s">
        <v>58</v>
      </c>
      <c r="D296">
        <v>0</v>
      </c>
      <c r="E296">
        <v>0</v>
      </c>
      <c r="F296">
        <v>0</v>
      </c>
      <c r="G296">
        <v>0</v>
      </c>
      <c r="H296">
        <v>5</v>
      </c>
      <c r="I296">
        <v>10</v>
      </c>
      <c r="J296">
        <v>34</v>
      </c>
    </row>
    <row r="297" spans="1:10" hidden="1" x14ac:dyDescent="0.35">
      <c r="A297" s="461" t="s">
        <v>241</v>
      </c>
      <c r="B297" s="461" t="s">
        <v>235</v>
      </c>
      <c r="C297" s="461" t="s">
        <v>59</v>
      </c>
      <c r="D297">
        <v>0</v>
      </c>
      <c r="E297">
        <v>0</v>
      </c>
      <c r="F297">
        <v>0</v>
      </c>
      <c r="G297">
        <v>0</v>
      </c>
      <c r="H297">
        <v>10</v>
      </c>
      <c r="I297">
        <v>15</v>
      </c>
      <c r="J297">
        <v>48</v>
      </c>
    </row>
    <row r="298" spans="1:10" hidden="1" x14ac:dyDescent="0.35">
      <c r="A298" s="461" t="s">
        <v>241</v>
      </c>
      <c r="B298" s="461" t="s">
        <v>235</v>
      </c>
      <c r="C298" s="461" t="s">
        <v>60</v>
      </c>
      <c r="D298">
        <v>0</v>
      </c>
      <c r="E298">
        <v>0</v>
      </c>
      <c r="F298">
        <v>0</v>
      </c>
      <c r="G298">
        <v>0</v>
      </c>
      <c r="H298">
        <v>10</v>
      </c>
      <c r="I298">
        <v>10</v>
      </c>
      <c r="J298">
        <v>36</v>
      </c>
    </row>
    <row r="299" spans="1:10" hidden="1" x14ac:dyDescent="0.35">
      <c r="A299" s="461" t="s">
        <v>241</v>
      </c>
      <c r="B299" s="461" t="s">
        <v>236</v>
      </c>
      <c r="C299" s="461" t="s">
        <v>31</v>
      </c>
      <c r="D299">
        <v>0</v>
      </c>
      <c r="E299">
        <v>1</v>
      </c>
      <c r="F299">
        <v>2</v>
      </c>
      <c r="G299">
        <v>4</v>
      </c>
      <c r="H299">
        <v>6</v>
      </c>
      <c r="I299">
        <v>2</v>
      </c>
      <c r="J299">
        <v>1</v>
      </c>
    </row>
    <row r="300" spans="1:10" hidden="1" x14ac:dyDescent="0.35">
      <c r="A300" s="461" t="s">
        <v>241</v>
      </c>
      <c r="B300" s="461" t="s">
        <v>236</v>
      </c>
      <c r="C300" s="461" t="s">
        <v>63</v>
      </c>
      <c r="D300">
        <v>0</v>
      </c>
      <c r="E300">
        <v>1</v>
      </c>
      <c r="F300">
        <v>2</v>
      </c>
      <c r="G300">
        <v>8</v>
      </c>
      <c r="H300">
        <v>8</v>
      </c>
      <c r="I300">
        <v>6</v>
      </c>
      <c r="J300">
        <v>0</v>
      </c>
    </row>
    <row r="301" spans="1:10" hidden="1" x14ac:dyDescent="0.35">
      <c r="A301" s="461" t="s">
        <v>241</v>
      </c>
      <c r="B301" s="461" t="s">
        <v>236</v>
      </c>
      <c r="C301" s="461" t="s">
        <v>64</v>
      </c>
      <c r="D301">
        <v>0</v>
      </c>
      <c r="E301">
        <v>1</v>
      </c>
      <c r="F301">
        <v>3</v>
      </c>
      <c r="G301">
        <v>8</v>
      </c>
      <c r="H301">
        <v>6</v>
      </c>
      <c r="I301">
        <v>6</v>
      </c>
      <c r="J301">
        <v>2</v>
      </c>
    </row>
    <row r="302" spans="1:10" hidden="1" x14ac:dyDescent="0.35">
      <c r="A302" s="461" t="s">
        <v>241</v>
      </c>
      <c r="B302" s="461" t="s">
        <v>236</v>
      </c>
      <c r="C302" s="461" t="s">
        <v>36</v>
      </c>
      <c r="D302">
        <v>0</v>
      </c>
      <c r="E302">
        <v>1</v>
      </c>
      <c r="F302">
        <v>2</v>
      </c>
      <c r="G302">
        <v>6</v>
      </c>
      <c r="H302">
        <v>7</v>
      </c>
      <c r="I302">
        <v>4</v>
      </c>
      <c r="J302">
        <v>2</v>
      </c>
    </row>
    <row r="303" spans="1:10" hidden="1" x14ac:dyDescent="0.35">
      <c r="A303" s="461" t="s">
        <v>241</v>
      </c>
      <c r="B303" s="461" t="s">
        <v>236</v>
      </c>
      <c r="C303" s="461" t="s">
        <v>65</v>
      </c>
      <c r="D303">
        <v>0</v>
      </c>
      <c r="E303">
        <v>1</v>
      </c>
      <c r="F303">
        <v>4</v>
      </c>
      <c r="G303">
        <v>8</v>
      </c>
      <c r="H303">
        <v>11</v>
      </c>
      <c r="I303">
        <v>3</v>
      </c>
      <c r="J303">
        <v>2</v>
      </c>
    </row>
    <row r="304" spans="1:10" hidden="1" x14ac:dyDescent="0.35">
      <c r="A304" s="461" t="s">
        <v>241</v>
      </c>
      <c r="B304" s="461" t="s">
        <v>236</v>
      </c>
      <c r="C304" s="461" t="s">
        <v>66</v>
      </c>
      <c r="D304">
        <v>0</v>
      </c>
      <c r="E304">
        <v>1</v>
      </c>
      <c r="F304">
        <v>3</v>
      </c>
      <c r="G304">
        <v>9</v>
      </c>
      <c r="H304">
        <v>8</v>
      </c>
      <c r="I304">
        <v>2</v>
      </c>
      <c r="J304">
        <v>2</v>
      </c>
    </row>
    <row r="305" spans="1:10" hidden="1" x14ac:dyDescent="0.35">
      <c r="A305" s="461" t="s">
        <v>241</v>
      </c>
      <c r="B305" s="461" t="s">
        <v>236</v>
      </c>
      <c r="C305" s="461" t="s">
        <v>67</v>
      </c>
      <c r="D305">
        <v>0</v>
      </c>
      <c r="E305">
        <v>1</v>
      </c>
      <c r="F305">
        <v>3</v>
      </c>
      <c r="G305">
        <v>7</v>
      </c>
      <c r="H305">
        <v>9</v>
      </c>
      <c r="I305">
        <v>2</v>
      </c>
      <c r="J305">
        <v>3</v>
      </c>
    </row>
    <row r="306" spans="1:10" hidden="1" x14ac:dyDescent="0.35">
      <c r="A306" s="461" t="s">
        <v>241</v>
      </c>
      <c r="B306" s="461" t="s">
        <v>236</v>
      </c>
      <c r="C306" s="461" t="s">
        <v>68</v>
      </c>
      <c r="D306">
        <v>0</v>
      </c>
      <c r="E306">
        <v>1</v>
      </c>
      <c r="F306">
        <v>4</v>
      </c>
      <c r="G306">
        <v>4</v>
      </c>
      <c r="H306">
        <v>3</v>
      </c>
      <c r="I306">
        <v>0</v>
      </c>
      <c r="J306">
        <v>2</v>
      </c>
    </row>
    <row r="307" spans="1:10" hidden="1" x14ac:dyDescent="0.35">
      <c r="A307" s="461" t="s">
        <v>241</v>
      </c>
      <c r="B307" s="461" t="s">
        <v>236</v>
      </c>
      <c r="C307" s="461" t="s">
        <v>167</v>
      </c>
      <c r="D307">
        <v>0</v>
      </c>
      <c r="E307">
        <v>1</v>
      </c>
      <c r="F307">
        <v>5</v>
      </c>
      <c r="G307">
        <v>4</v>
      </c>
      <c r="H307">
        <v>12</v>
      </c>
      <c r="I307">
        <v>5</v>
      </c>
      <c r="J307">
        <v>3</v>
      </c>
    </row>
    <row r="308" spans="1:10" hidden="1" x14ac:dyDescent="0.35">
      <c r="A308" s="461" t="s">
        <v>241</v>
      </c>
      <c r="B308" s="461" t="s">
        <v>236</v>
      </c>
      <c r="C308" s="461" t="s">
        <v>69</v>
      </c>
      <c r="D308">
        <v>0</v>
      </c>
      <c r="E308">
        <v>1</v>
      </c>
      <c r="F308">
        <v>2</v>
      </c>
      <c r="G308">
        <v>6</v>
      </c>
      <c r="H308">
        <v>6</v>
      </c>
      <c r="I308">
        <v>3</v>
      </c>
      <c r="J308">
        <v>2</v>
      </c>
    </row>
    <row r="309" spans="1:10" hidden="1" x14ac:dyDescent="0.35">
      <c r="A309" s="461" t="s">
        <v>241</v>
      </c>
      <c r="B309" s="461" t="s">
        <v>236</v>
      </c>
      <c r="C309" s="461" t="s">
        <v>43</v>
      </c>
      <c r="D309">
        <v>0</v>
      </c>
      <c r="E309">
        <v>0</v>
      </c>
      <c r="F309">
        <v>2</v>
      </c>
      <c r="G309">
        <v>6</v>
      </c>
      <c r="H309">
        <v>6</v>
      </c>
      <c r="I309">
        <v>0</v>
      </c>
      <c r="J309">
        <v>4</v>
      </c>
    </row>
    <row r="310" spans="1:10" hidden="1" x14ac:dyDescent="0.35">
      <c r="A310" s="461" t="s">
        <v>241</v>
      </c>
      <c r="B310" s="461" t="s">
        <v>236</v>
      </c>
      <c r="C310" s="461" t="s">
        <v>114</v>
      </c>
      <c r="D310">
        <v>0</v>
      </c>
      <c r="E310">
        <v>1</v>
      </c>
      <c r="F310">
        <v>4</v>
      </c>
      <c r="G310">
        <v>9</v>
      </c>
      <c r="H310">
        <v>7</v>
      </c>
      <c r="I310">
        <v>2</v>
      </c>
      <c r="J310">
        <v>2</v>
      </c>
    </row>
    <row r="311" spans="1:10" hidden="1" x14ac:dyDescent="0.35">
      <c r="A311" s="461" t="s">
        <v>241</v>
      </c>
      <c r="B311" s="461" t="s">
        <v>236</v>
      </c>
      <c r="C311" s="461" t="s">
        <v>70</v>
      </c>
      <c r="D311">
        <v>0</v>
      </c>
      <c r="E311">
        <v>1</v>
      </c>
      <c r="F311">
        <v>4</v>
      </c>
      <c r="G311">
        <v>14</v>
      </c>
      <c r="H311">
        <v>16</v>
      </c>
      <c r="I311">
        <v>9</v>
      </c>
      <c r="J311">
        <v>1</v>
      </c>
    </row>
    <row r="312" spans="1:10" hidden="1" x14ac:dyDescent="0.35">
      <c r="A312" s="461" t="s">
        <v>241</v>
      </c>
      <c r="B312" s="461" t="s">
        <v>236</v>
      </c>
      <c r="C312" s="461" t="s">
        <v>50</v>
      </c>
      <c r="D312">
        <v>0</v>
      </c>
      <c r="E312">
        <v>1</v>
      </c>
      <c r="F312">
        <v>2</v>
      </c>
      <c r="G312">
        <v>5</v>
      </c>
      <c r="H312">
        <v>6</v>
      </c>
      <c r="I312">
        <v>2</v>
      </c>
      <c r="J312">
        <v>1</v>
      </c>
    </row>
    <row r="313" spans="1:10" hidden="1" x14ac:dyDescent="0.35">
      <c r="A313" s="461" t="s">
        <v>241</v>
      </c>
      <c r="B313" s="461" t="s">
        <v>236</v>
      </c>
      <c r="C313" s="461" t="s">
        <v>57</v>
      </c>
      <c r="D313">
        <v>0</v>
      </c>
      <c r="E313">
        <v>1</v>
      </c>
      <c r="F313">
        <v>2</v>
      </c>
      <c r="G313">
        <v>6</v>
      </c>
      <c r="H313">
        <v>4</v>
      </c>
      <c r="I313">
        <v>2</v>
      </c>
      <c r="J313">
        <v>1</v>
      </c>
    </row>
    <row r="314" spans="1:10" hidden="1" x14ac:dyDescent="0.35">
      <c r="A314" s="461" t="s">
        <v>241</v>
      </c>
      <c r="B314" s="461" t="s">
        <v>236</v>
      </c>
      <c r="C314" s="461" t="s">
        <v>17412</v>
      </c>
      <c r="D314">
        <v>0</v>
      </c>
      <c r="E314">
        <v>1</v>
      </c>
      <c r="F314">
        <v>2</v>
      </c>
      <c r="G314">
        <v>6</v>
      </c>
      <c r="H314">
        <v>5</v>
      </c>
      <c r="I314">
        <v>3</v>
      </c>
      <c r="J314">
        <v>1</v>
      </c>
    </row>
    <row r="315" spans="1:10" hidden="1" x14ac:dyDescent="0.35">
      <c r="A315" s="461" t="s">
        <v>241</v>
      </c>
      <c r="B315" s="461" t="s">
        <v>236</v>
      </c>
      <c r="C315" s="461" t="s">
        <v>71</v>
      </c>
      <c r="D315">
        <v>0</v>
      </c>
      <c r="E315">
        <v>1</v>
      </c>
      <c r="F315">
        <v>3</v>
      </c>
      <c r="G315">
        <v>5</v>
      </c>
      <c r="H315">
        <v>4</v>
      </c>
      <c r="I315">
        <v>3</v>
      </c>
      <c r="J315">
        <v>0</v>
      </c>
    </row>
    <row r="316" spans="1:10" hidden="1" x14ac:dyDescent="0.35">
      <c r="A316" s="461" t="s">
        <v>241</v>
      </c>
      <c r="B316" s="461" t="s">
        <v>237</v>
      </c>
      <c r="C316" s="461" t="s">
        <v>166</v>
      </c>
      <c r="D316">
        <v>0</v>
      </c>
      <c r="E316">
        <v>1</v>
      </c>
      <c r="F316">
        <v>5</v>
      </c>
      <c r="G316">
        <v>5</v>
      </c>
      <c r="H316">
        <v>18</v>
      </c>
      <c r="I316">
        <v>8</v>
      </c>
      <c r="J316">
        <v>0</v>
      </c>
    </row>
    <row r="317" spans="1:10" hidden="1" x14ac:dyDescent="0.35">
      <c r="A317" s="461" t="s">
        <v>241</v>
      </c>
      <c r="B317" s="461" t="s">
        <v>237</v>
      </c>
      <c r="C317" s="461" t="s">
        <v>164</v>
      </c>
      <c r="D317">
        <v>0</v>
      </c>
      <c r="E317">
        <v>1</v>
      </c>
      <c r="F317">
        <v>4</v>
      </c>
      <c r="G317">
        <v>7</v>
      </c>
      <c r="H317">
        <v>11</v>
      </c>
      <c r="I317">
        <v>7</v>
      </c>
      <c r="J317">
        <v>0</v>
      </c>
    </row>
    <row r="318" spans="1:10" hidden="1" x14ac:dyDescent="0.35">
      <c r="A318" s="461" t="s">
        <v>241</v>
      </c>
      <c r="B318" s="461" t="s">
        <v>237</v>
      </c>
      <c r="C318" s="461" t="s">
        <v>165</v>
      </c>
      <c r="D318">
        <v>0</v>
      </c>
      <c r="E318">
        <v>1</v>
      </c>
      <c r="F318">
        <v>5</v>
      </c>
      <c r="G318">
        <v>12</v>
      </c>
      <c r="H318">
        <v>35</v>
      </c>
      <c r="I318">
        <v>26</v>
      </c>
      <c r="J318">
        <v>0</v>
      </c>
    </row>
    <row r="319" spans="1:10" hidden="1" x14ac:dyDescent="0.35">
      <c r="A319" s="461" t="s">
        <v>241</v>
      </c>
      <c r="B319" s="461" t="s">
        <v>238</v>
      </c>
      <c r="C319" s="461" t="s">
        <v>246</v>
      </c>
      <c r="D319">
        <v>4</v>
      </c>
      <c r="E319">
        <v>14</v>
      </c>
      <c r="F319">
        <v>17</v>
      </c>
      <c r="G319">
        <v>8</v>
      </c>
      <c r="H319">
        <v>46</v>
      </c>
      <c r="I319">
        <v>0</v>
      </c>
      <c r="J319">
        <v>60</v>
      </c>
    </row>
    <row r="320" spans="1:10" hidden="1" x14ac:dyDescent="0.35">
      <c r="A320" s="461" t="s">
        <v>773</v>
      </c>
      <c r="B320" s="461" t="s">
        <v>235</v>
      </c>
      <c r="C320" s="461" t="s">
        <v>31</v>
      </c>
      <c r="D320">
        <v>0</v>
      </c>
      <c r="E320">
        <v>0</v>
      </c>
      <c r="F320">
        <v>0</v>
      </c>
      <c r="G320">
        <v>0</v>
      </c>
      <c r="H320">
        <v>15</v>
      </c>
      <c r="I320">
        <v>35</v>
      </c>
      <c r="J320">
        <v>105</v>
      </c>
    </row>
    <row r="321" spans="1:10" hidden="1" x14ac:dyDescent="0.35">
      <c r="A321" s="461" t="s">
        <v>773</v>
      </c>
      <c r="B321" s="461" t="s">
        <v>235</v>
      </c>
      <c r="C321" s="461" t="s">
        <v>32</v>
      </c>
      <c r="D321">
        <v>0</v>
      </c>
      <c r="E321">
        <v>0</v>
      </c>
      <c r="F321">
        <v>0</v>
      </c>
      <c r="G321">
        <v>0</v>
      </c>
      <c r="H321">
        <v>6</v>
      </c>
      <c r="I321">
        <v>4</v>
      </c>
      <c r="J321">
        <v>22</v>
      </c>
    </row>
    <row r="322" spans="1:10" hidden="1" x14ac:dyDescent="0.35">
      <c r="A322" s="461" t="s">
        <v>773</v>
      </c>
      <c r="B322" s="461" t="s">
        <v>235</v>
      </c>
      <c r="C322" s="461" t="s">
        <v>33</v>
      </c>
      <c r="D322">
        <v>0</v>
      </c>
      <c r="E322">
        <v>0</v>
      </c>
      <c r="F322">
        <v>0</v>
      </c>
      <c r="G322">
        <v>0</v>
      </c>
      <c r="H322">
        <v>5</v>
      </c>
      <c r="I322">
        <v>5</v>
      </c>
      <c r="J322">
        <v>17</v>
      </c>
    </row>
    <row r="323" spans="1:10" hidden="1" x14ac:dyDescent="0.35">
      <c r="A323" s="461" t="s">
        <v>773</v>
      </c>
      <c r="B323" s="461" t="s">
        <v>235</v>
      </c>
      <c r="C323" s="461" t="s">
        <v>34</v>
      </c>
      <c r="D323">
        <v>0</v>
      </c>
      <c r="E323">
        <v>0</v>
      </c>
      <c r="F323">
        <v>0</v>
      </c>
      <c r="G323">
        <v>0</v>
      </c>
      <c r="H323">
        <v>10</v>
      </c>
      <c r="I323">
        <v>10</v>
      </c>
      <c r="J323">
        <v>33</v>
      </c>
    </row>
    <row r="324" spans="1:10" hidden="1" x14ac:dyDescent="0.35">
      <c r="A324" s="461" t="s">
        <v>773</v>
      </c>
      <c r="B324" s="461" t="s">
        <v>235</v>
      </c>
      <c r="C324" s="461" t="s">
        <v>245</v>
      </c>
      <c r="D324">
        <v>0</v>
      </c>
      <c r="E324">
        <v>0</v>
      </c>
      <c r="F324">
        <v>0</v>
      </c>
      <c r="G324">
        <v>0</v>
      </c>
      <c r="H324">
        <v>36</v>
      </c>
      <c r="I324">
        <v>56</v>
      </c>
      <c r="J324">
        <v>214</v>
      </c>
    </row>
    <row r="325" spans="1:10" hidden="1" x14ac:dyDescent="0.35">
      <c r="A325" s="461" t="s">
        <v>773</v>
      </c>
      <c r="B325" s="461" t="s">
        <v>235</v>
      </c>
      <c r="C325" s="461" t="s">
        <v>35</v>
      </c>
      <c r="D325">
        <v>0</v>
      </c>
      <c r="E325">
        <v>0</v>
      </c>
      <c r="F325">
        <v>0</v>
      </c>
      <c r="G325">
        <v>0</v>
      </c>
      <c r="H325">
        <v>5</v>
      </c>
      <c r="I325">
        <v>5</v>
      </c>
      <c r="J325">
        <v>15</v>
      </c>
    </row>
    <row r="326" spans="1:10" hidden="1" x14ac:dyDescent="0.35">
      <c r="A326" s="461" t="s">
        <v>773</v>
      </c>
      <c r="B326" s="461" t="s">
        <v>235</v>
      </c>
      <c r="C326" s="461" t="s">
        <v>17411</v>
      </c>
      <c r="D326">
        <v>0</v>
      </c>
      <c r="E326">
        <v>0</v>
      </c>
      <c r="F326">
        <v>0</v>
      </c>
      <c r="G326">
        <v>0</v>
      </c>
      <c r="H326">
        <v>5</v>
      </c>
      <c r="I326">
        <v>10</v>
      </c>
      <c r="J326">
        <v>37</v>
      </c>
    </row>
    <row r="327" spans="1:10" hidden="1" x14ac:dyDescent="0.35">
      <c r="A327" s="461" t="s">
        <v>773</v>
      </c>
      <c r="B327" s="461" t="s">
        <v>235</v>
      </c>
      <c r="C327" s="461" t="s">
        <v>37</v>
      </c>
      <c r="D327">
        <v>0</v>
      </c>
      <c r="E327">
        <v>0</v>
      </c>
      <c r="F327">
        <v>0</v>
      </c>
      <c r="G327">
        <v>0</v>
      </c>
      <c r="H327">
        <v>20</v>
      </c>
      <c r="I327">
        <v>36</v>
      </c>
      <c r="J327">
        <v>126</v>
      </c>
    </row>
    <row r="328" spans="1:10" hidden="1" x14ac:dyDescent="0.35">
      <c r="A328" s="461" t="s">
        <v>773</v>
      </c>
      <c r="B328" s="461" t="s">
        <v>235</v>
      </c>
      <c r="C328" s="461" t="s">
        <v>38</v>
      </c>
      <c r="D328">
        <v>0</v>
      </c>
      <c r="E328">
        <v>0</v>
      </c>
      <c r="F328">
        <v>0</v>
      </c>
      <c r="G328">
        <v>0</v>
      </c>
      <c r="H328">
        <v>5</v>
      </c>
      <c r="I328">
        <v>10</v>
      </c>
      <c r="J328">
        <v>34</v>
      </c>
    </row>
    <row r="329" spans="1:10" hidden="1" x14ac:dyDescent="0.35">
      <c r="A329" s="461" t="s">
        <v>773</v>
      </c>
      <c r="B329" s="461" t="s">
        <v>235</v>
      </c>
      <c r="C329" s="461" t="s">
        <v>39</v>
      </c>
      <c r="D329">
        <v>0</v>
      </c>
      <c r="E329">
        <v>0</v>
      </c>
      <c r="F329">
        <v>0</v>
      </c>
      <c r="G329">
        <v>0</v>
      </c>
      <c r="H329">
        <v>15</v>
      </c>
      <c r="I329">
        <v>15</v>
      </c>
      <c r="J329">
        <v>49</v>
      </c>
    </row>
    <row r="330" spans="1:10" hidden="1" x14ac:dyDescent="0.35">
      <c r="A330" s="461" t="s">
        <v>773</v>
      </c>
      <c r="B330" s="461" t="s">
        <v>235</v>
      </c>
      <c r="C330" s="461" t="s">
        <v>40</v>
      </c>
      <c r="D330">
        <v>0</v>
      </c>
      <c r="E330">
        <v>0</v>
      </c>
      <c r="F330">
        <v>0</v>
      </c>
      <c r="G330">
        <v>0</v>
      </c>
      <c r="H330">
        <v>5</v>
      </c>
      <c r="I330">
        <v>5</v>
      </c>
      <c r="J330">
        <v>15</v>
      </c>
    </row>
    <row r="331" spans="1:10" hidden="1" x14ac:dyDescent="0.35">
      <c r="A331" s="461" t="s">
        <v>773</v>
      </c>
      <c r="B331" s="461" t="s">
        <v>235</v>
      </c>
      <c r="C331" s="461" t="s">
        <v>41</v>
      </c>
      <c r="D331">
        <v>0</v>
      </c>
      <c r="E331">
        <v>0</v>
      </c>
      <c r="F331">
        <v>0</v>
      </c>
      <c r="G331">
        <v>0</v>
      </c>
      <c r="H331">
        <v>10</v>
      </c>
      <c r="I331">
        <v>10</v>
      </c>
      <c r="J331">
        <v>30</v>
      </c>
    </row>
    <row r="332" spans="1:10" hidden="1" x14ac:dyDescent="0.35">
      <c r="A332" s="461" t="s">
        <v>773</v>
      </c>
      <c r="B332" s="461" t="s">
        <v>235</v>
      </c>
      <c r="C332" s="461" t="s">
        <v>42</v>
      </c>
      <c r="D332">
        <v>0</v>
      </c>
      <c r="E332">
        <v>0</v>
      </c>
      <c r="F332">
        <v>0</v>
      </c>
      <c r="G332">
        <v>0</v>
      </c>
      <c r="H332">
        <v>15</v>
      </c>
      <c r="I332">
        <v>19</v>
      </c>
      <c r="J332">
        <v>54</v>
      </c>
    </row>
    <row r="333" spans="1:10" hidden="1" x14ac:dyDescent="0.35">
      <c r="A333" s="461" t="s">
        <v>773</v>
      </c>
      <c r="B333" s="461" t="s">
        <v>235</v>
      </c>
      <c r="C333" s="461" t="s">
        <v>43</v>
      </c>
      <c r="D333">
        <v>0</v>
      </c>
      <c r="E333">
        <v>0</v>
      </c>
      <c r="F333">
        <v>0</v>
      </c>
      <c r="G333">
        <v>0</v>
      </c>
      <c r="H333">
        <v>26</v>
      </c>
      <c r="I333">
        <v>51</v>
      </c>
      <c r="J333">
        <v>192</v>
      </c>
    </row>
    <row r="334" spans="1:10" hidden="1" x14ac:dyDescent="0.35">
      <c r="A334" s="461" t="s">
        <v>773</v>
      </c>
      <c r="B334" s="461" t="s">
        <v>235</v>
      </c>
      <c r="C334" s="461" t="s">
        <v>114</v>
      </c>
      <c r="D334">
        <v>0</v>
      </c>
      <c r="E334">
        <v>0</v>
      </c>
      <c r="F334">
        <v>0</v>
      </c>
      <c r="G334">
        <v>0</v>
      </c>
      <c r="H334">
        <v>57</v>
      </c>
      <c r="I334">
        <v>114</v>
      </c>
      <c r="J334">
        <v>346</v>
      </c>
    </row>
    <row r="335" spans="1:10" hidden="1" x14ac:dyDescent="0.35">
      <c r="A335" s="461" t="s">
        <v>773</v>
      </c>
      <c r="B335" s="461" t="s">
        <v>235</v>
      </c>
      <c r="C335" s="461" t="s">
        <v>44</v>
      </c>
      <c r="D335">
        <v>0</v>
      </c>
      <c r="E335">
        <v>0</v>
      </c>
      <c r="F335">
        <v>0</v>
      </c>
      <c r="G335">
        <v>0</v>
      </c>
      <c r="H335">
        <v>5</v>
      </c>
      <c r="I335">
        <v>14</v>
      </c>
      <c r="J335">
        <v>52</v>
      </c>
    </row>
    <row r="336" spans="1:10" hidden="1" x14ac:dyDescent="0.35">
      <c r="A336" s="461" t="s">
        <v>773</v>
      </c>
      <c r="B336" s="461" t="s">
        <v>235</v>
      </c>
      <c r="C336" s="461" t="s">
        <v>45</v>
      </c>
      <c r="D336">
        <v>0</v>
      </c>
      <c r="E336">
        <v>0</v>
      </c>
      <c r="F336">
        <v>0</v>
      </c>
      <c r="G336">
        <v>0</v>
      </c>
      <c r="H336">
        <v>10</v>
      </c>
      <c r="I336">
        <v>15</v>
      </c>
      <c r="J336">
        <v>45</v>
      </c>
    </row>
    <row r="337" spans="1:10" hidden="1" x14ac:dyDescent="0.35">
      <c r="A337" s="461" t="s">
        <v>773</v>
      </c>
      <c r="B337" s="461" t="s">
        <v>235</v>
      </c>
      <c r="C337" s="461" t="s">
        <v>46</v>
      </c>
      <c r="D337">
        <v>0</v>
      </c>
      <c r="E337">
        <v>0</v>
      </c>
      <c r="F337">
        <v>0</v>
      </c>
      <c r="G337">
        <v>0</v>
      </c>
      <c r="H337">
        <v>5</v>
      </c>
      <c r="I337">
        <v>4</v>
      </c>
      <c r="J337">
        <v>17</v>
      </c>
    </row>
    <row r="338" spans="1:10" hidden="1" x14ac:dyDescent="0.35">
      <c r="A338" s="461" t="s">
        <v>773</v>
      </c>
      <c r="B338" s="461" t="s">
        <v>235</v>
      </c>
      <c r="C338" s="461" t="s">
        <v>47</v>
      </c>
      <c r="D338">
        <v>0</v>
      </c>
      <c r="E338">
        <v>0</v>
      </c>
      <c r="F338">
        <v>0</v>
      </c>
      <c r="G338">
        <v>0</v>
      </c>
      <c r="H338">
        <v>5</v>
      </c>
      <c r="I338">
        <v>5</v>
      </c>
      <c r="J338">
        <v>20</v>
      </c>
    </row>
    <row r="339" spans="1:10" hidden="1" x14ac:dyDescent="0.35">
      <c r="A339" s="461" t="s">
        <v>773</v>
      </c>
      <c r="B339" s="461" t="s">
        <v>235</v>
      </c>
      <c r="C339" s="461" t="s">
        <v>48</v>
      </c>
    </row>
    <row r="340" spans="1:10" hidden="1" x14ac:dyDescent="0.35">
      <c r="A340" s="461" t="s">
        <v>773</v>
      </c>
      <c r="B340" s="461" t="s">
        <v>235</v>
      </c>
      <c r="C340" s="461" t="s">
        <v>49</v>
      </c>
      <c r="D340">
        <v>0</v>
      </c>
      <c r="E340">
        <v>0</v>
      </c>
      <c r="F340">
        <v>0</v>
      </c>
      <c r="G340">
        <v>0</v>
      </c>
      <c r="H340">
        <v>15</v>
      </c>
      <c r="I340">
        <v>15</v>
      </c>
      <c r="J340">
        <v>45</v>
      </c>
    </row>
    <row r="341" spans="1:10" hidden="1" x14ac:dyDescent="0.35">
      <c r="A341" s="461" t="s">
        <v>773</v>
      </c>
      <c r="B341" s="461" t="s">
        <v>235</v>
      </c>
      <c r="C341" s="461" t="s">
        <v>50</v>
      </c>
      <c r="D341">
        <v>0</v>
      </c>
      <c r="E341">
        <v>0</v>
      </c>
      <c r="F341">
        <v>0</v>
      </c>
      <c r="G341">
        <v>0</v>
      </c>
      <c r="H341">
        <v>21</v>
      </c>
      <c r="I341">
        <v>37</v>
      </c>
      <c r="J341">
        <v>105</v>
      </c>
    </row>
    <row r="342" spans="1:10" hidden="1" x14ac:dyDescent="0.35">
      <c r="A342" s="461" t="s">
        <v>773</v>
      </c>
      <c r="B342" s="461" t="s">
        <v>235</v>
      </c>
      <c r="C342" s="461" t="s">
        <v>51</v>
      </c>
    </row>
    <row r="343" spans="1:10" hidden="1" x14ac:dyDescent="0.35">
      <c r="A343" s="461" t="s">
        <v>773</v>
      </c>
      <c r="B343" s="461" t="s">
        <v>235</v>
      </c>
      <c r="C343" s="461" t="s">
        <v>52</v>
      </c>
      <c r="D343">
        <v>0</v>
      </c>
      <c r="E343">
        <v>0</v>
      </c>
      <c r="F343">
        <v>0</v>
      </c>
      <c r="G343">
        <v>0</v>
      </c>
      <c r="H343">
        <v>5</v>
      </c>
      <c r="I343">
        <v>10</v>
      </c>
      <c r="J343">
        <v>52</v>
      </c>
    </row>
    <row r="344" spans="1:10" hidden="1" x14ac:dyDescent="0.35">
      <c r="A344" s="461" t="s">
        <v>773</v>
      </c>
      <c r="B344" s="461" t="s">
        <v>235</v>
      </c>
      <c r="C344" s="461" t="s">
        <v>53</v>
      </c>
      <c r="D344">
        <v>0</v>
      </c>
      <c r="E344">
        <v>0</v>
      </c>
      <c r="F344">
        <v>0</v>
      </c>
      <c r="G344">
        <v>0</v>
      </c>
      <c r="H344">
        <v>15</v>
      </c>
      <c r="I344">
        <v>21</v>
      </c>
      <c r="J344">
        <v>66</v>
      </c>
    </row>
    <row r="345" spans="1:10" hidden="1" x14ac:dyDescent="0.35">
      <c r="A345" s="461" t="s">
        <v>773</v>
      </c>
      <c r="B345" s="461" t="s">
        <v>235</v>
      </c>
      <c r="C345" s="461" t="s">
        <v>54</v>
      </c>
      <c r="D345">
        <v>0</v>
      </c>
      <c r="E345">
        <v>0</v>
      </c>
      <c r="F345">
        <v>0</v>
      </c>
      <c r="G345">
        <v>0</v>
      </c>
      <c r="H345">
        <v>10</v>
      </c>
      <c r="I345">
        <v>10</v>
      </c>
      <c r="J345">
        <v>33</v>
      </c>
    </row>
    <row r="346" spans="1:10" hidden="1" x14ac:dyDescent="0.35">
      <c r="A346" s="461" t="s">
        <v>773</v>
      </c>
      <c r="B346" s="461" t="s">
        <v>235</v>
      </c>
      <c r="C346" s="461" t="s">
        <v>55</v>
      </c>
    </row>
    <row r="347" spans="1:10" hidden="1" x14ac:dyDescent="0.35">
      <c r="A347" s="461" t="s">
        <v>773</v>
      </c>
      <c r="B347" s="461" t="s">
        <v>235</v>
      </c>
      <c r="C347" s="461" t="s">
        <v>56</v>
      </c>
      <c r="D347">
        <v>0</v>
      </c>
      <c r="E347">
        <v>0</v>
      </c>
      <c r="F347">
        <v>0</v>
      </c>
      <c r="G347">
        <v>0</v>
      </c>
      <c r="H347">
        <v>5</v>
      </c>
      <c r="I347">
        <v>9</v>
      </c>
      <c r="J347">
        <v>36</v>
      </c>
    </row>
    <row r="348" spans="1:10" hidden="1" x14ac:dyDescent="0.35">
      <c r="A348" s="461" t="s">
        <v>773</v>
      </c>
      <c r="B348" s="461" t="s">
        <v>235</v>
      </c>
      <c r="C348" s="461" t="s">
        <v>57</v>
      </c>
      <c r="D348">
        <v>0</v>
      </c>
      <c r="E348">
        <v>0</v>
      </c>
      <c r="F348">
        <v>0</v>
      </c>
      <c r="G348">
        <v>0</v>
      </c>
      <c r="H348">
        <v>20</v>
      </c>
      <c r="I348">
        <v>37</v>
      </c>
      <c r="J348">
        <v>111</v>
      </c>
    </row>
    <row r="349" spans="1:10" hidden="1" x14ac:dyDescent="0.35">
      <c r="A349" s="461" t="s">
        <v>773</v>
      </c>
      <c r="B349" s="461" t="s">
        <v>235</v>
      </c>
      <c r="C349" s="461" t="s">
        <v>58</v>
      </c>
      <c r="D349">
        <v>0</v>
      </c>
      <c r="E349">
        <v>0</v>
      </c>
      <c r="F349">
        <v>0</v>
      </c>
      <c r="G349">
        <v>0</v>
      </c>
      <c r="H349">
        <v>5</v>
      </c>
      <c r="I349">
        <v>10</v>
      </c>
      <c r="J349">
        <v>36</v>
      </c>
    </row>
    <row r="350" spans="1:10" hidden="1" x14ac:dyDescent="0.35">
      <c r="A350" s="461" t="s">
        <v>773</v>
      </c>
      <c r="B350" s="461" t="s">
        <v>235</v>
      </c>
      <c r="C350" s="461" t="s">
        <v>59</v>
      </c>
      <c r="D350">
        <v>0</v>
      </c>
      <c r="E350">
        <v>0</v>
      </c>
      <c r="F350">
        <v>0</v>
      </c>
      <c r="G350">
        <v>0</v>
      </c>
      <c r="H350">
        <v>10</v>
      </c>
      <c r="I350">
        <v>15</v>
      </c>
      <c r="J350">
        <v>48</v>
      </c>
    </row>
    <row r="351" spans="1:10" hidden="1" x14ac:dyDescent="0.35">
      <c r="A351" s="461" t="s">
        <v>773</v>
      </c>
      <c r="B351" s="461" t="s">
        <v>235</v>
      </c>
      <c r="C351" s="461" t="s">
        <v>60</v>
      </c>
      <c r="D351">
        <v>0</v>
      </c>
      <c r="E351">
        <v>0</v>
      </c>
      <c r="F351">
        <v>0</v>
      </c>
      <c r="G351">
        <v>0</v>
      </c>
      <c r="H351">
        <v>10</v>
      </c>
      <c r="I351">
        <v>10</v>
      </c>
      <c r="J351">
        <v>38</v>
      </c>
    </row>
    <row r="352" spans="1:10" x14ac:dyDescent="0.35">
      <c r="A352" s="461" t="s">
        <v>773</v>
      </c>
      <c r="B352" s="461" t="s">
        <v>236</v>
      </c>
      <c r="C352" s="461" t="s">
        <v>31</v>
      </c>
      <c r="D352">
        <v>0</v>
      </c>
      <c r="E352">
        <v>1</v>
      </c>
      <c r="F352">
        <v>2</v>
      </c>
      <c r="G352">
        <v>3</v>
      </c>
      <c r="H352">
        <v>4</v>
      </c>
      <c r="I352">
        <v>2</v>
      </c>
      <c r="J352">
        <v>1</v>
      </c>
    </row>
    <row r="353" spans="1:10" x14ac:dyDescent="0.35">
      <c r="A353" s="461" t="s">
        <v>773</v>
      </c>
      <c r="B353" s="461" t="s">
        <v>236</v>
      </c>
      <c r="C353" s="461" t="s">
        <v>63</v>
      </c>
      <c r="D353">
        <v>0</v>
      </c>
      <c r="E353">
        <v>1</v>
      </c>
      <c r="F353">
        <v>3</v>
      </c>
      <c r="G353">
        <v>9</v>
      </c>
      <c r="H353">
        <v>7</v>
      </c>
      <c r="I353">
        <v>4</v>
      </c>
      <c r="J353">
        <v>1</v>
      </c>
    </row>
    <row r="354" spans="1:10" x14ac:dyDescent="0.35">
      <c r="A354" s="461" t="s">
        <v>773</v>
      </c>
      <c r="B354" s="461" t="s">
        <v>236</v>
      </c>
      <c r="C354" s="461" t="s">
        <v>64</v>
      </c>
      <c r="D354">
        <v>0</v>
      </c>
      <c r="E354">
        <v>1</v>
      </c>
      <c r="F354">
        <v>3</v>
      </c>
      <c r="G354">
        <v>8</v>
      </c>
      <c r="H354">
        <v>7</v>
      </c>
      <c r="I354">
        <v>7</v>
      </c>
      <c r="J354">
        <v>2</v>
      </c>
    </row>
    <row r="355" spans="1:10" x14ac:dyDescent="0.35">
      <c r="A355" s="461" t="s">
        <v>773</v>
      </c>
      <c r="B355" s="461" t="s">
        <v>236</v>
      </c>
      <c r="C355" s="461" t="s">
        <v>36</v>
      </c>
      <c r="D355">
        <v>0</v>
      </c>
      <c r="E355">
        <v>1</v>
      </c>
      <c r="F355">
        <v>2</v>
      </c>
      <c r="G355">
        <v>6</v>
      </c>
      <c r="H355">
        <v>8</v>
      </c>
      <c r="I355">
        <v>3</v>
      </c>
      <c r="J355">
        <v>2</v>
      </c>
    </row>
    <row r="356" spans="1:10" x14ac:dyDescent="0.35">
      <c r="A356" s="461" t="s">
        <v>773</v>
      </c>
      <c r="B356" s="461" t="s">
        <v>236</v>
      </c>
      <c r="C356" s="461" t="s">
        <v>65</v>
      </c>
      <c r="D356">
        <v>0</v>
      </c>
      <c r="E356">
        <v>1</v>
      </c>
      <c r="F356">
        <v>4</v>
      </c>
      <c r="G356">
        <v>9</v>
      </c>
      <c r="H356">
        <v>11</v>
      </c>
      <c r="I356">
        <v>4</v>
      </c>
      <c r="J356">
        <v>2</v>
      </c>
    </row>
    <row r="357" spans="1:10" x14ac:dyDescent="0.35">
      <c r="A357" s="461" t="s">
        <v>773</v>
      </c>
      <c r="B357" s="461" t="s">
        <v>236</v>
      </c>
      <c r="C357" s="461" t="s">
        <v>66</v>
      </c>
      <c r="D357">
        <v>0</v>
      </c>
      <c r="E357">
        <v>1</v>
      </c>
      <c r="F357">
        <v>3</v>
      </c>
      <c r="G357">
        <v>10</v>
      </c>
      <c r="H357">
        <v>8</v>
      </c>
      <c r="I357">
        <v>5</v>
      </c>
      <c r="J357">
        <v>1</v>
      </c>
    </row>
    <row r="358" spans="1:10" x14ac:dyDescent="0.35">
      <c r="A358" s="461" t="s">
        <v>773</v>
      </c>
      <c r="B358" s="461" t="s">
        <v>236</v>
      </c>
      <c r="C358" s="461" t="s">
        <v>67</v>
      </c>
      <c r="D358">
        <v>0</v>
      </c>
      <c r="E358">
        <v>1</v>
      </c>
      <c r="F358">
        <v>3</v>
      </c>
      <c r="G358">
        <v>7</v>
      </c>
      <c r="H358">
        <v>9</v>
      </c>
      <c r="I358">
        <v>5</v>
      </c>
      <c r="J358">
        <v>4</v>
      </c>
    </row>
    <row r="359" spans="1:10" x14ac:dyDescent="0.35">
      <c r="A359" s="461" t="s">
        <v>773</v>
      </c>
      <c r="B359" s="461" t="s">
        <v>236</v>
      </c>
      <c r="C359" s="461" t="s">
        <v>68</v>
      </c>
      <c r="D359">
        <v>0</v>
      </c>
      <c r="E359">
        <v>1</v>
      </c>
      <c r="F359">
        <v>4</v>
      </c>
      <c r="G359">
        <v>4</v>
      </c>
      <c r="H359">
        <v>3</v>
      </c>
      <c r="I359">
        <v>0</v>
      </c>
      <c r="J359">
        <v>1</v>
      </c>
    </row>
    <row r="360" spans="1:10" x14ac:dyDescent="0.35">
      <c r="A360" s="461" t="s">
        <v>773</v>
      </c>
      <c r="B360" s="461" t="s">
        <v>236</v>
      </c>
      <c r="C360" s="461" t="s">
        <v>167</v>
      </c>
      <c r="D360">
        <v>0</v>
      </c>
      <c r="E360">
        <v>1</v>
      </c>
      <c r="F360">
        <v>4</v>
      </c>
      <c r="G360">
        <v>5</v>
      </c>
      <c r="H360">
        <v>10</v>
      </c>
      <c r="I360">
        <v>4</v>
      </c>
      <c r="J360">
        <v>4</v>
      </c>
    </row>
    <row r="361" spans="1:10" x14ac:dyDescent="0.35">
      <c r="A361" s="461" t="s">
        <v>773</v>
      </c>
      <c r="B361" s="461" t="s">
        <v>236</v>
      </c>
      <c r="C361" s="461" t="s">
        <v>69</v>
      </c>
      <c r="D361">
        <v>0</v>
      </c>
      <c r="E361">
        <v>1</v>
      </c>
      <c r="F361">
        <v>2</v>
      </c>
      <c r="G361">
        <v>6</v>
      </c>
      <c r="H361">
        <v>6</v>
      </c>
      <c r="I361">
        <v>2</v>
      </c>
      <c r="J361">
        <v>2</v>
      </c>
    </row>
    <row r="362" spans="1:10" x14ac:dyDescent="0.35">
      <c r="A362" s="461" t="s">
        <v>773</v>
      </c>
      <c r="B362" s="461" t="s">
        <v>236</v>
      </c>
      <c r="C362" s="461" t="s">
        <v>43</v>
      </c>
    </row>
    <row r="363" spans="1:10" x14ac:dyDescent="0.35">
      <c r="A363" s="461" t="s">
        <v>773</v>
      </c>
      <c r="B363" s="461" t="s">
        <v>236</v>
      </c>
      <c r="C363" s="461" t="s">
        <v>114</v>
      </c>
      <c r="D363">
        <v>0</v>
      </c>
      <c r="E363">
        <v>1</v>
      </c>
      <c r="F363">
        <v>5</v>
      </c>
      <c r="G363">
        <v>10</v>
      </c>
      <c r="H363">
        <v>5</v>
      </c>
      <c r="I363">
        <v>2</v>
      </c>
      <c r="J363">
        <v>2</v>
      </c>
    </row>
    <row r="364" spans="1:10" x14ac:dyDescent="0.35">
      <c r="A364" s="461" t="s">
        <v>773</v>
      </c>
      <c r="B364" s="461" t="s">
        <v>236</v>
      </c>
      <c r="C364" s="461" t="s">
        <v>70</v>
      </c>
      <c r="D364">
        <v>0</v>
      </c>
      <c r="E364">
        <v>1</v>
      </c>
      <c r="F364">
        <v>4</v>
      </c>
      <c r="G364">
        <v>13</v>
      </c>
      <c r="H364">
        <v>11</v>
      </c>
      <c r="I364">
        <v>8</v>
      </c>
      <c r="J364">
        <v>1</v>
      </c>
    </row>
    <row r="365" spans="1:10" x14ac:dyDescent="0.35">
      <c r="A365" s="461" t="s">
        <v>773</v>
      </c>
      <c r="B365" s="461" t="s">
        <v>236</v>
      </c>
      <c r="C365" s="461" t="s">
        <v>50</v>
      </c>
      <c r="D365">
        <v>0</v>
      </c>
      <c r="E365">
        <v>1</v>
      </c>
      <c r="F365">
        <v>2</v>
      </c>
      <c r="G365">
        <v>5</v>
      </c>
      <c r="H365">
        <v>5</v>
      </c>
      <c r="I365">
        <v>2</v>
      </c>
      <c r="J365">
        <v>1</v>
      </c>
    </row>
    <row r="366" spans="1:10" x14ac:dyDescent="0.35">
      <c r="A366" s="461" t="s">
        <v>773</v>
      </c>
      <c r="B366" s="461" t="s">
        <v>236</v>
      </c>
      <c r="C366" s="461" t="s">
        <v>57</v>
      </c>
      <c r="D366">
        <v>0</v>
      </c>
      <c r="E366">
        <v>1</v>
      </c>
      <c r="F366">
        <v>2</v>
      </c>
      <c r="G366">
        <v>6</v>
      </c>
      <c r="H366">
        <v>4</v>
      </c>
      <c r="I366">
        <v>3</v>
      </c>
      <c r="J366">
        <v>0</v>
      </c>
    </row>
    <row r="367" spans="1:10" x14ac:dyDescent="0.35">
      <c r="A367" s="461" t="s">
        <v>773</v>
      </c>
      <c r="B367" s="461" t="s">
        <v>236</v>
      </c>
      <c r="C367" s="461" t="s">
        <v>775</v>
      </c>
      <c r="D367">
        <v>0</v>
      </c>
      <c r="E367">
        <v>1</v>
      </c>
      <c r="F367">
        <v>4</v>
      </c>
      <c r="G367">
        <v>12</v>
      </c>
      <c r="H367">
        <v>11</v>
      </c>
      <c r="I367">
        <v>6</v>
      </c>
      <c r="J367">
        <v>4</v>
      </c>
    </row>
    <row r="368" spans="1:10" x14ac:dyDescent="0.35">
      <c r="A368" s="461" t="s">
        <v>773</v>
      </c>
      <c r="B368" s="461" t="s">
        <v>236</v>
      </c>
      <c r="C368" s="461" t="s">
        <v>71</v>
      </c>
      <c r="D368">
        <v>0</v>
      </c>
      <c r="E368">
        <v>1</v>
      </c>
      <c r="F368">
        <v>3</v>
      </c>
      <c r="G368">
        <v>5</v>
      </c>
      <c r="H368">
        <v>4</v>
      </c>
      <c r="I368">
        <v>1</v>
      </c>
      <c r="J368">
        <v>0</v>
      </c>
    </row>
    <row r="369" spans="1:10" hidden="1" x14ac:dyDescent="0.35">
      <c r="A369" s="461" t="s">
        <v>773</v>
      </c>
      <c r="B369" s="461" t="s">
        <v>237</v>
      </c>
      <c r="C369" s="461" t="s">
        <v>166</v>
      </c>
      <c r="D369">
        <v>0</v>
      </c>
      <c r="E369">
        <v>1</v>
      </c>
      <c r="F369">
        <v>4</v>
      </c>
      <c r="G369">
        <v>8</v>
      </c>
      <c r="H369">
        <v>33</v>
      </c>
      <c r="I369">
        <v>6</v>
      </c>
      <c r="J369">
        <v>0</v>
      </c>
    </row>
    <row r="370" spans="1:10" hidden="1" x14ac:dyDescent="0.35">
      <c r="A370" s="461" t="s">
        <v>773</v>
      </c>
      <c r="B370" s="461" t="s">
        <v>237</v>
      </c>
      <c r="C370" s="461" t="s">
        <v>164</v>
      </c>
      <c r="D370">
        <v>0</v>
      </c>
      <c r="E370">
        <v>2</v>
      </c>
      <c r="F370">
        <v>3</v>
      </c>
      <c r="G370">
        <v>7</v>
      </c>
      <c r="H370">
        <v>24</v>
      </c>
      <c r="I370">
        <v>6</v>
      </c>
      <c r="J370">
        <v>0</v>
      </c>
    </row>
    <row r="371" spans="1:10" hidden="1" x14ac:dyDescent="0.35">
      <c r="A371" s="461" t="s">
        <v>773</v>
      </c>
      <c r="B371" s="461" t="s">
        <v>237</v>
      </c>
      <c r="C371" s="461" t="s">
        <v>165</v>
      </c>
      <c r="D371">
        <v>0</v>
      </c>
      <c r="E371">
        <v>3</v>
      </c>
      <c r="F371">
        <v>10</v>
      </c>
      <c r="G371">
        <v>14</v>
      </c>
      <c r="H371">
        <v>55</v>
      </c>
      <c r="I371">
        <v>21</v>
      </c>
      <c r="J371">
        <v>0</v>
      </c>
    </row>
    <row r="372" spans="1:10" hidden="1" x14ac:dyDescent="0.35">
      <c r="A372" s="461" t="s">
        <v>773</v>
      </c>
      <c r="B372" s="461" t="s">
        <v>238</v>
      </c>
      <c r="C372" s="461" t="s">
        <v>246</v>
      </c>
      <c r="D372">
        <v>6</v>
      </c>
      <c r="E372">
        <v>9</v>
      </c>
      <c r="F372">
        <v>13</v>
      </c>
      <c r="G372">
        <v>6</v>
      </c>
      <c r="H372">
        <v>7</v>
      </c>
      <c r="I372">
        <v>0</v>
      </c>
      <c r="J372">
        <v>49</v>
      </c>
    </row>
    <row r="373" spans="1:10" hidden="1" x14ac:dyDescent="0.35">
      <c r="A373" s="461" t="s">
        <v>951</v>
      </c>
      <c r="B373" s="461" t="s">
        <v>235</v>
      </c>
      <c r="C373" s="461" t="s">
        <v>31</v>
      </c>
      <c r="D373">
        <v>0</v>
      </c>
      <c r="E373">
        <v>0</v>
      </c>
      <c r="F373">
        <v>0</v>
      </c>
      <c r="G373">
        <v>0</v>
      </c>
      <c r="H373">
        <v>15</v>
      </c>
      <c r="I373">
        <v>35</v>
      </c>
      <c r="J373">
        <v>99</v>
      </c>
    </row>
    <row r="374" spans="1:10" hidden="1" x14ac:dyDescent="0.35">
      <c r="A374" s="461" t="s">
        <v>951</v>
      </c>
      <c r="B374" s="461" t="s">
        <v>235</v>
      </c>
      <c r="C374" s="461" t="s">
        <v>32</v>
      </c>
      <c r="D374">
        <v>0</v>
      </c>
      <c r="E374">
        <v>0</v>
      </c>
      <c r="F374">
        <v>0</v>
      </c>
      <c r="G374">
        <v>0</v>
      </c>
      <c r="H374">
        <v>5</v>
      </c>
      <c r="I374">
        <v>5</v>
      </c>
      <c r="J374">
        <v>19</v>
      </c>
    </row>
    <row r="375" spans="1:10" hidden="1" x14ac:dyDescent="0.35">
      <c r="A375" s="461" t="s">
        <v>951</v>
      </c>
      <c r="B375" s="461" t="s">
        <v>235</v>
      </c>
      <c r="C375" s="461" t="s">
        <v>33</v>
      </c>
      <c r="D375">
        <v>0</v>
      </c>
      <c r="E375">
        <v>0</v>
      </c>
      <c r="F375">
        <v>0</v>
      </c>
      <c r="G375">
        <v>0</v>
      </c>
      <c r="H375">
        <v>5</v>
      </c>
      <c r="I375">
        <v>5</v>
      </c>
      <c r="J375">
        <v>17</v>
      </c>
    </row>
    <row r="376" spans="1:10" hidden="1" x14ac:dyDescent="0.35">
      <c r="A376" s="461" t="s">
        <v>951</v>
      </c>
      <c r="B376" s="461" t="s">
        <v>235</v>
      </c>
      <c r="C376" s="461" t="s">
        <v>34</v>
      </c>
      <c r="D376">
        <v>0</v>
      </c>
      <c r="E376">
        <v>0</v>
      </c>
      <c r="F376">
        <v>0</v>
      </c>
      <c r="G376">
        <v>0</v>
      </c>
      <c r="H376">
        <v>10</v>
      </c>
      <c r="I376">
        <v>10</v>
      </c>
      <c r="J376">
        <v>32</v>
      </c>
    </row>
    <row r="377" spans="1:10" hidden="1" x14ac:dyDescent="0.35">
      <c r="A377" s="461" t="s">
        <v>951</v>
      </c>
      <c r="B377" s="461" t="s">
        <v>235</v>
      </c>
      <c r="C377" s="461" t="s">
        <v>245</v>
      </c>
      <c r="D377">
        <v>0</v>
      </c>
      <c r="E377">
        <v>0</v>
      </c>
      <c r="F377">
        <v>0</v>
      </c>
      <c r="G377">
        <v>0</v>
      </c>
      <c r="H377">
        <v>36</v>
      </c>
      <c r="I377">
        <v>58</v>
      </c>
      <c r="J377">
        <v>206</v>
      </c>
    </row>
    <row r="378" spans="1:10" hidden="1" x14ac:dyDescent="0.35">
      <c r="A378" s="461" t="s">
        <v>951</v>
      </c>
      <c r="B378" s="461" t="s">
        <v>235</v>
      </c>
      <c r="C378" s="461" t="s">
        <v>35</v>
      </c>
      <c r="D378">
        <v>0</v>
      </c>
      <c r="E378">
        <v>0</v>
      </c>
      <c r="F378">
        <v>0</v>
      </c>
      <c r="G378">
        <v>0</v>
      </c>
      <c r="H378">
        <v>6</v>
      </c>
      <c r="I378">
        <v>5</v>
      </c>
      <c r="J378">
        <v>13</v>
      </c>
    </row>
    <row r="379" spans="1:10" hidden="1" x14ac:dyDescent="0.35">
      <c r="A379" s="461" t="s">
        <v>951</v>
      </c>
      <c r="B379" s="461" t="s">
        <v>235</v>
      </c>
      <c r="C379" s="461" t="s">
        <v>17411</v>
      </c>
      <c r="D379">
        <v>0</v>
      </c>
      <c r="E379">
        <v>0</v>
      </c>
      <c r="F379">
        <v>0</v>
      </c>
      <c r="G379">
        <v>0</v>
      </c>
      <c r="H379">
        <v>5</v>
      </c>
      <c r="I379">
        <v>10</v>
      </c>
      <c r="J379">
        <v>36</v>
      </c>
    </row>
    <row r="380" spans="1:10" hidden="1" x14ac:dyDescent="0.35">
      <c r="A380" s="461" t="s">
        <v>951</v>
      </c>
      <c r="B380" s="461" t="s">
        <v>235</v>
      </c>
      <c r="C380" s="461" t="s">
        <v>37</v>
      </c>
      <c r="D380">
        <v>0</v>
      </c>
      <c r="E380">
        <v>0</v>
      </c>
      <c r="F380">
        <v>0</v>
      </c>
      <c r="G380">
        <v>0</v>
      </c>
      <c r="H380">
        <v>19</v>
      </c>
      <c r="I380">
        <v>36</v>
      </c>
      <c r="J380">
        <v>127</v>
      </c>
    </row>
    <row r="381" spans="1:10" hidden="1" x14ac:dyDescent="0.35">
      <c r="A381" s="461" t="s">
        <v>951</v>
      </c>
      <c r="B381" s="461" t="s">
        <v>235</v>
      </c>
      <c r="C381" s="461" t="s">
        <v>38</v>
      </c>
      <c r="D381">
        <v>0</v>
      </c>
      <c r="E381">
        <v>0</v>
      </c>
      <c r="F381">
        <v>0</v>
      </c>
      <c r="G381">
        <v>0</v>
      </c>
      <c r="H381">
        <v>5</v>
      </c>
      <c r="I381">
        <v>10</v>
      </c>
      <c r="J381">
        <v>32</v>
      </c>
    </row>
    <row r="382" spans="1:10" hidden="1" x14ac:dyDescent="0.35">
      <c r="A382" s="461" t="s">
        <v>951</v>
      </c>
      <c r="B382" s="461" t="s">
        <v>235</v>
      </c>
      <c r="C382" s="461" t="s">
        <v>39</v>
      </c>
      <c r="D382">
        <v>0</v>
      </c>
      <c r="E382">
        <v>0</v>
      </c>
      <c r="F382">
        <v>0</v>
      </c>
      <c r="G382">
        <v>0</v>
      </c>
      <c r="H382">
        <v>16</v>
      </c>
      <c r="I382">
        <v>14</v>
      </c>
      <c r="J382">
        <v>46</v>
      </c>
    </row>
    <row r="383" spans="1:10" hidden="1" x14ac:dyDescent="0.35">
      <c r="A383" s="461" t="s">
        <v>951</v>
      </c>
      <c r="B383" s="461" t="s">
        <v>235</v>
      </c>
      <c r="C383" s="461" t="s">
        <v>40</v>
      </c>
      <c r="D383">
        <v>0</v>
      </c>
      <c r="E383">
        <v>0</v>
      </c>
      <c r="F383">
        <v>0</v>
      </c>
      <c r="G383">
        <v>0</v>
      </c>
      <c r="H383">
        <v>5</v>
      </c>
      <c r="I383">
        <v>5</v>
      </c>
      <c r="J383">
        <v>16</v>
      </c>
    </row>
    <row r="384" spans="1:10" hidden="1" x14ac:dyDescent="0.35">
      <c r="A384" s="461" t="s">
        <v>951</v>
      </c>
      <c r="B384" s="461" t="s">
        <v>235</v>
      </c>
      <c r="C384" s="461" t="s">
        <v>41</v>
      </c>
      <c r="D384">
        <v>0</v>
      </c>
      <c r="E384">
        <v>0</v>
      </c>
      <c r="F384">
        <v>0</v>
      </c>
      <c r="G384">
        <v>0</v>
      </c>
      <c r="H384">
        <v>10</v>
      </c>
      <c r="I384">
        <v>10</v>
      </c>
      <c r="J384">
        <v>28</v>
      </c>
    </row>
    <row r="385" spans="1:10" hidden="1" x14ac:dyDescent="0.35">
      <c r="A385" s="461" t="s">
        <v>951</v>
      </c>
      <c r="B385" s="461" t="s">
        <v>235</v>
      </c>
      <c r="C385" s="461" t="s">
        <v>42</v>
      </c>
      <c r="D385">
        <v>0</v>
      </c>
      <c r="E385">
        <v>0</v>
      </c>
      <c r="F385">
        <v>0</v>
      </c>
      <c r="G385">
        <v>0</v>
      </c>
      <c r="H385">
        <v>15</v>
      </c>
      <c r="I385">
        <v>20</v>
      </c>
      <c r="J385">
        <v>53</v>
      </c>
    </row>
    <row r="386" spans="1:10" hidden="1" x14ac:dyDescent="0.35">
      <c r="A386" s="461" t="s">
        <v>951</v>
      </c>
      <c r="B386" s="461" t="s">
        <v>235</v>
      </c>
      <c r="C386" s="461" t="s">
        <v>43</v>
      </c>
      <c r="D386">
        <v>0</v>
      </c>
      <c r="E386">
        <v>0</v>
      </c>
      <c r="F386">
        <v>0</v>
      </c>
      <c r="G386">
        <v>0</v>
      </c>
      <c r="H386">
        <v>25</v>
      </c>
      <c r="I386">
        <v>50</v>
      </c>
      <c r="J386">
        <v>179</v>
      </c>
    </row>
    <row r="387" spans="1:10" hidden="1" x14ac:dyDescent="0.35">
      <c r="A387" s="461" t="s">
        <v>951</v>
      </c>
      <c r="B387" s="461" t="s">
        <v>235</v>
      </c>
      <c r="C387" s="461" t="s">
        <v>114</v>
      </c>
      <c r="D387">
        <v>0</v>
      </c>
      <c r="E387">
        <v>0</v>
      </c>
      <c r="F387">
        <v>0</v>
      </c>
      <c r="G387">
        <v>0</v>
      </c>
      <c r="H387">
        <v>55</v>
      </c>
      <c r="I387">
        <v>109</v>
      </c>
      <c r="J387">
        <v>335</v>
      </c>
    </row>
    <row r="388" spans="1:10" hidden="1" x14ac:dyDescent="0.35">
      <c r="A388" s="461" t="s">
        <v>951</v>
      </c>
      <c r="B388" s="461" t="s">
        <v>235</v>
      </c>
      <c r="C388" s="461" t="s">
        <v>44</v>
      </c>
      <c r="D388">
        <v>0</v>
      </c>
      <c r="E388">
        <v>0</v>
      </c>
      <c r="F388">
        <v>0</v>
      </c>
      <c r="G388">
        <v>0</v>
      </c>
      <c r="H388">
        <v>5</v>
      </c>
      <c r="I388">
        <v>15</v>
      </c>
      <c r="J388">
        <v>54</v>
      </c>
    </row>
    <row r="389" spans="1:10" hidden="1" x14ac:dyDescent="0.35">
      <c r="A389" s="461" t="s">
        <v>951</v>
      </c>
      <c r="B389" s="461" t="s">
        <v>235</v>
      </c>
      <c r="C389" s="461" t="s">
        <v>45</v>
      </c>
      <c r="D389">
        <v>0</v>
      </c>
      <c r="E389">
        <v>0</v>
      </c>
      <c r="F389">
        <v>0</v>
      </c>
      <c r="G389">
        <v>0</v>
      </c>
      <c r="H389">
        <v>10</v>
      </c>
      <c r="I389">
        <v>15</v>
      </c>
      <c r="J389">
        <v>45</v>
      </c>
    </row>
    <row r="390" spans="1:10" hidden="1" x14ac:dyDescent="0.35">
      <c r="A390" s="461" t="s">
        <v>951</v>
      </c>
      <c r="B390" s="461" t="s">
        <v>235</v>
      </c>
      <c r="C390" s="461" t="s">
        <v>46</v>
      </c>
      <c r="D390">
        <v>0</v>
      </c>
      <c r="E390">
        <v>0</v>
      </c>
      <c r="F390">
        <v>0</v>
      </c>
      <c r="G390">
        <v>0</v>
      </c>
      <c r="H390">
        <v>5</v>
      </c>
      <c r="I390">
        <v>5</v>
      </c>
      <c r="J390">
        <v>17</v>
      </c>
    </row>
    <row r="391" spans="1:10" hidden="1" x14ac:dyDescent="0.35">
      <c r="A391" s="461" t="s">
        <v>951</v>
      </c>
      <c r="B391" s="461" t="s">
        <v>235</v>
      </c>
      <c r="C391" s="461" t="s">
        <v>47</v>
      </c>
      <c r="D391">
        <v>0</v>
      </c>
      <c r="E391">
        <v>0</v>
      </c>
      <c r="F391">
        <v>0</v>
      </c>
      <c r="G391">
        <v>0</v>
      </c>
      <c r="H391">
        <v>5</v>
      </c>
      <c r="I391">
        <v>5</v>
      </c>
      <c r="J391">
        <v>20</v>
      </c>
    </row>
    <row r="392" spans="1:10" hidden="1" x14ac:dyDescent="0.35">
      <c r="A392" s="461" t="s">
        <v>951</v>
      </c>
      <c r="B392" s="461" t="s">
        <v>235</v>
      </c>
      <c r="C392" s="461" t="s">
        <v>48</v>
      </c>
    </row>
    <row r="393" spans="1:10" hidden="1" x14ac:dyDescent="0.35">
      <c r="A393" s="461" t="s">
        <v>951</v>
      </c>
      <c r="B393" s="461" t="s">
        <v>235</v>
      </c>
      <c r="C393" s="461" t="s">
        <v>49</v>
      </c>
      <c r="D393">
        <v>0</v>
      </c>
      <c r="E393">
        <v>0</v>
      </c>
      <c r="F393">
        <v>0</v>
      </c>
      <c r="G393">
        <v>0</v>
      </c>
      <c r="H393">
        <v>15</v>
      </c>
      <c r="I393">
        <v>15</v>
      </c>
      <c r="J393">
        <v>45</v>
      </c>
    </row>
    <row r="394" spans="1:10" hidden="1" x14ac:dyDescent="0.35">
      <c r="A394" s="461" t="s">
        <v>951</v>
      </c>
      <c r="B394" s="461" t="s">
        <v>235</v>
      </c>
      <c r="C394" s="461" t="s">
        <v>50</v>
      </c>
      <c r="D394">
        <v>0</v>
      </c>
      <c r="E394">
        <v>0</v>
      </c>
      <c r="F394">
        <v>0</v>
      </c>
      <c r="G394">
        <v>0</v>
      </c>
      <c r="H394">
        <v>20</v>
      </c>
      <c r="I394">
        <v>35</v>
      </c>
      <c r="J394">
        <v>105</v>
      </c>
    </row>
    <row r="395" spans="1:10" hidden="1" x14ac:dyDescent="0.35">
      <c r="A395" s="461" t="s">
        <v>951</v>
      </c>
      <c r="B395" s="461" t="s">
        <v>235</v>
      </c>
      <c r="C395" s="461" t="s">
        <v>51</v>
      </c>
    </row>
    <row r="396" spans="1:10" hidden="1" x14ac:dyDescent="0.35">
      <c r="A396" s="461" t="s">
        <v>951</v>
      </c>
      <c r="B396" s="461" t="s">
        <v>235</v>
      </c>
      <c r="C396" s="461" t="s">
        <v>52</v>
      </c>
      <c r="D396">
        <v>0</v>
      </c>
      <c r="E396">
        <v>0</v>
      </c>
      <c r="F396">
        <v>0</v>
      </c>
      <c r="G396">
        <v>0</v>
      </c>
      <c r="H396">
        <v>5</v>
      </c>
      <c r="I396">
        <v>10</v>
      </c>
      <c r="J396">
        <v>48</v>
      </c>
    </row>
    <row r="397" spans="1:10" hidden="1" x14ac:dyDescent="0.35">
      <c r="A397" s="461" t="s">
        <v>951</v>
      </c>
      <c r="B397" s="461" t="s">
        <v>235</v>
      </c>
      <c r="C397" s="461" t="s">
        <v>53</v>
      </c>
      <c r="D397">
        <v>0</v>
      </c>
      <c r="E397">
        <v>0</v>
      </c>
      <c r="F397">
        <v>0</v>
      </c>
      <c r="G397">
        <v>0</v>
      </c>
      <c r="H397">
        <v>15</v>
      </c>
      <c r="I397">
        <v>21</v>
      </c>
      <c r="J397">
        <v>64</v>
      </c>
    </row>
    <row r="398" spans="1:10" hidden="1" x14ac:dyDescent="0.35">
      <c r="A398" s="461" t="s">
        <v>951</v>
      </c>
      <c r="B398" s="461" t="s">
        <v>235</v>
      </c>
      <c r="C398" s="461" t="s">
        <v>54</v>
      </c>
      <c r="D398">
        <v>0</v>
      </c>
      <c r="E398">
        <v>0</v>
      </c>
      <c r="F398">
        <v>0</v>
      </c>
      <c r="G398">
        <v>0</v>
      </c>
      <c r="H398">
        <v>10</v>
      </c>
      <c r="I398">
        <v>8</v>
      </c>
      <c r="J398">
        <v>33</v>
      </c>
    </row>
    <row r="399" spans="1:10" hidden="1" x14ac:dyDescent="0.35">
      <c r="A399" s="461" t="s">
        <v>951</v>
      </c>
      <c r="B399" s="461" t="s">
        <v>235</v>
      </c>
      <c r="C399" s="461" t="s">
        <v>55</v>
      </c>
    </row>
    <row r="400" spans="1:10" hidden="1" x14ac:dyDescent="0.35">
      <c r="A400" s="461" t="s">
        <v>951</v>
      </c>
      <c r="B400" s="461" t="s">
        <v>235</v>
      </c>
      <c r="C400" s="461" t="s">
        <v>56</v>
      </c>
      <c r="D400">
        <v>0</v>
      </c>
      <c r="E400">
        <v>0</v>
      </c>
      <c r="F400">
        <v>0</v>
      </c>
      <c r="G400">
        <v>0</v>
      </c>
      <c r="H400">
        <v>5</v>
      </c>
      <c r="I400">
        <v>10</v>
      </c>
      <c r="J400">
        <v>36</v>
      </c>
    </row>
    <row r="401" spans="1:10" hidden="1" x14ac:dyDescent="0.35">
      <c r="A401" s="461" t="s">
        <v>951</v>
      </c>
      <c r="B401" s="461" t="s">
        <v>235</v>
      </c>
      <c r="C401" s="461" t="s">
        <v>57</v>
      </c>
      <c r="D401">
        <v>0</v>
      </c>
      <c r="E401">
        <v>0</v>
      </c>
      <c r="F401">
        <v>0</v>
      </c>
      <c r="G401">
        <v>0</v>
      </c>
      <c r="H401">
        <v>20</v>
      </c>
      <c r="I401">
        <v>37</v>
      </c>
      <c r="J401">
        <v>111</v>
      </c>
    </row>
    <row r="402" spans="1:10" hidden="1" x14ac:dyDescent="0.35">
      <c r="A402" s="461" t="s">
        <v>951</v>
      </c>
      <c r="B402" s="461" t="s">
        <v>235</v>
      </c>
      <c r="C402" s="461" t="s">
        <v>58</v>
      </c>
      <c r="D402">
        <v>0</v>
      </c>
      <c r="E402">
        <v>0</v>
      </c>
      <c r="F402">
        <v>0</v>
      </c>
      <c r="G402">
        <v>0</v>
      </c>
      <c r="H402">
        <v>5</v>
      </c>
      <c r="I402">
        <v>10</v>
      </c>
      <c r="J402">
        <v>37</v>
      </c>
    </row>
    <row r="403" spans="1:10" hidden="1" x14ac:dyDescent="0.35">
      <c r="A403" s="461" t="s">
        <v>951</v>
      </c>
      <c r="B403" s="461" t="s">
        <v>235</v>
      </c>
      <c r="C403" s="461" t="s">
        <v>59</v>
      </c>
      <c r="D403">
        <v>0</v>
      </c>
      <c r="E403">
        <v>0</v>
      </c>
      <c r="F403">
        <v>0</v>
      </c>
      <c r="G403">
        <v>0</v>
      </c>
      <c r="H403">
        <v>10</v>
      </c>
      <c r="I403">
        <v>17</v>
      </c>
      <c r="J403">
        <v>46</v>
      </c>
    </row>
    <row r="404" spans="1:10" hidden="1" x14ac:dyDescent="0.35">
      <c r="A404" s="461" t="s">
        <v>951</v>
      </c>
      <c r="B404" s="461" t="s">
        <v>235</v>
      </c>
      <c r="C404" s="461" t="s">
        <v>60</v>
      </c>
      <c r="D404">
        <v>0</v>
      </c>
      <c r="E404">
        <v>0</v>
      </c>
      <c r="F404">
        <v>0</v>
      </c>
      <c r="G404">
        <v>0</v>
      </c>
      <c r="H404">
        <v>10</v>
      </c>
      <c r="I404">
        <v>11</v>
      </c>
      <c r="J404">
        <v>36</v>
      </c>
    </row>
    <row r="405" spans="1:10" x14ac:dyDescent="0.35">
      <c r="A405" s="461" t="s">
        <v>951</v>
      </c>
      <c r="B405" s="461" t="s">
        <v>236</v>
      </c>
      <c r="C405" s="461" t="s">
        <v>31</v>
      </c>
      <c r="D405">
        <v>0</v>
      </c>
      <c r="E405">
        <v>1</v>
      </c>
      <c r="F405">
        <v>2</v>
      </c>
      <c r="G405">
        <v>3</v>
      </c>
      <c r="H405">
        <v>4</v>
      </c>
      <c r="I405">
        <v>1</v>
      </c>
      <c r="J405">
        <v>1</v>
      </c>
    </row>
    <row r="406" spans="1:10" x14ac:dyDescent="0.35">
      <c r="A406" s="461" t="s">
        <v>951</v>
      </c>
      <c r="B406" s="461" t="s">
        <v>236</v>
      </c>
      <c r="C406" s="461" t="s">
        <v>63</v>
      </c>
      <c r="D406">
        <v>0</v>
      </c>
      <c r="E406">
        <v>1</v>
      </c>
      <c r="F406">
        <v>3</v>
      </c>
      <c r="G406">
        <v>9</v>
      </c>
      <c r="H406">
        <v>8</v>
      </c>
      <c r="I406">
        <v>4</v>
      </c>
      <c r="J406">
        <v>1</v>
      </c>
    </row>
    <row r="407" spans="1:10" x14ac:dyDescent="0.35">
      <c r="A407" s="461" t="s">
        <v>951</v>
      </c>
      <c r="B407" s="461" t="s">
        <v>236</v>
      </c>
      <c r="C407" s="461" t="s">
        <v>64</v>
      </c>
      <c r="D407">
        <v>0</v>
      </c>
      <c r="E407">
        <v>1</v>
      </c>
      <c r="F407">
        <v>3</v>
      </c>
      <c r="G407">
        <v>7</v>
      </c>
      <c r="H407">
        <v>7</v>
      </c>
      <c r="I407">
        <v>6</v>
      </c>
      <c r="J407">
        <v>2</v>
      </c>
    </row>
    <row r="408" spans="1:10" x14ac:dyDescent="0.35">
      <c r="A408" s="461" t="s">
        <v>951</v>
      </c>
      <c r="B408" s="461" t="s">
        <v>236</v>
      </c>
      <c r="C408" s="461" t="s">
        <v>36</v>
      </c>
      <c r="D408">
        <v>0</v>
      </c>
      <c r="E408">
        <v>1</v>
      </c>
      <c r="F408">
        <v>2</v>
      </c>
      <c r="G408">
        <v>6</v>
      </c>
      <c r="H408">
        <v>6</v>
      </c>
      <c r="I408">
        <v>4</v>
      </c>
      <c r="J408">
        <v>2</v>
      </c>
    </row>
    <row r="409" spans="1:10" x14ac:dyDescent="0.35">
      <c r="A409" s="461" t="s">
        <v>951</v>
      </c>
      <c r="B409" s="461" t="s">
        <v>236</v>
      </c>
      <c r="C409" s="461" t="s">
        <v>65</v>
      </c>
      <c r="D409">
        <v>0</v>
      </c>
      <c r="E409">
        <v>1</v>
      </c>
      <c r="F409">
        <v>4</v>
      </c>
      <c r="G409">
        <v>8</v>
      </c>
      <c r="H409">
        <v>10</v>
      </c>
      <c r="I409">
        <v>4</v>
      </c>
      <c r="J409">
        <v>1</v>
      </c>
    </row>
    <row r="410" spans="1:10" x14ac:dyDescent="0.35">
      <c r="A410" s="461" t="s">
        <v>951</v>
      </c>
      <c r="B410" s="461" t="s">
        <v>236</v>
      </c>
      <c r="C410" s="461" t="s">
        <v>66</v>
      </c>
      <c r="D410">
        <v>0</v>
      </c>
      <c r="E410">
        <v>1</v>
      </c>
      <c r="F410">
        <v>3</v>
      </c>
      <c r="G410">
        <v>9</v>
      </c>
      <c r="H410">
        <v>8</v>
      </c>
      <c r="I410">
        <v>5</v>
      </c>
      <c r="J410">
        <v>1</v>
      </c>
    </row>
    <row r="411" spans="1:10" x14ac:dyDescent="0.35">
      <c r="A411" s="461" t="s">
        <v>951</v>
      </c>
      <c r="B411" s="461" t="s">
        <v>236</v>
      </c>
      <c r="C411" s="461" t="s">
        <v>67</v>
      </c>
      <c r="D411">
        <v>0</v>
      </c>
      <c r="E411">
        <v>1</v>
      </c>
      <c r="F411">
        <v>3</v>
      </c>
      <c r="G411">
        <v>7</v>
      </c>
      <c r="H411">
        <v>10</v>
      </c>
      <c r="I411">
        <v>3</v>
      </c>
      <c r="J411">
        <v>4</v>
      </c>
    </row>
    <row r="412" spans="1:10" x14ac:dyDescent="0.35">
      <c r="A412" s="461" t="s">
        <v>951</v>
      </c>
      <c r="B412" s="461" t="s">
        <v>236</v>
      </c>
      <c r="C412" s="461" t="s">
        <v>68</v>
      </c>
      <c r="D412">
        <v>0</v>
      </c>
      <c r="E412">
        <v>1</v>
      </c>
      <c r="F412">
        <v>4</v>
      </c>
      <c r="G412">
        <v>5</v>
      </c>
      <c r="H412">
        <v>4</v>
      </c>
      <c r="I412">
        <v>2</v>
      </c>
      <c r="J412">
        <v>1</v>
      </c>
    </row>
    <row r="413" spans="1:10" x14ac:dyDescent="0.35">
      <c r="A413" s="461" t="s">
        <v>951</v>
      </c>
      <c r="B413" s="461" t="s">
        <v>236</v>
      </c>
      <c r="C413" s="461" t="s">
        <v>167</v>
      </c>
      <c r="D413">
        <v>0</v>
      </c>
      <c r="E413">
        <v>1</v>
      </c>
      <c r="F413">
        <v>3</v>
      </c>
      <c r="G413">
        <v>7</v>
      </c>
      <c r="H413">
        <v>11</v>
      </c>
      <c r="I413">
        <v>3</v>
      </c>
      <c r="J413">
        <v>4</v>
      </c>
    </row>
    <row r="414" spans="1:10" x14ac:dyDescent="0.35">
      <c r="A414" s="461" t="s">
        <v>951</v>
      </c>
      <c r="B414" s="461" t="s">
        <v>236</v>
      </c>
      <c r="C414" s="461" t="s">
        <v>69</v>
      </c>
      <c r="D414">
        <v>0</v>
      </c>
      <c r="E414">
        <v>1</v>
      </c>
      <c r="F414">
        <v>2</v>
      </c>
      <c r="G414">
        <v>5</v>
      </c>
      <c r="H414">
        <v>6</v>
      </c>
      <c r="I414">
        <v>3</v>
      </c>
      <c r="J414">
        <v>2</v>
      </c>
    </row>
    <row r="415" spans="1:10" x14ac:dyDescent="0.35">
      <c r="A415" s="461" t="s">
        <v>951</v>
      </c>
      <c r="B415" s="461" t="s">
        <v>236</v>
      </c>
      <c r="C415" s="461" t="s">
        <v>43</v>
      </c>
    </row>
    <row r="416" spans="1:10" x14ac:dyDescent="0.35">
      <c r="A416" s="461" t="s">
        <v>951</v>
      </c>
      <c r="B416" s="461" t="s">
        <v>236</v>
      </c>
      <c r="C416" s="461" t="s">
        <v>114</v>
      </c>
      <c r="D416">
        <v>0</v>
      </c>
      <c r="E416">
        <v>1</v>
      </c>
      <c r="F416">
        <v>5</v>
      </c>
      <c r="G416">
        <v>9</v>
      </c>
      <c r="H416">
        <v>7</v>
      </c>
      <c r="I416">
        <v>2</v>
      </c>
      <c r="J416">
        <v>2</v>
      </c>
    </row>
    <row r="417" spans="1:10" x14ac:dyDescent="0.35">
      <c r="A417" s="461" t="s">
        <v>951</v>
      </c>
      <c r="B417" s="461" t="s">
        <v>236</v>
      </c>
      <c r="C417" s="461" t="s">
        <v>70</v>
      </c>
      <c r="D417">
        <v>0</v>
      </c>
      <c r="E417">
        <v>1</v>
      </c>
      <c r="F417">
        <v>4</v>
      </c>
      <c r="G417">
        <v>12</v>
      </c>
      <c r="H417">
        <v>10</v>
      </c>
      <c r="I417">
        <v>7</v>
      </c>
      <c r="J417">
        <v>1</v>
      </c>
    </row>
    <row r="418" spans="1:10" x14ac:dyDescent="0.35">
      <c r="A418" s="461" t="s">
        <v>951</v>
      </c>
      <c r="B418" s="461" t="s">
        <v>236</v>
      </c>
      <c r="C418" s="461" t="s">
        <v>50</v>
      </c>
      <c r="D418">
        <v>0</v>
      </c>
      <c r="E418">
        <v>1</v>
      </c>
      <c r="F418">
        <v>2</v>
      </c>
      <c r="G418">
        <v>5</v>
      </c>
      <c r="H418">
        <v>5</v>
      </c>
      <c r="I418">
        <v>2</v>
      </c>
      <c r="J418">
        <v>0</v>
      </c>
    </row>
    <row r="419" spans="1:10" x14ac:dyDescent="0.35">
      <c r="A419" s="461" t="s">
        <v>951</v>
      </c>
      <c r="B419" s="461" t="s">
        <v>236</v>
      </c>
      <c r="C419" s="461" t="s">
        <v>57</v>
      </c>
      <c r="D419">
        <v>0</v>
      </c>
      <c r="E419">
        <v>1</v>
      </c>
      <c r="F419">
        <v>2</v>
      </c>
      <c r="G419">
        <v>6</v>
      </c>
      <c r="H419">
        <v>4</v>
      </c>
      <c r="I419">
        <v>3</v>
      </c>
      <c r="J419">
        <v>0</v>
      </c>
    </row>
    <row r="420" spans="1:10" x14ac:dyDescent="0.35">
      <c r="A420" s="461" t="s">
        <v>951</v>
      </c>
      <c r="B420" s="461" t="s">
        <v>236</v>
      </c>
      <c r="C420" s="461" t="s">
        <v>775</v>
      </c>
      <c r="D420">
        <v>0</v>
      </c>
      <c r="E420">
        <v>1</v>
      </c>
      <c r="F420">
        <v>4</v>
      </c>
      <c r="G420">
        <v>11</v>
      </c>
      <c r="H420">
        <v>11</v>
      </c>
      <c r="I420">
        <v>6</v>
      </c>
      <c r="J420">
        <v>4</v>
      </c>
    </row>
    <row r="421" spans="1:10" x14ac:dyDescent="0.35">
      <c r="A421" s="461" t="s">
        <v>951</v>
      </c>
      <c r="B421" s="461" t="s">
        <v>236</v>
      </c>
      <c r="C421" s="461" t="s">
        <v>71</v>
      </c>
      <c r="D421">
        <v>0</v>
      </c>
      <c r="E421">
        <v>1</v>
      </c>
      <c r="F421">
        <v>3</v>
      </c>
      <c r="G421">
        <v>7</v>
      </c>
      <c r="H421">
        <v>4</v>
      </c>
      <c r="I421">
        <v>0</v>
      </c>
      <c r="J421">
        <v>0</v>
      </c>
    </row>
    <row r="422" spans="1:10" hidden="1" x14ac:dyDescent="0.35">
      <c r="A422" s="461" t="s">
        <v>951</v>
      </c>
      <c r="B422" s="461" t="s">
        <v>237</v>
      </c>
      <c r="C422" s="461" t="s">
        <v>166</v>
      </c>
      <c r="D422">
        <v>0</v>
      </c>
      <c r="E422">
        <v>1</v>
      </c>
      <c r="F422">
        <v>2</v>
      </c>
      <c r="G422">
        <v>5</v>
      </c>
      <c r="H422">
        <v>32</v>
      </c>
      <c r="I422">
        <v>6</v>
      </c>
      <c r="J422">
        <v>20</v>
      </c>
    </row>
    <row r="423" spans="1:10" hidden="1" x14ac:dyDescent="0.35">
      <c r="A423" s="461" t="s">
        <v>951</v>
      </c>
      <c r="B423" s="461" t="s">
        <v>237</v>
      </c>
      <c r="C423" s="461" t="s">
        <v>164</v>
      </c>
      <c r="D423">
        <v>0</v>
      </c>
      <c r="E423">
        <v>2</v>
      </c>
      <c r="F423">
        <v>2</v>
      </c>
      <c r="G423">
        <v>6</v>
      </c>
      <c r="H423">
        <v>19</v>
      </c>
      <c r="I423">
        <v>13</v>
      </c>
      <c r="J423">
        <v>13</v>
      </c>
    </row>
    <row r="424" spans="1:10" hidden="1" x14ac:dyDescent="0.35">
      <c r="A424" s="461" t="s">
        <v>951</v>
      </c>
      <c r="B424" s="461" t="s">
        <v>237</v>
      </c>
      <c r="C424" s="461" t="s">
        <v>165</v>
      </c>
      <c r="D424">
        <v>0</v>
      </c>
      <c r="E424">
        <v>3</v>
      </c>
      <c r="F424">
        <v>5</v>
      </c>
      <c r="G424">
        <v>5</v>
      </c>
      <c r="H424">
        <v>36</v>
      </c>
      <c r="I424">
        <v>17</v>
      </c>
      <c r="J424">
        <v>25</v>
      </c>
    </row>
    <row r="425" spans="1:10" hidden="1" x14ac:dyDescent="0.35">
      <c r="A425" s="461" t="s">
        <v>951</v>
      </c>
      <c r="B425" s="461" t="s">
        <v>238</v>
      </c>
      <c r="C425" s="461" t="s">
        <v>246</v>
      </c>
      <c r="D425">
        <v>5</v>
      </c>
      <c r="E425">
        <v>13</v>
      </c>
      <c r="F425">
        <v>23</v>
      </c>
      <c r="G425">
        <v>20</v>
      </c>
      <c r="H425">
        <v>30</v>
      </c>
      <c r="I425">
        <v>0</v>
      </c>
      <c r="J425">
        <v>1</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E8" sqref="E8"/>
    </sheetView>
  </sheetViews>
  <sheetFormatPr defaultRowHeight="14.5" x14ac:dyDescent="0.35"/>
  <cols>
    <col min="1" max="1" width="11" customWidth="1"/>
    <col min="2" max="2" width="12.36328125" bestFit="1" customWidth="1"/>
    <col min="3" max="3" width="13.1796875" bestFit="1" customWidth="1"/>
    <col min="4" max="4" width="12.36328125" bestFit="1" customWidth="1"/>
    <col min="5" max="5" width="16.26953125" bestFit="1" customWidth="1"/>
    <col min="6" max="6" width="11.26953125" bestFit="1" customWidth="1"/>
  </cols>
  <sheetData>
    <row r="1" spans="1:3" x14ac:dyDescent="0.35">
      <c r="A1" t="s">
        <v>312</v>
      </c>
    </row>
    <row r="2" spans="1:3" x14ac:dyDescent="0.35">
      <c r="A2" t="s">
        <v>241</v>
      </c>
    </row>
    <row r="3" spans="1:3" x14ac:dyDescent="0.35">
      <c r="A3" t="s">
        <v>773</v>
      </c>
    </row>
    <row r="4" spans="1:3" x14ac:dyDescent="0.35">
      <c r="A4" t="s">
        <v>951</v>
      </c>
    </row>
    <row r="13" spans="1:3" x14ac:dyDescent="0.35">
      <c r="B13" s="459" t="s">
        <v>234</v>
      </c>
    </row>
    <row r="14" spans="1:3" x14ac:dyDescent="0.35">
      <c r="B14" s="1000" t="s">
        <v>951</v>
      </c>
      <c r="C14" t="str">
        <f>B14</f>
        <v>2020-21</v>
      </c>
    </row>
    <row r="15" spans="1:3" x14ac:dyDescent="0.35">
      <c r="B15" s="1000" t="s">
        <v>239</v>
      </c>
    </row>
  </sheetData>
  <pageMargins left="0.7" right="0.7" top="0.75" bottom="0.75" header="0.3" footer="0.3"/>
  <drawing r:id="rId2"/>
  <tableParts count="1">
    <tablePart r:id="rId3"/>
  </tableParts>
  <extLst>
    <ext xmlns:x14="http://schemas.microsoft.com/office/spreadsheetml/2009/9/main" uri="{A8765BA9-456A-4dab-B4F3-ACF838C121DE}">
      <x14:slicerList>
        <x14:slicer r:id="rId4"/>
      </x14:slicerList>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7558519241921"/>
    <pageSetUpPr fitToPage="1"/>
  </sheetPr>
  <dimension ref="A1:L80"/>
  <sheetViews>
    <sheetView showGridLines="0" workbookViewId="0">
      <pane ySplit="2" topLeftCell="A3" activePane="bottomLeft" state="frozen"/>
      <selection pane="bottomLeft" sqref="A1:H1"/>
    </sheetView>
  </sheetViews>
  <sheetFormatPr defaultRowHeight="14.5" x14ac:dyDescent="0.35"/>
  <cols>
    <col min="1" max="1" width="17.1796875" customWidth="1"/>
    <col min="2" max="2" width="57.54296875" customWidth="1"/>
    <col min="3" max="9" width="12.1796875" customWidth="1"/>
    <col min="10" max="10" width="13.26953125" customWidth="1"/>
  </cols>
  <sheetData>
    <row r="1" spans="1:10" ht="15.5" x14ac:dyDescent="0.35">
      <c r="A1" s="1160" t="s">
        <v>439</v>
      </c>
      <c r="B1" s="1160"/>
      <c r="C1" s="1160"/>
      <c r="D1" s="1160"/>
      <c r="E1" s="1160"/>
      <c r="F1" s="1160"/>
      <c r="G1" s="1160"/>
      <c r="H1" s="1160"/>
      <c r="I1" s="28"/>
      <c r="J1" s="28"/>
    </row>
    <row r="2" spans="1:10" ht="15" customHeight="1" x14ac:dyDescent="0.35">
      <c r="A2" s="601" t="s">
        <v>509</v>
      </c>
      <c r="C2" s="538"/>
      <c r="D2" s="538"/>
      <c r="E2" s="538"/>
      <c r="F2" s="538"/>
      <c r="G2" s="538"/>
      <c r="H2" s="538"/>
      <c r="I2" s="28"/>
      <c r="J2" s="28"/>
    </row>
    <row r="3" spans="1:10" ht="15" customHeight="1" x14ac:dyDescent="0.35">
      <c r="C3" s="538"/>
      <c r="D3" s="538"/>
      <c r="E3" s="538"/>
      <c r="F3" s="538"/>
      <c r="G3" s="538"/>
      <c r="H3" s="538"/>
      <c r="I3" s="28"/>
      <c r="J3" s="28"/>
    </row>
    <row r="4" spans="1:10" ht="30" customHeight="1" x14ac:dyDescent="0.35">
      <c r="A4" s="1178" t="s">
        <v>469</v>
      </c>
      <c r="B4" s="1178"/>
      <c r="C4" s="1178"/>
      <c r="D4" s="1178"/>
      <c r="E4" s="1178"/>
      <c r="F4" s="1178"/>
      <c r="G4" s="1178"/>
      <c r="H4" s="1178"/>
      <c r="I4" s="1178"/>
      <c r="J4" s="1178"/>
    </row>
    <row r="5" spans="1:10" ht="15" customHeight="1" x14ac:dyDescent="0.35">
      <c r="A5" t="s">
        <v>320</v>
      </c>
      <c r="B5" t="s">
        <v>654</v>
      </c>
      <c r="C5" s="509"/>
      <c r="D5" s="509"/>
      <c r="E5" s="509"/>
      <c r="F5" s="509"/>
      <c r="G5" s="509"/>
      <c r="H5" s="509"/>
      <c r="I5" s="509"/>
      <c r="J5" s="509"/>
    </row>
    <row r="6" spans="1:10" ht="15.75" customHeight="1" x14ac:dyDescent="0.35">
      <c r="A6" t="s">
        <v>321</v>
      </c>
      <c r="B6" t="s">
        <v>323</v>
      </c>
      <c r="C6" s="509"/>
      <c r="D6" s="509"/>
      <c r="E6" s="509"/>
      <c r="F6" s="509"/>
      <c r="G6" s="509"/>
      <c r="H6" s="509"/>
      <c r="I6" s="509"/>
      <c r="J6" s="509"/>
    </row>
    <row r="7" spans="1:10" ht="15.75" customHeight="1" x14ac:dyDescent="0.35">
      <c r="A7" t="s">
        <v>322</v>
      </c>
      <c r="B7" t="s">
        <v>324</v>
      </c>
      <c r="C7" s="509"/>
      <c r="D7" s="509"/>
      <c r="E7" s="509"/>
      <c r="F7" s="509"/>
      <c r="G7" s="509"/>
      <c r="H7" s="509"/>
      <c r="I7" s="509"/>
      <c r="J7" s="509"/>
    </row>
    <row r="8" spans="1:10" ht="28" x14ac:dyDescent="0.35">
      <c r="A8" s="43" t="s">
        <v>1</v>
      </c>
      <c r="B8" s="43" t="s">
        <v>207</v>
      </c>
      <c r="C8" s="47" t="s">
        <v>856</v>
      </c>
      <c r="D8" s="47" t="s">
        <v>857</v>
      </c>
      <c r="E8" s="47" t="s">
        <v>858</v>
      </c>
      <c r="F8" s="47" t="s">
        <v>859</v>
      </c>
      <c r="G8" s="47" t="s">
        <v>860</v>
      </c>
      <c r="H8" s="47" t="s">
        <v>861</v>
      </c>
      <c r="I8" s="47" t="s">
        <v>23</v>
      </c>
      <c r="J8" s="533" t="s">
        <v>75</v>
      </c>
    </row>
    <row r="9" spans="1:10" ht="15" thickBot="1" x14ac:dyDescent="0.4">
      <c r="A9" s="45" t="str">
        <f>wtroleareapivot!B1</f>
        <v>2020-21</v>
      </c>
      <c r="B9" s="45" t="s">
        <v>75</v>
      </c>
      <c r="C9" s="76">
        <f>C44+C64+C70+C72</f>
        <v>5</v>
      </c>
      <c r="D9" s="76">
        <f t="shared" ref="D9:J9" si="0">D44+D64+D70+D72</f>
        <v>35</v>
      </c>
      <c r="E9" s="76">
        <f t="shared" si="0"/>
        <v>81</v>
      </c>
      <c r="F9" s="76">
        <f t="shared" si="0"/>
        <v>152</v>
      </c>
      <c r="G9" s="76">
        <f t="shared" si="0"/>
        <v>604</v>
      </c>
      <c r="H9" s="76">
        <f t="shared" si="0"/>
        <v>687</v>
      </c>
      <c r="I9" s="76">
        <f t="shared" si="0"/>
        <v>2020</v>
      </c>
      <c r="J9" s="76">
        <f t="shared" si="0"/>
        <v>3584</v>
      </c>
    </row>
    <row r="10" spans="1:10" x14ac:dyDescent="0.35">
      <c r="B10" s="46"/>
      <c r="C10" s="51"/>
      <c r="D10" s="51"/>
      <c r="E10" s="51"/>
      <c r="F10" s="51"/>
      <c r="G10" s="51"/>
      <c r="H10" s="51"/>
      <c r="I10" s="51"/>
      <c r="J10" s="77"/>
    </row>
    <row r="11" spans="1:10" x14ac:dyDescent="0.35">
      <c r="A11" s="49" t="s">
        <v>449</v>
      </c>
      <c r="B11" s="49" t="s">
        <v>30</v>
      </c>
      <c r="C11" s="25"/>
      <c r="D11" s="21"/>
      <c r="E11" s="21"/>
      <c r="F11" s="21"/>
      <c r="G11" s="21"/>
      <c r="H11" s="21"/>
      <c r="I11" s="21"/>
      <c r="J11" s="21"/>
    </row>
    <row r="12" spans="1:10" ht="19.5" customHeight="1" x14ac:dyDescent="0.35">
      <c r="A12" s="465" t="s">
        <v>286</v>
      </c>
      <c r="B12" s="52" t="s">
        <v>31</v>
      </c>
      <c r="C12" s="530">
        <f>wtroleareapivot!B5</f>
        <v>0</v>
      </c>
      <c r="D12" s="530">
        <f>wtroleareapivot!C5</f>
        <v>0</v>
      </c>
      <c r="E12" s="530">
        <f>wtroleareapivot!D5</f>
        <v>0</v>
      </c>
      <c r="F12" s="530">
        <f>wtroleareapivot!E5</f>
        <v>0</v>
      </c>
      <c r="G12" s="832">
        <f>wtroleareapivot!F5</f>
        <v>15</v>
      </c>
      <c r="H12" s="832">
        <f>wtroleareapivot!G5</f>
        <v>35</v>
      </c>
      <c r="I12" s="832">
        <f>wtroleareapivot!H5</f>
        <v>99</v>
      </c>
      <c r="J12" s="833">
        <f>SUM(C12:I12)</f>
        <v>149</v>
      </c>
    </row>
    <row r="13" spans="1:10" x14ac:dyDescent="0.35">
      <c r="A13" s="466" t="s">
        <v>287</v>
      </c>
      <c r="B13" s="55" t="s">
        <v>32</v>
      </c>
      <c r="C13" s="531">
        <f>wtroleareapivot!B6</f>
        <v>0</v>
      </c>
      <c r="D13" s="531">
        <f>wtroleareapivot!C6</f>
        <v>0</v>
      </c>
      <c r="E13" s="531">
        <f>wtroleareapivot!D6</f>
        <v>0</v>
      </c>
      <c r="F13" s="531">
        <f>wtroleareapivot!E6</f>
        <v>0</v>
      </c>
      <c r="G13" s="833">
        <f>wtroleareapivot!F6</f>
        <v>5</v>
      </c>
      <c r="H13" s="833">
        <f>wtroleareapivot!G6</f>
        <v>5</v>
      </c>
      <c r="I13" s="833">
        <f>wtroleareapivot!H6</f>
        <v>19</v>
      </c>
      <c r="J13" s="833">
        <f t="shared" ref="J13:J43" si="1">SUM(C13:I13)</f>
        <v>29</v>
      </c>
    </row>
    <row r="14" spans="1:10" x14ac:dyDescent="0.35">
      <c r="A14" s="466" t="s">
        <v>293</v>
      </c>
      <c r="B14" s="55" t="s">
        <v>33</v>
      </c>
      <c r="C14" s="531">
        <f>wtroleareapivot!B7</f>
        <v>0</v>
      </c>
      <c r="D14" s="531">
        <f>wtroleareapivot!C7</f>
        <v>0</v>
      </c>
      <c r="E14" s="531">
        <f>wtroleareapivot!D7</f>
        <v>0</v>
      </c>
      <c r="F14" s="531">
        <f>wtroleareapivot!E7</f>
        <v>0</v>
      </c>
      <c r="G14" s="833">
        <f>wtroleareapivot!F7</f>
        <v>5</v>
      </c>
      <c r="H14" s="833">
        <f>wtroleareapivot!G7</f>
        <v>5</v>
      </c>
      <c r="I14" s="833">
        <f>wtroleareapivot!H7</f>
        <v>17</v>
      </c>
      <c r="J14" s="833">
        <f t="shared" si="1"/>
        <v>27</v>
      </c>
    </row>
    <row r="15" spans="1:10" x14ac:dyDescent="0.35">
      <c r="A15" s="466" t="s">
        <v>288</v>
      </c>
      <c r="B15" s="55" t="s">
        <v>34</v>
      </c>
      <c r="C15" s="531">
        <f>wtroleareapivot!B8</f>
        <v>0</v>
      </c>
      <c r="D15" s="531">
        <f>wtroleareapivot!C8</f>
        <v>0</v>
      </c>
      <c r="E15" s="531">
        <f>wtroleareapivot!D8</f>
        <v>0</v>
      </c>
      <c r="F15" s="531">
        <f>wtroleareapivot!E8</f>
        <v>0</v>
      </c>
      <c r="G15" s="833">
        <f>wtroleareapivot!F8</f>
        <v>10</v>
      </c>
      <c r="H15" s="833">
        <f>wtroleareapivot!G8</f>
        <v>10</v>
      </c>
      <c r="I15" s="833">
        <f>wtroleareapivot!H8</f>
        <v>32</v>
      </c>
      <c r="J15" s="833">
        <f t="shared" si="1"/>
        <v>52</v>
      </c>
    </row>
    <row r="16" spans="1:10" x14ac:dyDescent="0.35">
      <c r="A16" s="466" t="s">
        <v>289</v>
      </c>
      <c r="B16" s="55" t="s">
        <v>245</v>
      </c>
      <c r="C16" s="531">
        <f>wtroleareapivot!B9</f>
        <v>0</v>
      </c>
      <c r="D16" s="531">
        <f>wtroleareapivot!C9</f>
        <v>0</v>
      </c>
      <c r="E16" s="531">
        <f>wtroleareapivot!D9</f>
        <v>0</v>
      </c>
      <c r="F16" s="531">
        <f>wtroleareapivot!E9</f>
        <v>0</v>
      </c>
      <c r="G16" s="833">
        <f>wtroleareapivot!F9</f>
        <v>36</v>
      </c>
      <c r="H16" s="833">
        <f>wtroleareapivot!G9</f>
        <v>58</v>
      </c>
      <c r="I16" s="833">
        <f>wtroleareapivot!H9</f>
        <v>206</v>
      </c>
      <c r="J16" s="833">
        <f t="shared" si="1"/>
        <v>300</v>
      </c>
    </row>
    <row r="17" spans="1:10" x14ac:dyDescent="0.35">
      <c r="A17" s="466" t="s">
        <v>267</v>
      </c>
      <c r="B17" s="55" t="s">
        <v>35</v>
      </c>
      <c r="C17" s="531">
        <f>wtroleareapivot!B10</f>
        <v>0</v>
      </c>
      <c r="D17" s="531">
        <f>wtroleareapivot!C10</f>
        <v>0</v>
      </c>
      <c r="E17" s="531">
        <f>wtroleareapivot!D10</f>
        <v>0</v>
      </c>
      <c r="F17" s="531">
        <f>wtroleareapivot!E10</f>
        <v>0</v>
      </c>
      <c r="G17" s="833">
        <f>wtroleareapivot!F10</f>
        <v>6</v>
      </c>
      <c r="H17" s="833">
        <f>wtroleareapivot!G10</f>
        <v>5</v>
      </c>
      <c r="I17" s="833">
        <f>wtroleareapivot!H10</f>
        <v>13</v>
      </c>
      <c r="J17" s="833">
        <f t="shared" si="1"/>
        <v>24</v>
      </c>
    </row>
    <row r="18" spans="1:10" x14ac:dyDescent="0.35">
      <c r="A18" s="466" t="s">
        <v>268</v>
      </c>
      <c r="B18" s="55" t="s">
        <v>36</v>
      </c>
      <c r="C18" s="531">
        <f>wtroleareapivot!B11</f>
        <v>0</v>
      </c>
      <c r="D18" s="531">
        <f>wtroleareapivot!C11</f>
        <v>0</v>
      </c>
      <c r="E18" s="531">
        <f>wtroleareapivot!D11</f>
        <v>0</v>
      </c>
      <c r="F18" s="531">
        <f>wtroleareapivot!E11</f>
        <v>0</v>
      </c>
      <c r="G18" s="833">
        <f>wtroleareapivot!F11</f>
        <v>5</v>
      </c>
      <c r="H18" s="833">
        <f>wtroleareapivot!G11</f>
        <v>10</v>
      </c>
      <c r="I18" s="833">
        <f>wtroleareapivot!H11</f>
        <v>36</v>
      </c>
      <c r="J18" s="833">
        <f t="shared" si="1"/>
        <v>51</v>
      </c>
    </row>
    <row r="19" spans="1:10" x14ac:dyDescent="0.35">
      <c r="A19" s="466" t="s">
        <v>294</v>
      </c>
      <c r="B19" s="55" t="s">
        <v>37</v>
      </c>
      <c r="C19" s="531">
        <f>wtroleareapivot!B12</f>
        <v>0</v>
      </c>
      <c r="D19" s="531">
        <f>wtroleareapivot!C12</f>
        <v>0</v>
      </c>
      <c r="E19" s="531">
        <f>wtroleareapivot!D12</f>
        <v>0</v>
      </c>
      <c r="F19" s="531">
        <f>wtroleareapivot!E12</f>
        <v>0</v>
      </c>
      <c r="G19" s="833">
        <f>wtroleareapivot!F12</f>
        <v>19</v>
      </c>
      <c r="H19" s="833">
        <f>wtroleareapivot!G12</f>
        <v>36</v>
      </c>
      <c r="I19" s="833">
        <f>wtroleareapivot!H12</f>
        <v>127</v>
      </c>
      <c r="J19" s="833">
        <f t="shared" si="1"/>
        <v>182</v>
      </c>
    </row>
    <row r="20" spans="1:10" x14ac:dyDescent="0.35">
      <c r="A20" s="466" t="s">
        <v>269</v>
      </c>
      <c r="B20" s="55" t="s">
        <v>38</v>
      </c>
      <c r="C20" s="531">
        <f>wtroleareapivot!B13</f>
        <v>0</v>
      </c>
      <c r="D20" s="531">
        <f>wtroleareapivot!C13</f>
        <v>0</v>
      </c>
      <c r="E20" s="531">
        <f>wtroleareapivot!D13</f>
        <v>0</v>
      </c>
      <c r="F20" s="531">
        <f>wtroleareapivot!E13</f>
        <v>0</v>
      </c>
      <c r="G20" s="833">
        <f>wtroleareapivot!F13</f>
        <v>5</v>
      </c>
      <c r="H20" s="833">
        <f>wtroleareapivot!G13</f>
        <v>10</v>
      </c>
      <c r="I20" s="833">
        <f>wtroleareapivot!H13</f>
        <v>32</v>
      </c>
      <c r="J20" s="833">
        <f t="shared" si="1"/>
        <v>47</v>
      </c>
    </row>
    <row r="21" spans="1:10" x14ac:dyDescent="0.35">
      <c r="A21" s="466" t="s">
        <v>296</v>
      </c>
      <c r="B21" s="55" t="s">
        <v>39</v>
      </c>
      <c r="C21" s="531">
        <f>wtroleareapivot!B14</f>
        <v>0</v>
      </c>
      <c r="D21" s="531">
        <f>wtroleareapivot!C14</f>
        <v>0</v>
      </c>
      <c r="E21" s="531">
        <f>wtroleareapivot!D14</f>
        <v>0</v>
      </c>
      <c r="F21" s="531">
        <f>wtroleareapivot!E14</f>
        <v>0</v>
      </c>
      <c r="G21" s="833">
        <f>wtroleareapivot!F14</f>
        <v>16</v>
      </c>
      <c r="H21" s="833">
        <f>wtroleareapivot!G14</f>
        <v>14</v>
      </c>
      <c r="I21" s="833">
        <f>wtroleareapivot!H14</f>
        <v>46</v>
      </c>
      <c r="J21" s="833">
        <f t="shared" si="1"/>
        <v>76</v>
      </c>
    </row>
    <row r="22" spans="1:10" x14ac:dyDescent="0.35">
      <c r="A22" s="466" t="s">
        <v>270</v>
      </c>
      <c r="B22" s="55" t="s">
        <v>40</v>
      </c>
      <c r="C22" s="531">
        <f>wtroleareapivot!B15</f>
        <v>0</v>
      </c>
      <c r="D22" s="531">
        <f>wtroleareapivot!C15</f>
        <v>0</v>
      </c>
      <c r="E22" s="531">
        <f>wtroleareapivot!D15</f>
        <v>0</v>
      </c>
      <c r="F22" s="531">
        <f>wtroleareapivot!E15</f>
        <v>0</v>
      </c>
      <c r="G22" s="833">
        <f>wtroleareapivot!F15</f>
        <v>5</v>
      </c>
      <c r="H22" s="833">
        <f>wtroleareapivot!G15</f>
        <v>5</v>
      </c>
      <c r="I22" s="833">
        <f>wtroleareapivot!H15</f>
        <v>16</v>
      </c>
      <c r="J22" s="833">
        <f t="shared" si="1"/>
        <v>26</v>
      </c>
    </row>
    <row r="23" spans="1:10" x14ac:dyDescent="0.35">
      <c r="A23" s="466" t="s">
        <v>271</v>
      </c>
      <c r="B23" s="55" t="s">
        <v>41</v>
      </c>
      <c r="C23" s="531">
        <f>wtroleareapivot!B16</f>
        <v>0</v>
      </c>
      <c r="D23" s="531">
        <f>wtroleareapivot!C16</f>
        <v>0</v>
      </c>
      <c r="E23" s="531">
        <f>wtroleareapivot!D16</f>
        <v>0</v>
      </c>
      <c r="F23" s="531">
        <f>wtroleareapivot!E16</f>
        <v>0</v>
      </c>
      <c r="G23" s="833">
        <f>wtroleareapivot!F16</f>
        <v>10</v>
      </c>
      <c r="H23" s="833">
        <f>wtroleareapivot!G16</f>
        <v>10</v>
      </c>
      <c r="I23" s="833">
        <f>wtroleareapivot!H16</f>
        <v>28</v>
      </c>
      <c r="J23" s="833">
        <f t="shared" si="1"/>
        <v>48</v>
      </c>
    </row>
    <row r="24" spans="1:10" x14ac:dyDescent="0.35">
      <c r="A24" s="466" t="s">
        <v>273</v>
      </c>
      <c r="B24" s="55" t="s">
        <v>42</v>
      </c>
      <c r="C24" s="531">
        <f>wtroleareapivot!B17</f>
        <v>0</v>
      </c>
      <c r="D24" s="531">
        <f>wtroleareapivot!C17</f>
        <v>0</v>
      </c>
      <c r="E24" s="531">
        <f>wtroleareapivot!D17</f>
        <v>0</v>
      </c>
      <c r="F24" s="531">
        <f>wtroleareapivot!E17</f>
        <v>0</v>
      </c>
      <c r="G24" s="833">
        <f>wtroleareapivot!F17</f>
        <v>15</v>
      </c>
      <c r="H24" s="833">
        <f>wtroleareapivot!G17</f>
        <v>20</v>
      </c>
      <c r="I24" s="833">
        <f>wtroleareapivot!H17</f>
        <v>53</v>
      </c>
      <c r="J24" s="833">
        <f t="shared" si="1"/>
        <v>88</v>
      </c>
    </row>
    <row r="25" spans="1:10" x14ac:dyDescent="0.35">
      <c r="A25" s="466" t="s">
        <v>298</v>
      </c>
      <c r="B25" s="55" t="s">
        <v>43</v>
      </c>
      <c r="C25" s="531">
        <f>wtroleareapivot!B18</f>
        <v>0</v>
      </c>
      <c r="D25" s="531">
        <f>wtroleareapivot!C18</f>
        <v>0</v>
      </c>
      <c r="E25" s="531">
        <f>wtroleareapivot!D18</f>
        <v>0</v>
      </c>
      <c r="F25" s="531">
        <f>wtroleareapivot!E18</f>
        <v>0</v>
      </c>
      <c r="G25" s="833">
        <f>wtroleareapivot!F18</f>
        <v>25</v>
      </c>
      <c r="H25" s="833">
        <f>wtroleareapivot!G18</f>
        <v>50</v>
      </c>
      <c r="I25" s="833">
        <f>wtroleareapivot!H18</f>
        <v>179</v>
      </c>
      <c r="J25" s="833">
        <f t="shared" si="1"/>
        <v>254</v>
      </c>
    </row>
    <row r="26" spans="1:10" x14ac:dyDescent="0.35">
      <c r="A26" s="466" t="str">
        <f>IF(A9 = "2019-20","S12000049","S12000046")</f>
        <v>S12000046</v>
      </c>
      <c r="B26" s="55" t="s">
        <v>114</v>
      </c>
      <c r="C26" s="531">
        <f>wtroleareapivot!B19</f>
        <v>0</v>
      </c>
      <c r="D26" s="531">
        <f>wtroleareapivot!C19</f>
        <v>0</v>
      </c>
      <c r="E26" s="531">
        <f>wtroleareapivot!D19</f>
        <v>0</v>
      </c>
      <c r="F26" s="531">
        <f>wtroleareapivot!E19</f>
        <v>0</v>
      </c>
      <c r="G26" s="833">
        <f>wtroleareapivot!F19</f>
        <v>55</v>
      </c>
      <c r="H26" s="833">
        <f>wtroleareapivot!G19</f>
        <v>109</v>
      </c>
      <c r="I26" s="833">
        <f>wtroleareapivot!H19</f>
        <v>335</v>
      </c>
      <c r="J26" s="833">
        <f t="shared" si="1"/>
        <v>499</v>
      </c>
    </row>
    <row r="27" spans="1:10" x14ac:dyDescent="0.35">
      <c r="A27" s="466" t="s">
        <v>274</v>
      </c>
      <c r="B27" s="55" t="s">
        <v>44</v>
      </c>
      <c r="C27" s="531">
        <f>wtroleareapivot!B20</f>
        <v>0</v>
      </c>
      <c r="D27" s="531">
        <f>wtroleareapivot!C20</f>
        <v>0</v>
      </c>
      <c r="E27" s="531">
        <f>wtroleareapivot!D20</f>
        <v>0</v>
      </c>
      <c r="F27" s="531">
        <f>wtroleareapivot!E20</f>
        <v>0</v>
      </c>
      <c r="G27" s="833">
        <f>wtroleareapivot!F20</f>
        <v>5</v>
      </c>
      <c r="H27" s="833">
        <f>wtroleareapivot!G20</f>
        <v>15</v>
      </c>
      <c r="I27" s="833">
        <f>wtroleareapivot!H20</f>
        <v>54</v>
      </c>
      <c r="J27" s="833">
        <f t="shared" si="1"/>
        <v>74</v>
      </c>
    </row>
    <row r="28" spans="1:10" x14ac:dyDescent="0.35">
      <c r="A28" s="466" t="s">
        <v>275</v>
      </c>
      <c r="B28" s="55" t="s">
        <v>45</v>
      </c>
      <c r="C28" s="531">
        <f>wtroleareapivot!B21</f>
        <v>0</v>
      </c>
      <c r="D28" s="531">
        <f>wtroleareapivot!C21</f>
        <v>0</v>
      </c>
      <c r="E28" s="531">
        <f>wtroleareapivot!D21</f>
        <v>0</v>
      </c>
      <c r="F28" s="531">
        <f>wtroleareapivot!E21</f>
        <v>0</v>
      </c>
      <c r="G28" s="833">
        <f>wtroleareapivot!F21</f>
        <v>10</v>
      </c>
      <c r="H28" s="833">
        <f>wtroleareapivot!G21</f>
        <v>15</v>
      </c>
      <c r="I28" s="833">
        <f>wtroleareapivot!H21</f>
        <v>45</v>
      </c>
      <c r="J28" s="833">
        <f t="shared" si="1"/>
        <v>70</v>
      </c>
    </row>
    <row r="29" spans="1:10" x14ac:dyDescent="0.35">
      <c r="A29" s="466" t="s">
        <v>276</v>
      </c>
      <c r="B29" s="55" t="s">
        <v>46</v>
      </c>
      <c r="C29" s="531">
        <f>wtroleareapivot!B22</f>
        <v>0</v>
      </c>
      <c r="D29" s="531">
        <f>wtroleareapivot!C22</f>
        <v>0</v>
      </c>
      <c r="E29" s="531">
        <f>wtroleareapivot!D22</f>
        <v>0</v>
      </c>
      <c r="F29" s="531">
        <f>wtroleareapivot!E22</f>
        <v>0</v>
      </c>
      <c r="G29" s="833">
        <f>wtroleareapivot!F22</f>
        <v>5</v>
      </c>
      <c r="H29" s="833">
        <f>wtroleareapivot!G22</f>
        <v>5</v>
      </c>
      <c r="I29" s="833">
        <f>wtroleareapivot!H22</f>
        <v>17</v>
      </c>
      <c r="J29" s="833">
        <f t="shared" si="1"/>
        <v>27</v>
      </c>
    </row>
    <row r="30" spans="1:10" x14ac:dyDescent="0.35">
      <c r="A30" s="466" t="s">
        <v>277</v>
      </c>
      <c r="B30" s="55" t="s">
        <v>47</v>
      </c>
      <c r="C30" s="531">
        <f>wtroleareapivot!B23</f>
        <v>0</v>
      </c>
      <c r="D30" s="531">
        <f>wtroleareapivot!C23</f>
        <v>0</v>
      </c>
      <c r="E30" s="531">
        <f>wtroleareapivot!D23</f>
        <v>0</v>
      </c>
      <c r="F30" s="531">
        <f>wtroleareapivot!E23</f>
        <v>0</v>
      </c>
      <c r="G30" s="833">
        <f>wtroleareapivot!F23</f>
        <v>5</v>
      </c>
      <c r="H30" s="833">
        <f>wtroleareapivot!G23</f>
        <v>5</v>
      </c>
      <c r="I30" s="833">
        <f>wtroleareapivot!H23</f>
        <v>20</v>
      </c>
      <c r="J30" s="833">
        <f t="shared" si="1"/>
        <v>30</v>
      </c>
    </row>
    <row r="31" spans="1:10" x14ac:dyDescent="0.35">
      <c r="A31" s="466" t="s">
        <v>272</v>
      </c>
      <c r="B31" s="55" t="s">
        <v>48</v>
      </c>
      <c r="C31" s="531">
        <f>wtroleareapivot!B24</f>
        <v>0</v>
      </c>
      <c r="D31" s="531">
        <f>wtroleareapivot!C24</f>
        <v>0</v>
      </c>
      <c r="E31" s="531">
        <f>wtroleareapivot!D24</f>
        <v>0</v>
      </c>
      <c r="F31" s="531">
        <f>wtroleareapivot!E24</f>
        <v>0</v>
      </c>
      <c r="G31" s="833">
        <f>wtroleareapivot!F24</f>
        <v>0</v>
      </c>
      <c r="H31" s="833">
        <f>wtroleareapivot!G24</f>
        <v>0</v>
      </c>
      <c r="I31" s="833">
        <f>wtroleareapivot!H24</f>
        <v>0</v>
      </c>
      <c r="J31" s="833">
        <f t="shared" si="1"/>
        <v>0</v>
      </c>
    </row>
    <row r="32" spans="1:10" x14ac:dyDescent="0.35">
      <c r="A32" s="466" t="s">
        <v>278</v>
      </c>
      <c r="B32" s="55" t="s">
        <v>49</v>
      </c>
      <c r="C32" s="531">
        <f>wtroleareapivot!B25</f>
        <v>0</v>
      </c>
      <c r="D32" s="531">
        <f>wtroleareapivot!C25</f>
        <v>0</v>
      </c>
      <c r="E32" s="531">
        <f>wtroleareapivot!D25</f>
        <v>0</v>
      </c>
      <c r="F32" s="531">
        <f>wtroleareapivot!E25</f>
        <v>0</v>
      </c>
      <c r="G32" s="833">
        <f>wtroleareapivot!F25</f>
        <v>15</v>
      </c>
      <c r="H32" s="833">
        <f>wtroleareapivot!G25</f>
        <v>15</v>
      </c>
      <c r="I32" s="833">
        <f>wtroleareapivot!H25</f>
        <v>45</v>
      </c>
      <c r="J32" s="833">
        <f t="shared" si="1"/>
        <v>75</v>
      </c>
    </row>
    <row r="33" spans="1:10" x14ac:dyDescent="0.35">
      <c r="A33" s="466" t="str">
        <f>IF(A9="2019-20","S12000050","S12000044")</f>
        <v>S12000044</v>
      </c>
      <c r="B33" s="55" t="s">
        <v>50</v>
      </c>
      <c r="C33" s="531">
        <f>wtroleareapivot!B26</f>
        <v>0</v>
      </c>
      <c r="D33" s="531">
        <f>wtroleareapivot!C26</f>
        <v>0</v>
      </c>
      <c r="E33" s="531">
        <f>wtroleareapivot!D26</f>
        <v>0</v>
      </c>
      <c r="F33" s="531">
        <f>wtroleareapivot!E26</f>
        <v>0</v>
      </c>
      <c r="G33" s="833">
        <f>wtroleareapivot!F26</f>
        <v>20</v>
      </c>
      <c r="H33" s="833">
        <f>wtroleareapivot!G26</f>
        <v>35</v>
      </c>
      <c r="I33" s="833">
        <f>wtroleareapivot!H26</f>
        <v>105</v>
      </c>
      <c r="J33" s="833">
        <f t="shared" si="1"/>
        <v>160</v>
      </c>
    </row>
    <row r="34" spans="1:10" x14ac:dyDescent="0.35">
      <c r="A34" s="466" t="s">
        <v>279</v>
      </c>
      <c r="B34" s="55" t="s">
        <v>51</v>
      </c>
      <c r="C34" s="531">
        <f>wtroleareapivot!B27</f>
        <v>0</v>
      </c>
      <c r="D34" s="531">
        <f>wtroleareapivot!C27</f>
        <v>0</v>
      </c>
      <c r="E34" s="531">
        <f>wtroleareapivot!D27</f>
        <v>0</v>
      </c>
      <c r="F34" s="531">
        <f>wtroleareapivot!E27</f>
        <v>0</v>
      </c>
      <c r="G34" s="833">
        <f>wtroleareapivot!F27</f>
        <v>0</v>
      </c>
      <c r="H34" s="833">
        <f>wtroleareapivot!G27</f>
        <v>0</v>
      </c>
      <c r="I34" s="833">
        <f>wtroleareapivot!H27</f>
        <v>0</v>
      </c>
      <c r="J34" s="833">
        <f t="shared" si="1"/>
        <v>0</v>
      </c>
    </row>
    <row r="35" spans="1:10" x14ac:dyDescent="0.35">
      <c r="A35" s="466" t="s">
        <v>280</v>
      </c>
      <c r="B35" s="55" t="s">
        <v>52</v>
      </c>
      <c r="C35" s="531">
        <f>wtroleareapivot!B28</f>
        <v>0</v>
      </c>
      <c r="D35" s="531">
        <f>wtroleareapivot!C28</f>
        <v>0</v>
      </c>
      <c r="E35" s="531">
        <f>wtroleareapivot!D28</f>
        <v>0</v>
      </c>
      <c r="F35" s="531">
        <f>wtroleareapivot!E28</f>
        <v>0</v>
      </c>
      <c r="G35" s="833">
        <f>wtroleareapivot!F28</f>
        <v>5</v>
      </c>
      <c r="H35" s="833">
        <f>wtroleareapivot!G28</f>
        <v>10</v>
      </c>
      <c r="I35" s="833">
        <f>wtroleareapivot!H28</f>
        <v>48</v>
      </c>
      <c r="J35" s="833">
        <f t="shared" si="1"/>
        <v>63</v>
      </c>
    </row>
    <row r="36" spans="1:10" x14ac:dyDescent="0.35">
      <c r="A36" s="466" t="s">
        <v>290</v>
      </c>
      <c r="B36" s="55" t="s">
        <v>53</v>
      </c>
      <c r="C36" s="531">
        <f>wtroleareapivot!B29</f>
        <v>0</v>
      </c>
      <c r="D36" s="531">
        <f>wtroleareapivot!C29</f>
        <v>0</v>
      </c>
      <c r="E36" s="531">
        <f>wtroleareapivot!D29</f>
        <v>0</v>
      </c>
      <c r="F36" s="531">
        <f>wtroleareapivot!E29</f>
        <v>0</v>
      </c>
      <c r="G36" s="833">
        <f>wtroleareapivot!F29</f>
        <v>15</v>
      </c>
      <c r="H36" s="833">
        <f>wtroleareapivot!G29</f>
        <v>21</v>
      </c>
      <c r="I36" s="833">
        <f>wtroleareapivot!H29</f>
        <v>64</v>
      </c>
      <c r="J36" s="833">
        <f t="shared" si="1"/>
        <v>100</v>
      </c>
    </row>
    <row r="37" spans="1:10" x14ac:dyDescent="0.35">
      <c r="A37" s="466" t="s">
        <v>281</v>
      </c>
      <c r="B37" s="55" t="s">
        <v>54</v>
      </c>
      <c r="C37" s="531">
        <f>wtroleareapivot!B30</f>
        <v>0</v>
      </c>
      <c r="D37" s="531">
        <f>wtroleareapivot!C30</f>
        <v>0</v>
      </c>
      <c r="E37" s="531">
        <f>wtroleareapivot!D30</f>
        <v>0</v>
      </c>
      <c r="F37" s="531">
        <f>wtroleareapivot!E30</f>
        <v>0</v>
      </c>
      <c r="G37" s="833">
        <f>wtroleareapivot!F30</f>
        <v>10</v>
      </c>
      <c r="H37" s="833">
        <f>wtroleareapivot!G30</f>
        <v>8</v>
      </c>
      <c r="I37" s="833">
        <f>wtroleareapivot!H30</f>
        <v>33</v>
      </c>
      <c r="J37" s="833">
        <f t="shared" si="1"/>
        <v>51</v>
      </c>
    </row>
    <row r="38" spans="1:10" x14ac:dyDescent="0.35">
      <c r="A38" s="466" t="s">
        <v>282</v>
      </c>
      <c r="B38" s="55" t="s">
        <v>55</v>
      </c>
      <c r="C38" s="531">
        <f>wtroleareapivot!B31</f>
        <v>0</v>
      </c>
      <c r="D38" s="531">
        <f>wtroleareapivot!C31</f>
        <v>0</v>
      </c>
      <c r="E38" s="531">
        <f>wtroleareapivot!D31</f>
        <v>0</v>
      </c>
      <c r="F38" s="531">
        <f>wtroleareapivot!E31</f>
        <v>0</v>
      </c>
      <c r="G38" s="833">
        <f>wtroleareapivot!F31</f>
        <v>0</v>
      </c>
      <c r="H38" s="833">
        <f>wtroleareapivot!G31</f>
        <v>0</v>
      </c>
      <c r="I38" s="833">
        <f>wtroleareapivot!H31</f>
        <v>0</v>
      </c>
      <c r="J38" s="833">
        <f t="shared" si="1"/>
        <v>0</v>
      </c>
    </row>
    <row r="39" spans="1:10" x14ac:dyDescent="0.35">
      <c r="A39" s="466" t="s">
        <v>283</v>
      </c>
      <c r="B39" s="55" t="s">
        <v>56</v>
      </c>
      <c r="C39" s="531">
        <f>wtroleareapivot!B32</f>
        <v>0</v>
      </c>
      <c r="D39" s="531">
        <f>wtroleareapivot!C32</f>
        <v>0</v>
      </c>
      <c r="E39" s="531">
        <f>wtroleareapivot!D32</f>
        <v>0</v>
      </c>
      <c r="F39" s="531">
        <f>wtroleareapivot!E32</f>
        <v>0</v>
      </c>
      <c r="G39" s="833">
        <f>wtroleareapivot!F32</f>
        <v>5</v>
      </c>
      <c r="H39" s="833">
        <f>wtroleareapivot!G32</f>
        <v>10</v>
      </c>
      <c r="I39" s="833">
        <f>wtroleareapivot!H32</f>
        <v>36</v>
      </c>
      <c r="J39" s="833">
        <f t="shared" si="1"/>
        <v>51</v>
      </c>
    </row>
    <row r="40" spans="1:10" x14ac:dyDescent="0.35">
      <c r="A40" s="466" t="s">
        <v>284</v>
      </c>
      <c r="B40" s="55" t="s">
        <v>57</v>
      </c>
      <c r="C40" s="531">
        <f>wtroleareapivot!B33</f>
        <v>0</v>
      </c>
      <c r="D40" s="531">
        <f>wtroleareapivot!C33</f>
        <v>0</v>
      </c>
      <c r="E40" s="531">
        <f>wtroleareapivot!D33</f>
        <v>0</v>
      </c>
      <c r="F40" s="531">
        <f>wtroleareapivot!E33</f>
        <v>0</v>
      </c>
      <c r="G40" s="833">
        <f>wtroleareapivot!F33</f>
        <v>20</v>
      </c>
      <c r="H40" s="833">
        <f>wtroleareapivot!G33</f>
        <v>37</v>
      </c>
      <c r="I40" s="833">
        <f>wtroleareapivot!H33</f>
        <v>111</v>
      </c>
      <c r="J40" s="833">
        <f t="shared" si="1"/>
        <v>168</v>
      </c>
    </row>
    <row r="41" spans="1:10" x14ac:dyDescent="0.35">
      <c r="A41" s="466" t="s">
        <v>285</v>
      </c>
      <c r="B41" s="55" t="s">
        <v>58</v>
      </c>
      <c r="C41" s="531">
        <f>wtroleareapivot!B34</f>
        <v>0</v>
      </c>
      <c r="D41" s="531">
        <f>wtroleareapivot!C34</f>
        <v>0</v>
      </c>
      <c r="E41" s="531">
        <f>wtroleareapivot!D34</f>
        <v>0</v>
      </c>
      <c r="F41" s="531">
        <f>wtroleareapivot!E34</f>
        <v>0</v>
      </c>
      <c r="G41" s="833">
        <f>wtroleareapivot!F34</f>
        <v>5</v>
      </c>
      <c r="H41" s="833">
        <f>wtroleareapivot!G34</f>
        <v>10</v>
      </c>
      <c r="I41" s="833">
        <f>wtroleareapivot!H34</f>
        <v>37</v>
      </c>
      <c r="J41" s="833">
        <f t="shared" si="1"/>
        <v>52</v>
      </c>
    </row>
    <row r="42" spans="1:10" x14ac:dyDescent="0.35">
      <c r="A42" s="466" t="s">
        <v>291</v>
      </c>
      <c r="B42" s="55" t="s">
        <v>59</v>
      </c>
      <c r="C42" s="531">
        <f>wtroleareapivot!B35</f>
        <v>0</v>
      </c>
      <c r="D42" s="531">
        <f>wtroleareapivot!C35</f>
        <v>0</v>
      </c>
      <c r="E42" s="531">
        <f>wtroleareapivot!D35</f>
        <v>0</v>
      </c>
      <c r="F42" s="531">
        <f>wtroleareapivot!E35</f>
        <v>0</v>
      </c>
      <c r="G42" s="833">
        <f>wtroleareapivot!F35</f>
        <v>10</v>
      </c>
      <c r="H42" s="833">
        <f>wtroleareapivot!G35</f>
        <v>17</v>
      </c>
      <c r="I42" s="833">
        <f>wtroleareapivot!H35</f>
        <v>46</v>
      </c>
      <c r="J42" s="833">
        <f t="shared" si="1"/>
        <v>73</v>
      </c>
    </row>
    <row r="43" spans="1:10" x14ac:dyDescent="0.35">
      <c r="A43" s="466" t="s">
        <v>292</v>
      </c>
      <c r="B43" s="55" t="s">
        <v>60</v>
      </c>
      <c r="C43" s="531">
        <f>wtroleareapivot!B36</f>
        <v>0</v>
      </c>
      <c r="D43" s="531">
        <f>wtroleareapivot!C36</f>
        <v>0</v>
      </c>
      <c r="E43" s="531">
        <f>wtroleareapivot!D36</f>
        <v>0</v>
      </c>
      <c r="F43" s="531">
        <f>wtroleareapivot!E36</f>
        <v>0</v>
      </c>
      <c r="G43" s="833">
        <f>wtroleareapivot!F36</f>
        <v>10</v>
      </c>
      <c r="H43" s="833">
        <f>wtroleareapivot!G36</f>
        <v>11</v>
      </c>
      <c r="I43" s="833">
        <f>wtroleareapivot!H36</f>
        <v>36</v>
      </c>
      <c r="J43" s="836">
        <f t="shared" si="1"/>
        <v>57</v>
      </c>
    </row>
    <row r="44" spans="1:10" ht="19.5" customHeight="1" thickBot="1" x14ac:dyDescent="0.4">
      <c r="A44" s="59"/>
      <c r="B44" s="59" t="s">
        <v>61</v>
      </c>
      <c r="C44" s="532">
        <f t="shared" ref="C44:J44" si="2">SUM(C12:C43)</f>
        <v>0</v>
      </c>
      <c r="D44" s="532">
        <f t="shared" si="2"/>
        <v>0</v>
      </c>
      <c r="E44" s="532">
        <f t="shared" si="2"/>
        <v>0</v>
      </c>
      <c r="F44" s="532">
        <f t="shared" si="2"/>
        <v>0</v>
      </c>
      <c r="G44" s="834">
        <f t="shared" si="2"/>
        <v>372</v>
      </c>
      <c r="H44" s="834">
        <f t="shared" si="2"/>
        <v>596</v>
      </c>
      <c r="I44" s="834">
        <f t="shared" si="2"/>
        <v>1935</v>
      </c>
      <c r="J44" s="835">
        <f t="shared" si="2"/>
        <v>2903</v>
      </c>
    </row>
    <row r="45" spans="1:10" x14ac:dyDescent="0.35">
      <c r="A45" s="61"/>
      <c r="B45" s="61"/>
      <c r="C45" s="83"/>
      <c r="D45" s="83"/>
      <c r="E45" s="83"/>
      <c r="F45" s="63"/>
      <c r="G45" s="63"/>
      <c r="H45" s="63"/>
      <c r="I45" s="63"/>
      <c r="J45" s="48"/>
    </row>
    <row r="46" spans="1:10" x14ac:dyDescent="0.35">
      <c r="A46" s="62" t="s">
        <v>450</v>
      </c>
      <c r="B46" s="62" t="s">
        <v>62</v>
      </c>
      <c r="C46" s="51"/>
      <c r="D46" s="51"/>
      <c r="E46" s="51"/>
      <c r="F46" s="51"/>
      <c r="G46" s="51"/>
      <c r="H46" s="51"/>
      <c r="I46" s="51"/>
      <c r="J46" s="84"/>
    </row>
    <row r="47" spans="1:10" ht="19.5" customHeight="1" x14ac:dyDescent="0.35">
      <c r="A47" s="467" t="s">
        <v>326</v>
      </c>
      <c r="B47" s="64" t="s">
        <v>31</v>
      </c>
      <c r="C47" s="530">
        <f>wtroleareapivot!B39</f>
        <v>0</v>
      </c>
      <c r="D47" s="832">
        <f>wtroleareapivot!C39</f>
        <v>1</v>
      </c>
      <c r="E47" s="832">
        <f>wtroleareapivot!D39</f>
        <v>2</v>
      </c>
      <c r="F47" s="832">
        <f>wtroleareapivot!E39</f>
        <v>3</v>
      </c>
      <c r="G47" s="832">
        <f>wtroleareapivot!F39</f>
        <v>4</v>
      </c>
      <c r="H47" s="832">
        <f>wtroleareapivot!G39</f>
        <v>1</v>
      </c>
      <c r="I47" s="832">
        <f>wtroleareapivot!H39</f>
        <v>1</v>
      </c>
      <c r="J47" s="79">
        <f t="shared" ref="J47:J63" si="3">SUM(C47:I47)</f>
        <v>12</v>
      </c>
    </row>
    <row r="48" spans="1:10" x14ac:dyDescent="0.35">
      <c r="A48" s="468" t="s">
        <v>327</v>
      </c>
      <c r="B48" s="66" t="s">
        <v>63</v>
      </c>
      <c r="C48" s="531">
        <f>wtroleareapivot!B40</f>
        <v>0</v>
      </c>
      <c r="D48" s="833">
        <f>wtroleareapivot!C40</f>
        <v>1</v>
      </c>
      <c r="E48" s="833">
        <f>wtroleareapivot!D40</f>
        <v>3</v>
      </c>
      <c r="F48" s="833">
        <f>wtroleareapivot!E40</f>
        <v>9</v>
      </c>
      <c r="G48" s="833">
        <f>wtroleareapivot!F40</f>
        <v>8</v>
      </c>
      <c r="H48" s="833">
        <f>wtroleareapivot!G40</f>
        <v>4</v>
      </c>
      <c r="I48" s="833">
        <f>wtroleareapivot!H40</f>
        <v>1</v>
      </c>
      <c r="J48" s="79">
        <f t="shared" si="3"/>
        <v>26</v>
      </c>
    </row>
    <row r="49" spans="1:10" ht="15.75" customHeight="1" x14ac:dyDescent="0.35">
      <c r="A49" s="468" t="s">
        <v>329</v>
      </c>
      <c r="B49" s="66" t="s">
        <v>64</v>
      </c>
      <c r="C49" s="531">
        <f>wtroleareapivot!B41</f>
        <v>0</v>
      </c>
      <c r="D49" s="833">
        <f>wtroleareapivot!C41</f>
        <v>1</v>
      </c>
      <c r="E49" s="833">
        <f>wtroleareapivot!D41</f>
        <v>3</v>
      </c>
      <c r="F49" s="833">
        <f>wtroleareapivot!E41</f>
        <v>7</v>
      </c>
      <c r="G49" s="833">
        <f>wtroleareapivot!F41</f>
        <v>7</v>
      </c>
      <c r="H49" s="833">
        <f>wtroleareapivot!G41</f>
        <v>6</v>
      </c>
      <c r="I49" s="833">
        <f>wtroleareapivot!H41</f>
        <v>2</v>
      </c>
      <c r="J49" s="79">
        <f t="shared" si="3"/>
        <v>26</v>
      </c>
    </row>
    <row r="50" spans="1:10" x14ac:dyDescent="0.35">
      <c r="A50" s="468" t="s">
        <v>330</v>
      </c>
      <c r="B50" s="66" t="s">
        <v>36</v>
      </c>
      <c r="C50" s="531">
        <f>wtroleareapivot!B42</f>
        <v>0</v>
      </c>
      <c r="D50" s="833">
        <f>wtroleareapivot!C42</f>
        <v>1</v>
      </c>
      <c r="E50" s="833">
        <f>wtroleareapivot!D42</f>
        <v>2</v>
      </c>
      <c r="F50" s="833">
        <f>wtroleareapivot!E42</f>
        <v>6</v>
      </c>
      <c r="G50" s="833">
        <f>wtroleareapivot!F42</f>
        <v>6</v>
      </c>
      <c r="H50" s="833">
        <f>wtroleareapivot!G42</f>
        <v>4</v>
      </c>
      <c r="I50" s="833">
        <f>wtroleareapivot!H42</f>
        <v>2</v>
      </c>
      <c r="J50" s="79">
        <f t="shared" si="3"/>
        <v>21</v>
      </c>
    </row>
    <row r="51" spans="1:10" x14ac:dyDescent="0.35">
      <c r="A51" s="468" t="s">
        <v>328</v>
      </c>
      <c r="B51" s="66" t="s">
        <v>65</v>
      </c>
      <c r="C51" s="531">
        <f>wtroleareapivot!B43</f>
        <v>0</v>
      </c>
      <c r="D51" s="833">
        <f>wtroleareapivot!C43</f>
        <v>1</v>
      </c>
      <c r="E51" s="833">
        <f>wtroleareapivot!D43</f>
        <v>4</v>
      </c>
      <c r="F51" s="833">
        <f>wtroleareapivot!E43</f>
        <v>8</v>
      </c>
      <c r="G51" s="833">
        <f>wtroleareapivot!F43</f>
        <v>10</v>
      </c>
      <c r="H51" s="833">
        <f>wtroleareapivot!G43</f>
        <v>4</v>
      </c>
      <c r="I51" s="833">
        <f>wtroleareapivot!H43</f>
        <v>1</v>
      </c>
      <c r="J51" s="79">
        <f t="shared" si="3"/>
        <v>28</v>
      </c>
    </row>
    <row r="52" spans="1:10" x14ac:dyDescent="0.35">
      <c r="A52" s="468" t="s">
        <v>331</v>
      </c>
      <c r="B52" s="66" t="s">
        <v>66</v>
      </c>
      <c r="C52" s="531">
        <f>wtroleareapivot!B44</f>
        <v>0</v>
      </c>
      <c r="D52" s="833">
        <f>wtroleareapivot!C44</f>
        <v>1</v>
      </c>
      <c r="E52" s="833">
        <f>wtroleareapivot!D44</f>
        <v>3</v>
      </c>
      <c r="F52" s="833">
        <f>wtroleareapivot!E44</f>
        <v>9</v>
      </c>
      <c r="G52" s="833">
        <f>wtroleareapivot!F44</f>
        <v>8</v>
      </c>
      <c r="H52" s="833">
        <f>wtroleareapivot!G44</f>
        <v>5</v>
      </c>
      <c r="I52" s="833">
        <f>wtroleareapivot!H44</f>
        <v>1</v>
      </c>
      <c r="J52" s="79">
        <f t="shared" si="3"/>
        <v>27</v>
      </c>
    </row>
    <row r="53" spans="1:10" x14ac:dyDescent="0.35">
      <c r="A53" s="468" t="s">
        <v>332</v>
      </c>
      <c r="B53" s="66" t="s">
        <v>67</v>
      </c>
      <c r="C53" s="531">
        <f>wtroleareapivot!B45</f>
        <v>0</v>
      </c>
      <c r="D53" s="833">
        <f>wtroleareapivot!C45</f>
        <v>1</v>
      </c>
      <c r="E53" s="833">
        <f>wtroleareapivot!D45</f>
        <v>3</v>
      </c>
      <c r="F53" s="833">
        <f>wtroleareapivot!E45</f>
        <v>7</v>
      </c>
      <c r="G53" s="833">
        <f>wtroleareapivot!F45</f>
        <v>10</v>
      </c>
      <c r="H53" s="833">
        <f>wtroleareapivot!G45</f>
        <v>3</v>
      </c>
      <c r="I53" s="833">
        <f>wtroleareapivot!H45</f>
        <v>4</v>
      </c>
      <c r="J53" s="79">
        <f t="shared" si="3"/>
        <v>28</v>
      </c>
    </row>
    <row r="54" spans="1:10" x14ac:dyDescent="0.35">
      <c r="A54" s="420" t="s">
        <v>333</v>
      </c>
      <c r="B54" s="66" t="s">
        <v>68</v>
      </c>
      <c r="C54" s="531">
        <f>wtroleareapivot!B46</f>
        <v>0</v>
      </c>
      <c r="D54" s="833">
        <f>wtroleareapivot!C46</f>
        <v>1</v>
      </c>
      <c r="E54" s="833">
        <f>wtroleareapivot!D46</f>
        <v>4</v>
      </c>
      <c r="F54" s="833">
        <f>wtroleareapivot!E46</f>
        <v>5</v>
      </c>
      <c r="G54" s="833">
        <f>wtroleareapivot!F46</f>
        <v>4</v>
      </c>
      <c r="H54" s="833">
        <f>wtroleareapivot!G46</f>
        <v>2</v>
      </c>
      <c r="I54" s="833">
        <f>wtroleareapivot!H46</f>
        <v>1</v>
      </c>
      <c r="J54" s="79">
        <f t="shared" si="3"/>
        <v>17</v>
      </c>
    </row>
    <row r="55" spans="1:10" x14ac:dyDescent="0.35">
      <c r="A55" s="468" t="s">
        <v>334</v>
      </c>
      <c r="B55" s="66" t="s">
        <v>167</v>
      </c>
      <c r="C55" s="531">
        <f>wtroleareapivot!B47</f>
        <v>0</v>
      </c>
      <c r="D55" s="833">
        <f>wtroleareapivot!C47</f>
        <v>1</v>
      </c>
      <c r="E55" s="833">
        <f>wtroleareapivot!D47</f>
        <v>3</v>
      </c>
      <c r="F55" s="833">
        <f>wtroleareapivot!E47</f>
        <v>7</v>
      </c>
      <c r="G55" s="833">
        <f>wtroleareapivot!F47</f>
        <v>11</v>
      </c>
      <c r="H55" s="833">
        <f>wtroleareapivot!G47</f>
        <v>3</v>
      </c>
      <c r="I55" s="833">
        <f>wtroleareapivot!H47</f>
        <v>4</v>
      </c>
      <c r="J55" s="79">
        <f t="shared" si="3"/>
        <v>29</v>
      </c>
    </row>
    <row r="56" spans="1:10" x14ac:dyDescent="0.35">
      <c r="A56" s="468" t="s">
        <v>335</v>
      </c>
      <c r="B56" s="66" t="s">
        <v>69</v>
      </c>
      <c r="C56" s="531">
        <f>wtroleareapivot!B48</f>
        <v>0</v>
      </c>
      <c r="D56" s="833">
        <f>wtroleareapivot!C48</f>
        <v>1</v>
      </c>
      <c r="E56" s="833">
        <f>wtroleareapivot!D48</f>
        <v>2</v>
      </c>
      <c r="F56" s="833">
        <f>wtroleareapivot!E48</f>
        <v>5</v>
      </c>
      <c r="G56" s="833">
        <f>wtroleareapivot!F48</f>
        <v>6</v>
      </c>
      <c r="H56" s="833">
        <f>wtroleareapivot!G48</f>
        <v>3</v>
      </c>
      <c r="I56" s="833">
        <f>wtroleareapivot!H48</f>
        <v>2</v>
      </c>
      <c r="J56" s="79">
        <f t="shared" si="3"/>
        <v>19</v>
      </c>
    </row>
    <row r="57" spans="1:10" x14ac:dyDescent="0.35">
      <c r="A57" s="468" t="str">
        <f>IF(A9&lt;&gt;"2019-20","S39000019","")</f>
        <v>S39000019</v>
      </c>
      <c r="B57" s="359" t="str">
        <f>IF(A9 &lt;&gt; "2019-20", "Fife", "")</f>
        <v>Fife</v>
      </c>
      <c r="C57" s="531">
        <f>wtroleareapivot!B49</f>
        <v>0</v>
      </c>
      <c r="D57" s="833">
        <f>wtroleareapivot!C49</f>
        <v>0</v>
      </c>
      <c r="E57" s="833">
        <f>wtroleareapivot!D49</f>
        <v>0</v>
      </c>
      <c r="F57" s="833">
        <f>wtroleareapivot!E49</f>
        <v>0</v>
      </c>
      <c r="G57" s="833">
        <f>wtroleareapivot!F49</f>
        <v>0</v>
      </c>
      <c r="H57" s="833">
        <f>wtroleareapivot!G49</f>
        <v>0</v>
      </c>
      <c r="I57" s="833">
        <f>wtroleareapivot!H49</f>
        <v>0</v>
      </c>
      <c r="J57" s="79">
        <f t="shared" si="3"/>
        <v>0</v>
      </c>
    </row>
    <row r="58" spans="1:10" x14ac:dyDescent="0.35">
      <c r="A58" s="468" t="str">
        <f>IF(A9="2018-19","S39000012","S39000020")</f>
        <v>S39000020</v>
      </c>
      <c r="B58" s="66" t="s">
        <v>114</v>
      </c>
      <c r="C58" s="531">
        <f>wtroleareapivot!B50</f>
        <v>0</v>
      </c>
      <c r="D58" s="833">
        <f>wtroleareapivot!C50</f>
        <v>1</v>
      </c>
      <c r="E58" s="833">
        <f>wtroleareapivot!D50</f>
        <v>5</v>
      </c>
      <c r="F58" s="833">
        <f>wtroleareapivot!E50</f>
        <v>9</v>
      </c>
      <c r="G58" s="833">
        <f>wtroleareapivot!F50</f>
        <v>7</v>
      </c>
      <c r="H58" s="833">
        <f>wtroleareapivot!G50</f>
        <v>2</v>
      </c>
      <c r="I58" s="833">
        <f>wtroleareapivot!H50</f>
        <v>2</v>
      </c>
      <c r="J58" s="79">
        <f t="shared" si="3"/>
        <v>26</v>
      </c>
    </row>
    <row r="59" spans="1:10" x14ac:dyDescent="0.35">
      <c r="A59" s="468" t="s">
        <v>336</v>
      </c>
      <c r="B59" s="66" t="s">
        <v>70</v>
      </c>
      <c r="C59" s="531">
        <f>wtroleareapivot!B51</f>
        <v>0</v>
      </c>
      <c r="D59" s="833">
        <f>wtroleareapivot!C51</f>
        <v>1</v>
      </c>
      <c r="E59" s="833">
        <f>wtroleareapivot!D51</f>
        <v>4</v>
      </c>
      <c r="F59" s="833">
        <f>wtroleareapivot!E51</f>
        <v>12</v>
      </c>
      <c r="G59" s="833">
        <f>wtroleareapivot!F51</f>
        <v>10</v>
      </c>
      <c r="H59" s="833">
        <f>wtroleareapivot!G51</f>
        <v>7</v>
      </c>
      <c r="I59" s="833">
        <f>wtroleareapivot!H51</f>
        <v>1</v>
      </c>
      <c r="J59" s="79">
        <f t="shared" si="3"/>
        <v>35</v>
      </c>
    </row>
    <row r="60" spans="1:10" x14ac:dyDescent="0.35">
      <c r="A60" s="468" t="str">
        <f>IF(A9="2018-19","S39000014","S39000021")</f>
        <v>S39000021</v>
      </c>
      <c r="B60" s="66" t="s">
        <v>50</v>
      </c>
      <c r="C60" s="531">
        <f>wtroleareapivot!B52</f>
        <v>0</v>
      </c>
      <c r="D60" s="833">
        <f>wtroleareapivot!C52</f>
        <v>1</v>
      </c>
      <c r="E60" s="833">
        <f>wtroleareapivot!D52</f>
        <v>2</v>
      </c>
      <c r="F60" s="833">
        <f>wtroleareapivot!E52</f>
        <v>5</v>
      </c>
      <c r="G60" s="833">
        <f>wtroleareapivot!F52</f>
        <v>5</v>
      </c>
      <c r="H60" s="833">
        <f>wtroleareapivot!G52</f>
        <v>2</v>
      </c>
      <c r="I60" s="833">
        <f>wtroleareapivot!H52</f>
        <v>0</v>
      </c>
      <c r="J60" s="79">
        <f t="shared" si="3"/>
        <v>15</v>
      </c>
    </row>
    <row r="61" spans="1:10" x14ac:dyDescent="0.35">
      <c r="A61" s="468" t="s">
        <v>337</v>
      </c>
      <c r="B61" s="66" t="s">
        <v>57</v>
      </c>
      <c r="C61" s="531">
        <f>wtroleareapivot!B53</f>
        <v>0</v>
      </c>
      <c r="D61" s="833">
        <f>wtroleareapivot!C53</f>
        <v>1</v>
      </c>
      <c r="E61" s="833">
        <f>wtroleareapivot!D53</f>
        <v>2</v>
      </c>
      <c r="F61" s="833">
        <f>wtroleareapivot!E53</f>
        <v>6</v>
      </c>
      <c r="G61" s="833">
        <f>wtroleareapivot!F53</f>
        <v>4</v>
      </c>
      <c r="H61" s="833">
        <f>wtroleareapivot!G53</f>
        <v>3</v>
      </c>
      <c r="I61" s="833">
        <f>wtroleareapivot!H53</f>
        <v>0</v>
      </c>
      <c r="J61" s="79">
        <f t="shared" si="3"/>
        <v>16</v>
      </c>
    </row>
    <row r="62" spans="1:10" x14ac:dyDescent="0.35">
      <c r="A62" s="468" t="str">
        <f>IF(A9&lt;&gt;"2019-20","S39000016","LSO_E3")</f>
        <v>S39000016</v>
      </c>
      <c r="B62" s="359" t="str">
        <f>IF(A9&lt;&gt;"2019-20","Stirling and Clackmannanshire","Stirling, Clackmannanshire and Fife")</f>
        <v>Stirling and Clackmannanshire</v>
      </c>
      <c r="C62" s="531">
        <f>wtroleareapivot!B54</f>
        <v>0</v>
      </c>
      <c r="D62" s="833">
        <f>wtroleareapivot!C54</f>
        <v>1</v>
      </c>
      <c r="E62" s="833">
        <f>wtroleareapivot!D54</f>
        <v>3</v>
      </c>
      <c r="F62" s="833">
        <f>wtroleareapivot!E54</f>
        <v>7</v>
      </c>
      <c r="G62" s="833">
        <f>wtroleareapivot!F54</f>
        <v>4</v>
      </c>
      <c r="H62" s="833">
        <f>wtroleareapivot!G54</f>
        <v>0</v>
      </c>
      <c r="I62" s="833">
        <f>wtroleareapivot!H54</f>
        <v>0</v>
      </c>
      <c r="J62" s="79">
        <f t="shared" si="3"/>
        <v>15</v>
      </c>
    </row>
    <row r="63" spans="1:10" x14ac:dyDescent="0.35">
      <c r="A63" s="468" t="s">
        <v>338</v>
      </c>
      <c r="B63" s="66" t="s">
        <v>71</v>
      </c>
      <c r="C63" s="531">
        <f>wtroleareapivot!B55</f>
        <v>0</v>
      </c>
      <c r="D63" s="833">
        <f>wtroleareapivot!C55</f>
        <v>1</v>
      </c>
      <c r="E63" s="833">
        <f>wtroleareapivot!D55</f>
        <v>4</v>
      </c>
      <c r="F63" s="833">
        <f>wtroleareapivot!E55</f>
        <v>11</v>
      </c>
      <c r="G63" s="833">
        <f>wtroleareapivot!F55</f>
        <v>11</v>
      </c>
      <c r="H63" s="833">
        <f>wtroleareapivot!G55</f>
        <v>6</v>
      </c>
      <c r="I63" s="833">
        <f>wtroleareapivot!H55</f>
        <v>4</v>
      </c>
      <c r="J63" s="79">
        <f t="shared" si="3"/>
        <v>37</v>
      </c>
    </row>
    <row r="64" spans="1:10" ht="18" customHeight="1" thickBot="1" x14ac:dyDescent="0.4">
      <c r="A64" s="67"/>
      <c r="B64" s="67" t="s">
        <v>72</v>
      </c>
      <c r="C64" s="532">
        <f t="shared" ref="C64:J64" si="4">SUM(C47:C63)</f>
        <v>0</v>
      </c>
      <c r="D64" s="82">
        <f t="shared" si="4"/>
        <v>16</v>
      </c>
      <c r="E64" s="82">
        <f t="shared" si="4"/>
        <v>49</v>
      </c>
      <c r="F64" s="82">
        <f t="shared" si="4"/>
        <v>116</v>
      </c>
      <c r="G64" s="82">
        <f t="shared" si="4"/>
        <v>115</v>
      </c>
      <c r="H64" s="82">
        <f t="shared" si="4"/>
        <v>55</v>
      </c>
      <c r="I64" s="82">
        <f t="shared" si="4"/>
        <v>26</v>
      </c>
      <c r="J64" s="82">
        <f t="shared" si="4"/>
        <v>377</v>
      </c>
    </row>
    <row r="65" spans="1:12" x14ac:dyDescent="0.35">
      <c r="A65" s="61"/>
      <c r="B65" s="61"/>
      <c r="C65" s="86"/>
      <c r="D65" s="48"/>
      <c r="E65" s="48"/>
      <c r="F65" s="48"/>
      <c r="G65" s="48"/>
      <c r="H65" s="48"/>
      <c r="I65" s="48"/>
      <c r="J65" s="48"/>
    </row>
    <row r="66" spans="1:12" x14ac:dyDescent="0.35">
      <c r="A66" s="69" t="s">
        <v>325</v>
      </c>
      <c r="B66" s="69" t="s">
        <v>15</v>
      </c>
      <c r="C66" s="50"/>
      <c r="D66" s="50"/>
      <c r="E66" s="50"/>
      <c r="F66" s="50"/>
      <c r="G66" s="50"/>
      <c r="H66" s="50"/>
      <c r="I66" s="50"/>
      <c r="J66" s="88"/>
    </row>
    <row r="67" spans="1:12" ht="21" customHeight="1" x14ac:dyDescent="0.35">
      <c r="A67" s="587" t="s">
        <v>353</v>
      </c>
      <c r="B67" s="70" t="s">
        <v>166</v>
      </c>
      <c r="C67" s="531">
        <f>wtroleareapivot!B58</f>
        <v>0</v>
      </c>
      <c r="D67" s="833">
        <f>wtroleareapivot!C58</f>
        <v>1</v>
      </c>
      <c r="E67" s="833">
        <f>wtroleareapivot!D58</f>
        <v>2</v>
      </c>
      <c r="F67" s="833">
        <f>wtroleareapivot!E58</f>
        <v>5</v>
      </c>
      <c r="G67" s="833">
        <f>wtroleareapivot!F58</f>
        <v>32</v>
      </c>
      <c r="H67" s="833">
        <f>wtroleareapivot!G58</f>
        <v>6</v>
      </c>
      <c r="I67" s="833">
        <f>wtroleareapivot!H58</f>
        <v>20</v>
      </c>
      <c r="J67" s="79">
        <f>SUM(C67:I67)</f>
        <v>66</v>
      </c>
    </row>
    <row r="68" spans="1:12" x14ac:dyDescent="0.35">
      <c r="A68" s="57" t="s">
        <v>355</v>
      </c>
      <c r="B68" s="55" t="s">
        <v>164</v>
      </c>
      <c r="C68" s="531">
        <f>wtroleareapivot!B59</f>
        <v>0</v>
      </c>
      <c r="D68" s="833">
        <f>wtroleareapivot!C59</f>
        <v>2</v>
      </c>
      <c r="E68" s="833">
        <f>wtroleareapivot!D59</f>
        <v>2</v>
      </c>
      <c r="F68" s="833">
        <f>wtroleareapivot!E59</f>
        <v>6</v>
      </c>
      <c r="G68" s="833">
        <f>wtroleareapivot!F59</f>
        <v>19</v>
      </c>
      <c r="H68" s="833">
        <f>wtroleareapivot!G59</f>
        <v>13</v>
      </c>
      <c r="I68" s="833">
        <f>wtroleareapivot!H59</f>
        <v>13</v>
      </c>
      <c r="J68" s="79">
        <f>SUM(C68:I68)</f>
        <v>55</v>
      </c>
    </row>
    <row r="69" spans="1:12" x14ac:dyDescent="0.35">
      <c r="A69" s="556" t="s">
        <v>354</v>
      </c>
      <c r="B69" s="55" t="s">
        <v>165</v>
      </c>
      <c r="C69" s="531">
        <f>wtroleareapivot!B60</f>
        <v>0</v>
      </c>
      <c r="D69" s="833">
        <f>wtroleareapivot!C60</f>
        <v>3</v>
      </c>
      <c r="E69" s="833">
        <f>wtroleareapivot!D60</f>
        <v>5</v>
      </c>
      <c r="F69" s="833">
        <f>wtroleareapivot!E60</f>
        <v>5</v>
      </c>
      <c r="G69" s="833">
        <f>wtroleareapivot!F60</f>
        <v>36</v>
      </c>
      <c r="H69" s="833">
        <f>wtroleareapivot!G60</f>
        <v>17</v>
      </c>
      <c r="I69" s="833">
        <f>wtroleareapivot!H60</f>
        <v>25</v>
      </c>
      <c r="J69" s="79">
        <f>SUM(C69:I69)</f>
        <v>91</v>
      </c>
    </row>
    <row r="70" spans="1:12" ht="18.75" customHeight="1" thickBot="1" x14ac:dyDescent="0.4">
      <c r="A70" s="72"/>
      <c r="B70" s="72" t="s">
        <v>73</v>
      </c>
      <c r="C70" s="532">
        <f>SUM(C67:C69)</f>
        <v>0</v>
      </c>
      <c r="D70" s="82">
        <f t="shared" ref="D70:J70" si="5">SUM(D67:D69)</f>
        <v>6</v>
      </c>
      <c r="E70" s="82">
        <f t="shared" si="5"/>
        <v>9</v>
      </c>
      <c r="F70" s="82">
        <f t="shared" si="5"/>
        <v>16</v>
      </c>
      <c r="G70" s="82">
        <f t="shared" si="5"/>
        <v>87</v>
      </c>
      <c r="H70" s="82">
        <f t="shared" si="5"/>
        <v>36</v>
      </c>
      <c r="I70" s="82">
        <f t="shared" si="5"/>
        <v>58</v>
      </c>
      <c r="J70" s="82">
        <f t="shared" si="5"/>
        <v>212</v>
      </c>
    </row>
    <row r="71" spans="1:12" x14ac:dyDescent="0.35">
      <c r="A71" s="69" t="s">
        <v>447</v>
      </c>
      <c r="B71" s="61"/>
      <c r="C71" s="51"/>
      <c r="D71" s="51"/>
      <c r="E71" s="51"/>
      <c r="F71" s="51"/>
      <c r="G71" s="51"/>
      <c r="H71" s="51"/>
      <c r="I71" s="51"/>
      <c r="J71" s="77"/>
    </row>
    <row r="72" spans="1:12" ht="15" thickBot="1" x14ac:dyDescent="0.4">
      <c r="A72" s="72" t="s">
        <v>339</v>
      </c>
      <c r="B72" s="90" t="s">
        <v>74</v>
      </c>
      <c r="C72" s="344">
        <f>wtroleareapivot!B63</f>
        <v>5</v>
      </c>
      <c r="D72" s="344">
        <f>wtroleareapivot!C63</f>
        <v>13</v>
      </c>
      <c r="E72" s="344">
        <f>wtroleareapivot!D63</f>
        <v>23</v>
      </c>
      <c r="F72" s="344">
        <f>wtroleareapivot!E63</f>
        <v>20</v>
      </c>
      <c r="G72" s="344">
        <f>wtroleareapivot!F63</f>
        <v>30</v>
      </c>
      <c r="H72" s="344">
        <f>wtroleareapivot!G63</f>
        <v>0</v>
      </c>
      <c r="I72" s="344">
        <f>wtroleareapivot!H63</f>
        <v>1</v>
      </c>
      <c r="J72" s="82">
        <f>SUM(C72:I72)</f>
        <v>92</v>
      </c>
    </row>
    <row r="74" spans="1:12" x14ac:dyDescent="0.35">
      <c r="A74" s="408" t="s">
        <v>8</v>
      </c>
      <c r="B74" s="409"/>
      <c r="C74" s="409"/>
      <c r="D74" s="409"/>
      <c r="E74" s="409"/>
      <c r="F74" s="409"/>
      <c r="G74" s="409"/>
      <c r="H74" s="409"/>
      <c r="I74" s="409"/>
    </row>
    <row r="75" spans="1:12" x14ac:dyDescent="0.35">
      <c r="A75" s="405" t="s">
        <v>219</v>
      </c>
      <c r="B75" s="397"/>
      <c r="C75" s="406"/>
      <c r="D75" s="507"/>
      <c r="E75" s="507"/>
      <c r="F75" s="507"/>
      <c r="G75" s="507"/>
      <c r="H75" s="507"/>
      <c r="I75" s="507"/>
    </row>
    <row r="76" spans="1:12" ht="45" customHeight="1" x14ac:dyDescent="0.35">
      <c r="A76" s="1180" t="s">
        <v>863</v>
      </c>
      <c r="B76" s="1180"/>
      <c r="C76" s="1180"/>
      <c r="D76" s="1180"/>
      <c r="E76" s="1180"/>
      <c r="F76" s="1180"/>
      <c r="G76" s="1180"/>
      <c r="H76" s="1180"/>
      <c r="I76" s="1180"/>
    </row>
    <row r="77" spans="1:12" x14ac:dyDescent="0.35">
      <c r="A77" s="446" t="s">
        <v>730</v>
      </c>
      <c r="B77" s="511"/>
      <c r="C77" s="511"/>
      <c r="D77" s="511"/>
      <c r="E77" s="511"/>
      <c r="F77" s="511"/>
      <c r="G77" s="511"/>
      <c r="H77" s="511"/>
      <c r="I77" s="511"/>
      <c r="K77" s="441"/>
      <c r="L77" s="441"/>
    </row>
    <row r="78" spans="1:12" x14ac:dyDescent="0.35">
      <c r="A78" s="405" t="s">
        <v>731</v>
      </c>
      <c r="B78" s="382"/>
      <c r="C78" s="382"/>
      <c r="D78" s="382"/>
      <c r="E78" s="382"/>
      <c r="F78" s="382"/>
      <c r="G78" s="382"/>
      <c r="H78" s="382"/>
      <c r="I78" s="382"/>
    </row>
    <row r="79" spans="1:12" x14ac:dyDescent="0.35">
      <c r="B79" s="382"/>
      <c r="C79" s="382"/>
      <c r="D79" s="382"/>
      <c r="E79" s="382"/>
      <c r="F79" s="382"/>
      <c r="G79" s="382"/>
      <c r="H79" s="382"/>
      <c r="I79" s="382"/>
      <c r="J79" s="382"/>
    </row>
    <row r="80" spans="1:12" x14ac:dyDescent="0.35">
      <c r="J80" s="382"/>
    </row>
  </sheetData>
  <sheetProtection algorithmName="SHA-512" hashValue="zSL+LTqIHwGhOqJCSJjvzGdX2gQO37gIog7zEo7R0R+Q0PROEROJE3bANO6lz15OFJl+Nb8x4jA5nYe7W5SJ1g==" saltValue="mPcvwSj+3629sk0Y/y45yA==" spinCount="100000" sheet="1" scenarios="1" formatCells="0" formatColumns="0" formatRows="0" sort="0" autoFilter="0" pivotTables="0"/>
  <mergeCells count="3">
    <mergeCell ref="A1:H1"/>
    <mergeCell ref="A4:J4"/>
    <mergeCell ref="A76:I76"/>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55" orientation="portrait" r:id="rId1"/>
  <drawing r:id="rId2"/>
  <extLst>
    <ext xmlns:x14="http://schemas.microsoft.com/office/spreadsheetml/2009/9/main" uri="{A8765BA9-456A-4dab-B4F3-ACF838C121DE}">
      <x14:slicerList>
        <x14:slicer r:id="rId3"/>
      </x14:slicerList>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36"/>
  <sheetViews>
    <sheetView workbookViewId="0">
      <selection activeCell="B20" sqref="B20"/>
    </sheetView>
  </sheetViews>
  <sheetFormatPr defaultRowHeight="14.5" x14ac:dyDescent="0.35"/>
  <cols>
    <col min="1" max="1" width="19.453125" bestFit="1" customWidth="1"/>
    <col min="2" max="2" width="20.6328125" bestFit="1" customWidth="1"/>
    <col min="3" max="3" width="19.453125" bestFit="1" customWidth="1"/>
    <col min="4" max="4" width="15.81640625" bestFit="1" customWidth="1"/>
  </cols>
  <sheetData>
    <row r="1" spans="1:4" x14ac:dyDescent="0.35">
      <c r="A1" s="459" t="s">
        <v>1</v>
      </c>
      <c r="B1" t="s">
        <v>951</v>
      </c>
    </row>
    <row r="3" spans="1:4" x14ac:dyDescent="0.35">
      <c r="A3" s="459" t="s">
        <v>234</v>
      </c>
      <c r="B3" t="s">
        <v>243</v>
      </c>
      <c r="C3" t="s">
        <v>254</v>
      </c>
      <c r="D3" t="s">
        <v>255</v>
      </c>
    </row>
    <row r="4" spans="1:4" x14ac:dyDescent="0.35">
      <c r="A4" s="1000" t="s">
        <v>31</v>
      </c>
      <c r="B4" s="461">
        <v>1</v>
      </c>
      <c r="C4" s="461">
        <v>3</v>
      </c>
      <c r="D4" s="461">
        <v>6</v>
      </c>
    </row>
    <row r="5" spans="1:4" x14ac:dyDescent="0.35">
      <c r="A5" s="1000" t="s">
        <v>32</v>
      </c>
      <c r="B5" s="461">
        <v>26</v>
      </c>
      <c r="C5" s="461">
        <v>68</v>
      </c>
      <c r="D5" s="461">
        <v>192</v>
      </c>
    </row>
    <row r="6" spans="1:4" x14ac:dyDescent="0.35">
      <c r="A6" s="1000" t="s">
        <v>33</v>
      </c>
      <c r="B6" s="461">
        <v>7</v>
      </c>
      <c r="C6" s="461">
        <v>17</v>
      </c>
      <c r="D6" s="461">
        <v>80</v>
      </c>
    </row>
    <row r="7" spans="1:4" x14ac:dyDescent="0.35">
      <c r="A7" s="1000" t="s">
        <v>34</v>
      </c>
      <c r="B7" s="461">
        <v>14</v>
      </c>
      <c r="C7" s="461">
        <v>26</v>
      </c>
      <c r="D7" s="461">
        <v>128</v>
      </c>
    </row>
    <row r="8" spans="1:4" x14ac:dyDescent="0.35">
      <c r="A8" s="1000" t="s">
        <v>245</v>
      </c>
      <c r="B8" s="461">
        <v>1</v>
      </c>
      <c r="C8" s="461">
        <v>1</v>
      </c>
      <c r="D8" s="461">
        <v>6</v>
      </c>
    </row>
    <row r="9" spans="1:4" x14ac:dyDescent="0.35">
      <c r="A9" s="1000" t="s">
        <v>35</v>
      </c>
      <c r="B9" s="461">
        <v>2</v>
      </c>
      <c r="C9" s="461">
        <v>4</v>
      </c>
      <c r="D9" s="461">
        <v>21</v>
      </c>
    </row>
    <row r="10" spans="1:4" x14ac:dyDescent="0.35">
      <c r="A10" s="1000" t="s">
        <v>17411</v>
      </c>
      <c r="B10" s="461">
        <v>16</v>
      </c>
      <c r="C10" s="461">
        <v>35</v>
      </c>
      <c r="D10" s="461">
        <v>135</v>
      </c>
    </row>
    <row r="11" spans="1:4" x14ac:dyDescent="0.35">
      <c r="A11" s="1000" t="s">
        <v>37</v>
      </c>
      <c r="B11" s="461">
        <v>1</v>
      </c>
      <c r="C11" s="461">
        <v>2</v>
      </c>
      <c r="D11" s="461">
        <v>8</v>
      </c>
    </row>
    <row r="12" spans="1:4" x14ac:dyDescent="0.35">
      <c r="A12" s="1000" t="s">
        <v>38</v>
      </c>
      <c r="B12" s="461">
        <v>7</v>
      </c>
      <c r="C12" s="461">
        <v>8</v>
      </c>
      <c r="D12" s="461">
        <v>63</v>
      </c>
    </row>
    <row r="13" spans="1:4" x14ac:dyDescent="0.35">
      <c r="A13" s="1000" t="s">
        <v>39</v>
      </c>
      <c r="B13" s="461"/>
      <c r="C13" s="461"/>
      <c r="D13" s="461"/>
    </row>
    <row r="14" spans="1:4" x14ac:dyDescent="0.35">
      <c r="A14" s="1000" t="s">
        <v>40</v>
      </c>
      <c r="B14" s="461">
        <v>5</v>
      </c>
      <c r="C14" s="461">
        <v>12</v>
      </c>
      <c r="D14" s="461">
        <v>47</v>
      </c>
    </row>
    <row r="15" spans="1:4" x14ac:dyDescent="0.35">
      <c r="A15" s="1000" t="s">
        <v>41</v>
      </c>
      <c r="B15" s="461"/>
      <c r="C15" s="461"/>
      <c r="D15" s="461"/>
    </row>
    <row r="16" spans="1:4" x14ac:dyDescent="0.35">
      <c r="A16" s="1000" t="s">
        <v>42</v>
      </c>
      <c r="B16" s="461">
        <v>5</v>
      </c>
      <c r="C16" s="461">
        <v>9</v>
      </c>
      <c r="D16" s="461">
        <v>42</v>
      </c>
    </row>
    <row r="17" spans="1:4" x14ac:dyDescent="0.35">
      <c r="A17" s="1000" t="s">
        <v>43</v>
      </c>
      <c r="B17" s="461">
        <v>8</v>
      </c>
      <c r="C17" s="461">
        <v>23</v>
      </c>
      <c r="D17" s="461">
        <v>78</v>
      </c>
    </row>
    <row r="18" spans="1:4" x14ac:dyDescent="0.35">
      <c r="A18" s="1000" t="s">
        <v>114</v>
      </c>
      <c r="B18" s="461"/>
      <c r="C18" s="461"/>
      <c r="D18" s="461"/>
    </row>
    <row r="19" spans="1:4" x14ac:dyDescent="0.35">
      <c r="A19" s="1000" t="s">
        <v>44</v>
      </c>
      <c r="B19" s="461">
        <v>52</v>
      </c>
      <c r="C19" s="461">
        <v>97</v>
      </c>
      <c r="D19" s="461">
        <v>351</v>
      </c>
    </row>
    <row r="20" spans="1:4" x14ac:dyDescent="0.35">
      <c r="A20" s="1000" t="s">
        <v>45</v>
      </c>
      <c r="B20" s="461">
        <v>3</v>
      </c>
      <c r="C20" s="461">
        <v>6</v>
      </c>
      <c r="D20" s="461">
        <v>35</v>
      </c>
    </row>
    <row r="21" spans="1:4" x14ac:dyDescent="0.35">
      <c r="A21" s="1000" t="s">
        <v>46</v>
      </c>
      <c r="B21" s="461">
        <v>1</v>
      </c>
      <c r="C21" s="461">
        <v>2</v>
      </c>
      <c r="D21" s="461">
        <v>8</v>
      </c>
    </row>
    <row r="22" spans="1:4" x14ac:dyDescent="0.35">
      <c r="A22" s="1000" t="s">
        <v>47</v>
      </c>
      <c r="B22" s="461">
        <v>11</v>
      </c>
      <c r="C22" s="461">
        <v>27</v>
      </c>
      <c r="D22" s="461">
        <v>76</v>
      </c>
    </row>
    <row r="23" spans="1:4" x14ac:dyDescent="0.35">
      <c r="A23" s="1000" t="s">
        <v>48</v>
      </c>
      <c r="B23" s="461">
        <v>15</v>
      </c>
      <c r="C23" s="461">
        <v>27</v>
      </c>
      <c r="D23" s="461">
        <v>89</v>
      </c>
    </row>
    <row r="24" spans="1:4" x14ac:dyDescent="0.35">
      <c r="A24" s="1000" t="s">
        <v>49</v>
      </c>
      <c r="B24" s="461">
        <v>11</v>
      </c>
      <c r="C24" s="461">
        <v>11</v>
      </c>
      <c r="D24" s="461">
        <v>78</v>
      </c>
    </row>
    <row r="25" spans="1:4" x14ac:dyDescent="0.35">
      <c r="A25" s="1000" t="s">
        <v>50</v>
      </c>
      <c r="B25" s="461">
        <v>3</v>
      </c>
      <c r="C25" s="461">
        <v>6</v>
      </c>
      <c r="D25" s="461">
        <v>29</v>
      </c>
    </row>
    <row r="26" spans="1:4" x14ac:dyDescent="0.35">
      <c r="A26" s="1000" t="s">
        <v>51</v>
      </c>
      <c r="B26" s="461">
        <v>8</v>
      </c>
      <c r="C26" s="461">
        <v>21</v>
      </c>
      <c r="D26" s="461">
        <v>83</v>
      </c>
    </row>
    <row r="27" spans="1:4" x14ac:dyDescent="0.35">
      <c r="A27" s="1000" t="s">
        <v>52</v>
      </c>
      <c r="B27" s="461">
        <v>10</v>
      </c>
      <c r="C27" s="461">
        <v>21</v>
      </c>
      <c r="D27" s="461">
        <v>99</v>
      </c>
    </row>
    <row r="28" spans="1:4" x14ac:dyDescent="0.35">
      <c r="A28" s="1000" t="s">
        <v>53</v>
      </c>
      <c r="B28" s="461">
        <v>2</v>
      </c>
      <c r="C28" s="461">
        <v>1</v>
      </c>
      <c r="D28" s="461">
        <v>10</v>
      </c>
    </row>
    <row r="29" spans="1:4" x14ac:dyDescent="0.35">
      <c r="A29" s="1000" t="s">
        <v>54</v>
      </c>
      <c r="B29" s="461">
        <v>13</v>
      </c>
      <c r="C29" s="461">
        <v>30</v>
      </c>
      <c r="D29" s="461">
        <v>106</v>
      </c>
    </row>
    <row r="30" spans="1:4" x14ac:dyDescent="0.35">
      <c r="A30" s="1000" t="s">
        <v>55</v>
      </c>
      <c r="B30" s="461">
        <v>13</v>
      </c>
      <c r="C30" s="461">
        <v>25</v>
      </c>
      <c r="D30" s="461">
        <v>94</v>
      </c>
    </row>
    <row r="31" spans="1:4" x14ac:dyDescent="0.35">
      <c r="A31" s="1000" t="s">
        <v>56</v>
      </c>
      <c r="B31" s="461">
        <v>4</v>
      </c>
      <c r="C31" s="461">
        <v>7</v>
      </c>
      <c r="D31" s="461">
        <v>41</v>
      </c>
    </row>
    <row r="32" spans="1:4" x14ac:dyDescent="0.35">
      <c r="A32" s="1000" t="s">
        <v>57</v>
      </c>
      <c r="B32" s="461">
        <v>10</v>
      </c>
      <c r="C32" s="461">
        <v>7</v>
      </c>
      <c r="D32" s="461">
        <v>67</v>
      </c>
    </row>
    <row r="33" spans="1:4" x14ac:dyDescent="0.35">
      <c r="A33" s="1000" t="s">
        <v>58</v>
      </c>
      <c r="B33" s="461">
        <v>9</v>
      </c>
      <c r="C33" s="461">
        <v>15</v>
      </c>
      <c r="D33" s="461">
        <v>51</v>
      </c>
    </row>
    <row r="34" spans="1:4" x14ac:dyDescent="0.35">
      <c r="A34" s="1000" t="s">
        <v>59</v>
      </c>
      <c r="B34" s="461">
        <v>2</v>
      </c>
      <c r="C34" s="461">
        <v>2</v>
      </c>
      <c r="D34" s="461">
        <v>18</v>
      </c>
    </row>
    <row r="35" spans="1:4" x14ac:dyDescent="0.35">
      <c r="A35" s="1000" t="s">
        <v>60</v>
      </c>
      <c r="B35" s="461">
        <v>7</v>
      </c>
      <c r="C35" s="461">
        <v>9</v>
      </c>
      <c r="D35" s="461">
        <v>42</v>
      </c>
    </row>
    <row r="36" spans="1:4" x14ac:dyDescent="0.35">
      <c r="A36" s="1000" t="s">
        <v>239</v>
      </c>
      <c r="B36" s="461">
        <v>267</v>
      </c>
      <c r="C36" s="461">
        <v>522</v>
      </c>
      <c r="D36" s="461">
        <v>2083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257"/>
  <sheetViews>
    <sheetView workbookViewId="0">
      <selection activeCell="H252" sqref="H252"/>
    </sheetView>
  </sheetViews>
  <sheetFormatPr defaultRowHeight="14.5" x14ac:dyDescent="0.35"/>
  <cols>
    <col min="1" max="1" width="7.453125" bestFit="1" customWidth="1"/>
    <col min="2" max="2" width="15.54296875" bestFit="1" customWidth="1"/>
    <col min="3" max="3" width="20.36328125" bestFit="1" customWidth="1"/>
    <col min="4" max="4" width="10.90625" bestFit="1" customWidth="1"/>
    <col min="5" max="5" width="16.54296875" bestFit="1" customWidth="1"/>
    <col min="6" max="6" width="15.36328125" bestFit="1" customWidth="1"/>
    <col min="7" max="7" width="11.7265625" bestFit="1" customWidth="1"/>
  </cols>
  <sheetData>
    <row r="1" spans="1:7" x14ac:dyDescent="0.35">
      <c r="A1" s="461" t="s">
        <v>1</v>
      </c>
      <c r="B1" s="461" t="s">
        <v>17409</v>
      </c>
      <c r="C1" s="461" t="s">
        <v>207</v>
      </c>
      <c r="D1" s="461" t="s">
        <v>447</v>
      </c>
      <c r="E1" s="461" t="s">
        <v>21</v>
      </c>
      <c r="F1" s="461" t="s">
        <v>22</v>
      </c>
      <c r="G1" s="461" t="s">
        <v>23</v>
      </c>
    </row>
    <row r="2" spans="1:7" hidden="1" x14ac:dyDescent="0.35">
      <c r="A2" s="461" t="s">
        <v>194</v>
      </c>
      <c r="B2" s="461" t="s">
        <v>235</v>
      </c>
      <c r="C2" s="461" t="s">
        <v>31</v>
      </c>
      <c r="D2" s="461" t="s">
        <v>286</v>
      </c>
      <c r="E2" s="461">
        <v>2</v>
      </c>
      <c r="F2" s="461">
        <v>1</v>
      </c>
      <c r="G2" s="461">
        <v>5</v>
      </c>
    </row>
    <row r="3" spans="1:7" hidden="1" x14ac:dyDescent="0.35">
      <c r="A3" s="461" t="s">
        <v>194</v>
      </c>
      <c r="B3" s="461" t="s">
        <v>235</v>
      </c>
      <c r="C3" s="461" t="s">
        <v>32</v>
      </c>
      <c r="D3" s="461" t="s">
        <v>287</v>
      </c>
      <c r="E3" s="461">
        <v>65</v>
      </c>
      <c r="F3" s="461">
        <v>29</v>
      </c>
      <c r="G3" s="461">
        <v>203</v>
      </c>
    </row>
    <row r="4" spans="1:7" hidden="1" x14ac:dyDescent="0.35">
      <c r="A4" s="461" t="s">
        <v>194</v>
      </c>
      <c r="B4" s="461" t="s">
        <v>235</v>
      </c>
      <c r="C4" s="461" t="s">
        <v>33</v>
      </c>
      <c r="D4" s="461" t="s">
        <v>293</v>
      </c>
      <c r="E4" s="461">
        <v>19</v>
      </c>
      <c r="F4" s="461">
        <v>7</v>
      </c>
      <c r="G4" s="461">
        <v>73</v>
      </c>
    </row>
    <row r="5" spans="1:7" hidden="1" x14ac:dyDescent="0.35">
      <c r="A5" s="461" t="s">
        <v>194</v>
      </c>
      <c r="B5" s="461" t="s">
        <v>235</v>
      </c>
      <c r="C5" s="461" t="s">
        <v>34</v>
      </c>
      <c r="D5" s="461" t="s">
        <v>288</v>
      </c>
      <c r="E5" s="461">
        <v>24</v>
      </c>
      <c r="F5" s="461">
        <v>17</v>
      </c>
      <c r="G5" s="461">
        <v>146</v>
      </c>
    </row>
    <row r="6" spans="1:7" hidden="1" x14ac:dyDescent="0.35">
      <c r="A6" s="461" t="s">
        <v>194</v>
      </c>
      <c r="B6" s="461" t="s">
        <v>235</v>
      </c>
      <c r="C6" s="461" t="s">
        <v>245</v>
      </c>
      <c r="D6" s="461" t="s">
        <v>289</v>
      </c>
      <c r="E6" s="461">
        <v>2</v>
      </c>
      <c r="F6" s="461">
        <v>1</v>
      </c>
      <c r="G6" s="461">
        <v>9</v>
      </c>
    </row>
    <row r="7" spans="1:7" hidden="1" x14ac:dyDescent="0.35">
      <c r="A7" s="461" t="s">
        <v>194</v>
      </c>
      <c r="B7" s="461" t="s">
        <v>235</v>
      </c>
      <c r="C7" s="461" t="s">
        <v>35</v>
      </c>
      <c r="D7" s="461" t="s">
        <v>267</v>
      </c>
      <c r="E7" s="461">
        <v>4</v>
      </c>
      <c r="F7" s="461">
        <v>2</v>
      </c>
      <c r="G7" s="461">
        <v>15</v>
      </c>
    </row>
    <row r="8" spans="1:7" hidden="1" x14ac:dyDescent="0.35">
      <c r="A8" s="461" t="s">
        <v>194</v>
      </c>
      <c r="B8" s="461" t="s">
        <v>235</v>
      </c>
      <c r="C8" s="461" t="s">
        <v>36</v>
      </c>
      <c r="D8" s="461" t="s">
        <v>268</v>
      </c>
      <c r="E8" s="461">
        <v>34</v>
      </c>
      <c r="F8" s="461">
        <v>17</v>
      </c>
      <c r="G8" s="461">
        <v>147</v>
      </c>
    </row>
    <row r="9" spans="1:7" hidden="1" x14ac:dyDescent="0.35">
      <c r="A9" s="461" t="s">
        <v>194</v>
      </c>
      <c r="B9" s="461" t="s">
        <v>235</v>
      </c>
      <c r="C9" s="461" t="s">
        <v>37</v>
      </c>
      <c r="D9" s="461" t="s">
        <v>294</v>
      </c>
      <c r="E9" s="461">
        <v>3</v>
      </c>
      <c r="F9" s="461">
        <v>1</v>
      </c>
      <c r="G9" s="461">
        <v>10</v>
      </c>
    </row>
    <row r="10" spans="1:7" hidden="1" x14ac:dyDescent="0.35">
      <c r="A10" s="461" t="s">
        <v>194</v>
      </c>
      <c r="B10" s="461" t="s">
        <v>235</v>
      </c>
      <c r="C10" s="461" t="s">
        <v>38</v>
      </c>
      <c r="D10" s="461" t="s">
        <v>269</v>
      </c>
      <c r="E10" s="461">
        <v>10</v>
      </c>
      <c r="F10" s="461">
        <v>9</v>
      </c>
      <c r="G10" s="461">
        <v>58</v>
      </c>
    </row>
    <row r="11" spans="1:7" hidden="1" x14ac:dyDescent="0.35">
      <c r="A11" s="461" t="s">
        <v>194</v>
      </c>
      <c r="B11" s="461" t="s">
        <v>235</v>
      </c>
      <c r="C11" s="461" t="s">
        <v>39</v>
      </c>
      <c r="D11" s="461" t="s">
        <v>296</v>
      </c>
      <c r="E11" s="461">
        <v>0</v>
      </c>
      <c r="F11" s="461">
        <v>0</v>
      </c>
      <c r="G11" s="461">
        <v>0</v>
      </c>
    </row>
    <row r="12" spans="1:7" hidden="1" x14ac:dyDescent="0.35">
      <c r="A12" s="461" t="s">
        <v>194</v>
      </c>
      <c r="B12" s="461" t="s">
        <v>235</v>
      </c>
      <c r="C12" s="461" t="s">
        <v>40</v>
      </c>
      <c r="D12" s="461" t="s">
        <v>270</v>
      </c>
      <c r="E12" s="461">
        <v>9</v>
      </c>
      <c r="F12" s="461">
        <v>5</v>
      </c>
      <c r="G12" s="461">
        <v>38</v>
      </c>
    </row>
    <row r="13" spans="1:7" hidden="1" x14ac:dyDescent="0.35">
      <c r="A13" s="461" t="s">
        <v>194</v>
      </c>
      <c r="B13" s="461" t="s">
        <v>235</v>
      </c>
      <c r="C13" s="461" t="s">
        <v>41</v>
      </c>
      <c r="D13" s="461" t="s">
        <v>271</v>
      </c>
      <c r="E13" s="461">
        <v>0</v>
      </c>
      <c r="F13" s="461">
        <v>0</v>
      </c>
      <c r="G13" s="461">
        <v>0</v>
      </c>
    </row>
    <row r="14" spans="1:7" hidden="1" x14ac:dyDescent="0.35">
      <c r="A14" s="461" t="s">
        <v>194</v>
      </c>
      <c r="B14" s="461" t="s">
        <v>235</v>
      </c>
      <c r="C14" s="461" t="s">
        <v>42</v>
      </c>
      <c r="D14" s="461" t="s">
        <v>273</v>
      </c>
      <c r="E14" s="461">
        <v>10</v>
      </c>
      <c r="F14" s="461">
        <v>5</v>
      </c>
      <c r="G14" s="461">
        <v>50</v>
      </c>
    </row>
    <row r="15" spans="1:7" hidden="1" x14ac:dyDescent="0.35">
      <c r="A15" s="461" t="s">
        <v>194</v>
      </c>
      <c r="B15" s="461" t="s">
        <v>235</v>
      </c>
      <c r="C15" s="461" t="s">
        <v>43</v>
      </c>
      <c r="D15" s="461" t="s">
        <v>298</v>
      </c>
      <c r="E15" s="461">
        <v>19</v>
      </c>
      <c r="F15" s="461">
        <v>11</v>
      </c>
      <c r="G15" s="461">
        <v>81</v>
      </c>
    </row>
    <row r="16" spans="1:7" hidden="1" x14ac:dyDescent="0.35">
      <c r="A16" s="461" t="s">
        <v>194</v>
      </c>
      <c r="B16" s="461" t="s">
        <v>235</v>
      </c>
      <c r="C16" s="461" t="s">
        <v>114</v>
      </c>
      <c r="D16" s="461" t="s">
        <v>297</v>
      </c>
      <c r="E16" s="461">
        <v>1</v>
      </c>
      <c r="F16" s="461">
        <v>0</v>
      </c>
      <c r="G16" s="461">
        <v>1</v>
      </c>
    </row>
    <row r="17" spans="1:7" hidden="1" x14ac:dyDescent="0.35">
      <c r="A17" s="461" t="s">
        <v>194</v>
      </c>
      <c r="B17" s="461" t="s">
        <v>235</v>
      </c>
      <c r="C17" s="461" t="s">
        <v>44</v>
      </c>
      <c r="D17" s="461" t="s">
        <v>274</v>
      </c>
      <c r="E17" s="461">
        <v>115</v>
      </c>
      <c r="F17" s="461">
        <v>55</v>
      </c>
      <c r="G17" s="461">
        <v>394</v>
      </c>
    </row>
    <row r="18" spans="1:7" hidden="1" x14ac:dyDescent="0.35">
      <c r="A18" s="461" t="s">
        <v>194</v>
      </c>
      <c r="B18" s="461" t="s">
        <v>235</v>
      </c>
      <c r="C18" s="461" t="s">
        <v>45</v>
      </c>
      <c r="D18" s="461" t="s">
        <v>275</v>
      </c>
      <c r="E18" s="461">
        <v>4</v>
      </c>
      <c r="F18" s="461">
        <v>3</v>
      </c>
      <c r="G18" s="461">
        <v>35</v>
      </c>
    </row>
    <row r="19" spans="1:7" hidden="1" x14ac:dyDescent="0.35">
      <c r="A19" s="461" t="s">
        <v>194</v>
      </c>
      <c r="B19" s="461" t="s">
        <v>235</v>
      </c>
      <c r="C19" s="461" t="s">
        <v>46</v>
      </c>
      <c r="D19" s="461" t="s">
        <v>276</v>
      </c>
      <c r="E19" s="461">
        <v>2</v>
      </c>
      <c r="F19" s="461">
        <v>1</v>
      </c>
      <c r="G19" s="461">
        <v>7</v>
      </c>
    </row>
    <row r="20" spans="1:7" hidden="1" x14ac:dyDescent="0.35">
      <c r="A20" s="461" t="s">
        <v>194</v>
      </c>
      <c r="B20" s="461" t="s">
        <v>235</v>
      </c>
      <c r="C20" s="461" t="s">
        <v>47</v>
      </c>
      <c r="D20" s="461" t="s">
        <v>277</v>
      </c>
      <c r="E20" s="461">
        <v>22</v>
      </c>
      <c r="F20" s="461">
        <v>9</v>
      </c>
      <c r="G20" s="461">
        <v>73</v>
      </c>
    </row>
    <row r="21" spans="1:7" hidden="1" x14ac:dyDescent="0.35">
      <c r="A21" s="461" t="s">
        <v>194</v>
      </c>
      <c r="B21" s="461" t="s">
        <v>235</v>
      </c>
      <c r="C21" s="461" t="s">
        <v>48</v>
      </c>
      <c r="D21" s="461" t="s">
        <v>272</v>
      </c>
      <c r="E21" s="461">
        <v>25</v>
      </c>
      <c r="F21" s="461">
        <v>13</v>
      </c>
      <c r="G21" s="461">
        <v>94</v>
      </c>
    </row>
    <row r="22" spans="1:7" hidden="1" x14ac:dyDescent="0.35">
      <c r="A22" s="461" t="s">
        <v>194</v>
      </c>
      <c r="B22" s="461" t="s">
        <v>235</v>
      </c>
      <c r="C22" s="461" t="s">
        <v>49</v>
      </c>
      <c r="D22" s="461" t="s">
        <v>278</v>
      </c>
      <c r="E22" s="461">
        <v>15</v>
      </c>
      <c r="F22" s="461">
        <v>9</v>
      </c>
      <c r="G22" s="461">
        <v>70</v>
      </c>
    </row>
    <row r="23" spans="1:7" hidden="1" x14ac:dyDescent="0.35">
      <c r="A23" s="461" t="s">
        <v>194</v>
      </c>
      <c r="B23" s="461" t="s">
        <v>235</v>
      </c>
      <c r="C23" s="461" t="s">
        <v>50</v>
      </c>
      <c r="D23" s="461" t="s">
        <v>295</v>
      </c>
      <c r="E23" s="461">
        <v>3</v>
      </c>
      <c r="F23" s="461">
        <v>3</v>
      </c>
      <c r="G23" s="461">
        <v>22</v>
      </c>
    </row>
    <row r="24" spans="1:7" hidden="1" x14ac:dyDescent="0.35">
      <c r="A24" s="461" t="s">
        <v>194</v>
      </c>
      <c r="B24" s="461" t="s">
        <v>235</v>
      </c>
      <c r="C24" s="461" t="s">
        <v>51</v>
      </c>
      <c r="D24" s="461" t="s">
        <v>279</v>
      </c>
      <c r="E24" s="461">
        <v>22</v>
      </c>
      <c r="F24" s="461">
        <v>12</v>
      </c>
      <c r="G24" s="461">
        <v>79</v>
      </c>
    </row>
    <row r="25" spans="1:7" hidden="1" x14ac:dyDescent="0.35">
      <c r="A25" s="461" t="s">
        <v>194</v>
      </c>
      <c r="B25" s="461" t="s">
        <v>235</v>
      </c>
      <c r="C25" s="461" t="s">
        <v>52</v>
      </c>
      <c r="D25" s="461" t="s">
        <v>280</v>
      </c>
      <c r="E25" s="461">
        <v>25</v>
      </c>
      <c r="F25" s="461">
        <v>10</v>
      </c>
      <c r="G25" s="461">
        <v>105</v>
      </c>
    </row>
    <row r="26" spans="1:7" hidden="1" x14ac:dyDescent="0.35">
      <c r="A26" s="461" t="s">
        <v>194</v>
      </c>
      <c r="B26" s="461" t="s">
        <v>235</v>
      </c>
      <c r="C26" s="461" t="s">
        <v>53</v>
      </c>
      <c r="D26" s="461" t="s">
        <v>290</v>
      </c>
      <c r="E26" s="461">
        <v>2</v>
      </c>
      <c r="F26" s="461">
        <v>1</v>
      </c>
      <c r="G26" s="461">
        <v>11</v>
      </c>
    </row>
    <row r="27" spans="1:7" hidden="1" x14ac:dyDescent="0.35">
      <c r="A27" s="461" t="s">
        <v>194</v>
      </c>
      <c r="B27" s="461" t="s">
        <v>235</v>
      </c>
      <c r="C27" s="461" t="s">
        <v>54</v>
      </c>
      <c r="D27" s="461" t="s">
        <v>281</v>
      </c>
      <c r="E27" s="461">
        <v>25</v>
      </c>
      <c r="F27" s="461">
        <v>13</v>
      </c>
      <c r="G27" s="461">
        <v>96</v>
      </c>
    </row>
    <row r="28" spans="1:7" hidden="1" x14ac:dyDescent="0.35">
      <c r="A28" s="461" t="s">
        <v>194</v>
      </c>
      <c r="B28" s="461" t="s">
        <v>235</v>
      </c>
      <c r="C28" s="461" t="s">
        <v>55</v>
      </c>
      <c r="D28" s="461" t="s">
        <v>282</v>
      </c>
      <c r="E28" s="461">
        <v>29</v>
      </c>
      <c r="F28" s="461">
        <v>13</v>
      </c>
      <c r="G28" s="461">
        <v>92</v>
      </c>
    </row>
    <row r="29" spans="1:7" hidden="1" x14ac:dyDescent="0.35">
      <c r="A29" s="461" t="s">
        <v>194</v>
      </c>
      <c r="B29" s="461" t="s">
        <v>235</v>
      </c>
      <c r="C29" s="461" t="s">
        <v>56</v>
      </c>
      <c r="D29" s="461" t="s">
        <v>283</v>
      </c>
      <c r="E29">
        <v>9</v>
      </c>
      <c r="F29">
        <v>5</v>
      </c>
      <c r="G29">
        <v>40</v>
      </c>
    </row>
    <row r="30" spans="1:7" hidden="1" x14ac:dyDescent="0.35">
      <c r="A30" s="461" t="s">
        <v>194</v>
      </c>
      <c r="B30" s="461" t="s">
        <v>235</v>
      </c>
      <c r="C30" s="461" t="s">
        <v>57</v>
      </c>
      <c r="D30" s="461" t="s">
        <v>284</v>
      </c>
      <c r="E30">
        <v>8</v>
      </c>
      <c r="F30">
        <v>9</v>
      </c>
      <c r="G30">
        <v>67</v>
      </c>
    </row>
    <row r="31" spans="1:7" hidden="1" x14ac:dyDescent="0.35">
      <c r="A31" s="461" t="s">
        <v>194</v>
      </c>
      <c r="B31" s="461" t="s">
        <v>235</v>
      </c>
      <c r="C31" s="461" t="s">
        <v>58</v>
      </c>
      <c r="D31" s="461" t="s">
        <v>285</v>
      </c>
      <c r="E31">
        <v>15</v>
      </c>
      <c r="F31">
        <v>9</v>
      </c>
      <c r="G31">
        <v>50</v>
      </c>
    </row>
    <row r="32" spans="1:7" hidden="1" x14ac:dyDescent="0.35">
      <c r="A32" s="461" t="s">
        <v>194</v>
      </c>
      <c r="B32" s="461" t="s">
        <v>235</v>
      </c>
      <c r="C32" s="461" t="s">
        <v>59</v>
      </c>
      <c r="D32" s="461" t="s">
        <v>291</v>
      </c>
      <c r="E32">
        <v>1</v>
      </c>
      <c r="F32">
        <v>2</v>
      </c>
      <c r="G32">
        <v>15</v>
      </c>
    </row>
    <row r="33" spans="1:7" hidden="1" x14ac:dyDescent="0.35">
      <c r="A33" s="461" t="s">
        <v>194</v>
      </c>
      <c r="B33" s="461" t="s">
        <v>235</v>
      </c>
      <c r="C33" s="461" t="s">
        <v>60</v>
      </c>
      <c r="D33" s="461" t="s">
        <v>292</v>
      </c>
      <c r="E33">
        <v>11</v>
      </c>
      <c r="F33">
        <v>6</v>
      </c>
      <c r="G33">
        <v>41</v>
      </c>
    </row>
    <row r="34" spans="1:7" hidden="1" x14ac:dyDescent="0.35">
      <c r="A34" s="461" t="s">
        <v>193</v>
      </c>
      <c r="B34" s="461" t="s">
        <v>235</v>
      </c>
      <c r="C34" s="461" t="s">
        <v>31</v>
      </c>
      <c r="D34" s="461" t="s">
        <v>286</v>
      </c>
      <c r="E34">
        <v>2</v>
      </c>
      <c r="F34">
        <v>1</v>
      </c>
      <c r="G34">
        <v>5</v>
      </c>
    </row>
    <row r="35" spans="1:7" hidden="1" x14ac:dyDescent="0.35">
      <c r="A35" s="461" t="s">
        <v>193</v>
      </c>
      <c r="B35" s="461" t="s">
        <v>235</v>
      </c>
      <c r="C35" s="461" t="s">
        <v>32</v>
      </c>
      <c r="D35" s="461" t="s">
        <v>287</v>
      </c>
      <c r="E35">
        <v>63</v>
      </c>
      <c r="F35">
        <v>27</v>
      </c>
      <c r="G35">
        <v>190</v>
      </c>
    </row>
    <row r="36" spans="1:7" hidden="1" x14ac:dyDescent="0.35">
      <c r="A36" s="461" t="s">
        <v>193</v>
      </c>
      <c r="B36" s="461" t="s">
        <v>235</v>
      </c>
      <c r="C36" s="461" t="s">
        <v>33</v>
      </c>
      <c r="D36" s="461" t="s">
        <v>293</v>
      </c>
      <c r="E36">
        <v>20</v>
      </c>
      <c r="F36">
        <v>7</v>
      </c>
      <c r="G36">
        <v>68</v>
      </c>
    </row>
    <row r="37" spans="1:7" hidden="1" x14ac:dyDescent="0.35">
      <c r="A37" s="461" t="s">
        <v>193</v>
      </c>
      <c r="B37" s="461" t="s">
        <v>235</v>
      </c>
      <c r="C37" s="461" t="s">
        <v>34</v>
      </c>
      <c r="D37" s="461" t="s">
        <v>288</v>
      </c>
      <c r="E37">
        <v>24</v>
      </c>
      <c r="F37">
        <v>15</v>
      </c>
      <c r="G37">
        <v>136</v>
      </c>
    </row>
    <row r="38" spans="1:7" hidden="1" x14ac:dyDescent="0.35">
      <c r="A38" s="461" t="s">
        <v>193</v>
      </c>
      <c r="B38" s="461" t="s">
        <v>235</v>
      </c>
      <c r="C38" s="461" t="s">
        <v>245</v>
      </c>
      <c r="D38" s="461" t="s">
        <v>289</v>
      </c>
      <c r="E38">
        <v>2</v>
      </c>
      <c r="F38">
        <v>1</v>
      </c>
      <c r="G38">
        <v>10</v>
      </c>
    </row>
    <row r="39" spans="1:7" hidden="1" x14ac:dyDescent="0.35">
      <c r="A39" s="461" t="s">
        <v>193</v>
      </c>
      <c r="B39" s="461" t="s">
        <v>235</v>
      </c>
      <c r="C39" s="461" t="s">
        <v>35</v>
      </c>
      <c r="D39" s="461" t="s">
        <v>267</v>
      </c>
      <c r="E39">
        <v>5</v>
      </c>
      <c r="F39">
        <v>2</v>
      </c>
      <c r="G39">
        <v>16</v>
      </c>
    </row>
    <row r="40" spans="1:7" hidden="1" x14ac:dyDescent="0.35">
      <c r="A40" s="461" t="s">
        <v>193</v>
      </c>
      <c r="B40" s="461" t="s">
        <v>235</v>
      </c>
      <c r="C40" s="461" t="s">
        <v>36</v>
      </c>
      <c r="D40" s="461" t="s">
        <v>268</v>
      </c>
      <c r="E40">
        <v>36</v>
      </c>
      <c r="F40">
        <v>17</v>
      </c>
      <c r="G40">
        <v>153</v>
      </c>
    </row>
    <row r="41" spans="1:7" hidden="1" x14ac:dyDescent="0.35">
      <c r="A41" s="461" t="s">
        <v>193</v>
      </c>
      <c r="B41" s="461" t="s">
        <v>235</v>
      </c>
      <c r="C41" s="461" t="s">
        <v>37</v>
      </c>
      <c r="D41" s="461" t="s">
        <v>294</v>
      </c>
      <c r="E41">
        <v>3</v>
      </c>
      <c r="F41">
        <v>1</v>
      </c>
      <c r="G41">
        <v>10</v>
      </c>
    </row>
    <row r="42" spans="1:7" hidden="1" x14ac:dyDescent="0.35">
      <c r="A42" s="461" t="s">
        <v>193</v>
      </c>
      <c r="B42" s="461" t="s">
        <v>235</v>
      </c>
      <c r="C42" s="461" t="s">
        <v>38</v>
      </c>
      <c r="D42" s="461" t="s">
        <v>269</v>
      </c>
      <c r="E42">
        <v>9</v>
      </c>
      <c r="F42">
        <v>8</v>
      </c>
      <c r="G42">
        <v>63</v>
      </c>
    </row>
    <row r="43" spans="1:7" hidden="1" x14ac:dyDescent="0.35">
      <c r="A43" s="461" t="s">
        <v>193</v>
      </c>
      <c r="B43" s="461" t="s">
        <v>235</v>
      </c>
      <c r="C43" s="461" t="s">
        <v>39</v>
      </c>
      <c r="D43" s="461" t="s">
        <v>296</v>
      </c>
      <c r="E43">
        <v>0</v>
      </c>
      <c r="F43">
        <v>0</v>
      </c>
      <c r="G43">
        <v>0</v>
      </c>
    </row>
    <row r="44" spans="1:7" hidden="1" x14ac:dyDescent="0.35">
      <c r="A44" s="461" t="s">
        <v>193</v>
      </c>
      <c r="B44" s="461" t="s">
        <v>235</v>
      </c>
      <c r="C44" s="461" t="s">
        <v>40</v>
      </c>
      <c r="D44" s="461" t="s">
        <v>270</v>
      </c>
      <c r="E44">
        <v>12</v>
      </c>
      <c r="F44">
        <v>5</v>
      </c>
      <c r="G44">
        <v>43</v>
      </c>
    </row>
    <row r="45" spans="1:7" hidden="1" x14ac:dyDescent="0.35">
      <c r="A45" s="461" t="s">
        <v>193</v>
      </c>
      <c r="B45" s="461" t="s">
        <v>235</v>
      </c>
      <c r="C45" s="461" t="s">
        <v>41</v>
      </c>
      <c r="D45" s="461" t="s">
        <v>271</v>
      </c>
      <c r="E45">
        <v>0</v>
      </c>
      <c r="F45">
        <v>0</v>
      </c>
      <c r="G45">
        <v>0</v>
      </c>
    </row>
    <row r="46" spans="1:7" hidden="1" x14ac:dyDescent="0.35">
      <c r="A46" s="461" t="s">
        <v>193</v>
      </c>
      <c r="B46" s="461" t="s">
        <v>235</v>
      </c>
      <c r="C46" s="461" t="s">
        <v>42</v>
      </c>
      <c r="D46" s="461" t="s">
        <v>273</v>
      </c>
      <c r="E46">
        <v>9</v>
      </c>
      <c r="F46">
        <v>6</v>
      </c>
      <c r="G46">
        <v>53</v>
      </c>
    </row>
    <row r="47" spans="1:7" hidden="1" x14ac:dyDescent="0.35">
      <c r="A47" s="461" t="s">
        <v>193</v>
      </c>
      <c r="B47" s="461" t="s">
        <v>235</v>
      </c>
      <c r="C47" s="461" t="s">
        <v>43</v>
      </c>
      <c r="D47" s="461" t="s">
        <v>298</v>
      </c>
      <c r="E47">
        <v>23</v>
      </c>
      <c r="F47">
        <v>10</v>
      </c>
      <c r="G47">
        <v>79</v>
      </c>
    </row>
    <row r="48" spans="1:7" hidden="1" x14ac:dyDescent="0.35">
      <c r="A48" s="461" t="s">
        <v>193</v>
      </c>
      <c r="B48" s="461" t="s">
        <v>235</v>
      </c>
      <c r="C48" s="461" t="s">
        <v>114</v>
      </c>
      <c r="D48" s="461" t="s">
        <v>297</v>
      </c>
      <c r="E48">
        <v>0</v>
      </c>
      <c r="F48">
        <v>0</v>
      </c>
      <c r="G48">
        <v>0</v>
      </c>
    </row>
    <row r="49" spans="1:7" hidden="1" x14ac:dyDescent="0.35">
      <c r="A49" s="461" t="s">
        <v>193</v>
      </c>
      <c r="B49" s="461" t="s">
        <v>235</v>
      </c>
      <c r="C49" s="461" t="s">
        <v>44</v>
      </c>
      <c r="D49" s="461" t="s">
        <v>274</v>
      </c>
      <c r="E49">
        <v>106</v>
      </c>
      <c r="F49">
        <v>54</v>
      </c>
      <c r="G49">
        <v>388</v>
      </c>
    </row>
    <row r="50" spans="1:7" hidden="1" x14ac:dyDescent="0.35">
      <c r="A50" s="461" t="s">
        <v>193</v>
      </c>
      <c r="B50" s="461" t="s">
        <v>235</v>
      </c>
      <c r="C50" s="461" t="s">
        <v>45</v>
      </c>
      <c r="D50" s="461" t="s">
        <v>275</v>
      </c>
      <c r="E50">
        <v>4</v>
      </c>
      <c r="F50">
        <v>3</v>
      </c>
      <c r="G50">
        <v>33</v>
      </c>
    </row>
    <row r="51" spans="1:7" hidden="1" x14ac:dyDescent="0.35">
      <c r="A51" s="461" t="s">
        <v>193</v>
      </c>
      <c r="B51" s="461" t="s">
        <v>235</v>
      </c>
      <c r="C51" s="461" t="s">
        <v>46</v>
      </c>
      <c r="D51" s="461" t="s">
        <v>276</v>
      </c>
      <c r="E51">
        <v>2</v>
      </c>
      <c r="F51">
        <v>1</v>
      </c>
      <c r="G51">
        <v>11</v>
      </c>
    </row>
    <row r="52" spans="1:7" hidden="1" x14ac:dyDescent="0.35">
      <c r="A52" s="461" t="s">
        <v>193</v>
      </c>
      <c r="B52" s="461" t="s">
        <v>235</v>
      </c>
      <c r="C52" s="461" t="s">
        <v>47</v>
      </c>
      <c r="D52" s="461" t="s">
        <v>277</v>
      </c>
      <c r="E52">
        <v>26</v>
      </c>
      <c r="F52">
        <v>11</v>
      </c>
      <c r="G52">
        <v>84</v>
      </c>
    </row>
    <row r="53" spans="1:7" hidden="1" x14ac:dyDescent="0.35">
      <c r="A53" s="461" t="s">
        <v>193</v>
      </c>
      <c r="B53" s="461" t="s">
        <v>235</v>
      </c>
      <c r="C53" s="461" t="s">
        <v>48</v>
      </c>
      <c r="D53" s="461" t="s">
        <v>272</v>
      </c>
      <c r="E53">
        <v>27</v>
      </c>
      <c r="F53">
        <v>16</v>
      </c>
      <c r="G53">
        <v>104</v>
      </c>
    </row>
    <row r="54" spans="1:7" hidden="1" x14ac:dyDescent="0.35">
      <c r="A54" s="461" t="s">
        <v>193</v>
      </c>
      <c r="B54" s="461" t="s">
        <v>235</v>
      </c>
      <c r="C54" s="461" t="s">
        <v>49</v>
      </c>
      <c r="D54" s="461" t="s">
        <v>278</v>
      </c>
      <c r="E54">
        <v>17</v>
      </c>
      <c r="F54">
        <v>9</v>
      </c>
      <c r="G54">
        <v>64</v>
      </c>
    </row>
    <row r="55" spans="1:7" hidden="1" x14ac:dyDescent="0.35">
      <c r="A55" s="461" t="s">
        <v>193</v>
      </c>
      <c r="B55" s="461" t="s">
        <v>235</v>
      </c>
      <c r="C55" s="461" t="s">
        <v>50</v>
      </c>
      <c r="D55" s="461" t="s">
        <v>295</v>
      </c>
      <c r="E55">
        <v>3</v>
      </c>
      <c r="F55">
        <v>3</v>
      </c>
      <c r="G55">
        <v>24</v>
      </c>
    </row>
    <row r="56" spans="1:7" hidden="1" x14ac:dyDescent="0.35">
      <c r="A56" s="461" t="s">
        <v>193</v>
      </c>
      <c r="B56" s="461" t="s">
        <v>235</v>
      </c>
      <c r="C56" s="461" t="s">
        <v>51</v>
      </c>
      <c r="D56" s="461" t="s">
        <v>279</v>
      </c>
      <c r="E56">
        <v>26</v>
      </c>
      <c r="F56">
        <v>12</v>
      </c>
      <c r="G56">
        <v>71</v>
      </c>
    </row>
    <row r="57" spans="1:7" hidden="1" x14ac:dyDescent="0.35">
      <c r="A57" s="461" t="s">
        <v>193</v>
      </c>
      <c r="B57" s="461" t="s">
        <v>235</v>
      </c>
      <c r="C57" s="461" t="s">
        <v>52</v>
      </c>
      <c r="D57" s="461" t="s">
        <v>280</v>
      </c>
      <c r="E57">
        <v>26</v>
      </c>
      <c r="F57">
        <v>13</v>
      </c>
      <c r="G57">
        <v>89</v>
      </c>
    </row>
    <row r="58" spans="1:7" hidden="1" x14ac:dyDescent="0.35">
      <c r="A58" s="461" t="s">
        <v>193</v>
      </c>
      <c r="B58" s="461" t="s">
        <v>235</v>
      </c>
      <c r="C58" s="461" t="s">
        <v>53</v>
      </c>
      <c r="D58" s="461" t="s">
        <v>290</v>
      </c>
      <c r="E58">
        <v>2</v>
      </c>
      <c r="F58">
        <v>1</v>
      </c>
      <c r="G58">
        <v>11</v>
      </c>
    </row>
    <row r="59" spans="1:7" hidden="1" x14ac:dyDescent="0.35">
      <c r="A59" s="461" t="s">
        <v>193</v>
      </c>
      <c r="B59" s="461" t="s">
        <v>235</v>
      </c>
      <c r="C59" s="461" t="s">
        <v>54</v>
      </c>
      <c r="D59" s="461" t="s">
        <v>281</v>
      </c>
      <c r="E59">
        <v>26</v>
      </c>
      <c r="F59">
        <v>14</v>
      </c>
      <c r="G59">
        <v>111</v>
      </c>
    </row>
    <row r="60" spans="1:7" hidden="1" x14ac:dyDescent="0.35">
      <c r="A60" s="461" t="s">
        <v>193</v>
      </c>
      <c r="B60" s="461" t="s">
        <v>235</v>
      </c>
      <c r="C60" s="461" t="s">
        <v>55</v>
      </c>
      <c r="D60" s="461" t="s">
        <v>282</v>
      </c>
      <c r="E60">
        <v>29</v>
      </c>
      <c r="F60">
        <v>12</v>
      </c>
      <c r="G60">
        <v>86</v>
      </c>
    </row>
    <row r="61" spans="1:7" hidden="1" x14ac:dyDescent="0.35">
      <c r="A61" s="461" t="s">
        <v>193</v>
      </c>
      <c r="B61" s="461" t="s">
        <v>235</v>
      </c>
      <c r="C61" s="461" t="s">
        <v>56</v>
      </c>
      <c r="D61" s="461" t="s">
        <v>283</v>
      </c>
      <c r="E61">
        <v>9</v>
      </c>
      <c r="F61">
        <v>5</v>
      </c>
      <c r="G61">
        <v>40</v>
      </c>
    </row>
    <row r="62" spans="1:7" hidden="1" x14ac:dyDescent="0.35">
      <c r="A62" s="461" t="s">
        <v>193</v>
      </c>
      <c r="B62" s="461" t="s">
        <v>235</v>
      </c>
      <c r="C62" s="461" t="s">
        <v>57</v>
      </c>
      <c r="D62" s="461" t="s">
        <v>284</v>
      </c>
      <c r="E62">
        <v>8</v>
      </c>
      <c r="F62">
        <v>9</v>
      </c>
      <c r="G62">
        <v>65</v>
      </c>
    </row>
    <row r="63" spans="1:7" hidden="1" x14ac:dyDescent="0.35">
      <c r="A63" s="461" t="s">
        <v>193</v>
      </c>
      <c r="B63" s="461" t="s">
        <v>235</v>
      </c>
      <c r="C63" s="461" t="s">
        <v>58</v>
      </c>
      <c r="D63" s="461" t="s">
        <v>285</v>
      </c>
      <c r="E63">
        <v>14</v>
      </c>
      <c r="F63">
        <v>9</v>
      </c>
      <c r="G63">
        <v>52</v>
      </c>
    </row>
    <row r="64" spans="1:7" hidden="1" x14ac:dyDescent="0.35">
      <c r="A64" s="461" t="s">
        <v>193</v>
      </c>
      <c r="B64" s="461" t="s">
        <v>235</v>
      </c>
      <c r="C64" s="461" t="s">
        <v>59</v>
      </c>
      <c r="D64" s="461" t="s">
        <v>291</v>
      </c>
      <c r="E64">
        <v>1</v>
      </c>
      <c r="F64">
        <v>2</v>
      </c>
      <c r="G64">
        <v>18</v>
      </c>
    </row>
    <row r="65" spans="1:7" hidden="1" x14ac:dyDescent="0.35">
      <c r="A65" s="461" t="s">
        <v>193</v>
      </c>
      <c r="B65" s="461" t="s">
        <v>235</v>
      </c>
      <c r="C65" s="461" t="s">
        <v>60</v>
      </c>
      <c r="D65" s="461" t="s">
        <v>292</v>
      </c>
      <c r="E65">
        <v>12</v>
      </c>
      <c r="F65">
        <v>6</v>
      </c>
      <c r="G65">
        <v>47</v>
      </c>
    </row>
    <row r="66" spans="1:7" hidden="1" x14ac:dyDescent="0.35">
      <c r="A66" s="461" t="s">
        <v>192</v>
      </c>
      <c r="B66" s="461" t="s">
        <v>235</v>
      </c>
      <c r="C66" s="461" t="s">
        <v>31</v>
      </c>
      <c r="D66" s="461" t="s">
        <v>286</v>
      </c>
      <c r="E66">
        <v>8</v>
      </c>
      <c r="F66">
        <v>2</v>
      </c>
      <c r="G66">
        <v>13</v>
      </c>
    </row>
    <row r="67" spans="1:7" hidden="1" x14ac:dyDescent="0.35">
      <c r="A67" s="461" t="s">
        <v>192</v>
      </c>
      <c r="B67" s="461" t="s">
        <v>235</v>
      </c>
      <c r="C67" s="461" t="s">
        <v>32</v>
      </c>
      <c r="D67" s="461" t="s">
        <v>287</v>
      </c>
      <c r="E67">
        <v>66</v>
      </c>
      <c r="F67">
        <v>25</v>
      </c>
      <c r="G67">
        <v>180</v>
      </c>
    </row>
    <row r="68" spans="1:7" hidden="1" x14ac:dyDescent="0.35">
      <c r="A68" s="461" t="s">
        <v>192</v>
      </c>
      <c r="B68" s="461" t="s">
        <v>235</v>
      </c>
      <c r="C68" s="461" t="s">
        <v>33</v>
      </c>
      <c r="D68" s="461" t="s">
        <v>293</v>
      </c>
      <c r="E68">
        <v>16</v>
      </c>
      <c r="F68">
        <v>6</v>
      </c>
      <c r="G68">
        <v>76</v>
      </c>
    </row>
    <row r="69" spans="1:7" hidden="1" x14ac:dyDescent="0.35">
      <c r="A69" s="461" t="s">
        <v>192</v>
      </c>
      <c r="B69" s="461" t="s">
        <v>235</v>
      </c>
      <c r="C69" s="461" t="s">
        <v>34</v>
      </c>
      <c r="D69" s="461" t="s">
        <v>288</v>
      </c>
      <c r="E69">
        <v>26</v>
      </c>
      <c r="F69">
        <v>12</v>
      </c>
      <c r="G69">
        <v>144</v>
      </c>
    </row>
    <row r="70" spans="1:7" hidden="1" x14ac:dyDescent="0.35">
      <c r="A70" s="461" t="s">
        <v>192</v>
      </c>
      <c r="B70" s="461" t="s">
        <v>235</v>
      </c>
      <c r="C70" s="461" t="s">
        <v>245</v>
      </c>
      <c r="D70" s="461" t="s">
        <v>289</v>
      </c>
      <c r="E70">
        <v>2</v>
      </c>
      <c r="F70">
        <v>1</v>
      </c>
      <c r="G70">
        <v>9</v>
      </c>
    </row>
    <row r="71" spans="1:7" hidden="1" x14ac:dyDescent="0.35">
      <c r="A71" s="461" t="s">
        <v>192</v>
      </c>
      <c r="B71" s="461" t="s">
        <v>235</v>
      </c>
      <c r="C71" s="461" t="s">
        <v>35</v>
      </c>
      <c r="D71" s="461" t="s">
        <v>267</v>
      </c>
      <c r="E71">
        <v>4</v>
      </c>
      <c r="F71">
        <v>2</v>
      </c>
      <c r="G71">
        <v>15</v>
      </c>
    </row>
    <row r="72" spans="1:7" hidden="1" x14ac:dyDescent="0.35">
      <c r="A72" s="461" t="s">
        <v>192</v>
      </c>
      <c r="B72" s="461" t="s">
        <v>235</v>
      </c>
      <c r="C72" s="461" t="s">
        <v>36</v>
      </c>
      <c r="D72" s="461" t="s">
        <v>268</v>
      </c>
      <c r="E72">
        <v>34</v>
      </c>
      <c r="F72">
        <v>16</v>
      </c>
      <c r="G72">
        <v>140</v>
      </c>
    </row>
    <row r="73" spans="1:7" hidden="1" x14ac:dyDescent="0.35">
      <c r="A73" s="461" t="s">
        <v>192</v>
      </c>
      <c r="B73" s="461" t="s">
        <v>235</v>
      </c>
      <c r="C73" s="461" t="s">
        <v>37</v>
      </c>
      <c r="D73" s="461" t="s">
        <v>294</v>
      </c>
      <c r="E73">
        <v>3</v>
      </c>
      <c r="F73">
        <v>1</v>
      </c>
      <c r="G73">
        <v>7</v>
      </c>
    </row>
    <row r="74" spans="1:7" hidden="1" x14ac:dyDescent="0.35">
      <c r="A74" s="461" t="s">
        <v>192</v>
      </c>
      <c r="B74" s="461" t="s">
        <v>235</v>
      </c>
      <c r="C74" s="461" t="s">
        <v>38</v>
      </c>
      <c r="D74" s="461" t="s">
        <v>269</v>
      </c>
      <c r="E74">
        <v>11</v>
      </c>
      <c r="F74">
        <v>7</v>
      </c>
      <c r="G74">
        <v>65</v>
      </c>
    </row>
    <row r="75" spans="1:7" hidden="1" x14ac:dyDescent="0.35">
      <c r="A75" s="461" t="s">
        <v>192</v>
      </c>
      <c r="B75" s="461" t="s">
        <v>235</v>
      </c>
      <c r="C75" s="461" t="s">
        <v>39</v>
      </c>
      <c r="D75" s="461" t="s">
        <v>296</v>
      </c>
      <c r="E75">
        <v>0</v>
      </c>
      <c r="F75">
        <v>0</v>
      </c>
      <c r="G75">
        <v>1</v>
      </c>
    </row>
    <row r="76" spans="1:7" hidden="1" x14ac:dyDescent="0.35">
      <c r="A76" s="461" t="s">
        <v>192</v>
      </c>
      <c r="B76" s="461" t="s">
        <v>235</v>
      </c>
      <c r="C76" s="461" t="s">
        <v>40</v>
      </c>
      <c r="D76" s="461" t="s">
        <v>270</v>
      </c>
      <c r="E76">
        <v>11</v>
      </c>
      <c r="F76">
        <v>4</v>
      </c>
      <c r="G76">
        <v>40</v>
      </c>
    </row>
    <row r="77" spans="1:7" hidden="1" x14ac:dyDescent="0.35">
      <c r="A77" s="461" t="s">
        <v>192</v>
      </c>
      <c r="B77" s="461" t="s">
        <v>235</v>
      </c>
      <c r="C77" s="461" t="s">
        <v>41</v>
      </c>
      <c r="D77" s="461" t="s">
        <v>271</v>
      </c>
      <c r="E77">
        <v>0</v>
      </c>
      <c r="F77">
        <v>0</v>
      </c>
      <c r="G77">
        <v>2</v>
      </c>
    </row>
    <row r="78" spans="1:7" hidden="1" x14ac:dyDescent="0.35">
      <c r="A78" s="461" t="s">
        <v>192</v>
      </c>
      <c r="B78" s="461" t="s">
        <v>235</v>
      </c>
      <c r="C78" s="461" t="s">
        <v>42</v>
      </c>
      <c r="D78" s="461" t="s">
        <v>273</v>
      </c>
      <c r="E78">
        <v>9</v>
      </c>
      <c r="F78">
        <v>5</v>
      </c>
      <c r="G78">
        <v>39</v>
      </c>
    </row>
    <row r="79" spans="1:7" hidden="1" x14ac:dyDescent="0.35">
      <c r="A79" s="461" t="s">
        <v>192</v>
      </c>
      <c r="B79" s="461" t="s">
        <v>235</v>
      </c>
      <c r="C79" s="461" t="s">
        <v>43</v>
      </c>
      <c r="D79" s="461" t="s">
        <v>298</v>
      </c>
      <c r="E79">
        <v>23</v>
      </c>
      <c r="F79">
        <v>9</v>
      </c>
      <c r="G79">
        <v>80</v>
      </c>
    </row>
    <row r="80" spans="1:7" hidden="1" x14ac:dyDescent="0.35">
      <c r="A80" s="461" t="s">
        <v>192</v>
      </c>
      <c r="B80" s="461" t="s">
        <v>235</v>
      </c>
      <c r="C80" s="461" t="s">
        <v>114</v>
      </c>
      <c r="D80" s="461" t="s">
        <v>297</v>
      </c>
      <c r="E80">
        <v>0</v>
      </c>
      <c r="F80">
        <v>0</v>
      </c>
      <c r="G80">
        <v>6</v>
      </c>
    </row>
    <row r="81" spans="1:7" hidden="1" x14ac:dyDescent="0.35">
      <c r="A81" s="461" t="s">
        <v>192</v>
      </c>
      <c r="B81" s="461" t="s">
        <v>235</v>
      </c>
      <c r="C81" s="461" t="s">
        <v>44</v>
      </c>
      <c r="D81" s="461" t="s">
        <v>274</v>
      </c>
      <c r="E81">
        <v>107</v>
      </c>
      <c r="F81">
        <v>53</v>
      </c>
      <c r="G81">
        <v>365</v>
      </c>
    </row>
    <row r="82" spans="1:7" hidden="1" x14ac:dyDescent="0.35">
      <c r="A82" s="461" t="s">
        <v>192</v>
      </c>
      <c r="B82" s="461" t="s">
        <v>235</v>
      </c>
      <c r="C82" s="461" t="s">
        <v>45</v>
      </c>
      <c r="D82" s="461" t="s">
        <v>275</v>
      </c>
      <c r="E82">
        <v>6</v>
      </c>
      <c r="F82">
        <v>4</v>
      </c>
      <c r="G82">
        <v>31</v>
      </c>
    </row>
    <row r="83" spans="1:7" hidden="1" x14ac:dyDescent="0.35">
      <c r="A83" s="461" t="s">
        <v>192</v>
      </c>
      <c r="B83" s="461" t="s">
        <v>235</v>
      </c>
      <c r="C83" s="461" t="s">
        <v>46</v>
      </c>
      <c r="D83" s="461" t="s">
        <v>276</v>
      </c>
      <c r="E83">
        <v>2</v>
      </c>
      <c r="F83">
        <v>1</v>
      </c>
      <c r="G83">
        <v>8</v>
      </c>
    </row>
    <row r="84" spans="1:7" hidden="1" x14ac:dyDescent="0.35">
      <c r="A84" s="461" t="s">
        <v>192</v>
      </c>
      <c r="B84" s="461" t="s">
        <v>235</v>
      </c>
      <c r="C84" s="461" t="s">
        <v>47</v>
      </c>
      <c r="D84" s="461" t="s">
        <v>277</v>
      </c>
      <c r="E84">
        <v>26</v>
      </c>
      <c r="F84">
        <v>12</v>
      </c>
      <c r="G84">
        <v>72</v>
      </c>
    </row>
    <row r="85" spans="1:7" hidden="1" x14ac:dyDescent="0.35">
      <c r="A85" s="461" t="s">
        <v>192</v>
      </c>
      <c r="B85" s="461" t="s">
        <v>235</v>
      </c>
      <c r="C85" s="461" t="s">
        <v>48</v>
      </c>
      <c r="D85" s="461" t="s">
        <v>272</v>
      </c>
      <c r="E85">
        <v>34</v>
      </c>
      <c r="F85">
        <v>12</v>
      </c>
      <c r="G85">
        <v>94</v>
      </c>
    </row>
    <row r="86" spans="1:7" hidden="1" x14ac:dyDescent="0.35">
      <c r="A86" s="461" t="s">
        <v>192</v>
      </c>
      <c r="B86" s="461" t="s">
        <v>235</v>
      </c>
      <c r="C86" s="461" t="s">
        <v>49</v>
      </c>
      <c r="D86" s="461" t="s">
        <v>278</v>
      </c>
      <c r="E86">
        <v>12</v>
      </c>
      <c r="F86">
        <v>9</v>
      </c>
      <c r="G86">
        <v>87</v>
      </c>
    </row>
    <row r="87" spans="1:7" hidden="1" x14ac:dyDescent="0.35">
      <c r="A87" s="461" t="s">
        <v>192</v>
      </c>
      <c r="B87" s="461" t="s">
        <v>235</v>
      </c>
      <c r="C87" s="461" t="s">
        <v>50</v>
      </c>
      <c r="D87" s="461" t="s">
        <v>295</v>
      </c>
      <c r="E87">
        <v>3</v>
      </c>
      <c r="F87">
        <v>3</v>
      </c>
      <c r="G87">
        <v>28</v>
      </c>
    </row>
    <row r="88" spans="1:7" hidden="1" x14ac:dyDescent="0.35">
      <c r="A88" s="461" t="s">
        <v>192</v>
      </c>
      <c r="B88" s="461" t="s">
        <v>235</v>
      </c>
      <c r="C88" s="461" t="s">
        <v>51</v>
      </c>
      <c r="D88" s="461" t="s">
        <v>279</v>
      </c>
      <c r="E88">
        <v>19</v>
      </c>
      <c r="F88">
        <v>12</v>
      </c>
      <c r="G88">
        <v>67</v>
      </c>
    </row>
    <row r="89" spans="1:7" hidden="1" x14ac:dyDescent="0.35">
      <c r="A89" s="461" t="s">
        <v>192</v>
      </c>
      <c r="B89" s="461" t="s">
        <v>235</v>
      </c>
      <c r="C89" s="461" t="s">
        <v>52</v>
      </c>
      <c r="D89" s="461" t="s">
        <v>280</v>
      </c>
      <c r="E89">
        <v>24</v>
      </c>
      <c r="F89">
        <v>9</v>
      </c>
      <c r="G89">
        <v>93</v>
      </c>
    </row>
    <row r="90" spans="1:7" hidden="1" x14ac:dyDescent="0.35">
      <c r="A90" s="461" t="s">
        <v>192</v>
      </c>
      <c r="B90" s="461" t="s">
        <v>235</v>
      </c>
      <c r="C90" s="461" t="s">
        <v>53</v>
      </c>
      <c r="D90" s="461" t="s">
        <v>290</v>
      </c>
      <c r="E90">
        <v>1</v>
      </c>
      <c r="F90">
        <v>1</v>
      </c>
      <c r="G90">
        <v>11</v>
      </c>
    </row>
    <row r="91" spans="1:7" hidden="1" x14ac:dyDescent="0.35">
      <c r="A91" s="461" t="s">
        <v>192</v>
      </c>
      <c r="B91" s="461" t="s">
        <v>235</v>
      </c>
      <c r="C91" s="461" t="s">
        <v>54</v>
      </c>
      <c r="D91" s="461" t="s">
        <v>281</v>
      </c>
      <c r="E91">
        <v>26</v>
      </c>
      <c r="F91">
        <v>13</v>
      </c>
      <c r="G91">
        <v>108</v>
      </c>
    </row>
    <row r="92" spans="1:7" hidden="1" x14ac:dyDescent="0.35">
      <c r="A92" s="461" t="s">
        <v>192</v>
      </c>
      <c r="B92" s="461" t="s">
        <v>235</v>
      </c>
      <c r="C92" s="461" t="s">
        <v>55</v>
      </c>
      <c r="D92" s="461" t="s">
        <v>282</v>
      </c>
      <c r="E92">
        <v>25</v>
      </c>
      <c r="F92">
        <v>14</v>
      </c>
      <c r="G92">
        <v>87</v>
      </c>
    </row>
    <row r="93" spans="1:7" hidden="1" x14ac:dyDescent="0.35">
      <c r="A93" s="461" t="s">
        <v>192</v>
      </c>
      <c r="B93" s="461" t="s">
        <v>235</v>
      </c>
      <c r="C93" s="461" t="s">
        <v>56</v>
      </c>
      <c r="D93" s="461" t="s">
        <v>283</v>
      </c>
      <c r="E93">
        <v>7</v>
      </c>
      <c r="F93">
        <v>5</v>
      </c>
      <c r="G93">
        <v>41</v>
      </c>
    </row>
    <row r="94" spans="1:7" hidden="1" x14ac:dyDescent="0.35">
      <c r="A94" s="461" t="s">
        <v>192</v>
      </c>
      <c r="B94" s="461" t="s">
        <v>235</v>
      </c>
      <c r="C94" s="461" t="s">
        <v>57</v>
      </c>
      <c r="D94" s="461" t="s">
        <v>284</v>
      </c>
      <c r="E94">
        <v>9</v>
      </c>
      <c r="F94">
        <v>8</v>
      </c>
      <c r="G94">
        <v>54</v>
      </c>
    </row>
    <row r="95" spans="1:7" hidden="1" x14ac:dyDescent="0.35">
      <c r="A95" s="461" t="s">
        <v>192</v>
      </c>
      <c r="B95" s="461" t="s">
        <v>235</v>
      </c>
      <c r="C95" s="461" t="s">
        <v>58</v>
      </c>
      <c r="D95" s="461" t="s">
        <v>285</v>
      </c>
      <c r="E95">
        <v>17</v>
      </c>
      <c r="F95">
        <v>9</v>
      </c>
      <c r="G95">
        <v>47</v>
      </c>
    </row>
    <row r="96" spans="1:7" hidden="1" x14ac:dyDescent="0.35">
      <c r="A96" s="461" t="s">
        <v>192</v>
      </c>
      <c r="B96" s="461" t="s">
        <v>235</v>
      </c>
      <c r="C96" s="461" t="s">
        <v>59</v>
      </c>
      <c r="D96" s="461" t="s">
        <v>291</v>
      </c>
      <c r="E96">
        <v>2</v>
      </c>
      <c r="F96">
        <v>2</v>
      </c>
      <c r="G96">
        <v>15</v>
      </c>
    </row>
    <row r="97" spans="1:7" hidden="1" x14ac:dyDescent="0.35">
      <c r="A97" s="461" t="s">
        <v>192</v>
      </c>
      <c r="B97" s="461" t="s">
        <v>235</v>
      </c>
      <c r="C97" s="461" t="s">
        <v>60</v>
      </c>
      <c r="D97" s="461" t="s">
        <v>292</v>
      </c>
      <c r="E97">
        <v>10</v>
      </c>
      <c r="F97">
        <v>5</v>
      </c>
      <c r="G97">
        <v>40</v>
      </c>
    </row>
    <row r="98" spans="1:7" hidden="1" x14ac:dyDescent="0.35">
      <c r="A98" s="461" t="s">
        <v>258</v>
      </c>
      <c r="B98" s="461" t="s">
        <v>235</v>
      </c>
      <c r="C98" s="461" t="s">
        <v>31</v>
      </c>
      <c r="D98" s="461" t="s">
        <v>286</v>
      </c>
      <c r="E98">
        <v>2</v>
      </c>
      <c r="F98">
        <v>1</v>
      </c>
      <c r="G98">
        <v>5</v>
      </c>
    </row>
    <row r="99" spans="1:7" hidden="1" x14ac:dyDescent="0.35">
      <c r="A99" s="461" t="s">
        <v>258</v>
      </c>
      <c r="B99" s="461" t="s">
        <v>235</v>
      </c>
      <c r="C99" s="461" t="s">
        <v>32</v>
      </c>
      <c r="D99" s="461" t="s">
        <v>287</v>
      </c>
      <c r="E99">
        <v>68</v>
      </c>
      <c r="F99">
        <v>26</v>
      </c>
      <c r="G99">
        <v>188</v>
      </c>
    </row>
    <row r="100" spans="1:7" hidden="1" x14ac:dyDescent="0.35">
      <c r="A100" s="461" t="s">
        <v>258</v>
      </c>
      <c r="B100" s="461" t="s">
        <v>235</v>
      </c>
      <c r="C100" s="461" t="s">
        <v>33</v>
      </c>
      <c r="D100" s="461" t="s">
        <v>293</v>
      </c>
      <c r="E100">
        <v>17</v>
      </c>
      <c r="F100">
        <v>6</v>
      </c>
      <c r="G100">
        <v>71</v>
      </c>
    </row>
    <row r="101" spans="1:7" hidden="1" x14ac:dyDescent="0.35">
      <c r="A101" s="461" t="s">
        <v>258</v>
      </c>
      <c r="B101" s="461" t="s">
        <v>235</v>
      </c>
      <c r="C101" s="461" t="s">
        <v>34</v>
      </c>
      <c r="D101" s="461" t="s">
        <v>288</v>
      </c>
      <c r="E101">
        <v>27</v>
      </c>
      <c r="F101">
        <v>14</v>
      </c>
      <c r="G101">
        <v>144</v>
      </c>
    </row>
    <row r="102" spans="1:7" hidden="1" x14ac:dyDescent="0.35">
      <c r="A102" s="461" t="s">
        <v>258</v>
      </c>
      <c r="B102" s="461" t="s">
        <v>235</v>
      </c>
      <c r="C102" s="461" t="s">
        <v>245</v>
      </c>
      <c r="D102" s="461" t="s">
        <v>289</v>
      </c>
      <c r="E102">
        <v>1</v>
      </c>
      <c r="F102">
        <v>1</v>
      </c>
      <c r="G102">
        <v>10</v>
      </c>
    </row>
    <row r="103" spans="1:7" hidden="1" x14ac:dyDescent="0.35">
      <c r="A103" s="461" t="s">
        <v>258</v>
      </c>
      <c r="B103" s="461" t="s">
        <v>235</v>
      </c>
      <c r="C103" s="461" t="s">
        <v>35</v>
      </c>
      <c r="D103" s="461" t="s">
        <v>267</v>
      </c>
      <c r="E103">
        <v>4</v>
      </c>
      <c r="F103">
        <v>2</v>
      </c>
      <c r="G103">
        <v>18</v>
      </c>
    </row>
    <row r="104" spans="1:7" hidden="1" x14ac:dyDescent="0.35">
      <c r="A104" s="461" t="s">
        <v>258</v>
      </c>
      <c r="B104" s="461" t="s">
        <v>235</v>
      </c>
      <c r="C104" s="461" t="s">
        <v>36</v>
      </c>
      <c r="D104" s="461" t="s">
        <v>268</v>
      </c>
      <c r="E104">
        <v>37</v>
      </c>
      <c r="F104">
        <v>16</v>
      </c>
      <c r="G104">
        <v>149</v>
      </c>
    </row>
    <row r="105" spans="1:7" hidden="1" x14ac:dyDescent="0.35">
      <c r="A105" s="461" t="s">
        <v>258</v>
      </c>
      <c r="B105" s="461" t="s">
        <v>235</v>
      </c>
      <c r="C105" s="461" t="s">
        <v>37</v>
      </c>
      <c r="D105" s="461" t="s">
        <v>294</v>
      </c>
      <c r="E105">
        <v>3</v>
      </c>
      <c r="F105">
        <v>1</v>
      </c>
      <c r="G105">
        <v>9</v>
      </c>
    </row>
    <row r="106" spans="1:7" hidden="1" x14ac:dyDescent="0.35">
      <c r="A106" s="461" t="s">
        <v>258</v>
      </c>
      <c r="B106" s="461" t="s">
        <v>235</v>
      </c>
      <c r="C106" s="461" t="s">
        <v>38</v>
      </c>
      <c r="D106" s="461" t="s">
        <v>269</v>
      </c>
      <c r="E106">
        <v>11</v>
      </c>
      <c r="F106">
        <v>7</v>
      </c>
      <c r="G106">
        <v>63</v>
      </c>
    </row>
    <row r="107" spans="1:7" hidden="1" x14ac:dyDescent="0.35">
      <c r="A107" s="461" t="s">
        <v>258</v>
      </c>
      <c r="B107" s="461" t="s">
        <v>235</v>
      </c>
      <c r="C107" s="461" t="s">
        <v>39</v>
      </c>
      <c r="D107" s="461" t="s">
        <v>296</v>
      </c>
      <c r="E107">
        <v>0</v>
      </c>
      <c r="F107">
        <v>0</v>
      </c>
      <c r="G107">
        <v>0</v>
      </c>
    </row>
    <row r="108" spans="1:7" hidden="1" x14ac:dyDescent="0.35">
      <c r="A108" s="461" t="s">
        <v>258</v>
      </c>
      <c r="B108" s="461" t="s">
        <v>235</v>
      </c>
      <c r="C108" s="461" t="s">
        <v>40</v>
      </c>
      <c r="D108" s="461" t="s">
        <v>270</v>
      </c>
      <c r="E108">
        <v>12</v>
      </c>
      <c r="F108">
        <v>5</v>
      </c>
      <c r="G108">
        <v>38</v>
      </c>
    </row>
    <row r="109" spans="1:7" hidden="1" x14ac:dyDescent="0.35">
      <c r="A109" s="461" t="s">
        <v>258</v>
      </c>
      <c r="B109" s="461" t="s">
        <v>235</v>
      </c>
      <c r="C109" s="461" t="s">
        <v>41</v>
      </c>
      <c r="D109" s="461" t="s">
        <v>271</v>
      </c>
      <c r="E109">
        <v>0</v>
      </c>
      <c r="F109">
        <v>0</v>
      </c>
      <c r="G109">
        <v>0</v>
      </c>
    </row>
    <row r="110" spans="1:7" hidden="1" x14ac:dyDescent="0.35">
      <c r="A110" s="461" t="s">
        <v>258</v>
      </c>
      <c r="B110" s="461" t="s">
        <v>235</v>
      </c>
      <c r="C110" s="461" t="s">
        <v>42</v>
      </c>
      <c r="D110" s="461" t="s">
        <v>273</v>
      </c>
      <c r="E110">
        <v>10</v>
      </c>
      <c r="F110">
        <v>5</v>
      </c>
      <c r="G110">
        <v>41</v>
      </c>
    </row>
    <row r="111" spans="1:7" hidden="1" x14ac:dyDescent="0.35">
      <c r="A111" s="461" t="s">
        <v>258</v>
      </c>
      <c r="B111" s="461" t="s">
        <v>235</v>
      </c>
      <c r="C111" s="461" t="s">
        <v>43</v>
      </c>
      <c r="D111" s="461" t="s">
        <v>298</v>
      </c>
      <c r="E111">
        <v>22</v>
      </c>
      <c r="F111">
        <v>9</v>
      </c>
      <c r="G111">
        <v>78</v>
      </c>
    </row>
    <row r="112" spans="1:7" hidden="1" x14ac:dyDescent="0.35">
      <c r="A112" s="461" t="s">
        <v>258</v>
      </c>
      <c r="B112" s="461" t="s">
        <v>235</v>
      </c>
      <c r="C112" s="461" t="s">
        <v>114</v>
      </c>
      <c r="D112" s="461" t="s">
        <v>297</v>
      </c>
      <c r="E112">
        <v>0</v>
      </c>
      <c r="F112">
        <v>0</v>
      </c>
      <c r="G112">
        <v>0</v>
      </c>
    </row>
    <row r="113" spans="1:7" hidden="1" x14ac:dyDescent="0.35">
      <c r="A113" s="461" t="s">
        <v>258</v>
      </c>
      <c r="B113" s="461" t="s">
        <v>235</v>
      </c>
      <c r="C113" s="461" t="s">
        <v>44</v>
      </c>
      <c r="D113" s="461" t="s">
        <v>274</v>
      </c>
      <c r="E113">
        <v>102</v>
      </c>
      <c r="F113">
        <v>52</v>
      </c>
      <c r="G113">
        <v>371</v>
      </c>
    </row>
    <row r="114" spans="1:7" hidden="1" x14ac:dyDescent="0.35">
      <c r="A114" s="461" t="s">
        <v>258</v>
      </c>
      <c r="B114" s="461" t="s">
        <v>235</v>
      </c>
      <c r="C114" s="461" t="s">
        <v>45</v>
      </c>
      <c r="D114" s="461" t="s">
        <v>275</v>
      </c>
      <c r="E114">
        <v>6</v>
      </c>
      <c r="F114">
        <v>3</v>
      </c>
      <c r="G114">
        <v>30</v>
      </c>
    </row>
    <row r="115" spans="1:7" hidden="1" x14ac:dyDescent="0.35">
      <c r="A115" s="461" t="s">
        <v>258</v>
      </c>
      <c r="B115" s="461" t="s">
        <v>235</v>
      </c>
      <c r="C115" s="461" t="s">
        <v>46</v>
      </c>
      <c r="D115" s="461" t="s">
        <v>276</v>
      </c>
      <c r="E115">
        <v>2</v>
      </c>
      <c r="F115">
        <v>1</v>
      </c>
      <c r="G115">
        <v>8</v>
      </c>
    </row>
    <row r="116" spans="1:7" hidden="1" x14ac:dyDescent="0.35">
      <c r="A116" s="461" t="s">
        <v>258</v>
      </c>
      <c r="B116" s="461" t="s">
        <v>235</v>
      </c>
      <c r="C116" s="461" t="s">
        <v>47</v>
      </c>
      <c r="D116" s="461" t="s">
        <v>277</v>
      </c>
      <c r="E116">
        <v>26</v>
      </c>
      <c r="F116">
        <v>13</v>
      </c>
      <c r="G116">
        <v>86</v>
      </c>
    </row>
    <row r="117" spans="1:7" hidden="1" x14ac:dyDescent="0.35">
      <c r="A117" s="461" t="s">
        <v>258</v>
      </c>
      <c r="B117" s="461" t="s">
        <v>235</v>
      </c>
      <c r="C117" s="461" t="s">
        <v>48</v>
      </c>
      <c r="D117" s="461" t="s">
        <v>272</v>
      </c>
      <c r="E117">
        <v>33</v>
      </c>
      <c r="F117">
        <v>12</v>
      </c>
      <c r="G117">
        <v>92</v>
      </c>
    </row>
    <row r="118" spans="1:7" hidden="1" x14ac:dyDescent="0.35">
      <c r="A118" s="461" t="s">
        <v>258</v>
      </c>
      <c r="B118" s="461" t="s">
        <v>235</v>
      </c>
      <c r="C118" s="461" t="s">
        <v>49</v>
      </c>
      <c r="D118" s="461" t="s">
        <v>278</v>
      </c>
      <c r="E118">
        <v>12</v>
      </c>
      <c r="F118">
        <v>10</v>
      </c>
      <c r="G118">
        <v>84</v>
      </c>
    </row>
    <row r="119" spans="1:7" hidden="1" x14ac:dyDescent="0.35">
      <c r="A119" s="461" t="s">
        <v>258</v>
      </c>
      <c r="B119" s="461" t="s">
        <v>235</v>
      </c>
      <c r="C119" s="461" t="s">
        <v>50</v>
      </c>
      <c r="D119" s="461" t="s">
        <v>295</v>
      </c>
      <c r="E119">
        <v>6</v>
      </c>
      <c r="F119">
        <v>3</v>
      </c>
      <c r="G119">
        <v>26</v>
      </c>
    </row>
    <row r="120" spans="1:7" hidden="1" x14ac:dyDescent="0.35">
      <c r="A120" s="461" t="s">
        <v>258</v>
      </c>
      <c r="B120" s="461" t="s">
        <v>235</v>
      </c>
      <c r="C120" s="461" t="s">
        <v>51</v>
      </c>
      <c r="D120" s="461" t="s">
        <v>279</v>
      </c>
      <c r="E120">
        <v>21</v>
      </c>
      <c r="F120">
        <v>11</v>
      </c>
      <c r="G120">
        <v>63</v>
      </c>
    </row>
    <row r="121" spans="1:7" hidden="1" x14ac:dyDescent="0.35">
      <c r="A121" s="461" t="s">
        <v>258</v>
      </c>
      <c r="B121" s="461" t="s">
        <v>235</v>
      </c>
      <c r="C121" s="461" t="s">
        <v>52</v>
      </c>
      <c r="D121" s="461" t="s">
        <v>280</v>
      </c>
      <c r="E121">
        <v>23</v>
      </c>
      <c r="F121">
        <v>9</v>
      </c>
      <c r="G121">
        <v>90</v>
      </c>
    </row>
    <row r="122" spans="1:7" hidden="1" x14ac:dyDescent="0.35">
      <c r="A122" s="461" t="s">
        <v>258</v>
      </c>
      <c r="B122" s="461" t="s">
        <v>235</v>
      </c>
      <c r="C122" s="461" t="s">
        <v>53</v>
      </c>
      <c r="D122" s="461" t="s">
        <v>290</v>
      </c>
      <c r="E122">
        <v>2</v>
      </c>
      <c r="F122">
        <v>1</v>
      </c>
      <c r="G122">
        <v>10</v>
      </c>
    </row>
    <row r="123" spans="1:7" hidden="1" x14ac:dyDescent="0.35">
      <c r="A123" s="461" t="s">
        <v>258</v>
      </c>
      <c r="B123" s="461" t="s">
        <v>235</v>
      </c>
      <c r="C123" s="461" t="s">
        <v>54</v>
      </c>
      <c r="D123" s="461" t="s">
        <v>281</v>
      </c>
      <c r="E123">
        <v>27</v>
      </c>
      <c r="F123">
        <v>13</v>
      </c>
      <c r="G123">
        <v>103</v>
      </c>
    </row>
    <row r="124" spans="1:7" hidden="1" x14ac:dyDescent="0.35">
      <c r="A124" s="461" t="s">
        <v>258</v>
      </c>
      <c r="B124" s="461" t="s">
        <v>235</v>
      </c>
      <c r="C124" s="461" t="s">
        <v>55</v>
      </c>
      <c r="D124" s="461" t="s">
        <v>282</v>
      </c>
      <c r="E124">
        <v>27</v>
      </c>
      <c r="F124">
        <v>12</v>
      </c>
      <c r="G124">
        <v>83</v>
      </c>
    </row>
    <row r="125" spans="1:7" hidden="1" x14ac:dyDescent="0.35">
      <c r="A125" s="461" t="s">
        <v>258</v>
      </c>
      <c r="B125" s="461" t="s">
        <v>235</v>
      </c>
      <c r="C125" s="461" t="s">
        <v>56</v>
      </c>
      <c r="D125" s="461" t="s">
        <v>283</v>
      </c>
      <c r="E125">
        <v>8</v>
      </c>
      <c r="F125">
        <v>5</v>
      </c>
      <c r="G125">
        <v>35</v>
      </c>
    </row>
    <row r="126" spans="1:7" hidden="1" x14ac:dyDescent="0.35">
      <c r="A126" s="461" t="s">
        <v>258</v>
      </c>
      <c r="B126" s="461" t="s">
        <v>235</v>
      </c>
      <c r="C126" s="461" t="s">
        <v>57</v>
      </c>
      <c r="D126" s="461" t="s">
        <v>284</v>
      </c>
      <c r="E126">
        <v>9</v>
      </c>
      <c r="F126">
        <v>8</v>
      </c>
      <c r="G126">
        <v>57</v>
      </c>
    </row>
    <row r="127" spans="1:7" hidden="1" x14ac:dyDescent="0.35">
      <c r="A127" s="461" t="s">
        <v>258</v>
      </c>
      <c r="B127" s="461" t="s">
        <v>235</v>
      </c>
      <c r="C127" s="461" t="s">
        <v>58</v>
      </c>
      <c r="D127" s="461" t="s">
        <v>285</v>
      </c>
      <c r="E127">
        <v>17</v>
      </c>
      <c r="F127">
        <v>8</v>
      </c>
      <c r="G127">
        <v>48</v>
      </c>
    </row>
    <row r="128" spans="1:7" hidden="1" x14ac:dyDescent="0.35">
      <c r="A128" s="461" t="s">
        <v>258</v>
      </c>
      <c r="B128" s="461" t="s">
        <v>235</v>
      </c>
      <c r="C128" s="461" t="s">
        <v>59</v>
      </c>
      <c r="D128" s="461" t="s">
        <v>291</v>
      </c>
      <c r="E128">
        <v>2</v>
      </c>
      <c r="F128">
        <v>1</v>
      </c>
      <c r="G128">
        <v>14</v>
      </c>
    </row>
    <row r="129" spans="1:7" hidden="1" x14ac:dyDescent="0.35">
      <c r="A129" s="461" t="s">
        <v>258</v>
      </c>
      <c r="B129" s="461" t="s">
        <v>235</v>
      </c>
      <c r="C129" s="461" t="s">
        <v>60</v>
      </c>
      <c r="D129" s="461" t="s">
        <v>292</v>
      </c>
      <c r="E129">
        <v>12</v>
      </c>
      <c r="F129">
        <v>5</v>
      </c>
      <c r="G129">
        <v>47</v>
      </c>
    </row>
    <row r="130" spans="1:7" hidden="1" x14ac:dyDescent="0.35">
      <c r="A130" s="461" t="s">
        <v>242</v>
      </c>
      <c r="B130" s="461" t="s">
        <v>235</v>
      </c>
      <c r="C130" s="461" t="s">
        <v>31</v>
      </c>
      <c r="D130" s="461" t="s">
        <v>286</v>
      </c>
      <c r="E130">
        <v>1</v>
      </c>
      <c r="F130">
        <v>1</v>
      </c>
      <c r="G130">
        <v>6</v>
      </c>
    </row>
    <row r="131" spans="1:7" hidden="1" x14ac:dyDescent="0.35">
      <c r="A131" s="461" t="s">
        <v>242</v>
      </c>
      <c r="B131" s="461" t="s">
        <v>235</v>
      </c>
      <c r="C131" s="461" t="s">
        <v>32</v>
      </c>
      <c r="D131" s="461" t="s">
        <v>287</v>
      </c>
      <c r="E131">
        <v>69</v>
      </c>
      <c r="F131">
        <v>24</v>
      </c>
      <c r="G131">
        <v>182</v>
      </c>
    </row>
    <row r="132" spans="1:7" hidden="1" x14ac:dyDescent="0.35">
      <c r="A132" s="461" t="s">
        <v>242</v>
      </c>
      <c r="B132" s="461" t="s">
        <v>235</v>
      </c>
      <c r="C132" s="461" t="s">
        <v>33</v>
      </c>
      <c r="D132" s="461" t="s">
        <v>293</v>
      </c>
      <c r="E132">
        <v>16</v>
      </c>
      <c r="F132">
        <v>6</v>
      </c>
      <c r="G132">
        <v>71</v>
      </c>
    </row>
    <row r="133" spans="1:7" hidden="1" x14ac:dyDescent="0.35">
      <c r="A133" s="461" t="s">
        <v>242</v>
      </c>
      <c r="B133" s="461" t="s">
        <v>235</v>
      </c>
      <c r="C133" s="461" t="s">
        <v>34</v>
      </c>
      <c r="D133" s="461" t="s">
        <v>288</v>
      </c>
      <c r="E133">
        <v>26</v>
      </c>
      <c r="F133">
        <v>14</v>
      </c>
      <c r="G133">
        <v>137</v>
      </c>
    </row>
    <row r="134" spans="1:7" hidden="1" x14ac:dyDescent="0.35">
      <c r="A134" s="461" t="s">
        <v>242</v>
      </c>
      <c r="B134" s="461" t="s">
        <v>235</v>
      </c>
      <c r="C134" s="461" t="s">
        <v>245</v>
      </c>
      <c r="D134" s="461" t="s">
        <v>289</v>
      </c>
      <c r="E134">
        <v>1</v>
      </c>
      <c r="F134">
        <v>1</v>
      </c>
      <c r="G134">
        <v>9</v>
      </c>
    </row>
    <row r="135" spans="1:7" hidden="1" x14ac:dyDescent="0.35">
      <c r="A135" s="461" t="s">
        <v>242</v>
      </c>
      <c r="B135" s="461" t="s">
        <v>235</v>
      </c>
      <c r="C135" s="461" t="s">
        <v>35</v>
      </c>
      <c r="D135" s="461" t="s">
        <v>267</v>
      </c>
      <c r="E135">
        <v>3</v>
      </c>
      <c r="F135">
        <v>2</v>
      </c>
      <c r="G135">
        <v>17</v>
      </c>
    </row>
    <row r="136" spans="1:7" hidden="1" x14ac:dyDescent="0.35">
      <c r="A136" s="461" t="s">
        <v>242</v>
      </c>
      <c r="B136" s="461" t="s">
        <v>235</v>
      </c>
      <c r="C136" s="461" t="s">
        <v>17411</v>
      </c>
      <c r="D136" s="461" t="s">
        <v>268</v>
      </c>
      <c r="E136">
        <v>34</v>
      </c>
      <c r="F136">
        <v>16</v>
      </c>
      <c r="G136">
        <v>139</v>
      </c>
    </row>
    <row r="137" spans="1:7" hidden="1" x14ac:dyDescent="0.35">
      <c r="A137" s="461" t="s">
        <v>242</v>
      </c>
      <c r="B137" s="461" t="s">
        <v>235</v>
      </c>
      <c r="C137" s="461" t="s">
        <v>37</v>
      </c>
      <c r="D137" s="461" t="s">
        <v>294</v>
      </c>
      <c r="E137">
        <v>2</v>
      </c>
      <c r="F137">
        <v>1</v>
      </c>
      <c r="G137">
        <v>10</v>
      </c>
    </row>
    <row r="138" spans="1:7" hidden="1" x14ac:dyDescent="0.35">
      <c r="A138" s="461" t="s">
        <v>242</v>
      </c>
      <c r="B138" s="461" t="s">
        <v>235</v>
      </c>
      <c r="C138" s="461" t="s">
        <v>38</v>
      </c>
      <c r="D138" s="461" t="s">
        <v>269</v>
      </c>
      <c r="E138">
        <v>9</v>
      </c>
      <c r="F138">
        <v>7</v>
      </c>
      <c r="G138">
        <v>66</v>
      </c>
    </row>
    <row r="139" spans="1:7" hidden="1" x14ac:dyDescent="0.35">
      <c r="A139" s="461" t="s">
        <v>242</v>
      </c>
      <c r="B139" s="461" t="s">
        <v>235</v>
      </c>
      <c r="C139" s="461" t="s">
        <v>39</v>
      </c>
      <c r="D139" s="461"/>
    </row>
    <row r="140" spans="1:7" hidden="1" x14ac:dyDescent="0.35">
      <c r="A140" s="461" t="s">
        <v>242</v>
      </c>
      <c r="B140" s="461" t="s">
        <v>235</v>
      </c>
      <c r="C140" s="461" t="s">
        <v>40</v>
      </c>
      <c r="D140" s="461" t="s">
        <v>270</v>
      </c>
      <c r="E140">
        <v>10</v>
      </c>
      <c r="F140">
        <v>5</v>
      </c>
      <c r="G140">
        <v>41</v>
      </c>
    </row>
    <row r="141" spans="1:7" hidden="1" x14ac:dyDescent="0.35">
      <c r="A141" s="461" t="s">
        <v>242</v>
      </c>
      <c r="B141" s="461" t="s">
        <v>235</v>
      </c>
      <c r="C141" s="461" t="s">
        <v>41</v>
      </c>
      <c r="D141" s="461"/>
    </row>
    <row r="142" spans="1:7" hidden="1" x14ac:dyDescent="0.35">
      <c r="A142" s="461" t="s">
        <v>242</v>
      </c>
      <c r="B142" s="461" t="s">
        <v>235</v>
      </c>
      <c r="C142" s="461" t="s">
        <v>42</v>
      </c>
      <c r="D142" s="461" t="s">
        <v>273</v>
      </c>
      <c r="E142">
        <v>11</v>
      </c>
      <c r="F142">
        <v>5</v>
      </c>
      <c r="G142">
        <v>38</v>
      </c>
    </row>
    <row r="143" spans="1:7" hidden="1" x14ac:dyDescent="0.35">
      <c r="A143" s="461" t="s">
        <v>242</v>
      </c>
      <c r="B143" s="461" t="s">
        <v>235</v>
      </c>
      <c r="C143" s="461" t="s">
        <v>43</v>
      </c>
      <c r="D143" s="461" t="s">
        <v>298</v>
      </c>
      <c r="E143">
        <v>21</v>
      </c>
      <c r="F143">
        <v>9</v>
      </c>
      <c r="G143">
        <v>85</v>
      </c>
    </row>
    <row r="144" spans="1:7" hidden="1" x14ac:dyDescent="0.35">
      <c r="A144" s="461" t="s">
        <v>242</v>
      </c>
      <c r="B144" s="461" t="s">
        <v>235</v>
      </c>
      <c r="C144" s="461" t="s">
        <v>114</v>
      </c>
      <c r="D144" s="461"/>
    </row>
    <row r="145" spans="1:7" hidden="1" x14ac:dyDescent="0.35">
      <c r="A145" s="461" t="s">
        <v>242</v>
      </c>
      <c r="B145" s="461" t="s">
        <v>235</v>
      </c>
      <c r="C145" s="461" t="s">
        <v>44</v>
      </c>
      <c r="D145" s="461" t="s">
        <v>274</v>
      </c>
      <c r="E145">
        <v>106</v>
      </c>
      <c r="F145">
        <v>55</v>
      </c>
      <c r="G145">
        <v>377</v>
      </c>
    </row>
    <row r="146" spans="1:7" hidden="1" x14ac:dyDescent="0.35">
      <c r="A146" s="461" t="s">
        <v>242</v>
      </c>
      <c r="B146" s="461" t="s">
        <v>235</v>
      </c>
      <c r="C146" s="461" t="s">
        <v>45</v>
      </c>
      <c r="D146" s="461" t="s">
        <v>275</v>
      </c>
      <c r="E146">
        <v>6</v>
      </c>
      <c r="F146">
        <v>3</v>
      </c>
      <c r="G146">
        <v>33</v>
      </c>
    </row>
    <row r="147" spans="1:7" hidden="1" x14ac:dyDescent="0.35">
      <c r="A147" s="461" t="s">
        <v>242</v>
      </c>
      <c r="B147" s="461" t="s">
        <v>235</v>
      </c>
      <c r="C147" s="461" t="s">
        <v>46</v>
      </c>
      <c r="D147" s="461" t="s">
        <v>276</v>
      </c>
      <c r="E147">
        <v>2</v>
      </c>
      <c r="F147">
        <v>1</v>
      </c>
      <c r="G147">
        <v>9</v>
      </c>
    </row>
    <row r="148" spans="1:7" hidden="1" x14ac:dyDescent="0.35">
      <c r="A148" s="461" t="s">
        <v>242</v>
      </c>
      <c r="B148" s="461" t="s">
        <v>235</v>
      </c>
      <c r="C148" s="461" t="s">
        <v>47</v>
      </c>
      <c r="D148" s="461" t="s">
        <v>277</v>
      </c>
      <c r="E148">
        <v>27</v>
      </c>
      <c r="F148">
        <v>12</v>
      </c>
      <c r="G148">
        <v>81</v>
      </c>
    </row>
    <row r="149" spans="1:7" hidden="1" x14ac:dyDescent="0.35">
      <c r="A149" s="461" t="s">
        <v>242</v>
      </c>
      <c r="B149" s="461" t="s">
        <v>235</v>
      </c>
      <c r="C149" s="461" t="s">
        <v>48</v>
      </c>
      <c r="D149" s="461" t="s">
        <v>272</v>
      </c>
      <c r="E149">
        <v>25</v>
      </c>
      <c r="F149">
        <v>13</v>
      </c>
      <c r="G149">
        <v>93</v>
      </c>
    </row>
    <row r="150" spans="1:7" hidden="1" x14ac:dyDescent="0.35">
      <c r="A150" s="461" t="s">
        <v>242</v>
      </c>
      <c r="B150" s="461" t="s">
        <v>235</v>
      </c>
      <c r="C150" s="461" t="s">
        <v>49</v>
      </c>
      <c r="D150" s="461" t="s">
        <v>278</v>
      </c>
      <c r="E150">
        <v>10</v>
      </c>
      <c r="F150">
        <v>10</v>
      </c>
      <c r="G150">
        <v>86</v>
      </c>
    </row>
    <row r="151" spans="1:7" hidden="1" x14ac:dyDescent="0.35">
      <c r="A151" s="461" t="s">
        <v>242</v>
      </c>
      <c r="B151" s="461" t="s">
        <v>235</v>
      </c>
      <c r="C151" s="461" t="s">
        <v>50</v>
      </c>
      <c r="D151" s="461" t="s">
        <v>295</v>
      </c>
      <c r="E151">
        <v>6</v>
      </c>
      <c r="F151">
        <v>3</v>
      </c>
      <c r="G151">
        <v>28</v>
      </c>
    </row>
    <row r="152" spans="1:7" hidden="1" x14ac:dyDescent="0.35">
      <c r="A152" s="461" t="s">
        <v>242</v>
      </c>
      <c r="B152" s="461" t="s">
        <v>235</v>
      </c>
      <c r="C152" s="461" t="s">
        <v>51</v>
      </c>
      <c r="D152" s="461" t="s">
        <v>279</v>
      </c>
      <c r="E152">
        <v>22</v>
      </c>
      <c r="F152">
        <v>9</v>
      </c>
      <c r="G152">
        <v>69</v>
      </c>
    </row>
    <row r="153" spans="1:7" hidden="1" x14ac:dyDescent="0.35">
      <c r="A153" s="461" t="s">
        <v>242</v>
      </c>
      <c r="B153" s="461" t="s">
        <v>235</v>
      </c>
      <c r="C153" s="461" t="s">
        <v>52</v>
      </c>
      <c r="D153" s="461" t="s">
        <v>280</v>
      </c>
      <c r="E153">
        <v>23</v>
      </c>
      <c r="F153">
        <v>9</v>
      </c>
      <c r="G153">
        <v>94</v>
      </c>
    </row>
    <row r="154" spans="1:7" hidden="1" x14ac:dyDescent="0.35">
      <c r="A154" s="461" t="s">
        <v>242</v>
      </c>
      <c r="B154" s="461" t="s">
        <v>235</v>
      </c>
      <c r="C154" s="461" t="s">
        <v>53</v>
      </c>
      <c r="D154" s="461" t="s">
        <v>290</v>
      </c>
      <c r="E154">
        <v>2</v>
      </c>
      <c r="F154">
        <v>1</v>
      </c>
      <c r="G154">
        <v>13</v>
      </c>
    </row>
    <row r="155" spans="1:7" hidden="1" x14ac:dyDescent="0.35">
      <c r="A155" s="461" t="s">
        <v>242</v>
      </c>
      <c r="B155" s="461" t="s">
        <v>235</v>
      </c>
      <c r="C155" s="461" t="s">
        <v>54</v>
      </c>
      <c r="D155" s="461" t="s">
        <v>281</v>
      </c>
      <c r="E155">
        <v>27</v>
      </c>
      <c r="F155">
        <v>13</v>
      </c>
      <c r="G155">
        <v>103</v>
      </c>
    </row>
    <row r="156" spans="1:7" hidden="1" x14ac:dyDescent="0.35">
      <c r="A156" s="461" t="s">
        <v>242</v>
      </c>
      <c r="B156" s="461" t="s">
        <v>235</v>
      </c>
      <c r="C156" s="461" t="s">
        <v>55</v>
      </c>
      <c r="D156" s="461" t="s">
        <v>282</v>
      </c>
      <c r="E156">
        <v>24</v>
      </c>
      <c r="F156">
        <v>12</v>
      </c>
      <c r="G156">
        <v>82</v>
      </c>
    </row>
    <row r="157" spans="1:7" hidden="1" x14ac:dyDescent="0.35">
      <c r="A157" s="461" t="s">
        <v>242</v>
      </c>
      <c r="B157" s="461" t="s">
        <v>235</v>
      </c>
      <c r="C157" s="461" t="s">
        <v>56</v>
      </c>
      <c r="D157" s="461" t="s">
        <v>283</v>
      </c>
      <c r="E157">
        <v>6</v>
      </c>
      <c r="F157">
        <v>5</v>
      </c>
      <c r="G157">
        <v>38</v>
      </c>
    </row>
    <row r="158" spans="1:7" hidden="1" x14ac:dyDescent="0.35">
      <c r="A158" s="461" t="s">
        <v>242</v>
      </c>
      <c r="B158" s="461" t="s">
        <v>235</v>
      </c>
      <c r="C158" s="461" t="s">
        <v>57</v>
      </c>
      <c r="D158" s="461" t="s">
        <v>284</v>
      </c>
      <c r="E158">
        <v>8</v>
      </c>
      <c r="F158">
        <v>9</v>
      </c>
      <c r="G158">
        <v>56</v>
      </c>
    </row>
    <row r="159" spans="1:7" hidden="1" x14ac:dyDescent="0.35">
      <c r="A159" s="461" t="s">
        <v>242</v>
      </c>
      <c r="B159" s="461" t="s">
        <v>235</v>
      </c>
      <c r="C159" s="461" t="s">
        <v>58</v>
      </c>
      <c r="D159" s="461" t="s">
        <v>285</v>
      </c>
      <c r="E159">
        <v>15</v>
      </c>
      <c r="F159">
        <v>8</v>
      </c>
      <c r="G159">
        <v>51</v>
      </c>
    </row>
    <row r="160" spans="1:7" hidden="1" x14ac:dyDescent="0.35">
      <c r="A160" s="461" t="s">
        <v>242</v>
      </c>
      <c r="B160" s="461" t="s">
        <v>235</v>
      </c>
      <c r="C160" s="461" t="s">
        <v>59</v>
      </c>
      <c r="D160" s="461" t="s">
        <v>291</v>
      </c>
      <c r="E160">
        <v>2</v>
      </c>
      <c r="F160">
        <v>2</v>
      </c>
      <c r="G160">
        <v>14</v>
      </c>
    </row>
    <row r="161" spans="1:7" hidden="1" x14ac:dyDescent="0.35">
      <c r="A161" s="461" t="s">
        <v>242</v>
      </c>
      <c r="B161" s="461" t="s">
        <v>235</v>
      </c>
      <c r="C161" s="461" t="s">
        <v>60</v>
      </c>
      <c r="D161" s="461" t="s">
        <v>292</v>
      </c>
      <c r="E161">
        <v>11</v>
      </c>
      <c r="F161">
        <v>5</v>
      </c>
      <c r="G161">
        <v>49</v>
      </c>
    </row>
    <row r="162" spans="1:7" hidden="1" x14ac:dyDescent="0.35">
      <c r="A162" s="461" t="s">
        <v>241</v>
      </c>
      <c r="B162" s="461" t="s">
        <v>235</v>
      </c>
      <c r="C162" s="461" t="s">
        <v>31</v>
      </c>
      <c r="D162" s="461" t="s">
        <v>286</v>
      </c>
      <c r="E162">
        <v>1</v>
      </c>
      <c r="F162">
        <v>3</v>
      </c>
      <c r="G162">
        <v>5</v>
      </c>
    </row>
    <row r="163" spans="1:7" hidden="1" x14ac:dyDescent="0.35">
      <c r="A163" s="461" t="s">
        <v>241</v>
      </c>
      <c r="B163" s="461" t="s">
        <v>235</v>
      </c>
      <c r="C163" s="461" t="s">
        <v>32</v>
      </c>
      <c r="D163" s="461" t="s">
        <v>287</v>
      </c>
      <c r="E163">
        <v>24</v>
      </c>
      <c r="F163">
        <v>69</v>
      </c>
      <c r="G163">
        <v>191</v>
      </c>
    </row>
    <row r="164" spans="1:7" hidden="1" x14ac:dyDescent="0.35">
      <c r="A164" s="461" t="s">
        <v>241</v>
      </c>
      <c r="B164" s="461" t="s">
        <v>235</v>
      </c>
      <c r="C164" s="461" t="s">
        <v>33</v>
      </c>
      <c r="D164" s="461" t="s">
        <v>293</v>
      </c>
      <c r="E164">
        <v>6</v>
      </c>
      <c r="F164">
        <v>14</v>
      </c>
      <c r="G164">
        <v>78</v>
      </c>
    </row>
    <row r="165" spans="1:7" hidden="1" x14ac:dyDescent="0.35">
      <c r="A165" s="461" t="s">
        <v>241</v>
      </c>
      <c r="B165" s="461" t="s">
        <v>235</v>
      </c>
      <c r="C165" s="461" t="s">
        <v>34</v>
      </c>
      <c r="D165" s="461" t="s">
        <v>288</v>
      </c>
      <c r="E165">
        <v>14</v>
      </c>
      <c r="F165">
        <v>25</v>
      </c>
      <c r="G165">
        <v>137</v>
      </c>
    </row>
    <row r="166" spans="1:7" hidden="1" x14ac:dyDescent="0.35">
      <c r="A166" s="461" t="s">
        <v>241</v>
      </c>
      <c r="B166" s="461" t="s">
        <v>235</v>
      </c>
      <c r="C166" s="461" t="s">
        <v>245</v>
      </c>
      <c r="D166" s="461" t="s">
        <v>289</v>
      </c>
      <c r="E166">
        <v>0</v>
      </c>
      <c r="F166">
        <v>2</v>
      </c>
      <c r="G166">
        <v>7</v>
      </c>
    </row>
    <row r="167" spans="1:7" hidden="1" x14ac:dyDescent="0.35">
      <c r="A167" s="461" t="s">
        <v>241</v>
      </c>
      <c r="B167" s="461" t="s">
        <v>235</v>
      </c>
      <c r="C167" s="461" t="s">
        <v>35</v>
      </c>
      <c r="D167" s="461" t="s">
        <v>267</v>
      </c>
      <c r="E167">
        <v>2</v>
      </c>
      <c r="F167">
        <v>4</v>
      </c>
      <c r="G167">
        <v>14</v>
      </c>
    </row>
    <row r="168" spans="1:7" hidden="1" x14ac:dyDescent="0.35">
      <c r="A168" s="461" t="s">
        <v>241</v>
      </c>
      <c r="B168" s="461" t="s">
        <v>235</v>
      </c>
      <c r="C168" s="461" t="s">
        <v>17411</v>
      </c>
      <c r="D168" s="461" t="s">
        <v>268</v>
      </c>
      <c r="E168">
        <v>17</v>
      </c>
      <c r="F168">
        <v>34</v>
      </c>
      <c r="G168">
        <v>147</v>
      </c>
    </row>
    <row r="169" spans="1:7" hidden="1" x14ac:dyDescent="0.35">
      <c r="A169" s="461" t="s">
        <v>241</v>
      </c>
      <c r="B169" s="461" t="s">
        <v>235</v>
      </c>
      <c r="C169" s="461" t="s">
        <v>37</v>
      </c>
      <c r="D169" s="461" t="s">
        <v>294</v>
      </c>
      <c r="E169">
        <v>1</v>
      </c>
      <c r="F169">
        <v>2</v>
      </c>
      <c r="G169">
        <v>9</v>
      </c>
    </row>
    <row r="170" spans="1:7" hidden="1" x14ac:dyDescent="0.35">
      <c r="A170" s="461" t="s">
        <v>241</v>
      </c>
      <c r="B170" s="461" t="s">
        <v>235</v>
      </c>
      <c r="C170" s="461" t="s">
        <v>38</v>
      </c>
      <c r="D170" s="461" t="s">
        <v>269</v>
      </c>
      <c r="E170">
        <v>5</v>
      </c>
      <c r="F170">
        <v>10</v>
      </c>
      <c r="G170">
        <v>62</v>
      </c>
    </row>
    <row r="171" spans="1:7" hidden="1" x14ac:dyDescent="0.35">
      <c r="A171" s="461" t="s">
        <v>241</v>
      </c>
      <c r="B171" s="461" t="s">
        <v>235</v>
      </c>
      <c r="C171" s="461" t="s">
        <v>39</v>
      </c>
      <c r="D171" s="461"/>
    </row>
    <row r="172" spans="1:7" hidden="1" x14ac:dyDescent="0.35">
      <c r="A172" s="461" t="s">
        <v>241</v>
      </c>
      <c r="B172" s="461" t="s">
        <v>235</v>
      </c>
      <c r="C172" s="461" t="s">
        <v>40</v>
      </c>
      <c r="D172" s="461" t="s">
        <v>270</v>
      </c>
      <c r="E172">
        <v>5</v>
      </c>
      <c r="F172">
        <v>12</v>
      </c>
      <c r="G172">
        <v>45</v>
      </c>
    </row>
    <row r="173" spans="1:7" hidden="1" x14ac:dyDescent="0.35">
      <c r="A173" s="461" t="s">
        <v>241</v>
      </c>
      <c r="B173" s="461" t="s">
        <v>235</v>
      </c>
      <c r="C173" s="461" t="s">
        <v>41</v>
      </c>
      <c r="D173" s="461"/>
    </row>
    <row r="174" spans="1:7" hidden="1" x14ac:dyDescent="0.35">
      <c r="A174" s="461" t="s">
        <v>241</v>
      </c>
      <c r="B174" s="461" t="s">
        <v>235</v>
      </c>
      <c r="C174" s="461" t="s">
        <v>42</v>
      </c>
      <c r="D174" s="461" t="s">
        <v>273</v>
      </c>
      <c r="E174">
        <v>5</v>
      </c>
      <c r="F174">
        <v>10</v>
      </c>
      <c r="G174">
        <v>40</v>
      </c>
    </row>
    <row r="175" spans="1:7" hidden="1" x14ac:dyDescent="0.35">
      <c r="A175" s="461" t="s">
        <v>241</v>
      </c>
      <c r="B175" s="461" t="s">
        <v>235</v>
      </c>
      <c r="C175" s="461" t="s">
        <v>43</v>
      </c>
      <c r="D175" s="461" t="s">
        <v>298</v>
      </c>
      <c r="E175">
        <v>9</v>
      </c>
      <c r="F175">
        <v>21</v>
      </c>
      <c r="G175">
        <v>86</v>
      </c>
    </row>
    <row r="176" spans="1:7" hidden="1" x14ac:dyDescent="0.35">
      <c r="A176" s="461" t="s">
        <v>241</v>
      </c>
      <c r="B176" s="461" t="s">
        <v>235</v>
      </c>
      <c r="C176" s="461" t="s">
        <v>114</v>
      </c>
      <c r="D176" s="461"/>
    </row>
    <row r="177" spans="1:7" hidden="1" x14ac:dyDescent="0.35">
      <c r="A177" s="461" t="s">
        <v>241</v>
      </c>
      <c r="B177" s="461" t="s">
        <v>235</v>
      </c>
      <c r="C177" s="461" t="s">
        <v>44</v>
      </c>
      <c r="D177" s="461" t="s">
        <v>274</v>
      </c>
      <c r="E177">
        <v>56</v>
      </c>
      <c r="F177">
        <v>103</v>
      </c>
      <c r="G177">
        <v>393</v>
      </c>
    </row>
    <row r="178" spans="1:7" hidden="1" x14ac:dyDescent="0.35">
      <c r="A178" s="461" t="s">
        <v>241</v>
      </c>
      <c r="B178" s="461" t="s">
        <v>235</v>
      </c>
      <c r="C178" s="461" t="s">
        <v>45</v>
      </c>
      <c r="D178" s="461" t="s">
        <v>275</v>
      </c>
      <c r="E178">
        <v>3</v>
      </c>
      <c r="F178">
        <v>6</v>
      </c>
      <c r="G178">
        <v>35</v>
      </c>
    </row>
    <row r="179" spans="1:7" hidden="1" x14ac:dyDescent="0.35">
      <c r="A179" s="461" t="s">
        <v>241</v>
      </c>
      <c r="B179" s="461" t="s">
        <v>235</v>
      </c>
      <c r="C179" s="461" t="s">
        <v>46</v>
      </c>
      <c r="D179" s="461" t="s">
        <v>276</v>
      </c>
      <c r="E179">
        <v>1</v>
      </c>
      <c r="F179">
        <v>3</v>
      </c>
      <c r="G179">
        <v>9</v>
      </c>
    </row>
    <row r="180" spans="1:7" hidden="1" x14ac:dyDescent="0.35">
      <c r="A180" s="461" t="s">
        <v>241</v>
      </c>
      <c r="B180" s="461" t="s">
        <v>235</v>
      </c>
      <c r="C180" s="461" t="s">
        <v>47</v>
      </c>
      <c r="D180" s="461" t="s">
        <v>277</v>
      </c>
      <c r="E180">
        <v>11</v>
      </c>
      <c r="F180">
        <v>28</v>
      </c>
      <c r="G180">
        <v>81</v>
      </c>
    </row>
    <row r="181" spans="1:7" hidden="1" x14ac:dyDescent="0.35">
      <c r="A181" s="461" t="s">
        <v>241</v>
      </c>
      <c r="B181" s="461" t="s">
        <v>235</v>
      </c>
      <c r="C181" s="461" t="s">
        <v>48</v>
      </c>
      <c r="D181" s="461" t="s">
        <v>272</v>
      </c>
      <c r="E181">
        <v>13</v>
      </c>
      <c r="F181">
        <v>25</v>
      </c>
      <c r="G181">
        <v>94</v>
      </c>
    </row>
    <row r="182" spans="1:7" hidden="1" x14ac:dyDescent="0.35">
      <c r="A182" s="461" t="s">
        <v>241</v>
      </c>
      <c r="B182" s="461" t="s">
        <v>235</v>
      </c>
      <c r="C182" s="461" t="s">
        <v>49</v>
      </c>
      <c r="D182" s="461" t="s">
        <v>278</v>
      </c>
      <c r="E182">
        <v>11</v>
      </c>
      <c r="F182">
        <v>11</v>
      </c>
      <c r="G182">
        <v>85</v>
      </c>
    </row>
    <row r="183" spans="1:7" hidden="1" x14ac:dyDescent="0.35">
      <c r="A183" s="461" t="s">
        <v>241</v>
      </c>
      <c r="B183" s="461" t="s">
        <v>235</v>
      </c>
      <c r="C183" s="461" t="s">
        <v>50</v>
      </c>
      <c r="D183" s="461" t="s">
        <v>295</v>
      </c>
      <c r="E183">
        <v>3</v>
      </c>
      <c r="F183">
        <v>6</v>
      </c>
      <c r="G183">
        <v>26</v>
      </c>
    </row>
    <row r="184" spans="1:7" hidden="1" x14ac:dyDescent="0.35">
      <c r="A184" s="461" t="s">
        <v>241</v>
      </c>
      <c r="B184" s="461" t="s">
        <v>235</v>
      </c>
      <c r="C184" s="461" t="s">
        <v>51</v>
      </c>
      <c r="D184" s="461" t="s">
        <v>279</v>
      </c>
      <c r="E184">
        <v>9</v>
      </c>
      <c r="F184">
        <v>23</v>
      </c>
      <c r="G184">
        <v>77</v>
      </c>
    </row>
    <row r="185" spans="1:7" hidden="1" x14ac:dyDescent="0.35">
      <c r="A185" s="461" t="s">
        <v>241</v>
      </c>
      <c r="B185" s="461" t="s">
        <v>235</v>
      </c>
      <c r="C185" s="461" t="s">
        <v>52</v>
      </c>
      <c r="D185" s="461" t="s">
        <v>280</v>
      </c>
      <c r="E185">
        <v>10</v>
      </c>
      <c r="F185">
        <v>23</v>
      </c>
      <c r="G185">
        <v>98</v>
      </c>
    </row>
    <row r="186" spans="1:7" hidden="1" x14ac:dyDescent="0.35">
      <c r="A186" s="461" t="s">
        <v>241</v>
      </c>
      <c r="B186" s="461" t="s">
        <v>235</v>
      </c>
      <c r="C186" s="461" t="s">
        <v>53</v>
      </c>
      <c r="D186" s="461" t="s">
        <v>290</v>
      </c>
      <c r="E186">
        <v>1</v>
      </c>
      <c r="F186">
        <v>2</v>
      </c>
      <c r="G186">
        <v>14</v>
      </c>
    </row>
    <row r="187" spans="1:7" hidden="1" x14ac:dyDescent="0.35">
      <c r="A187" s="461" t="s">
        <v>241</v>
      </c>
      <c r="B187" s="461" t="s">
        <v>235</v>
      </c>
      <c r="C187" s="461" t="s">
        <v>54</v>
      </c>
      <c r="D187" s="461" t="s">
        <v>281</v>
      </c>
      <c r="E187">
        <v>13</v>
      </c>
      <c r="F187">
        <v>28</v>
      </c>
      <c r="G187">
        <v>102</v>
      </c>
    </row>
    <row r="188" spans="1:7" hidden="1" x14ac:dyDescent="0.35">
      <c r="A188" s="461" t="s">
        <v>241</v>
      </c>
      <c r="B188" s="461" t="s">
        <v>235</v>
      </c>
      <c r="C188" s="461" t="s">
        <v>55</v>
      </c>
      <c r="D188" s="461" t="s">
        <v>282</v>
      </c>
      <c r="E188">
        <v>13</v>
      </c>
      <c r="F188">
        <v>25</v>
      </c>
      <c r="G188">
        <v>89</v>
      </c>
    </row>
    <row r="189" spans="1:7" hidden="1" x14ac:dyDescent="0.35">
      <c r="A189" s="461" t="s">
        <v>241</v>
      </c>
      <c r="B189" s="461" t="s">
        <v>235</v>
      </c>
      <c r="C189" s="461" t="s">
        <v>56</v>
      </c>
      <c r="D189" s="461" t="s">
        <v>283</v>
      </c>
      <c r="E189">
        <v>5</v>
      </c>
      <c r="F189">
        <v>7</v>
      </c>
      <c r="G189">
        <v>46</v>
      </c>
    </row>
    <row r="190" spans="1:7" hidden="1" x14ac:dyDescent="0.35">
      <c r="A190" s="461" t="s">
        <v>241</v>
      </c>
      <c r="B190" s="461" t="s">
        <v>235</v>
      </c>
      <c r="C190" s="461" t="s">
        <v>57</v>
      </c>
      <c r="D190" s="461" t="s">
        <v>284</v>
      </c>
      <c r="E190">
        <v>8</v>
      </c>
      <c r="F190">
        <v>8</v>
      </c>
      <c r="G190">
        <v>61</v>
      </c>
    </row>
    <row r="191" spans="1:7" hidden="1" x14ac:dyDescent="0.35">
      <c r="A191" s="461" t="s">
        <v>241</v>
      </c>
      <c r="B191" s="461" t="s">
        <v>235</v>
      </c>
      <c r="C191" s="461" t="s">
        <v>58</v>
      </c>
      <c r="D191" s="461" t="s">
        <v>285</v>
      </c>
      <c r="E191">
        <v>8</v>
      </c>
      <c r="F191">
        <v>16</v>
      </c>
      <c r="G191">
        <v>51</v>
      </c>
    </row>
    <row r="192" spans="1:7" hidden="1" x14ac:dyDescent="0.35">
      <c r="A192" s="461" t="s">
        <v>241</v>
      </c>
      <c r="B192" s="461" t="s">
        <v>235</v>
      </c>
      <c r="C192" s="461" t="s">
        <v>59</v>
      </c>
      <c r="D192" s="461" t="s">
        <v>291</v>
      </c>
      <c r="E192">
        <v>2</v>
      </c>
      <c r="F192">
        <v>2</v>
      </c>
      <c r="G192">
        <v>16</v>
      </c>
    </row>
    <row r="193" spans="1:7" hidden="1" x14ac:dyDescent="0.35">
      <c r="A193" s="461" t="s">
        <v>241</v>
      </c>
      <c r="B193" s="461" t="s">
        <v>235</v>
      </c>
      <c r="C193" s="461" t="s">
        <v>60</v>
      </c>
      <c r="D193" s="461" t="s">
        <v>292</v>
      </c>
      <c r="E193">
        <v>5</v>
      </c>
      <c r="F193">
        <v>11</v>
      </c>
      <c r="G193">
        <v>43</v>
      </c>
    </row>
    <row r="194" spans="1:7" hidden="1" x14ac:dyDescent="0.35">
      <c r="A194" s="461" t="s">
        <v>773</v>
      </c>
      <c r="B194" s="461" t="s">
        <v>235</v>
      </c>
      <c r="C194" s="461" t="s">
        <v>31</v>
      </c>
      <c r="D194" s="461" t="s">
        <v>355</v>
      </c>
      <c r="E194">
        <v>1</v>
      </c>
      <c r="F194">
        <v>3</v>
      </c>
      <c r="G194">
        <v>4</v>
      </c>
    </row>
    <row r="195" spans="1:7" hidden="1" x14ac:dyDescent="0.35">
      <c r="A195" s="461" t="s">
        <v>773</v>
      </c>
      <c r="B195" s="461" t="s">
        <v>235</v>
      </c>
      <c r="C195" s="461" t="s">
        <v>32</v>
      </c>
      <c r="D195" s="461" t="s">
        <v>355</v>
      </c>
      <c r="E195">
        <v>25</v>
      </c>
      <c r="F195">
        <v>65</v>
      </c>
      <c r="G195">
        <v>195</v>
      </c>
    </row>
    <row r="196" spans="1:7" hidden="1" x14ac:dyDescent="0.35">
      <c r="A196" s="461" t="s">
        <v>773</v>
      </c>
      <c r="B196" s="461" t="s">
        <v>235</v>
      </c>
      <c r="C196" s="461" t="s">
        <v>33</v>
      </c>
      <c r="D196" s="461" t="s">
        <v>355</v>
      </c>
      <c r="E196">
        <v>6</v>
      </c>
      <c r="F196">
        <v>16</v>
      </c>
      <c r="G196">
        <v>81</v>
      </c>
    </row>
    <row r="197" spans="1:7" hidden="1" x14ac:dyDescent="0.35">
      <c r="A197" s="461" t="s">
        <v>773</v>
      </c>
      <c r="B197" s="461" t="s">
        <v>235</v>
      </c>
      <c r="C197" s="461" t="s">
        <v>34</v>
      </c>
      <c r="D197" s="461" t="s">
        <v>354</v>
      </c>
      <c r="E197">
        <v>13</v>
      </c>
      <c r="F197">
        <v>25</v>
      </c>
      <c r="G197">
        <v>136</v>
      </c>
    </row>
    <row r="198" spans="1:7" hidden="1" x14ac:dyDescent="0.35">
      <c r="A198" s="461" t="s">
        <v>773</v>
      </c>
      <c r="B198" s="461" t="s">
        <v>235</v>
      </c>
      <c r="C198" s="461" t="s">
        <v>245</v>
      </c>
      <c r="D198" s="461" t="s">
        <v>353</v>
      </c>
      <c r="E198">
        <v>1</v>
      </c>
      <c r="F198">
        <v>2</v>
      </c>
      <c r="G198">
        <v>5</v>
      </c>
    </row>
    <row r="199" spans="1:7" hidden="1" x14ac:dyDescent="0.35">
      <c r="A199" s="461" t="s">
        <v>773</v>
      </c>
      <c r="B199" s="461" t="s">
        <v>235</v>
      </c>
      <c r="C199" s="461" t="s">
        <v>35</v>
      </c>
      <c r="D199" s="461" t="s">
        <v>353</v>
      </c>
      <c r="E199">
        <v>3</v>
      </c>
      <c r="F199">
        <v>5</v>
      </c>
      <c r="G199">
        <v>17</v>
      </c>
    </row>
    <row r="200" spans="1:7" hidden="1" x14ac:dyDescent="0.35">
      <c r="A200" s="461" t="s">
        <v>773</v>
      </c>
      <c r="B200" s="461" t="s">
        <v>235</v>
      </c>
      <c r="C200" s="461" t="s">
        <v>17411</v>
      </c>
      <c r="D200" s="461" t="s">
        <v>354</v>
      </c>
      <c r="E200">
        <v>16</v>
      </c>
      <c r="F200">
        <v>34</v>
      </c>
      <c r="G200">
        <v>142</v>
      </c>
    </row>
    <row r="201" spans="1:7" hidden="1" x14ac:dyDescent="0.35">
      <c r="A201" s="461" t="s">
        <v>773</v>
      </c>
      <c r="B201" s="461" t="s">
        <v>235</v>
      </c>
      <c r="C201" s="461" t="s">
        <v>37</v>
      </c>
      <c r="D201" s="461" t="s">
        <v>355</v>
      </c>
      <c r="E201">
        <v>1</v>
      </c>
      <c r="F201">
        <v>2</v>
      </c>
      <c r="G201">
        <v>9</v>
      </c>
    </row>
    <row r="202" spans="1:7" hidden="1" x14ac:dyDescent="0.35">
      <c r="A202" s="461" t="s">
        <v>773</v>
      </c>
      <c r="B202" s="461" t="s">
        <v>235</v>
      </c>
      <c r="C202" s="461" t="s">
        <v>38</v>
      </c>
      <c r="D202" s="461" t="s">
        <v>354</v>
      </c>
      <c r="E202">
        <v>7</v>
      </c>
      <c r="F202">
        <v>8</v>
      </c>
      <c r="G202">
        <v>65</v>
      </c>
    </row>
    <row r="203" spans="1:7" hidden="1" x14ac:dyDescent="0.35">
      <c r="A203" s="461" t="s">
        <v>773</v>
      </c>
      <c r="B203" s="461" t="s">
        <v>235</v>
      </c>
      <c r="C203" s="461" t="s">
        <v>39</v>
      </c>
      <c r="D203" s="461"/>
    </row>
    <row r="204" spans="1:7" hidden="1" x14ac:dyDescent="0.35">
      <c r="A204" s="461" t="s">
        <v>773</v>
      </c>
      <c r="B204" s="461" t="s">
        <v>235</v>
      </c>
      <c r="C204" s="461" t="s">
        <v>40</v>
      </c>
      <c r="D204" s="461" t="s">
        <v>353</v>
      </c>
      <c r="E204">
        <v>5</v>
      </c>
      <c r="F204">
        <v>12</v>
      </c>
      <c r="G204">
        <v>48</v>
      </c>
    </row>
    <row r="205" spans="1:7" hidden="1" x14ac:dyDescent="0.35">
      <c r="A205" s="461" t="s">
        <v>773</v>
      </c>
      <c r="B205" s="461" t="s">
        <v>235</v>
      </c>
      <c r="C205" s="461" t="s">
        <v>41</v>
      </c>
      <c r="D205" s="461"/>
    </row>
    <row r="206" spans="1:7" hidden="1" x14ac:dyDescent="0.35">
      <c r="A206" s="461" t="s">
        <v>773</v>
      </c>
      <c r="B206" s="461" t="s">
        <v>235</v>
      </c>
      <c r="C206" s="461" t="s">
        <v>42</v>
      </c>
      <c r="D206" s="461" t="s">
        <v>353</v>
      </c>
      <c r="E206">
        <v>4</v>
      </c>
      <c r="F206">
        <v>10</v>
      </c>
      <c r="G206">
        <v>43</v>
      </c>
    </row>
    <row r="207" spans="1:7" hidden="1" x14ac:dyDescent="0.35">
      <c r="A207" s="461" t="s">
        <v>773</v>
      </c>
      <c r="B207" s="461" t="s">
        <v>235</v>
      </c>
      <c r="C207" s="461" t="s">
        <v>43</v>
      </c>
      <c r="D207" s="461" t="s">
        <v>353</v>
      </c>
      <c r="E207">
        <v>9</v>
      </c>
      <c r="F207">
        <v>21</v>
      </c>
      <c r="G207">
        <v>83</v>
      </c>
    </row>
    <row r="208" spans="1:7" hidden="1" x14ac:dyDescent="0.35">
      <c r="A208" s="461" t="s">
        <v>773</v>
      </c>
      <c r="B208" s="461" t="s">
        <v>235</v>
      </c>
      <c r="C208" s="461" t="s">
        <v>114</v>
      </c>
      <c r="D208" s="461"/>
    </row>
    <row r="209" spans="1:7" hidden="1" x14ac:dyDescent="0.35">
      <c r="A209" s="461" t="s">
        <v>773</v>
      </c>
      <c r="B209" s="461" t="s">
        <v>235</v>
      </c>
      <c r="C209" s="461" t="s">
        <v>44</v>
      </c>
      <c r="D209" s="461" t="s">
        <v>355</v>
      </c>
      <c r="E209">
        <v>53</v>
      </c>
      <c r="F209">
        <v>94</v>
      </c>
      <c r="G209">
        <v>378</v>
      </c>
    </row>
    <row r="210" spans="1:7" hidden="1" x14ac:dyDescent="0.35">
      <c r="A210" s="461" t="s">
        <v>773</v>
      </c>
      <c r="B210" s="461" t="s">
        <v>235</v>
      </c>
      <c r="C210" s="461" t="s">
        <v>45</v>
      </c>
      <c r="D210" s="461" t="s">
        <v>354</v>
      </c>
      <c r="E210">
        <v>3</v>
      </c>
      <c r="F210">
        <v>6</v>
      </c>
      <c r="G210">
        <v>33</v>
      </c>
    </row>
    <row r="211" spans="1:7" hidden="1" x14ac:dyDescent="0.35">
      <c r="A211" s="461" t="s">
        <v>773</v>
      </c>
      <c r="B211" s="461" t="s">
        <v>235</v>
      </c>
      <c r="C211" s="461" t="s">
        <v>46</v>
      </c>
      <c r="D211" s="461" t="s">
        <v>353</v>
      </c>
      <c r="E211">
        <v>1</v>
      </c>
      <c r="F211">
        <v>2</v>
      </c>
      <c r="G211">
        <v>10</v>
      </c>
    </row>
    <row r="212" spans="1:7" hidden="1" x14ac:dyDescent="0.35">
      <c r="A212" s="461" t="s">
        <v>773</v>
      </c>
      <c r="B212" s="461" t="s">
        <v>235</v>
      </c>
      <c r="C212" s="461" t="s">
        <v>47</v>
      </c>
      <c r="D212" s="461" t="s">
        <v>355</v>
      </c>
      <c r="E212">
        <v>11</v>
      </c>
      <c r="F212">
        <v>27</v>
      </c>
      <c r="G212">
        <v>83</v>
      </c>
    </row>
    <row r="213" spans="1:7" hidden="1" x14ac:dyDescent="0.35">
      <c r="A213" s="461" t="s">
        <v>773</v>
      </c>
      <c r="B213" s="461" t="s">
        <v>235</v>
      </c>
      <c r="C213" s="461" t="s">
        <v>48</v>
      </c>
      <c r="D213" s="461" t="s">
        <v>355</v>
      </c>
      <c r="E213">
        <v>14</v>
      </c>
      <c r="F213">
        <v>30</v>
      </c>
      <c r="G213">
        <v>91</v>
      </c>
    </row>
    <row r="214" spans="1:7" hidden="1" x14ac:dyDescent="0.35">
      <c r="A214" s="461" t="s">
        <v>773</v>
      </c>
      <c r="B214" s="461" t="s">
        <v>235</v>
      </c>
      <c r="C214" s="461" t="s">
        <v>49</v>
      </c>
      <c r="D214" s="461" t="s">
        <v>354</v>
      </c>
      <c r="E214">
        <v>11</v>
      </c>
      <c r="F214">
        <v>11</v>
      </c>
      <c r="G214">
        <v>82</v>
      </c>
    </row>
    <row r="215" spans="1:7" hidden="1" x14ac:dyDescent="0.35">
      <c r="A215" s="461" t="s">
        <v>773</v>
      </c>
      <c r="B215" s="461" t="s">
        <v>235</v>
      </c>
      <c r="C215" s="461" t="s">
        <v>50</v>
      </c>
      <c r="D215" s="461" t="s">
        <v>354</v>
      </c>
      <c r="E215">
        <v>3</v>
      </c>
      <c r="F215">
        <v>5</v>
      </c>
      <c r="G215">
        <v>29</v>
      </c>
    </row>
    <row r="216" spans="1:7" hidden="1" x14ac:dyDescent="0.35">
      <c r="A216" s="461" t="s">
        <v>773</v>
      </c>
      <c r="B216" s="461" t="s">
        <v>235</v>
      </c>
      <c r="C216" s="461" t="s">
        <v>51</v>
      </c>
      <c r="D216" s="461" t="s">
        <v>355</v>
      </c>
      <c r="E216">
        <v>9</v>
      </c>
      <c r="F216">
        <v>22</v>
      </c>
      <c r="G216">
        <v>78</v>
      </c>
    </row>
    <row r="217" spans="1:7" hidden="1" x14ac:dyDescent="0.35">
      <c r="A217" s="461" t="s">
        <v>773</v>
      </c>
      <c r="B217" s="461" t="s">
        <v>235</v>
      </c>
      <c r="C217" s="461" t="s">
        <v>52</v>
      </c>
      <c r="D217" s="461" t="s">
        <v>355</v>
      </c>
      <c r="E217">
        <v>10</v>
      </c>
      <c r="F217">
        <v>22</v>
      </c>
      <c r="G217">
        <v>99</v>
      </c>
    </row>
    <row r="218" spans="1:7" hidden="1" x14ac:dyDescent="0.35">
      <c r="A218" s="461" t="s">
        <v>773</v>
      </c>
      <c r="B218" s="461" t="s">
        <v>235</v>
      </c>
      <c r="C218" s="461" t="s">
        <v>53</v>
      </c>
      <c r="D218" s="461" t="s">
        <v>354</v>
      </c>
      <c r="E218">
        <v>1</v>
      </c>
      <c r="F218">
        <v>2</v>
      </c>
      <c r="G218">
        <v>12</v>
      </c>
    </row>
    <row r="219" spans="1:7" hidden="1" x14ac:dyDescent="0.35">
      <c r="A219" s="461" t="s">
        <v>773</v>
      </c>
      <c r="B219" s="461" t="s">
        <v>235</v>
      </c>
      <c r="C219" s="461" t="s">
        <v>54</v>
      </c>
      <c r="D219" s="461" t="s">
        <v>353</v>
      </c>
      <c r="E219">
        <v>13</v>
      </c>
      <c r="F219">
        <v>28</v>
      </c>
      <c r="G219">
        <v>107</v>
      </c>
    </row>
    <row r="220" spans="1:7" hidden="1" x14ac:dyDescent="0.35">
      <c r="A220" s="461" t="s">
        <v>773</v>
      </c>
      <c r="B220" s="461" t="s">
        <v>235</v>
      </c>
      <c r="C220" s="461" t="s">
        <v>55</v>
      </c>
      <c r="D220" s="461" t="s">
        <v>355</v>
      </c>
      <c r="E220">
        <v>12</v>
      </c>
      <c r="F220">
        <v>24</v>
      </c>
      <c r="G220">
        <v>98</v>
      </c>
    </row>
    <row r="221" spans="1:7" hidden="1" x14ac:dyDescent="0.35">
      <c r="A221" s="461" t="s">
        <v>773</v>
      </c>
      <c r="B221" s="461" t="s">
        <v>235</v>
      </c>
      <c r="C221" s="461" t="s">
        <v>56</v>
      </c>
      <c r="D221" s="461" t="s">
        <v>354</v>
      </c>
      <c r="E221">
        <v>5</v>
      </c>
      <c r="F221">
        <v>8</v>
      </c>
      <c r="G221">
        <v>42</v>
      </c>
    </row>
    <row r="222" spans="1:7" hidden="1" x14ac:dyDescent="0.35">
      <c r="A222" s="461" t="s">
        <v>773</v>
      </c>
      <c r="B222" s="461" t="s">
        <v>235</v>
      </c>
      <c r="C222" s="461" t="s">
        <v>57</v>
      </c>
      <c r="D222" s="461" t="s">
        <v>354</v>
      </c>
      <c r="E222">
        <v>8</v>
      </c>
      <c r="F222">
        <v>8</v>
      </c>
      <c r="G222">
        <v>70</v>
      </c>
    </row>
    <row r="223" spans="1:7" hidden="1" x14ac:dyDescent="0.35">
      <c r="A223" s="461" t="s">
        <v>773</v>
      </c>
      <c r="B223" s="461" t="s">
        <v>235</v>
      </c>
      <c r="C223" s="461" t="s">
        <v>58</v>
      </c>
      <c r="D223" s="461" t="s">
        <v>353</v>
      </c>
      <c r="E223">
        <v>9</v>
      </c>
      <c r="F223">
        <v>15</v>
      </c>
      <c r="G223">
        <v>51</v>
      </c>
    </row>
    <row r="224" spans="1:7" hidden="1" x14ac:dyDescent="0.35">
      <c r="A224" s="461" t="s">
        <v>773</v>
      </c>
      <c r="B224" s="461" t="s">
        <v>235</v>
      </c>
      <c r="C224" s="461" t="s">
        <v>59</v>
      </c>
      <c r="D224" s="461" t="s">
        <v>354</v>
      </c>
      <c r="E224">
        <v>2</v>
      </c>
      <c r="F224">
        <v>2</v>
      </c>
      <c r="G224">
        <v>16</v>
      </c>
    </row>
    <row r="225" spans="1:7" hidden="1" x14ac:dyDescent="0.35">
      <c r="A225" s="461" t="s">
        <v>773</v>
      </c>
      <c r="B225" s="461" t="s">
        <v>235</v>
      </c>
      <c r="C225" s="461" t="s">
        <v>60</v>
      </c>
      <c r="D225" s="461" t="s">
        <v>353</v>
      </c>
      <c r="E225">
        <v>6</v>
      </c>
      <c r="F225">
        <v>11</v>
      </c>
      <c r="G225">
        <v>48</v>
      </c>
    </row>
    <row r="226" spans="1:7" x14ac:dyDescent="0.35">
      <c r="A226" s="461" t="s">
        <v>951</v>
      </c>
      <c r="B226" s="461" t="s">
        <v>235</v>
      </c>
      <c r="C226" s="461" t="s">
        <v>31</v>
      </c>
      <c r="D226" s="461" t="s">
        <v>355</v>
      </c>
      <c r="E226">
        <v>1</v>
      </c>
      <c r="F226">
        <v>3</v>
      </c>
      <c r="G226">
        <v>6</v>
      </c>
    </row>
    <row r="227" spans="1:7" x14ac:dyDescent="0.35">
      <c r="A227" s="461" t="s">
        <v>951</v>
      </c>
      <c r="B227" s="461" t="s">
        <v>235</v>
      </c>
      <c r="C227" s="461" t="s">
        <v>32</v>
      </c>
      <c r="D227" s="461" t="s">
        <v>355</v>
      </c>
      <c r="E227">
        <v>26</v>
      </c>
      <c r="F227">
        <v>68</v>
      </c>
      <c r="G227">
        <v>192</v>
      </c>
    </row>
    <row r="228" spans="1:7" x14ac:dyDescent="0.35">
      <c r="A228" s="461" t="s">
        <v>951</v>
      </c>
      <c r="B228" s="461" t="s">
        <v>235</v>
      </c>
      <c r="C228" s="461" t="s">
        <v>33</v>
      </c>
      <c r="D228" s="461" t="s">
        <v>355</v>
      </c>
      <c r="E228">
        <v>7</v>
      </c>
      <c r="F228">
        <v>17</v>
      </c>
      <c r="G228">
        <v>80</v>
      </c>
    </row>
    <row r="229" spans="1:7" x14ac:dyDescent="0.35">
      <c r="A229" s="461" t="s">
        <v>951</v>
      </c>
      <c r="B229" s="461" t="s">
        <v>235</v>
      </c>
      <c r="C229" s="461" t="s">
        <v>34</v>
      </c>
      <c r="D229" s="461" t="s">
        <v>354</v>
      </c>
      <c r="E229">
        <v>14</v>
      </c>
      <c r="F229">
        <v>26</v>
      </c>
      <c r="G229">
        <v>128</v>
      </c>
    </row>
    <row r="230" spans="1:7" x14ac:dyDescent="0.35">
      <c r="A230" s="461" t="s">
        <v>951</v>
      </c>
      <c r="B230" s="461" t="s">
        <v>235</v>
      </c>
      <c r="C230" s="461" t="s">
        <v>245</v>
      </c>
      <c r="D230" s="461" t="s">
        <v>353</v>
      </c>
      <c r="E230">
        <v>1</v>
      </c>
      <c r="F230">
        <v>1</v>
      </c>
      <c r="G230">
        <v>6</v>
      </c>
    </row>
    <row r="231" spans="1:7" x14ac:dyDescent="0.35">
      <c r="A231" s="461" t="s">
        <v>951</v>
      </c>
      <c r="B231" s="461" t="s">
        <v>235</v>
      </c>
      <c r="C231" s="461" t="s">
        <v>35</v>
      </c>
      <c r="D231" s="461" t="s">
        <v>353</v>
      </c>
      <c r="E231">
        <v>2</v>
      </c>
      <c r="F231">
        <v>4</v>
      </c>
      <c r="G231">
        <v>21</v>
      </c>
    </row>
    <row r="232" spans="1:7" x14ac:dyDescent="0.35">
      <c r="A232" s="461" t="s">
        <v>951</v>
      </c>
      <c r="B232" s="461" t="s">
        <v>235</v>
      </c>
      <c r="C232" s="461" t="s">
        <v>17411</v>
      </c>
      <c r="D232" s="461" t="s">
        <v>354</v>
      </c>
      <c r="E232">
        <v>16</v>
      </c>
      <c r="F232">
        <v>35</v>
      </c>
      <c r="G232">
        <v>135</v>
      </c>
    </row>
    <row r="233" spans="1:7" x14ac:dyDescent="0.35">
      <c r="A233" s="461" t="s">
        <v>951</v>
      </c>
      <c r="B233" s="461" t="s">
        <v>235</v>
      </c>
      <c r="C233" s="461" t="s">
        <v>37</v>
      </c>
      <c r="D233" s="461" t="s">
        <v>355</v>
      </c>
      <c r="E233">
        <v>1</v>
      </c>
      <c r="F233">
        <v>2</v>
      </c>
      <c r="G233">
        <v>8</v>
      </c>
    </row>
    <row r="234" spans="1:7" x14ac:dyDescent="0.35">
      <c r="A234" s="461" t="s">
        <v>951</v>
      </c>
      <c r="B234" s="461" t="s">
        <v>235</v>
      </c>
      <c r="C234" s="461" t="s">
        <v>38</v>
      </c>
      <c r="D234" s="461" t="s">
        <v>354</v>
      </c>
      <c r="E234">
        <v>7</v>
      </c>
      <c r="F234">
        <v>8</v>
      </c>
      <c r="G234">
        <v>63</v>
      </c>
    </row>
    <row r="235" spans="1:7" x14ac:dyDescent="0.35">
      <c r="A235" s="461" t="s">
        <v>951</v>
      </c>
      <c r="B235" s="461" t="s">
        <v>235</v>
      </c>
      <c r="C235" s="461" t="s">
        <v>39</v>
      </c>
      <c r="D235" s="461"/>
    </row>
    <row r="236" spans="1:7" x14ac:dyDescent="0.35">
      <c r="A236" s="461" t="s">
        <v>951</v>
      </c>
      <c r="B236" s="461" t="s">
        <v>235</v>
      </c>
      <c r="C236" s="461" t="s">
        <v>40</v>
      </c>
      <c r="D236" s="461" t="s">
        <v>353</v>
      </c>
      <c r="E236">
        <v>5</v>
      </c>
      <c r="F236">
        <v>12</v>
      </c>
      <c r="G236">
        <v>47</v>
      </c>
    </row>
    <row r="237" spans="1:7" x14ac:dyDescent="0.35">
      <c r="A237" s="461" t="s">
        <v>951</v>
      </c>
      <c r="B237" s="461" t="s">
        <v>235</v>
      </c>
      <c r="C237" s="461" t="s">
        <v>41</v>
      </c>
      <c r="D237" s="461"/>
    </row>
    <row r="238" spans="1:7" x14ac:dyDescent="0.35">
      <c r="A238" s="461" t="s">
        <v>951</v>
      </c>
      <c r="B238" s="461" t="s">
        <v>235</v>
      </c>
      <c r="C238" s="461" t="s">
        <v>42</v>
      </c>
      <c r="D238" s="461" t="s">
        <v>353</v>
      </c>
      <c r="E238">
        <v>5</v>
      </c>
      <c r="F238">
        <v>9</v>
      </c>
      <c r="G238">
        <v>42</v>
      </c>
    </row>
    <row r="239" spans="1:7" x14ac:dyDescent="0.35">
      <c r="A239" s="461" t="s">
        <v>951</v>
      </c>
      <c r="B239" s="461" t="s">
        <v>235</v>
      </c>
      <c r="C239" s="461" t="s">
        <v>43</v>
      </c>
      <c r="D239" s="461" t="s">
        <v>353</v>
      </c>
      <c r="E239">
        <v>8</v>
      </c>
      <c r="F239">
        <v>23</v>
      </c>
      <c r="G239">
        <v>78</v>
      </c>
    </row>
    <row r="240" spans="1:7" x14ac:dyDescent="0.35">
      <c r="A240" s="461" t="s">
        <v>951</v>
      </c>
      <c r="B240" s="461" t="s">
        <v>235</v>
      </c>
      <c r="C240" s="461" t="s">
        <v>114</v>
      </c>
      <c r="D240" s="461"/>
    </row>
    <row r="241" spans="1:7" x14ac:dyDescent="0.35">
      <c r="A241" s="461" t="s">
        <v>951</v>
      </c>
      <c r="B241" s="461" t="s">
        <v>235</v>
      </c>
      <c r="C241" s="461" t="s">
        <v>44</v>
      </c>
      <c r="D241" s="461" t="s">
        <v>355</v>
      </c>
      <c r="E241">
        <v>52</v>
      </c>
      <c r="F241">
        <v>97</v>
      </c>
      <c r="G241">
        <v>351</v>
      </c>
    </row>
    <row r="242" spans="1:7" x14ac:dyDescent="0.35">
      <c r="A242" s="461" t="s">
        <v>951</v>
      </c>
      <c r="B242" s="461" t="s">
        <v>235</v>
      </c>
      <c r="C242" s="461" t="s">
        <v>45</v>
      </c>
      <c r="D242" s="461" t="s">
        <v>354</v>
      </c>
      <c r="E242">
        <v>3</v>
      </c>
      <c r="F242">
        <v>6</v>
      </c>
      <c r="G242">
        <v>35</v>
      </c>
    </row>
    <row r="243" spans="1:7" x14ac:dyDescent="0.35">
      <c r="A243" s="461" t="s">
        <v>951</v>
      </c>
      <c r="B243" s="461" t="s">
        <v>235</v>
      </c>
      <c r="C243" s="461" t="s">
        <v>46</v>
      </c>
      <c r="D243" s="461" t="s">
        <v>353</v>
      </c>
      <c r="E243">
        <v>1</v>
      </c>
      <c r="F243">
        <v>2</v>
      </c>
      <c r="G243">
        <v>8</v>
      </c>
    </row>
    <row r="244" spans="1:7" x14ac:dyDescent="0.35">
      <c r="A244" s="461" t="s">
        <v>951</v>
      </c>
      <c r="B244" s="461" t="s">
        <v>235</v>
      </c>
      <c r="C244" s="461" t="s">
        <v>47</v>
      </c>
      <c r="D244" s="461" t="s">
        <v>355</v>
      </c>
      <c r="E244">
        <v>11</v>
      </c>
      <c r="F244">
        <v>27</v>
      </c>
      <c r="G244">
        <v>76</v>
      </c>
    </row>
    <row r="245" spans="1:7" x14ac:dyDescent="0.35">
      <c r="A245" s="461" t="s">
        <v>951</v>
      </c>
      <c r="B245" s="461" t="s">
        <v>235</v>
      </c>
      <c r="C245" s="461" t="s">
        <v>48</v>
      </c>
      <c r="D245" s="461" t="s">
        <v>355</v>
      </c>
      <c r="E245">
        <v>15</v>
      </c>
      <c r="F245">
        <v>27</v>
      </c>
      <c r="G245">
        <v>89</v>
      </c>
    </row>
    <row r="246" spans="1:7" x14ac:dyDescent="0.35">
      <c r="A246" s="461" t="s">
        <v>951</v>
      </c>
      <c r="B246" s="461" t="s">
        <v>235</v>
      </c>
      <c r="C246" s="461" t="s">
        <v>49</v>
      </c>
      <c r="D246" s="461" t="s">
        <v>354</v>
      </c>
      <c r="E246">
        <v>11</v>
      </c>
      <c r="F246">
        <v>11</v>
      </c>
      <c r="G246">
        <v>78</v>
      </c>
    </row>
    <row r="247" spans="1:7" x14ac:dyDescent="0.35">
      <c r="A247" s="461" t="s">
        <v>951</v>
      </c>
      <c r="B247" s="461" t="s">
        <v>235</v>
      </c>
      <c r="C247" s="461" t="s">
        <v>50</v>
      </c>
      <c r="D247" s="461" t="s">
        <v>354</v>
      </c>
      <c r="E247">
        <v>3</v>
      </c>
      <c r="F247">
        <v>6</v>
      </c>
      <c r="G247">
        <v>29</v>
      </c>
    </row>
    <row r="248" spans="1:7" x14ac:dyDescent="0.35">
      <c r="A248" s="461" t="s">
        <v>951</v>
      </c>
      <c r="B248" s="461" t="s">
        <v>235</v>
      </c>
      <c r="C248" s="461" t="s">
        <v>51</v>
      </c>
      <c r="D248" s="461" t="s">
        <v>355</v>
      </c>
      <c r="E248">
        <v>8</v>
      </c>
      <c r="F248">
        <v>21</v>
      </c>
      <c r="G248">
        <v>83</v>
      </c>
    </row>
    <row r="249" spans="1:7" x14ac:dyDescent="0.35">
      <c r="A249" s="461" t="s">
        <v>951</v>
      </c>
      <c r="B249" s="461" t="s">
        <v>235</v>
      </c>
      <c r="C249" s="461" t="s">
        <v>52</v>
      </c>
      <c r="D249" s="461" t="s">
        <v>355</v>
      </c>
      <c r="E249">
        <v>10</v>
      </c>
      <c r="F249">
        <v>21</v>
      </c>
      <c r="G249">
        <v>99</v>
      </c>
    </row>
    <row r="250" spans="1:7" x14ac:dyDescent="0.35">
      <c r="A250" s="461" t="s">
        <v>951</v>
      </c>
      <c r="B250" s="461" t="s">
        <v>235</v>
      </c>
      <c r="C250" s="461" t="s">
        <v>53</v>
      </c>
      <c r="D250" s="461" t="s">
        <v>354</v>
      </c>
      <c r="E250">
        <v>2</v>
      </c>
      <c r="F250">
        <v>1</v>
      </c>
      <c r="G250">
        <v>10</v>
      </c>
    </row>
    <row r="251" spans="1:7" x14ac:dyDescent="0.35">
      <c r="A251" s="461" t="s">
        <v>951</v>
      </c>
      <c r="B251" s="461" t="s">
        <v>235</v>
      </c>
      <c r="C251" s="461" t="s">
        <v>54</v>
      </c>
      <c r="D251" s="461" t="s">
        <v>353</v>
      </c>
      <c r="E251">
        <v>13</v>
      </c>
      <c r="F251">
        <v>30</v>
      </c>
      <c r="G251">
        <v>106</v>
      </c>
    </row>
    <row r="252" spans="1:7" x14ac:dyDescent="0.35">
      <c r="A252" s="461" t="s">
        <v>951</v>
      </c>
      <c r="B252" s="461" t="s">
        <v>235</v>
      </c>
      <c r="C252" s="461" t="s">
        <v>55</v>
      </c>
      <c r="D252" s="461" t="s">
        <v>355</v>
      </c>
      <c r="E252">
        <v>13</v>
      </c>
      <c r="F252">
        <v>25</v>
      </c>
      <c r="G252">
        <v>94</v>
      </c>
    </row>
    <row r="253" spans="1:7" x14ac:dyDescent="0.35">
      <c r="A253" s="461" t="s">
        <v>951</v>
      </c>
      <c r="B253" s="461" t="s">
        <v>235</v>
      </c>
      <c r="C253" s="461" t="s">
        <v>56</v>
      </c>
      <c r="D253" s="461" t="s">
        <v>354</v>
      </c>
      <c r="E253">
        <v>4</v>
      </c>
      <c r="F253">
        <v>7</v>
      </c>
      <c r="G253">
        <v>41</v>
      </c>
    </row>
    <row r="254" spans="1:7" x14ac:dyDescent="0.35">
      <c r="A254" s="461" t="s">
        <v>951</v>
      </c>
      <c r="B254" s="461" t="s">
        <v>235</v>
      </c>
      <c r="C254" s="461" t="s">
        <v>57</v>
      </c>
      <c r="D254" s="461" t="s">
        <v>354</v>
      </c>
      <c r="E254">
        <v>10</v>
      </c>
      <c r="F254">
        <v>7</v>
      </c>
      <c r="G254">
        <v>67</v>
      </c>
    </row>
    <row r="255" spans="1:7" x14ac:dyDescent="0.35">
      <c r="A255" s="461" t="s">
        <v>951</v>
      </c>
      <c r="B255" s="461" t="s">
        <v>235</v>
      </c>
      <c r="C255" s="461" t="s">
        <v>58</v>
      </c>
      <c r="D255" s="461" t="s">
        <v>353</v>
      </c>
      <c r="E255">
        <v>9</v>
      </c>
      <c r="F255">
        <v>15</v>
      </c>
      <c r="G255">
        <v>51</v>
      </c>
    </row>
    <row r="256" spans="1:7" x14ac:dyDescent="0.35">
      <c r="A256" s="461" t="s">
        <v>951</v>
      </c>
      <c r="B256" s="461" t="s">
        <v>235</v>
      </c>
      <c r="C256" s="461" t="s">
        <v>59</v>
      </c>
      <c r="D256" s="461" t="s">
        <v>354</v>
      </c>
      <c r="E256">
        <v>2</v>
      </c>
      <c r="F256">
        <v>2</v>
      </c>
      <c r="G256">
        <v>18</v>
      </c>
    </row>
    <row r="257" spans="1:7" x14ac:dyDescent="0.35">
      <c r="A257" s="461" t="s">
        <v>951</v>
      </c>
      <c r="B257" s="461" t="s">
        <v>235</v>
      </c>
      <c r="C257" s="461" t="s">
        <v>60</v>
      </c>
      <c r="D257" s="461" t="s">
        <v>353</v>
      </c>
      <c r="E257">
        <v>7</v>
      </c>
      <c r="F257">
        <v>9</v>
      </c>
      <c r="G257">
        <v>42</v>
      </c>
    </row>
  </sheetData>
  <pageMargins left="0.7" right="0.7" top="0.75" bottom="0.75" header="0.3" footer="0.3"/>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A1:I53"/>
  <sheetViews>
    <sheetView showGridLines="0" zoomScaleNormal="100" workbookViewId="0">
      <pane ySplit="2" topLeftCell="A3" activePane="bottomLeft" state="frozen"/>
      <selection pane="bottomLeft" sqref="A1:G1"/>
    </sheetView>
  </sheetViews>
  <sheetFormatPr defaultRowHeight="14.5" x14ac:dyDescent="0.35"/>
  <cols>
    <col min="1" max="1" width="17" bestFit="1" customWidth="1"/>
    <col min="2" max="2" width="34.7265625" customWidth="1"/>
    <col min="3" max="5" width="13" customWidth="1"/>
    <col min="6" max="6" width="12.7265625" customWidth="1"/>
  </cols>
  <sheetData>
    <row r="1" spans="1:9" ht="15.5" x14ac:dyDescent="0.35">
      <c r="A1" s="1160" t="s">
        <v>439</v>
      </c>
      <c r="B1" s="1160"/>
      <c r="C1" s="1160"/>
      <c r="D1" s="1160"/>
      <c r="E1" s="1160"/>
      <c r="F1" s="1160"/>
      <c r="G1" s="1160"/>
      <c r="H1" s="28"/>
      <c r="I1" s="28"/>
    </row>
    <row r="2" spans="1:9" ht="17.5" x14ac:dyDescent="0.35">
      <c r="A2" s="601" t="s">
        <v>509</v>
      </c>
      <c r="B2" s="1"/>
      <c r="C2" s="1"/>
      <c r="D2" s="1"/>
      <c r="E2" s="1"/>
      <c r="F2" s="1"/>
      <c r="G2" s="1"/>
      <c r="H2" s="28"/>
      <c r="I2" s="28"/>
    </row>
    <row r="3" spans="1:9" ht="17.5" x14ac:dyDescent="0.35">
      <c r="A3" s="1"/>
      <c r="B3" s="1"/>
      <c r="C3" s="1"/>
      <c r="D3" s="1"/>
      <c r="E3" s="1"/>
      <c r="F3" s="1"/>
      <c r="G3" s="1"/>
      <c r="H3" s="28"/>
      <c r="I3" s="28"/>
    </row>
    <row r="4" spans="1:9" ht="30.75" customHeight="1" x14ac:dyDescent="0.35">
      <c r="A4" s="1178" t="s">
        <v>468</v>
      </c>
      <c r="B4" s="1178"/>
      <c r="C4" s="1178"/>
      <c r="D4" s="1178"/>
      <c r="E4" s="1178"/>
      <c r="F4" s="1178"/>
    </row>
    <row r="5" spans="1:9" ht="15" customHeight="1" x14ac:dyDescent="0.35">
      <c r="A5" t="s">
        <v>320</v>
      </c>
      <c r="B5" t="s">
        <v>655</v>
      </c>
      <c r="C5" s="509"/>
      <c r="D5" s="509"/>
      <c r="E5" s="509"/>
      <c r="F5" s="509"/>
    </row>
    <row r="6" spans="1:9" ht="15" customHeight="1" x14ac:dyDescent="0.35">
      <c r="A6" t="s">
        <v>321</v>
      </c>
      <c r="B6" t="s">
        <v>323</v>
      </c>
      <c r="C6" s="509"/>
      <c r="D6" s="509"/>
      <c r="E6" s="509"/>
      <c r="F6" s="509"/>
    </row>
    <row r="7" spans="1:9" ht="15" customHeight="1" x14ac:dyDescent="0.35">
      <c r="A7" t="s">
        <v>322</v>
      </c>
      <c r="B7" t="s">
        <v>324</v>
      </c>
      <c r="C7" s="509"/>
      <c r="D7" s="509"/>
      <c r="E7" s="509"/>
      <c r="F7" s="509"/>
    </row>
    <row r="8" spans="1:9" ht="27" customHeight="1" x14ac:dyDescent="0.35">
      <c r="A8" s="43" t="s">
        <v>1</v>
      </c>
      <c r="B8" s="43" t="s">
        <v>207</v>
      </c>
      <c r="C8" s="93" t="s">
        <v>860</v>
      </c>
      <c r="D8" s="93" t="s">
        <v>861</v>
      </c>
      <c r="E8" s="93" t="s">
        <v>23</v>
      </c>
      <c r="F8" s="93" t="s">
        <v>26</v>
      </c>
    </row>
    <row r="9" spans="1:9" ht="18" customHeight="1" thickBot="1" x14ac:dyDescent="0.4">
      <c r="A9" s="45" t="str">
        <f>rdsroleareapivot!B1</f>
        <v>2020-21</v>
      </c>
      <c r="B9" s="45" t="s">
        <v>75</v>
      </c>
      <c r="C9" s="329">
        <f>C44</f>
        <v>267</v>
      </c>
      <c r="D9" s="329">
        <f>D44</f>
        <v>522</v>
      </c>
      <c r="E9" s="329">
        <f>E44</f>
        <v>2083</v>
      </c>
      <c r="F9" s="329">
        <f>F44</f>
        <v>2872</v>
      </c>
    </row>
    <row r="10" spans="1:9" ht="15" customHeight="1" x14ac:dyDescent="0.35">
      <c r="B10" s="46"/>
      <c r="C10" s="324"/>
      <c r="D10" s="324"/>
      <c r="E10" s="324"/>
      <c r="F10" s="324"/>
    </row>
    <row r="11" spans="1:9" ht="13.5" customHeight="1" x14ac:dyDescent="0.35">
      <c r="A11" s="49" t="s">
        <v>449</v>
      </c>
      <c r="B11" s="49" t="s">
        <v>30</v>
      </c>
      <c r="C11" s="330"/>
      <c r="D11" s="330"/>
      <c r="E11" s="330"/>
      <c r="F11" s="330"/>
    </row>
    <row r="12" spans="1:9" ht="24" customHeight="1" x14ac:dyDescent="0.35">
      <c r="A12" s="465" t="s">
        <v>286</v>
      </c>
      <c r="B12" s="52" t="s">
        <v>31</v>
      </c>
      <c r="C12" s="56">
        <f>rdsroleareapivot!B4</f>
        <v>1</v>
      </c>
      <c r="D12" s="56">
        <f>rdsroleareapivot!C4</f>
        <v>3</v>
      </c>
      <c r="E12" s="56">
        <f>rdsroleareapivot!D4</f>
        <v>6</v>
      </c>
      <c r="F12" s="304">
        <f>SUM(C12:E12)</f>
        <v>10</v>
      </c>
    </row>
    <row r="13" spans="1:9" ht="15" customHeight="1" x14ac:dyDescent="0.35">
      <c r="A13" s="466" t="s">
        <v>287</v>
      </c>
      <c r="B13" s="55" t="s">
        <v>32</v>
      </c>
      <c r="C13" s="56">
        <f>rdsroleareapivot!B5</f>
        <v>26</v>
      </c>
      <c r="D13" s="56">
        <f>rdsroleareapivot!C5</f>
        <v>68</v>
      </c>
      <c r="E13" s="56">
        <f>rdsroleareapivot!D5</f>
        <v>192</v>
      </c>
      <c r="F13" s="304">
        <f t="shared" ref="F13:F21" si="0">SUM(C13:E13)</f>
        <v>286</v>
      </c>
    </row>
    <row r="14" spans="1:9" ht="15" customHeight="1" x14ac:dyDescent="0.35">
      <c r="A14" s="466" t="s">
        <v>293</v>
      </c>
      <c r="B14" s="55" t="s">
        <v>33</v>
      </c>
      <c r="C14" s="56">
        <f>rdsroleareapivot!B6</f>
        <v>7</v>
      </c>
      <c r="D14" s="56">
        <f>rdsroleareapivot!C6</f>
        <v>17</v>
      </c>
      <c r="E14" s="56">
        <f>rdsroleareapivot!D6</f>
        <v>80</v>
      </c>
      <c r="F14" s="304">
        <f t="shared" si="0"/>
        <v>104</v>
      </c>
    </row>
    <row r="15" spans="1:9" ht="15" customHeight="1" x14ac:dyDescent="0.35">
      <c r="A15" s="466" t="s">
        <v>288</v>
      </c>
      <c r="B15" s="55" t="s">
        <v>34</v>
      </c>
      <c r="C15" s="56">
        <f>rdsroleareapivot!B7</f>
        <v>14</v>
      </c>
      <c r="D15" s="56">
        <f>rdsroleareapivot!C7</f>
        <v>26</v>
      </c>
      <c r="E15" s="56">
        <f>rdsroleareapivot!D7</f>
        <v>128</v>
      </c>
      <c r="F15" s="304">
        <f t="shared" si="0"/>
        <v>168</v>
      </c>
    </row>
    <row r="16" spans="1:9" ht="15" customHeight="1" x14ac:dyDescent="0.35">
      <c r="A16" s="466" t="s">
        <v>289</v>
      </c>
      <c r="B16" s="55" t="s">
        <v>245</v>
      </c>
      <c r="C16" s="56">
        <f>rdsroleareapivot!B8</f>
        <v>1</v>
      </c>
      <c r="D16" s="56">
        <f>rdsroleareapivot!C8</f>
        <v>1</v>
      </c>
      <c r="E16" s="56">
        <f>rdsroleareapivot!D8</f>
        <v>6</v>
      </c>
      <c r="F16" s="304">
        <f t="shared" si="0"/>
        <v>8</v>
      </c>
    </row>
    <row r="17" spans="1:6" ht="15" customHeight="1" x14ac:dyDescent="0.35">
      <c r="A17" s="466" t="s">
        <v>267</v>
      </c>
      <c r="B17" s="55" t="s">
        <v>35</v>
      </c>
      <c r="C17" s="56">
        <f>rdsroleareapivot!B9</f>
        <v>2</v>
      </c>
      <c r="D17" s="56">
        <f>rdsroleareapivot!C9</f>
        <v>4</v>
      </c>
      <c r="E17" s="56">
        <f>rdsroleareapivot!D9</f>
        <v>21</v>
      </c>
      <c r="F17" s="304">
        <f t="shared" si="0"/>
        <v>27</v>
      </c>
    </row>
    <row r="18" spans="1:6" ht="15" customHeight="1" x14ac:dyDescent="0.35">
      <c r="A18" s="466" t="s">
        <v>268</v>
      </c>
      <c r="B18" s="55" t="s">
        <v>36</v>
      </c>
      <c r="C18" s="56">
        <f>rdsroleareapivot!B10</f>
        <v>16</v>
      </c>
      <c r="D18" s="56">
        <f>rdsroleareapivot!C10</f>
        <v>35</v>
      </c>
      <c r="E18" s="56">
        <f>rdsroleareapivot!D10</f>
        <v>135</v>
      </c>
      <c r="F18" s="304">
        <f t="shared" si="0"/>
        <v>186</v>
      </c>
    </row>
    <row r="19" spans="1:6" ht="15" customHeight="1" x14ac:dyDescent="0.35">
      <c r="A19" s="466" t="s">
        <v>294</v>
      </c>
      <c r="B19" s="55" t="s">
        <v>37</v>
      </c>
      <c r="C19" s="56">
        <f>rdsroleareapivot!B11</f>
        <v>1</v>
      </c>
      <c r="D19" s="56">
        <f>rdsroleareapivot!C11</f>
        <v>2</v>
      </c>
      <c r="E19" s="56">
        <f>rdsroleareapivot!D11</f>
        <v>8</v>
      </c>
      <c r="F19" s="304">
        <f t="shared" si="0"/>
        <v>11</v>
      </c>
    </row>
    <row r="20" spans="1:6" ht="15" customHeight="1" x14ac:dyDescent="0.35">
      <c r="A20" s="466" t="s">
        <v>269</v>
      </c>
      <c r="B20" s="55" t="s">
        <v>38</v>
      </c>
      <c r="C20" s="56">
        <f>rdsroleareapivot!B12</f>
        <v>7</v>
      </c>
      <c r="D20" s="56">
        <f>rdsroleareapivot!C12</f>
        <v>8</v>
      </c>
      <c r="E20" s="56">
        <f>rdsroleareapivot!D12</f>
        <v>63</v>
      </c>
      <c r="F20" s="304">
        <f t="shared" si="0"/>
        <v>78</v>
      </c>
    </row>
    <row r="21" spans="1:6" ht="15" customHeight="1" x14ac:dyDescent="0.35">
      <c r="A21" s="466" t="s">
        <v>296</v>
      </c>
      <c r="B21" s="55" t="s">
        <v>39</v>
      </c>
      <c r="C21" s="56">
        <f>rdsroleareapivot!B13</f>
        <v>0</v>
      </c>
      <c r="D21" s="56">
        <f>rdsroleareapivot!C13</f>
        <v>0</v>
      </c>
      <c r="E21" s="56">
        <f>rdsroleareapivot!D13</f>
        <v>0</v>
      </c>
      <c r="F21" s="304">
        <f t="shared" si="0"/>
        <v>0</v>
      </c>
    </row>
    <row r="22" spans="1:6" ht="15" customHeight="1" x14ac:dyDescent="0.35">
      <c r="A22" s="466" t="s">
        <v>270</v>
      </c>
      <c r="B22" s="55" t="s">
        <v>40</v>
      </c>
      <c r="C22" s="56">
        <f>rdsroleareapivot!B14</f>
        <v>5</v>
      </c>
      <c r="D22" s="56">
        <f>rdsroleareapivot!C14</f>
        <v>12</v>
      </c>
      <c r="E22" s="56">
        <f>rdsroleareapivot!D14</f>
        <v>47</v>
      </c>
      <c r="F22" s="304">
        <f>SUM(C22:E22)</f>
        <v>64</v>
      </c>
    </row>
    <row r="23" spans="1:6" ht="15" customHeight="1" x14ac:dyDescent="0.35">
      <c r="A23" s="466" t="s">
        <v>271</v>
      </c>
      <c r="B23" s="55" t="s">
        <v>41</v>
      </c>
      <c r="C23" s="56">
        <f>rdsroleareapivot!B15</f>
        <v>0</v>
      </c>
      <c r="D23" s="56">
        <f>rdsroleareapivot!C15</f>
        <v>0</v>
      </c>
      <c r="E23" s="56">
        <f>rdsroleareapivot!D15</f>
        <v>0</v>
      </c>
      <c r="F23" s="304">
        <f t="shared" ref="F23" si="1">SUM(C23:E23)</f>
        <v>0</v>
      </c>
    </row>
    <row r="24" spans="1:6" ht="15" customHeight="1" x14ac:dyDescent="0.35">
      <c r="A24" s="466" t="s">
        <v>273</v>
      </c>
      <c r="B24" s="55" t="s">
        <v>42</v>
      </c>
      <c r="C24" s="56">
        <f>rdsroleareapivot!B16</f>
        <v>5</v>
      </c>
      <c r="D24" s="56">
        <f>rdsroleareapivot!C16</f>
        <v>9</v>
      </c>
      <c r="E24" s="56">
        <f>rdsroleareapivot!D16</f>
        <v>42</v>
      </c>
      <c r="F24" s="304">
        <f t="shared" ref="F24:F43" si="2">SUM(C24:E24)</f>
        <v>56</v>
      </c>
    </row>
    <row r="25" spans="1:6" ht="15" customHeight="1" x14ac:dyDescent="0.35">
      <c r="A25" s="466" t="s">
        <v>298</v>
      </c>
      <c r="B25" s="55" t="s">
        <v>43</v>
      </c>
      <c r="C25" s="56">
        <f>rdsroleareapivot!B17</f>
        <v>8</v>
      </c>
      <c r="D25" s="56">
        <f>rdsroleareapivot!C17</f>
        <v>23</v>
      </c>
      <c r="E25" s="56">
        <f>rdsroleareapivot!D17</f>
        <v>78</v>
      </c>
      <c r="F25" s="304">
        <f t="shared" si="2"/>
        <v>109</v>
      </c>
    </row>
    <row r="26" spans="1:6" ht="15" customHeight="1" x14ac:dyDescent="0.35">
      <c r="A26" s="466" t="str">
        <f>IF(A9 = "2019-20","S12000049","S12000046")</f>
        <v>S12000046</v>
      </c>
      <c r="B26" s="55" t="s">
        <v>114</v>
      </c>
      <c r="C26" s="56">
        <f>rdsroleareapivot!B18</f>
        <v>0</v>
      </c>
      <c r="D26" s="56">
        <f>rdsroleareapivot!C18</f>
        <v>0</v>
      </c>
      <c r="E26" s="56">
        <f>rdsroleareapivot!D18</f>
        <v>0</v>
      </c>
      <c r="F26" s="304">
        <f t="shared" si="2"/>
        <v>0</v>
      </c>
    </row>
    <row r="27" spans="1:6" ht="15" customHeight="1" x14ac:dyDescent="0.35">
      <c r="A27" s="466" t="s">
        <v>274</v>
      </c>
      <c r="B27" s="55" t="s">
        <v>44</v>
      </c>
      <c r="C27" s="56">
        <f>rdsroleareapivot!B19</f>
        <v>52</v>
      </c>
      <c r="D27" s="56">
        <f>rdsroleareapivot!C19</f>
        <v>97</v>
      </c>
      <c r="E27" s="56">
        <f>rdsroleareapivot!D19</f>
        <v>351</v>
      </c>
      <c r="F27" s="304">
        <f t="shared" si="2"/>
        <v>500</v>
      </c>
    </row>
    <row r="28" spans="1:6" ht="15" customHeight="1" x14ac:dyDescent="0.35">
      <c r="A28" s="466" t="s">
        <v>275</v>
      </c>
      <c r="B28" s="55" t="s">
        <v>45</v>
      </c>
      <c r="C28" s="56">
        <f>rdsroleareapivot!B20</f>
        <v>3</v>
      </c>
      <c r="D28" s="56">
        <f>rdsroleareapivot!C20</f>
        <v>6</v>
      </c>
      <c r="E28" s="56">
        <f>rdsroleareapivot!D20</f>
        <v>35</v>
      </c>
      <c r="F28" s="304">
        <f t="shared" si="2"/>
        <v>44</v>
      </c>
    </row>
    <row r="29" spans="1:6" ht="15" customHeight="1" x14ac:dyDescent="0.35">
      <c r="A29" s="466" t="s">
        <v>276</v>
      </c>
      <c r="B29" s="55" t="s">
        <v>46</v>
      </c>
      <c r="C29" s="56">
        <f>rdsroleareapivot!B21</f>
        <v>1</v>
      </c>
      <c r="D29" s="56">
        <f>rdsroleareapivot!C21</f>
        <v>2</v>
      </c>
      <c r="E29" s="56">
        <f>rdsroleareapivot!D21</f>
        <v>8</v>
      </c>
      <c r="F29" s="304">
        <f t="shared" si="2"/>
        <v>11</v>
      </c>
    </row>
    <row r="30" spans="1:6" ht="15" customHeight="1" x14ac:dyDescent="0.35">
      <c r="A30" s="466" t="s">
        <v>277</v>
      </c>
      <c r="B30" s="55" t="s">
        <v>47</v>
      </c>
      <c r="C30" s="56">
        <f>rdsroleareapivot!B22</f>
        <v>11</v>
      </c>
      <c r="D30" s="56">
        <f>rdsroleareapivot!C22</f>
        <v>27</v>
      </c>
      <c r="E30" s="56">
        <f>rdsroleareapivot!D22</f>
        <v>76</v>
      </c>
      <c r="F30" s="304">
        <f t="shared" si="2"/>
        <v>114</v>
      </c>
    </row>
    <row r="31" spans="1:6" ht="15" customHeight="1" x14ac:dyDescent="0.35">
      <c r="A31" s="466" t="s">
        <v>272</v>
      </c>
      <c r="B31" s="55" t="s">
        <v>48</v>
      </c>
      <c r="C31" s="56">
        <f>rdsroleareapivot!B23</f>
        <v>15</v>
      </c>
      <c r="D31" s="56">
        <f>rdsroleareapivot!C23</f>
        <v>27</v>
      </c>
      <c r="E31" s="56">
        <f>rdsroleareapivot!D23</f>
        <v>89</v>
      </c>
      <c r="F31" s="304">
        <f t="shared" si="2"/>
        <v>131</v>
      </c>
    </row>
    <row r="32" spans="1:6" ht="15" customHeight="1" x14ac:dyDescent="0.35">
      <c r="A32" s="466" t="s">
        <v>278</v>
      </c>
      <c r="B32" s="55" t="s">
        <v>49</v>
      </c>
      <c r="C32" s="56">
        <f>rdsroleareapivot!B24</f>
        <v>11</v>
      </c>
      <c r="D32" s="56">
        <f>rdsroleareapivot!C24</f>
        <v>11</v>
      </c>
      <c r="E32" s="56">
        <f>rdsroleareapivot!D24</f>
        <v>78</v>
      </c>
      <c r="F32" s="304">
        <f t="shared" si="2"/>
        <v>100</v>
      </c>
    </row>
    <row r="33" spans="1:9" ht="15" customHeight="1" x14ac:dyDescent="0.35">
      <c r="A33" s="466" t="str">
        <f>IF(A9="2019-20","S12000050","S12000044")</f>
        <v>S12000044</v>
      </c>
      <c r="B33" s="55" t="s">
        <v>50</v>
      </c>
      <c r="C33" s="56">
        <f>rdsroleareapivot!B25</f>
        <v>3</v>
      </c>
      <c r="D33" s="56">
        <f>rdsroleareapivot!C25</f>
        <v>6</v>
      </c>
      <c r="E33" s="56">
        <f>rdsroleareapivot!D25</f>
        <v>29</v>
      </c>
      <c r="F33" s="304">
        <f t="shared" si="2"/>
        <v>38</v>
      </c>
    </row>
    <row r="34" spans="1:9" ht="15" customHeight="1" x14ac:dyDescent="0.35">
      <c r="A34" s="466" t="s">
        <v>279</v>
      </c>
      <c r="B34" s="55" t="s">
        <v>51</v>
      </c>
      <c r="C34" s="56">
        <f>rdsroleareapivot!B26</f>
        <v>8</v>
      </c>
      <c r="D34" s="56">
        <f>rdsroleareapivot!C26</f>
        <v>21</v>
      </c>
      <c r="E34" s="56">
        <f>rdsroleareapivot!D26</f>
        <v>83</v>
      </c>
      <c r="F34" s="304">
        <f t="shared" si="2"/>
        <v>112</v>
      </c>
    </row>
    <row r="35" spans="1:9" ht="15" customHeight="1" x14ac:dyDescent="0.35">
      <c r="A35" s="466" t="s">
        <v>280</v>
      </c>
      <c r="B35" s="55" t="s">
        <v>52</v>
      </c>
      <c r="C35" s="56">
        <f>rdsroleareapivot!B27</f>
        <v>10</v>
      </c>
      <c r="D35" s="56">
        <f>rdsroleareapivot!C27</f>
        <v>21</v>
      </c>
      <c r="E35" s="56">
        <f>rdsroleareapivot!D27</f>
        <v>99</v>
      </c>
      <c r="F35" s="304">
        <f t="shared" si="2"/>
        <v>130</v>
      </c>
    </row>
    <row r="36" spans="1:9" ht="15" customHeight="1" x14ac:dyDescent="0.35">
      <c r="A36" s="466" t="s">
        <v>290</v>
      </c>
      <c r="B36" s="55" t="s">
        <v>53</v>
      </c>
      <c r="C36" s="56">
        <f>rdsroleareapivot!B28</f>
        <v>2</v>
      </c>
      <c r="D36" s="56">
        <f>rdsroleareapivot!C28</f>
        <v>1</v>
      </c>
      <c r="E36" s="56">
        <f>rdsroleareapivot!D28</f>
        <v>10</v>
      </c>
      <c r="F36" s="304">
        <f t="shared" si="2"/>
        <v>13</v>
      </c>
    </row>
    <row r="37" spans="1:9" ht="15" customHeight="1" x14ac:dyDescent="0.35">
      <c r="A37" s="466" t="s">
        <v>281</v>
      </c>
      <c r="B37" s="55" t="s">
        <v>54</v>
      </c>
      <c r="C37" s="56">
        <f>rdsroleareapivot!B29</f>
        <v>13</v>
      </c>
      <c r="D37" s="56">
        <f>rdsroleareapivot!C29</f>
        <v>30</v>
      </c>
      <c r="E37" s="56">
        <f>rdsroleareapivot!D29</f>
        <v>106</v>
      </c>
      <c r="F37" s="304">
        <f t="shared" si="2"/>
        <v>149</v>
      </c>
    </row>
    <row r="38" spans="1:9" ht="15" customHeight="1" x14ac:dyDescent="0.35">
      <c r="A38" s="466" t="s">
        <v>282</v>
      </c>
      <c r="B38" s="55" t="s">
        <v>55</v>
      </c>
      <c r="C38" s="56">
        <f>rdsroleareapivot!B30</f>
        <v>13</v>
      </c>
      <c r="D38" s="56">
        <f>rdsroleareapivot!C30</f>
        <v>25</v>
      </c>
      <c r="E38" s="56">
        <f>rdsroleareapivot!D30</f>
        <v>94</v>
      </c>
      <c r="F38" s="304">
        <f t="shared" si="2"/>
        <v>132</v>
      </c>
    </row>
    <row r="39" spans="1:9" ht="15" customHeight="1" x14ac:dyDescent="0.35">
      <c r="A39" s="466" t="s">
        <v>283</v>
      </c>
      <c r="B39" s="55" t="s">
        <v>56</v>
      </c>
      <c r="C39" s="56">
        <f>rdsroleareapivot!B31</f>
        <v>4</v>
      </c>
      <c r="D39" s="56">
        <f>rdsroleareapivot!C31</f>
        <v>7</v>
      </c>
      <c r="E39" s="56">
        <f>rdsroleareapivot!D31</f>
        <v>41</v>
      </c>
      <c r="F39" s="304">
        <f t="shared" si="2"/>
        <v>52</v>
      </c>
    </row>
    <row r="40" spans="1:9" ht="15" customHeight="1" x14ac:dyDescent="0.35">
      <c r="A40" s="466" t="s">
        <v>284</v>
      </c>
      <c r="B40" s="55" t="s">
        <v>57</v>
      </c>
      <c r="C40" s="56">
        <f>rdsroleareapivot!B32</f>
        <v>10</v>
      </c>
      <c r="D40" s="56">
        <f>rdsroleareapivot!C32</f>
        <v>7</v>
      </c>
      <c r="E40" s="56">
        <f>rdsroleareapivot!D32</f>
        <v>67</v>
      </c>
      <c r="F40" s="304">
        <f t="shared" si="2"/>
        <v>84</v>
      </c>
    </row>
    <row r="41" spans="1:9" ht="15" customHeight="1" x14ac:dyDescent="0.35">
      <c r="A41" s="466" t="s">
        <v>285</v>
      </c>
      <c r="B41" s="55" t="s">
        <v>58</v>
      </c>
      <c r="C41" s="56">
        <f>rdsroleareapivot!B33</f>
        <v>9</v>
      </c>
      <c r="D41" s="56">
        <f>rdsroleareapivot!C33</f>
        <v>15</v>
      </c>
      <c r="E41" s="56">
        <f>rdsroleareapivot!D33</f>
        <v>51</v>
      </c>
      <c r="F41" s="304">
        <f t="shared" si="2"/>
        <v>75</v>
      </c>
    </row>
    <row r="42" spans="1:9" ht="15" customHeight="1" x14ac:dyDescent="0.35">
      <c r="A42" s="466" t="s">
        <v>291</v>
      </c>
      <c r="B42" s="55" t="s">
        <v>59</v>
      </c>
      <c r="C42" s="56">
        <f>rdsroleareapivot!B34</f>
        <v>2</v>
      </c>
      <c r="D42" s="56">
        <f>rdsroleareapivot!C34</f>
        <v>2</v>
      </c>
      <c r="E42" s="56">
        <f>rdsroleareapivot!D34</f>
        <v>18</v>
      </c>
      <c r="F42" s="304">
        <f t="shared" si="2"/>
        <v>22</v>
      </c>
    </row>
    <row r="43" spans="1:9" ht="15" customHeight="1" x14ac:dyDescent="0.35">
      <c r="A43" s="466" t="s">
        <v>292</v>
      </c>
      <c r="B43" s="55" t="s">
        <v>60</v>
      </c>
      <c r="C43" s="56">
        <f>rdsroleareapivot!B35</f>
        <v>7</v>
      </c>
      <c r="D43" s="56">
        <f>rdsroleareapivot!C35</f>
        <v>9</v>
      </c>
      <c r="E43" s="56">
        <f>rdsroleareapivot!D35</f>
        <v>42</v>
      </c>
      <c r="F43" s="304">
        <f t="shared" si="2"/>
        <v>58</v>
      </c>
    </row>
    <row r="44" spans="1:9" ht="30" customHeight="1" thickBot="1" x14ac:dyDescent="0.4">
      <c r="A44" s="59"/>
      <c r="B44" s="59" t="s">
        <v>61</v>
      </c>
      <c r="C44" s="82">
        <f>SUM(C12:C43)</f>
        <v>267</v>
      </c>
      <c r="D44" s="82">
        <f>SUM(D12:D43)</f>
        <v>522</v>
      </c>
      <c r="E44" s="82">
        <f>SUM(E12:E43)</f>
        <v>2083</v>
      </c>
      <c r="F44" s="82">
        <f>SUM(F12:F43)</f>
        <v>2872</v>
      </c>
    </row>
    <row r="45" spans="1:9" ht="13.5" customHeight="1" x14ac:dyDescent="0.35">
      <c r="B45" s="95"/>
      <c r="C45" s="306"/>
      <c r="D45" s="306"/>
      <c r="E45" s="306"/>
      <c r="F45" s="306"/>
    </row>
    <row r="46" spans="1:9" x14ac:dyDescent="0.35">
      <c r="A46" s="408" t="s">
        <v>8</v>
      </c>
    </row>
    <row r="47" spans="1:9" x14ac:dyDescent="0.35">
      <c r="A47" s="382" t="s">
        <v>232</v>
      </c>
    </row>
    <row r="48" spans="1:9" ht="45.75" customHeight="1" x14ac:dyDescent="0.35">
      <c r="A48" s="1180" t="s">
        <v>863</v>
      </c>
      <c r="B48" s="1180"/>
      <c r="C48" s="1180"/>
      <c r="D48" s="1180"/>
      <c r="E48" s="1180"/>
      <c r="F48" s="1180"/>
      <c r="G48" s="1180"/>
      <c r="H48" s="1180"/>
      <c r="I48" s="1180"/>
    </row>
    <row r="50" spans="2:2" x14ac:dyDescent="0.35">
      <c r="B50" s="382"/>
    </row>
    <row r="51" spans="2:2" x14ac:dyDescent="0.35">
      <c r="B51" s="382"/>
    </row>
    <row r="52" spans="2:2" x14ac:dyDescent="0.35">
      <c r="B52" s="382"/>
    </row>
    <row r="53" spans="2:2" x14ac:dyDescent="0.35">
      <c r="B53" s="382"/>
    </row>
  </sheetData>
  <sheetProtection algorithmName="SHA-512" hashValue="5afJFWQN7qnuRW35H9PVjD9GXY6Qc9uWBxx3DNpQviHXmioglXx1fKBa3hjNqOfczMc6uiVGGjJ5DoEvCf+AkQ==" saltValue="p76T4VvTH+Sm19ry7p7TFQ==" spinCount="100000" sheet="1" scenarios="1" formatCells="0" formatColumns="0" formatRows="0" sort="0" autoFilter="0" pivotTables="0"/>
  <mergeCells count="3">
    <mergeCell ref="A4:F4"/>
    <mergeCell ref="A1:G1"/>
    <mergeCell ref="A48:I48"/>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3" orientation="portrait" r:id="rId1"/>
  <drawing r:id="rId2"/>
  <extLst>
    <ext xmlns:x14="http://schemas.microsoft.com/office/spreadsheetml/2009/9/main" uri="{A8765BA9-456A-4dab-B4F3-ACF838C121DE}">
      <x14:slicerList>
        <x14:slicer r:id="rId3"/>
      </x14:slicerList>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5"/>
  <sheetViews>
    <sheetView workbookViewId="0">
      <selection activeCell="B2" sqref="B2"/>
    </sheetView>
  </sheetViews>
  <sheetFormatPr defaultRowHeight="14.5" x14ac:dyDescent="0.35"/>
  <cols>
    <col min="1" max="1" width="12.36328125" bestFit="1" customWidth="1"/>
    <col min="2" max="2" width="19.08984375" bestFit="1" customWidth="1"/>
    <col min="3" max="3" width="20.453125" bestFit="1" customWidth="1"/>
    <col min="4" max="4" width="21.26953125" bestFit="1" customWidth="1"/>
    <col min="5" max="5" width="20.6328125" bestFit="1" customWidth="1"/>
    <col min="6" max="6" width="19.453125" bestFit="1" customWidth="1"/>
    <col min="7" max="7" width="21.81640625" bestFit="1" customWidth="1"/>
  </cols>
  <sheetData>
    <row r="1" spans="1:7" x14ac:dyDescent="0.35">
      <c r="A1" s="459" t="s">
        <v>1</v>
      </c>
      <c r="B1" t="s">
        <v>951</v>
      </c>
    </row>
    <row r="3" spans="1:7" x14ac:dyDescent="0.35">
      <c r="A3" s="459" t="s">
        <v>234</v>
      </c>
      <c r="B3" t="s">
        <v>251</v>
      </c>
      <c r="C3" t="s">
        <v>252</v>
      </c>
      <c r="D3" t="s">
        <v>253</v>
      </c>
      <c r="E3" t="s">
        <v>243</v>
      </c>
      <c r="F3" t="s">
        <v>254</v>
      </c>
      <c r="G3" t="s">
        <v>257</v>
      </c>
    </row>
    <row r="4" spans="1:7" x14ac:dyDescent="0.35">
      <c r="A4" s="1000" t="s">
        <v>238</v>
      </c>
      <c r="B4" s="461">
        <v>1</v>
      </c>
      <c r="C4" s="461">
        <v>4</v>
      </c>
      <c r="D4" s="461">
        <v>10</v>
      </c>
      <c r="E4" s="461">
        <v>41</v>
      </c>
      <c r="F4" s="461">
        <v>31</v>
      </c>
      <c r="G4" s="461">
        <v>95</v>
      </c>
    </row>
    <row r="5" spans="1:7" x14ac:dyDescent="0.35">
      <c r="A5" s="1000" t="s">
        <v>239</v>
      </c>
      <c r="B5" s="461">
        <v>1</v>
      </c>
      <c r="C5" s="461">
        <v>4</v>
      </c>
      <c r="D5" s="461">
        <v>10</v>
      </c>
      <c r="E5" s="461">
        <v>41</v>
      </c>
      <c r="F5" s="461">
        <v>31</v>
      </c>
      <c r="G5" s="461">
        <v>95</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9"/>
  <sheetViews>
    <sheetView workbookViewId="0">
      <selection sqref="A1:J9"/>
    </sheetView>
  </sheetViews>
  <sheetFormatPr defaultRowHeight="14.5" x14ac:dyDescent="0.35"/>
  <cols>
    <col min="1" max="1" width="7.453125" bestFit="1" customWidth="1"/>
    <col min="2" max="2" width="15.54296875" bestFit="1" customWidth="1"/>
    <col min="3" max="3" width="7.90625" bestFit="1" customWidth="1"/>
    <col min="4" max="4" width="10.90625" bestFit="1" customWidth="1"/>
    <col min="5" max="5" width="14.90625" bestFit="1" customWidth="1"/>
    <col min="6" max="6" width="16.36328125" bestFit="1" customWidth="1"/>
    <col min="7" max="7" width="17.08984375" bestFit="1" customWidth="1"/>
    <col min="8" max="8" width="16.54296875" bestFit="1" customWidth="1"/>
    <col min="9" max="9" width="15.36328125" bestFit="1" customWidth="1"/>
    <col min="10" max="10" width="17.6328125" bestFit="1" customWidth="1"/>
  </cols>
  <sheetData>
    <row r="1" spans="1:10" x14ac:dyDescent="0.35">
      <c r="A1" s="461" t="s">
        <v>1</v>
      </c>
      <c r="B1" s="461" t="s">
        <v>17409</v>
      </c>
      <c r="C1" s="461" t="s">
        <v>207</v>
      </c>
      <c r="D1" s="461" t="s">
        <v>447</v>
      </c>
      <c r="E1" s="461" t="s">
        <v>18</v>
      </c>
      <c r="F1" s="461" t="s">
        <v>19</v>
      </c>
      <c r="G1" s="461" t="s">
        <v>20</v>
      </c>
      <c r="H1" s="461" t="s">
        <v>21</v>
      </c>
      <c r="I1" s="461" t="s">
        <v>22</v>
      </c>
      <c r="J1" s="461" t="s">
        <v>76</v>
      </c>
    </row>
    <row r="2" spans="1:10" x14ac:dyDescent="0.35">
      <c r="A2" s="461" t="s">
        <v>194</v>
      </c>
      <c r="B2" s="461" t="s">
        <v>238</v>
      </c>
      <c r="C2" s="461" t="s">
        <v>246</v>
      </c>
      <c r="D2" s="461" t="s">
        <v>339</v>
      </c>
      <c r="E2" s="461">
        <v>0</v>
      </c>
      <c r="F2" s="461">
        <v>52</v>
      </c>
      <c r="G2" s="461">
        <v>103</v>
      </c>
      <c r="H2" s="461">
        <v>5</v>
      </c>
      <c r="I2" s="461">
        <v>11</v>
      </c>
      <c r="J2" s="461">
        <v>52</v>
      </c>
    </row>
    <row r="3" spans="1:10" x14ac:dyDescent="0.35">
      <c r="A3" s="461" t="s">
        <v>193</v>
      </c>
      <c r="B3" s="461" t="s">
        <v>238</v>
      </c>
      <c r="C3" s="461" t="s">
        <v>246</v>
      </c>
      <c r="D3" s="461" t="s">
        <v>339</v>
      </c>
      <c r="E3" s="461">
        <v>0</v>
      </c>
      <c r="F3" s="461">
        <v>52</v>
      </c>
      <c r="G3" s="461">
        <v>110</v>
      </c>
      <c r="H3" s="461">
        <v>5</v>
      </c>
      <c r="I3" s="461">
        <v>13</v>
      </c>
      <c r="J3" s="461">
        <v>50</v>
      </c>
    </row>
    <row r="4" spans="1:10" x14ac:dyDescent="0.35">
      <c r="A4" s="461" t="s">
        <v>192</v>
      </c>
      <c r="B4" s="461" t="s">
        <v>238</v>
      </c>
      <c r="C4" s="461" t="s">
        <v>246</v>
      </c>
      <c r="D4" s="461" t="s">
        <v>339</v>
      </c>
      <c r="E4" s="461">
        <v>0</v>
      </c>
      <c r="F4" s="461">
        <v>44</v>
      </c>
      <c r="G4" s="461">
        <v>95</v>
      </c>
      <c r="H4" s="461">
        <v>6</v>
      </c>
      <c r="I4" s="461">
        <v>7</v>
      </c>
      <c r="J4" s="461">
        <v>51</v>
      </c>
    </row>
    <row r="5" spans="1:10" x14ac:dyDescent="0.35">
      <c r="A5" s="461" t="s">
        <v>258</v>
      </c>
      <c r="B5" s="461" t="s">
        <v>238</v>
      </c>
      <c r="C5" s="461" t="s">
        <v>246</v>
      </c>
      <c r="D5" s="461" t="s">
        <v>339</v>
      </c>
      <c r="E5" s="461">
        <v>0</v>
      </c>
      <c r="F5" s="461">
        <v>31</v>
      </c>
      <c r="G5" s="461">
        <v>80</v>
      </c>
      <c r="H5" s="461">
        <v>5</v>
      </c>
      <c r="I5" s="461">
        <v>8</v>
      </c>
      <c r="J5" s="461">
        <v>41</v>
      </c>
    </row>
    <row r="6" spans="1:10" x14ac:dyDescent="0.35">
      <c r="A6" s="461" t="s">
        <v>242</v>
      </c>
      <c r="B6" s="461" t="s">
        <v>238</v>
      </c>
      <c r="C6" s="461" t="s">
        <v>246</v>
      </c>
      <c r="D6" s="461" t="s">
        <v>339</v>
      </c>
      <c r="E6" s="461">
        <v>0</v>
      </c>
      <c r="F6" s="461">
        <v>27</v>
      </c>
      <c r="G6" s="461">
        <v>106</v>
      </c>
      <c r="H6" s="461">
        <v>5</v>
      </c>
      <c r="I6" s="461">
        <v>8</v>
      </c>
      <c r="J6" s="461">
        <v>43</v>
      </c>
    </row>
    <row r="7" spans="1:10" x14ac:dyDescent="0.35">
      <c r="A7" s="461" t="s">
        <v>241</v>
      </c>
      <c r="B7" s="461" t="s">
        <v>238</v>
      </c>
      <c r="C7" s="461" t="s">
        <v>246</v>
      </c>
      <c r="D7" s="461" t="s">
        <v>339</v>
      </c>
      <c r="E7" s="461">
        <v>1</v>
      </c>
      <c r="F7" s="461">
        <v>4</v>
      </c>
      <c r="G7" s="461">
        <v>9</v>
      </c>
      <c r="H7" s="461">
        <v>42</v>
      </c>
      <c r="I7" s="461">
        <v>27</v>
      </c>
      <c r="J7" s="461">
        <v>124</v>
      </c>
    </row>
    <row r="8" spans="1:10" x14ac:dyDescent="0.35">
      <c r="A8" s="461" t="s">
        <v>773</v>
      </c>
      <c r="B8" s="461" t="s">
        <v>238</v>
      </c>
      <c r="C8" s="461" t="s">
        <v>246</v>
      </c>
      <c r="D8" s="461" t="s">
        <v>339</v>
      </c>
      <c r="E8" s="461">
        <v>1</v>
      </c>
      <c r="F8" s="461">
        <v>4</v>
      </c>
      <c r="G8" s="461">
        <v>8</v>
      </c>
      <c r="H8" s="461">
        <v>45</v>
      </c>
      <c r="I8" s="461">
        <v>26</v>
      </c>
      <c r="J8" s="461">
        <v>104</v>
      </c>
    </row>
    <row r="9" spans="1:10" x14ac:dyDescent="0.35">
      <c r="A9" s="461" t="s">
        <v>951</v>
      </c>
      <c r="B9" s="461" t="s">
        <v>238</v>
      </c>
      <c r="C9" s="461" t="s">
        <v>246</v>
      </c>
      <c r="D9" s="461" t="s">
        <v>339</v>
      </c>
      <c r="E9" s="461">
        <v>1</v>
      </c>
      <c r="F9" s="461">
        <v>4</v>
      </c>
      <c r="G9" s="461">
        <v>10</v>
      </c>
      <c r="H9" s="461">
        <v>41</v>
      </c>
      <c r="I9" s="461">
        <v>31</v>
      </c>
      <c r="J9" s="461">
        <v>95</v>
      </c>
    </row>
  </sheetData>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6"/>
  <sheetViews>
    <sheetView workbookViewId="0">
      <selection activeCell="E36" sqref="E36"/>
    </sheetView>
  </sheetViews>
  <sheetFormatPr defaultRowHeight="14.5" x14ac:dyDescent="0.35"/>
  <cols>
    <col min="1" max="1" width="12.36328125" bestFit="1" customWidth="1"/>
    <col min="2" max="2" width="14" bestFit="1" customWidth="1"/>
    <col min="3" max="3" width="21.08984375" bestFit="1" customWidth="1"/>
    <col min="4" max="4" width="18" bestFit="1" customWidth="1"/>
    <col min="5" max="5" width="17.54296875" bestFit="1" customWidth="1"/>
    <col min="6" max="6" width="23.26953125" bestFit="1" customWidth="1"/>
    <col min="7" max="7" width="18.36328125" bestFit="1" customWidth="1"/>
    <col min="8" max="8" width="19.81640625" bestFit="1" customWidth="1"/>
    <col min="9" max="9" width="11.36328125" bestFit="1" customWidth="1"/>
  </cols>
  <sheetData>
    <row r="1" spans="1:9" x14ac:dyDescent="0.35">
      <c r="A1" s="459" t="s">
        <v>1</v>
      </c>
      <c r="B1" t="s">
        <v>951</v>
      </c>
    </row>
    <row r="3" spans="1:9" x14ac:dyDescent="0.35">
      <c r="A3" s="459" t="s">
        <v>234</v>
      </c>
      <c r="B3" t="s">
        <v>259</v>
      </c>
      <c r="C3" t="s">
        <v>260</v>
      </c>
      <c r="D3" t="s">
        <v>261</v>
      </c>
      <c r="E3" t="s">
        <v>262</v>
      </c>
      <c r="F3" t="s">
        <v>263</v>
      </c>
      <c r="G3" t="s">
        <v>264</v>
      </c>
      <c r="H3" t="s">
        <v>265</v>
      </c>
      <c r="I3" t="s">
        <v>240</v>
      </c>
    </row>
    <row r="4" spans="1:9" x14ac:dyDescent="0.35">
      <c r="A4" s="1000" t="s">
        <v>237</v>
      </c>
      <c r="B4" s="461"/>
      <c r="C4" s="461">
        <v>0</v>
      </c>
      <c r="D4" s="461">
        <v>0</v>
      </c>
      <c r="E4" s="461">
        <v>0</v>
      </c>
      <c r="F4" s="461">
        <v>0</v>
      </c>
      <c r="G4" s="461">
        <v>0</v>
      </c>
      <c r="H4" s="461">
        <v>0</v>
      </c>
      <c r="I4" s="461">
        <v>0</v>
      </c>
    </row>
    <row r="5" spans="1:9" x14ac:dyDescent="0.35">
      <c r="A5" s="1000" t="s">
        <v>238</v>
      </c>
      <c r="B5" s="461">
        <v>3</v>
      </c>
      <c r="C5" s="461">
        <v>50</v>
      </c>
      <c r="D5" s="461">
        <v>30</v>
      </c>
      <c r="E5" s="461">
        <v>91</v>
      </c>
      <c r="F5" s="461">
        <v>414</v>
      </c>
      <c r="G5" s="461">
        <v>61</v>
      </c>
      <c r="H5" s="461">
        <v>187</v>
      </c>
      <c r="I5" s="461">
        <v>836</v>
      </c>
    </row>
    <row r="6" spans="1:9" x14ac:dyDescent="0.35">
      <c r="A6" s="1000" t="s">
        <v>239</v>
      </c>
      <c r="B6" s="461">
        <v>3</v>
      </c>
      <c r="C6" s="461">
        <v>50</v>
      </c>
      <c r="D6" s="461">
        <v>30</v>
      </c>
      <c r="E6" s="461">
        <v>91</v>
      </c>
      <c r="F6" s="461">
        <v>414</v>
      </c>
      <c r="G6" s="461">
        <v>61</v>
      </c>
      <c r="H6" s="461">
        <v>187</v>
      </c>
      <c r="I6" s="461">
        <v>836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33"/>
  <sheetViews>
    <sheetView workbookViewId="0">
      <selection activeCell="D28" sqref="D28"/>
    </sheetView>
  </sheetViews>
  <sheetFormatPr defaultRowHeight="14.5" x14ac:dyDescent="0.35"/>
  <cols>
    <col min="1" max="1" width="7.453125" bestFit="1" customWidth="1"/>
    <col min="2" max="2" width="15.54296875" bestFit="1" customWidth="1"/>
    <col min="3" max="3" width="9.7265625" bestFit="1" customWidth="1"/>
    <col min="4" max="4" width="7.90625" bestFit="1" customWidth="1"/>
    <col min="5" max="5" width="9.90625" bestFit="1" customWidth="1"/>
    <col min="6" max="6" width="16.90625" bestFit="1" customWidth="1"/>
    <col min="7" max="7" width="13.81640625" bestFit="1" customWidth="1"/>
    <col min="8" max="8" width="13.36328125" bestFit="1" customWidth="1"/>
    <col min="9" max="9" width="19.08984375" bestFit="1" customWidth="1"/>
    <col min="10" max="10" width="14.1796875" bestFit="1" customWidth="1"/>
    <col min="11" max="11" width="15.7265625" bestFit="1" customWidth="1"/>
    <col min="12" max="12" width="7.36328125" bestFit="1" customWidth="1"/>
  </cols>
  <sheetData>
    <row r="1" spans="1:12" x14ac:dyDescent="0.35">
      <c r="A1" s="461" t="s">
        <v>1</v>
      </c>
      <c r="B1" s="461" t="s">
        <v>17409</v>
      </c>
      <c r="C1" s="461" t="s">
        <v>244</v>
      </c>
      <c r="D1" s="461" t="s">
        <v>17410</v>
      </c>
      <c r="E1" s="461" t="s">
        <v>199</v>
      </c>
      <c r="F1" s="461" t="s">
        <v>77</v>
      </c>
      <c r="G1" s="461" t="s">
        <v>80</v>
      </c>
      <c r="H1" s="461" t="s">
        <v>78</v>
      </c>
      <c r="I1" s="461" t="s">
        <v>302</v>
      </c>
      <c r="J1" s="461" t="s">
        <v>303</v>
      </c>
      <c r="K1" s="461" t="s">
        <v>91</v>
      </c>
      <c r="L1" s="461" t="s">
        <v>26</v>
      </c>
    </row>
    <row r="2" spans="1:12" x14ac:dyDescent="0.35">
      <c r="A2" s="461" t="s">
        <v>194</v>
      </c>
      <c r="B2" s="461" t="s">
        <v>238</v>
      </c>
      <c r="C2" s="461" t="s">
        <v>353</v>
      </c>
      <c r="D2" s="461" t="s">
        <v>166</v>
      </c>
      <c r="E2" s="461"/>
      <c r="F2" s="461">
        <v>6</v>
      </c>
      <c r="G2" s="461">
        <v>2</v>
      </c>
      <c r="H2" s="461">
        <v>7</v>
      </c>
      <c r="I2" s="461">
        <v>46</v>
      </c>
      <c r="J2" s="461">
        <v>66</v>
      </c>
      <c r="K2" s="461">
        <v>48</v>
      </c>
      <c r="L2" s="461">
        <v>175</v>
      </c>
    </row>
    <row r="3" spans="1:12" x14ac:dyDescent="0.35">
      <c r="A3" s="461" t="s">
        <v>194</v>
      </c>
      <c r="B3" s="461" t="s">
        <v>238</v>
      </c>
      <c r="C3" s="461" t="s">
        <v>355</v>
      </c>
      <c r="D3" s="461" t="s">
        <v>164</v>
      </c>
      <c r="E3" s="461"/>
      <c r="F3" s="461">
        <v>4</v>
      </c>
      <c r="G3" s="461">
        <v>5</v>
      </c>
      <c r="H3" s="461">
        <v>6</v>
      </c>
      <c r="I3" s="461">
        <v>59</v>
      </c>
      <c r="J3" s="461">
        <v>19</v>
      </c>
      <c r="K3" s="461">
        <v>40</v>
      </c>
      <c r="L3" s="461">
        <v>133</v>
      </c>
    </row>
    <row r="4" spans="1:12" x14ac:dyDescent="0.35">
      <c r="A4" s="461" t="s">
        <v>194</v>
      </c>
      <c r="B4" s="461" t="s">
        <v>238</v>
      </c>
      <c r="C4" s="461" t="s">
        <v>339</v>
      </c>
      <c r="D4" s="461" t="s">
        <v>246</v>
      </c>
      <c r="E4" s="461"/>
      <c r="F4" s="461">
        <v>56</v>
      </c>
      <c r="G4" s="461">
        <v>9</v>
      </c>
      <c r="H4" s="461">
        <v>24</v>
      </c>
      <c r="I4" s="461">
        <v>102</v>
      </c>
      <c r="J4" s="461">
        <v>0</v>
      </c>
      <c r="K4" s="461">
        <v>46</v>
      </c>
      <c r="L4" s="461">
        <v>237</v>
      </c>
    </row>
    <row r="5" spans="1:12" x14ac:dyDescent="0.35">
      <c r="A5" s="461" t="s">
        <v>194</v>
      </c>
      <c r="B5" s="461" t="s">
        <v>238</v>
      </c>
      <c r="C5" s="461" t="s">
        <v>354</v>
      </c>
      <c r="D5" s="461" t="s">
        <v>165</v>
      </c>
      <c r="E5" s="461"/>
      <c r="F5" s="461">
        <v>4</v>
      </c>
      <c r="G5" s="461">
        <v>4</v>
      </c>
      <c r="H5" s="461">
        <v>8</v>
      </c>
      <c r="I5" s="461">
        <v>107</v>
      </c>
      <c r="J5" s="461">
        <v>149</v>
      </c>
      <c r="K5" s="461">
        <v>144</v>
      </c>
      <c r="L5" s="461">
        <v>416</v>
      </c>
    </row>
    <row r="6" spans="1:12" x14ac:dyDescent="0.35">
      <c r="A6" s="461" t="s">
        <v>193</v>
      </c>
      <c r="B6" s="461" t="s">
        <v>238</v>
      </c>
      <c r="C6" s="461" t="s">
        <v>353</v>
      </c>
      <c r="D6" s="461" t="s">
        <v>166</v>
      </c>
      <c r="E6" s="461"/>
      <c r="F6" s="461">
        <v>3</v>
      </c>
      <c r="G6" s="461">
        <v>7</v>
      </c>
      <c r="H6" s="461">
        <v>12</v>
      </c>
      <c r="I6" s="461">
        <v>48</v>
      </c>
      <c r="J6" s="461">
        <v>65</v>
      </c>
      <c r="K6" s="461">
        <v>28</v>
      </c>
      <c r="L6" s="461">
        <v>163</v>
      </c>
    </row>
    <row r="7" spans="1:12" x14ac:dyDescent="0.35">
      <c r="A7" s="461" t="s">
        <v>193</v>
      </c>
      <c r="B7" s="461" t="s">
        <v>238</v>
      </c>
      <c r="C7" s="461" t="s">
        <v>355</v>
      </c>
      <c r="D7" s="461" t="s">
        <v>164</v>
      </c>
      <c r="E7" s="461"/>
      <c r="F7" s="461">
        <v>3</v>
      </c>
      <c r="G7" s="461">
        <v>7</v>
      </c>
      <c r="H7" s="461">
        <v>6</v>
      </c>
      <c r="I7" s="461">
        <v>64</v>
      </c>
      <c r="J7" s="461">
        <v>19</v>
      </c>
      <c r="K7" s="461">
        <v>27</v>
      </c>
      <c r="L7" s="461">
        <v>126</v>
      </c>
    </row>
    <row r="8" spans="1:12" x14ac:dyDescent="0.35">
      <c r="A8" s="461" t="s">
        <v>193</v>
      </c>
      <c r="B8" s="461" t="s">
        <v>238</v>
      </c>
      <c r="C8" s="461" t="s">
        <v>339</v>
      </c>
      <c r="D8" s="461" t="s">
        <v>246</v>
      </c>
      <c r="E8" s="461">
        <v>2</v>
      </c>
      <c r="F8" s="461">
        <v>35</v>
      </c>
      <c r="G8" s="461">
        <v>13</v>
      </c>
      <c r="H8" s="461">
        <v>27</v>
      </c>
      <c r="I8" s="461">
        <v>112</v>
      </c>
      <c r="J8" s="461">
        <v>0</v>
      </c>
      <c r="K8" s="461">
        <v>49</v>
      </c>
      <c r="L8" s="461">
        <v>238</v>
      </c>
    </row>
    <row r="9" spans="1:12" x14ac:dyDescent="0.35">
      <c r="A9" s="461" t="s">
        <v>193</v>
      </c>
      <c r="B9" s="461" t="s">
        <v>238</v>
      </c>
      <c r="C9" s="461" t="s">
        <v>354</v>
      </c>
      <c r="D9" s="461" t="s">
        <v>165</v>
      </c>
      <c r="E9" s="461"/>
      <c r="F9" s="461">
        <v>3</v>
      </c>
      <c r="G9" s="461">
        <v>9</v>
      </c>
      <c r="H9" s="461">
        <v>14</v>
      </c>
      <c r="I9" s="461">
        <v>113</v>
      </c>
      <c r="J9" s="461">
        <v>109</v>
      </c>
      <c r="K9" s="461">
        <v>92</v>
      </c>
      <c r="L9" s="461">
        <v>340</v>
      </c>
    </row>
    <row r="10" spans="1:12" x14ac:dyDescent="0.35">
      <c r="A10" s="461" t="s">
        <v>192</v>
      </c>
      <c r="B10" s="461" t="s">
        <v>238</v>
      </c>
      <c r="C10" s="461" t="s">
        <v>353</v>
      </c>
      <c r="D10" s="461" t="s">
        <v>166</v>
      </c>
      <c r="E10" s="461"/>
      <c r="F10" s="461">
        <v>3</v>
      </c>
      <c r="G10" s="461">
        <v>5</v>
      </c>
      <c r="H10" s="461">
        <v>13</v>
      </c>
      <c r="I10" s="461">
        <v>35</v>
      </c>
      <c r="J10" s="461">
        <v>56</v>
      </c>
      <c r="K10" s="461">
        <v>12</v>
      </c>
      <c r="L10" s="461">
        <v>124</v>
      </c>
    </row>
    <row r="11" spans="1:12" x14ac:dyDescent="0.35">
      <c r="A11" s="461" t="s">
        <v>192</v>
      </c>
      <c r="B11" s="461" t="s">
        <v>238</v>
      </c>
      <c r="C11" s="461" t="s">
        <v>355</v>
      </c>
      <c r="D11" s="461" t="s">
        <v>164</v>
      </c>
      <c r="E11" s="461"/>
      <c r="F11" s="461">
        <v>3</v>
      </c>
      <c r="G11" s="461">
        <v>7</v>
      </c>
      <c r="H11" s="461">
        <v>11</v>
      </c>
      <c r="I11" s="461">
        <v>61</v>
      </c>
      <c r="J11" s="461">
        <v>20</v>
      </c>
      <c r="K11" s="461">
        <v>19</v>
      </c>
      <c r="L11" s="461">
        <v>121</v>
      </c>
    </row>
    <row r="12" spans="1:12" x14ac:dyDescent="0.35">
      <c r="A12" s="461" t="s">
        <v>192</v>
      </c>
      <c r="B12" s="461" t="s">
        <v>238</v>
      </c>
      <c r="C12" s="461" t="s">
        <v>339</v>
      </c>
      <c r="D12" s="461" t="s">
        <v>246</v>
      </c>
      <c r="E12" s="461">
        <v>3</v>
      </c>
      <c r="F12" s="461">
        <v>32</v>
      </c>
      <c r="G12" s="461">
        <v>12</v>
      </c>
      <c r="H12" s="461">
        <v>35</v>
      </c>
      <c r="I12" s="461">
        <v>110</v>
      </c>
      <c r="J12" s="461">
        <v>7</v>
      </c>
      <c r="K12" s="461">
        <v>98</v>
      </c>
      <c r="L12" s="461">
        <v>297</v>
      </c>
    </row>
    <row r="13" spans="1:12" x14ac:dyDescent="0.35">
      <c r="A13" s="461" t="s">
        <v>192</v>
      </c>
      <c r="B13" s="461" t="s">
        <v>238</v>
      </c>
      <c r="C13" s="461" t="s">
        <v>354</v>
      </c>
      <c r="D13" s="461" t="s">
        <v>165</v>
      </c>
      <c r="E13" s="461"/>
      <c r="F13" s="461">
        <v>2</v>
      </c>
      <c r="G13" s="461">
        <v>10</v>
      </c>
      <c r="H13" s="461">
        <v>15</v>
      </c>
      <c r="I13" s="461">
        <v>110</v>
      </c>
      <c r="J13" s="461">
        <v>84</v>
      </c>
      <c r="K13" s="461">
        <v>65</v>
      </c>
      <c r="L13" s="461">
        <v>286</v>
      </c>
    </row>
    <row r="14" spans="1:12" x14ac:dyDescent="0.35">
      <c r="A14" s="461" t="s">
        <v>258</v>
      </c>
      <c r="B14" s="461" t="s">
        <v>238</v>
      </c>
      <c r="C14" s="461" t="s">
        <v>353</v>
      </c>
      <c r="D14" s="461" t="s">
        <v>166</v>
      </c>
      <c r="E14" s="461"/>
      <c r="F14" s="461">
        <v>3</v>
      </c>
      <c r="G14" s="461">
        <v>5</v>
      </c>
      <c r="H14" s="461">
        <v>13</v>
      </c>
      <c r="I14" s="461">
        <v>48</v>
      </c>
      <c r="J14" s="461">
        <v>54</v>
      </c>
      <c r="K14" s="461">
        <v>19</v>
      </c>
      <c r="L14" s="461">
        <v>142</v>
      </c>
    </row>
    <row r="15" spans="1:12" x14ac:dyDescent="0.35">
      <c r="A15" s="461" t="s">
        <v>258</v>
      </c>
      <c r="B15" s="461" t="s">
        <v>238</v>
      </c>
      <c r="C15" s="461" t="s">
        <v>355</v>
      </c>
      <c r="D15" s="461" t="s">
        <v>164</v>
      </c>
      <c r="E15" s="461"/>
      <c r="F15" s="461">
        <v>3</v>
      </c>
      <c r="G15" s="461">
        <v>7</v>
      </c>
      <c r="H15" s="461">
        <v>12</v>
      </c>
      <c r="I15" s="461">
        <v>75</v>
      </c>
      <c r="J15" s="461">
        <v>14</v>
      </c>
      <c r="K15" s="461">
        <v>24</v>
      </c>
      <c r="L15" s="461">
        <v>135</v>
      </c>
    </row>
    <row r="16" spans="1:12" x14ac:dyDescent="0.35">
      <c r="A16" s="461" t="s">
        <v>258</v>
      </c>
      <c r="B16" s="461" t="s">
        <v>238</v>
      </c>
      <c r="C16" s="461" t="s">
        <v>339</v>
      </c>
      <c r="D16" s="461" t="s">
        <v>246</v>
      </c>
      <c r="E16" s="461">
        <v>3</v>
      </c>
      <c r="F16" s="461">
        <v>34</v>
      </c>
      <c r="G16" s="461">
        <v>12</v>
      </c>
      <c r="H16" s="461">
        <v>38</v>
      </c>
      <c r="I16" s="461">
        <v>103</v>
      </c>
      <c r="J16" s="461">
        <v>8</v>
      </c>
      <c r="K16" s="461">
        <v>69</v>
      </c>
      <c r="L16" s="461">
        <v>267</v>
      </c>
    </row>
    <row r="17" spans="1:12" x14ac:dyDescent="0.35">
      <c r="A17" s="461" t="s">
        <v>258</v>
      </c>
      <c r="B17" s="461" t="s">
        <v>238</v>
      </c>
      <c r="C17" s="461" t="s">
        <v>354</v>
      </c>
      <c r="D17" s="461" t="s">
        <v>165</v>
      </c>
      <c r="F17">
        <v>2</v>
      </c>
      <c r="G17">
        <v>10</v>
      </c>
      <c r="H17">
        <v>15</v>
      </c>
      <c r="I17">
        <v>120</v>
      </c>
      <c r="J17">
        <v>89</v>
      </c>
      <c r="K17">
        <v>58</v>
      </c>
      <c r="L17">
        <v>294</v>
      </c>
    </row>
    <row r="18" spans="1:12" x14ac:dyDescent="0.35">
      <c r="A18" s="461" t="s">
        <v>242</v>
      </c>
      <c r="B18" s="461" t="s">
        <v>238</v>
      </c>
      <c r="C18" s="461" t="s">
        <v>353</v>
      </c>
      <c r="D18" s="461" t="s">
        <v>166</v>
      </c>
      <c r="F18">
        <v>3</v>
      </c>
      <c r="G18">
        <v>3</v>
      </c>
      <c r="H18">
        <v>11</v>
      </c>
      <c r="I18">
        <v>45</v>
      </c>
      <c r="J18">
        <v>49</v>
      </c>
      <c r="K18">
        <v>17</v>
      </c>
      <c r="L18">
        <v>128</v>
      </c>
    </row>
    <row r="19" spans="1:12" x14ac:dyDescent="0.35">
      <c r="A19" s="461" t="s">
        <v>242</v>
      </c>
      <c r="B19" s="461" t="s">
        <v>238</v>
      </c>
      <c r="C19" s="461" t="s">
        <v>355</v>
      </c>
      <c r="D19" s="461" t="s">
        <v>164</v>
      </c>
      <c r="F19">
        <v>3</v>
      </c>
      <c r="G19">
        <v>8</v>
      </c>
      <c r="H19">
        <v>11</v>
      </c>
      <c r="I19">
        <v>81</v>
      </c>
      <c r="J19">
        <v>15</v>
      </c>
      <c r="K19">
        <v>23</v>
      </c>
      <c r="L19">
        <v>141</v>
      </c>
    </row>
    <row r="20" spans="1:12" x14ac:dyDescent="0.35">
      <c r="A20" s="461" t="s">
        <v>242</v>
      </c>
      <c r="B20" s="461" t="s">
        <v>238</v>
      </c>
      <c r="C20" s="461" t="s">
        <v>339</v>
      </c>
      <c r="D20" s="461" t="s">
        <v>246</v>
      </c>
      <c r="E20">
        <v>2</v>
      </c>
      <c r="F20">
        <v>42</v>
      </c>
      <c r="G20">
        <v>11</v>
      </c>
      <c r="H20">
        <v>41</v>
      </c>
      <c r="I20">
        <v>107</v>
      </c>
      <c r="J20">
        <v>7</v>
      </c>
      <c r="K20">
        <v>67</v>
      </c>
      <c r="L20">
        <v>277</v>
      </c>
    </row>
    <row r="21" spans="1:12" x14ac:dyDescent="0.35">
      <c r="A21" s="461" t="s">
        <v>242</v>
      </c>
      <c r="B21" s="461" t="s">
        <v>238</v>
      </c>
      <c r="C21" s="461" t="s">
        <v>354</v>
      </c>
      <c r="D21" s="461" t="s">
        <v>165</v>
      </c>
      <c r="F21">
        <v>2</v>
      </c>
      <c r="G21">
        <v>10</v>
      </c>
      <c r="H21">
        <v>16</v>
      </c>
      <c r="I21">
        <v>133</v>
      </c>
      <c r="J21">
        <v>82</v>
      </c>
      <c r="K21">
        <v>57</v>
      </c>
      <c r="L21">
        <v>300</v>
      </c>
    </row>
    <row r="22" spans="1:12" x14ac:dyDescent="0.35">
      <c r="A22" s="461" t="s">
        <v>241</v>
      </c>
      <c r="B22" s="461" t="s">
        <v>237</v>
      </c>
      <c r="C22" s="461" t="s">
        <v>353</v>
      </c>
      <c r="D22" s="461" t="s">
        <v>166</v>
      </c>
      <c r="F22">
        <v>0</v>
      </c>
      <c r="G22">
        <v>0</v>
      </c>
      <c r="H22">
        <v>0</v>
      </c>
      <c r="I22">
        <v>0</v>
      </c>
      <c r="J22">
        <v>0</v>
      </c>
      <c r="K22">
        <v>0</v>
      </c>
      <c r="L22">
        <v>0</v>
      </c>
    </row>
    <row r="23" spans="1:12" x14ac:dyDescent="0.35">
      <c r="A23" s="461" t="s">
        <v>241</v>
      </c>
      <c r="B23" s="461" t="s">
        <v>237</v>
      </c>
      <c r="C23" s="461" t="s">
        <v>355</v>
      </c>
      <c r="D23" s="461" t="s">
        <v>164</v>
      </c>
      <c r="F23">
        <v>0</v>
      </c>
      <c r="G23">
        <v>0</v>
      </c>
      <c r="H23">
        <v>0</v>
      </c>
      <c r="I23">
        <v>0</v>
      </c>
      <c r="J23">
        <v>0</v>
      </c>
      <c r="K23">
        <v>0</v>
      </c>
      <c r="L23">
        <v>0</v>
      </c>
    </row>
    <row r="24" spans="1:12" x14ac:dyDescent="0.35">
      <c r="A24" s="461" t="s">
        <v>241</v>
      </c>
      <c r="B24" s="461" t="s">
        <v>237</v>
      </c>
      <c r="C24" s="461" t="s">
        <v>354</v>
      </c>
      <c r="D24" s="461" t="s">
        <v>165</v>
      </c>
      <c r="F24">
        <v>0</v>
      </c>
      <c r="G24">
        <v>0</v>
      </c>
      <c r="H24">
        <v>0</v>
      </c>
      <c r="I24">
        <v>0</v>
      </c>
      <c r="J24">
        <v>0</v>
      </c>
      <c r="K24">
        <v>0</v>
      </c>
      <c r="L24">
        <v>0</v>
      </c>
    </row>
    <row r="25" spans="1:12" x14ac:dyDescent="0.35">
      <c r="A25" s="461" t="s">
        <v>241</v>
      </c>
      <c r="B25" s="461" t="s">
        <v>238</v>
      </c>
      <c r="C25" s="461" t="s">
        <v>339</v>
      </c>
      <c r="D25" s="461" t="s">
        <v>246</v>
      </c>
      <c r="E25">
        <v>3</v>
      </c>
      <c r="F25">
        <v>49</v>
      </c>
      <c r="G25">
        <v>34</v>
      </c>
      <c r="H25">
        <v>84</v>
      </c>
      <c r="I25">
        <v>388</v>
      </c>
      <c r="J25">
        <v>64</v>
      </c>
      <c r="K25">
        <v>170</v>
      </c>
      <c r="L25">
        <v>792</v>
      </c>
    </row>
    <row r="26" spans="1:12" x14ac:dyDescent="0.35">
      <c r="A26" s="461" t="s">
        <v>773</v>
      </c>
      <c r="B26" s="461" t="s">
        <v>237</v>
      </c>
      <c r="C26" s="461" t="s">
        <v>353</v>
      </c>
      <c r="D26" s="461" t="s">
        <v>166</v>
      </c>
      <c r="F26">
        <v>0</v>
      </c>
      <c r="G26">
        <v>0</v>
      </c>
      <c r="H26">
        <v>0</v>
      </c>
      <c r="I26">
        <v>0</v>
      </c>
      <c r="J26">
        <v>0</v>
      </c>
      <c r="K26">
        <v>0</v>
      </c>
      <c r="L26">
        <v>0</v>
      </c>
    </row>
    <row r="27" spans="1:12" x14ac:dyDescent="0.35">
      <c r="A27" s="461" t="s">
        <v>773</v>
      </c>
      <c r="B27" s="461" t="s">
        <v>237</v>
      </c>
      <c r="C27" s="461" t="s">
        <v>355</v>
      </c>
      <c r="D27" s="461" t="s">
        <v>164</v>
      </c>
      <c r="F27">
        <v>0</v>
      </c>
      <c r="G27">
        <v>0</v>
      </c>
      <c r="H27">
        <v>0</v>
      </c>
      <c r="I27">
        <v>0</v>
      </c>
      <c r="J27">
        <v>0</v>
      </c>
      <c r="K27">
        <v>0</v>
      </c>
      <c r="L27">
        <v>0</v>
      </c>
    </row>
    <row r="28" spans="1:12" x14ac:dyDescent="0.35">
      <c r="A28" s="461" t="s">
        <v>773</v>
      </c>
      <c r="B28" s="461" t="s">
        <v>237</v>
      </c>
      <c r="C28" s="461" t="s">
        <v>354</v>
      </c>
      <c r="D28" s="461" t="s">
        <v>165</v>
      </c>
      <c r="F28">
        <v>0</v>
      </c>
      <c r="G28">
        <v>0</v>
      </c>
      <c r="H28">
        <v>0</v>
      </c>
      <c r="I28">
        <v>0</v>
      </c>
      <c r="J28">
        <v>0</v>
      </c>
      <c r="K28">
        <v>0</v>
      </c>
      <c r="L28">
        <v>0</v>
      </c>
    </row>
    <row r="29" spans="1:12" x14ac:dyDescent="0.35">
      <c r="A29" s="461" t="s">
        <v>773</v>
      </c>
      <c r="B29" s="461" t="s">
        <v>238</v>
      </c>
      <c r="C29" s="461" t="s">
        <v>339</v>
      </c>
      <c r="D29" s="461" t="s">
        <v>246</v>
      </c>
      <c r="E29">
        <v>3</v>
      </c>
      <c r="F29">
        <v>47</v>
      </c>
      <c r="G29">
        <v>32</v>
      </c>
      <c r="H29">
        <v>90</v>
      </c>
      <c r="I29">
        <v>400</v>
      </c>
      <c r="J29">
        <v>63</v>
      </c>
      <c r="K29">
        <v>182</v>
      </c>
      <c r="L29">
        <v>817</v>
      </c>
    </row>
    <row r="30" spans="1:12" x14ac:dyDescent="0.35">
      <c r="A30" s="461" t="s">
        <v>951</v>
      </c>
      <c r="B30" s="461" t="s">
        <v>237</v>
      </c>
      <c r="C30" s="461" t="s">
        <v>353</v>
      </c>
      <c r="D30" s="461" t="s">
        <v>166</v>
      </c>
      <c r="F30">
        <v>0</v>
      </c>
      <c r="G30">
        <v>0</v>
      </c>
      <c r="H30">
        <v>0</v>
      </c>
      <c r="I30">
        <v>0</v>
      </c>
      <c r="J30">
        <v>0</v>
      </c>
      <c r="K30">
        <v>0</v>
      </c>
      <c r="L30">
        <v>0</v>
      </c>
    </row>
    <row r="31" spans="1:12" x14ac:dyDescent="0.35">
      <c r="A31" s="461" t="s">
        <v>951</v>
      </c>
      <c r="B31" s="461" t="s">
        <v>237</v>
      </c>
      <c r="C31" s="461" t="s">
        <v>355</v>
      </c>
      <c r="D31" s="461" t="s">
        <v>164</v>
      </c>
      <c r="F31">
        <v>0</v>
      </c>
      <c r="G31">
        <v>0</v>
      </c>
      <c r="H31">
        <v>0</v>
      </c>
      <c r="I31">
        <v>0</v>
      </c>
      <c r="J31">
        <v>0</v>
      </c>
      <c r="K31">
        <v>0</v>
      </c>
      <c r="L31">
        <v>0</v>
      </c>
    </row>
    <row r="32" spans="1:12" x14ac:dyDescent="0.35">
      <c r="A32" s="461" t="s">
        <v>951</v>
      </c>
      <c r="B32" s="461" t="s">
        <v>237</v>
      </c>
      <c r="C32" s="461" t="s">
        <v>354</v>
      </c>
      <c r="D32" s="461" t="s">
        <v>165</v>
      </c>
      <c r="F32">
        <v>0</v>
      </c>
      <c r="G32">
        <v>0</v>
      </c>
      <c r="H32">
        <v>0</v>
      </c>
      <c r="I32">
        <v>0</v>
      </c>
      <c r="J32">
        <v>0</v>
      </c>
      <c r="K32">
        <v>0</v>
      </c>
      <c r="L32">
        <v>0</v>
      </c>
    </row>
    <row r="33" spans="1:12" x14ac:dyDescent="0.35">
      <c r="A33" s="461" t="s">
        <v>951</v>
      </c>
      <c r="B33" s="461" t="s">
        <v>238</v>
      </c>
      <c r="C33" s="461" t="s">
        <v>339</v>
      </c>
      <c r="D33" s="461" t="s">
        <v>246</v>
      </c>
      <c r="E33">
        <v>3</v>
      </c>
      <c r="F33">
        <v>50</v>
      </c>
      <c r="G33">
        <v>30</v>
      </c>
      <c r="H33">
        <v>91</v>
      </c>
      <c r="I33">
        <v>414</v>
      </c>
      <c r="J33">
        <v>61</v>
      </c>
      <c r="K33">
        <v>187</v>
      </c>
      <c r="L33">
        <v>836</v>
      </c>
    </row>
  </sheetData>
  <pageMargins left="0.7" right="0.7" top="0.75" bottom="0.75" header="0.3" footer="0.3"/>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39997558519241921"/>
    <pageSetUpPr fitToPage="1"/>
  </sheetPr>
  <dimension ref="A1:J35"/>
  <sheetViews>
    <sheetView showGridLines="0" workbookViewId="0">
      <pane ySplit="2" topLeftCell="A3" activePane="bottomLeft" state="frozen"/>
      <selection pane="bottomLeft" sqref="A1:H1"/>
    </sheetView>
  </sheetViews>
  <sheetFormatPr defaultRowHeight="14.5" x14ac:dyDescent="0.35"/>
  <cols>
    <col min="1" max="1" width="17.1796875" customWidth="1"/>
    <col min="2" max="2" width="33.81640625" customWidth="1"/>
    <col min="3" max="8" width="13" customWidth="1"/>
    <col min="9" max="9" width="14.1796875" customWidth="1"/>
    <col min="10" max="10" width="12.1796875" customWidth="1"/>
  </cols>
  <sheetData>
    <row r="1" spans="1:10" ht="15.5" x14ac:dyDescent="0.35">
      <c r="A1" s="1160" t="s">
        <v>439</v>
      </c>
      <c r="B1" s="1160"/>
      <c r="C1" s="1160"/>
      <c r="D1" s="1160"/>
      <c r="E1" s="1160"/>
      <c r="F1" s="1160"/>
      <c r="G1" s="1160"/>
      <c r="H1" s="1160"/>
    </row>
    <row r="2" spans="1:10" ht="15.5" x14ac:dyDescent="0.35">
      <c r="A2" s="601" t="s">
        <v>509</v>
      </c>
      <c r="C2" s="538"/>
      <c r="D2" s="538"/>
      <c r="E2" s="538"/>
      <c r="F2" s="538"/>
      <c r="G2" s="538"/>
      <c r="H2" s="538"/>
    </row>
    <row r="3" spans="1:10" ht="15.5" x14ac:dyDescent="0.35">
      <c r="C3" s="538"/>
      <c r="D3" s="538"/>
      <c r="E3" s="538"/>
      <c r="F3" s="538"/>
      <c r="G3" s="538"/>
      <c r="H3" s="538"/>
    </row>
    <row r="4" spans="1:10" s="554" customFormat="1" ht="30.75" customHeight="1" x14ac:dyDescent="0.35">
      <c r="A4" s="553" t="s">
        <v>466</v>
      </c>
      <c r="B4" s="553"/>
      <c r="C4" s="553"/>
      <c r="D4" s="553"/>
      <c r="E4" s="553"/>
      <c r="F4" s="553"/>
      <c r="G4" s="553"/>
      <c r="H4" s="553"/>
      <c r="J4" s="555"/>
    </row>
    <row r="5" spans="1:10" ht="15" customHeight="1" x14ac:dyDescent="0.35">
      <c r="A5" t="s">
        <v>320</v>
      </c>
      <c r="B5" t="s">
        <v>673</v>
      </c>
      <c r="C5" s="509"/>
      <c r="D5" s="509"/>
      <c r="E5" s="509"/>
      <c r="F5" s="509"/>
      <c r="G5" s="509"/>
      <c r="H5" s="509"/>
      <c r="J5" s="97"/>
    </row>
    <row r="6" spans="1:10" ht="15" customHeight="1" x14ac:dyDescent="0.35">
      <c r="A6" t="s">
        <v>321</v>
      </c>
      <c r="B6" t="s">
        <v>323</v>
      </c>
      <c r="C6" s="509"/>
      <c r="D6" s="509"/>
      <c r="E6" s="509"/>
      <c r="F6" s="509"/>
      <c r="G6" s="509"/>
      <c r="H6" s="509"/>
      <c r="J6" s="97"/>
    </row>
    <row r="7" spans="1:10" ht="15" customHeight="1" x14ac:dyDescent="0.35">
      <c r="A7" t="s">
        <v>322</v>
      </c>
      <c r="B7" t="s">
        <v>324</v>
      </c>
      <c r="C7" s="509"/>
      <c r="D7" s="509"/>
      <c r="E7" s="509"/>
      <c r="F7" s="509"/>
      <c r="G7" s="509"/>
      <c r="H7" s="509"/>
      <c r="J7" s="97"/>
    </row>
    <row r="8" spans="1:10" ht="15" customHeight="1" x14ac:dyDescent="0.35">
      <c r="A8" s="509"/>
      <c r="B8" s="509"/>
      <c r="C8" s="509"/>
      <c r="D8" s="509"/>
      <c r="E8" s="509"/>
      <c r="F8" s="509"/>
      <c r="G8" s="509"/>
      <c r="H8" s="509"/>
      <c r="J8" s="97"/>
    </row>
    <row r="9" spans="1:10" ht="15" customHeight="1" x14ac:dyDescent="0.35">
      <c r="A9" s="703" t="s">
        <v>1</v>
      </c>
      <c r="B9" s="703" t="str">
        <f>csroledatapivot!B1</f>
        <v>2020-21</v>
      </c>
      <c r="C9" s="703"/>
      <c r="D9" s="703"/>
      <c r="E9" s="703"/>
      <c r="F9" s="703"/>
      <c r="G9" s="703"/>
      <c r="H9" s="703"/>
      <c r="J9" s="97"/>
    </row>
    <row r="10" spans="1:10" ht="15" customHeight="1" x14ac:dyDescent="0.35">
      <c r="A10" s="703"/>
      <c r="B10" s="703"/>
      <c r="C10" s="703"/>
      <c r="D10" s="703"/>
      <c r="E10" s="703"/>
      <c r="F10" s="703"/>
      <c r="G10" s="703"/>
      <c r="H10" s="703"/>
      <c r="J10" s="97"/>
    </row>
    <row r="11" spans="1:10" ht="33.75" customHeight="1" x14ac:dyDescent="0.35">
      <c r="A11" s="49" t="s">
        <v>447</v>
      </c>
      <c r="B11" s="98" t="s">
        <v>207</v>
      </c>
      <c r="C11" s="99" t="s">
        <v>857</v>
      </c>
      <c r="D11" s="99" t="s">
        <v>858</v>
      </c>
      <c r="E11" s="99" t="s">
        <v>859</v>
      </c>
      <c r="F11" s="99" t="s">
        <v>860</v>
      </c>
      <c r="G11" s="99" t="s">
        <v>861</v>
      </c>
      <c r="H11" s="99" t="s">
        <v>76</v>
      </c>
      <c r="I11" s="100" t="s">
        <v>26</v>
      </c>
    </row>
    <row r="12" spans="1:10" ht="15" customHeight="1" thickBot="1" x14ac:dyDescent="0.4">
      <c r="A12" s="345" t="s">
        <v>339</v>
      </c>
      <c r="B12" s="94" t="s">
        <v>451</v>
      </c>
      <c r="C12" s="101">
        <f>csroledatapivot!B4</f>
        <v>1</v>
      </c>
      <c r="D12" s="101">
        <f>csroledatapivot!C4</f>
        <v>4</v>
      </c>
      <c r="E12" s="101">
        <f>csroledatapivot!D4</f>
        <v>10</v>
      </c>
      <c r="F12" s="101">
        <f>csroledatapivot!E4</f>
        <v>41</v>
      </c>
      <c r="G12" s="101">
        <f>csroledatapivot!F4</f>
        <v>31</v>
      </c>
      <c r="H12" s="101">
        <f>csroledatapivot!G4</f>
        <v>95</v>
      </c>
      <c r="I12" s="38">
        <f>SUM(C12:H12)</f>
        <v>182</v>
      </c>
    </row>
    <row r="13" spans="1:10" ht="13.5" customHeight="1" x14ac:dyDescent="0.35">
      <c r="A13" s="57"/>
      <c r="B13" s="96"/>
      <c r="C13" s="25"/>
      <c r="D13" s="25"/>
      <c r="E13" s="25"/>
      <c r="F13" s="25"/>
      <c r="G13" s="25"/>
      <c r="H13" s="25"/>
      <c r="I13" s="12"/>
      <c r="J13" s="41"/>
    </row>
    <row r="14" spans="1:10" ht="13.5" customHeight="1" x14ac:dyDescent="0.35">
      <c r="A14" s="61" t="s">
        <v>8</v>
      </c>
      <c r="C14" s="25"/>
      <c r="D14" s="25"/>
      <c r="E14" s="25"/>
      <c r="F14" s="25"/>
      <c r="G14" s="25"/>
      <c r="H14" s="25"/>
      <c r="I14" s="12"/>
      <c r="J14" s="41"/>
    </row>
    <row r="15" spans="1:10" ht="15.5" x14ac:dyDescent="0.35">
      <c r="A15" s="382" t="s">
        <v>220</v>
      </c>
      <c r="C15" s="271"/>
      <c r="D15" s="271"/>
      <c r="E15" s="271"/>
      <c r="F15" s="271"/>
      <c r="G15" s="271"/>
      <c r="H15" s="271"/>
      <c r="I15" s="271"/>
      <c r="J15" s="97"/>
    </row>
    <row r="16" spans="1:10" ht="15" customHeight="1" x14ac:dyDescent="0.35">
      <c r="A16" t="s">
        <v>452</v>
      </c>
      <c r="C16" s="271"/>
      <c r="D16" s="271"/>
      <c r="E16" s="271"/>
      <c r="F16" s="271"/>
      <c r="G16" s="271"/>
      <c r="H16" s="271"/>
      <c r="I16" s="271"/>
      <c r="J16" s="97"/>
    </row>
    <row r="17" spans="1:10" ht="45.75" customHeight="1" x14ac:dyDescent="0.35">
      <c r="A17" s="1180" t="s">
        <v>863</v>
      </c>
      <c r="B17" s="1180"/>
      <c r="C17" s="1180"/>
      <c r="D17" s="1180"/>
      <c r="E17" s="1180"/>
      <c r="F17" s="1180"/>
      <c r="G17" s="1180"/>
      <c r="H17" s="1180"/>
      <c r="I17" s="1180"/>
      <c r="J17" s="97"/>
    </row>
    <row r="18" spans="1:10" ht="15" customHeight="1" x14ac:dyDescent="0.35">
      <c r="A18" s="707"/>
      <c r="B18" s="707"/>
      <c r="C18" s="707"/>
      <c r="D18" s="707"/>
      <c r="E18" s="707"/>
      <c r="F18" s="707"/>
      <c r="G18" s="707"/>
      <c r="H18" s="707"/>
      <c r="I18" s="707"/>
      <c r="J18" s="97"/>
    </row>
    <row r="19" spans="1:10" ht="30" customHeight="1" x14ac:dyDescent="0.35">
      <c r="A19" s="553" t="s">
        <v>467</v>
      </c>
      <c r="B19" s="553"/>
      <c r="C19" s="553"/>
      <c r="D19" s="553"/>
      <c r="E19" s="553"/>
      <c r="F19" s="553"/>
      <c r="G19" s="553"/>
      <c r="H19" s="553"/>
      <c r="J19" s="97"/>
    </row>
    <row r="20" spans="1:10" ht="15" customHeight="1" x14ac:dyDescent="0.35">
      <c r="A20" t="s">
        <v>320</v>
      </c>
      <c r="B20" t="s">
        <v>674</v>
      </c>
      <c r="C20" s="509"/>
      <c r="D20" s="509"/>
      <c r="E20" s="509"/>
      <c r="F20" s="509"/>
      <c r="G20" s="509"/>
      <c r="H20" s="509"/>
      <c r="I20" s="509"/>
      <c r="J20" s="97"/>
    </row>
    <row r="21" spans="1:10" ht="15" customHeight="1" x14ac:dyDescent="0.35">
      <c r="A21" t="s">
        <v>321</v>
      </c>
      <c r="B21" t="s">
        <v>323</v>
      </c>
      <c r="C21" s="509"/>
      <c r="D21" s="509"/>
      <c r="E21" s="509"/>
      <c r="F21" s="509"/>
      <c r="G21" s="509"/>
      <c r="H21" s="509"/>
      <c r="I21" s="509"/>
      <c r="J21" s="97"/>
    </row>
    <row r="22" spans="1:10" ht="15" customHeight="1" x14ac:dyDescent="0.35">
      <c r="A22" t="s">
        <v>322</v>
      </c>
      <c r="B22" t="s">
        <v>324</v>
      </c>
      <c r="C22" s="509"/>
      <c r="D22" s="509"/>
      <c r="E22" s="509"/>
      <c r="F22" s="509"/>
      <c r="G22" s="509"/>
      <c r="H22" s="509"/>
      <c r="I22" s="509"/>
      <c r="J22" s="97"/>
    </row>
    <row r="23" spans="1:10" ht="30" customHeight="1" x14ac:dyDescent="0.35">
      <c r="A23" s="98" t="s">
        <v>447</v>
      </c>
      <c r="C23" s="93" t="s">
        <v>199</v>
      </c>
      <c r="D23" s="93" t="s">
        <v>77</v>
      </c>
      <c r="E23" s="93" t="s">
        <v>17475</v>
      </c>
      <c r="F23" s="93" t="s">
        <v>78</v>
      </c>
      <c r="G23" s="93" t="s">
        <v>17476</v>
      </c>
      <c r="H23" s="93" t="s">
        <v>79</v>
      </c>
      <c r="I23" s="93" t="s">
        <v>91</v>
      </c>
      <c r="J23" s="912" t="s">
        <v>26</v>
      </c>
    </row>
    <row r="24" spans="1:10" ht="18.75" customHeight="1" thickBot="1" x14ac:dyDescent="0.4">
      <c r="A24" s="345" t="s">
        <v>339</v>
      </c>
      <c r="B24" s="45" t="s">
        <v>74</v>
      </c>
      <c r="C24" s="345">
        <f>GETPIVOTDATA("Sum of Director",CSRoleAreaSupportPivot!$A$3)</f>
        <v>3</v>
      </c>
      <c r="D24" s="345">
        <f>GETPIVOTDATA("Sum of Service Manager",CSRoleAreaSupportPivot!$A$3,"ReportingLevel","4:National")</f>
        <v>50</v>
      </c>
      <c r="E24" s="345">
        <f>GETPIVOTDATA("Sum of Team Leader",CSRoleAreaSupportPivot!$A$3,"ReportingLevel","4:National")</f>
        <v>30</v>
      </c>
      <c r="F24" s="345">
        <f>GETPIVOTDATA("Sum of Professional",CSRoleAreaSupportPivot!$A$3,"ReportingLevel","4:National")</f>
        <v>91</v>
      </c>
      <c r="G24" s="345">
        <f>GETPIVOTDATA("Sum of Specialist Technical",CSRoleAreaSupportPivot!$A$3,"ReportingLevel","4:National")</f>
        <v>414</v>
      </c>
      <c r="H24" s="345">
        <f>GETPIVOTDATA("Sum of Tech Support",CSRoleAreaSupportPivot!$A$3,"ReportingLevel","4:National")</f>
        <v>61</v>
      </c>
      <c r="I24" s="345">
        <f>GETPIVOTDATA("Sum of Administration",CSRoleAreaSupportPivot!$A$3,"ReportingLevel","4:National")</f>
        <v>187</v>
      </c>
      <c r="J24" s="328">
        <f>SUM(C24:I24)</f>
        <v>836</v>
      </c>
    </row>
    <row r="25" spans="1:10" x14ac:dyDescent="0.35">
      <c r="B25" s="402"/>
      <c r="C25" s="403"/>
      <c r="D25" s="403"/>
      <c r="E25" s="403"/>
      <c r="F25" s="403"/>
      <c r="G25" s="403"/>
      <c r="H25" s="403"/>
      <c r="I25" s="404"/>
      <c r="J25" s="394"/>
    </row>
    <row r="26" spans="1:10" ht="15" customHeight="1" x14ac:dyDescent="0.35">
      <c r="A26" s="402" t="s">
        <v>8</v>
      </c>
      <c r="B26" s="546"/>
      <c r="C26" s="546"/>
      <c r="D26" s="546"/>
      <c r="E26" s="546"/>
      <c r="F26" s="546"/>
      <c r="G26" s="546"/>
      <c r="H26" s="547"/>
      <c r="I26" s="548"/>
    </row>
    <row r="27" spans="1:10" ht="15" customHeight="1" x14ac:dyDescent="0.35">
      <c r="A27" s="688" t="s">
        <v>732</v>
      </c>
      <c r="B27" s="546"/>
      <c r="C27" s="546"/>
      <c r="D27" s="546"/>
      <c r="E27" s="546"/>
      <c r="F27" s="546"/>
      <c r="G27" s="546"/>
      <c r="H27" s="547"/>
      <c r="I27" s="548"/>
    </row>
    <row r="28" spans="1:10" ht="31.5" customHeight="1" x14ac:dyDescent="0.35">
      <c r="A28" s="1181" t="s">
        <v>17484</v>
      </c>
      <c r="B28" s="1181"/>
      <c r="C28" s="1181"/>
      <c r="D28" s="1181"/>
      <c r="E28" s="1181"/>
      <c r="F28" s="1181"/>
      <c r="G28" s="1181"/>
      <c r="H28" s="1181"/>
      <c r="I28" s="1181"/>
      <c r="J28" s="1181"/>
    </row>
    <row r="29" spans="1:10" ht="30" customHeight="1" x14ac:dyDescent="0.35">
      <c r="A29" s="1179" t="s">
        <v>218</v>
      </c>
      <c r="B29" s="1179"/>
      <c r="C29" s="1179"/>
      <c r="D29" s="1179"/>
      <c r="E29" s="1179"/>
      <c r="F29" s="1179"/>
      <c r="G29" s="1179"/>
      <c r="H29" s="1179"/>
      <c r="I29" s="1179"/>
      <c r="J29" s="1179"/>
    </row>
    <row r="30" spans="1:10" ht="15" customHeight="1" x14ac:dyDescent="0.35">
      <c r="A30" s="405" t="s">
        <v>219</v>
      </c>
      <c r="B30" s="395"/>
      <c r="C30" s="551"/>
      <c r="D30" s="552"/>
      <c r="E30" s="552"/>
      <c r="F30" s="552"/>
      <c r="G30" s="552"/>
      <c r="H30" s="552"/>
      <c r="I30" s="552"/>
    </row>
    <row r="31" spans="1:10" x14ac:dyDescent="0.35">
      <c r="C31" s="404"/>
      <c r="D31" s="404"/>
      <c r="E31" s="404"/>
      <c r="F31" s="404"/>
      <c r="G31" s="404"/>
      <c r="H31" s="404"/>
      <c r="I31" s="404"/>
      <c r="J31" s="394"/>
    </row>
    <row r="32" spans="1:10" x14ac:dyDescent="0.35">
      <c r="B32" s="412"/>
      <c r="C32" s="412"/>
      <c r="D32" s="412"/>
      <c r="E32" s="412"/>
      <c r="F32" s="412"/>
      <c r="G32" s="412"/>
      <c r="H32" s="412"/>
      <c r="I32" s="412"/>
      <c r="J32" s="412"/>
    </row>
    <row r="33" spans="2:10" x14ac:dyDescent="0.35">
      <c r="B33" s="412"/>
      <c r="C33" s="412"/>
      <c r="D33" s="412"/>
      <c r="E33" s="412"/>
      <c r="F33" s="412"/>
      <c r="G33" s="412"/>
      <c r="H33" s="412"/>
      <c r="I33" s="412"/>
      <c r="J33" s="412"/>
    </row>
    <row r="34" spans="2:10" x14ac:dyDescent="0.35">
      <c r="B34" s="412"/>
      <c r="C34" s="412"/>
      <c r="D34" s="412"/>
      <c r="E34" s="412"/>
      <c r="F34" s="412"/>
      <c r="G34" s="412"/>
      <c r="H34" s="412"/>
      <c r="I34" s="412"/>
      <c r="J34" s="412"/>
    </row>
    <row r="35" spans="2:10" x14ac:dyDescent="0.35">
      <c r="B35" s="412"/>
      <c r="C35" s="412"/>
      <c r="D35" s="412"/>
      <c r="E35" s="412"/>
      <c r="F35" s="412"/>
      <c r="G35" s="412"/>
      <c r="H35" s="412"/>
      <c r="I35" s="412"/>
      <c r="J35" s="412"/>
    </row>
  </sheetData>
  <sheetProtection algorithmName="SHA-512" hashValue="M17HN3viiAgBA2vI4Q5x/nC/Xpu8FOcg4Stpe+h9qok7jLNYB/7d7zDS/+YbIMGm5uOtJjj1fNNr8ybLPENhGg==" saltValue="j4tFPlOtkSOlHBO16j9I/g==" spinCount="100000" sheet="1" scenarios="1" formatCells="0" formatColumns="0" formatRows="0" sort="0" autoFilter="0" pivotTables="0"/>
  <mergeCells count="4">
    <mergeCell ref="A1:H1"/>
    <mergeCell ref="A28:J28"/>
    <mergeCell ref="A29:J29"/>
    <mergeCell ref="A17:I17"/>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4" orientation="landscape" r:id="rId1"/>
  <drawing r:id="rId2"/>
  <extLst>
    <ext xmlns:x14="http://schemas.microsoft.com/office/spreadsheetml/2009/9/main" uri="{A8765BA9-456A-4dab-B4F3-ACF838C121DE}">
      <x14:slicerList>
        <x14:slicer r:id="rId3"/>
      </x14:slicerList>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38"/>
  <sheetViews>
    <sheetView workbookViewId="0">
      <selection activeCell="B8" sqref="B8"/>
    </sheetView>
  </sheetViews>
  <sheetFormatPr defaultRowHeight="14.5" x14ac:dyDescent="0.35"/>
  <cols>
    <col min="1" max="1" width="24.26953125" bestFit="1" customWidth="1"/>
    <col min="2" max="2" width="20.6328125" bestFit="1" customWidth="1"/>
    <col min="3" max="3" width="19.453125" bestFit="1" customWidth="1"/>
    <col min="4" max="4" width="15.81640625" bestFit="1" customWidth="1"/>
  </cols>
  <sheetData>
    <row r="1" spans="1:4" x14ac:dyDescent="0.35">
      <c r="A1" s="459" t="s">
        <v>1</v>
      </c>
      <c r="B1" t="s">
        <v>951</v>
      </c>
    </row>
    <row r="3" spans="1:4" x14ac:dyDescent="0.35">
      <c r="A3" s="459" t="s">
        <v>234</v>
      </c>
      <c r="B3" t="s">
        <v>243</v>
      </c>
      <c r="C3" t="s">
        <v>254</v>
      </c>
      <c r="D3" t="s">
        <v>255</v>
      </c>
    </row>
    <row r="4" spans="1:4" x14ac:dyDescent="0.35">
      <c r="A4" s="1000" t="s">
        <v>235</v>
      </c>
      <c r="B4" s="461"/>
      <c r="C4" s="461"/>
      <c r="D4" s="461"/>
    </row>
    <row r="5" spans="1:4" x14ac:dyDescent="0.35">
      <c r="A5" s="462" t="s">
        <v>31</v>
      </c>
      <c r="B5" s="461"/>
      <c r="C5" s="461"/>
      <c r="D5" s="461"/>
    </row>
    <row r="6" spans="1:4" x14ac:dyDescent="0.35">
      <c r="A6" s="462" t="s">
        <v>32</v>
      </c>
      <c r="B6" s="461"/>
      <c r="C6" s="461"/>
      <c r="D6" s="461"/>
    </row>
    <row r="7" spans="1:4" x14ac:dyDescent="0.35">
      <c r="A7" s="462" t="s">
        <v>33</v>
      </c>
      <c r="B7" s="461"/>
      <c r="C7" s="461"/>
      <c r="D7" s="461"/>
    </row>
    <row r="8" spans="1:4" x14ac:dyDescent="0.35">
      <c r="A8" s="462" t="s">
        <v>34</v>
      </c>
      <c r="B8" s="461">
        <v>25</v>
      </c>
      <c r="C8" s="461">
        <v>22</v>
      </c>
      <c r="D8" s="461">
        <v>154</v>
      </c>
    </row>
    <row r="9" spans="1:4" x14ac:dyDescent="0.35">
      <c r="A9" s="462" t="s">
        <v>245</v>
      </c>
      <c r="B9" s="461"/>
      <c r="C9" s="461"/>
      <c r="D9" s="461"/>
    </row>
    <row r="10" spans="1:4" x14ac:dyDescent="0.35">
      <c r="A10" s="462" t="s">
        <v>35</v>
      </c>
      <c r="B10" s="461"/>
      <c r="C10" s="461"/>
      <c r="D10" s="461"/>
    </row>
    <row r="11" spans="1:4" x14ac:dyDescent="0.35">
      <c r="A11" s="462" t="s">
        <v>36</v>
      </c>
      <c r="B11" s="461">
        <v>1</v>
      </c>
      <c r="C11" s="461">
        <v>1</v>
      </c>
      <c r="D11" s="461">
        <v>4</v>
      </c>
    </row>
    <row r="12" spans="1:4" x14ac:dyDescent="0.35">
      <c r="A12" s="462" t="s">
        <v>37</v>
      </c>
      <c r="B12" s="461"/>
      <c r="C12" s="461"/>
      <c r="D12" s="461"/>
    </row>
    <row r="13" spans="1:4" x14ac:dyDescent="0.35">
      <c r="A13" s="462" t="s">
        <v>38</v>
      </c>
      <c r="B13" s="461"/>
      <c r="C13" s="461"/>
      <c r="D13" s="461"/>
    </row>
    <row r="14" spans="1:4" x14ac:dyDescent="0.35">
      <c r="A14" s="462" t="s">
        <v>39</v>
      </c>
      <c r="B14" s="461"/>
      <c r="C14" s="461"/>
      <c r="D14" s="461"/>
    </row>
    <row r="15" spans="1:4" x14ac:dyDescent="0.35">
      <c r="A15" s="462" t="s">
        <v>40</v>
      </c>
      <c r="B15" s="461"/>
      <c r="C15" s="461"/>
      <c r="D15" s="461"/>
    </row>
    <row r="16" spans="1:4" x14ac:dyDescent="0.35">
      <c r="A16" s="462" t="s">
        <v>41</v>
      </c>
      <c r="B16" s="461"/>
      <c r="C16" s="461"/>
      <c r="D16" s="461"/>
    </row>
    <row r="17" spans="1:4" x14ac:dyDescent="0.35">
      <c r="A17" s="462" t="s">
        <v>42</v>
      </c>
      <c r="B17" s="461"/>
      <c r="C17" s="461"/>
      <c r="D17" s="461"/>
    </row>
    <row r="18" spans="1:4" x14ac:dyDescent="0.35">
      <c r="A18" s="462" t="s">
        <v>43</v>
      </c>
      <c r="B18" s="461"/>
      <c r="C18" s="461"/>
      <c r="D18" s="461"/>
    </row>
    <row r="19" spans="1:4" x14ac:dyDescent="0.35">
      <c r="A19" s="462" t="s">
        <v>114</v>
      </c>
      <c r="B19" s="461"/>
      <c r="C19" s="461"/>
      <c r="D19" s="461"/>
    </row>
    <row r="20" spans="1:4" x14ac:dyDescent="0.35">
      <c r="A20" s="462" t="s">
        <v>44</v>
      </c>
      <c r="B20" s="461">
        <v>6</v>
      </c>
      <c r="C20" s="461">
        <v>12</v>
      </c>
      <c r="D20" s="461">
        <v>30</v>
      </c>
    </row>
    <row r="21" spans="1:4" x14ac:dyDescent="0.35">
      <c r="A21" s="462" t="s">
        <v>45</v>
      </c>
      <c r="B21" s="461"/>
      <c r="C21" s="461"/>
      <c r="D21" s="461"/>
    </row>
    <row r="22" spans="1:4" x14ac:dyDescent="0.35">
      <c r="A22" s="462" t="s">
        <v>46</v>
      </c>
      <c r="B22" s="461"/>
      <c r="C22" s="461"/>
      <c r="D22" s="461"/>
    </row>
    <row r="23" spans="1:4" x14ac:dyDescent="0.35">
      <c r="A23" s="462" t="s">
        <v>47</v>
      </c>
      <c r="B23" s="461">
        <v>1</v>
      </c>
      <c r="C23" s="461">
        <v>2</v>
      </c>
      <c r="D23" s="461">
        <v>0</v>
      </c>
    </row>
    <row r="24" spans="1:4" x14ac:dyDescent="0.35">
      <c r="A24" s="462" t="s">
        <v>48</v>
      </c>
      <c r="B24" s="461"/>
      <c r="C24" s="461"/>
      <c r="D24" s="461"/>
    </row>
    <row r="25" spans="1:4" x14ac:dyDescent="0.35">
      <c r="A25" s="462" t="s">
        <v>49</v>
      </c>
      <c r="B25" s="461">
        <v>3</v>
      </c>
      <c r="C25" s="461">
        <v>3</v>
      </c>
      <c r="D25" s="461">
        <v>16</v>
      </c>
    </row>
    <row r="26" spans="1:4" x14ac:dyDescent="0.35">
      <c r="A26" s="462" t="s">
        <v>50</v>
      </c>
      <c r="B26" s="461"/>
      <c r="C26" s="461"/>
      <c r="D26" s="461"/>
    </row>
    <row r="27" spans="1:4" x14ac:dyDescent="0.35">
      <c r="A27" s="462" t="s">
        <v>51</v>
      </c>
      <c r="B27" s="461"/>
      <c r="C27" s="461"/>
      <c r="D27" s="461"/>
    </row>
    <row r="28" spans="1:4" x14ac:dyDescent="0.35">
      <c r="A28" s="462" t="s">
        <v>52</v>
      </c>
      <c r="B28" s="461">
        <v>0</v>
      </c>
      <c r="C28" s="461">
        <v>3</v>
      </c>
      <c r="D28" s="461">
        <v>18</v>
      </c>
    </row>
    <row r="29" spans="1:4" x14ac:dyDescent="0.35">
      <c r="A29" s="462" t="s">
        <v>53</v>
      </c>
      <c r="B29" s="461"/>
      <c r="C29" s="461"/>
      <c r="D29" s="461"/>
    </row>
    <row r="30" spans="1:4" x14ac:dyDescent="0.35">
      <c r="A30" s="462" t="s">
        <v>54</v>
      </c>
      <c r="B30" s="461"/>
      <c r="C30" s="461"/>
      <c r="D30" s="461"/>
    </row>
    <row r="31" spans="1:4" x14ac:dyDescent="0.35">
      <c r="A31" s="462" t="s">
        <v>55</v>
      </c>
      <c r="B31" s="461"/>
      <c r="C31" s="461"/>
      <c r="D31" s="461"/>
    </row>
    <row r="32" spans="1:4" x14ac:dyDescent="0.35">
      <c r="A32" s="462" t="s">
        <v>56</v>
      </c>
      <c r="B32" s="461"/>
      <c r="C32" s="461"/>
      <c r="D32" s="461"/>
    </row>
    <row r="33" spans="1:4" x14ac:dyDescent="0.35">
      <c r="A33" s="462" t="s">
        <v>57</v>
      </c>
      <c r="B33" s="461">
        <v>1</v>
      </c>
      <c r="C33" s="461">
        <v>0</v>
      </c>
      <c r="D33" s="461">
        <v>1</v>
      </c>
    </row>
    <row r="34" spans="1:4" x14ac:dyDescent="0.35">
      <c r="A34" s="462" t="s">
        <v>58</v>
      </c>
      <c r="B34" s="461"/>
      <c r="C34" s="461"/>
      <c r="D34" s="461"/>
    </row>
    <row r="35" spans="1:4" x14ac:dyDescent="0.35">
      <c r="A35" s="462" t="s">
        <v>59</v>
      </c>
      <c r="B35" s="461"/>
      <c r="C35" s="461"/>
      <c r="D35" s="461"/>
    </row>
    <row r="36" spans="1:4" x14ac:dyDescent="0.35">
      <c r="A36" s="462" t="s">
        <v>60</v>
      </c>
      <c r="B36" s="461"/>
      <c r="C36" s="461"/>
      <c r="D36" s="461"/>
    </row>
    <row r="37" spans="1:4" x14ac:dyDescent="0.35">
      <c r="A37" s="1000" t="s">
        <v>851</v>
      </c>
      <c r="B37" s="461">
        <v>37</v>
      </c>
      <c r="C37" s="461">
        <v>43</v>
      </c>
      <c r="D37" s="461">
        <v>223</v>
      </c>
    </row>
    <row r="38" spans="1:4" x14ac:dyDescent="0.35">
      <c r="A38" s="1000" t="s">
        <v>239</v>
      </c>
      <c r="B38" s="461">
        <v>37</v>
      </c>
      <c r="C38" s="461">
        <v>43</v>
      </c>
      <c r="D38" s="461">
        <v>223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I18"/>
  <sheetViews>
    <sheetView showGridLines="0" workbookViewId="0">
      <pane ySplit="2" topLeftCell="A3" activePane="bottomLeft" state="frozen"/>
      <selection pane="bottomLeft" sqref="A1:C1"/>
    </sheetView>
  </sheetViews>
  <sheetFormatPr defaultRowHeight="14.5" x14ac:dyDescent="0.35"/>
  <cols>
    <col min="1" max="1" width="17.54296875" customWidth="1"/>
    <col min="2" max="7" width="14" customWidth="1"/>
  </cols>
  <sheetData>
    <row r="1" spans="1:7" ht="15.75" customHeight="1" x14ac:dyDescent="0.35">
      <c r="A1" s="1160" t="s">
        <v>521</v>
      </c>
      <c r="B1" s="1160"/>
      <c r="C1" s="1160"/>
    </row>
    <row r="2" spans="1:7" ht="15.5" x14ac:dyDescent="0.35">
      <c r="A2" s="601" t="s">
        <v>509</v>
      </c>
      <c r="B2" s="603"/>
      <c r="C2" s="603"/>
    </row>
    <row r="3" spans="1:7" ht="15.5" x14ac:dyDescent="0.35">
      <c r="D3" s="209"/>
      <c r="E3" s="209"/>
      <c r="F3" s="209"/>
    </row>
    <row r="4" spans="1:7" ht="15.5" x14ac:dyDescent="0.35">
      <c r="A4" s="1161" t="s">
        <v>520</v>
      </c>
      <c r="B4" s="1161"/>
      <c r="C4" s="1161"/>
      <c r="D4" s="1161"/>
      <c r="E4" s="1161"/>
      <c r="F4" s="1161"/>
    </row>
    <row r="5" spans="1:7" ht="15.5" x14ac:dyDescent="0.35">
      <c r="A5" t="s">
        <v>320</v>
      </c>
      <c r="B5" t="s">
        <v>636</v>
      </c>
      <c r="C5" s="606"/>
      <c r="D5" s="606"/>
      <c r="E5" s="606"/>
      <c r="F5" s="606"/>
    </row>
    <row r="6" spans="1:7" ht="15.5" x14ac:dyDescent="0.35">
      <c r="A6" t="s">
        <v>321</v>
      </c>
      <c r="B6" t="s">
        <v>323</v>
      </c>
      <c r="C6" s="606"/>
      <c r="D6" s="606"/>
    </row>
    <row r="7" spans="1:7" ht="15.5" x14ac:dyDescent="0.35">
      <c r="A7" t="s">
        <v>322</v>
      </c>
      <c r="B7" t="s">
        <v>324</v>
      </c>
      <c r="C7" s="606"/>
      <c r="D7" s="606"/>
    </row>
    <row r="8" spans="1:7" ht="15.5" x14ac:dyDescent="0.35">
      <c r="A8" s="606"/>
      <c r="B8" s="606"/>
      <c r="C8" s="606"/>
      <c r="D8" s="606"/>
    </row>
    <row r="9" spans="1:7" s="563" customFormat="1" ht="30.75" customHeight="1" x14ac:dyDescent="0.35">
      <c r="A9" s="196" t="s">
        <v>1</v>
      </c>
      <c r="B9" s="193" t="s">
        <v>112</v>
      </c>
      <c r="C9" s="193" t="s">
        <v>342</v>
      </c>
      <c r="D9" s="193" t="s">
        <v>341</v>
      </c>
      <c r="E9" s="193" t="s">
        <v>185</v>
      </c>
      <c r="F9" s="193" t="s">
        <v>29</v>
      </c>
      <c r="G9" s="193" t="s">
        <v>26</v>
      </c>
    </row>
    <row r="10" spans="1:7" x14ac:dyDescent="0.35">
      <c r="A10" s="199" t="s">
        <v>258</v>
      </c>
      <c r="B10" s="211">
        <v>50</v>
      </c>
      <c r="C10" s="211">
        <v>1</v>
      </c>
      <c r="D10" s="211">
        <v>23</v>
      </c>
      <c r="E10" s="211">
        <v>240</v>
      </c>
      <c r="F10" s="212">
        <v>43</v>
      </c>
      <c r="G10" s="619">
        <v>357</v>
      </c>
    </row>
    <row r="11" spans="1:7" x14ac:dyDescent="0.35">
      <c r="A11" s="199" t="s">
        <v>242</v>
      </c>
      <c r="B11" s="211">
        <v>50</v>
      </c>
      <c r="C11" s="211">
        <v>1</v>
      </c>
      <c r="D11" s="211">
        <v>23</v>
      </c>
      <c r="E11" s="211">
        <v>240</v>
      </c>
      <c r="F11" s="212">
        <v>43</v>
      </c>
      <c r="G11" s="619">
        <v>357</v>
      </c>
    </row>
    <row r="12" spans="1:7" x14ac:dyDescent="0.35">
      <c r="A12" s="914" t="s">
        <v>241</v>
      </c>
      <c r="B12" s="211">
        <v>50</v>
      </c>
      <c r="C12" s="211">
        <v>1</v>
      </c>
      <c r="D12" s="211">
        <v>23</v>
      </c>
      <c r="E12" s="211">
        <v>240</v>
      </c>
      <c r="F12" s="212">
        <v>43</v>
      </c>
      <c r="G12" s="619">
        <v>357</v>
      </c>
    </row>
    <row r="13" spans="1:7" x14ac:dyDescent="0.35">
      <c r="A13" s="199" t="s">
        <v>773</v>
      </c>
      <c r="B13" s="211">
        <v>50</v>
      </c>
      <c r="C13" s="211">
        <v>1</v>
      </c>
      <c r="D13" s="211">
        <v>23</v>
      </c>
      <c r="E13" s="211">
        <v>240</v>
      </c>
      <c r="F13" s="212">
        <v>43</v>
      </c>
      <c r="G13" s="619">
        <v>357</v>
      </c>
    </row>
    <row r="14" spans="1:7" ht="15" thickBot="1" x14ac:dyDescent="0.4">
      <c r="A14" s="206" t="s">
        <v>951</v>
      </c>
      <c r="B14" s="213">
        <v>50</v>
      </c>
      <c r="C14" s="213">
        <v>1</v>
      </c>
      <c r="D14" s="213">
        <v>23</v>
      </c>
      <c r="E14" s="213">
        <v>240</v>
      </c>
      <c r="F14" s="620">
        <v>43</v>
      </c>
      <c r="G14" s="621">
        <v>357</v>
      </c>
    </row>
    <row r="16" spans="1:7" x14ac:dyDescent="0.35">
      <c r="A16" s="398" t="s">
        <v>8</v>
      </c>
    </row>
    <row r="17" spans="1:9" ht="30.75" customHeight="1" x14ac:dyDescent="0.35">
      <c r="A17" s="1163" t="s">
        <v>952</v>
      </c>
      <c r="B17" s="1163"/>
      <c r="C17" s="1163"/>
      <c r="D17" s="1163"/>
      <c r="E17" s="1163"/>
      <c r="F17" s="1163"/>
      <c r="G17" s="1163"/>
      <c r="H17" s="1163"/>
    </row>
    <row r="18" spans="1:9" ht="30" customHeight="1" x14ac:dyDescent="0.35">
      <c r="A18" s="1162" t="s">
        <v>721</v>
      </c>
      <c r="B18" s="1162"/>
      <c r="C18" s="1162"/>
      <c r="D18" s="1162"/>
      <c r="E18" s="1162"/>
      <c r="F18" s="1162"/>
      <c r="G18" s="1162"/>
      <c r="H18" s="1162"/>
      <c r="I18" s="1162"/>
    </row>
  </sheetData>
  <sheetProtection algorithmName="SHA-512" hashValue="mUwPLss6G1RE047/t0DQBH5IoKmpMa0ZTCCEU8oOuWsaPj3T7MVmsIHpYq8nyqcnJt5SKa6j1v1ltb8t5XCxzA==" saltValue="N4w1TrXIL5FoYIw6CEaMkw==" spinCount="100000" sheet="1" scenarios="1" formatCells="0" formatColumns="0" formatRows="0" sort="0" autoFilter="0" pivotTables="0"/>
  <mergeCells count="4">
    <mergeCell ref="A1:C1"/>
    <mergeCell ref="A4:F4"/>
    <mergeCell ref="A18:I18"/>
    <mergeCell ref="A17:H17"/>
  </mergeCells>
  <hyperlinks>
    <hyperlink ref="A2" location="'Table of Contents'!A1" display="Back to Table of Contents"/>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258"/>
  <sheetViews>
    <sheetView workbookViewId="0">
      <selection activeCell="C132" sqref="C132"/>
    </sheetView>
  </sheetViews>
  <sheetFormatPr defaultRowHeight="14.5" x14ac:dyDescent="0.35"/>
  <cols>
    <col min="1" max="1" width="7.453125" bestFit="1" customWidth="1"/>
    <col min="2" max="2" width="15.54296875" bestFit="1" customWidth="1"/>
    <col min="3" max="3" width="9.7265625" bestFit="1" customWidth="1"/>
    <col min="4" max="4" width="20.36328125" bestFit="1" customWidth="1"/>
    <col min="5" max="5" width="7.36328125" bestFit="1" customWidth="1"/>
    <col min="6" max="6" width="16.54296875" bestFit="1" customWidth="1"/>
    <col min="7" max="7" width="15.36328125" bestFit="1" customWidth="1"/>
    <col min="8" max="8" width="11.7265625" bestFit="1" customWidth="1"/>
  </cols>
  <sheetData>
    <row r="1" spans="1:8" x14ac:dyDescent="0.35">
      <c r="A1" s="461" t="s">
        <v>1</v>
      </c>
      <c r="B1" s="461" t="s">
        <v>17409</v>
      </c>
      <c r="C1" s="461" t="s">
        <v>244</v>
      </c>
      <c r="D1" s="461" t="s">
        <v>17410</v>
      </c>
      <c r="E1" s="461" t="s">
        <v>26</v>
      </c>
      <c r="F1" s="461" t="s">
        <v>21</v>
      </c>
      <c r="G1" s="461" t="s">
        <v>22</v>
      </c>
      <c r="H1" s="461" t="s">
        <v>23</v>
      </c>
    </row>
    <row r="2" spans="1:8" hidden="1" x14ac:dyDescent="0.35">
      <c r="A2" s="461" t="s">
        <v>194</v>
      </c>
      <c r="B2" s="461" t="s">
        <v>235</v>
      </c>
      <c r="C2" s="461" t="s">
        <v>286</v>
      </c>
      <c r="D2" s="461" t="s">
        <v>31</v>
      </c>
      <c r="E2" s="461">
        <v>0</v>
      </c>
      <c r="F2" s="461">
        <v>0</v>
      </c>
      <c r="G2" s="461">
        <v>0</v>
      </c>
      <c r="H2" s="461">
        <v>0</v>
      </c>
    </row>
    <row r="3" spans="1:8" hidden="1" x14ac:dyDescent="0.35">
      <c r="A3" s="461" t="s">
        <v>194</v>
      </c>
      <c r="B3" s="461" t="s">
        <v>235</v>
      </c>
      <c r="C3" s="461" t="s">
        <v>287</v>
      </c>
      <c r="D3" s="461" t="s">
        <v>32</v>
      </c>
      <c r="E3" s="461">
        <v>0</v>
      </c>
      <c r="F3" s="461">
        <v>0</v>
      </c>
      <c r="G3" s="461">
        <v>0</v>
      </c>
      <c r="H3" s="461">
        <v>0</v>
      </c>
    </row>
    <row r="4" spans="1:8" hidden="1" x14ac:dyDescent="0.35">
      <c r="A4" s="461" t="s">
        <v>194</v>
      </c>
      <c r="B4" s="461" t="s">
        <v>235</v>
      </c>
      <c r="C4" s="461" t="s">
        <v>293</v>
      </c>
      <c r="D4" s="461" t="s">
        <v>33</v>
      </c>
      <c r="E4" s="461">
        <v>0</v>
      </c>
      <c r="F4" s="461">
        <v>0</v>
      </c>
      <c r="G4" s="461">
        <v>0</v>
      </c>
      <c r="H4" s="461">
        <v>0</v>
      </c>
    </row>
    <row r="5" spans="1:8" hidden="1" x14ac:dyDescent="0.35">
      <c r="A5" s="461" t="s">
        <v>194</v>
      </c>
      <c r="B5" s="461" t="s">
        <v>235</v>
      </c>
      <c r="C5" s="461" t="s">
        <v>288</v>
      </c>
      <c r="D5" s="461" t="s">
        <v>34</v>
      </c>
      <c r="E5" s="461">
        <v>203</v>
      </c>
      <c r="F5" s="461">
        <v>0</v>
      </c>
      <c r="G5" s="461">
        <v>47</v>
      </c>
      <c r="H5" s="461">
        <v>156</v>
      </c>
    </row>
    <row r="6" spans="1:8" hidden="1" x14ac:dyDescent="0.35">
      <c r="A6" s="461" t="s">
        <v>194</v>
      </c>
      <c r="B6" s="461" t="s">
        <v>235</v>
      </c>
      <c r="C6" s="461" t="s">
        <v>289</v>
      </c>
      <c r="D6" s="461" t="s">
        <v>245</v>
      </c>
      <c r="E6" s="461">
        <v>0</v>
      </c>
      <c r="F6" s="461">
        <v>0</v>
      </c>
      <c r="G6" s="461">
        <v>0</v>
      </c>
      <c r="H6" s="461">
        <v>0</v>
      </c>
    </row>
    <row r="7" spans="1:8" hidden="1" x14ac:dyDescent="0.35">
      <c r="A7" s="461" t="s">
        <v>194</v>
      </c>
      <c r="B7" s="461" t="s">
        <v>235</v>
      </c>
      <c r="C7" s="461" t="s">
        <v>267</v>
      </c>
      <c r="D7" s="461" t="s">
        <v>35</v>
      </c>
      <c r="E7" s="461">
        <v>0</v>
      </c>
      <c r="F7" s="461">
        <v>0</v>
      </c>
      <c r="G7" s="461">
        <v>0</v>
      </c>
      <c r="H7" s="461">
        <v>0</v>
      </c>
    </row>
    <row r="8" spans="1:8" hidden="1" x14ac:dyDescent="0.35">
      <c r="A8" s="461" t="s">
        <v>194</v>
      </c>
      <c r="B8" s="461" t="s">
        <v>235</v>
      </c>
      <c r="C8" s="461" t="s">
        <v>268</v>
      </c>
      <c r="D8" s="461" t="s">
        <v>36</v>
      </c>
      <c r="E8" s="461">
        <v>4</v>
      </c>
      <c r="F8" s="461">
        <v>0</v>
      </c>
      <c r="G8" s="461">
        <v>1</v>
      </c>
      <c r="H8" s="461">
        <v>3</v>
      </c>
    </row>
    <row r="9" spans="1:8" hidden="1" x14ac:dyDescent="0.35">
      <c r="A9" s="461" t="s">
        <v>194</v>
      </c>
      <c r="B9" s="461" t="s">
        <v>235</v>
      </c>
      <c r="C9" s="461" t="s">
        <v>294</v>
      </c>
      <c r="D9" s="461" t="s">
        <v>37</v>
      </c>
      <c r="E9" s="461">
        <v>0</v>
      </c>
      <c r="F9" s="461">
        <v>0</v>
      </c>
      <c r="G9" s="461">
        <v>0</v>
      </c>
      <c r="H9" s="461">
        <v>0</v>
      </c>
    </row>
    <row r="10" spans="1:8" hidden="1" x14ac:dyDescent="0.35">
      <c r="A10" s="461" t="s">
        <v>194</v>
      </c>
      <c r="B10" s="461" t="s">
        <v>235</v>
      </c>
      <c r="C10" s="461" t="s">
        <v>269</v>
      </c>
      <c r="D10" s="461" t="s">
        <v>38</v>
      </c>
      <c r="E10" s="461">
        <v>0</v>
      </c>
      <c r="F10" s="461">
        <v>0</v>
      </c>
      <c r="G10" s="461">
        <v>0</v>
      </c>
      <c r="H10" s="461">
        <v>0</v>
      </c>
    </row>
    <row r="11" spans="1:8" hidden="1" x14ac:dyDescent="0.35">
      <c r="A11" s="461" t="s">
        <v>194</v>
      </c>
      <c r="B11" s="461" t="s">
        <v>235</v>
      </c>
      <c r="C11" s="461" t="s">
        <v>296</v>
      </c>
      <c r="D11" s="461" t="s">
        <v>39</v>
      </c>
      <c r="E11" s="461">
        <v>0</v>
      </c>
      <c r="F11" s="461">
        <v>0</v>
      </c>
      <c r="G11" s="461">
        <v>0</v>
      </c>
      <c r="H11" s="461">
        <v>0</v>
      </c>
    </row>
    <row r="12" spans="1:8" hidden="1" x14ac:dyDescent="0.35">
      <c r="A12" s="461" t="s">
        <v>194</v>
      </c>
      <c r="B12" s="461" t="s">
        <v>235</v>
      </c>
      <c r="C12" s="461" t="s">
        <v>270</v>
      </c>
      <c r="D12" s="461" t="s">
        <v>40</v>
      </c>
      <c r="E12" s="461">
        <v>0</v>
      </c>
      <c r="F12" s="461">
        <v>0</v>
      </c>
      <c r="G12" s="461">
        <v>0</v>
      </c>
      <c r="H12" s="461">
        <v>0</v>
      </c>
    </row>
    <row r="13" spans="1:8" hidden="1" x14ac:dyDescent="0.35">
      <c r="A13" s="461" t="s">
        <v>194</v>
      </c>
      <c r="B13" s="461" t="s">
        <v>235</v>
      </c>
      <c r="C13" s="461" t="s">
        <v>271</v>
      </c>
      <c r="D13" s="461" t="s">
        <v>41</v>
      </c>
      <c r="E13" s="461">
        <v>0</v>
      </c>
      <c r="F13" s="461">
        <v>0</v>
      </c>
      <c r="G13" s="461">
        <v>0</v>
      </c>
      <c r="H13" s="461">
        <v>0</v>
      </c>
    </row>
    <row r="14" spans="1:8" hidden="1" x14ac:dyDescent="0.35">
      <c r="A14" s="461" t="s">
        <v>194</v>
      </c>
      <c r="B14" s="461" t="s">
        <v>235</v>
      </c>
      <c r="C14" s="461" t="s">
        <v>273</v>
      </c>
      <c r="D14" s="461" t="s">
        <v>42</v>
      </c>
      <c r="E14" s="461">
        <v>0</v>
      </c>
      <c r="F14" s="461">
        <v>0</v>
      </c>
      <c r="G14" s="461">
        <v>0</v>
      </c>
      <c r="H14" s="461">
        <v>0</v>
      </c>
    </row>
    <row r="15" spans="1:8" hidden="1" x14ac:dyDescent="0.35">
      <c r="A15" s="461" t="s">
        <v>194</v>
      </c>
      <c r="B15" s="461" t="s">
        <v>235</v>
      </c>
      <c r="C15" s="461" t="s">
        <v>298</v>
      </c>
      <c r="D15" s="461" t="s">
        <v>43</v>
      </c>
      <c r="E15" s="461">
        <v>0</v>
      </c>
      <c r="F15" s="461">
        <v>0</v>
      </c>
      <c r="G15" s="461">
        <v>0</v>
      </c>
      <c r="H15" s="461">
        <v>0</v>
      </c>
    </row>
    <row r="16" spans="1:8" hidden="1" x14ac:dyDescent="0.35">
      <c r="A16" s="461" t="s">
        <v>194</v>
      </c>
      <c r="B16" s="461" t="s">
        <v>235</v>
      </c>
      <c r="C16" s="461" t="s">
        <v>297</v>
      </c>
      <c r="D16" s="461" t="s">
        <v>114</v>
      </c>
      <c r="E16" s="461">
        <v>0</v>
      </c>
      <c r="F16" s="461">
        <v>0</v>
      </c>
      <c r="G16" s="461">
        <v>0</v>
      </c>
      <c r="H16" s="461">
        <v>0</v>
      </c>
    </row>
    <row r="17" spans="1:8" hidden="1" x14ac:dyDescent="0.35">
      <c r="A17" s="461" t="s">
        <v>194</v>
      </c>
      <c r="B17" s="461" t="s">
        <v>235</v>
      </c>
      <c r="C17" s="461" t="s">
        <v>274</v>
      </c>
      <c r="D17" s="461" t="s">
        <v>44</v>
      </c>
      <c r="E17" s="461">
        <v>72</v>
      </c>
      <c r="F17" s="461">
        <v>8</v>
      </c>
      <c r="G17" s="461">
        <v>13</v>
      </c>
      <c r="H17" s="461">
        <v>51</v>
      </c>
    </row>
    <row r="18" spans="1:8" hidden="1" x14ac:dyDescent="0.35">
      <c r="A18" s="461" t="s">
        <v>194</v>
      </c>
      <c r="B18" s="461" t="s">
        <v>235</v>
      </c>
      <c r="C18" s="461" t="s">
        <v>275</v>
      </c>
      <c r="D18" s="461" t="s">
        <v>45</v>
      </c>
      <c r="E18" s="461">
        <v>0</v>
      </c>
      <c r="F18" s="461">
        <v>0</v>
      </c>
      <c r="G18" s="461">
        <v>0</v>
      </c>
      <c r="H18" s="461">
        <v>0</v>
      </c>
    </row>
    <row r="19" spans="1:8" hidden="1" x14ac:dyDescent="0.35">
      <c r="A19" s="461" t="s">
        <v>194</v>
      </c>
      <c r="B19" s="461" t="s">
        <v>235</v>
      </c>
      <c r="C19" s="461" t="s">
        <v>276</v>
      </c>
      <c r="D19" s="461" t="s">
        <v>46</v>
      </c>
      <c r="E19" s="461">
        <v>0</v>
      </c>
      <c r="F19" s="461">
        <v>0</v>
      </c>
      <c r="G19" s="461">
        <v>0</v>
      </c>
      <c r="H19" s="461">
        <v>0</v>
      </c>
    </row>
    <row r="20" spans="1:8" hidden="1" x14ac:dyDescent="0.35">
      <c r="A20" s="461" t="s">
        <v>194</v>
      </c>
      <c r="B20" s="461" t="s">
        <v>235</v>
      </c>
      <c r="C20" s="461" t="s">
        <v>277</v>
      </c>
      <c r="D20" s="461" t="s">
        <v>47</v>
      </c>
      <c r="E20" s="461">
        <v>32</v>
      </c>
      <c r="F20" s="461">
        <v>1</v>
      </c>
      <c r="G20" s="461">
        <v>2</v>
      </c>
      <c r="H20" s="461">
        <v>29</v>
      </c>
    </row>
    <row r="21" spans="1:8" hidden="1" x14ac:dyDescent="0.35">
      <c r="A21" s="461" t="s">
        <v>194</v>
      </c>
      <c r="B21" s="461" t="s">
        <v>235</v>
      </c>
      <c r="C21" s="461" t="s">
        <v>272</v>
      </c>
      <c r="D21" s="461" t="s">
        <v>48</v>
      </c>
      <c r="E21" s="461">
        <v>0</v>
      </c>
      <c r="F21" s="461">
        <v>0</v>
      </c>
      <c r="G21" s="461">
        <v>0</v>
      </c>
      <c r="H21" s="461">
        <v>0</v>
      </c>
    </row>
    <row r="22" spans="1:8" hidden="1" x14ac:dyDescent="0.35">
      <c r="A22" s="461" t="s">
        <v>194</v>
      </c>
      <c r="B22" s="461" t="s">
        <v>235</v>
      </c>
      <c r="C22" s="461" t="s">
        <v>278</v>
      </c>
      <c r="D22" s="461" t="s">
        <v>49</v>
      </c>
      <c r="E22" s="461">
        <v>21</v>
      </c>
      <c r="F22" s="461">
        <v>0</v>
      </c>
      <c r="G22" s="461">
        <v>6</v>
      </c>
      <c r="H22" s="461">
        <v>15</v>
      </c>
    </row>
    <row r="23" spans="1:8" hidden="1" x14ac:dyDescent="0.35">
      <c r="A23" s="461" t="s">
        <v>194</v>
      </c>
      <c r="B23" s="461" t="s">
        <v>235</v>
      </c>
      <c r="C23" s="461" t="s">
        <v>295</v>
      </c>
      <c r="D23" s="461" t="s">
        <v>50</v>
      </c>
      <c r="E23" s="461">
        <v>0</v>
      </c>
      <c r="F23" s="461">
        <v>0</v>
      </c>
      <c r="G23" s="461">
        <v>0</v>
      </c>
      <c r="H23" s="461">
        <v>0</v>
      </c>
    </row>
    <row r="24" spans="1:8" hidden="1" x14ac:dyDescent="0.35">
      <c r="A24" s="461" t="s">
        <v>194</v>
      </c>
      <c r="B24" s="461" t="s">
        <v>235</v>
      </c>
      <c r="C24" s="461" t="s">
        <v>279</v>
      </c>
      <c r="D24" s="461" t="s">
        <v>51</v>
      </c>
      <c r="E24" s="461">
        <v>0</v>
      </c>
      <c r="F24" s="461">
        <v>0</v>
      </c>
      <c r="G24" s="461">
        <v>0</v>
      </c>
      <c r="H24" s="461">
        <v>0</v>
      </c>
    </row>
    <row r="25" spans="1:8" hidden="1" x14ac:dyDescent="0.35">
      <c r="A25" s="461" t="s">
        <v>194</v>
      </c>
      <c r="B25" s="461" t="s">
        <v>235</v>
      </c>
      <c r="C25" s="461" t="s">
        <v>280</v>
      </c>
      <c r="D25" s="461" t="s">
        <v>52</v>
      </c>
      <c r="E25" s="461">
        <v>25</v>
      </c>
      <c r="F25" s="461">
        <v>0</v>
      </c>
      <c r="G25" s="461">
        <v>3</v>
      </c>
      <c r="H25" s="461">
        <v>22</v>
      </c>
    </row>
    <row r="26" spans="1:8" hidden="1" x14ac:dyDescent="0.35">
      <c r="A26" s="461" t="s">
        <v>194</v>
      </c>
      <c r="B26" s="461" t="s">
        <v>235</v>
      </c>
      <c r="C26" s="461" t="s">
        <v>290</v>
      </c>
      <c r="D26" s="461" t="s">
        <v>53</v>
      </c>
      <c r="E26">
        <v>0</v>
      </c>
      <c r="F26">
        <v>0</v>
      </c>
      <c r="G26">
        <v>0</v>
      </c>
      <c r="H26">
        <v>0</v>
      </c>
    </row>
    <row r="27" spans="1:8" hidden="1" x14ac:dyDescent="0.35">
      <c r="A27" s="461" t="s">
        <v>194</v>
      </c>
      <c r="B27" s="461" t="s">
        <v>235</v>
      </c>
      <c r="C27" s="461" t="s">
        <v>281</v>
      </c>
      <c r="D27" s="461" t="s">
        <v>54</v>
      </c>
      <c r="E27">
        <v>0</v>
      </c>
      <c r="F27">
        <v>0</v>
      </c>
      <c r="G27">
        <v>0</v>
      </c>
      <c r="H27">
        <v>0</v>
      </c>
    </row>
    <row r="28" spans="1:8" hidden="1" x14ac:dyDescent="0.35">
      <c r="A28" s="461" t="s">
        <v>194</v>
      </c>
      <c r="B28" s="461" t="s">
        <v>235</v>
      </c>
      <c r="C28" s="461" t="s">
        <v>282</v>
      </c>
      <c r="D28" s="461" t="s">
        <v>55</v>
      </c>
      <c r="E28">
        <v>0</v>
      </c>
      <c r="F28">
        <v>0</v>
      </c>
      <c r="G28">
        <v>0</v>
      </c>
      <c r="H28">
        <v>0</v>
      </c>
    </row>
    <row r="29" spans="1:8" hidden="1" x14ac:dyDescent="0.35">
      <c r="A29" s="461" t="s">
        <v>194</v>
      </c>
      <c r="B29" s="461" t="s">
        <v>235</v>
      </c>
      <c r="C29" s="461" t="s">
        <v>283</v>
      </c>
      <c r="D29" s="461" t="s">
        <v>56</v>
      </c>
      <c r="E29">
        <v>0</v>
      </c>
      <c r="F29">
        <v>0</v>
      </c>
      <c r="G29">
        <v>0</v>
      </c>
      <c r="H29">
        <v>0</v>
      </c>
    </row>
    <row r="30" spans="1:8" hidden="1" x14ac:dyDescent="0.35">
      <c r="A30" s="461" t="s">
        <v>194</v>
      </c>
      <c r="B30" s="461" t="s">
        <v>235</v>
      </c>
      <c r="C30" s="461" t="s">
        <v>284</v>
      </c>
      <c r="D30" s="461" t="s">
        <v>57</v>
      </c>
      <c r="E30">
        <v>2</v>
      </c>
      <c r="F30">
        <v>0</v>
      </c>
      <c r="G30">
        <v>1</v>
      </c>
      <c r="H30">
        <v>1</v>
      </c>
    </row>
    <row r="31" spans="1:8" hidden="1" x14ac:dyDescent="0.35">
      <c r="A31" s="461" t="s">
        <v>194</v>
      </c>
      <c r="B31" s="461" t="s">
        <v>235</v>
      </c>
      <c r="C31" s="461" t="s">
        <v>285</v>
      </c>
      <c r="D31" s="461" t="s">
        <v>58</v>
      </c>
      <c r="E31">
        <v>0</v>
      </c>
      <c r="F31">
        <v>0</v>
      </c>
      <c r="G31">
        <v>0</v>
      </c>
      <c r="H31">
        <v>0</v>
      </c>
    </row>
    <row r="32" spans="1:8" hidden="1" x14ac:dyDescent="0.35">
      <c r="A32" s="461" t="s">
        <v>194</v>
      </c>
      <c r="B32" s="461" t="s">
        <v>235</v>
      </c>
      <c r="C32" s="461" t="s">
        <v>291</v>
      </c>
      <c r="D32" s="461" t="s">
        <v>59</v>
      </c>
      <c r="E32">
        <v>0</v>
      </c>
      <c r="F32">
        <v>0</v>
      </c>
      <c r="G32">
        <v>0</v>
      </c>
      <c r="H32">
        <v>0</v>
      </c>
    </row>
    <row r="33" spans="1:8" hidden="1" x14ac:dyDescent="0.35">
      <c r="A33" s="461" t="s">
        <v>194</v>
      </c>
      <c r="B33" s="461" t="s">
        <v>235</v>
      </c>
      <c r="C33" s="461" t="s">
        <v>292</v>
      </c>
      <c r="D33" s="461" t="s">
        <v>60</v>
      </c>
      <c r="E33">
        <v>0</v>
      </c>
      <c r="F33">
        <v>0</v>
      </c>
      <c r="G33">
        <v>0</v>
      </c>
      <c r="H33">
        <v>0</v>
      </c>
    </row>
    <row r="34" spans="1:8" hidden="1" x14ac:dyDescent="0.35">
      <c r="A34" s="461" t="s">
        <v>193</v>
      </c>
      <c r="B34" s="461" t="s">
        <v>235</v>
      </c>
      <c r="C34" s="461" t="s">
        <v>286</v>
      </c>
      <c r="D34" s="461" t="s">
        <v>31</v>
      </c>
      <c r="E34">
        <v>0</v>
      </c>
      <c r="F34">
        <v>0</v>
      </c>
      <c r="G34">
        <v>0</v>
      </c>
      <c r="H34">
        <v>0</v>
      </c>
    </row>
    <row r="35" spans="1:8" hidden="1" x14ac:dyDescent="0.35">
      <c r="A35" s="461" t="s">
        <v>193</v>
      </c>
      <c r="B35" s="461" t="s">
        <v>235</v>
      </c>
      <c r="C35" s="461" t="s">
        <v>287</v>
      </c>
      <c r="D35" s="461" t="s">
        <v>32</v>
      </c>
      <c r="E35">
        <v>0</v>
      </c>
      <c r="F35">
        <v>0</v>
      </c>
      <c r="G35">
        <v>0</v>
      </c>
      <c r="H35">
        <v>0</v>
      </c>
    </row>
    <row r="36" spans="1:8" hidden="1" x14ac:dyDescent="0.35">
      <c r="A36" s="461" t="s">
        <v>193</v>
      </c>
      <c r="B36" s="461" t="s">
        <v>235</v>
      </c>
      <c r="C36" s="461" t="s">
        <v>293</v>
      </c>
      <c r="D36" s="461" t="s">
        <v>33</v>
      </c>
      <c r="E36">
        <v>0</v>
      </c>
      <c r="F36">
        <v>0</v>
      </c>
      <c r="G36">
        <v>0</v>
      </c>
      <c r="H36">
        <v>0</v>
      </c>
    </row>
    <row r="37" spans="1:8" hidden="1" x14ac:dyDescent="0.35">
      <c r="A37" s="461" t="s">
        <v>193</v>
      </c>
      <c r="B37" s="461" t="s">
        <v>235</v>
      </c>
      <c r="C37" s="461" t="s">
        <v>288</v>
      </c>
      <c r="D37" s="461" t="s">
        <v>34</v>
      </c>
      <c r="E37">
        <v>225</v>
      </c>
      <c r="F37">
        <v>25</v>
      </c>
      <c r="G37">
        <v>20</v>
      </c>
      <c r="H37">
        <v>180</v>
      </c>
    </row>
    <row r="38" spans="1:8" hidden="1" x14ac:dyDescent="0.35">
      <c r="A38" s="461" t="s">
        <v>193</v>
      </c>
      <c r="B38" s="461" t="s">
        <v>235</v>
      </c>
      <c r="C38" s="461" t="s">
        <v>289</v>
      </c>
      <c r="D38" s="461" t="s">
        <v>245</v>
      </c>
      <c r="E38">
        <v>0</v>
      </c>
      <c r="F38">
        <v>0</v>
      </c>
      <c r="G38">
        <v>0</v>
      </c>
      <c r="H38">
        <v>0</v>
      </c>
    </row>
    <row r="39" spans="1:8" hidden="1" x14ac:dyDescent="0.35">
      <c r="A39" s="461" t="s">
        <v>193</v>
      </c>
      <c r="B39" s="461" t="s">
        <v>235</v>
      </c>
      <c r="C39" s="461" t="s">
        <v>267</v>
      </c>
      <c r="D39" s="461" t="s">
        <v>35</v>
      </c>
      <c r="E39">
        <v>0</v>
      </c>
      <c r="F39">
        <v>0</v>
      </c>
      <c r="G39">
        <v>0</v>
      </c>
      <c r="H39">
        <v>0</v>
      </c>
    </row>
    <row r="40" spans="1:8" hidden="1" x14ac:dyDescent="0.35">
      <c r="A40" s="461" t="s">
        <v>193</v>
      </c>
      <c r="B40" s="461" t="s">
        <v>235</v>
      </c>
      <c r="C40" s="461" t="s">
        <v>268</v>
      </c>
      <c r="D40" s="461" t="s">
        <v>36</v>
      </c>
      <c r="E40">
        <v>3</v>
      </c>
      <c r="F40">
        <v>0</v>
      </c>
      <c r="G40">
        <v>1</v>
      </c>
      <c r="H40">
        <v>2</v>
      </c>
    </row>
    <row r="41" spans="1:8" hidden="1" x14ac:dyDescent="0.35">
      <c r="A41" s="461" t="s">
        <v>193</v>
      </c>
      <c r="B41" s="461" t="s">
        <v>235</v>
      </c>
      <c r="C41" s="461" t="s">
        <v>294</v>
      </c>
      <c r="D41" s="461" t="s">
        <v>37</v>
      </c>
      <c r="E41">
        <v>0</v>
      </c>
      <c r="F41">
        <v>0</v>
      </c>
      <c r="G41">
        <v>0</v>
      </c>
      <c r="H41">
        <v>0</v>
      </c>
    </row>
    <row r="42" spans="1:8" hidden="1" x14ac:dyDescent="0.35">
      <c r="A42" s="461" t="s">
        <v>193</v>
      </c>
      <c r="B42" s="461" t="s">
        <v>235</v>
      </c>
      <c r="C42" s="461" t="s">
        <v>269</v>
      </c>
      <c r="D42" s="461" t="s">
        <v>38</v>
      </c>
      <c r="E42">
        <v>0</v>
      </c>
      <c r="F42">
        <v>0</v>
      </c>
      <c r="G42">
        <v>0</v>
      </c>
      <c r="H42">
        <v>0</v>
      </c>
    </row>
    <row r="43" spans="1:8" hidden="1" x14ac:dyDescent="0.35">
      <c r="A43" s="461" t="s">
        <v>193</v>
      </c>
      <c r="B43" s="461" t="s">
        <v>235</v>
      </c>
      <c r="C43" s="461" t="s">
        <v>296</v>
      </c>
      <c r="D43" s="461" t="s">
        <v>39</v>
      </c>
      <c r="E43">
        <v>0</v>
      </c>
      <c r="F43">
        <v>0</v>
      </c>
      <c r="G43">
        <v>0</v>
      </c>
      <c r="H43">
        <v>0</v>
      </c>
    </row>
    <row r="44" spans="1:8" hidden="1" x14ac:dyDescent="0.35">
      <c r="A44" s="461" t="s">
        <v>193</v>
      </c>
      <c r="B44" s="461" t="s">
        <v>235</v>
      </c>
      <c r="C44" s="461" t="s">
        <v>270</v>
      </c>
      <c r="D44" s="461" t="s">
        <v>40</v>
      </c>
      <c r="E44">
        <v>0</v>
      </c>
      <c r="F44">
        <v>0</v>
      </c>
      <c r="G44">
        <v>0</v>
      </c>
      <c r="H44">
        <v>0</v>
      </c>
    </row>
    <row r="45" spans="1:8" hidden="1" x14ac:dyDescent="0.35">
      <c r="A45" s="461" t="s">
        <v>193</v>
      </c>
      <c r="B45" s="461" t="s">
        <v>235</v>
      </c>
      <c r="C45" s="461" t="s">
        <v>271</v>
      </c>
      <c r="D45" s="461" t="s">
        <v>41</v>
      </c>
      <c r="E45">
        <v>0</v>
      </c>
      <c r="F45">
        <v>0</v>
      </c>
      <c r="G45">
        <v>0</v>
      </c>
      <c r="H45">
        <v>0</v>
      </c>
    </row>
    <row r="46" spans="1:8" hidden="1" x14ac:dyDescent="0.35">
      <c r="A46" s="461" t="s">
        <v>193</v>
      </c>
      <c r="B46" s="461" t="s">
        <v>235</v>
      </c>
      <c r="C46" s="461" t="s">
        <v>273</v>
      </c>
      <c r="D46" s="461" t="s">
        <v>42</v>
      </c>
      <c r="E46">
        <v>0</v>
      </c>
      <c r="F46">
        <v>0</v>
      </c>
      <c r="G46">
        <v>0</v>
      </c>
      <c r="H46">
        <v>0</v>
      </c>
    </row>
    <row r="47" spans="1:8" hidden="1" x14ac:dyDescent="0.35">
      <c r="A47" s="461" t="s">
        <v>193</v>
      </c>
      <c r="B47" s="461" t="s">
        <v>235</v>
      </c>
      <c r="C47" s="461" t="s">
        <v>298</v>
      </c>
      <c r="D47" s="461" t="s">
        <v>43</v>
      </c>
      <c r="E47">
        <v>0</v>
      </c>
      <c r="F47">
        <v>0</v>
      </c>
      <c r="G47">
        <v>0</v>
      </c>
      <c r="H47">
        <v>0</v>
      </c>
    </row>
    <row r="48" spans="1:8" hidden="1" x14ac:dyDescent="0.35">
      <c r="A48" s="461" t="s">
        <v>193</v>
      </c>
      <c r="B48" s="461" t="s">
        <v>235</v>
      </c>
      <c r="C48" s="461" t="s">
        <v>297</v>
      </c>
      <c r="D48" s="461" t="s">
        <v>114</v>
      </c>
      <c r="E48">
        <v>0</v>
      </c>
      <c r="F48">
        <v>0</v>
      </c>
      <c r="G48">
        <v>0</v>
      </c>
      <c r="H48">
        <v>0</v>
      </c>
    </row>
    <row r="49" spans="1:8" hidden="1" x14ac:dyDescent="0.35">
      <c r="A49" s="461" t="s">
        <v>193</v>
      </c>
      <c r="B49" s="461" t="s">
        <v>235</v>
      </c>
      <c r="C49" s="461" t="s">
        <v>274</v>
      </c>
      <c r="D49" s="461" t="s">
        <v>44</v>
      </c>
      <c r="E49">
        <v>69</v>
      </c>
      <c r="F49">
        <v>8</v>
      </c>
      <c r="G49">
        <v>12</v>
      </c>
      <c r="H49">
        <v>49</v>
      </c>
    </row>
    <row r="50" spans="1:8" hidden="1" x14ac:dyDescent="0.35">
      <c r="A50" s="461" t="s">
        <v>193</v>
      </c>
      <c r="B50" s="461" t="s">
        <v>235</v>
      </c>
      <c r="C50" s="461" t="s">
        <v>275</v>
      </c>
      <c r="D50" s="461" t="s">
        <v>45</v>
      </c>
      <c r="E50">
        <v>0</v>
      </c>
      <c r="F50">
        <v>0</v>
      </c>
      <c r="G50">
        <v>0</v>
      </c>
      <c r="H50">
        <v>0</v>
      </c>
    </row>
    <row r="51" spans="1:8" hidden="1" x14ac:dyDescent="0.35">
      <c r="A51" s="461" t="s">
        <v>193</v>
      </c>
      <c r="B51" s="461" t="s">
        <v>235</v>
      </c>
      <c r="C51" s="461" t="s">
        <v>276</v>
      </c>
      <c r="D51" s="461" t="s">
        <v>46</v>
      </c>
      <c r="E51">
        <v>0</v>
      </c>
      <c r="F51">
        <v>0</v>
      </c>
      <c r="G51">
        <v>0</v>
      </c>
      <c r="H51">
        <v>0</v>
      </c>
    </row>
    <row r="52" spans="1:8" hidden="1" x14ac:dyDescent="0.35">
      <c r="A52" s="461" t="s">
        <v>193</v>
      </c>
      <c r="B52" s="461" t="s">
        <v>235</v>
      </c>
      <c r="C52" s="461" t="s">
        <v>277</v>
      </c>
      <c r="D52" s="461" t="s">
        <v>47</v>
      </c>
      <c r="E52">
        <v>25</v>
      </c>
      <c r="F52">
        <v>1</v>
      </c>
      <c r="G52">
        <v>2</v>
      </c>
      <c r="H52">
        <v>22</v>
      </c>
    </row>
    <row r="53" spans="1:8" hidden="1" x14ac:dyDescent="0.35">
      <c r="A53" s="461" t="s">
        <v>193</v>
      </c>
      <c r="B53" s="461" t="s">
        <v>235</v>
      </c>
      <c r="C53" s="461" t="s">
        <v>272</v>
      </c>
      <c r="D53" s="461" t="s">
        <v>48</v>
      </c>
      <c r="E53">
        <v>0</v>
      </c>
      <c r="F53">
        <v>0</v>
      </c>
      <c r="G53">
        <v>0</v>
      </c>
      <c r="H53">
        <v>0</v>
      </c>
    </row>
    <row r="54" spans="1:8" hidden="1" x14ac:dyDescent="0.35">
      <c r="A54" s="461" t="s">
        <v>193</v>
      </c>
      <c r="B54" s="461" t="s">
        <v>235</v>
      </c>
      <c r="C54" s="461" t="s">
        <v>278</v>
      </c>
      <c r="D54" s="461" t="s">
        <v>49</v>
      </c>
      <c r="E54">
        <v>26</v>
      </c>
      <c r="F54">
        <v>3</v>
      </c>
      <c r="G54">
        <v>3</v>
      </c>
      <c r="H54">
        <v>20</v>
      </c>
    </row>
    <row r="55" spans="1:8" hidden="1" x14ac:dyDescent="0.35">
      <c r="A55" s="461" t="s">
        <v>193</v>
      </c>
      <c r="B55" s="461" t="s">
        <v>235</v>
      </c>
      <c r="C55" s="461" t="s">
        <v>295</v>
      </c>
      <c r="D55" s="461" t="s">
        <v>50</v>
      </c>
      <c r="E55">
        <v>0</v>
      </c>
      <c r="F55">
        <v>0</v>
      </c>
      <c r="G55">
        <v>0</v>
      </c>
      <c r="H55">
        <v>0</v>
      </c>
    </row>
    <row r="56" spans="1:8" hidden="1" x14ac:dyDescent="0.35">
      <c r="A56" s="461" t="s">
        <v>193</v>
      </c>
      <c r="B56" s="461" t="s">
        <v>235</v>
      </c>
      <c r="C56" s="461" t="s">
        <v>279</v>
      </c>
      <c r="D56" s="461" t="s">
        <v>51</v>
      </c>
      <c r="E56">
        <v>1</v>
      </c>
      <c r="F56">
        <v>0</v>
      </c>
      <c r="G56">
        <v>1</v>
      </c>
      <c r="H56">
        <v>0</v>
      </c>
    </row>
    <row r="57" spans="1:8" hidden="1" x14ac:dyDescent="0.35">
      <c r="A57" s="461" t="s">
        <v>193</v>
      </c>
      <c r="B57" s="461" t="s">
        <v>235</v>
      </c>
      <c r="C57" s="461" t="s">
        <v>280</v>
      </c>
      <c r="D57" s="461" t="s">
        <v>52</v>
      </c>
      <c r="E57">
        <v>24</v>
      </c>
      <c r="F57">
        <v>0</v>
      </c>
      <c r="G57">
        <v>5</v>
      </c>
      <c r="H57">
        <v>19</v>
      </c>
    </row>
    <row r="58" spans="1:8" hidden="1" x14ac:dyDescent="0.35">
      <c r="A58" s="461" t="s">
        <v>193</v>
      </c>
      <c r="B58" s="461" t="s">
        <v>235</v>
      </c>
      <c r="C58" s="461" t="s">
        <v>290</v>
      </c>
      <c r="D58" s="461" t="s">
        <v>53</v>
      </c>
      <c r="E58">
        <v>0</v>
      </c>
      <c r="F58">
        <v>0</v>
      </c>
      <c r="G58">
        <v>0</v>
      </c>
      <c r="H58">
        <v>0</v>
      </c>
    </row>
    <row r="59" spans="1:8" hidden="1" x14ac:dyDescent="0.35">
      <c r="A59" s="461" t="s">
        <v>193</v>
      </c>
      <c r="B59" s="461" t="s">
        <v>235</v>
      </c>
      <c r="C59" s="461" t="s">
        <v>281</v>
      </c>
      <c r="D59" s="461" t="s">
        <v>54</v>
      </c>
      <c r="E59">
        <v>0</v>
      </c>
      <c r="F59">
        <v>0</v>
      </c>
      <c r="G59">
        <v>0</v>
      </c>
      <c r="H59">
        <v>0</v>
      </c>
    </row>
    <row r="60" spans="1:8" hidden="1" x14ac:dyDescent="0.35">
      <c r="A60" s="461" t="s">
        <v>193</v>
      </c>
      <c r="B60" s="461" t="s">
        <v>235</v>
      </c>
      <c r="C60" s="461" t="s">
        <v>282</v>
      </c>
      <c r="D60" s="461" t="s">
        <v>55</v>
      </c>
      <c r="E60">
        <v>1</v>
      </c>
      <c r="F60">
        <v>0</v>
      </c>
      <c r="G60">
        <v>0</v>
      </c>
      <c r="H60">
        <v>1</v>
      </c>
    </row>
    <row r="61" spans="1:8" hidden="1" x14ac:dyDescent="0.35">
      <c r="A61" s="461" t="s">
        <v>193</v>
      </c>
      <c r="B61" s="461" t="s">
        <v>235</v>
      </c>
      <c r="C61" s="461" t="s">
        <v>283</v>
      </c>
      <c r="D61" s="461" t="s">
        <v>56</v>
      </c>
      <c r="E61">
        <v>0</v>
      </c>
      <c r="F61">
        <v>0</v>
      </c>
      <c r="G61">
        <v>0</v>
      </c>
      <c r="H61">
        <v>0</v>
      </c>
    </row>
    <row r="62" spans="1:8" hidden="1" x14ac:dyDescent="0.35">
      <c r="A62" s="461" t="s">
        <v>193</v>
      </c>
      <c r="B62" s="461" t="s">
        <v>235</v>
      </c>
      <c r="C62" s="461" t="s">
        <v>284</v>
      </c>
      <c r="D62" s="461" t="s">
        <v>57</v>
      </c>
      <c r="E62">
        <v>4</v>
      </c>
      <c r="F62">
        <v>1</v>
      </c>
      <c r="H62">
        <v>3</v>
      </c>
    </row>
    <row r="63" spans="1:8" hidden="1" x14ac:dyDescent="0.35">
      <c r="A63" s="461" t="s">
        <v>193</v>
      </c>
      <c r="B63" s="461" t="s">
        <v>235</v>
      </c>
      <c r="C63" s="461" t="s">
        <v>285</v>
      </c>
      <c r="D63" s="461" t="s">
        <v>58</v>
      </c>
      <c r="E63">
        <v>0</v>
      </c>
      <c r="F63">
        <v>0</v>
      </c>
      <c r="G63">
        <v>0</v>
      </c>
      <c r="H63">
        <v>0</v>
      </c>
    </row>
    <row r="64" spans="1:8" hidden="1" x14ac:dyDescent="0.35">
      <c r="A64" s="461" t="s">
        <v>193</v>
      </c>
      <c r="B64" s="461" t="s">
        <v>235</v>
      </c>
      <c r="C64" s="461" t="s">
        <v>291</v>
      </c>
      <c r="D64" s="461" t="s">
        <v>59</v>
      </c>
      <c r="E64">
        <v>0</v>
      </c>
      <c r="F64">
        <v>0</v>
      </c>
      <c r="G64">
        <v>0</v>
      </c>
      <c r="H64">
        <v>0</v>
      </c>
    </row>
    <row r="65" spans="1:8" hidden="1" x14ac:dyDescent="0.35">
      <c r="A65" s="461" t="s">
        <v>193</v>
      </c>
      <c r="B65" s="461" t="s">
        <v>235</v>
      </c>
      <c r="C65" s="461" t="s">
        <v>292</v>
      </c>
      <c r="D65" s="461" t="s">
        <v>60</v>
      </c>
      <c r="E65">
        <v>0</v>
      </c>
      <c r="F65">
        <v>0</v>
      </c>
      <c r="G65">
        <v>0</v>
      </c>
      <c r="H65">
        <v>0</v>
      </c>
    </row>
    <row r="66" spans="1:8" hidden="1" x14ac:dyDescent="0.35">
      <c r="A66" s="461" t="s">
        <v>192</v>
      </c>
      <c r="B66" s="461" t="s">
        <v>235</v>
      </c>
      <c r="C66" s="461" t="s">
        <v>286</v>
      </c>
      <c r="D66" s="461" t="s">
        <v>31</v>
      </c>
      <c r="E66">
        <v>0</v>
      </c>
      <c r="F66">
        <v>0</v>
      </c>
      <c r="G66">
        <v>0</v>
      </c>
      <c r="H66">
        <v>0</v>
      </c>
    </row>
    <row r="67" spans="1:8" hidden="1" x14ac:dyDescent="0.35">
      <c r="A67" s="461" t="s">
        <v>192</v>
      </c>
      <c r="B67" s="461" t="s">
        <v>235</v>
      </c>
      <c r="C67" s="461" t="s">
        <v>287</v>
      </c>
      <c r="D67" s="461" t="s">
        <v>32</v>
      </c>
      <c r="E67">
        <v>0</v>
      </c>
      <c r="F67">
        <v>0</v>
      </c>
      <c r="G67">
        <v>0</v>
      </c>
      <c r="H67">
        <v>0</v>
      </c>
    </row>
    <row r="68" spans="1:8" hidden="1" x14ac:dyDescent="0.35">
      <c r="A68" s="461" t="s">
        <v>192</v>
      </c>
      <c r="B68" s="461" t="s">
        <v>235</v>
      </c>
      <c r="C68" s="461" t="s">
        <v>293</v>
      </c>
      <c r="D68" s="461" t="s">
        <v>33</v>
      </c>
      <c r="E68">
        <v>0</v>
      </c>
      <c r="F68">
        <v>0</v>
      </c>
      <c r="G68">
        <v>0</v>
      </c>
      <c r="H68">
        <v>0</v>
      </c>
    </row>
    <row r="69" spans="1:8" hidden="1" x14ac:dyDescent="0.35">
      <c r="A69" s="461" t="s">
        <v>192</v>
      </c>
      <c r="B69" s="461" t="s">
        <v>235</v>
      </c>
      <c r="C69" s="461" t="s">
        <v>288</v>
      </c>
      <c r="D69" s="461" t="s">
        <v>34</v>
      </c>
      <c r="E69">
        <v>201</v>
      </c>
      <c r="F69">
        <v>22</v>
      </c>
      <c r="G69">
        <v>23</v>
      </c>
      <c r="H69">
        <v>156</v>
      </c>
    </row>
    <row r="70" spans="1:8" hidden="1" x14ac:dyDescent="0.35">
      <c r="A70" s="461" t="s">
        <v>192</v>
      </c>
      <c r="B70" s="461" t="s">
        <v>235</v>
      </c>
      <c r="C70" s="461" t="s">
        <v>289</v>
      </c>
      <c r="D70" s="461" t="s">
        <v>245</v>
      </c>
      <c r="E70">
        <v>0</v>
      </c>
      <c r="F70">
        <v>0</v>
      </c>
      <c r="G70">
        <v>0</v>
      </c>
      <c r="H70">
        <v>0</v>
      </c>
    </row>
    <row r="71" spans="1:8" hidden="1" x14ac:dyDescent="0.35">
      <c r="A71" s="461" t="s">
        <v>192</v>
      </c>
      <c r="B71" s="461" t="s">
        <v>235</v>
      </c>
      <c r="C71" s="461" t="s">
        <v>267</v>
      </c>
      <c r="D71" s="461" t="s">
        <v>35</v>
      </c>
      <c r="E71">
        <v>0</v>
      </c>
      <c r="F71">
        <v>0</v>
      </c>
      <c r="G71">
        <v>0</v>
      </c>
      <c r="H71">
        <v>0</v>
      </c>
    </row>
    <row r="72" spans="1:8" hidden="1" x14ac:dyDescent="0.35">
      <c r="A72" s="461" t="s">
        <v>192</v>
      </c>
      <c r="B72" s="461" t="s">
        <v>235</v>
      </c>
      <c r="C72" s="461" t="s">
        <v>268</v>
      </c>
      <c r="D72" s="461" t="s">
        <v>36</v>
      </c>
      <c r="E72">
        <v>5</v>
      </c>
      <c r="F72">
        <v>1</v>
      </c>
      <c r="G72">
        <v>1</v>
      </c>
      <c r="H72">
        <v>3</v>
      </c>
    </row>
    <row r="73" spans="1:8" hidden="1" x14ac:dyDescent="0.35">
      <c r="A73" s="461" t="s">
        <v>192</v>
      </c>
      <c r="B73" s="461" t="s">
        <v>235</v>
      </c>
      <c r="C73" s="461" t="s">
        <v>294</v>
      </c>
      <c r="D73" s="461" t="s">
        <v>37</v>
      </c>
      <c r="E73">
        <v>0</v>
      </c>
      <c r="F73">
        <v>0</v>
      </c>
      <c r="G73">
        <v>0</v>
      </c>
      <c r="H73">
        <v>0</v>
      </c>
    </row>
    <row r="74" spans="1:8" hidden="1" x14ac:dyDescent="0.35">
      <c r="A74" s="461" t="s">
        <v>192</v>
      </c>
      <c r="B74" s="461" t="s">
        <v>235</v>
      </c>
      <c r="C74" s="461" t="s">
        <v>269</v>
      </c>
      <c r="D74" s="461" t="s">
        <v>38</v>
      </c>
      <c r="E74">
        <v>0</v>
      </c>
      <c r="F74">
        <v>0</v>
      </c>
      <c r="G74">
        <v>0</v>
      </c>
      <c r="H74">
        <v>0</v>
      </c>
    </row>
    <row r="75" spans="1:8" hidden="1" x14ac:dyDescent="0.35">
      <c r="A75" s="461" t="s">
        <v>192</v>
      </c>
      <c r="B75" s="461" t="s">
        <v>235</v>
      </c>
      <c r="C75" s="461" t="s">
        <v>296</v>
      </c>
      <c r="D75" s="461" t="s">
        <v>39</v>
      </c>
      <c r="E75">
        <v>0</v>
      </c>
      <c r="F75">
        <v>0</v>
      </c>
      <c r="G75">
        <v>0</v>
      </c>
      <c r="H75">
        <v>0</v>
      </c>
    </row>
    <row r="76" spans="1:8" hidden="1" x14ac:dyDescent="0.35">
      <c r="A76" s="461" t="s">
        <v>192</v>
      </c>
      <c r="B76" s="461" t="s">
        <v>235</v>
      </c>
      <c r="C76" s="461" t="s">
        <v>270</v>
      </c>
      <c r="D76" s="461" t="s">
        <v>40</v>
      </c>
      <c r="E76">
        <v>0</v>
      </c>
      <c r="F76">
        <v>0</v>
      </c>
      <c r="G76">
        <v>0</v>
      </c>
      <c r="H76">
        <v>0</v>
      </c>
    </row>
    <row r="77" spans="1:8" hidden="1" x14ac:dyDescent="0.35">
      <c r="A77" s="461" t="s">
        <v>192</v>
      </c>
      <c r="B77" s="461" t="s">
        <v>235</v>
      </c>
      <c r="C77" s="461" t="s">
        <v>271</v>
      </c>
      <c r="D77" s="461" t="s">
        <v>41</v>
      </c>
      <c r="E77">
        <v>0</v>
      </c>
      <c r="F77">
        <v>0</v>
      </c>
      <c r="G77">
        <v>0</v>
      </c>
      <c r="H77">
        <v>0</v>
      </c>
    </row>
    <row r="78" spans="1:8" hidden="1" x14ac:dyDescent="0.35">
      <c r="A78" s="461" t="s">
        <v>192</v>
      </c>
      <c r="B78" s="461" t="s">
        <v>235</v>
      </c>
      <c r="C78" s="461" t="s">
        <v>273</v>
      </c>
      <c r="D78" s="461" t="s">
        <v>42</v>
      </c>
      <c r="E78">
        <v>0</v>
      </c>
      <c r="F78">
        <v>0</v>
      </c>
      <c r="G78">
        <v>0</v>
      </c>
      <c r="H78">
        <v>0</v>
      </c>
    </row>
    <row r="79" spans="1:8" hidden="1" x14ac:dyDescent="0.35">
      <c r="A79" s="461" t="s">
        <v>192</v>
      </c>
      <c r="B79" s="461" t="s">
        <v>235</v>
      </c>
      <c r="C79" s="461" t="s">
        <v>298</v>
      </c>
      <c r="D79" s="461" t="s">
        <v>43</v>
      </c>
      <c r="E79">
        <v>0</v>
      </c>
      <c r="F79">
        <v>0</v>
      </c>
      <c r="G79">
        <v>0</v>
      </c>
      <c r="H79">
        <v>0</v>
      </c>
    </row>
    <row r="80" spans="1:8" hidden="1" x14ac:dyDescent="0.35">
      <c r="A80" s="461" t="s">
        <v>192</v>
      </c>
      <c r="B80" s="461" t="s">
        <v>235</v>
      </c>
      <c r="C80" s="461" t="s">
        <v>297</v>
      </c>
      <c r="D80" s="461" t="s">
        <v>114</v>
      </c>
      <c r="E80">
        <v>0</v>
      </c>
      <c r="F80">
        <v>0</v>
      </c>
      <c r="G80">
        <v>0</v>
      </c>
      <c r="H80">
        <v>0</v>
      </c>
    </row>
    <row r="81" spans="1:8" hidden="1" x14ac:dyDescent="0.35">
      <c r="A81" s="461" t="s">
        <v>192</v>
      </c>
      <c r="B81" s="461" t="s">
        <v>235</v>
      </c>
      <c r="C81" s="461" t="s">
        <v>274</v>
      </c>
      <c r="D81" s="461" t="s">
        <v>44</v>
      </c>
      <c r="E81">
        <v>68</v>
      </c>
      <c r="F81">
        <v>8</v>
      </c>
      <c r="G81">
        <v>14</v>
      </c>
      <c r="H81">
        <v>46</v>
      </c>
    </row>
    <row r="82" spans="1:8" hidden="1" x14ac:dyDescent="0.35">
      <c r="A82" s="461" t="s">
        <v>192</v>
      </c>
      <c r="B82" s="461" t="s">
        <v>235</v>
      </c>
      <c r="C82" s="461" t="s">
        <v>275</v>
      </c>
      <c r="D82" s="461" t="s">
        <v>45</v>
      </c>
      <c r="E82">
        <v>0</v>
      </c>
      <c r="F82">
        <v>0</v>
      </c>
      <c r="G82">
        <v>0</v>
      </c>
      <c r="H82">
        <v>0</v>
      </c>
    </row>
    <row r="83" spans="1:8" hidden="1" x14ac:dyDescent="0.35">
      <c r="A83" s="461" t="s">
        <v>192</v>
      </c>
      <c r="B83" s="461" t="s">
        <v>235</v>
      </c>
      <c r="C83" s="461" t="s">
        <v>276</v>
      </c>
      <c r="D83" s="461" t="s">
        <v>46</v>
      </c>
      <c r="E83">
        <v>0</v>
      </c>
      <c r="F83">
        <v>0</v>
      </c>
      <c r="G83">
        <v>0</v>
      </c>
      <c r="H83">
        <v>0</v>
      </c>
    </row>
    <row r="84" spans="1:8" hidden="1" x14ac:dyDescent="0.35">
      <c r="A84" s="461" t="s">
        <v>192</v>
      </c>
      <c r="B84" s="461" t="s">
        <v>235</v>
      </c>
      <c r="C84" s="461" t="s">
        <v>277</v>
      </c>
      <c r="D84" s="461" t="s">
        <v>47</v>
      </c>
      <c r="E84">
        <v>20</v>
      </c>
      <c r="F84">
        <v>2</v>
      </c>
      <c r="G84">
        <v>1</v>
      </c>
      <c r="H84">
        <v>17</v>
      </c>
    </row>
    <row r="85" spans="1:8" hidden="1" x14ac:dyDescent="0.35">
      <c r="A85" s="461" t="s">
        <v>192</v>
      </c>
      <c r="B85" s="461" t="s">
        <v>235</v>
      </c>
      <c r="C85" s="461" t="s">
        <v>272</v>
      </c>
      <c r="D85" s="461" t="s">
        <v>48</v>
      </c>
      <c r="E85">
        <v>0</v>
      </c>
      <c r="F85">
        <v>0</v>
      </c>
      <c r="G85">
        <v>0</v>
      </c>
      <c r="H85">
        <v>0</v>
      </c>
    </row>
    <row r="86" spans="1:8" hidden="1" x14ac:dyDescent="0.35">
      <c r="A86" s="461" t="s">
        <v>192</v>
      </c>
      <c r="B86" s="461" t="s">
        <v>235</v>
      </c>
      <c r="C86" s="461" t="s">
        <v>278</v>
      </c>
      <c r="D86" s="461" t="s">
        <v>49</v>
      </c>
      <c r="E86">
        <v>22</v>
      </c>
      <c r="F86">
        <v>3</v>
      </c>
      <c r="G86">
        <v>4</v>
      </c>
      <c r="H86">
        <v>15</v>
      </c>
    </row>
    <row r="87" spans="1:8" hidden="1" x14ac:dyDescent="0.35">
      <c r="A87" s="461" t="s">
        <v>192</v>
      </c>
      <c r="B87" s="461" t="s">
        <v>235</v>
      </c>
      <c r="C87" s="461" t="s">
        <v>295</v>
      </c>
      <c r="D87" s="461" t="s">
        <v>50</v>
      </c>
      <c r="E87">
        <v>0</v>
      </c>
      <c r="F87">
        <v>0</v>
      </c>
      <c r="G87">
        <v>0</v>
      </c>
      <c r="H87">
        <v>0</v>
      </c>
    </row>
    <row r="88" spans="1:8" hidden="1" x14ac:dyDescent="0.35">
      <c r="A88" s="461" t="s">
        <v>192</v>
      </c>
      <c r="B88" s="461" t="s">
        <v>235</v>
      </c>
      <c r="C88" s="461" t="s">
        <v>279</v>
      </c>
      <c r="D88" s="461" t="s">
        <v>51</v>
      </c>
      <c r="E88">
        <v>0</v>
      </c>
      <c r="F88">
        <v>0</v>
      </c>
      <c r="G88">
        <v>0</v>
      </c>
      <c r="H88">
        <v>0</v>
      </c>
    </row>
    <row r="89" spans="1:8" hidden="1" x14ac:dyDescent="0.35">
      <c r="A89" s="461" t="s">
        <v>192</v>
      </c>
      <c r="B89" s="461" t="s">
        <v>235</v>
      </c>
      <c r="C89" s="461" t="s">
        <v>280</v>
      </c>
      <c r="D89" s="461" t="s">
        <v>52</v>
      </c>
      <c r="E89">
        <v>23</v>
      </c>
      <c r="F89">
        <v>0</v>
      </c>
      <c r="G89">
        <v>2</v>
      </c>
      <c r="H89">
        <v>21</v>
      </c>
    </row>
    <row r="90" spans="1:8" hidden="1" x14ac:dyDescent="0.35">
      <c r="A90" s="461" t="s">
        <v>192</v>
      </c>
      <c r="B90" s="461" t="s">
        <v>235</v>
      </c>
      <c r="C90" s="461" t="s">
        <v>290</v>
      </c>
      <c r="D90" s="461" t="s">
        <v>53</v>
      </c>
      <c r="E90">
        <v>0</v>
      </c>
      <c r="F90">
        <v>0</v>
      </c>
      <c r="G90">
        <v>0</v>
      </c>
      <c r="H90">
        <v>0</v>
      </c>
    </row>
    <row r="91" spans="1:8" hidden="1" x14ac:dyDescent="0.35">
      <c r="A91" s="461" t="s">
        <v>192</v>
      </c>
      <c r="B91" s="461" t="s">
        <v>235</v>
      </c>
      <c r="C91" s="461" t="s">
        <v>281</v>
      </c>
      <c r="D91" s="461" t="s">
        <v>54</v>
      </c>
      <c r="E91">
        <v>0</v>
      </c>
      <c r="F91">
        <v>0</v>
      </c>
      <c r="G91">
        <v>0</v>
      </c>
      <c r="H91">
        <v>0</v>
      </c>
    </row>
    <row r="92" spans="1:8" hidden="1" x14ac:dyDescent="0.35">
      <c r="A92" s="461" t="s">
        <v>192</v>
      </c>
      <c r="B92" s="461" t="s">
        <v>235</v>
      </c>
      <c r="C92" s="461" t="s">
        <v>282</v>
      </c>
      <c r="D92" s="461" t="s">
        <v>55</v>
      </c>
      <c r="E92">
        <v>0</v>
      </c>
      <c r="F92">
        <v>0</v>
      </c>
      <c r="G92">
        <v>0</v>
      </c>
      <c r="H92">
        <v>0</v>
      </c>
    </row>
    <row r="93" spans="1:8" hidden="1" x14ac:dyDescent="0.35">
      <c r="A93" s="461" t="s">
        <v>192</v>
      </c>
      <c r="B93" s="461" t="s">
        <v>235</v>
      </c>
      <c r="C93" s="461" t="s">
        <v>283</v>
      </c>
      <c r="D93" s="461" t="s">
        <v>56</v>
      </c>
      <c r="E93">
        <v>0</v>
      </c>
      <c r="F93">
        <v>0</v>
      </c>
      <c r="G93">
        <v>0</v>
      </c>
      <c r="H93">
        <v>0</v>
      </c>
    </row>
    <row r="94" spans="1:8" hidden="1" x14ac:dyDescent="0.35">
      <c r="A94" s="461" t="s">
        <v>192</v>
      </c>
      <c r="B94" s="461" t="s">
        <v>235</v>
      </c>
      <c r="C94" s="461" t="s">
        <v>284</v>
      </c>
      <c r="D94" s="461" t="s">
        <v>57</v>
      </c>
      <c r="E94">
        <v>3</v>
      </c>
      <c r="F94">
        <v>0</v>
      </c>
      <c r="G94">
        <v>1</v>
      </c>
      <c r="H94">
        <v>2</v>
      </c>
    </row>
    <row r="95" spans="1:8" hidden="1" x14ac:dyDescent="0.35">
      <c r="A95" s="461" t="s">
        <v>192</v>
      </c>
      <c r="B95" s="461" t="s">
        <v>235</v>
      </c>
      <c r="C95" s="461" t="s">
        <v>285</v>
      </c>
      <c r="D95" s="461" t="s">
        <v>58</v>
      </c>
      <c r="E95">
        <v>0</v>
      </c>
      <c r="F95">
        <v>0</v>
      </c>
      <c r="G95">
        <v>0</v>
      </c>
      <c r="H95">
        <v>0</v>
      </c>
    </row>
    <row r="96" spans="1:8" hidden="1" x14ac:dyDescent="0.35">
      <c r="A96" s="461" t="s">
        <v>192</v>
      </c>
      <c r="B96" s="461" t="s">
        <v>235</v>
      </c>
      <c r="C96" s="461" t="s">
        <v>291</v>
      </c>
      <c r="D96" s="461" t="s">
        <v>59</v>
      </c>
      <c r="E96">
        <v>0</v>
      </c>
      <c r="F96">
        <v>0</v>
      </c>
      <c r="G96">
        <v>0</v>
      </c>
      <c r="H96">
        <v>0</v>
      </c>
    </row>
    <row r="97" spans="1:8" hidden="1" x14ac:dyDescent="0.35">
      <c r="A97" s="461" t="s">
        <v>192</v>
      </c>
      <c r="B97" s="461" t="s">
        <v>235</v>
      </c>
      <c r="C97" s="461" t="s">
        <v>292</v>
      </c>
      <c r="D97" s="461" t="s">
        <v>60</v>
      </c>
      <c r="E97">
        <v>0</v>
      </c>
      <c r="F97">
        <v>0</v>
      </c>
      <c r="G97">
        <v>0</v>
      </c>
      <c r="H97">
        <v>0</v>
      </c>
    </row>
    <row r="98" spans="1:8" hidden="1" x14ac:dyDescent="0.35">
      <c r="A98" s="461" t="s">
        <v>258</v>
      </c>
      <c r="B98" s="461" t="s">
        <v>235</v>
      </c>
      <c r="C98" s="461" t="s">
        <v>286</v>
      </c>
      <c r="D98" s="461" t="s">
        <v>31</v>
      </c>
      <c r="E98">
        <v>0</v>
      </c>
      <c r="F98">
        <v>0</v>
      </c>
      <c r="G98">
        <v>0</v>
      </c>
      <c r="H98">
        <v>0</v>
      </c>
    </row>
    <row r="99" spans="1:8" hidden="1" x14ac:dyDescent="0.35">
      <c r="A99" s="461" t="s">
        <v>258</v>
      </c>
      <c r="B99" s="461" t="s">
        <v>235</v>
      </c>
      <c r="C99" s="461" t="s">
        <v>287</v>
      </c>
      <c r="D99" s="461" t="s">
        <v>32</v>
      </c>
      <c r="E99">
        <v>0</v>
      </c>
      <c r="F99">
        <v>0</v>
      </c>
      <c r="G99">
        <v>0</v>
      </c>
      <c r="H99">
        <v>0</v>
      </c>
    </row>
    <row r="100" spans="1:8" hidden="1" x14ac:dyDescent="0.35">
      <c r="A100" s="461" t="s">
        <v>258</v>
      </c>
      <c r="B100" s="461" t="s">
        <v>235</v>
      </c>
      <c r="C100" s="461" t="s">
        <v>293</v>
      </c>
      <c r="D100" s="461" t="s">
        <v>33</v>
      </c>
      <c r="E100">
        <v>0</v>
      </c>
      <c r="F100">
        <v>0</v>
      </c>
      <c r="G100">
        <v>0</v>
      </c>
      <c r="H100">
        <v>0</v>
      </c>
    </row>
    <row r="101" spans="1:8" hidden="1" x14ac:dyDescent="0.35">
      <c r="A101" s="461" t="s">
        <v>258</v>
      </c>
      <c r="B101" s="461" t="s">
        <v>235</v>
      </c>
      <c r="C101" s="461" t="s">
        <v>288</v>
      </c>
      <c r="D101" s="461" t="s">
        <v>34</v>
      </c>
      <c r="E101">
        <v>200</v>
      </c>
      <c r="F101">
        <v>24</v>
      </c>
      <c r="G101">
        <v>21</v>
      </c>
      <c r="H101">
        <v>155</v>
      </c>
    </row>
    <row r="102" spans="1:8" hidden="1" x14ac:dyDescent="0.35">
      <c r="A102" s="461" t="s">
        <v>258</v>
      </c>
      <c r="B102" s="461" t="s">
        <v>235</v>
      </c>
      <c r="C102" s="461" t="s">
        <v>289</v>
      </c>
      <c r="D102" s="461" t="s">
        <v>245</v>
      </c>
      <c r="E102">
        <v>0</v>
      </c>
      <c r="F102">
        <v>0</v>
      </c>
      <c r="G102">
        <v>0</v>
      </c>
      <c r="H102">
        <v>0</v>
      </c>
    </row>
    <row r="103" spans="1:8" hidden="1" x14ac:dyDescent="0.35">
      <c r="A103" s="461" t="s">
        <v>258</v>
      </c>
      <c r="B103" s="461" t="s">
        <v>235</v>
      </c>
      <c r="C103" s="461" t="s">
        <v>267</v>
      </c>
      <c r="D103" s="461" t="s">
        <v>35</v>
      </c>
      <c r="E103">
        <v>0</v>
      </c>
      <c r="F103">
        <v>0</v>
      </c>
      <c r="G103">
        <v>0</v>
      </c>
      <c r="H103">
        <v>0</v>
      </c>
    </row>
    <row r="104" spans="1:8" hidden="1" x14ac:dyDescent="0.35">
      <c r="A104" s="461" t="s">
        <v>258</v>
      </c>
      <c r="B104" s="461" t="s">
        <v>235</v>
      </c>
      <c r="C104" s="461" t="s">
        <v>268</v>
      </c>
      <c r="D104" s="461" t="s">
        <v>36</v>
      </c>
      <c r="E104">
        <v>5</v>
      </c>
      <c r="F104">
        <v>1</v>
      </c>
      <c r="G104">
        <v>1</v>
      </c>
      <c r="H104">
        <v>3</v>
      </c>
    </row>
    <row r="105" spans="1:8" hidden="1" x14ac:dyDescent="0.35">
      <c r="A105" s="461" t="s">
        <v>258</v>
      </c>
      <c r="B105" s="461" t="s">
        <v>235</v>
      </c>
      <c r="C105" s="461" t="s">
        <v>294</v>
      </c>
      <c r="D105" s="461" t="s">
        <v>37</v>
      </c>
      <c r="E105">
        <v>0</v>
      </c>
      <c r="F105">
        <v>0</v>
      </c>
      <c r="G105">
        <v>0</v>
      </c>
      <c r="H105">
        <v>0</v>
      </c>
    </row>
    <row r="106" spans="1:8" hidden="1" x14ac:dyDescent="0.35">
      <c r="A106" s="461" t="s">
        <v>258</v>
      </c>
      <c r="B106" s="461" t="s">
        <v>235</v>
      </c>
      <c r="C106" s="461" t="s">
        <v>269</v>
      </c>
      <c r="D106" s="461" t="s">
        <v>38</v>
      </c>
      <c r="E106">
        <v>0</v>
      </c>
      <c r="F106">
        <v>0</v>
      </c>
      <c r="G106">
        <v>0</v>
      </c>
      <c r="H106">
        <v>0</v>
      </c>
    </row>
    <row r="107" spans="1:8" hidden="1" x14ac:dyDescent="0.35">
      <c r="A107" s="461" t="s">
        <v>258</v>
      </c>
      <c r="B107" s="461" t="s">
        <v>235</v>
      </c>
      <c r="C107" s="461" t="s">
        <v>296</v>
      </c>
      <c r="D107" s="461" t="s">
        <v>39</v>
      </c>
      <c r="E107">
        <v>0</v>
      </c>
      <c r="F107">
        <v>0</v>
      </c>
      <c r="G107">
        <v>0</v>
      </c>
      <c r="H107">
        <v>0</v>
      </c>
    </row>
    <row r="108" spans="1:8" hidden="1" x14ac:dyDescent="0.35">
      <c r="A108" s="461" t="s">
        <v>258</v>
      </c>
      <c r="B108" s="461" t="s">
        <v>235</v>
      </c>
      <c r="C108" s="461" t="s">
        <v>270</v>
      </c>
      <c r="D108" s="461" t="s">
        <v>40</v>
      </c>
      <c r="E108">
        <v>0</v>
      </c>
      <c r="F108">
        <v>0</v>
      </c>
      <c r="G108">
        <v>0</v>
      </c>
      <c r="H108">
        <v>0</v>
      </c>
    </row>
    <row r="109" spans="1:8" hidden="1" x14ac:dyDescent="0.35">
      <c r="A109" s="461" t="s">
        <v>258</v>
      </c>
      <c r="B109" s="461" t="s">
        <v>235</v>
      </c>
      <c r="C109" s="461" t="s">
        <v>271</v>
      </c>
      <c r="D109" s="461" t="s">
        <v>41</v>
      </c>
      <c r="E109">
        <v>0</v>
      </c>
      <c r="F109">
        <v>0</v>
      </c>
      <c r="G109">
        <v>0</v>
      </c>
      <c r="H109">
        <v>0</v>
      </c>
    </row>
    <row r="110" spans="1:8" hidden="1" x14ac:dyDescent="0.35">
      <c r="A110" s="461" t="s">
        <v>258</v>
      </c>
      <c r="B110" s="461" t="s">
        <v>235</v>
      </c>
      <c r="C110" s="461" t="s">
        <v>273</v>
      </c>
      <c r="D110" s="461" t="s">
        <v>42</v>
      </c>
      <c r="E110">
        <v>0</v>
      </c>
      <c r="F110">
        <v>0</v>
      </c>
      <c r="G110">
        <v>0</v>
      </c>
      <c r="H110">
        <v>0</v>
      </c>
    </row>
    <row r="111" spans="1:8" hidden="1" x14ac:dyDescent="0.35">
      <c r="A111" s="461" t="s">
        <v>258</v>
      </c>
      <c r="B111" s="461" t="s">
        <v>235</v>
      </c>
      <c r="C111" s="461" t="s">
        <v>298</v>
      </c>
      <c r="D111" s="461" t="s">
        <v>43</v>
      </c>
      <c r="E111">
        <v>0</v>
      </c>
      <c r="F111">
        <v>0</v>
      </c>
      <c r="G111">
        <v>0</v>
      </c>
      <c r="H111">
        <v>0</v>
      </c>
    </row>
    <row r="112" spans="1:8" hidden="1" x14ac:dyDescent="0.35">
      <c r="A112" s="461" t="s">
        <v>258</v>
      </c>
      <c r="B112" s="461" t="s">
        <v>235</v>
      </c>
      <c r="C112" s="461" t="s">
        <v>297</v>
      </c>
      <c r="D112" s="461" t="s">
        <v>114</v>
      </c>
      <c r="E112">
        <v>0</v>
      </c>
      <c r="F112">
        <v>0</v>
      </c>
      <c r="G112">
        <v>0</v>
      </c>
      <c r="H112">
        <v>0</v>
      </c>
    </row>
    <row r="113" spans="1:8" hidden="1" x14ac:dyDescent="0.35">
      <c r="A113" s="461" t="s">
        <v>258</v>
      </c>
      <c r="B113" s="461" t="s">
        <v>235</v>
      </c>
      <c r="C113" s="461" t="s">
        <v>274</v>
      </c>
      <c r="D113" s="461" t="s">
        <v>44</v>
      </c>
      <c r="E113">
        <v>67</v>
      </c>
      <c r="F113">
        <v>7</v>
      </c>
      <c r="G113">
        <v>13</v>
      </c>
      <c r="H113">
        <v>47</v>
      </c>
    </row>
    <row r="114" spans="1:8" hidden="1" x14ac:dyDescent="0.35">
      <c r="A114" s="461" t="s">
        <v>258</v>
      </c>
      <c r="B114" s="461" t="s">
        <v>235</v>
      </c>
      <c r="C114" s="461" t="s">
        <v>275</v>
      </c>
      <c r="D114" s="461" t="s">
        <v>45</v>
      </c>
      <c r="E114">
        <v>0</v>
      </c>
      <c r="F114">
        <v>0</v>
      </c>
      <c r="G114">
        <v>0</v>
      </c>
      <c r="H114">
        <v>0</v>
      </c>
    </row>
    <row r="115" spans="1:8" hidden="1" x14ac:dyDescent="0.35">
      <c r="A115" s="461" t="s">
        <v>258</v>
      </c>
      <c r="B115" s="461" t="s">
        <v>235</v>
      </c>
      <c r="C115" s="461" t="s">
        <v>276</v>
      </c>
      <c r="D115" s="461" t="s">
        <v>46</v>
      </c>
      <c r="E115">
        <v>0</v>
      </c>
      <c r="F115">
        <v>0</v>
      </c>
      <c r="G115">
        <v>0</v>
      </c>
      <c r="H115">
        <v>0</v>
      </c>
    </row>
    <row r="116" spans="1:8" hidden="1" x14ac:dyDescent="0.35">
      <c r="A116" s="461" t="s">
        <v>258</v>
      </c>
      <c r="B116" s="461" t="s">
        <v>235</v>
      </c>
      <c r="C116" s="461" t="s">
        <v>277</v>
      </c>
      <c r="D116" s="461" t="s">
        <v>47</v>
      </c>
      <c r="E116">
        <v>4</v>
      </c>
      <c r="F116">
        <v>1</v>
      </c>
      <c r="G116">
        <v>2</v>
      </c>
      <c r="H116">
        <v>1</v>
      </c>
    </row>
    <row r="117" spans="1:8" hidden="1" x14ac:dyDescent="0.35">
      <c r="A117" s="461" t="s">
        <v>258</v>
      </c>
      <c r="B117" s="461" t="s">
        <v>235</v>
      </c>
      <c r="C117" s="461" t="s">
        <v>272</v>
      </c>
      <c r="D117" s="461" t="s">
        <v>48</v>
      </c>
      <c r="E117">
        <v>0</v>
      </c>
      <c r="F117">
        <v>0</v>
      </c>
      <c r="G117">
        <v>0</v>
      </c>
      <c r="H117">
        <v>0</v>
      </c>
    </row>
    <row r="118" spans="1:8" hidden="1" x14ac:dyDescent="0.35">
      <c r="A118" s="461" t="s">
        <v>258</v>
      </c>
      <c r="B118" s="461" t="s">
        <v>235</v>
      </c>
      <c r="C118" s="461" t="s">
        <v>278</v>
      </c>
      <c r="D118" s="461" t="s">
        <v>49</v>
      </c>
      <c r="E118">
        <v>18</v>
      </c>
      <c r="F118">
        <v>3</v>
      </c>
      <c r="G118">
        <v>4</v>
      </c>
      <c r="H118">
        <v>11</v>
      </c>
    </row>
    <row r="119" spans="1:8" hidden="1" x14ac:dyDescent="0.35">
      <c r="A119" s="461" t="s">
        <v>258</v>
      </c>
      <c r="B119" s="461" t="s">
        <v>235</v>
      </c>
      <c r="C119" s="461" t="s">
        <v>295</v>
      </c>
      <c r="D119" s="461" t="s">
        <v>50</v>
      </c>
      <c r="E119">
        <v>0</v>
      </c>
      <c r="F119">
        <v>0</v>
      </c>
      <c r="G119">
        <v>0</v>
      </c>
      <c r="H119">
        <v>0</v>
      </c>
    </row>
    <row r="120" spans="1:8" hidden="1" x14ac:dyDescent="0.35">
      <c r="A120" s="461" t="s">
        <v>258</v>
      </c>
      <c r="B120" s="461" t="s">
        <v>235</v>
      </c>
      <c r="C120" s="461" t="s">
        <v>279</v>
      </c>
      <c r="D120" s="461" t="s">
        <v>51</v>
      </c>
      <c r="E120">
        <v>0</v>
      </c>
      <c r="F120">
        <v>0</v>
      </c>
      <c r="G120">
        <v>0</v>
      </c>
      <c r="H120">
        <v>0</v>
      </c>
    </row>
    <row r="121" spans="1:8" hidden="1" x14ac:dyDescent="0.35">
      <c r="A121" s="461" t="s">
        <v>258</v>
      </c>
      <c r="B121" s="461" t="s">
        <v>235</v>
      </c>
      <c r="C121" s="461" t="s">
        <v>280</v>
      </c>
      <c r="D121" s="461" t="s">
        <v>52</v>
      </c>
      <c r="E121">
        <v>23</v>
      </c>
      <c r="F121">
        <v>0</v>
      </c>
      <c r="G121">
        <v>3</v>
      </c>
      <c r="H121">
        <v>20</v>
      </c>
    </row>
    <row r="122" spans="1:8" hidden="1" x14ac:dyDescent="0.35">
      <c r="A122" s="461" t="s">
        <v>258</v>
      </c>
      <c r="B122" s="461" t="s">
        <v>235</v>
      </c>
      <c r="C122" s="461" t="s">
        <v>290</v>
      </c>
      <c r="D122" s="461" t="s">
        <v>53</v>
      </c>
      <c r="E122">
        <v>0</v>
      </c>
      <c r="F122">
        <v>0</v>
      </c>
      <c r="G122">
        <v>0</v>
      </c>
      <c r="H122">
        <v>0</v>
      </c>
    </row>
    <row r="123" spans="1:8" hidden="1" x14ac:dyDescent="0.35">
      <c r="A123" s="461" t="s">
        <v>258</v>
      </c>
      <c r="B123" s="461" t="s">
        <v>235</v>
      </c>
      <c r="C123" s="461" t="s">
        <v>281</v>
      </c>
      <c r="D123" s="461" t="s">
        <v>54</v>
      </c>
      <c r="E123">
        <v>0</v>
      </c>
      <c r="F123">
        <v>0</v>
      </c>
      <c r="G123">
        <v>0</v>
      </c>
      <c r="H123">
        <v>0</v>
      </c>
    </row>
    <row r="124" spans="1:8" hidden="1" x14ac:dyDescent="0.35">
      <c r="A124" s="461" t="s">
        <v>258</v>
      </c>
      <c r="B124" s="461" t="s">
        <v>235</v>
      </c>
      <c r="C124" s="461" t="s">
        <v>282</v>
      </c>
      <c r="D124" s="461" t="s">
        <v>55</v>
      </c>
      <c r="E124">
        <v>0</v>
      </c>
      <c r="F124">
        <v>0</v>
      </c>
      <c r="G124">
        <v>0</v>
      </c>
      <c r="H124">
        <v>0</v>
      </c>
    </row>
    <row r="125" spans="1:8" hidden="1" x14ac:dyDescent="0.35">
      <c r="A125" s="461" t="s">
        <v>258</v>
      </c>
      <c r="B125" s="461" t="s">
        <v>235</v>
      </c>
      <c r="C125" s="461" t="s">
        <v>283</v>
      </c>
      <c r="D125" s="461" t="s">
        <v>56</v>
      </c>
      <c r="E125">
        <v>0</v>
      </c>
      <c r="F125">
        <v>0</v>
      </c>
      <c r="G125">
        <v>0</v>
      </c>
      <c r="H125">
        <v>0</v>
      </c>
    </row>
    <row r="126" spans="1:8" hidden="1" x14ac:dyDescent="0.35">
      <c r="A126" s="461" t="s">
        <v>258</v>
      </c>
      <c r="B126" s="461" t="s">
        <v>235</v>
      </c>
      <c r="C126" s="461" t="s">
        <v>284</v>
      </c>
      <c r="D126" s="461" t="s">
        <v>57</v>
      </c>
      <c r="E126">
        <v>3</v>
      </c>
      <c r="F126">
        <v>1</v>
      </c>
      <c r="G126">
        <v>0</v>
      </c>
      <c r="H126">
        <v>2</v>
      </c>
    </row>
    <row r="127" spans="1:8" hidden="1" x14ac:dyDescent="0.35">
      <c r="A127" s="461" t="s">
        <v>258</v>
      </c>
      <c r="B127" s="461" t="s">
        <v>235</v>
      </c>
      <c r="C127" s="461" t="s">
        <v>285</v>
      </c>
      <c r="D127" s="461" t="s">
        <v>58</v>
      </c>
      <c r="E127">
        <v>0</v>
      </c>
      <c r="F127">
        <v>0</v>
      </c>
      <c r="G127">
        <v>0</v>
      </c>
      <c r="H127">
        <v>0</v>
      </c>
    </row>
    <row r="128" spans="1:8" hidden="1" x14ac:dyDescent="0.35">
      <c r="A128" s="461" t="s">
        <v>258</v>
      </c>
      <c r="B128" s="461" t="s">
        <v>235</v>
      </c>
      <c r="C128" s="461" t="s">
        <v>291</v>
      </c>
      <c r="D128" s="461" t="s">
        <v>59</v>
      </c>
      <c r="E128">
        <v>0</v>
      </c>
      <c r="F128">
        <v>0</v>
      </c>
      <c r="G128">
        <v>0</v>
      </c>
      <c r="H128">
        <v>0</v>
      </c>
    </row>
    <row r="129" spans="1:8" hidden="1" x14ac:dyDescent="0.35">
      <c r="A129" s="461" t="s">
        <v>258</v>
      </c>
      <c r="B129" s="461" t="s">
        <v>235</v>
      </c>
      <c r="C129" s="461" t="s">
        <v>292</v>
      </c>
      <c r="D129" s="461" t="s">
        <v>60</v>
      </c>
      <c r="E129">
        <v>0</v>
      </c>
      <c r="F129">
        <v>0</v>
      </c>
      <c r="G129">
        <v>0</v>
      </c>
      <c r="H129">
        <v>0</v>
      </c>
    </row>
    <row r="130" spans="1:8" x14ac:dyDescent="0.35">
      <c r="A130" s="461" t="s">
        <v>242</v>
      </c>
      <c r="B130" s="461" t="s">
        <v>235</v>
      </c>
      <c r="C130" s="461"/>
      <c r="D130" s="52" t="s">
        <v>31</v>
      </c>
    </row>
    <row r="131" spans="1:8" x14ac:dyDescent="0.35">
      <c r="A131" s="461" t="s">
        <v>242</v>
      </c>
      <c r="B131" s="461" t="s">
        <v>235</v>
      </c>
      <c r="C131" s="461"/>
      <c r="D131" s="55" t="s">
        <v>32</v>
      </c>
    </row>
    <row r="132" spans="1:8" x14ac:dyDescent="0.35">
      <c r="A132" s="461" t="s">
        <v>242</v>
      </c>
      <c r="B132" s="461" t="s">
        <v>235</v>
      </c>
      <c r="C132" s="461"/>
      <c r="D132" s="55" t="s">
        <v>33</v>
      </c>
    </row>
    <row r="133" spans="1:8" x14ac:dyDescent="0.35">
      <c r="A133" s="461" t="s">
        <v>242</v>
      </c>
      <c r="B133" s="461" t="s">
        <v>235</v>
      </c>
      <c r="C133" s="461" t="s">
        <v>288</v>
      </c>
      <c r="D133" s="55" t="s">
        <v>34</v>
      </c>
      <c r="E133">
        <v>211</v>
      </c>
      <c r="F133">
        <v>25</v>
      </c>
      <c r="G133">
        <v>22</v>
      </c>
      <c r="H133">
        <v>164</v>
      </c>
    </row>
    <row r="134" spans="1:8" x14ac:dyDescent="0.35">
      <c r="A134" s="461" t="s">
        <v>242</v>
      </c>
      <c r="B134" s="461" t="s">
        <v>235</v>
      </c>
      <c r="C134" s="461"/>
      <c r="D134" s="55" t="s">
        <v>245</v>
      </c>
    </row>
    <row r="135" spans="1:8" x14ac:dyDescent="0.35">
      <c r="A135" s="461" t="s">
        <v>242</v>
      </c>
      <c r="B135" s="461" t="s">
        <v>235</v>
      </c>
      <c r="C135" s="461"/>
      <c r="D135" s="55" t="s">
        <v>35</v>
      </c>
    </row>
    <row r="136" spans="1:8" x14ac:dyDescent="0.35">
      <c r="A136" s="461" t="s">
        <v>242</v>
      </c>
      <c r="B136" s="461" t="s">
        <v>235</v>
      </c>
      <c r="C136" s="461" t="s">
        <v>268</v>
      </c>
      <c r="D136" s="55" t="s">
        <v>36</v>
      </c>
      <c r="E136">
        <v>4</v>
      </c>
      <c r="F136">
        <v>1</v>
      </c>
      <c r="G136">
        <v>0</v>
      </c>
      <c r="H136">
        <v>3</v>
      </c>
    </row>
    <row r="137" spans="1:8" x14ac:dyDescent="0.35">
      <c r="A137" s="461" t="s">
        <v>242</v>
      </c>
      <c r="B137" s="461" t="s">
        <v>235</v>
      </c>
      <c r="C137" s="461"/>
      <c r="D137" s="55" t="s">
        <v>37</v>
      </c>
    </row>
    <row r="138" spans="1:8" x14ac:dyDescent="0.35">
      <c r="A138" s="461" t="s">
        <v>242</v>
      </c>
      <c r="B138" s="461" t="s">
        <v>235</v>
      </c>
      <c r="C138" s="461"/>
      <c r="D138" s="55" t="s">
        <v>38</v>
      </c>
    </row>
    <row r="139" spans="1:8" x14ac:dyDescent="0.35">
      <c r="A139" s="461" t="s">
        <v>242</v>
      </c>
      <c r="B139" s="461" t="s">
        <v>235</v>
      </c>
      <c r="C139" s="461"/>
      <c r="D139" s="55" t="s">
        <v>39</v>
      </c>
    </row>
    <row r="140" spans="1:8" x14ac:dyDescent="0.35">
      <c r="A140" s="461" t="s">
        <v>242</v>
      </c>
      <c r="B140" s="461" t="s">
        <v>235</v>
      </c>
      <c r="C140" s="461"/>
      <c r="D140" s="55" t="s">
        <v>40</v>
      </c>
    </row>
    <row r="141" spans="1:8" x14ac:dyDescent="0.35">
      <c r="A141" s="461" t="s">
        <v>242</v>
      </c>
      <c r="B141" s="461" t="s">
        <v>235</v>
      </c>
      <c r="C141" s="461"/>
      <c r="D141" s="55" t="s">
        <v>41</v>
      </c>
    </row>
    <row r="142" spans="1:8" x14ac:dyDescent="0.35">
      <c r="A142" s="461" t="s">
        <v>242</v>
      </c>
      <c r="B142" s="461" t="s">
        <v>235</v>
      </c>
      <c r="C142" s="461"/>
      <c r="D142" s="55" t="s">
        <v>42</v>
      </c>
    </row>
    <row r="143" spans="1:8" x14ac:dyDescent="0.35">
      <c r="A143" s="461" t="s">
        <v>242</v>
      </c>
      <c r="B143" s="461" t="s">
        <v>235</v>
      </c>
      <c r="C143" s="461"/>
      <c r="D143" s="55" t="s">
        <v>43</v>
      </c>
    </row>
    <row r="144" spans="1:8" x14ac:dyDescent="0.35">
      <c r="A144" s="461" t="s">
        <v>242</v>
      </c>
      <c r="B144" s="461" t="s">
        <v>235</v>
      </c>
      <c r="C144" s="461"/>
      <c r="D144" s="55" t="s">
        <v>114</v>
      </c>
    </row>
    <row r="145" spans="1:8" x14ac:dyDescent="0.35">
      <c r="A145" s="461" t="s">
        <v>242</v>
      </c>
      <c r="B145" s="461" t="s">
        <v>235</v>
      </c>
      <c r="C145" s="461" t="s">
        <v>274</v>
      </c>
      <c r="D145" s="55" t="s">
        <v>44</v>
      </c>
      <c r="E145">
        <v>64</v>
      </c>
      <c r="F145">
        <v>7</v>
      </c>
      <c r="G145">
        <v>11</v>
      </c>
      <c r="H145">
        <v>46</v>
      </c>
    </row>
    <row r="146" spans="1:8" x14ac:dyDescent="0.35">
      <c r="A146" s="461" t="s">
        <v>242</v>
      </c>
      <c r="B146" s="461" t="s">
        <v>235</v>
      </c>
      <c r="C146" s="461"/>
      <c r="D146" s="55" t="s">
        <v>45</v>
      </c>
    </row>
    <row r="147" spans="1:8" x14ac:dyDescent="0.35">
      <c r="A147" s="461" t="s">
        <v>242</v>
      </c>
      <c r="B147" s="461" t="s">
        <v>235</v>
      </c>
      <c r="C147" s="461"/>
      <c r="D147" s="55" t="s">
        <v>46</v>
      </c>
    </row>
    <row r="148" spans="1:8" x14ac:dyDescent="0.35">
      <c r="A148" s="461" t="s">
        <v>242</v>
      </c>
      <c r="B148" s="461" t="s">
        <v>235</v>
      </c>
      <c r="C148" s="461" t="s">
        <v>277</v>
      </c>
      <c r="D148" s="55" t="s">
        <v>47</v>
      </c>
      <c r="E148">
        <v>4</v>
      </c>
      <c r="F148">
        <v>1</v>
      </c>
      <c r="G148">
        <v>2</v>
      </c>
      <c r="H148">
        <v>1</v>
      </c>
    </row>
    <row r="149" spans="1:8" x14ac:dyDescent="0.35">
      <c r="A149" s="461" t="s">
        <v>242</v>
      </c>
      <c r="B149" s="461" t="s">
        <v>235</v>
      </c>
      <c r="C149" s="461"/>
      <c r="D149" s="55" t="s">
        <v>48</v>
      </c>
    </row>
    <row r="150" spans="1:8" x14ac:dyDescent="0.35">
      <c r="A150" s="461" t="s">
        <v>242</v>
      </c>
      <c r="B150" s="461" t="s">
        <v>235</v>
      </c>
      <c r="C150" s="461" t="s">
        <v>278</v>
      </c>
      <c r="D150" s="55" t="s">
        <v>49</v>
      </c>
      <c r="E150">
        <v>23</v>
      </c>
      <c r="F150">
        <v>3</v>
      </c>
      <c r="G150">
        <v>3</v>
      </c>
      <c r="H150">
        <v>17</v>
      </c>
    </row>
    <row r="151" spans="1:8" x14ac:dyDescent="0.35">
      <c r="A151" s="461" t="s">
        <v>242</v>
      </c>
      <c r="B151" s="461" t="s">
        <v>235</v>
      </c>
      <c r="C151" s="461"/>
      <c r="D151" s="55" t="s">
        <v>50</v>
      </c>
    </row>
    <row r="152" spans="1:8" x14ac:dyDescent="0.35">
      <c r="A152" s="461" t="s">
        <v>242</v>
      </c>
      <c r="B152" s="461" t="s">
        <v>235</v>
      </c>
      <c r="C152" s="461"/>
      <c r="D152" s="55" t="s">
        <v>51</v>
      </c>
    </row>
    <row r="153" spans="1:8" x14ac:dyDescent="0.35">
      <c r="A153" s="461" t="s">
        <v>242</v>
      </c>
      <c r="B153" s="461" t="s">
        <v>235</v>
      </c>
      <c r="C153" s="461" t="s">
        <v>280</v>
      </c>
      <c r="D153" s="55" t="s">
        <v>52</v>
      </c>
      <c r="E153">
        <v>28</v>
      </c>
      <c r="F153">
        <v>0</v>
      </c>
      <c r="G153">
        <v>3</v>
      </c>
      <c r="H153">
        <v>25</v>
      </c>
    </row>
    <row r="154" spans="1:8" x14ac:dyDescent="0.35">
      <c r="A154" s="461" t="s">
        <v>242</v>
      </c>
      <c r="B154" s="461" t="s">
        <v>235</v>
      </c>
      <c r="C154" s="461"/>
      <c r="D154" s="55" t="s">
        <v>53</v>
      </c>
    </row>
    <row r="155" spans="1:8" x14ac:dyDescent="0.35">
      <c r="A155" s="461" t="s">
        <v>242</v>
      </c>
      <c r="B155" s="461" t="s">
        <v>235</v>
      </c>
      <c r="C155" s="461"/>
      <c r="D155" s="55" t="s">
        <v>54</v>
      </c>
    </row>
    <row r="156" spans="1:8" x14ac:dyDescent="0.35">
      <c r="A156" s="461" t="s">
        <v>242</v>
      </c>
      <c r="B156" s="461" t="s">
        <v>235</v>
      </c>
      <c r="C156" s="461"/>
      <c r="D156" s="55" t="s">
        <v>55</v>
      </c>
    </row>
    <row r="157" spans="1:8" x14ac:dyDescent="0.35">
      <c r="A157" s="461" t="s">
        <v>242</v>
      </c>
      <c r="B157" s="461" t="s">
        <v>235</v>
      </c>
      <c r="C157" s="461"/>
      <c r="D157" s="55" t="s">
        <v>56</v>
      </c>
    </row>
    <row r="158" spans="1:8" x14ac:dyDescent="0.35">
      <c r="A158" s="461" t="s">
        <v>242</v>
      </c>
      <c r="B158" s="461" t="s">
        <v>235</v>
      </c>
      <c r="C158" s="461" t="s">
        <v>284</v>
      </c>
      <c r="D158" s="55" t="s">
        <v>57</v>
      </c>
      <c r="E158">
        <v>2</v>
      </c>
      <c r="F158">
        <v>1</v>
      </c>
      <c r="G158">
        <v>0</v>
      </c>
      <c r="H158">
        <v>1</v>
      </c>
    </row>
    <row r="159" spans="1:8" x14ac:dyDescent="0.35">
      <c r="A159" s="461" t="s">
        <v>242</v>
      </c>
      <c r="B159" s="461" t="s">
        <v>235</v>
      </c>
      <c r="C159" s="461"/>
      <c r="D159" s="55" t="s">
        <v>58</v>
      </c>
    </row>
    <row r="160" spans="1:8" x14ac:dyDescent="0.35">
      <c r="A160" s="461" t="s">
        <v>242</v>
      </c>
      <c r="B160" s="461" t="s">
        <v>235</v>
      </c>
      <c r="C160" s="461"/>
      <c r="D160" s="55" t="s">
        <v>59</v>
      </c>
    </row>
    <row r="161" spans="1:8" x14ac:dyDescent="0.35">
      <c r="A161" s="461" t="s">
        <v>242</v>
      </c>
      <c r="B161" s="461" t="s">
        <v>235</v>
      </c>
      <c r="C161" s="461"/>
      <c r="D161" s="55" t="s">
        <v>60</v>
      </c>
    </row>
    <row r="162" spans="1:8" x14ac:dyDescent="0.35">
      <c r="A162" s="461" t="s">
        <v>242</v>
      </c>
      <c r="B162" s="461" t="s">
        <v>235</v>
      </c>
      <c r="D162" s="55" t="s">
        <v>60</v>
      </c>
    </row>
    <row r="163" spans="1:8" hidden="1" x14ac:dyDescent="0.35">
      <c r="A163" s="461" t="s">
        <v>241</v>
      </c>
      <c r="B163" s="461" t="s">
        <v>235</v>
      </c>
      <c r="D163" s="52" t="s">
        <v>31</v>
      </c>
    </row>
    <row r="164" spans="1:8" hidden="1" x14ac:dyDescent="0.35">
      <c r="A164" s="461" t="s">
        <v>241</v>
      </c>
      <c r="B164" s="461" t="s">
        <v>235</v>
      </c>
      <c r="D164" s="55" t="s">
        <v>32</v>
      </c>
    </row>
    <row r="165" spans="1:8" hidden="1" x14ac:dyDescent="0.35">
      <c r="A165" s="461" t="s">
        <v>241</v>
      </c>
      <c r="B165" s="461" t="s">
        <v>235</v>
      </c>
      <c r="D165" s="55" t="s">
        <v>33</v>
      </c>
    </row>
    <row r="166" spans="1:8" hidden="1" x14ac:dyDescent="0.35">
      <c r="A166" s="461" t="s">
        <v>241</v>
      </c>
      <c r="B166" s="461" t="s">
        <v>235</v>
      </c>
      <c r="C166" s="461" t="s">
        <v>288</v>
      </c>
      <c r="D166" s="55" t="s">
        <v>34</v>
      </c>
      <c r="E166">
        <v>203</v>
      </c>
      <c r="F166">
        <v>25</v>
      </c>
      <c r="G166">
        <v>22</v>
      </c>
      <c r="H166">
        <v>156</v>
      </c>
    </row>
    <row r="167" spans="1:8" hidden="1" x14ac:dyDescent="0.35">
      <c r="A167" s="461" t="s">
        <v>241</v>
      </c>
      <c r="B167" s="461" t="s">
        <v>235</v>
      </c>
      <c r="C167" s="461"/>
      <c r="D167" s="55" t="s">
        <v>245</v>
      </c>
    </row>
    <row r="168" spans="1:8" hidden="1" x14ac:dyDescent="0.35">
      <c r="A168" s="461" t="s">
        <v>241</v>
      </c>
      <c r="B168" s="461" t="s">
        <v>235</v>
      </c>
      <c r="C168" s="461"/>
      <c r="D168" s="55" t="s">
        <v>35</v>
      </c>
    </row>
    <row r="169" spans="1:8" hidden="1" x14ac:dyDescent="0.35">
      <c r="A169" s="461" t="s">
        <v>241</v>
      </c>
      <c r="B169" s="461" t="s">
        <v>235</v>
      </c>
      <c r="C169" s="461" t="s">
        <v>268</v>
      </c>
      <c r="D169" s="55" t="s">
        <v>36</v>
      </c>
      <c r="E169">
        <v>6</v>
      </c>
      <c r="F169">
        <v>1</v>
      </c>
      <c r="G169">
        <v>0</v>
      </c>
      <c r="H169">
        <v>5</v>
      </c>
    </row>
    <row r="170" spans="1:8" hidden="1" x14ac:dyDescent="0.35">
      <c r="A170" s="461" t="s">
        <v>241</v>
      </c>
      <c r="B170" s="461" t="s">
        <v>235</v>
      </c>
      <c r="C170" s="461"/>
      <c r="D170" s="55" t="s">
        <v>37</v>
      </c>
    </row>
    <row r="171" spans="1:8" hidden="1" x14ac:dyDescent="0.35">
      <c r="A171" s="461" t="s">
        <v>241</v>
      </c>
      <c r="B171" s="461" t="s">
        <v>235</v>
      </c>
      <c r="C171" s="461"/>
      <c r="D171" s="55" t="s">
        <v>38</v>
      </c>
    </row>
    <row r="172" spans="1:8" hidden="1" x14ac:dyDescent="0.35">
      <c r="A172" s="461" t="s">
        <v>241</v>
      </c>
      <c r="B172" s="461" t="s">
        <v>235</v>
      </c>
      <c r="C172" s="461"/>
      <c r="D172" s="55" t="s">
        <v>39</v>
      </c>
    </row>
    <row r="173" spans="1:8" hidden="1" x14ac:dyDescent="0.35">
      <c r="A173" s="461" t="s">
        <v>241</v>
      </c>
      <c r="B173" s="461" t="s">
        <v>235</v>
      </c>
      <c r="C173" s="461"/>
      <c r="D173" s="55" t="s">
        <v>40</v>
      </c>
    </row>
    <row r="174" spans="1:8" hidden="1" x14ac:dyDescent="0.35">
      <c r="A174" s="461" t="s">
        <v>241</v>
      </c>
      <c r="B174" s="461" t="s">
        <v>235</v>
      </c>
      <c r="C174" s="461"/>
      <c r="D174" s="55" t="s">
        <v>41</v>
      </c>
    </row>
    <row r="175" spans="1:8" hidden="1" x14ac:dyDescent="0.35">
      <c r="A175" s="461" t="s">
        <v>241</v>
      </c>
      <c r="B175" s="461" t="s">
        <v>235</v>
      </c>
      <c r="C175" s="461"/>
      <c r="D175" s="55" t="s">
        <v>42</v>
      </c>
    </row>
    <row r="176" spans="1:8" hidden="1" x14ac:dyDescent="0.35">
      <c r="A176" s="461" t="s">
        <v>241</v>
      </c>
      <c r="B176" s="461" t="s">
        <v>235</v>
      </c>
      <c r="C176" s="461"/>
      <c r="D176" s="55" t="s">
        <v>43</v>
      </c>
    </row>
    <row r="177" spans="1:8" hidden="1" x14ac:dyDescent="0.35">
      <c r="A177" s="461" t="s">
        <v>241</v>
      </c>
      <c r="B177" s="461" t="s">
        <v>235</v>
      </c>
      <c r="C177" s="461"/>
      <c r="D177" s="55" t="s">
        <v>114</v>
      </c>
    </row>
    <row r="178" spans="1:8" hidden="1" x14ac:dyDescent="0.35">
      <c r="A178" s="461" t="s">
        <v>241</v>
      </c>
      <c r="B178" s="461" t="s">
        <v>235</v>
      </c>
      <c r="C178" s="461" t="s">
        <v>274</v>
      </c>
      <c r="D178" s="55" t="s">
        <v>44</v>
      </c>
      <c r="E178">
        <v>62</v>
      </c>
      <c r="F178">
        <v>7</v>
      </c>
      <c r="G178">
        <v>12</v>
      </c>
      <c r="H178">
        <v>43</v>
      </c>
    </row>
    <row r="179" spans="1:8" hidden="1" x14ac:dyDescent="0.35">
      <c r="A179" s="461" t="s">
        <v>241</v>
      </c>
      <c r="B179" s="461" t="s">
        <v>235</v>
      </c>
      <c r="C179" s="461"/>
      <c r="D179" s="55" t="s">
        <v>45</v>
      </c>
    </row>
    <row r="180" spans="1:8" hidden="1" x14ac:dyDescent="0.35">
      <c r="A180" s="461" t="s">
        <v>241</v>
      </c>
      <c r="B180" s="461" t="s">
        <v>235</v>
      </c>
      <c r="C180" s="461"/>
      <c r="D180" s="55" t="s">
        <v>46</v>
      </c>
    </row>
    <row r="181" spans="1:8" hidden="1" x14ac:dyDescent="0.35">
      <c r="A181" s="461" t="s">
        <v>241</v>
      </c>
      <c r="B181" s="461" t="s">
        <v>235</v>
      </c>
      <c r="C181" s="461" t="s">
        <v>277</v>
      </c>
      <c r="D181" s="55" t="s">
        <v>47</v>
      </c>
      <c r="E181">
        <v>4</v>
      </c>
      <c r="F181">
        <v>1</v>
      </c>
      <c r="G181">
        <v>2</v>
      </c>
      <c r="H181">
        <v>1</v>
      </c>
    </row>
    <row r="182" spans="1:8" hidden="1" x14ac:dyDescent="0.35">
      <c r="A182" s="461" t="s">
        <v>241</v>
      </c>
      <c r="B182" s="461" t="s">
        <v>235</v>
      </c>
      <c r="C182" s="461"/>
      <c r="D182" s="55" t="s">
        <v>48</v>
      </c>
    </row>
    <row r="183" spans="1:8" hidden="1" x14ac:dyDescent="0.35">
      <c r="A183" s="461" t="s">
        <v>241</v>
      </c>
      <c r="B183" s="461" t="s">
        <v>235</v>
      </c>
      <c r="C183" s="461" t="s">
        <v>278</v>
      </c>
      <c r="D183" s="55" t="s">
        <v>49</v>
      </c>
      <c r="E183">
        <v>22</v>
      </c>
      <c r="F183">
        <v>3</v>
      </c>
      <c r="G183">
        <v>3</v>
      </c>
      <c r="H183">
        <v>16</v>
      </c>
    </row>
    <row r="184" spans="1:8" hidden="1" x14ac:dyDescent="0.35">
      <c r="A184" s="461" t="s">
        <v>241</v>
      </c>
      <c r="B184" s="461" t="s">
        <v>235</v>
      </c>
      <c r="C184" s="461"/>
      <c r="D184" s="55" t="s">
        <v>50</v>
      </c>
    </row>
    <row r="185" spans="1:8" hidden="1" x14ac:dyDescent="0.35">
      <c r="A185" s="461" t="s">
        <v>241</v>
      </c>
      <c r="B185" s="461" t="s">
        <v>235</v>
      </c>
      <c r="C185" s="461"/>
      <c r="D185" s="55" t="s">
        <v>51</v>
      </c>
    </row>
    <row r="186" spans="1:8" hidden="1" x14ac:dyDescent="0.35">
      <c r="A186" s="461" t="s">
        <v>241</v>
      </c>
      <c r="B186" s="461" t="s">
        <v>235</v>
      </c>
      <c r="C186" s="461" t="s">
        <v>280</v>
      </c>
      <c r="D186" s="55" t="s">
        <v>52</v>
      </c>
      <c r="E186">
        <v>22</v>
      </c>
      <c r="F186">
        <v>0</v>
      </c>
      <c r="G186">
        <v>3</v>
      </c>
      <c r="H186">
        <v>19</v>
      </c>
    </row>
    <row r="187" spans="1:8" hidden="1" x14ac:dyDescent="0.35">
      <c r="A187" s="461" t="s">
        <v>241</v>
      </c>
      <c r="B187" s="461" t="s">
        <v>235</v>
      </c>
      <c r="C187" s="461"/>
      <c r="D187" s="55" t="s">
        <v>53</v>
      </c>
    </row>
    <row r="188" spans="1:8" hidden="1" x14ac:dyDescent="0.35">
      <c r="A188" s="461" t="s">
        <v>241</v>
      </c>
      <c r="B188" s="461" t="s">
        <v>235</v>
      </c>
      <c r="C188" s="461"/>
      <c r="D188" s="55" t="s">
        <v>54</v>
      </c>
    </row>
    <row r="189" spans="1:8" hidden="1" x14ac:dyDescent="0.35">
      <c r="A189" s="461" t="s">
        <v>241</v>
      </c>
      <c r="B189" s="461" t="s">
        <v>235</v>
      </c>
      <c r="C189" s="461"/>
      <c r="D189" s="55" t="s">
        <v>55</v>
      </c>
    </row>
    <row r="190" spans="1:8" hidden="1" x14ac:dyDescent="0.35">
      <c r="A190" s="461" t="s">
        <v>241</v>
      </c>
      <c r="B190" s="461" t="s">
        <v>235</v>
      </c>
      <c r="C190" s="461"/>
      <c r="D190" s="55" t="s">
        <v>56</v>
      </c>
    </row>
    <row r="191" spans="1:8" hidden="1" x14ac:dyDescent="0.35">
      <c r="A191" s="461" t="s">
        <v>241</v>
      </c>
      <c r="B191" s="461" t="s">
        <v>235</v>
      </c>
      <c r="C191" s="461" t="s">
        <v>284</v>
      </c>
      <c r="D191" s="55" t="s">
        <v>57</v>
      </c>
      <c r="E191">
        <v>2</v>
      </c>
      <c r="F191">
        <v>1</v>
      </c>
      <c r="G191">
        <v>0</v>
      </c>
      <c r="H191">
        <v>1</v>
      </c>
    </row>
    <row r="192" spans="1:8" hidden="1" x14ac:dyDescent="0.35">
      <c r="A192" s="461" t="s">
        <v>241</v>
      </c>
      <c r="B192" s="461" t="s">
        <v>235</v>
      </c>
      <c r="C192" s="461"/>
      <c r="D192" s="55" t="s">
        <v>58</v>
      </c>
    </row>
    <row r="193" spans="1:8" hidden="1" x14ac:dyDescent="0.35">
      <c r="A193" s="461" t="s">
        <v>241</v>
      </c>
      <c r="B193" s="461" t="s">
        <v>235</v>
      </c>
      <c r="C193" s="461"/>
      <c r="D193" s="55" t="s">
        <v>59</v>
      </c>
    </row>
    <row r="194" spans="1:8" hidden="1" x14ac:dyDescent="0.35">
      <c r="A194" s="461" t="s">
        <v>241</v>
      </c>
      <c r="B194" s="461" t="s">
        <v>235</v>
      </c>
      <c r="D194" s="55" t="s">
        <v>60</v>
      </c>
    </row>
    <row r="195" spans="1:8" hidden="1" x14ac:dyDescent="0.35">
      <c r="A195" s="461" t="s">
        <v>773</v>
      </c>
      <c r="B195" s="461" t="s">
        <v>235</v>
      </c>
      <c r="D195" s="52" t="s">
        <v>31</v>
      </c>
    </row>
    <row r="196" spans="1:8" hidden="1" x14ac:dyDescent="0.35">
      <c r="A196" s="461" t="s">
        <v>773</v>
      </c>
      <c r="B196" s="461" t="s">
        <v>235</v>
      </c>
      <c r="D196" s="55" t="s">
        <v>32</v>
      </c>
    </row>
    <row r="197" spans="1:8" hidden="1" x14ac:dyDescent="0.35">
      <c r="A197" s="461" t="s">
        <v>773</v>
      </c>
      <c r="B197" s="461" t="s">
        <v>235</v>
      </c>
      <c r="D197" s="55" t="s">
        <v>33</v>
      </c>
    </row>
    <row r="198" spans="1:8" hidden="1" x14ac:dyDescent="0.35">
      <c r="A198" s="461" t="s">
        <v>773</v>
      </c>
      <c r="B198" s="461" t="s">
        <v>235</v>
      </c>
      <c r="C198" s="461" t="s">
        <v>354</v>
      </c>
      <c r="D198" s="55" t="s">
        <v>34</v>
      </c>
      <c r="E198">
        <v>212</v>
      </c>
      <c r="F198">
        <v>25</v>
      </c>
      <c r="G198">
        <v>22</v>
      </c>
      <c r="H198">
        <v>165</v>
      </c>
    </row>
    <row r="199" spans="1:8" hidden="1" x14ac:dyDescent="0.35">
      <c r="A199" s="461" t="s">
        <v>773</v>
      </c>
      <c r="B199" s="461" t="s">
        <v>235</v>
      </c>
      <c r="C199" s="461"/>
      <c r="D199" s="55" t="s">
        <v>245</v>
      </c>
    </row>
    <row r="200" spans="1:8" hidden="1" x14ac:dyDescent="0.35">
      <c r="A200" s="461" t="s">
        <v>773</v>
      </c>
      <c r="B200" s="461" t="s">
        <v>235</v>
      </c>
      <c r="C200" s="461"/>
      <c r="D200" s="55" t="s">
        <v>35</v>
      </c>
    </row>
    <row r="201" spans="1:8" hidden="1" x14ac:dyDescent="0.35">
      <c r="A201" s="461" t="s">
        <v>773</v>
      </c>
      <c r="B201" s="461" t="s">
        <v>235</v>
      </c>
      <c r="C201" s="461" t="s">
        <v>354</v>
      </c>
      <c r="D201" s="55" t="s">
        <v>36</v>
      </c>
      <c r="E201">
        <v>5</v>
      </c>
      <c r="F201">
        <v>1</v>
      </c>
      <c r="G201">
        <v>1</v>
      </c>
      <c r="H201">
        <v>3</v>
      </c>
    </row>
    <row r="202" spans="1:8" hidden="1" x14ac:dyDescent="0.35">
      <c r="A202" s="461" t="s">
        <v>773</v>
      </c>
      <c r="B202" s="461" t="s">
        <v>235</v>
      </c>
      <c r="C202" s="461"/>
      <c r="D202" s="55" t="s">
        <v>37</v>
      </c>
    </row>
    <row r="203" spans="1:8" hidden="1" x14ac:dyDescent="0.35">
      <c r="A203" s="461" t="s">
        <v>773</v>
      </c>
      <c r="B203" s="461" t="s">
        <v>235</v>
      </c>
      <c r="C203" s="461"/>
      <c r="D203" s="55" t="s">
        <v>38</v>
      </c>
    </row>
    <row r="204" spans="1:8" hidden="1" x14ac:dyDescent="0.35">
      <c r="A204" s="461" t="s">
        <v>773</v>
      </c>
      <c r="B204" s="461" t="s">
        <v>235</v>
      </c>
      <c r="C204" s="461"/>
      <c r="D204" s="55" t="s">
        <v>39</v>
      </c>
    </row>
    <row r="205" spans="1:8" hidden="1" x14ac:dyDescent="0.35">
      <c r="A205" s="461" t="s">
        <v>773</v>
      </c>
      <c r="B205" s="461" t="s">
        <v>235</v>
      </c>
      <c r="C205" s="461"/>
      <c r="D205" s="55" t="s">
        <v>40</v>
      </c>
    </row>
    <row r="206" spans="1:8" hidden="1" x14ac:dyDescent="0.35">
      <c r="A206" s="461" t="s">
        <v>773</v>
      </c>
      <c r="B206" s="461" t="s">
        <v>235</v>
      </c>
      <c r="C206" s="461"/>
      <c r="D206" s="55" t="s">
        <v>41</v>
      </c>
    </row>
    <row r="207" spans="1:8" hidden="1" x14ac:dyDescent="0.35">
      <c r="A207" s="461" t="s">
        <v>773</v>
      </c>
      <c r="B207" s="461" t="s">
        <v>235</v>
      </c>
      <c r="C207" s="461"/>
      <c r="D207" s="55" t="s">
        <v>42</v>
      </c>
    </row>
    <row r="208" spans="1:8" hidden="1" x14ac:dyDescent="0.35">
      <c r="A208" s="461" t="s">
        <v>773</v>
      </c>
      <c r="B208" s="461" t="s">
        <v>235</v>
      </c>
      <c r="C208" s="461"/>
      <c r="D208" s="55" t="s">
        <v>43</v>
      </c>
    </row>
    <row r="209" spans="1:8" hidden="1" x14ac:dyDescent="0.35">
      <c r="A209" s="461" t="s">
        <v>773</v>
      </c>
      <c r="B209" s="461" t="s">
        <v>235</v>
      </c>
      <c r="C209" s="461"/>
      <c r="D209" s="55" t="s">
        <v>114</v>
      </c>
    </row>
    <row r="210" spans="1:8" hidden="1" x14ac:dyDescent="0.35">
      <c r="A210" s="461" t="s">
        <v>773</v>
      </c>
      <c r="B210" s="461" t="s">
        <v>235</v>
      </c>
      <c r="C210" s="461" t="s">
        <v>355</v>
      </c>
      <c r="D210" s="55" t="s">
        <v>44</v>
      </c>
      <c r="E210">
        <v>49</v>
      </c>
      <c r="F210">
        <v>6</v>
      </c>
      <c r="G210">
        <v>10</v>
      </c>
      <c r="H210">
        <v>33</v>
      </c>
    </row>
    <row r="211" spans="1:8" hidden="1" x14ac:dyDescent="0.35">
      <c r="A211" s="461" t="s">
        <v>773</v>
      </c>
      <c r="B211" s="461" t="s">
        <v>235</v>
      </c>
      <c r="C211" s="461"/>
      <c r="D211" s="55" t="s">
        <v>45</v>
      </c>
    </row>
    <row r="212" spans="1:8" hidden="1" x14ac:dyDescent="0.35">
      <c r="A212" s="461" t="s">
        <v>773</v>
      </c>
      <c r="B212" s="461" t="s">
        <v>235</v>
      </c>
      <c r="C212" s="461"/>
      <c r="D212" s="55" t="s">
        <v>46</v>
      </c>
    </row>
    <row r="213" spans="1:8" hidden="1" x14ac:dyDescent="0.35">
      <c r="A213" s="461" t="s">
        <v>773</v>
      </c>
      <c r="B213" s="461" t="s">
        <v>235</v>
      </c>
      <c r="C213" s="461" t="s">
        <v>355</v>
      </c>
      <c r="D213" s="55" t="s">
        <v>47</v>
      </c>
      <c r="E213">
        <v>4</v>
      </c>
      <c r="F213">
        <v>1</v>
      </c>
      <c r="G213">
        <v>2</v>
      </c>
      <c r="H213">
        <v>1</v>
      </c>
    </row>
    <row r="214" spans="1:8" hidden="1" x14ac:dyDescent="0.35">
      <c r="A214" s="461" t="s">
        <v>773</v>
      </c>
      <c r="B214" s="461" t="s">
        <v>235</v>
      </c>
      <c r="C214" s="461"/>
      <c r="D214" s="55" t="s">
        <v>48</v>
      </c>
    </row>
    <row r="215" spans="1:8" hidden="1" x14ac:dyDescent="0.35">
      <c r="A215" s="461" t="s">
        <v>773</v>
      </c>
      <c r="B215" s="461" t="s">
        <v>235</v>
      </c>
      <c r="C215" s="461" t="s">
        <v>354</v>
      </c>
      <c r="D215" s="55" t="s">
        <v>49</v>
      </c>
      <c r="E215">
        <v>22</v>
      </c>
      <c r="F215">
        <v>3</v>
      </c>
      <c r="G215">
        <v>3</v>
      </c>
      <c r="H215">
        <v>16</v>
      </c>
    </row>
    <row r="216" spans="1:8" hidden="1" x14ac:dyDescent="0.35">
      <c r="A216" s="461" t="s">
        <v>773</v>
      </c>
      <c r="B216" s="461" t="s">
        <v>235</v>
      </c>
      <c r="C216" s="461"/>
      <c r="D216" s="55" t="s">
        <v>50</v>
      </c>
    </row>
    <row r="217" spans="1:8" hidden="1" x14ac:dyDescent="0.35">
      <c r="A217" s="461" t="s">
        <v>773</v>
      </c>
      <c r="B217" s="461" t="s">
        <v>235</v>
      </c>
      <c r="C217" s="461"/>
      <c r="D217" s="55" t="s">
        <v>51</v>
      </c>
    </row>
    <row r="218" spans="1:8" hidden="1" x14ac:dyDescent="0.35">
      <c r="A218" s="461" t="s">
        <v>773</v>
      </c>
      <c r="B218" s="461" t="s">
        <v>235</v>
      </c>
      <c r="C218" s="461" t="s">
        <v>355</v>
      </c>
      <c r="D218" s="55" t="s">
        <v>52</v>
      </c>
      <c r="E218">
        <v>21</v>
      </c>
      <c r="F218">
        <v>0</v>
      </c>
      <c r="G218">
        <v>3</v>
      </c>
      <c r="H218">
        <v>18</v>
      </c>
    </row>
    <row r="219" spans="1:8" hidden="1" x14ac:dyDescent="0.35">
      <c r="A219" s="461" t="s">
        <v>773</v>
      </c>
      <c r="B219" s="461" t="s">
        <v>235</v>
      </c>
      <c r="C219" s="461"/>
      <c r="D219" s="55" t="s">
        <v>53</v>
      </c>
    </row>
    <row r="220" spans="1:8" hidden="1" x14ac:dyDescent="0.35">
      <c r="A220" s="461" t="s">
        <v>773</v>
      </c>
      <c r="B220" s="461" t="s">
        <v>235</v>
      </c>
      <c r="C220" s="461"/>
      <c r="D220" s="55" t="s">
        <v>54</v>
      </c>
    </row>
    <row r="221" spans="1:8" hidden="1" x14ac:dyDescent="0.35">
      <c r="A221" s="461" t="s">
        <v>773</v>
      </c>
      <c r="B221" s="461" t="s">
        <v>235</v>
      </c>
      <c r="C221" s="461"/>
      <c r="D221" s="55" t="s">
        <v>55</v>
      </c>
    </row>
    <row r="222" spans="1:8" hidden="1" x14ac:dyDescent="0.35">
      <c r="A222" s="461" t="s">
        <v>773</v>
      </c>
      <c r="B222" s="461" t="s">
        <v>235</v>
      </c>
      <c r="C222" s="461"/>
      <c r="D222" s="55" t="s">
        <v>56</v>
      </c>
    </row>
    <row r="223" spans="1:8" hidden="1" x14ac:dyDescent="0.35">
      <c r="A223" s="461" t="s">
        <v>773</v>
      </c>
      <c r="B223" s="461" t="s">
        <v>235</v>
      </c>
      <c r="C223" s="461" t="s">
        <v>354</v>
      </c>
      <c r="D223" s="55" t="s">
        <v>57</v>
      </c>
      <c r="E223">
        <v>2</v>
      </c>
      <c r="F223">
        <v>1</v>
      </c>
      <c r="G223">
        <v>0</v>
      </c>
      <c r="H223">
        <v>1</v>
      </c>
    </row>
    <row r="224" spans="1:8" hidden="1" x14ac:dyDescent="0.35">
      <c r="A224" s="461" t="s">
        <v>773</v>
      </c>
      <c r="B224" s="461" t="s">
        <v>235</v>
      </c>
      <c r="C224" s="461"/>
      <c r="D224" s="55" t="s">
        <v>58</v>
      </c>
    </row>
    <row r="225" spans="1:8" hidden="1" x14ac:dyDescent="0.35">
      <c r="A225" s="461" t="s">
        <v>773</v>
      </c>
      <c r="B225" s="461" t="s">
        <v>235</v>
      </c>
      <c r="C225" s="461"/>
      <c r="D225" s="55" t="s">
        <v>59</v>
      </c>
    </row>
    <row r="226" spans="1:8" hidden="1" x14ac:dyDescent="0.35">
      <c r="A226" s="461" t="s">
        <v>773</v>
      </c>
      <c r="B226" s="461" t="s">
        <v>235</v>
      </c>
      <c r="D226" s="55" t="s">
        <v>60</v>
      </c>
    </row>
    <row r="227" spans="1:8" x14ac:dyDescent="0.35">
      <c r="A227" s="461" t="s">
        <v>951</v>
      </c>
      <c r="B227" s="461" t="s">
        <v>235</v>
      </c>
      <c r="D227" s="52" t="s">
        <v>31</v>
      </c>
    </row>
    <row r="228" spans="1:8" x14ac:dyDescent="0.35">
      <c r="A228" s="461" t="s">
        <v>951</v>
      </c>
      <c r="B228" s="461" t="s">
        <v>235</v>
      </c>
      <c r="D228" s="55" t="s">
        <v>32</v>
      </c>
    </row>
    <row r="229" spans="1:8" x14ac:dyDescent="0.35">
      <c r="A229" s="461" t="s">
        <v>951</v>
      </c>
      <c r="B229" s="461" t="s">
        <v>235</v>
      </c>
      <c r="D229" s="55" t="s">
        <v>33</v>
      </c>
    </row>
    <row r="230" spans="1:8" x14ac:dyDescent="0.35">
      <c r="A230" s="461" t="s">
        <v>951</v>
      </c>
      <c r="B230" s="461" t="s">
        <v>235</v>
      </c>
      <c r="C230" s="461" t="s">
        <v>354</v>
      </c>
      <c r="D230" s="55" t="s">
        <v>34</v>
      </c>
      <c r="E230">
        <v>201</v>
      </c>
      <c r="F230">
        <v>25</v>
      </c>
      <c r="G230">
        <v>22</v>
      </c>
      <c r="H230">
        <v>154</v>
      </c>
    </row>
    <row r="231" spans="1:8" x14ac:dyDescent="0.35">
      <c r="A231" s="461" t="s">
        <v>951</v>
      </c>
      <c r="B231" s="461" t="s">
        <v>235</v>
      </c>
      <c r="C231" s="461"/>
      <c r="D231" s="55" t="s">
        <v>245</v>
      </c>
    </row>
    <row r="232" spans="1:8" x14ac:dyDescent="0.35">
      <c r="A232" s="461" t="s">
        <v>951</v>
      </c>
      <c r="B232" s="461" t="s">
        <v>235</v>
      </c>
      <c r="C232" s="461"/>
      <c r="D232" s="55" t="s">
        <v>35</v>
      </c>
    </row>
    <row r="233" spans="1:8" x14ac:dyDescent="0.35">
      <c r="A233" s="461" t="s">
        <v>951</v>
      </c>
      <c r="B233" s="461" t="s">
        <v>235</v>
      </c>
      <c r="C233" s="461" t="s">
        <v>354</v>
      </c>
      <c r="D233" s="55" t="s">
        <v>36</v>
      </c>
      <c r="E233">
        <v>6</v>
      </c>
      <c r="F233">
        <v>1</v>
      </c>
      <c r="G233">
        <v>1</v>
      </c>
      <c r="H233">
        <v>4</v>
      </c>
    </row>
    <row r="234" spans="1:8" x14ac:dyDescent="0.35">
      <c r="A234" s="461" t="s">
        <v>951</v>
      </c>
      <c r="B234" s="461" t="s">
        <v>235</v>
      </c>
      <c r="C234" s="461"/>
      <c r="D234" s="55" t="s">
        <v>37</v>
      </c>
    </row>
    <row r="235" spans="1:8" x14ac:dyDescent="0.35">
      <c r="A235" s="461" t="s">
        <v>951</v>
      </c>
      <c r="B235" s="461" t="s">
        <v>235</v>
      </c>
      <c r="C235" s="461"/>
      <c r="D235" s="55" t="s">
        <v>38</v>
      </c>
    </row>
    <row r="236" spans="1:8" x14ac:dyDescent="0.35">
      <c r="A236" s="461" t="s">
        <v>951</v>
      </c>
      <c r="B236" s="461" t="s">
        <v>235</v>
      </c>
      <c r="C236" s="461"/>
      <c r="D236" s="55" t="s">
        <v>39</v>
      </c>
    </row>
    <row r="237" spans="1:8" x14ac:dyDescent="0.35">
      <c r="A237" s="461" t="s">
        <v>951</v>
      </c>
      <c r="B237" s="461" t="s">
        <v>235</v>
      </c>
      <c r="C237" s="461"/>
      <c r="D237" s="55" t="s">
        <v>40</v>
      </c>
    </row>
    <row r="238" spans="1:8" x14ac:dyDescent="0.35">
      <c r="A238" s="461" t="s">
        <v>951</v>
      </c>
      <c r="B238" s="461" t="s">
        <v>235</v>
      </c>
      <c r="C238" s="461"/>
      <c r="D238" s="55" t="s">
        <v>41</v>
      </c>
    </row>
    <row r="239" spans="1:8" x14ac:dyDescent="0.35">
      <c r="A239" s="461" t="s">
        <v>951</v>
      </c>
      <c r="B239" s="461" t="s">
        <v>235</v>
      </c>
      <c r="C239" s="461"/>
      <c r="D239" s="55" t="s">
        <v>42</v>
      </c>
    </row>
    <row r="240" spans="1:8" x14ac:dyDescent="0.35">
      <c r="A240" s="461" t="s">
        <v>951</v>
      </c>
      <c r="B240" s="461" t="s">
        <v>235</v>
      </c>
      <c r="C240" s="461"/>
      <c r="D240" s="55" t="s">
        <v>43</v>
      </c>
    </row>
    <row r="241" spans="1:8" x14ac:dyDescent="0.35">
      <c r="A241" s="461" t="s">
        <v>951</v>
      </c>
      <c r="B241" s="461" t="s">
        <v>235</v>
      </c>
      <c r="C241" s="461"/>
      <c r="D241" s="55" t="s">
        <v>114</v>
      </c>
    </row>
    <row r="242" spans="1:8" x14ac:dyDescent="0.35">
      <c r="A242" s="461" t="s">
        <v>951</v>
      </c>
      <c r="B242" s="461" t="s">
        <v>235</v>
      </c>
      <c r="C242" s="461" t="s">
        <v>355</v>
      </c>
      <c r="D242" s="55" t="s">
        <v>44</v>
      </c>
      <c r="E242">
        <v>48</v>
      </c>
      <c r="F242">
        <v>6</v>
      </c>
      <c r="G242">
        <v>12</v>
      </c>
      <c r="H242">
        <v>30</v>
      </c>
    </row>
    <row r="243" spans="1:8" x14ac:dyDescent="0.35">
      <c r="A243" s="461" t="s">
        <v>951</v>
      </c>
      <c r="B243" s="461" t="s">
        <v>235</v>
      </c>
      <c r="C243" s="461"/>
      <c r="D243" s="55" t="s">
        <v>45</v>
      </c>
    </row>
    <row r="244" spans="1:8" x14ac:dyDescent="0.35">
      <c r="A244" s="461" t="s">
        <v>951</v>
      </c>
      <c r="B244" s="461" t="s">
        <v>235</v>
      </c>
      <c r="C244" s="461"/>
      <c r="D244" s="55" t="s">
        <v>46</v>
      </c>
    </row>
    <row r="245" spans="1:8" x14ac:dyDescent="0.35">
      <c r="A245" s="461" t="s">
        <v>951</v>
      </c>
      <c r="B245" s="461" t="s">
        <v>235</v>
      </c>
      <c r="C245" s="461" t="s">
        <v>355</v>
      </c>
      <c r="D245" s="55" t="s">
        <v>47</v>
      </c>
      <c r="E245">
        <v>3</v>
      </c>
      <c r="F245">
        <v>1</v>
      </c>
      <c r="G245">
        <v>2</v>
      </c>
      <c r="H245">
        <v>0</v>
      </c>
    </row>
    <row r="246" spans="1:8" x14ac:dyDescent="0.35">
      <c r="A246" s="461" t="s">
        <v>951</v>
      </c>
      <c r="B246" s="461" t="s">
        <v>235</v>
      </c>
      <c r="C246" s="461"/>
      <c r="D246" s="55" t="s">
        <v>48</v>
      </c>
    </row>
    <row r="247" spans="1:8" x14ac:dyDescent="0.35">
      <c r="A247" s="461" t="s">
        <v>951</v>
      </c>
      <c r="B247" s="461" t="s">
        <v>235</v>
      </c>
      <c r="C247" s="461" t="s">
        <v>354</v>
      </c>
      <c r="D247" s="55" t="s">
        <v>49</v>
      </c>
      <c r="E247">
        <v>22</v>
      </c>
      <c r="F247">
        <v>3</v>
      </c>
      <c r="G247">
        <v>3</v>
      </c>
      <c r="H247">
        <v>16</v>
      </c>
    </row>
    <row r="248" spans="1:8" x14ac:dyDescent="0.35">
      <c r="A248" s="461" t="s">
        <v>951</v>
      </c>
      <c r="B248" s="461" t="s">
        <v>235</v>
      </c>
      <c r="C248" s="461"/>
      <c r="D248" s="55" t="s">
        <v>50</v>
      </c>
    </row>
    <row r="249" spans="1:8" x14ac:dyDescent="0.35">
      <c r="A249" s="461" t="s">
        <v>951</v>
      </c>
      <c r="B249" s="461" t="s">
        <v>235</v>
      </c>
      <c r="C249" s="461"/>
      <c r="D249" s="55" t="s">
        <v>51</v>
      </c>
    </row>
    <row r="250" spans="1:8" x14ac:dyDescent="0.35">
      <c r="A250" s="461" t="s">
        <v>951</v>
      </c>
      <c r="B250" s="461" t="s">
        <v>235</v>
      </c>
      <c r="C250" s="461" t="s">
        <v>355</v>
      </c>
      <c r="D250" s="55" t="s">
        <v>52</v>
      </c>
      <c r="E250">
        <v>21</v>
      </c>
      <c r="F250">
        <v>0</v>
      </c>
      <c r="G250">
        <v>3</v>
      </c>
      <c r="H250">
        <v>18</v>
      </c>
    </row>
    <row r="251" spans="1:8" x14ac:dyDescent="0.35">
      <c r="A251" s="461" t="s">
        <v>951</v>
      </c>
      <c r="B251" s="461" t="s">
        <v>235</v>
      </c>
      <c r="C251" s="461"/>
      <c r="D251" s="55" t="s">
        <v>53</v>
      </c>
    </row>
    <row r="252" spans="1:8" x14ac:dyDescent="0.35">
      <c r="A252" s="461" t="s">
        <v>951</v>
      </c>
      <c r="B252" s="461" t="s">
        <v>235</v>
      </c>
      <c r="C252" s="461"/>
      <c r="D252" s="55" t="s">
        <v>54</v>
      </c>
    </row>
    <row r="253" spans="1:8" x14ac:dyDescent="0.35">
      <c r="A253" s="461" t="s">
        <v>951</v>
      </c>
      <c r="B253" s="461" t="s">
        <v>235</v>
      </c>
      <c r="C253" s="461"/>
      <c r="D253" s="55" t="s">
        <v>55</v>
      </c>
    </row>
    <row r="254" spans="1:8" x14ac:dyDescent="0.35">
      <c r="A254" s="461" t="s">
        <v>951</v>
      </c>
      <c r="B254" s="461" t="s">
        <v>235</v>
      </c>
      <c r="C254" s="461"/>
      <c r="D254" s="55" t="s">
        <v>56</v>
      </c>
    </row>
    <row r="255" spans="1:8" x14ac:dyDescent="0.35">
      <c r="A255" s="461" t="s">
        <v>951</v>
      </c>
      <c r="B255" s="461" t="s">
        <v>235</v>
      </c>
      <c r="C255" s="461" t="s">
        <v>354</v>
      </c>
      <c r="D255" s="55" t="s">
        <v>57</v>
      </c>
      <c r="E255">
        <v>2</v>
      </c>
      <c r="F255">
        <v>1</v>
      </c>
      <c r="G255">
        <v>0</v>
      </c>
      <c r="H255">
        <v>1</v>
      </c>
    </row>
    <row r="256" spans="1:8" x14ac:dyDescent="0.35">
      <c r="A256" s="461" t="s">
        <v>951</v>
      </c>
      <c r="B256" s="461" t="s">
        <v>235</v>
      </c>
      <c r="C256" s="461"/>
      <c r="D256" s="55" t="s">
        <v>58</v>
      </c>
    </row>
    <row r="257" spans="1:4" x14ac:dyDescent="0.35">
      <c r="A257" s="461" t="s">
        <v>951</v>
      </c>
      <c r="B257" s="461" t="s">
        <v>235</v>
      </c>
      <c r="C257" s="461"/>
      <c r="D257" s="55" t="s">
        <v>59</v>
      </c>
    </row>
    <row r="258" spans="1:4" x14ac:dyDescent="0.35">
      <c r="A258" s="461" t="s">
        <v>951</v>
      </c>
      <c r="B258" s="461" t="s">
        <v>235</v>
      </c>
      <c r="D258" s="55" t="s">
        <v>60</v>
      </c>
    </row>
  </sheetData>
  <pageMargins left="0.7" right="0.7" top="0.75" bottom="0.75" header="0.3" footer="0.3"/>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pageSetUpPr fitToPage="1"/>
  </sheetPr>
  <dimension ref="A1:G49"/>
  <sheetViews>
    <sheetView showGridLines="0" workbookViewId="0">
      <pane ySplit="2" topLeftCell="A3" activePane="bottomLeft" state="frozen"/>
      <selection pane="bottomLeft" sqref="A1:G1"/>
    </sheetView>
  </sheetViews>
  <sheetFormatPr defaultRowHeight="14.5" x14ac:dyDescent="0.35"/>
  <cols>
    <col min="1" max="1" width="17.1796875" customWidth="1"/>
    <col min="2" max="2" width="28.7265625" customWidth="1"/>
    <col min="3" max="5" width="13" customWidth="1"/>
    <col min="6" max="6" width="10.26953125" customWidth="1"/>
  </cols>
  <sheetData>
    <row r="1" spans="1:7" ht="15.75" customHeight="1" x14ac:dyDescent="0.35">
      <c r="A1" s="1160" t="s">
        <v>439</v>
      </c>
      <c r="B1" s="1160"/>
      <c r="C1" s="1160"/>
      <c r="D1" s="1160"/>
      <c r="E1" s="1160"/>
      <c r="F1" s="1160"/>
      <c r="G1" s="1160"/>
    </row>
    <row r="2" spans="1:7" ht="15.5" x14ac:dyDescent="0.35">
      <c r="A2" s="601" t="s">
        <v>509</v>
      </c>
      <c r="C2" s="538"/>
      <c r="D2" s="538"/>
      <c r="E2" s="538"/>
      <c r="F2" s="538"/>
      <c r="G2" s="538"/>
    </row>
    <row r="3" spans="1:7" ht="15.5" x14ac:dyDescent="0.35">
      <c r="C3" s="538"/>
      <c r="D3" s="538"/>
      <c r="E3" s="538"/>
      <c r="F3" s="538"/>
      <c r="G3" s="538"/>
    </row>
    <row r="4" spans="1:7" ht="37.5" customHeight="1" x14ac:dyDescent="0.35">
      <c r="A4" s="553" t="s">
        <v>465</v>
      </c>
      <c r="B4" s="509"/>
      <c r="C4" s="509"/>
      <c r="D4" s="509"/>
      <c r="E4" s="509"/>
    </row>
    <row r="5" spans="1:7" ht="15" customHeight="1" x14ac:dyDescent="0.35">
      <c r="A5" t="s">
        <v>320</v>
      </c>
      <c r="B5" t="s">
        <v>675</v>
      </c>
      <c r="C5" s="681"/>
      <c r="D5" s="681"/>
      <c r="E5" s="681"/>
    </row>
    <row r="6" spans="1:7" ht="15" customHeight="1" x14ac:dyDescent="0.35">
      <c r="A6" t="s">
        <v>321</v>
      </c>
      <c r="B6" t="s">
        <v>323</v>
      </c>
      <c r="C6" s="681"/>
      <c r="D6" s="681"/>
      <c r="E6" s="681"/>
    </row>
    <row r="7" spans="1:7" ht="15" customHeight="1" x14ac:dyDescent="0.35">
      <c r="A7" t="s">
        <v>322</v>
      </c>
      <c r="B7" t="s">
        <v>324</v>
      </c>
      <c r="C7" s="681"/>
      <c r="D7" s="681"/>
      <c r="E7" s="681"/>
    </row>
    <row r="8" spans="1:7" ht="33.75" customHeight="1" x14ac:dyDescent="0.35">
      <c r="A8" s="98" t="s">
        <v>1</v>
      </c>
      <c r="B8" s="98" t="s">
        <v>207</v>
      </c>
      <c r="C8" s="93" t="s">
        <v>860</v>
      </c>
      <c r="D8" s="93" t="s">
        <v>861</v>
      </c>
      <c r="E8" s="93" t="s">
        <v>23</v>
      </c>
      <c r="F8" s="93" t="s">
        <v>26</v>
      </c>
    </row>
    <row r="9" spans="1:7" ht="22.5" customHeight="1" thickBot="1" x14ac:dyDescent="0.4">
      <c r="A9" s="94" t="str">
        <f>volroleareapivot!B1</f>
        <v>2020-21</v>
      </c>
      <c r="B9" s="94" t="s">
        <v>451</v>
      </c>
      <c r="C9" s="104">
        <f>C44</f>
        <v>37</v>
      </c>
      <c r="D9" s="104">
        <f>D44</f>
        <v>43</v>
      </c>
      <c r="E9" s="104">
        <f>E44</f>
        <v>223</v>
      </c>
      <c r="F9" s="104">
        <f>F44</f>
        <v>303</v>
      </c>
    </row>
    <row r="10" spans="1:7" ht="15" customHeight="1" x14ac:dyDescent="0.35">
      <c r="B10" s="61"/>
      <c r="C10" s="51"/>
      <c r="D10" s="51"/>
      <c r="E10" s="51"/>
      <c r="F10" s="51"/>
    </row>
    <row r="11" spans="1:7" ht="15" customHeight="1" x14ac:dyDescent="0.35">
      <c r="A11" s="49" t="s">
        <v>449</v>
      </c>
      <c r="B11" s="49" t="s">
        <v>30</v>
      </c>
      <c r="C11" s="106"/>
      <c r="D11" s="106"/>
      <c r="E11" s="106"/>
      <c r="F11" s="107"/>
    </row>
    <row r="12" spans="1:7" ht="15" customHeight="1" x14ac:dyDescent="0.35">
      <c r="A12" s="465" t="s">
        <v>286</v>
      </c>
      <c r="B12" s="52" t="s">
        <v>31</v>
      </c>
      <c r="C12" s="108">
        <f>volroleareapivot!B5</f>
        <v>0</v>
      </c>
      <c r="D12" s="108">
        <f>volroleareapivot!C5</f>
        <v>0</v>
      </c>
      <c r="E12" s="108">
        <f>volroleareapivot!D5</f>
        <v>0</v>
      </c>
      <c r="F12" s="109">
        <f>SUM(C12:E12)</f>
        <v>0</v>
      </c>
    </row>
    <row r="13" spans="1:7" ht="15" customHeight="1" x14ac:dyDescent="0.35">
      <c r="A13" s="466" t="s">
        <v>287</v>
      </c>
      <c r="B13" s="55" t="s">
        <v>32</v>
      </c>
      <c r="C13" s="108">
        <f>volroleareapivot!B6</f>
        <v>0</v>
      </c>
      <c r="D13" s="108">
        <f>volroleareapivot!C6</f>
        <v>0</v>
      </c>
      <c r="E13" s="108">
        <f>volroleareapivot!D6</f>
        <v>0</v>
      </c>
      <c r="F13" s="109">
        <f>SUM(C13:E13)</f>
        <v>0</v>
      </c>
    </row>
    <row r="14" spans="1:7" ht="15" customHeight="1" x14ac:dyDescent="0.35">
      <c r="A14" s="466" t="s">
        <v>293</v>
      </c>
      <c r="B14" s="55" t="s">
        <v>33</v>
      </c>
      <c r="C14" s="108">
        <f>volroleareapivot!B7</f>
        <v>0</v>
      </c>
      <c r="D14" s="108">
        <f>volroleareapivot!C7</f>
        <v>0</v>
      </c>
      <c r="E14" s="108">
        <f>volroleareapivot!D7</f>
        <v>0</v>
      </c>
      <c r="F14" s="109">
        <f>SUM(C14:E14)</f>
        <v>0</v>
      </c>
    </row>
    <row r="15" spans="1:7" ht="15" customHeight="1" x14ac:dyDescent="0.35">
      <c r="A15" s="466" t="s">
        <v>288</v>
      </c>
      <c r="B15" s="55" t="s">
        <v>34</v>
      </c>
      <c r="C15" s="108">
        <f>volroleareapivot!B8</f>
        <v>25</v>
      </c>
      <c r="D15" s="108">
        <f>volroleareapivot!C8</f>
        <v>22</v>
      </c>
      <c r="E15" s="108">
        <f>volroleareapivot!D8</f>
        <v>154</v>
      </c>
      <c r="F15" s="109">
        <f t="shared" ref="F15:F43" si="0">SUM(C15:E15)</f>
        <v>201</v>
      </c>
    </row>
    <row r="16" spans="1:7" ht="15" customHeight="1" x14ac:dyDescent="0.35">
      <c r="A16" s="466" t="s">
        <v>289</v>
      </c>
      <c r="B16" s="55" t="s">
        <v>245</v>
      </c>
      <c r="C16" s="108">
        <f>volroleareapivot!B9</f>
        <v>0</v>
      </c>
      <c r="D16" s="108">
        <f>volroleareapivot!C9</f>
        <v>0</v>
      </c>
      <c r="E16" s="108">
        <f>volroleareapivot!D9</f>
        <v>0</v>
      </c>
      <c r="F16" s="109">
        <f t="shared" si="0"/>
        <v>0</v>
      </c>
    </row>
    <row r="17" spans="1:6" ht="15" customHeight="1" x14ac:dyDescent="0.35">
      <c r="A17" s="466" t="s">
        <v>267</v>
      </c>
      <c r="B17" s="55" t="s">
        <v>35</v>
      </c>
      <c r="C17" s="108">
        <f>volroleareapivot!B10</f>
        <v>0</v>
      </c>
      <c r="D17" s="108">
        <f>volroleareapivot!C10</f>
        <v>0</v>
      </c>
      <c r="E17" s="108">
        <f>volroleareapivot!D10</f>
        <v>0</v>
      </c>
      <c r="F17" s="109">
        <f t="shared" si="0"/>
        <v>0</v>
      </c>
    </row>
    <row r="18" spans="1:6" ht="15" customHeight="1" x14ac:dyDescent="0.35">
      <c r="A18" s="466" t="s">
        <v>268</v>
      </c>
      <c r="B18" s="55" t="s">
        <v>36</v>
      </c>
      <c r="C18" s="108">
        <f>volroleareapivot!B11</f>
        <v>1</v>
      </c>
      <c r="D18" s="108">
        <f>volroleareapivot!C11</f>
        <v>1</v>
      </c>
      <c r="E18" s="108">
        <f>volroleareapivot!D11</f>
        <v>4</v>
      </c>
      <c r="F18" s="109">
        <f t="shared" si="0"/>
        <v>6</v>
      </c>
    </row>
    <row r="19" spans="1:6" ht="15" customHeight="1" x14ac:dyDescent="0.35">
      <c r="A19" s="466" t="s">
        <v>294</v>
      </c>
      <c r="B19" s="55" t="s">
        <v>37</v>
      </c>
      <c r="C19" s="108">
        <f>volroleareapivot!B12</f>
        <v>0</v>
      </c>
      <c r="D19" s="108">
        <f>volroleareapivot!C12</f>
        <v>0</v>
      </c>
      <c r="E19" s="108">
        <f>volroleareapivot!D12</f>
        <v>0</v>
      </c>
      <c r="F19" s="109">
        <f t="shared" si="0"/>
        <v>0</v>
      </c>
    </row>
    <row r="20" spans="1:6" ht="15" customHeight="1" x14ac:dyDescent="0.35">
      <c r="A20" s="466" t="s">
        <v>269</v>
      </c>
      <c r="B20" s="55" t="s">
        <v>38</v>
      </c>
      <c r="C20" s="108">
        <f>volroleareapivot!B13</f>
        <v>0</v>
      </c>
      <c r="D20" s="108">
        <f>volroleareapivot!C13</f>
        <v>0</v>
      </c>
      <c r="E20" s="108">
        <f>volroleareapivot!D13</f>
        <v>0</v>
      </c>
      <c r="F20" s="109">
        <f t="shared" si="0"/>
        <v>0</v>
      </c>
    </row>
    <row r="21" spans="1:6" ht="15" customHeight="1" x14ac:dyDescent="0.35">
      <c r="A21" s="466" t="s">
        <v>296</v>
      </c>
      <c r="B21" s="55" t="s">
        <v>39</v>
      </c>
      <c r="C21" s="108">
        <f>volroleareapivot!B14</f>
        <v>0</v>
      </c>
      <c r="D21" s="108">
        <f>volroleareapivot!C14</f>
        <v>0</v>
      </c>
      <c r="E21" s="108">
        <f>volroleareapivot!D14</f>
        <v>0</v>
      </c>
      <c r="F21" s="109">
        <f t="shared" si="0"/>
        <v>0</v>
      </c>
    </row>
    <row r="22" spans="1:6" ht="15" customHeight="1" x14ac:dyDescent="0.35">
      <c r="A22" s="466" t="s">
        <v>270</v>
      </c>
      <c r="B22" s="55" t="s">
        <v>40</v>
      </c>
      <c r="C22" s="108">
        <f>volroleareapivot!B15</f>
        <v>0</v>
      </c>
      <c r="D22" s="108">
        <f>volroleareapivot!C15</f>
        <v>0</v>
      </c>
      <c r="E22" s="108">
        <f>volroleareapivot!D15</f>
        <v>0</v>
      </c>
      <c r="F22" s="109">
        <f t="shared" si="0"/>
        <v>0</v>
      </c>
    </row>
    <row r="23" spans="1:6" ht="15" customHeight="1" x14ac:dyDescent="0.35">
      <c r="A23" s="466" t="s">
        <v>271</v>
      </c>
      <c r="B23" s="55" t="s">
        <v>41</v>
      </c>
      <c r="C23" s="108">
        <f>volroleareapivot!B16</f>
        <v>0</v>
      </c>
      <c r="D23" s="108">
        <f>volroleareapivot!C16</f>
        <v>0</v>
      </c>
      <c r="E23" s="108">
        <f>volroleareapivot!D16</f>
        <v>0</v>
      </c>
      <c r="F23" s="109">
        <f t="shared" si="0"/>
        <v>0</v>
      </c>
    </row>
    <row r="24" spans="1:6" ht="15" customHeight="1" x14ac:dyDescent="0.35">
      <c r="A24" s="466" t="s">
        <v>273</v>
      </c>
      <c r="B24" s="55" t="s">
        <v>42</v>
      </c>
      <c r="C24" s="108">
        <f>volroleareapivot!B17</f>
        <v>0</v>
      </c>
      <c r="D24" s="108">
        <f>volroleareapivot!C17</f>
        <v>0</v>
      </c>
      <c r="E24" s="108">
        <f>volroleareapivot!D17</f>
        <v>0</v>
      </c>
      <c r="F24" s="109">
        <f t="shared" si="0"/>
        <v>0</v>
      </c>
    </row>
    <row r="25" spans="1:6" ht="15" customHeight="1" x14ac:dyDescent="0.35">
      <c r="A25" s="466" t="s">
        <v>298</v>
      </c>
      <c r="B25" s="55" t="s">
        <v>43</v>
      </c>
      <c r="C25" s="108">
        <f>volroleareapivot!B18</f>
        <v>0</v>
      </c>
      <c r="D25" s="108">
        <f>volroleareapivot!C18</f>
        <v>0</v>
      </c>
      <c r="E25" s="108">
        <f>volroleareapivot!D18</f>
        <v>0</v>
      </c>
      <c r="F25" s="109">
        <f t="shared" si="0"/>
        <v>0</v>
      </c>
    </row>
    <row r="26" spans="1:6" ht="15" customHeight="1" x14ac:dyDescent="0.35">
      <c r="A26" s="466" t="str">
        <f>IF(A9 = "2019-20","S12000049","S12000046")</f>
        <v>S12000046</v>
      </c>
      <c r="B26" s="55" t="s">
        <v>114</v>
      </c>
      <c r="C26" s="108">
        <f>volroleareapivot!B19</f>
        <v>0</v>
      </c>
      <c r="D26" s="108">
        <f>volroleareapivot!C19</f>
        <v>0</v>
      </c>
      <c r="E26" s="108">
        <f>volroleareapivot!D19</f>
        <v>0</v>
      </c>
      <c r="F26" s="109">
        <f t="shared" si="0"/>
        <v>0</v>
      </c>
    </row>
    <row r="27" spans="1:6" ht="15" customHeight="1" x14ac:dyDescent="0.35">
      <c r="A27" s="466" t="s">
        <v>274</v>
      </c>
      <c r="B27" s="55" t="s">
        <v>44</v>
      </c>
      <c r="C27" s="108">
        <f>volroleareapivot!B20</f>
        <v>6</v>
      </c>
      <c r="D27" s="108">
        <f>volroleareapivot!C20</f>
        <v>12</v>
      </c>
      <c r="E27" s="108">
        <f>volroleareapivot!D20</f>
        <v>30</v>
      </c>
      <c r="F27" s="109">
        <f t="shared" si="0"/>
        <v>48</v>
      </c>
    </row>
    <row r="28" spans="1:6" ht="15" customHeight="1" x14ac:dyDescent="0.35">
      <c r="A28" s="466" t="s">
        <v>275</v>
      </c>
      <c r="B28" s="55" t="s">
        <v>45</v>
      </c>
      <c r="C28" s="108">
        <f>volroleareapivot!B21</f>
        <v>0</v>
      </c>
      <c r="D28" s="108">
        <f>volroleareapivot!C21</f>
        <v>0</v>
      </c>
      <c r="E28" s="108">
        <f>volroleareapivot!D21</f>
        <v>0</v>
      </c>
      <c r="F28" s="109">
        <f t="shared" si="0"/>
        <v>0</v>
      </c>
    </row>
    <row r="29" spans="1:6" ht="15" customHeight="1" x14ac:dyDescent="0.35">
      <c r="A29" s="466" t="s">
        <v>276</v>
      </c>
      <c r="B29" s="55" t="s">
        <v>46</v>
      </c>
      <c r="C29" s="108">
        <f>volroleareapivot!B22</f>
        <v>0</v>
      </c>
      <c r="D29" s="108">
        <f>volroleareapivot!C22</f>
        <v>0</v>
      </c>
      <c r="E29" s="108">
        <f>volroleareapivot!D22</f>
        <v>0</v>
      </c>
      <c r="F29" s="109">
        <f t="shared" si="0"/>
        <v>0</v>
      </c>
    </row>
    <row r="30" spans="1:6" ht="15" customHeight="1" x14ac:dyDescent="0.35">
      <c r="A30" s="466" t="s">
        <v>277</v>
      </c>
      <c r="B30" s="55" t="s">
        <v>47</v>
      </c>
      <c r="C30" s="108">
        <f>volroleareapivot!B23</f>
        <v>1</v>
      </c>
      <c r="D30" s="108">
        <f>volroleareapivot!C23</f>
        <v>2</v>
      </c>
      <c r="E30" s="108">
        <f>volroleareapivot!D23</f>
        <v>0</v>
      </c>
      <c r="F30" s="81">
        <f t="shared" si="0"/>
        <v>3</v>
      </c>
    </row>
    <row r="31" spans="1:6" ht="15" customHeight="1" x14ac:dyDescent="0.35">
      <c r="A31" s="466" t="s">
        <v>272</v>
      </c>
      <c r="B31" s="55" t="s">
        <v>48</v>
      </c>
      <c r="C31" s="108">
        <f>volroleareapivot!B24</f>
        <v>0</v>
      </c>
      <c r="D31" s="108">
        <f>volroleareapivot!C24</f>
        <v>0</v>
      </c>
      <c r="E31" s="108">
        <f>volroleareapivot!D24</f>
        <v>0</v>
      </c>
      <c r="F31" s="109">
        <f t="shared" si="0"/>
        <v>0</v>
      </c>
    </row>
    <row r="32" spans="1:6" ht="15" customHeight="1" x14ac:dyDescent="0.35">
      <c r="A32" s="466" t="s">
        <v>278</v>
      </c>
      <c r="B32" s="55" t="s">
        <v>49</v>
      </c>
      <c r="C32" s="108">
        <f>volroleareapivot!B25</f>
        <v>3</v>
      </c>
      <c r="D32" s="108">
        <f>volroleareapivot!C25</f>
        <v>3</v>
      </c>
      <c r="E32" s="108">
        <f>volroleareapivot!D25</f>
        <v>16</v>
      </c>
      <c r="F32" s="109">
        <f t="shared" si="0"/>
        <v>22</v>
      </c>
    </row>
    <row r="33" spans="1:6" ht="15" customHeight="1" x14ac:dyDescent="0.35">
      <c r="A33" s="466" t="str">
        <f>IF(A9="2019-20","S12000050","S12000044")</f>
        <v>S12000044</v>
      </c>
      <c r="B33" s="55" t="s">
        <v>50</v>
      </c>
      <c r="C33" s="108">
        <f>volroleareapivot!B26</f>
        <v>0</v>
      </c>
      <c r="D33" s="108">
        <f>volroleareapivot!C26</f>
        <v>0</v>
      </c>
      <c r="E33" s="108">
        <f>volroleareapivot!D26</f>
        <v>0</v>
      </c>
      <c r="F33" s="81">
        <f t="shared" si="0"/>
        <v>0</v>
      </c>
    </row>
    <row r="34" spans="1:6" ht="15" customHeight="1" x14ac:dyDescent="0.35">
      <c r="A34" s="466" t="s">
        <v>279</v>
      </c>
      <c r="B34" s="55" t="s">
        <v>51</v>
      </c>
      <c r="C34" s="108">
        <f>volroleareapivot!B27</f>
        <v>0</v>
      </c>
      <c r="D34" s="108">
        <f>volroleareapivot!C27</f>
        <v>0</v>
      </c>
      <c r="E34" s="108">
        <f>volroleareapivot!D27</f>
        <v>0</v>
      </c>
      <c r="F34" s="109">
        <f t="shared" si="0"/>
        <v>0</v>
      </c>
    </row>
    <row r="35" spans="1:6" ht="15" customHeight="1" x14ac:dyDescent="0.35">
      <c r="A35" s="466" t="s">
        <v>280</v>
      </c>
      <c r="B35" s="55" t="s">
        <v>52</v>
      </c>
      <c r="C35" s="108">
        <f>volroleareapivot!B28</f>
        <v>0</v>
      </c>
      <c r="D35" s="108">
        <f>volroleareapivot!C28</f>
        <v>3</v>
      </c>
      <c r="E35" s="108">
        <f>volroleareapivot!D28</f>
        <v>18</v>
      </c>
      <c r="F35" s="109">
        <f t="shared" si="0"/>
        <v>21</v>
      </c>
    </row>
    <row r="36" spans="1:6" ht="15" customHeight="1" x14ac:dyDescent="0.35">
      <c r="A36" s="466" t="s">
        <v>290</v>
      </c>
      <c r="B36" s="55" t="s">
        <v>53</v>
      </c>
      <c r="C36" s="108">
        <f>volroleareapivot!B29</f>
        <v>0</v>
      </c>
      <c r="D36" s="108">
        <f>volroleareapivot!C29</f>
        <v>0</v>
      </c>
      <c r="E36" s="108">
        <f>volroleareapivot!D29</f>
        <v>0</v>
      </c>
      <c r="F36" s="109">
        <f t="shared" si="0"/>
        <v>0</v>
      </c>
    </row>
    <row r="37" spans="1:6" ht="15" customHeight="1" x14ac:dyDescent="0.35">
      <c r="A37" s="466" t="s">
        <v>281</v>
      </c>
      <c r="B37" s="55" t="s">
        <v>54</v>
      </c>
      <c r="C37" s="108">
        <f>volroleareapivot!B30</f>
        <v>0</v>
      </c>
      <c r="D37" s="108">
        <f>volroleareapivot!C30</f>
        <v>0</v>
      </c>
      <c r="E37" s="108">
        <f>volroleareapivot!D30</f>
        <v>0</v>
      </c>
      <c r="F37" s="81">
        <f t="shared" si="0"/>
        <v>0</v>
      </c>
    </row>
    <row r="38" spans="1:6" ht="15" customHeight="1" x14ac:dyDescent="0.35">
      <c r="A38" s="466" t="s">
        <v>282</v>
      </c>
      <c r="B38" s="55" t="s">
        <v>55</v>
      </c>
      <c r="C38" s="108">
        <f>volroleareapivot!B31</f>
        <v>0</v>
      </c>
      <c r="D38" s="108">
        <f>volroleareapivot!C31</f>
        <v>0</v>
      </c>
      <c r="E38" s="108">
        <f>volroleareapivot!D31</f>
        <v>0</v>
      </c>
      <c r="F38" s="109">
        <f t="shared" si="0"/>
        <v>0</v>
      </c>
    </row>
    <row r="39" spans="1:6" ht="15" customHeight="1" x14ac:dyDescent="0.35">
      <c r="A39" s="466" t="s">
        <v>283</v>
      </c>
      <c r="B39" s="55" t="s">
        <v>56</v>
      </c>
      <c r="C39" s="108">
        <f>volroleareapivot!B32</f>
        <v>0</v>
      </c>
      <c r="D39" s="108">
        <f>volroleareapivot!C32</f>
        <v>0</v>
      </c>
      <c r="E39" s="108">
        <f>volroleareapivot!D32</f>
        <v>0</v>
      </c>
      <c r="F39" s="109">
        <f t="shared" si="0"/>
        <v>0</v>
      </c>
    </row>
    <row r="40" spans="1:6" ht="15" customHeight="1" x14ac:dyDescent="0.35">
      <c r="A40" s="466" t="s">
        <v>284</v>
      </c>
      <c r="B40" s="55" t="s">
        <v>57</v>
      </c>
      <c r="C40" s="108">
        <f>volroleareapivot!B33</f>
        <v>1</v>
      </c>
      <c r="D40" s="108">
        <f>volroleareapivot!C33</f>
        <v>0</v>
      </c>
      <c r="E40" s="108">
        <f>volroleareapivot!D33</f>
        <v>1</v>
      </c>
      <c r="F40" s="109">
        <f t="shared" si="0"/>
        <v>2</v>
      </c>
    </row>
    <row r="41" spans="1:6" ht="15" customHeight="1" x14ac:dyDescent="0.35">
      <c r="A41" s="466" t="s">
        <v>285</v>
      </c>
      <c r="B41" s="55" t="s">
        <v>58</v>
      </c>
      <c r="C41" s="108">
        <f>volroleareapivot!B34</f>
        <v>0</v>
      </c>
      <c r="D41" s="108">
        <f>volroleareapivot!C34</f>
        <v>0</v>
      </c>
      <c r="E41" s="108">
        <f>volroleareapivot!D34</f>
        <v>0</v>
      </c>
      <c r="F41" s="109">
        <f t="shared" si="0"/>
        <v>0</v>
      </c>
    </row>
    <row r="42" spans="1:6" ht="15" customHeight="1" x14ac:dyDescent="0.35">
      <c r="A42" s="466" t="s">
        <v>291</v>
      </c>
      <c r="B42" s="55" t="s">
        <v>59</v>
      </c>
      <c r="C42" s="108">
        <f>volroleareapivot!B35</f>
        <v>0</v>
      </c>
      <c r="D42" s="108">
        <f>volroleareapivot!C35</f>
        <v>0</v>
      </c>
      <c r="E42" s="108">
        <f>volroleareapivot!D35</f>
        <v>0</v>
      </c>
      <c r="F42" s="109">
        <f>SUM(C42:E42)</f>
        <v>0</v>
      </c>
    </row>
    <row r="43" spans="1:6" ht="15" customHeight="1" x14ac:dyDescent="0.35">
      <c r="A43" s="466" t="s">
        <v>292</v>
      </c>
      <c r="B43" s="55" t="s">
        <v>60</v>
      </c>
      <c r="C43" s="108">
        <f>volroleareapivot!B36</f>
        <v>0</v>
      </c>
      <c r="D43" s="108">
        <f>volroleareapivot!C36</f>
        <v>0</v>
      </c>
      <c r="E43" s="108">
        <f>volroleareapivot!D36</f>
        <v>0</v>
      </c>
      <c r="F43" s="109">
        <f t="shared" si="0"/>
        <v>0</v>
      </c>
    </row>
    <row r="44" spans="1:6" ht="30" customHeight="1" thickBot="1" x14ac:dyDescent="0.4">
      <c r="A44" s="557"/>
      <c r="B44" s="85" t="s">
        <v>61</v>
      </c>
      <c r="C44" s="60">
        <f>SUM(C12:C43)</f>
        <v>37</v>
      </c>
      <c r="D44" s="60">
        <f>SUM(D12:D43)</f>
        <v>43</v>
      </c>
      <c r="E44" s="60">
        <f>SUM(E12:E43)</f>
        <v>223</v>
      </c>
      <c r="F44" s="60">
        <f>SUM(F12:F43)</f>
        <v>303</v>
      </c>
    </row>
    <row r="45" spans="1:6" ht="13.5" customHeight="1" x14ac:dyDescent="0.35">
      <c r="B45" s="110"/>
      <c r="C45" s="110"/>
      <c r="D45" s="110"/>
      <c r="E45" s="110"/>
      <c r="F45" s="110"/>
    </row>
    <row r="46" spans="1:6" ht="13.5" customHeight="1" x14ac:dyDescent="0.35">
      <c r="A46" s="410" t="s">
        <v>8</v>
      </c>
      <c r="B46" s="523"/>
      <c r="C46" s="523"/>
      <c r="D46" s="523"/>
      <c r="E46" s="523"/>
    </row>
    <row r="47" spans="1:6" ht="15" customHeight="1" x14ac:dyDescent="0.35">
      <c r="A47" s="550" t="s">
        <v>221</v>
      </c>
      <c r="B47" s="512"/>
      <c r="C47" s="512"/>
      <c r="D47" s="512"/>
      <c r="E47" s="512"/>
    </row>
    <row r="48" spans="1:6" ht="15" customHeight="1" x14ac:dyDescent="0.35">
      <c r="B48" s="382"/>
      <c r="C48" s="382"/>
      <c r="D48" s="382"/>
      <c r="E48" s="382"/>
      <c r="F48" s="382"/>
    </row>
    <row r="49" spans="2:6" x14ac:dyDescent="0.35">
      <c r="B49" s="382"/>
      <c r="C49" s="382"/>
      <c r="D49" s="382"/>
      <c r="E49" s="382"/>
      <c r="F49" s="382"/>
    </row>
  </sheetData>
  <sheetProtection algorithmName="SHA-512" hashValue="EES5Bdgfd07mUYXXi8MmSDer0hNLXwxrYaR5nu4C3UtuxftZPdr7Zc330bOm2R347pGlWYMYp51jW2Le0SQukw==" saltValue="FcTYxMpYTzjJPNrguGURqQ==" spinCount="100000" sheet="1" scenarios="1" formatCells="0" formatColumns="0" formatRows="0" sort="0" autoFilter="0" pivotTables="0"/>
  <mergeCells count="1">
    <mergeCell ref="A1:G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67"/>
  <sheetViews>
    <sheetView topLeftCell="A28" workbookViewId="0">
      <selection activeCell="A12" sqref="A12"/>
    </sheetView>
  </sheetViews>
  <sheetFormatPr defaultRowHeight="14.5" x14ac:dyDescent="0.35"/>
  <cols>
    <col min="1" max="1" width="58.1796875" bestFit="1" customWidth="1"/>
    <col min="2" max="2" width="21.54296875" bestFit="1" customWidth="1"/>
    <col min="3" max="3" width="19.08984375" bestFit="1" customWidth="1"/>
    <col min="4" max="4" width="20.453125" bestFit="1" customWidth="1"/>
    <col min="5" max="5" width="21.26953125" bestFit="1" customWidth="1"/>
    <col min="6" max="6" width="20.6328125" bestFit="1" customWidth="1"/>
    <col min="7" max="7" width="19.453125" bestFit="1" customWidth="1"/>
    <col min="8" max="8" width="15.81640625" bestFit="1" customWidth="1"/>
    <col min="9" max="9" width="11.36328125" bestFit="1" customWidth="1"/>
  </cols>
  <sheetData>
    <row r="1" spans="1:9" x14ac:dyDescent="0.35">
      <c r="A1" s="459" t="s">
        <v>1</v>
      </c>
      <c r="B1" t="s">
        <v>951</v>
      </c>
    </row>
    <row r="3" spans="1:9" x14ac:dyDescent="0.35">
      <c r="A3" s="459" t="s">
        <v>234</v>
      </c>
      <c r="B3" t="s">
        <v>250</v>
      </c>
      <c r="C3" t="s">
        <v>251</v>
      </c>
      <c r="D3" t="s">
        <v>252</v>
      </c>
      <c r="E3" t="s">
        <v>253</v>
      </c>
      <c r="F3" t="s">
        <v>243</v>
      </c>
      <c r="G3" t="s">
        <v>254</v>
      </c>
      <c r="H3" t="s">
        <v>255</v>
      </c>
      <c r="I3" t="s">
        <v>240</v>
      </c>
    </row>
    <row r="4" spans="1:9" x14ac:dyDescent="0.35">
      <c r="A4" s="1154" t="s">
        <v>235</v>
      </c>
      <c r="B4" s="461"/>
      <c r="C4" s="461"/>
      <c r="D4" s="461"/>
      <c r="E4" s="461"/>
      <c r="F4" s="461"/>
      <c r="G4" s="461"/>
      <c r="H4" s="461"/>
      <c r="I4" s="461"/>
    </row>
    <row r="5" spans="1:9" x14ac:dyDescent="0.35">
      <c r="A5" s="462" t="s">
        <v>31</v>
      </c>
      <c r="B5" s="461"/>
      <c r="C5" s="461"/>
      <c r="D5" s="461"/>
      <c r="E5" s="461"/>
      <c r="F5" s="461">
        <v>15</v>
      </c>
      <c r="G5" s="461">
        <v>35</v>
      </c>
      <c r="H5" s="461">
        <v>99</v>
      </c>
      <c r="I5" s="461"/>
    </row>
    <row r="6" spans="1:9" x14ac:dyDescent="0.35">
      <c r="A6" s="462" t="s">
        <v>32</v>
      </c>
      <c r="B6" s="461"/>
      <c r="C6" s="461"/>
      <c r="D6" s="461"/>
      <c r="E6" s="461"/>
      <c r="F6" s="461">
        <v>5</v>
      </c>
      <c r="G6" s="461">
        <v>5</v>
      </c>
      <c r="H6" s="461">
        <v>19</v>
      </c>
      <c r="I6" s="461"/>
    </row>
    <row r="7" spans="1:9" x14ac:dyDescent="0.35">
      <c r="A7" s="462" t="s">
        <v>266</v>
      </c>
      <c r="B7" s="461"/>
      <c r="C7" s="461"/>
      <c r="D7" s="461"/>
      <c r="E7" s="461"/>
      <c r="F7" s="461">
        <v>372</v>
      </c>
      <c r="G7" s="461">
        <v>596</v>
      </c>
      <c r="H7" s="461">
        <v>1933.5</v>
      </c>
      <c r="I7" s="461"/>
    </row>
    <row r="8" spans="1:9" x14ac:dyDescent="0.35">
      <c r="A8" s="462" t="s">
        <v>33</v>
      </c>
      <c r="B8" s="461"/>
      <c r="C8" s="461"/>
      <c r="D8" s="461"/>
      <c r="E8" s="461"/>
      <c r="F8" s="461">
        <v>5</v>
      </c>
      <c r="G8" s="461">
        <v>5</v>
      </c>
      <c r="H8" s="461">
        <v>17</v>
      </c>
      <c r="I8" s="461"/>
    </row>
    <row r="9" spans="1:9" x14ac:dyDescent="0.35">
      <c r="A9" s="462" t="s">
        <v>34</v>
      </c>
      <c r="B9" s="461"/>
      <c r="C9" s="461"/>
      <c r="D9" s="461"/>
      <c r="E9" s="461"/>
      <c r="F9" s="461">
        <v>10</v>
      </c>
      <c r="G9" s="461">
        <v>10</v>
      </c>
      <c r="H9" s="461">
        <v>32</v>
      </c>
      <c r="I9" s="461"/>
    </row>
    <row r="10" spans="1:9" x14ac:dyDescent="0.35">
      <c r="A10" s="462" t="s">
        <v>245</v>
      </c>
      <c r="B10" s="461"/>
      <c r="C10" s="461"/>
      <c r="D10" s="461"/>
      <c r="E10" s="461"/>
      <c r="F10" s="461">
        <v>36</v>
      </c>
      <c r="G10" s="461">
        <v>58</v>
      </c>
      <c r="H10" s="461">
        <v>205.5</v>
      </c>
      <c r="I10" s="461"/>
    </row>
    <row r="11" spans="1:9" x14ac:dyDescent="0.35">
      <c r="A11" s="462" t="s">
        <v>35</v>
      </c>
      <c r="B11" s="461"/>
      <c r="C11" s="461"/>
      <c r="D11" s="461"/>
      <c r="E11" s="461"/>
      <c r="F11" s="461">
        <v>6</v>
      </c>
      <c r="G11" s="461">
        <v>5</v>
      </c>
      <c r="H11" s="461">
        <v>13</v>
      </c>
      <c r="I11" s="461"/>
    </row>
    <row r="12" spans="1:9" x14ac:dyDescent="0.35">
      <c r="A12" s="462" t="s">
        <v>17411</v>
      </c>
      <c r="B12" s="461"/>
      <c r="C12" s="461"/>
      <c r="D12" s="461"/>
      <c r="E12" s="461"/>
      <c r="F12" s="461">
        <v>5</v>
      </c>
      <c r="G12" s="461">
        <v>10</v>
      </c>
      <c r="H12" s="461">
        <v>36</v>
      </c>
      <c r="I12" s="461"/>
    </row>
    <row r="13" spans="1:9" x14ac:dyDescent="0.35">
      <c r="A13" s="462" t="s">
        <v>37</v>
      </c>
      <c r="B13" s="461"/>
      <c r="C13" s="461"/>
      <c r="D13" s="461"/>
      <c r="E13" s="461"/>
      <c r="F13" s="461">
        <v>19</v>
      </c>
      <c r="G13" s="461">
        <v>36</v>
      </c>
      <c r="H13" s="461">
        <v>127</v>
      </c>
      <c r="I13" s="461"/>
    </row>
    <row r="14" spans="1:9" x14ac:dyDescent="0.35">
      <c r="A14" s="462" t="s">
        <v>38</v>
      </c>
      <c r="B14" s="461"/>
      <c r="C14" s="461"/>
      <c r="D14" s="461"/>
      <c r="E14" s="461"/>
      <c r="F14" s="461">
        <v>5</v>
      </c>
      <c r="G14" s="461">
        <v>10</v>
      </c>
      <c r="H14" s="461">
        <v>32</v>
      </c>
      <c r="I14" s="461"/>
    </row>
    <row r="15" spans="1:9" x14ac:dyDescent="0.35">
      <c r="A15" s="462" t="s">
        <v>39</v>
      </c>
      <c r="B15" s="461"/>
      <c r="C15" s="461"/>
      <c r="D15" s="461"/>
      <c r="E15" s="461"/>
      <c r="F15" s="461">
        <v>16</v>
      </c>
      <c r="G15" s="461">
        <v>14</v>
      </c>
      <c r="H15" s="461">
        <v>46</v>
      </c>
      <c r="I15" s="461"/>
    </row>
    <row r="16" spans="1:9" x14ac:dyDescent="0.35">
      <c r="A16" s="462" t="s">
        <v>40</v>
      </c>
      <c r="B16" s="461"/>
      <c r="C16" s="461"/>
      <c r="D16" s="461"/>
      <c r="E16" s="461"/>
      <c r="F16" s="461">
        <v>5</v>
      </c>
      <c r="G16" s="461">
        <v>5</v>
      </c>
      <c r="H16" s="461">
        <v>16</v>
      </c>
      <c r="I16" s="461"/>
    </row>
    <row r="17" spans="1:9" x14ac:dyDescent="0.35">
      <c r="A17" s="462" t="s">
        <v>41</v>
      </c>
      <c r="B17" s="461"/>
      <c r="C17" s="461"/>
      <c r="D17" s="461"/>
      <c r="E17" s="461"/>
      <c r="F17" s="461">
        <v>10</v>
      </c>
      <c r="G17" s="461">
        <v>10</v>
      </c>
      <c r="H17" s="461">
        <v>28</v>
      </c>
      <c r="I17" s="461"/>
    </row>
    <row r="18" spans="1:9" x14ac:dyDescent="0.35">
      <c r="A18" s="462" t="s">
        <v>42</v>
      </c>
      <c r="B18" s="461"/>
      <c r="C18" s="461"/>
      <c r="D18" s="461"/>
      <c r="E18" s="461"/>
      <c r="F18" s="461">
        <v>15</v>
      </c>
      <c r="G18" s="461">
        <v>20</v>
      </c>
      <c r="H18" s="461">
        <v>53</v>
      </c>
      <c r="I18" s="461"/>
    </row>
    <row r="19" spans="1:9" x14ac:dyDescent="0.35">
      <c r="A19" s="462" t="s">
        <v>43</v>
      </c>
      <c r="B19" s="461"/>
      <c r="C19" s="461"/>
      <c r="D19" s="461"/>
      <c r="E19" s="461"/>
      <c r="F19" s="461">
        <v>25</v>
      </c>
      <c r="G19" s="461">
        <v>50</v>
      </c>
      <c r="H19" s="461">
        <v>179</v>
      </c>
      <c r="I19" s="461"/>
    </row>
    <row r="20" spans="1:9" x14ac:dyDescent="0.35">
      <c r="A20" s="462" t="s">
        <v>114</v>
      </c>
      <c r="B20" s="461"/>
      <c r="C20" s="461"/>
      <c r="D20" s="461"/>
      <c r="E20" s="461"/>
      <c r="F20" s="461">
        <v>55</v>
      </c>
      <c r="G20" s="461">
        <v>109</v>
      </c>
      <c r="H20" s="461">
        <v>335</v>
      </c>
      <c r="I20" s="461"/>
    </row>
    <row r="21" spans="1:9" x14ac:dyDescent="0.35">
      <c r="A21" s="462" t="s">
        <v>44</v>
      </c>
      <c r="B21" s="461"/>
      <c r="C21" s="461"/>
      <c r="D21" s="461"/>
      <c r="E21" s="461"/>
      <c r="F21" s="461">
        <v>5</v>
      </c>
      <c r="G21" s="461">
        <v>15</v>
      </c>
      <c r="H21" s="461">
        <v>54</v>
      </c>
      <c r="I21" s="461"/>
    </row>
    <row r="22" spans="1:9" x14ac:dyDescent="0.35">
      <c r="A22" s="462" t="s">
        <v>45</v>
      </c>
      <c r="B22" s="461"/>
      <c r="C22" s="461"/>
      <c r="D22" s="461"/>
      <c r="E22" s="461"/>
      <c r="F22" s="461">
        <v>10</v>
      </c>
      <c r="G22" s="461">
        <v>15</v>
      </c>
      <c r="H22" s="461">
        <v>45</v>
      </c>
      <c r="I22" s="461"/>
    </row>
    <row r="23" spans="1:9" x14ac:dyDescent="0.35">
      <c r="A23" s="462" t="s">
        <v>46</v>
      </c>
      <c r="B23" s="461"/>
      <c r="C23" s="461"/>
      <c r="D23" s="461"/>
      <c r="E23" s="461"/>
      <c r="F23" s="461">
        <v>5</v>
      </c>
      <c r="G23" s="461">
        <v>5</v>
      </c>
      <c r="H23" s="461">
        <v>17</v>
      </c>
      <c r="I23" s="461"/>
    </row>
    <row r="24" spans="1:9" x14ac:dyDescent="0.35">
      <c r="A24" s="462" t="s">
        <v>47</v>
      </c>
      <c r="B24" s="461"/>
      <c r="C24" s="461"/>
      <c r="D24" s="461"/>
      <c r="E24" s="461"/>
      <c r="F24" s="461">
        <v>5</v>
      </c>
      <c r="G24" s="461">
        <v>5</v>
      </c>
      <c r="H24" s="461">
        <v>20</v>
      </c>
      <c r="I24" s="461"/>
    </row>
    <row r="25" spans="1:9" x14ac:dyDescent="0.35">
      <c r="A25" s="462" t="s">
        <v>49</v>
      </c>
      <c r="B25" s="461"/>
      <c r="C25" s="461"/>
      <c r="D25" s="461"/>
      <c r="E25" s="461"/>
      <c r="F25" s="461">
        <v>15</v>
      </c>
      <c r="G25" s="461">
        <v>15</v>
      </c>
      <c r="H25" s="461">
        <v>45</v>
      </c>
      <c r="I25" s="461"/>
    </row>
    <row r="26" spans="1:9" x14ac:dyDescent="0.35">
      <c r="A26" s="462" t="s">
        <v>50</v>
      </c>
      <c r="B26" s="461"/>
      <c r="C26" s="461"/>
      <c r="D26" s="461"/>
      <c r="E26" s="461"/>
      <c r="F26" s="461">
        <v>20</v>
      </c>
      <c r="G26" s="461">
        <v>35</v>
      </c>
      <c r="H26" s="461">
        <v>105</v>
      </c>
      <c r="I26" s="461"/>
    </row>
    <row r="27" spans="1:9" x14ac:dyDescent="0.35">
      <c r="A27" s="462" t="s">
        <v>52</v>
      </c>
      <c r="B27" s="461"/>
      <c r="C27" s="461"/>
      <c r="D27" s="461"/>
      <c r="E27" s="461"/>
      <c r="F27" s="461">
        <v>5</v>
      </c>
      <c r="G27" s="461">
        <v>10</v>
      </c>
      <c r="H27" s="461">
        <v>48</v>
      </c>
      <c r="I27" s="461"/>
    </row>
    <row r="28" spans="1:9" x14ac:dyDescent="0.35">
      <c r="A28" s="462" t="s">
        <v>53</v>
      </c>
      <c r="B28" s="461"/>
      <c r="C28" s="461"/>
      <c r="D28" s="461"/>
      <c r="E28" s="461"/>
      <c r="F28" s="461">
        <v>15</v>
      </c>
      <c r="G28" s="461">
        <v>21</v>
      </c>
      <c r="H28" s="461">
        <v>64</v>
      </c>
      <c r="I28" s="461"/>
    </row>
    <row r="29" spans="1:9" x14ac:dyDescent="0.35">
      <c r="A29" s="462" t="s">
        <v>54</v>
      </c>
      <c r="B29" s="461"/>
      <c r="C29" s="461"/>
      <c r="D29" s="461"/>
      <c r="E29" s="461"/>
      <c r="F29" s="461">
        <v>10</v>
      </c>
      <c r="G29" s="461">
        <v>8</v>
      </c>
      <c r="H29" s="461">
        <v>33</v>
      </c>
      <c r="I29" s="461"/>
    </row>
    <row r="30" spans="1:9" x14ac:dyDescent="0.35">
      <c r="A30" s="462" t="s">
        <v>56</v>
      </c>
      <c r="B30" s="461"/>
      <c r="C30" s="461"/>
      <c r="D30" s="461"/>
      <c r="E30" s="461"/>
      <c r="F30" s="461">
        <v>5</v>
      </c>
      <c r="G30" s="461">
        <v>10</v>
      </c>
      <c r="H30" s="461">
        <v>36</v>
      </c>
      <c r="I30" s="461"/>
    </row>
    <row r="31" spans="1:9" x14ac:dyDescent="0.35">
      <c r="A31" s="462" t="s">
        <v>57</v>
      </c>
      <c r="B31" s="461"/>
      <c r="C31" s="461"/>
      <c r="D31" s="461"/>
      <c r="E31" s="461"/>
      <c r="F31" s="461">
        <v>20</v>
      </c>
      <c r="G31" s="461">
        <v>37</v>
      </c>
      <c r="H31" s="461">
        <v>111</v>
      </c>
      <c r="I31" s="461"/>
    </row>
    <row r="32" spans="1:9" x14ac:dyDescent="0.35">
      <c r="A32" s="462" t="s">
        <v>58</v>
      </c>
      <c r="B32" s="461"/>
      <c r="C32" s="461"/>
      <c r="D32" s="461"/>
      <c r="E32" s="461"/>
      <c r="F32" s="461">
        <v>5</v>
      </c>
      <c r="G32" s="461">
        <v>10</v>
      </c>
      <c r="H32" s="461">
        <v>37</v>
      </c>
      <c r="I32" s="461"/>
    </row>
    <row r="33" spans="1:9" x14ac:dyDescent="0.35">
      <c r="A33" s="462" t="s">
        <v>59</v>
      </c>
      <c r="B33" s="461"/>
      <c r="C33" s="461"/>
      <c r="D33" s="461"/>
      <c r="E33" s="461"/>
      <c r="F33" s="461">
        <v>10</v>
      </c>
      <c r="G33" s="461">
        <v>17</v>
      </c>
      <c r="H33" s="461">
        <v>46</v>
      </c>
      <c r="I33" s="461"/>
    </row>
    <row r="34" spans="1:9" x14ac:dyDescent="0.35">
      <c r="A34" s="462" t="s">
        <v>60</v>
      </c>
      <c r="B34" s="461"/>
      <c r="C34" s="461"/>
      <c r="D34" s="461"/>
      <c r="E34" s="461"/>
      <c r="F34" s="461">
        <v>10</v>
      </c>
      <c r="G34" s="461">
        <v>11</v>
      </c>
      <c r="H34" s="461">
        <v>35</v>
      </c>
      <c r="I34" s="461"/>
    </row>
    <row r="35" spans="1:9" x14ac:dyDescent="0.35">
      <c r="A35" s="1154" t="s">
        <v>851</v>
      </c>
      <c r="B35" s="461"/>
      <c r="C35" s="461"/>
      <c r="D35" s="461"/>
      <c r="E35" s="461"/>
      <c r="F35" s="461">
        <v>744</v>
      </c>
      <c r="G35" s="461">
        <v>1192</v>
      </c>
      <c r="H35" s="461">
        <v>3867</v>
      </c>
      <c r="I35" s="461"/>
    </row>
    <row r="36" spans="1:9" x14ac:dyDescent="0.35">
      <c r="A36" s="1154" t="s">
        <v>236</v>
      </c>
      <c r="B36" s="461"/>
      <c r="C36" s="461"/>
      <c r="D36" s="461"/>
      <c r="E36" s="461"/>
      <c r="F36" s="461"/>
      <c r="G36" s="461"/>
      <c r="H36" s="461"/>
      <c r="I36" s="461"/>
    </row>
    <row r="37" spans="1:9" x14ac:dyDescent="0.35">
      <c r="A37" s="462" t="s">
        <v>31</v>
      </c>
      <c r="B37" s="461"/>
      <c r="C37" s="461">
        <v>1</v>
      </c>
      <c r="D37" s="461">
        <v>2</v>
      </c>
      <c r="E37" s="461">
        <v>3</v>
      </c>
      <c r="F37" s="461">
        <v>4</v>
      </c>
      <c r="G37" s="461">
        <v>1</v>
      </c>
      <c r="H37" s="461">
        <v>1</v>
      </c>
      <c r="I37" s="461"/>
    </row>
    <row r="38" spans="1:9" x14ac:dyDescent="0.35">
      <c r="A38" s="462" t="s">
        <v>63</v>
      </c>
      <c r="B38" s="461"/>
      <c r="C38" s="461">
        <v>1</v>
      </c>
      <c r="D38" s="461">
        <v>3</v>
      </c>
      <c r="E38" s="461">
        <v>9</v>
      </c>
      <c r="F38" s="461">
        <v>8</v>
      </c>
      <c r="G38" s="461">
        <v>4</v>
      </c>
      <c r="H38" s="461">
        <v>1</v>
      </c>
      <c r="I38" s="461"/>
    </row>
    <row r="39" spans="1:9" x14ac:dyDescent="0.35">
      <c r="A39" s="462" t="s">
        <v>266</v>
      </c>
      <c r="B39" s="461"/>
      <c r="C39" s="461">
        <v>16</v>
      </c>
      <c r="D39" s="461">
        <v>49</v>
      </c>
      <c r="E39" s="461">
        <v>116</v>
      </c>
      <c r="F39" s="461">
        <v>115</v>
      </c>
      <c r="G39" s="461">
        <v>55</v>
      </c>
      <c r="H39" s="461">
        <v>24.93</v>
      </c>
      <c r="I39" s="461"/>
    </row>
    <row r="40" spans="1:9" x14ac:dyDescent="0.35">
      <c r="A40" s="462" t="s">
        <v>64</v>
      </c>
      <c r="B40" s="461"/>
      <c r="C40" s="461">
        <v>1</v>
      </c>
      <c r="D40" s="461">
        <v>3</v>
      </c>
      <c r="E40" s="461">
        <v>7</v>
      </c>
      <c r="F40" s="461">
        <v>7</v>
      </c>
      <c r="G40" s="461">
        <v>6</v>
      </c>
      <c r="H40" s="461">
        <v>2</v>
      </c>
      <c r="I40" s="461"/>
    </row>
    <row r="41" spans="1:9" x14ac:dyDescent="0.35">
      <c r="A41" s="462" t="s">
        <v>36</v>
      </c>
      <c r="B41" s="461"/>
      <c r="C41" s="461">
        <v>1</v>
      </c>
      <c r="D41" s="461">
        <v>2</v>
      </c>
      <c r="E41" s="461">
        <v>6</v>
      </c>
      <c r="F41" s="461">
        <v>6</v>
      </c>
      <c r="G41" s="461">
        <v>4</v>
      </c>
      <c r="H41" s="461">
        <v>1.83</v>
      </c>
      <c r="I41" s="461"/>
    </row>
    <row r="42" spans="1:9" x14ac:dyDescent="0.35">
      <c r="A42" s="462" t="s">
        <v>65</v>
      </c>
      <c r="B42" s="461"/>
      <c r="C42" s="461">
        <v>1</v>
      </c>
      <c r="D42" s="461">
        <v>4</v>
      </c>
      <c r="E42" s="461">
        <v>8</v>
      </c>
      <c r="F42" s="461">
        <v>10</v>
      </c>
      <c r="G42" s="461">
        <v>4</v>
      </c>
      <c r="H42" s="461">
        <v>1</v>
      </c>
      <c r="I42" s="461"/>
    </row>
    <row r="43" spans="1:9" x14ac:dyDescent="0.35">
      <c r="A43" s="462" t="s">
        <v>66</v>
      </c>
      <c r="B43" s="461"/>
      <c r="C43" s="461">
        <v>1</v>
      </c>
      <c r="D43" s="461">
        <v>3</v>
      </c>
      <c r="E43" s="461">
        <v>9</v>
      </c>
      <c r="F43" s="461">
        <v>8</v>
      </c>
      <c r="G43" s="461">
        <v>5</v>
      </c>
      <c r="H43" s="461">
        <v>0.6</v>
      </c>
      <c r="I43" s="461"/>
    </row>
    <row r="44" spans="1:9" x14ac:dyDescent="0.35">
      <c r="A44" s="462" t="s">
        <v>67</v>
      </c>
      <c r="B44" s="461"/>
      <c r="C44" s="461">
        <v>1</v>
      </c>
      <c r="D44" s="461">
        <v>3</v>
      </c>
      <c r="E44" s="461">
        <v>7</v>
      </c>
      <c r="F44" s="461">
        <v>10</v>
      </c>
      <c r="G44" s="461">
        <v>3</v>
      </c>
      <c r="H44" s="461">
        <v>4</v>
      </c>
      <c r="I44" s="461"/>
    </row>
    <row r="45" spans="1:9" x14ac:dyDescent="0.35">
      <c r="A45" s="462" t="s">
        <v>68</v>
      </c>
      <c r="B45" s="461"/>
      <c r="C45" s="461">
        <v>1</v>
      </c>
      <c r="D45" s="461">
        <v>4</v>
      </c>
      <c r="E45" s="461">
        <v>5</v>
      </c>
      <c r="F45" s="461">
        <v>4</v>
      </c>
      <c r="G45" s="461">
        <v>2</v>
      </c>
      <c r="H45" s="461">
        <v>1</v>
      </c>
      <c r="I45" s="461"/>
    </row>
    <row r="46" spans="1:9" x14ac:dyDescent="0.35">
      <c r="A46" s="462" t="s">
        <v>167</v>
      </c>
      <c r="B46" s="461"/>
      <c r="C46" s="461">
        <v>1</v>
      </c>
      <c r="D46" s="461">
        <v>3</v>
      </c>
      <c r="E46" s="461">
        <v>7</v>
      </c>
      <c r="F46" s="461">
        <v>11</v>
      </c>
      <c r="G46" s="461">
        <v>3</v>
      </c>
      <c r="H46" s="461">
        <v>3.5</v>
      </c>
      <c r="I46" s="461"/>
    </row>
    <row r="47" spans="1:9" x14ac:dyDescent="0.35">
      <c r="A47" s="462" t="s">
        <v>69</v>
      </c>
      <c r="B47" s="461"/>
      <c r="C47" s="461">
        <v>1</v>
      </c>
      <c r="D47" s="461">
        <v>2</v>
      </c>
      <c r="E47" s="461">
        <v>5</v>
      </c>
      <c r="F47" s="461">
        <v>6</v>
      </c>
      <c r="G47" s="461">
        <v>3</v>
      </c>
      <c r="H47" s="461">
        <v>2</v>
      </c>
      <c r="I47" s="461"/>
    </row>
    <row r="48" spans="1:9" x14ac:dyDescent="0.35">
      <c r="A48" s="462" t="s">
        <v>114</v>
      </c>
      <c r="B48" s="461"/>
      <c r="C48" s="461">
        <v>1</v>
      </c>
      <c r="D48" s="461">
        <v>5</v>
      </c>
      <c r="E48" s="461">
        <v>9</v>
      </c>
      <c r="F48" s="461">
        <v>7</v>
      </c>
      <c r="G48" s="461">
        <v>2</v>
      </c>
      <c r="H48" s="461">
        <v>2</v>
      </c>
      <c r="I48" s="461"/>
    </row>
    <row r="49" spans="1:9" x14ac:dyDescent="0.35">
      <c r="A49" s="462" t="s">
        <v>70</v>
      </c>
      <c r="B49" s="461"/>
      <c r="C49" s="461">
        <v>1</v>
      </c>
      <c r="D49" s="461">
        <v>4</v>
      </c>
      <c r="E49" s="461">
        <v>12</v>
      </c>
      <c r="F49" s="461">
        <v>10</v>
      </c>
      <c r="G49" s="461">
        <v>7</v>
      </c>
      <c r="H49" s="461">
        <v>1</v>
      </c>
      <c r="I49" s="461"/>
    </row>
    <row r="50" spans="1:9" x14ac:dyDescent="0.35">
      <c r="A50" s="462" t="s">
        <v>50</v>
      </c>
      <c r="B50" s="461"/>
      <c r="C50" s="461">
        <v>1</v>
      </c>
      <c r="D50" s="461">
        <v>2</v>
      </c>
      <c r="E50" s="461">
        <v>5</v>
      </c>
      <c r="F50" s="461">
        <v>5</v>
      </c>
      <c r="G50" s="461">
        <v>2</v>
      </c>
      <c r="H50" s="461"/>
      <c r="I50" s="461"/>
    </row>
    <row r="51" spans="1:9" x14ac:dyDescent="0.35">
      <c r="A51" s="462" t="s">
        <v>57</v>
      </c>
      <c r="B51" s="461"/>
      <c r="C51" s="461">
        <v>1</v>
      </c>
      <c r="D51" s="461">
        <v>2</v>
      </c>
      <c r="E51" s="461">
        <v>6</v>
      </c>
      <c r="F51" s="461">
        <v>4</v>
      </c>
      <c r="G51" s="461">
        <v>3</v>
      </c>
      <c r="H51" s="461"/>
      <c r="I51" s="461"/>
    </row>
    <row r="52" spans="1:9" x14ac:dyDescent="0.35">
      <c r="A52" s="462" t="s">
        <v>775</v>
      </c>
      <c r="B52" s="461"/>
      <c r="C52" s="461">
        <v>1</v>
      </c>
      <c r="D52" s="461">
        <v>4</v>
      </c>
      <c r="E52" s="461">
        <v>11</v>
      </c>
      <c r="F52" s="461">
        <v>11</v>
      </c>
      <c r="G52" s="461">
        <v>6</v>
      </c>
      <c r="H52" s="461">
        <v>4</v>
      </c>
      <c r="I52" s="461"/>
    </row>
    <row r="53" spans="1:9" x14ac:dyDescent="0.35">
      <c r="A53" s="462" t="s">
        <v>71</v>
      </c>
      <c r="B53" s="461"/>
      <c r="C53" s="461">
        <v>1</v>
      </c>
      <c r="D53" s="461">
        <v>3</v>
      </c>
      <c r="E53" s="461">
        <v>7</v>
      </c>
      <c r="F53" s="461">
        <v>4</v>
      </c>
      <c r="G53" s="461"/>
      <c r="H53" s="461"/>
      <c r="I53" s="461"/>
    </row>
    <row r="54" spans="1:9" x14ac:dyDescent="0.35">
      <c r="A54" s="1154" t="s">
        <v>852</v>
      </c>
      <c r="B54" s="461"/>
      <c r="C54" s="461">
        <v>32</v>
      </c>
      <c r="D54" s="461">
        <v>98</v>
      </c>
      <c r="E54" s="461">
        <v>232</v>
      </c>
      <c r="F54" s="461">
        <v>230</v>
      </c>
      <c r="G54" s="461">
        <v>110</v>
      </c>
      <c r="H54" s="461">
        <v>49.86</v>
      </c>
      <c r="I54" s="461"/>
    </row>
    <row r="55" spans="1:9" x14ac:dyDescent="0.35">
      <c r="A55" s="1154" t="s">
        <v>237</v>
      </c>
      <c r="B55" s="461"/>
      <c r="C55" s="461"/>
      <c r="D55" s="461"/>
      <c r="E55" s="461"/>
      <c r="F55" s="461"/>
      <c r="G55" s="461"/>
      <c r="H55" s="461"/>
      <c r="I55" s="461"/>
    </row>
    <row r="56" spans="1:9" x14ac:dyDescent="0.35">
      <c r="A56" s="462" t="s">
        <v>266</v>
      </c>
      <c r="B56" s="461"/>
      <c r="C56" s="461">
        <v>6</v>
      </c>
      <c r="D56" s="461">
        <v>9</v>
      </c>
      <c r="E56" s="461">
        <v>16</v>
      </c>
      <c r="F56" s="461">
        <v>87</v>
      </c>
      <c r="G56" s="461">
        <v>36</v>
      </c>
      <c r="H56" s="461">
        <v>58</v>
      </c>
      <c r="I56" s="461"/>
    </row>
    <row r="57" spans="1:9" x14ac:dyDescent="0.35">
      <c r="A57" s="462" t="s">
        <v>166</v>
      </c>
      <c r="B57" s="461"/>
      <c r="C57" s="461">
        <v>1</v>
      </c>
      <c r="D57" s="461">
        <v>2</v>
      </c>
      <c r="E57" s="461">
        <v>5</v>
      </c>
      <c r="F57" s="461">
        <v>32</v>
      </c>
      <c r="G57" s="461">
        <v>6</v>
      </c>
      <c r="H57" s="461">
        <v>20</v>
      </c>
      <c r="I57" s="461"/>
    </row>
    <row r="58" spans="1:9" x14ac:dyDescent="0.35">
      <c r="A58" s="462" t="s">
        <v>164</v>
      </c>
      <c r="B58" s="461"/>
      <c r="C58" s="461">
        <v>2</v>
      </c>
      <c r="D58" s="461">
        <v>2</v>
      </c>
      <c r="E58" s="461">
        <v>6</v>
      </c>
      <c r="F58" s="461">
        <v>19</v>
      </c>
      <c r="G58" s="461">
        <v>13</v>
      </c>
      <c r="H58" s="461">
        <v>13</v>
      </c>
      <c r="I58" s="461"/>
    </row>
    <row r="59" spans="1:9" x14ac:dyDescent="0.35">
      <c r="A59" s="462" t="s">
        <v>165</v>
      </c>
      <c r="B59" s="461"/>
      <c r="C59" s="461">
        <v>3</v>
      </c>
      <c r="D59" s="461">
        <v>5</v>
      </c>
      <c r="E59" s="461">
        <v>5</v>
      </c>
      <c r="F59" s="461">
        <v>36</v>
      </c>
      <c r="G59" s="461">
        <v>17</v>
      </c>
      <c r="H59" s="461">
        <v>25</v>
      </c>
      <c r="I59" s="461"/>
    </row>
    <row r="60" spans="1:9" x14ac:dyDescent="0.35">
      <c r="A60" s="1154" t="s">
        <v>853</v>
      </c>
      <c r="B60" s="461"/>
      <c r="C60" s="461">
        <v>12</v>
      </c>
      <c r="D60" s="461">
        <v>18</v>
      </c>
      <c r="E60" s="461">
        <v>32</v>
      </c>
      <c r="F60" s="461">
        <v>174</v>
      </c>
      <c r="G60" s="461">
        <v>72</v>
      </c>
      <c r="H60" s="461">
        <v>116</v>
      </c>
      <c r="I60" s="461"/>
    </row>
    <row r="61" spans="1:9" x14ac:dyDescent="0.35">
      <c r="A61" s="1154" t="s">
        <v>238</v>
      </c>
      <c r="B61" s="461"/>
      <c r="C61" s="461"/>
      <c r="D61" s="461"/>
      <c r="E61" s="461"/>
      <c r="F61" s="461"/>
      <c r="G61" s="461"/>
      <c r="H61" s="461"/>
      <c r="I61" s="461"/>
    </row>
    <row r="62" spans="1:9" x14ac:dyDescent="0.35">
      <c r="A62" s="462" t="s">
        <v>246</v>
      </c>
      <c r="B62" s="461">
        <v>5</v>
      </c>
      <c r="C62" s="461">
        <v>13</v>
      </c>
      <c r="D62" s="461">
        <v>23</v>
      </c>
      <c r="E62" s="461">
        <v>20</v>
      </c>
      <c r="F62" s="461">
        <v>30</v>
      </c>
      <c r="G62" s="461"/>
      <c r="H62" s="461">
        <v>1</v>
      </c>
      <c r="I62" s="461"/>
    </row>
    <row r="63" spans="1:9" x14ac:dyDescent="0.35">
      <c r="A63" s="1154" t="s">
        <v>854</v>
      </c>
      <c r="B63" s="461">
        <v>5</v>
      </c>
      <c r="C63" s="461">
        <v>13</v>
      </c>
      <c r="D63" s="461">
        <v>23</v>
      </c>
      <c r="E63" s="461">
        <v>20</v>
      </c>
      <c r="F63" s="461">
        <v>30</v>
      </c>
      <c r="G63" s="461"/>
      <c r="H63" s="461">
        <v>1</v>
      </c>
      <c r="I63" s="461"/>
    </row>
    <row r="64" spans="1:9" x14ac:dyDescent="0.35">
      <c r="A64" s="1154" t="s">
        <v>26</v>
      </c>
      <c r="B64" s="461"/>
      <c r="C64" s="461"/>
      <c r="D64" s="461"/>
      <c r="E64" s="461"/>
      <c r="F64" s="461"/>
      <c r="G64" s="461"/>
      <c r="H64" s="461"/>
      <c r="I64" s="461"/>
    </row>
    <row r="65" spans="1:9" x14ac:dyDescent="0.35">
      <c r="A65" s="462" t="s">
        <v>246</v>
      </c>
      <c r="B65" s="461">
        <v>5</v>
      </c>
      <c r="C65" s="461">
        <v>36</v>
      </c>
      <c r="D65" s="461">
        <v>85</v>
      </c>
      <c r="E65" s="461">
        <v>162</v>
      </c>
      <c r="F65" s="461">
        <v>965.75</v>
      </c>
      <c r="G65" s="461">
        <v>1210.6799999999998</v>
      </c>
      <c r="H65" s="461">
        <v>4085.79</v>
      </c>
      <c r="I65" s="461">
        <v>6550.2199999999993</v>
      </c>
    </row>
    <row r="66" spans="1:9" x14ac:dyDescent="0.35">
      <c r="A66" s="1154" t="s">
        <v>17430</v>
      </c>
      <c r="B66" s="461">
        <v>5</v>
      </c>
      <c r="C66" s="461">
        <v>36</v>
      </c>
      <c r="D66" s="461">
        <v>85</v>
      </c>
      <c r="E66" s="461">
        <v>162</v>
      </c>
      <c r="F66" s="461">
        <v>965.75</v>
      </c>
      <c r="G66" s="461">
        <v>1210.6799999999998</v>
      </c>
      <c r="H66" s="461">
        <v>4085.79</v>
      </c>
      <c r="I66" s="461">
        <v>6550.2199999999993</v>
      </c>
    </row>
    <row r="67" spans="1:9" x14ac:dyDescent="0.35">
      <c r="A67" s="1154" t="s">
        <v>239</v>
      </c>
      <c r="B67" s="461">
        <v>10</v>
      </c>
      <c r="C67" s="461">
        <v>93</v>
      </c>
      <c r="D67" s="461">
        <v>224</v>
      </c>
      <c r="E67" s="461">
        <v>446</v>
      </c>
      <c r="F67" s="461">
        <v>2143.75</v>
      </c>
      <c r="G67" s="461">
        <v>2584.6799999999998</v>
      </c>
      <c r="H67" s="461">
        <v>8119.65</v>
      </c>
      <c r="I67" s="461">
        <v>6550.2199999999993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443"/>
  <sheetViews>
    <sheetView workbookViewId="0">
      <selection activeCell="C14" sqref="C14"/>
    </sheetView>
  </sheetViews>
  <sheetFormatPr defaultRowHeight="14.5" x14ac:dyDescent="0.35"/>
  <cols>
    <col min="1" max="1" width="7.453125" bestFit="1" customWidth="1"/>
    <col min="2" max="2" width="15.54296875" bestFit="1" customWidth="1"/>
    <col min="3" max="3" width="9.7265625" bestFit="1" customWidth="1"/>
    <col min="4" max="4" width="54.36328125" bestFit="1" customWidth="1"/>
    <col min="5" max="5" width="11.81640625" bestFit="1" customWidth="1"/>
    <col min="6" max="6" width="14.90625" bestFit="1" customWidth="1"/>
    <col min="7" max="7" width="17.36328125" bestFit="1" customWidth="1"/>
    <col min="8" max="8" width="15.36328125" bestFit="1" customWidth="1"/>
    <col min="9" max="9" width="11.81640625" bestFit="1" customWidth="1"/>
    <col min="10" max="10" width="16.36328125" bestFit="1" customWidth="1"/>
    <col min="11" max="11" width="17.08984375" bestFit="1" customWidth="1"/>
    <col min="12" max="12" width="16.54296875" bestFit="1" customWidth="1"/>
  </cols>
  <sheetData>
    <row r="1" spans="1:12" x14ac:dyDescent="0.35">
      <c r="A1" s="461" t="s">
        <v>1</v>
      </c>
      <c r="B1" s="461" t="s">
        <v>17409</v>
      </c>
      <c r="C1" s="461" t="s">
        <v>244</v>
      </c>
      <c r="D1" s="461" t="s">
        <v>17410</v>
      </c>
      <c r="E1" s="461" t="s">
        <v>26</v>
      </c>
      <c r="F1" s="461" t="s">
        <v>18</v>
      </c>
      <c r="G1" s="461" t="s">
        <v>198</v>
      </c>
      <c r="H1" s="461" t="s">
        <v>22</v>
      </c>
      <c r="I1" s="461" t="s">
        <v>23</v>
      </c>
      <c r="J1" s="461" t="s">
        <v>19</v>
      </c>
      <c r="K1" s="461" t="s">
        <v>20</v>
      </c>
      <c r="L1" s="461" t="s">
        <v>21</v>
      </c>
    </row>
    <row r="2" spans="1:12" x14ac:dyDescent="0.35">
      <c r="A2" s="461" t="s">
        <v>194</v>
      </c>
      <c r="B2" s="461" t="s">
        <v>235</v>
      </c>
      <c r="C2" s="461" t="s">
        <v>286</v>
      </c>
      <c r="D2" s="461" t="s">
        <v>31</v>
      </c>
      <c r="E2" s="461">
        <v>174</v>
      </c>
      <c r="F2" s="461">
        <v>0</v>
      </c>
      <c r="G2" s="461">
        <v>0</v>
      </c>
      <c r="H2" s="461">
        <v>24</v>
      </c>
      <c r="I2" s="461">
        <v>128</v>
      </c>
      <c r="J2" s="461">
        <v>0</v>
      </c>
      <c r="K2" s="461">
        <v>0</v>
      </c>
      <c r="L2" s="461">
        <v>22</v>
      </c>
    </row>
    <row r="3" spans="1:12" x14ac:dyDescent="0.35">
      <c r="A3" s="461" t="s">
        <v>194</v>
      </c>
      <c r="B3" s="461" t="s">
        <v>235</v>
      </c>
      <c r="C3" s="461" t="s">
        <v>287</v>
      </c>
      <c r="D3" s="461" t="s">
        <v>32</v>
      </c>
      <c r="E3" s="461">
        <v>23</v>
      </c>
      <c r="F3" s="461">
        <v>0</v>
      </c>
      <c r="G3" s="461">
        <v>0</v>
      </c>
      <c r="H3" s="461">
        <v>3</v>
      </c>
      <c r="I3" s="461">
        <v>16</v>
      </c>
      <c r="J3" s="461">
        <v>0</v>
      </c>
      <c r="K3" s="461">
        <v>0</v>
      </c>
      <c r="L3" s="461">
        <v>4</v>
      </c>
    </row>
    <row r="4" spans="1:12" x14ac:dyDescent="0.35">
      <c r="A4" s="461" t="s">
        <v>194</v>
      </c>
      <c r="B4" s="461" t="s">
        <v>235</v>
      </c>
      <c r="C4" s="461" t="s">
        <v>17424</v>
      </c>
      <c r="D4" s="461" t="s">
        <v>266</v>
      </c>
      <c r="E4" s="461">
        <v>3391.76</v>
      </c>
      <c r="F4" s="461">
        <v>0</v>
      </c>
      <c r="G4" s="461">
        <v>0</v>
      </c>
      <c r="H4" s="461">
        <v>608</v>
      </c>
      <c r="I4" s="461">
        <v>2354.7600000000002</v>
      </c>
      <c r="J4" s="461">
        <v>0</v>
      </c>
      <c r="K4" s="461">
        <v>13</v>
      </c>
      <c r="L4" s="461">
        <v>416</v>
      </c>
    </row>
    <row r="5" spans="1:12" x14ac:dyDescent="0.35">
      <c r="A5" s="461" t="s">
        <v>194</v>
      </c>
      <c r="B5" s="461" t="s">
        <v>235</v>
      </c>
      <c r="C5" s="461" t="s">
        <v>293</v>
      </c>
      <c r="D5" s="461" t="s">
        <v>33</v>
      </c>
      <c r="E5" s="461">
        <v>35</v>
      </c>
      <c r="F5" s="461">
        <v>0</v>
      </c>
      <c r="G5" s="461">
        <v>0</v>
      </c>
      <c r="H5" s="461">
        <v>0</v>
      </c>
      <c r="I5" s="461">
        <v>25</v>
      </c>
      <c r="J5" s="461">
        <v>0</v>
      </c>
      <c r="K5" s="461">
        <v>1</v>
      </c>
      <c r="L5" s="461">
        <v>9</v>
      </c>
    </row>
    <row r="6" spans="1:12" x14ac:dyDescent="0.35">
      <c r="A6" s="461" t="s">
        <v>194</v>
      </c>
      <c r="B6" s="461" t="s">
        <v>235</v>
      </c>
      <c r="C6" s="461" t="s">
        <v>288</v>
      </c>
      <c r="D6" s="461" t="s">
        <v>34</v>
      </c>
      <c r="E6" s="461">
        <v>58</v>
      </c>
      <c r="F6" s="461">
        <v>0</v>
      </c>
      <c r="G6" s="461">
        <v>0</v>
      </c>
      <c r="H6" s="461">
        <v>10</v>
      </c>
      <c r="I6" s="461">
        <v>31</v>
      </c>
      <c r="J6" s="461">
        <v>0</v>
      </c>
      <c r="K6" s="461">
        <v>2</v>
      </c>
      <c r="L6" s="461">
        <v>15</v>
      </c>
    </row>
    <row r="7" spans="1:12" x14ac:dyDescent="0.35">
      <c r="A7" s="461" t="s">
        <v>194</v>
      </c>
      <c r="B7" s="461" t="s">
        <v>235</v>
      </c>
      <c r="C7" s="461" t="s">
        <v>289</v>
      </c>
      <c r="D7" s="461" t="s">
        <v>245</v>
      </c>
      <c r="E7" s="461">
        <v>370</v>
      </c>
      <c r="F7" s="461">
        <v>0</v>
      </c>
      <c r="G7" s="461">
        <v>0</v>
      </c>
      <c r="H7" s="461">
        <v>70</v>
      </c>
      <c r="I7" s="461">
        <v>275</v>
      </c>
      <c r="J7" s="461">
        <v>0</v>
      </c>
      <c r="K7" s="461">
        <v>0</v>
      </c>
      <c r="L7" s="461">
        <v>25</v>
      </c>
    </row>
    <row r="8" spans="1:12" x14ac:dyDescent="0.35">
      <c r="A8" s="461" t="s">
        <v>194</v>
      </c>
      <c r="B8" s="461" t="s">
        <v>235</v>
      </c>
      <c r="C8" s="461" t="s">
        <v>267</v>
      </c>
      <c r="D8" s="461" t="s">
        <v>35</v>
      </c>
      <c r="E8" s="461">
        <v>43</v>
      </c>
      <c r="F8" s="461">
        <v>0</v>
      </c>
      <c r="G8" s="461">
        <v>0</v>
      </c>
      <c r="H8" s="461">
        <v>9</v>
      </c>
      <c r="I8" s="461">
        <v>30</v>
      </c>
      <c r="J8" s="461">
        <v>0</v>
      </c>
      <c r="K8" s="461">
        <v>0</v>
      </c>
      <c r="L8" s="461">
        <v>4</v>
      </c>
    </row>
    <row r="9" spans="1:12" x14ac:dyDescent="0.35">
      <c r="A9" s="461" t="s">
        <v>194</v>
      </c>
      <c r="B9" s="461" t="s">
        <v>235</v>
      </c>
      <c r="C9" s="461" t="s">
        <v>268</v>
      </c>
      <c r="D9" s="461" t="s">
        <v>36</v>
      </c>
      <c r="E9" s="461">
        <v>69</v>
      </c>
      <c r="F9" s="461">
        <v>0</v>
      </c>
      <c r="G9" s="461">
        <v>0</v>
      </c>
      <c r="H9" s="461">
        <v>11</v>
      </c>
      <c r="I9" s="461">
        <v>53</v>
      </c>
      <c r="J9" s="461">
        <v>0</v>
      </c>
      <c r="K9" s="461">
        <v>0</v>
      </c>
      <c r="L9" s="461">
        <v>5</v>
      </c>
    </row>
    <row r="10" spans="1:12" x14ac:dyDescent="0.35">
      <c r="A10" s="461" t="s">
        <v>194</v>
      </c>
      <c r="B10" s="461" t="s">
        <v>235</v>
      </c>
      <c r="C10" s="461" t="s">
        <v>294</v>
      </c>
      <c r="D10" s="461" t="s">
        <v>37</v>
      </c>
      <c r="E10" s="461">
        <v>215</v>
      </c>
      <c r="F10" s="461">
        <v>0</v>
      </c>
      <c r="G10" s="461">
        <v>0</v>
      </c>
      <c r="H10" s="461">
        <v>29</v>
      </c>
      <c r="I10" s="461">
        <v>162</v>
      </c>
      <c r="J10" s="461">
        <v>0</v>
      </c>
      <c r="K10" s="461">
        <v>1</v>
      </c>
      <c r="L10" s="461">
        <v>23</v>
      </c>
    </row>
    <row r="11" spans="1:12" x14ac:dyDescent="0.35">
      <c r="A11" s="461" t="s">
        <v>194</v>
      </c>
      <c r="B11" s="461" t="s">
        <v>235</v>
      </c>
      <c r="C11" s="461" t="s">
        <v>269</v>
      </c>
      <c r="D11" s="461" t="s">
        <v>38</v>
      </c>
      <c r="E11" s="461">
        <v>59</v>
      </c>
      <c r="F11" s="461">
        <v>0</v>
      </c>
      <c r="G11" s="461">
        <v>0</v>
      </c>
      <c r="H11" s="461">
        <v>11</v>
      </c>
      <c r="I11" s="461">
        <v>40</v>
      </c>
      <c r="J11" s="461">
        <v>0</v>
      </c>
      <c r="K11" s="461">
        <v>0</v>
      </c>
      <c r="L11" s="461">
        <v>8</v>
      </c>
    </row>
    <row r="12" spans="1:12" x14ac:dyDescent="0.35">
      <c r="A12" s="461" t="s">
        <v>194</v>
      </c>
      <c r="B12" s="461" t="s">
        <v>235</v>
      </c>
      <c r="C12" s="461" t="s">
        <v>296</v>
      </c>
      <c r="D12" s="461" t="s">
        <v>39</v>
      </c>
      <c r="E12" s="461">
        <v>74</v>
      </c>
      <c r="F12" s="461">
        <v>0</v>
      </c>
      <c r="G12" s="461">
        <v>0</v>
      </c>
      <c r="H12" s="461">
        <v>15</v>
      </c>
      <c r="I12" s="461">
        <v>45</v>
      </c>
      <c r="J12" s="461">
        <v>0</v>
      </c>
      <c r="K12" s="461">
        <v>0</v>
      </c>
      <c r="L12" s="461">
        <v>14</v>
      </c>
    </row>
    <row r="13" spans="1:12" x14ac:dyDescent="0.35">
      <c r="A13" s="461" t="s">
        <v>194</v>
      </c>
      <c r="B13" s="461" t="s">
        <v>235</v>
      </c>
      <c r="C13" s="461" t="s">
        <v>270</v>
      </c>
      <c r="D13" s="461" t="s">
        <v>40</v>
      </c>
      <c r="E13" s="461">
        <v>29</v>
      </c>
      <c r="F13" s="461">
        <v>0</v>
      </c>
      <c r="G13" s="461">
        <v>0</v>
      </c>
      <c r="H13" s="461">
        <v>5</v>
      </c>
      <c r="I13" s="461">
        <v>21</v>
      </c>
      <c r="J13" s="461">
        <v>0</v>
      </c>
      <c r="K13" s="461">
        <v>0</v>
      </c>
      <c r="L13" s="461">
        <v>3</v>
      </c>
    </row>
    <row r="14" spans="1:12" x14ac:dyDescent="0.35">
      <c r="A14" s="461" t="s">
        <v>194</v>
      </c>
      <c r="B14" s="461" t="s">
        <v>235</v>
      </c>
      <c r="C14" s="461" t="s">
        <v>271</v>
      </c>
      <c r="D14" s="461" t="s">
        <v>41</v>
      </c>
      <c r="E14" s="461">
        <v>59</v>
      </c>
      <c r="F14" s="461">
        <v>0</v>
      </c>
      <c r="G14" s="461">
        <v>0</v>
      </c>
      <c r="H14" s="461">
        <v>14</v>
      </c>
      <c r="I14" s="461">
        <v>34</v>
      </c>
      <c r="J14" s="461">
        <v>0</v>
      </c>
      <c r="K14" s="461">
        <v>0</v>
      </c>
      <c r="L14" s="461">
        <v>11</v>
      </c>
    </row>
    <row r="15" spans="1:12" x14ac:dyDescent="0.35">
      <c r="A15" s="461" t="s">
        <v>194</v>
      </c>
      <c r="B15" s="461" t="s">
        <v>235</v>
      </c>
      <c r="C15" s="461" t="s">
        <v>273</v>
      </c>
      <c r="D15" s="461" t="s">
        <v>42</v>
      </c>
      <c r="E15" s="461">
        <v>96</v>
      </c>
      <c r="F15" s="461">
        <v>0</v>
      </c>
      <c r="G15" s="461">
        <v>0</v>
      </c>
      <c r="H15" s="461">
        <v>18</v>
      </c>
      <c r="I15" s="461">
        <v>65</v>
      </c>
      <c r="J15" s="461">
        <v>0</v>
      </c>
      <c r="K15" s="461">
        <v>1</v>
      </c>
      <c r="L15" s="461">
        <v>12</v>
      </c>
    </row>
    <row r="16" spans="1:12" x14ac:dyDescent="0.35">
      <c r="A16" s="461" t="s">
        <v>194</v>
      </c>
      <c r="B16" s="461" t="s">
        <v>235</v>
      </c>
      <c r="C16" s="461" t="s">
        <v>298</v>
      </c>
      <c r="D16" s="461" t="s">
        <v>43</v>
      </c>
      <c r="E16" s="461">
        <v>289</v>
      </c>
      <c r="F16" s="461">
        <v>0</v>
      </c>
      <c r="G16" s="461">
        <v>0</v>
      </c>
      <c r="H16" s="461">
        <v>58</v>
      </c>
      <c r="I16" s="461">
        <v>208</v>
      </c>
      <c r="J16" s="461">
        <v>0</v>
      </c>
      <c r="K16" s="461">
        <v>0</v>
      </c>
      <c r="L16" s="461">
        <v>23</v>
      </c>
    </row>
    <row r="17" spans="1:12" x14ac:dyDescent="0.35">
      <c r="A17" s="461" t="s">
        <v>194</v>
      </c>
      <c r="B17" s="461" t="s">
        <v>235</v>
      </c>
      <c r="C17" s="461" t="s">
        <v>297</v>
      </c>
      <c r="D17" s="461" t="s">
        <v>114</v>
      </c>
      <c r="E17">
        <v>560</v>
      </c>
      <c r="F17">
        <v>0</v>
      </c>
      <c r="G17">
        <v>0</v>
      </c>
      <c r="H17">
        <v>119</v>
      </c>
      <c r="I17">
        <v>373</v>
      </c>
      <c r="J17">
        <v>0</v>
      </c>
      <c r="K17">
        <v>0</v>
      </c>
      <c r="L17">
        <v>68</v>
      </c>
    </row>
    <row r="18" spans="1:12" x14ac:dyDescent="0.35">
      <c r="A18" s="461" t="s">
        <v>194</v>
      </c>
      <c r="B18" s="461" t="s">
        <v>235</v>
      </c>
      <c r="C18" s="461" t="s">
        <v>274</v>
      </c>
      <c r="D18" s="461" t="s">
        <v>44</v>
      </c>
      <c r="E18">
        <v>81</v>
      </c>
      <c r="F18">
        <v>0</v>
      </c>
      <c r="G18">
        <v>0</v>
      </c>
      <c r="H18">
        <v>9</v>
      </c>
      <c r="I18">
        <v>60</v>
      </c>
      <c r="J18">
        <v>0</v>
      </c>
      <c r="K18">
        <v>2</v>
      </c>
      <c r="L18">
        <v>10</v>
      </c>
    </row>
    <row r="19" spans="1:12" x14ac:dyDescent="0.35">
      <c r="A19" s="461" t="s">
        <v>194</v>
      </c>
      <c r="B19" s="461" t="s">
        <v>235</v>
      </c>
      <c r="C19" s="461" t="s">
        <v>275</v>
      </c>
      <c r="D19" s="461" t="s">
        <v>45</v>
      </c>
      <c r="E19">
        <v>78</v>
      </c>
      <c r="F19">
        <v>0</v>
      </c>
      <c r="G19">
        <v>0</v>
      </c>
      <c r="H19">
        <v>18</v>
      </c>
      <c r="I19">
        <v>49</v>
      </c>
      <c r="J19">
        <v>0</v>
      </c>
      <c r="K19">
        <v>0</v>
      </c>
      <c r="L19">
        <v>11</v>
      </c>
    </row>
    <row r="20" spans="1:12" x14ac:dyDescent="0.35">
      <c r="A20" s="461" t="s">
        <v>194</v>
      </c>
      <c r="B20" s="461" t="s">
        <v>235</v>
      </c>
      <c r="C20" s="461" t="s">
        <v>276</v>
      </c>
      <c r="D20" s="461" t="s">
        <v>46</v>
      </c>
      <c r="E20">
        <v>35</v>
      </c>
      <c r="F20">
        <v>0</v>
      </c>
      <c r="G20">
        <v>0</v>
      </c>
      <c r="H20">
        <v>4</v>
      </c>
      <c r="I20">
        <v>26</v>
      </c>
      <c r="J20">
        <v>0</v>
      </c>
      <c r="K20">
        <v>0</v>
      </c>
      <c r="L20">
        <v>5</v>
      </c>
    </row>
    <row r="21" spans="1:12" x14ac:dyDescent="0.35">
      <c r="A21" s="461" t="s">
        <v>194</v>
      </c>
      <c r="B21" s="461" t="s">
        <v>235</v>
      </c>
      <c r="C21" s="461" t="s">
        <v>277</v>
      </c>
      <c r="D21" s="461" t="s">
        <v>47</v>
      </c>
      <c r="E21">
        <v>20</v>
      </c>
      <c r="F21">
        <v>0</v>
      </c>
      <c r="G21">
        <v>0</v>
      </c>
      <c r="H21">
        <v>2</v>
      </c>
      <c r="I21">
        <v>15</v>
      </c>
      <c r="J21">
        <v>0</v>
      </c>
      <c r="K21">
        <v>0</v>
      </c>
      <c r="L21">
        <v>3</v>
      </c>
    </row>
    <row r="22" spans="1:12" x14ac:dyDescent="0.35">
      <c r="A22" s="461" t="s">
        <v>194</v>
      </c>
      <c r="B22" s="461" t="s">
        <v>235</v>
      </c>
      <c r="C22" s="461" t="s">
        <v>272</v>
      </c>
      <c r="D22" s="461" t="s">
        <v>48</v>
      </c>
      <c r="E22">
        <v>0</v>
      </c>
      <c r="F22">
        <v>0</v>
      </c>
      <c r="G22">
        <v>0</v>
      </c>
      <c r="H22">
        <v>0</v>
      </c>
      <c r="I22">
        <v>0</v>
      </c>
      <c r="J22">
        <v>0</v>
      </c>
      <c r="K22">
        <v>0</v>
      </c>
      <c r="L22">
        <v>0</v>
      </c>
    </row>
    <row r="23" spans="1:12" x14ac:dyDescent="0.35">
      <c r="A23" s="461" t="s">
        <v>194</v>
      </c>
      <c r="B23" s="461" t="s">
        <v>235</v>
      </c>
      <c r="C23" s="461" t="s">
        <v>278</v>
      </c>
      <c r="D23" s="461" t="s">
        <v>49</v>
      </c>
      <c r="E23">
        <v>76</v>
      </c>
      <c r="F23">
        <v>0</v>
      </c>
      <c r="G23">
        <v>0</v>
      </c>
      <c r="H23">
        <v>13</v>
      </c>
      <c r="I23">
        <v>50</v>
      </c>
      <c r="J23">
        <v>0</v>
      </c>
      <c r="K23">
        <v>0</v>
      </c>
      <c r="L23">
        <v>13</v>
      </c>
    </row>
    <row r="24" spans="1:12" x14ac:dyDescent="0.35">
      <c r="A24" s="461" t="s">
        <v>194</v>
      </c>
      <c r="B24" s="461" t="s">
        <v>235</v>
      </c>
      <c r="C24" s="461" t="s">
        <v>295</v>
      </c>
      <c r="D24" s="461" t="s">
        <v>50</v>
      </c>
      <c r="E24">
        <v>188</v>
      </c>
      <c r="F24">
        <v>0</v>
      </c>
      <c r="G24">
        <v>0</v>
      </c>
      <c r="H24">
        <v>34</v>
      </c>
      <c r="I24">
        <v>129</v>
      </c>
      <c r="J24">
        <v>0</v>
      </c>
      <c r="K24">
        <v>1</v>
      </c>
      <c r="L24">
        <v>24</v>
      </c>
    </row>
    <row r="25" spans="1:12" x14ac:dyDescent="0.35">
      <c r="A25" s="461" t="s">
        <v>194</v>
      </c>
      <c r="B25" s="461" t="s">
        <v>235</v>
      </c>
      <c r="C25" s="461" t="s">
        <v>279</v>
      </c>
      <c r="D25" s="461" t="s">
        <v>51</v>
      </c>
      <c r="E25">
        <v>0</v>
      </c>
      <c r="F25">
        <v>0</v>
      </c>
      <c r="G25">
        <v>0</v>
      </c>
      <c r="H25">
        <v>0</v>
      </c>
      <c r="I25">
        <v>0</v>
      </c>
      <c r="J25">
        <v>0</v>
      </c>
      <c r="K25">
        <v>0</v>
      </c>
      <c r="L25">
        <v>0</v>
      </c>
    </row>
    <row r="26" spans="1:12" x14ac:dyDescent="0.35">
      <c r="A26" s="461" t="s">
        <v>194</v>
      </c>
      <c r="B26" s="461" t="s">
        <v>235</v>
      </c>
      <c r="C26" s="461" t="s">
        <v>280</v>
      </c>
      <c r="D26" s="461" t="s">
        <v>52</v>
      </c>
      <c r="E26">
        <v>88</v>
      </c>
      <c r="F26">
        <v>0</v>
      </c>
      <c r="G26">
        <v>0</v>
      </c>
      <c r="H26">
        <v>14</v>
      </c>
      <c r="I26">
        <v>61</v>
      </c>
      <c r="J26">
        <v>0</v>
      </c>
      <c r="K26">
        <v>2</v>
      </c>
      <c r="L26">
        <v>11</v>
      </c>
    </row>
    <row r="27" spans="1:12" x14ac:dyDescent="0.35">
      <c r="A27" s="461" t="s">
        <v>194</v>
      </c>
      <c r="B27" s="461" t="s">
        <v>235</v>
      </c>
      <c r="C27" s="461" t="s">
        <v>290</v>
      </c>
      <c r="D27" s="461" t="s">
        <v>53</v>
      </c>
      <c r="E27">
        <v>116</v>
      </c>
      <c r="F27">
        <v>0</v>
      </c>
      <c r="G27">
        <v>0</v>
      </c>
      <c r="H27">
        <v>22</v>
      </c>
      <c r="I27">
        <v>74</v>
      </c>
      <c r="J27">
        <v>0</v>
      </c>
      <c r="K27">
        <v>1</v>
      </c>
      <c r="L27">
        <v>19</v>
      </c>
    </row>
    <row r="28" spans="1:12" x14ac:dyDescent="0.35">
      <c r="A28" s="461" t="s">
        <v>194</v>
      </c>
      <c r="B28" s="461" t="s">
        <v>235</v>
      </c>
      <c r="C28" s="461" t="s">
        <v>281</v>
      </c>
      <c r="D28" s="461" t="s">
        <v>54</v>
      </c>
      <c r="E28">
        <v>75</v>
      </c>
      <c r="F28">
        <v>0</v>
      </c>
      <c r="G28">
        <v>0</v>
      </c>
      <c r="H28">
        <v>11</v>
      </c>
      <c r="I28">
        <v>54</v>
      </c>
      <c r="J28">
        <v>0</v>
      </c>
      <c r="K28">
        <v>0</v>
      </c>
      <c r="L28">
        <v>10</v>
      </c>
    </row>
    <row r="29" spans="1:12" x14ac:dyDescent="0.35">
      <c r="A29" s="461" t="s">
        <v>194</v>
      </c>
      <c r="B29" s="461" t="s">
        <v>235</v>
      </c>
      <c r="C29" s="461" t="s">
        <v>282</v>
      </c>
      <c r="D29" s="461" t="s">
        <v>55</v>
      </c>
      <c r="E29">
        <v>0</v>
      </c>
      <c r="F29">
        <v>0</v>
      </c>
      <c r="G29">
        <v>0</v>
      </c>
      <c r="H29">
        <v>0</v>
      </c>
      <c r="I29">
        <v>0</v>
      </c>
      <c r="J29">
        <v>0</v>
      </c>
      <c r="K29">
        <v>0</v>
      </c>
      <c r="L29">
        <v>0</v>
      </c>
    </row>
    <row r="30" spans="1:12" x14ac:dyDescent="0.35">
      <c r="A30" s="461" t="s">
        <v>194</v>
      </c>
      <c r="B30" s="461" t="s">
        <v>235</v>
      </c>
      <c r="C30" s="461" t="s">
        <v>283</v>
      </c>
      <c r="D30" s="461" t="s">
        <v>56</v>
      </c>
      <c r="E30">
        <v>65</v>
      </c>
      <c r="F30">
        <v>0</v>
      </c>
      <c r="G30">
        <v>0</v>
      </c>
      <c r="H30">
        <v>10</v>
      </c>
      <c r="I30">
        <v>47</v>
      </c>
      <c r="J30">
        <v>0</v>
      </c>
      <c r="K30">
        <v>0</v>
      </c>
      <c r="L30">
        <v>8</v>
      </c>
    </row>
    <row r="31" spans="1:12" x14ac:dyDescent="0.35">
      <c r="A31" s="461" t="s">
        <v>194</v>
      </c>
      <c r="B31" s="461" t="s">
        <v>235</v>
      </c>
      <c r="C31" s="461" t="s">
        <v>284</v>
      </c>
      <c r="D31" s="461" t="s">
        <v>57</v>
      </c>
      <c r="E31">
        <v>190</v>
      </c>
      <c r="F31">
        <v>0</v>
      </c>
      <c r="G31">
        <v>0</v>
      </c>
      <c r="H31">
        <v>33</v>
      </c>
      <c r="I31">
        <v>129</v>
      </c>
      <c r="J31">
        <v>0</v>
      </c>
      <c r="K31">
        <v>2</v>
      </c>
      <c r="L31">
        <v>26</v>
      </c>
    </row>
    <row r="32" spans="1:12" x14ac:dyDescent="0.35">
      <c r="A32" s="461" t="s">
        <v>194</v>
      </c>
      <c r="B32" s="461" t="s">
        <v>235</v>
      </c>
      <c r="C32" s="461" t="s">
        <v>285</v>
      </c>
      <c r="D32" s="461" t="s">
        <v>58</v>
      </c>
      <c r="E32">
        <v>61.76</v>
      </c>
      <c r="F32">
        <v>0</v>
      </c>
      <c r="G32">
        <v>0</v>
      </c>
      <c r="H32">
        <v>10</v>
      </c>
      <c r="I32">
        <v>41.76</v>
      </c>
      <c r="J32">
        <v>0</v>
      </c>
      <c r="K32">
        <v>0</v>
      </c>
      <c r="L32">
        <v>10</v>
      </c>
    </row>
    <row r="33" spans="1:12" x14ac:dyDescent="0.35">
      <c r="A33" s="461" t="s">
        <v>194</v>
      </c>
      <c r="B33" s="461" t="s">
        <v>235</v>
      </c>
      <c r="C33" s="461" t="s">
        <v>291</v>
      </c>
      <c r="D33" s="461" t="s">
        <v>59</v>
      </c>
      <c r="E33">
        <v>80</v>
      </c>
      <c r="F33">
        <v>0</v>
      </c>
      <c r="G33">
        <v>0</v>
      </c>
      <c r="H33">
        <v>18</v>
      </c>
      <c r="I33">
        <v>52</v>
      </c>
      <c r="J33">
        <v>0</v>
      </c>
      <c r="K33">
        <v>0</v>
      </c>
      <c r="L33">
        <v>10</v>
      </c>
    </row>
    <row r="34" spans="1:12" x14ac:dyDescent="0.35">
      <c r="A34" s="461" t="s">
        <v>194</v>
      </c>
      <c r="B34" s="461" t="s">
        <v>235</v>
      </c>
      <c r="C34" s="461" t="s">
        <v>292</v>
      </c>
      <c r="D34" s="461" t="s">
        <v>60</v>
      </c>
      <c r="E34">
        <v>85</v>
      </c>
      <c r="F34">
        <v>0</v>
      </c>
      <c r="G34">
        <v>0</v>
      </c>
      <c r="H34">
        <v>14</v>
      </c>
      <c r="I34">
        <v>61</v>
      </c>
      <c r="J34">
        <v>0</v>
      </c>
      <c r="K34">
        <v>0</v>
      </c>
      <c r="L34">
        <v>10</v>
      </c>
    </row>
    <row r="35" spans="1:12" x14ac:dyDescent="0.35">
      <c r="A35" s="461" t="s">
        <v>194</v>
      </c>
      <c r="B35" s="461" t="s">
        <v>236</v>
      </c>
      <c r="C35" s="461" t="s">
        <v>326</v>
      </c>
      <c r="D35" s="461" t="s">
        <v>31</v>
      </c>
      <c r="E35">
        <v>23</v>
      </c>
      <c r="F35">
        <v>1</v>
      </c>
      <c r="G35">
        <v>0</v>
      </c>
      <c r="H35">
        <v>0</v>
      </c>
      <c r="I35">
        <v>1</v>
      </c>
      <c r="J35">
        <v>7</v>
      </c>
      <c r="K35">
        <v>6</v>
      </c>
      <c r="L35">
        <v>8</v>
      </c>
    </row>
    <row r="36" spans="1:12" x14ac:dyDescent="0.35">
      <c r="A36" s="461" t="s">
        <v>194</v>
      </c>
      <c r="B36" s="461" t="s">
        <v>236</v>
      </c>
      <c r="C36" s="461" t="s">
        <v>327</v>
      </c>
      <c r="D36" s="461" t="s">
        <v>63</v>
      </c>
      <c r="E36">
        <v>15</v>
      </c>
      <c r="F36">
        <v>1</v>
      </c>
      <c r="G36">
        <v>0</v>
      </c>
      <c r="H36">
        <v>0</v>
      </c>
      <c r="I36">
        <v>0</v>
      </c>
      <c r="J36">
        <v>2</v>
      </c>
      <c r="K36">
        <v>4</v>
      </c>
      <c r="L36">
        <v>8</v>
      </c>
    </row>
    <row r="37" spans="1:12" x14ac:dyDescent="0.35">
      <c r="A37" s="461" t="s">
        <v>194</v>
      </c>
      <c r="B37" s="461" t="s">
        <v>236</v>
      </c>
      <c r="C37" s="461" t="s">
        <v>17424</v>
      </c>
      <c r="D37" s="461" t="s">
        <v>266</v>
      </c>
      <c r="E37">
        <v>285</v>
      </c>
      <c r="F37">
        <v>17</v>
      </c>
      <c r="G37">
        <v>0</v>
      </c>
      <c r="H37">
        <v>5</v>
      </c>
      <c r="I37">
        <v>15</v>
      </c>
      <c r="J37">
        <v>69</v>
      </c>
      <c r="K37">
        <v>85</v>
      </c>
      <c r="L37">
        <v>94</v>
      </c>
    </row>
    <row r="38" spans="1:12" x14ac:dyDescent="0.35">
      <c r="A38" s="461" t="s">
        <v>194</v>
      </c>
      <c r="B38" s="461" t="s">
        <v>236</v>
      </c>
      <c r="C38" s="461" t="s">
        <v>329</v>
      </c>
      <c r="D38" s="461" t="s">
        <v>64</v>
      </c>
      <c r="E38">
        <v>22</v>
      </c>
      <c r="F38">
        <v>1</v>
      </c>
      <c r="G38">
        <v>0</v>
      </c>
      <c r="H38">
        <v>1</v>
      </c>
      <c r="I38">
        <v>1</v>
      </c>
      <c r="J38">
        <v>3</v>
      </c>
      <c r="K38">
        <v>6</v>
      </c>
      <c r="L38">
        <v>10</v>
      </c>
    </row>
    <row r="39" spans="1:12" x14ac:dyDescent="0.35">
      <c r="A39" s="461" t="s">
        <v>194</v>
      </c>
      <c r="B39" s="461" t="s">
        <v>236</v>
      </c>
      <c r="C39" s="461" t="s">
        <v>330</v>
      </c>
      <c r="D39" s="461" t="s">
        <v>36</v>
      </c>
      <c r="E39">
        <v>16</v>
      </c>
      <c r="F39">
        <v>0</v>
      </c>
      <c r="G39">
        <v>0</v>
      </c>
      <c r="H39">
        <v>0</v>
      </c>
      <c r="I39">
        <v>0</v>
      </c>
      <c r="J39">
        <v>2</v>
      </c>
      <c r="K39">
        <v>5</v>
      </c>
      <c r="L39">
        <v>9</v>
      </c>
    </row>
    <row r="40" spans="1:12" x14ac:dyDescent="0.35">
      <c r="A40" s="461" t="s">
        <v>194</v>
      </c>
      <c r="B40" s="461" t="s">
        <v>236</v>
      </c>
      <c r="C40" s="461" t="s">
        <v>328</v>
      </c>
      <c r="D40" s="461" t="s">
        <v>65</v>
      </c>
      <c r="E40">
        <v>11</v>
      </c>
      <c r="F40">
        <v>1</v>
      </c>
      <c r="G40">
        <v>0</v>
      </c>
      <c r="H40">
        <v>0</v>
      </c>
      <c r="I40">
        <v>0</v>
      </c>
      <c r="J40">
        <v>3</v>
      </c>
      <c r="K40">
        <v>5</v>
      </c>
      <c r="L40">
        <v>2</v>
      </c>
    </row>
    <row r="41" spans="1:12" x14ac:dyDescent="0.35">
      <c r="A41" s="461" t="s">
        <v>194</v>
      </c>
      <c r="B41" s="461" t="s">
        <v>236</v>
      </c>
      <c r="C41" s="461" t="s">
        <v>331</v>
      </c>
      <c r="D41" s="461" t="s">
        <v>66</v>
      </c>
      <c r="E41">
        <v>21</v>
      </c>
      <c r="F41">
        <v>1</v>
      </c>
      <c r="G41">
        <v>0</v>
      </c>
      <c r="H41">
        <v>0</v>
      </c>
      <c r="I41">
        <v>5</v>
      </c>
      <c r="J41">
        <v>7</v>
      </c>
      <c r="K41">
        <v>0</v>
      </c>
      <c r="L41">
        <v>8</v>
      </c>
    </row>
    <row r="42" spans="1:12" x14ac:dyDescent="0.35">
      <c r="A42" s="461" t="s">
        <v>194</v>
      </c>
      <c r="B42" s="461" t="s">
        <v>236</v>
      </c>
      <c r="C42" s="461" t="s">
        <v>332</v>
      </c>
      <c r="D42" s="461" t="s">
        <v>67</v>
      </c>
      <c r="E42">
        <v>12</v>
      </c>
      <c r="F42">
        <v>1</v>
      </c>
      <c r="G42">
        <v>0</v>
      </c>
      <c r="H42">
        <v>0</v>
      </c>
      <c r="I42">
        <v>1</v>
      </c>
      <c r="J42">
        <v>3</v>
      </c>
      <c r="K42">
        <v>5</v>
      </c>
      <c r="L42">
        <v>2</v>
      </c>
    </row>
    <row r="43" spans="1:12" x14ac:dyDescent="0.35">
      <c r="A43" s="461" t="s">
        <v>194</v>
      </c>
      <c r="B43" s="461" t="s">
        <v>236</v>
      </c>
      <c r="C43" s="461" t="s">
        <v>333</v>
      </c>
      <c r="D43" s="461" t="s">
        <v>68</v>
      </c>
      <c r="E43">
        <v>23</v>
      </c>
      <c r="F43">
        <v>1</v>
      </c>
      <c r="G43">
        <v>0</v>
      </c>
      <c r="H43">
        <v>0</v>
      </c>
      <c r="I43">
        <v>0</v>
      </c>
      <c r="J43">
        <v>9</v>
      </c>
      <c r="K43">
        <v>7</v>
      </c>
      <c r="L43">
        <v>6</v>
      </c>
    </row>
    <row r="44" spans="1:12" x14ac:dyDescent="0.35">
      <c r="A44" s="461" t="s">
        <v>194</v>
      </c>
      <c r="B44" s="461" t="s">
        <v>236</v>
      </c>
      <c r="C44" s="461" t="s">
        <v>334</v>
      </c>
      <c r="D44" s="461" t="s">
        <v>167</v>
      </c>
      <c r="E44">
        <v>26</v>
      </c>
      <c r="F44">
        <v>2</v>
      </c>
      <c r="G44">
        <v>0</v>
      </c>
      <c r="H44">
        <v>3</v>
      </c>
      <c r="I44">
        <v>2</v>
      </c>
      <c r="J44">
        <v>9</v>
      </c>
      <c r="K44">
        <v>3</v>
      </c>
      <c r="L44">
        <v>7</v>
      </c>
    </row>
    <row r="45" spans="1:12" x14ac:dyDescent="0.35">
      <c r="A45" s="461" t="s">
        <v>194</v>
      </c>
      <c r="B45" s="461" t="s">
        <v>236</v>
      </c>
      <c r="C45" s="461" t="s">
        <v>335</v>
      </c>
      <c r="D45" s="461" t="s">
        <v>69</v>
      </c>
      <c r="E45">
        <v>13</v>
      </c>
      <c r="F45">
        <v>1</v>
      </c>
      <c r="G45">
        <v>0</v>
      </c>
      <c r="H45">
        <v>0</v>
      </c>
      <c r="I45">
        <v>2</v>
      </c>
      <c r="J45">
        <v>2</v>
      </c>
      <c r="K45">
        <v>2</v>
      </c>
      <c r="L45">
        <v>6</v>
      </c>
    </row>
    <row r="46" spans="1:12" x14ac:dyDescent="0.35">
      <c r="A46" s="461" t="s">
        <v>194</v>
      </c>
      <c r="B46" s="461" t="s">
        <v>236</v>
      </c>
      <c r="C46" s="461" t="s">
        <v>17425</v>
      </c>
      <c r="D46" s="461" t="s">
        <v>43</v>
      </c>
      <c r="E46">
        <v>21</v>
      </c>
      <c r="F46">
        <v>1</v>
      </c>
      <c r="G46">
        <v>0</v>
      </c>
      <c r="H46">
        <v>0</v>
      </c>
      <c r="I46">
        <v>0</v>
      </c>
      <c r="J46">
        <v>3</v>
      </c>
      <c r="K46">
        <v>6</v>
      </c>
      <c r="L46">
        <v>11</v>
      </c>
    </row>
    <row r="47" spans="1:12" x14ac:dyDescent="0.35">
      <c r="A47" s="461" t="s">
        <v>194</v>
      </c>
      <c r="B47" s="461" t="s">
        <v>236</v>
      </c>
      <c r="C47" s="461" t="s">
        <v>17426</v>
      </c>
      <c r="D47" s="461" t="s">
        <v>114</v>
      </c>
      <c r="E47">
        <v>28</v>
      </c>
      <c r="F47">
        <v>1</v>
      </c>
      <c r="G47">
        <v>0</v>
      </c>
      <c r="H47">
        <v>0</v>
      </c>
      <c r="I47">
        <v>3</v>
      </c>
      <c r="J47">
        <v>4</v>
      </c>
      <c r="K47">
        <v>10</v>
      </c>
      <c r="L47">
        <v>10</v>
      </c>
    </row>
    <row r="48" spans="1:12" x14ac:dyDescent="0.35">
      <c r="A48" s="461" t="s">
        <v>194</v>
      </c>
      <c r="B48" s="461" t="s">
        <v>236</v>
      </c>
      <c r="C48" s="461" t="s">
        <v>336</v>
      </c>
      <c r="D48" s="461" t="s">
        <v>70</v>
      </c>
      <c r="E48">
        <v>13</v>
      </c>
      <c r="F48">
        <v>1</v>
      </c>
      <c r="G48">
        <v>0</v>
      </c>
      <c r="H48">
        <v>0</v>
      </c>
      <c r="I48">
        <v>0</v>
      </c>
      <c r="J48">
        <v>4</v>
      </c>
      <c r="K48">
        <v>7</v>
      </c>
      <c r="L48">
        <v>1</v>
      </c>
    </row>
    <row r="49" spans="1:12" x14ac:dyDescent="0.35">
      <c r="A49" s="461" t="s">
        <v>194</v>
      </c>
      <c r="B49" s="461" t="s">
        <v>236</v>
      </c>
      <c r="C49" s="461" t="s">
        <v>17427</v>
      </c>
      <c r="D49" s="461" t="s">
        <v>50</v>
      </c>
      <c r="E49">
        <v>14</v>
      </c>
      <c r="F49">
        <v>1</v>
      </c>
      <c r="G49">
        <v>0</v>
      </c>
      <c r="H49">
        <v>1</v>
      </c>
      <c r="I49">
        <v>0</v>
      </c>
      <c r="J49">
        <v>2</v>
      </c>
      <c r="K49">
        <v>6</v>
      </c>
      <c r="L49">
        <v>4</v>
      </c>
    </row>
    <row r="50" spans="1:12" x14ac:dyDescent="0.35">
      <c r="A50" s="461" t="s">
        <v>194</v>
      </c>
      <c r="B50" s="461" t="s">
        <v>236</v>
      </c>
      <c r="C50" s="461" t="s">
        <v>337</v>
      </c>
      <c r="D50" s="461" t="s">
        <v>57</v>
      </c>
      <c r="E50">
        <v>10</v>
      </c>
      <c r="F50">
        <v>1</v>
      </c>
      <c r="G50">
        <v>0</v>
      </c>
      <c r="H50">
        <v>0</v>
      </c>
      <c r="I50">
        <v>0</v>
      </c>
      <c r="J50">
        <v>3</v>
      </c>
      <c r="K50">
        <v>4</v>
      </c>
      <c r="L50">
        <v>2</v>
      </c>
    </row>
    <row r="51" spans="1:12" x14ac:dyDescent="0.35">
      <c r="A51" s="461" t="s">
        <v>194</v>
      </c>
      <c r="B51" s="461" t="s">
        <v>236</v>
      </c>
      <c r="C51" s="461" t="s">
        <v>17428</v>
      </c>
      <c r="D51" s="461" t="s">
        <v>17412</v>
      </c>
      <c r="E51">
        <v>8</v>
      </c>
      <c r="F51">
        <v>1</v>
      </c>
      <c r="G51">
        <v>0</v>
      </c>
      <c r="H51">
        <v>0</v>
      </c>
      <c r="I51">
        <v>0</v>
      </c>
      <c r="J51">
        <v>3</v>
      </c>
      <c r="K51">
        <v>4</v>
      </c>
      <c r="L51">
        <v>0</v>
      </c>
    </row>
    <row r="52" spans="1:12" x14ac:dyDescent="0.35">
      <c r="A52" s="461" t="s">
        <v>194</v>
      </c>
      <c r="B52" s="461" t="s">
        <v>236</v>
      </c>
      <c r="C52" s="461" t="s">
        <v>338</v>
      </c>
      <c r="D52" s="461" t="s">
        <v>71</v>
      </c>
      <c r="E52">
        <v>9</v>
      </c>
      <c r="F52">
        <v>1</v>
      </c>
      <c r="G52">
        <v>0</v>
      </c>
      <c r="H52">
        <v>0</v>
      </c>
      <c r="I52">
        <v>0</v>
      </c>
      <c r="J52">
        <v>3</v>
      </c>
      <c r="K52">
        <v>5</v>
      </c>
      <c r="L52">
        <v>0</v>
      </c>
    </row>
    <row r="53" spans="1:12" x14ac:dyDescent="0.35">
      <c r="A53" s="461" t="s">
        <v>194</v>
      </c>
      <c r="B53" s="461" t="s">
        <v>237</v>
      </c>
      <c r="C53" s="461" t="s">
        <v>17424</v>
      </c>
      <c r="D53" s="461" t="s">
        <v>266</v>
      </c>
      <c r="E53">
        <v>268</v>
      </c>
      <c r="F53">
        <v>6</v>
      </c>
      <c r="G53">
        <v>3</v>
      </c>
      <c r="H53">
        <v>40</v>
      </c>
      <c r="I53">
        <v>4</v>
      </c>
      <c r="J53">
        <v>24</v>
      </c>
      <c r="K53">
        <v>33</v>
      </c>
      <c r="L53">
        <v>158</v>
      </c>
    </row>
    <row r="54" spans="1:12" x14ac:dyDescent="0.35">
      <c r="A54" s="461" t="s">
        <v>194</v>
      </c>
      <c r="B54" s="461" t="s">
        <v>237</v>
      </c>
      <c r="C54" s="461" t="s">
        <v>353</v>
      </c>
      <c r="D54" s="461" t="s">
        <v>166</v>
      </c>
      <c r="E54">
        <v>80</v>
      </c>
      <c r="F54">
        <v>1</v>
      </c>
      <c r="G54">
        <v>1</v>
      </c>
      <c r="H54">
        <v>8</v>
      </c>
      <c r="I54">
        <v>3</v>
      </c>
      <c r="J54">
        <v>3</v>
      </c>
      <c r="K54">
        <v>15</v>
      </c>
      <c r="L54">
        <v>49</v>
      </c>
    </row>
    <row r="55" spans="1:12" x14ac:dyDescent="0.35">
      <c r="A55" s="461" t="s">
        <v>194</v>
      </c>
      <c r="B55" s="461" t="s">
        <v>237</v>
      </c>
      <c r="C55" s="461" t="s">
        <v>355</v>
      </c>
      <c r="D55" s="461" t="s">
        <v>164</v>
      </c>
      <c r="E55">
        <v>77</v>
      </c>
      <c r="F55">
        <v>2</v>
      </c>
      <c r="G55">
        <v>1</v>
      </c>
      <c r="H55">
        <v>24</v>
      </c>
      <c r="I55">
        <v>1</v>
      </c>
      <c r="J55">
        <v>9</v>
      </c>
      <c r="K55">
        <v>10</v>
      </c>
      <c r="L55">
        <v>30</v>
      </c>
    </row>
    <row r="56" spans="1:12" x14ac:dyDescent="0.35">
      <c r="A56" s="461" t="s">
        <v>194</v>
      </c>
      <c r="B56" s="461" t="s">
        <v>237</v>
      </c>
      <c r="C56" s="461" t="s">
        <v>354</v>
      </c>
      <c r="D56" s="461" t="s">
        <v>165</v>
      </c>
      <c r="E56">
        <v>111</v>
      </c>
      <c r="F56">
        <v>3</v>
      </c>
      <c r="G56">
        <v>1</v>
      </c>
      <c r="H56">
        <v>8</v>
      </c>
      <c r="I56">
        <v>0</v>
      </c>
      <c r="J56">
        <v>12</v>
      </c>
      <c r="K56">
        <v>8</v>
      </c>
      <c r="L56">
        <v>79</v>
      </c>
    </row>
    <row r="57" spans="1:12" x14ac:dyDescent="0.35">
      <c r="A57" s="461" t="s">
        <v>194</v>
      </c>
      <c r="B57" s="461" t="s">
        <v>238</v>
      </c>
      <c r="C57" s="461" t="s">
        <v>339</v>
      </c>
      <c r="D57" s="461" t="s">
        <v>246</v>
      </c>
      <c r="E57">
        <v>56</v>
      </c>
      <c r="F57">
        <v>5</v>
      </c>
      <c r="G57">
        <v>6</v>
      </c>
      <c r="H57">
        <v>7</v>
      </c>
      <c r="I57">
        <v>0</v>
      </c>
      <c r="J57">
        <v>22</v>
      </c>
      <c r="K57">
        <v>5</v>
      </c>
      <c r="L57">
        <v>11</v>
      </c>
    </row>
    <row r="58" spans="1:12" x14ac:dyDescent="0.35">
      <c r="A58" s="461" t="s">
        <v>194</v>
      </c>
      <c r="B58" s="461" t="s">
        <v>26</v>
      </c>
      <c r="C58" s="461" t="s">
        <v>339</v>
      </c>
      <c r="D58" s="461" t="s">
        <v>246</v>
      </c>
      <c r="E58">
        <v>4000.76</v>
      </c>
      <c r="F58">
        <v>28</v>
      </c>
      <c r="G58">
        <v>9</v>
      </c>
      <c r="H58">
        <v>660</v>
      </c>
      <c r="I58">
        <v>2373.7600000000002</v>
      </c>
      <c r="J58">
        <v>115</v>
      </c>
      <c r="K58">
        <v>136</v>
      </c>
      <c r="L58">
        <v>679</v>
      </c>
    </row>
    <row r="59" spans="1:12" x14ac:dyDescent="0.35">
      <c r="A59" s="461" t="s">
        <v>193</v>
      </c>
      <c r="B59" s="461" t="s">
        <v>235</v>
      </c>
      <c r="C59" s="461" t="s">
        <v>286</v>
      </c>
      <c r="D59" s="461" t="s">
        <v>31</v>
      </c>
      <c r="E59">
        <v>173</v>
      </c>
      <c r="H59">
        <v>25</v>
      </c>
      <c r="I59">
        <v>122</v>
      </c>
      <c r="K59">
        <v>0</v>
      </c>
      <c r="L59">
        <v>26</v>
      </c>
    </row>
    <row r="60" spans="1:12" x14ac:dyDescent="0.35">
      <c r="A60" s="461" t="s">
        <v>193</v>
      </c>
      <c r="B60" s="461" t="s">
        <v>235</v>
      </c>
      <c r="C60" s="461" t="s">
        <v>287</v>
      </c>
      <c r="D60" s="461" t="s">
        <v>32</v>
      </c>
      <c r="E60">
        <v>23</v>
      </c>
      <c r="H60">
        <v>3</v>
      </c>
      <c r="I60">
        <v>18</v>
      </c>
      <c r="K60">
        <v>0</v>
      </c>
      <c r="L60">
        <v>2</v>
      </c>
    </row>
    <row r="61" spans="1:12" x14ac:dyDescent="0.35">
      <c r="A61" s="461" t="s">
        <v>193</v>
      </c>
      <c r="B61" s="461" t="s">
        <v>235</v>
      </c>
      <c r="C61" s="461" t="s">
        <v>17424</v>
      </c>
      <c r="D61" s="461" t="s">
        <v>266</v>
      </c>
      <c r="E61">
        <v>3285</v>
      </c>
      <c r="H61">
        <v>592</v>
      </c>
      <c r="I61">
        <v>2263</v>
      </c>
      <c r="K61">
        <v>14</v>
      </c>
      <c r="L61">
        <v>416</v>
      </c>
    </row>
    <row r="62" spans="1:12" x14ac:dyDescent="0.35">
      <c r="A62" s="461" t="s">
        <v>193</v>
      </c>
      <c r="B62" s="461" t="s">
        <v>235</v>
      </c>
      <c r="C62" s="461" t="s">
        <v>293</v>
      </c>
      <c r="D62" s="461" t="s">
        <v>33</v>
      </c>
      <c r="E62">
        <v>27</v>
      </c>
      <c r="H62">
        <v>0</v>
      </c>
      <c r="I62">
        <v>22</v>
      </c>
      <c r="K62">
        <v>1</v>
      </c>
      <c r="L62">
        <v>4</v>
      </c>
    </row>
    <row r="63" spans="1:12" x14ac:dyDescent="0.35">
      <c r="A63" s="461" t="s">
        <v>193</v>
      </c>
      <c r="B63" s="461" t="s">
        <v>235</v>
      </c>
      <c r="C63" s="461" t="s">
        <v>288</v>
      </c>
      <c r="D63" s="461" t="s">
        <v>34</v>
      </c>
      <c r="E63">
        <v>54</v>
      </c>
      <c r="H63">
        <v>10</v>
      </c>
      <c r="I63">
        <v>27</v>
      </c>
      <c r="K63">
        <v>2</v>
      </c>
      <c r="L63">
        <v>15</v>
      </c>
    </row>
    <row r="64" spans="1:12" x14ac:dyDescent="0.35">
      <c r="A64" s="461" t="s">
        <v>193</v>
      </c>
      <c r="B64" s="461" t="s">
        <v>235</v>
      </c>
      <c r="C64" s="461" t="s">
        <v>289</v>
      </c>
      <c r="D64" s="461" t="s">
        <v>245</v>
      </c>
      <c r="E64">
        <v>348</v>
      </c>
      <c r="H64">
        <v>64</v>
      </c>
      <c r="I64">
        <v>257</v>
      </c>
      <c r="K64">
        <v>1</v>
      </c>
      <c r="L64">
        <v>26</v>
      </c>
    </row>
    <row r="65" spans="1:12" x14ac:dyDescent="0.35">
      <c r="A65" s="461" t="s">
        <v>193</v>
      </c>
      <c r="B65" s="461" t="s">
        <v>235</v>
      </c>
      <c r="C65" s="461" t="s">
        <v>267</v>
      </c>
      <c r="D65" s="461" t="s">
        <v>35</v>
      </c>
      <c r="E65">
        <v>37</v>
      </c>
      <c r="H65">
        <v>8</v>
      </c>
      <c r="I65">
        <v>25</v>
      </c>
      <c r="K65">
        <v>0</v>
      </c>
      <c r="L65">
        <v>4</v>
      </c>
    </row>
    <row r="66" spans="1:12" x14ac:dyDescent="0.35">
      <c r="A66" s="461" t="s">
        <v>193</v>
      </c>
      <c r="B66" s="461" t="s">
        <v>235</v>
      </c>
      <c r="C66" s="461" t="s">
        <v>268</v>
      </c>
      <c r="D66" s="461" t="s">
        <v>36</v>
      </c>
      <c r="E66">
        <v>69</v>
      </c>
      <c r="H66">
        <v>11</v>
      </c>
      <c r="I66">
        <v>52</v>
      </c>
      <c r="K66">
        <v>0</v>
      </c>
      <c r="L66">
        <v>6</v>
      </c>
    </row>
    <row r="67" spans="1:12" x14ac:dyDescent="0.35">
      <c r="A67" s="461" t="s">
        <v>193</v>
      </c>
      <c r="B67" s="461" t="s">
        <v>235</v>
      </c>
      <c r="C67" s="461" t="s">
        <v>294</v>
      </c>
      <c r="D67" s="461" t="s">
        <v>37</v>
      </c>
      <c r="E67">
        <v>207</v>
      </c>
      <c r="H67">
        <v>27</v>
      </c>
      <c r="I67">
        <v>158</v>
      </c>
      <c r="K67">
        <v>1</v>
      </c>
      <c r="L67">
        <v>21</v>
      </c>
    </row>
    <row r="68" spans="1:12" x14ac:dyDescent="0.35">
      <c r="A68" s="461" t="s">
        <v>193</v>
      </c>
      <c r="B68" s="461" t="s">
        <v>235</v>
      </c>
      <c r="C68" s="461" t="s">
        <v>269</v>
      </c>
      <c r="D68" s="461" t="s">
        <v>38</v>
      </c>
      <c r="E68">
        <v>56</v>
      </c>
      <c r="H68">
        <v>9</v>
      </c>
      <c r="I68">
        <v>39</v>
      </c>
      <c r="K68">
        <v>0</v>
      </c>
      <c r="L68">
        <v>8</v>
      </c>
    </row>
    <row r="69" spans="1:12" x14ac:dyDescent="0.35">
      <c r="A69" s="461" t="s">
        <v>193</v>
      </c>
      <c r="B69" s="461" t="s">
        <v>235</v>
      </c>
      <c r="C69" s="461" t="s">
        <v>296</v>
      </c>
      <c r="D69" s="461" t="s">
        <v>39</v>
      </c>
      <c r="E69">
        <v>72</v>
      </c>
      <c r="H69">
        <v>14</v>
      </c>
      <c r="I69">
        <v>44</v>
      </c>
      <c r="K69">
        <v>0</v>
      </c>
      <c r="L69">
        <v>14</v>
      </c>
    </row>
    <row r="70" spans="1:12" x14ac:dyDescent="0.35">
      <c r="A70" s="461" t="s">
        <v>193</v>
      </c>
      <c r="B70" s="461" t="s">
        <v>235</v>
      </c>
      <c r="C70" s="461" t="s">
        <v>270</v>
      </c>
      <c r="D70" s="461" t="s">
        <v>40</v>
      </c>
      <c r="E70">
        <v>28</v>
      </c>
      <c r="H70">
        <v>3</v>
      </c>
      <c r="I70">
        <v>21</v>
      </c>
      <c r="K70">
        <v>0</v>
      </c>
      <c r="L70">
        <v>4</v>
      </c>
    </row>
    <row r="71" spans="1:12" x14ac:dyDescent="0.35">
      <c r="A71" s="461" t="s">
        <v>193</v>
      </c>
      <c r="B71" s="461" t="s">
        <v>235</v>
      </c>
      <c r="C71" s="461" t="s">
        <v>271</v>
      </c>
      <c r="D71" s="461" t="s">
        <v>41</v>
      </c>
      <c r="E71">
        <v>57</v>
      </c>
      <c r="H71">
        <v>13</v>
      </c>
      <c r="I71">
        <v>35</v>
      </c>
      <c r="K71">
        <v>0</v>
      </c>
      <c r="L71">
        <v>9</v>
      </c>
    </row>
    <row r="72" spans="1:12" x14ac:dyDescent="0.35">
      <c r="A72" s="461" t="s">
        <v>193</v>
      </c>
      <c r="B72" s="461" t="s">
        <v>235</v>
      </c>
      <c r="C72" s="461" t="s">
        <v>273</v>
      </c>
      <c r="D72" s="461" t="s">
        <v>42</v>
      </c>
      <c r="E72">
        <v>94</v>
      </c>
      <c r="H72">
        <v>17</v>
      </c>
      <c r="I72">
        <v>60</v>
      </c>
      <c r="K72">
        <v>2</v>
      </c>
      <c r="L72">
        <v>15</v>
      </c>
    </row>
    <row r="73" spans="1:12" x14ac:dyDescent="0.35">
      <c r="A73" s="461" t="s">
        <v>193</v>
      </c>
      <c r="B73" s="461" t="s">
        <v>235</v>
      </c>
      <c r="C73" s="461" t="s">
        <v>298</v>
      </c>
      <c r="D73" s="461" t="s">
        <v>43</v>
      </c>
      <c r="E73">
        <v>288</v>
      </c>
      <c r="H73">
        <v>54</v>
      </c>
      <c r="I73">
        <v>209</v>
      </c>
      <c r="K73">
        <v>0</v>
      </c>
      <c r="L73">
        <v>25</v>
      </c>
    </row>
    <row r="74" spans="1:12" x14ac:dyDescent="0.35">
      <c r="A74" s="461" t="s">
        <v>193</v>
      </c>
      <c r="B74" s="461" t="s">
        <v>235</v>
      </c>
      <c r="C74" s="461" t="s">
        <v>297</v>
      </c>
      <c r="D74" s="461" t="s">
        <v>114</v>
      </c>
      <c r="E74">
        <v>544</v>
      </c>
      <c r="H74">
        <v>116</v>
      </c>
      <c r="I74">
        <v>362</v>
      </c>
      <c r="K74">
        <v>1</v>
      </c>
      <c r="L74">
        <v>65</v>
      </c>
    </row>
    <row r="75" spans="1:12" x14ac:dyDescent="0.35">
      <c r="A75" s="461" t="s">
        <v>193</v>
      </c>
      <c r="B75" s="461" t="s">
        <v>235</v>
      </c>
      <c r="C75" s="461" t="s">
        <v>274</v>
      </c>
      <c r="D75" s="461" t="s">
        <v>44</v>
      </c>
      <c r="E75">
        <v>81</v>
      </c>
      <c r="H75">
        <v>11</v>
      </c>
      <c r="I75">
        <v>57</v>
      </c>
      <c r="K75">
        <v>1</v>
      </c>
      <c r="L75">
        <v>12</v>
      </c>
    </row>
    <row r="76" spans="1:12" x14ac:dyDescent="0.35">
      <c r="A76" s="461" t="s">
        <v>193</v>
      </c>
      <c r="B76" s="461" t="s">
        <v>235</v>
      </c>
      <c r="C76" s="461" t="s">
        <v>275</v>
      </c>
      <c r="D76" s="461" t="s">
        <v>45</v>
      </c>
      <c r="E76">
        <v>77</v>
      </c>
      <c r="H76">
        <v>16</v>
      </c>
      <c r="I76">
        <v>49</v>
      </c>
      <c r="K76">
        <v>0</v>
      </c>
      <c r="L76">
        <v>12</v>
      </c>
    </row>
    <row r="77" spans="1:12" x14ac:dyDescent="0.35">
      <c r="A77" s="461" t="s">
        <v>193</v>
      </c>
      <c r="B77" s="461" t="s">
        <v>235</v>
      </c>
      <c r="C77" s="461" t="s">
        <v>276</v>
      </c>
      <c r="D77" s="461" t="s">
        <v>46</v>
      </c>
      <c r="E77">
        <v>35</v>
      </c>
      <c r="H77">
        <v>4</v>
      </c>
      <c r="I77">
        <v>26</v>
      </c>
      <c r="K77">
        <v>0</v>
      </c>
      <c r="L77">
        <v>5</v>
      </c>
    </row>
    <row r="78" spans="1:12" x14ac:dyDescent="0.35">
      <c r="A78" s="461" t="s">
        <v>193</v>
      </c>
      <c r="B78" s="461" t="s">
        <v>235</v>
      </c>
      <c r="C78" s="461" t="s">
        <v>277</v>
      </c>
      <c r="D78" s="461" t="s">
        <v>47</v>
      </c>
      <c r="E78">
        <v>21</v>
      </c>
      <c r="H78">
        <v>3</v>
      </c>
      <c r="I78">
        <v>14</v>
      </c>
      <c r="K78">
        <v>0</v>
      </c>
      <c r="L78">
        <v>4</v>
      </c>
    </row>
    <row r="79" spans="1:12" x14ac:dyDescent="0.35">
      <c r="A79" s="461" t="s">
        <v>193</v>
      </c>
      <c r="B79" s="461" t="s">
        <v>235</v>
      </c>
      <c r="C79" s="461" t="s">
        <v>272</v>
      </c>
      <c r="D79" s="461" t="s">
        <v>48</v>
      </c>
      <c r="E79">
        <v>0</v>
      </c>
      <c r="H79">
        <v>0</v>
      </c>
      <c r="I79">
        <v>0</v>
      </c>
      <c r="K79">
        <v>0</v>
      </c>
      <c r="L79">
        <v>0</v>
      </c>
    </row>
    <row r="80" spans="1:12" x14ac:dyDescent="0.35">
      <c r="A80" s="461" t="s">
        <v>193</v>
      </c>
      <c r="B80" s="461" t="s">
        <v>235</v>
      </c>
      <c r="C80" s="461" t="s">
        <v>278</v>
      </c>
      <c r="D80" s="461" t="s">
        <v>49</v>
      </c>
      <c r="E80">
        <v>78</v>
      </c>
      <c r="H80">
        <v>14</v>
      </c>
      <c r="I80">
        <v>50</v>
      </c>
      <c r="K80">
        <v>0</v>
      </c>
      <c r="L80">
        <v>14</v>
      </c>
    </row>
    <row r="81" spans="1:12" x14ac:dyDescent="0.35">
      <c r="A81" s="461" t="s">
        <v>193</v>
      </c>
      <c r="B81" s="461" t="s">
        <v>235</v>
      </c>
      <c r="C81" s="461" t="s">
        <v>295</v>
      </c>
      <c r="D81" s="461" t="s">
        <v>50</v>
      </c>
      <c r="E81">
        <v>187</v>
      </c>
      <c r="H81">
        <v>37</v>
      </c>
      <c r="I81">
        <v>125</v>
      </c>
      <c r="K81">
        <v>1</v>
      </c>
      <c r="L81">
        <v>24</v>
      </c>
    </row>
    <row r="82" spans="1:12" x14ac:dyDescent="0.35">
      <c r="A82" s="461" t="s">
        <v>193</v>
      </c>
      <c r="B82" s="461" t="s">
        <v>235</v>
      </c>
      <c r="C82" s="461" t="s">
        <v>279</v>
      </c>
      <c r="D82" s="461" t="s">
        <v>51</v>
      </c>
      <c r="E82">
        <v>0</v>
      </c>
      <c r="H82">
        <v>0</v>
      </c>
      <c r="I82">
        <v>0</v>
      </c>
      <c r="K82">
        <v>0</v>
      </c>
      <c r="L82">
        <v>0</v>
      </c>
    </row>
    <row r="83" spans="1:12" x14ac:dyDescent="0.35">
      <c r="A83" s="461" t="s">
        <v>193</v>
      </c>
      <c r="B83" s="461" t="s">
        <v>235</v>
      </c>
      <c r="C83" s="461" t="s">
        <v>280</v>
      </c>
      <c r="D83" s="461" t="s">
        <v>52</v>
      </c>
      <c r="E83">
        <v>86</v>
      </c>
      <c r="H83">
        <v>16</v>
      </c>
      <c r="I83">
        <v>58</v>
      </c>
      <c r="K83">
        <v>1</v>
      </c>
      <c r="L83">
        <v>11</v>
      </c>
    </row>
    <row r="84" spans="1:12" x14ac:dyDescent="0.35">
      <c r="A84" s="461" t="s">
        <v>193</v>
      </c>
      <c r="B84" s="461" t="s">
        <v>235</v>
      </c>
      <c r="C84" s="461" t="s">
        <v>290</v>
      </c>
      <c r="D84" s="461" t="s">
        <v>53</v>
      </c>
      <c r="E84">
        <v>115</v>
      </c>
      <c r="H84">
        <v>23</v>
      </c>
      <c r="I84">
        <v>72</v>
      </c>
      <c r="K84">
        <v>0</v>
      </c>
      <c r="L84">
        <v>20</v>
      </c>
    </row>
    <row r="85" spans="1:12" x14ac:dyDescent="0.35">
      <c r="A85" s="461" t="s">
        <v>193</v>
      </c>
      <c r="B85" s="461" t="s">
        <v>235</v>
      </c>
      <c r="C85" s="461" t="s">
        <v>281</v>
      </c>
      <c r="D85" s="461" t="s">
        <v>54</v>
      </c>
      <c r="E85">
        <v>73</v>
      </c>
      <c r="H85">
        <v>11</v>
      </c>
      <c r="I85">
        <v>51</v>
      </c>
      <c r="K85">
        <v>0</v>
      </c>
      <c r="L85">
        <v>11</v>
      </c>
    </row>
    <row r="86" spans="1:12" x14ac:dyDescent="0.35">
      <c r="A86" s="461" t="s">
        <v>193</v>
      </c>
      <c r="B86" s="461" t="s">
        <v>235</v>
      </c>
      <c r="C86" s="461" t="s">
        <v>282</v>
      </c>
      <c r="D86" s="461" t="s">
        <v>55</v>
      </c>
      <c r="E86">
        <v>0</v>
      </c>
      <c r="H86">
        <v>0</v>
      </c>
      <c r="I86">
        <v>0</v>
      </c>
      <c r="K86">
        <v>0</v>
      </c>
      <c r="L86">
        <v>0</v>
      </c>
    </row>
    <row r="87" spans="1:12" x14ac:dyDescent="0.35">
      <c r="A87" s="461" t="s">
        <v>193</v>
      </c>
      <c r="B87" s="461" t="s">
        <v>235</v>
      </c>
      <c r="C87" s="461" t="s">
        <v>283</v>
      </c>
      <c r="D87" s="461" t="s">
        <v>56</v>
      </c>
      <c r="E87">
        <v>60</v>
      </c>
      <c r="H87">
        <v>9</v>
      </c>
      <c r="I87">
        <v>43</v>
      </c>
      <c r="K87">
        <v>0</v>
      </c>
      <c r="L87">
        <v>8</v>
      </c>
    </row>
    <row r="88" spans="1:12" x14ac:dyDescent="0.35">
      <c r="A88" s="461" t="s">
        <v>193</v>
      </c>
      <c r="B88" s="461" t="s">
        <v>235</v>
      </c>
      <c r="C88" s="461" t="s">
        <v>284</v>
      </c>
      <c r="D88" s="461" t="s">
        <v>57</v>
      </c>
      <c r="E88">
        <v>187</v>
      </c>
      <c r="H88">
        <v>35</v>
      </c>
      <c r="I88">
        <v>126</v>
      </c>
      <c r="K88">
        <v>2</v>
      </c>
      <c r="L88">
        <v>24</v>
      </c>
    </row>
    <row r="89" spans="1:12" x14ac:dyDescent="0.35">
      <c r="A89" s="461" t="s">
        <v>193</v>
      </c>
      <c r="B89" s="461" t="s">
        <v>235</v>
      </c>
      <c r="C89" s="461" t="s">
        <v>285</v>
      </c>
      <c r="D89" s="461" t="s">
        <v>58</v>
      </c>
      <c r="E89">
        <v>55</v>
      </c>
      <c r="H89">
        <v>10</v>
      </c>
      <c r="I89">
        <v>37</v>
      </c>
      <c r="K89">
        <v>0</v>
      </c>
      <c r="L89">
        <v>8</v>
      </c>
    </row>
    <row r="90" spans="1:12" x14ac:dyDescent="0.35">
      <c r="A90" s="461" t="s">
        <v>193</v>
      </c>
      <c r="B90" s="461" t="s">
        <v>235</v>
      </c>
      <c r="C90" s="461" t="s">
        <v>291</v>
      </c>
      <c r="D90" s="461" t="s">
        <v>59</v>
      </c>
      <c r="E90">
        <v>74</v>
      </c>
      <c r="H90">
        <v>20</v>
      </c>
      <c r="I90">
        <v>45</v>
      </c>
      <c r="K90">
        <v>0</v>
      </c>
      <c r="L90">
        <v>9</v>
      </c>
    </row>
    <row r="91" spans="1:12" x14ac:dyDescent="0.35">
      <c r="A91" s="461" t="s">
        <v>193</v>
      </c>
      <c r="B91" s="461" t="s">
        <v>235</v>
      </c>
      <c r="C91" s="461" t="s">
        <v>292</v>
      </c>
      <c r="D91" s="461" t="s">
        <v>60</v>
      </c>
      <c r="E91">
        <v>79</v>
      </c>
      <c r="H91">
        <v>9</v>
      </c>
      <c r="I91">
        <v>59</v>
      </c>
      <c r="K91">
        <v>1</v>
      </c>
      <c r="L91">
        <v>10</v>
      </c>
    </row>
    <row r="92" spans="1:12" x14ac:dyDescent="0.35">
      <c r="A92" s="461" t="s">
        <v>193</v>
      </c>
      <c r="B92" s="461" t="s">
        <v>236</v>
      </c>
      <c r="C92" s="461" t="s">
        <v>326</v>
      </c>
      <c r="D92" s="461" t="s">
        <v>31</v>
      </c>
      <c r="E92">
        <v>18</v>
      </c>
      <c r="F92">
        <v>1</v>
      </c>
      <c r="H92">
        <v>0</v>
      </c>
      <c r="I92">
        <v>0</v>
      </c>
      <c r="J92">
        <v>3</v>
      </c>
      <c r="K92">
        <v>7</v>
      </c>
      <c r="L92">
        <v>7</v>
      </c>
    </row>
    <row r="93" spans="1:12" x14ac:dyDescent="0.35">
      <c r="A93" s="461" t="s">
        <v>193</v>
      </c>
      <c r="B93" s="461" t="s">
        <v>236</v>
      </c>
      <c r="C93" s="461" t="s">
        <v>327</v>
      </c>
      <c r="D93" s="461" t="s">
        <v>63</v>
      </c>
      <c r="E93">
        <v>18</v>
      </c>
      <c r="F93">
        <v>1</v>
      </c>
      <c r="H93">
        <v>0</v>
      </c>
      <c r="I93">
        <v>2</v>
      </c>
      <c r="J93">
        <v>1</v>
      </c>
      <c r="K93">
        <v>4</v>
      </c>
      <c r="L93">
        <v>10</v>
      </c>
    </row>
    <row r="94" spans="1:12" x14ac:dyDescent="0.35">
      <c r="A94" s="461" t="s">
        <v>193</v>
      </c>
      <c r="B94" s="461" t="s">
        <v>236</v>
      </c>
      <c r="C94" s="461" t="s">
        <v>17424</v>
      </c>
      <c r="D94" s="461" t="s">
        <v>266</v>
      </c>
      <c r="E94">
        <v>270</v>
      </c>
      <c r="F94">
        <v>18</v>
      </c>
      <c r="H94">
        <v>4</v>
      </c>
      <c r="I94">
        <v>14</v>
      </c>
      <c r="J94">
        <v>65</v>
      </c>
      <c r="K94">
        <v>79</v>
      </c>
      <c r="L94">
        <v>90</v>
      </c>
    </row>
    <row r="95" spans="1:12" x14ac:dyDescent="0.35">
      <c r="A95" s="461" t="s">
        <v>193</v>
      </c>
      <c r="B95" s="461" t="s">
        <v>236</v>
      </c>
      <c r="C95" s="461" t="s">
        <v>329</v>
      </c>
      <c r="D95" s="461" t="s">
        <v>64</v>
      </c>
      <c r="E95">
        <v>21</v>
      </c>
      <c r="F95">
        <v>1</v>
      </c>
      <c r="H95">
        <v>0</v>
      </c>
      <c r="I95">
        <v>1</v>
      </c>
      <c r="J95">
        <v>7</v>
      </c>
      <c r="K95">
        <v>5</v>
      </c>
      <c r="L95">
        <v>7</v>
      </c>
    </row>
    <row r="96" spans="1:12" x14ac:dyDescent="0.35">
      <c r="A96" s="461" t="s">
        <v>193</v>
      </c>
      <c r="B96" s="461" t="s">
        <v>236</v>
      </c>
      <c r="C96" s="461" t="s">
        <v>330</v>
      </c>
      <c r="D96" s="461" t="s">
        <v>36</v>
      </c>
      <c r="E96">
        <v>18</v>
      </c>
      <c r="F96">
        <v>0</v>
      </c>
      <c r="H96">
        <v>0</v>
      </c>
      <c r="I96">
        <v>1</v>
      </c>
      <c r="J96">
        <v>2</v>
      </c>
      <c r="K96">
        <v>5</v>
      </c>
      <c r="L96">
        <v>10</v>
      </c>
    </row>
    <row r="97" spans="1:12" x14ac:dyDescent="0.35">
      <c r="A97" s="461" t="s">
        <v>193</v>
      </c>
      <c r="B97" s="461" t="s">
        <v>236</v>
      </c>
      <c r="C97" s="461" t="s">
        <v>328</v>
      </c>
      <c r="D97" s="461" t="s">
        <v>65</v>
      </c>
      <c r="E97">
        <v>12</v>
      </c>
      <c r="F97">
        <v>1</v>
      </c>
      <c r="H97">
        <v>0</v>
      </c>
      <c r="I97">
        <v>0</v>
      </c>
      <c r="J97">
        <v>3</v>
      </c>
      <c r="K97">
        <v>5</v>
      </c>
      <c r="L97">
        <v>3</v>
      </c>
    </row>
    <row r="98" spans="1:12" x14ac:dyDescent="0.35">
      <c r="A98" s="461" t="s">
        <v>193</v>
      </c>
      <c r="B98" s="461" t="s">
        <v>236</v>
      </c>
      <c r="C98" s="461" t="s">
        <v>331</v>
      </c>
      <c r="D98" s="461" t="s">
        <v>66</v>
      </c>
      <c r="E98">
        <v>20</v>
      </c>
      <c r="F98">
        <v>1</v>
      </c>
      <c r="H98">
        <v>0</v>
      </c>
      <c r="I98">
        <v>0</v>
      </c>
      <c r="J98">
        <v>7</v>
      </c>
      <c r="K98">
        <v>7</v>
      </c>
      <c r="L98">
        <v>5</v>
      </c>
    </row>
    <row r="99" spans="1:12" x14ac:dyDescent="0.35">
      <c r="A99" s="461" t="s">
        <v>193</v>
      </c>
      <c r="B99" s="461" t="s">
        <v>236</v>
      </c>
      <c r="C99" s="461" t="s">
        <v>332</v>
      </c>
      <c r="D99" s="461" t="s">
        <v>67</v>
      </c>
      <c r="E99">
        <v>17</v>
      </c>
      <c r="F99">
        <v>1</v>
      </c>
      <c r="H99">
        <v>0</v>
      </c>
      <c r="I99">
        <v>4</v>
      </c>
      <c r="J99">
        <v>5</v>
      </c>
      <c r="K99">
        <v>1</v>
      </c>
      <c r="L99">
        <v>6</v>
      </c>
    </row>
    <row r="100" spans="1:12" x14ac:dyDescent="0.35">
      <c r="A100" s="461" t="s">
        <v>193</v>
      </c>
      <c r="B100" s="461" t="s">
        <v>236</v>
      </c>
      <c r="C100" s="461" t="s">
        <v>333</v>
      </c>
      <c r="D100" s="461" t="s">
        <v>68</v>
      </c>
      <c r="E100">
        <v>12</v>
      </c>
      <c r="F100">
        <v>1</v>
      </c>
      <c r="H100">
        <v>0</v>
      </c>
      <c r="I100">
        <v>0</v>
      </c>
      <c r="J100">
        <v>3</v>
      </c>
      <c r="K100">
        <v>5</v>
      </c>
      <c r="L100">
        <v>3</v>
      </c>
    </row>
    <row r="101" spans="1:12" x14ac:dyDescent="0.35">
      <c r="A101" s="461" t="s">
        <v>193</v>
      </c>
      <c r="B101" s="461" t="s">
        <v>236</v>
      </c>
      <c r="C101" s="461" t="s">
        <v>334</v>
      </c>
      <c r="D101" s="461" t="s">
        <v>167</v>
      </c>
      <c r="E101">
        <v>24</v>
      </c>
      <c r="F101">
        <v>2</v>
      </c>
      <c r="H101">
        <v>2</v>
      </c>
      <c r="I101">
        <v>2</v>
      </c>
      <c r="J101">
        <v>8</v>
      </c>
      <c r="K101">
        <v>4</v>
      </c>
      <c r="L101">
        <v>6</v>
      </c>
    </row>
    <row r="102" spans="1:12" x14ac:dyDescent="0.35">
      <c r="A102" s="461" t="s">
        <v>193</v>
      </c>
      <c r="B102" s="461" t="s">
        <v>236</v>
      </c>
      <c r="C102" s="461" t="s">
        <v>335</v>
      </c>
      <c r="D102" s="461" t="s">
        <v>69</v>
      </c>
      <c r="E102">
        <v>13</v>
      </c>
      <c r="F102">
        <v>1</v>
      </c>
      <c r="H102">
        <v>0</v>
      </c>
      <c r="I102">
        <v>1</v>
      </c>
      <c r="J102">
        <v>3</v>
      </c>
      <c r="K102">
        <v>3</v>
      </c>
      <c r="L102">
        <v>5</v>
      </c>
    </row>
    <row r="103" spans="1:12" x14ac:dyDescent="0.35">
      <c r="A103" s="461" t="s">
        <v>193</v>
      </c>
      <c r="B103" s="461" t="s">
        <v>236</v>
      </c>
      <c r="C103" s="461" t="s">
        <v>17425</v>
      </c>
      <c r="D103" s="461" t="s">
        <v>43</v>
      </c>
      <c r="E103">
        <v>21</v>
      </c>
      <c r="F103">
        <v>2</v>
      </c>
      <c r="H103">
        <v>0</v>
      </c>
      <c r="I103">
        <v>0</v>
      </c>
      <c r="J103">
        <v>2</v>
      </c>
      <c r="K103">
        <v>6</v>
      </c>
      <c r="L103">
        <v>11</v>
      </c>
    </row>
    <row r="104" spans="1:12" x14ac:dyDescent="0.35">
      <c r="A104" s="461" t="s">
        <v>193</v>
      </c>
      <c r="B104" s="461" t="s">
        <v>236</v>
      </c>
      <c r="C104" s="461" t="s">
        <v>17426</v>
      </c>
      <c r="D104" s="461" t="s">
        <v>114</v>
      </c>
      <c r="E104">
        <v>25</v>
      </c>
      <c r="F104">
        <v>1</v>
      </c>
      <c r="H104">
        <v>1</v>
      </c>
      <c r="I104">
        <v>2</v>
      </c>
      <c r="J104">
        <v>4</v>
      </c>
      <c r="K104">
        <v>8</v>
      </c>
      <c r="L104">
        <v>9</v>
      </c>
    </row>
    <row r="105" spans="1:12" x14ac:dyDescent="0.35">
      <c r="A105" s="461" t="s">
        <v>193</v>
      </c>
      <c r="B105" s="461" t="s">
        <v>236</v>
      </c>
      <c r="C105" s="461" t="s">
        <v>336</v>
      </c>
      <c r="D105" s="461" t="s">
        <v>70</v>
      </c>
      <c r="E105">
        <v>13</v>
      </c>
      <c r="F105">
        <v>1</v>
      </c>
      <c r="H105">
        <v>0</v>
      </c>
      <c r="I105">
        <v>0</v>
      </c>
      <c r="J105">
        <v>6</v>
      </c>
      <c r="K105">
        <v>5</v>
      </c>
      <c r="L105">
        <v>1</v>
      </c>
    </row>
    <row r="106" spans="1:12" x14ac:dyDescent="0.35">
      <c r="A106" s="461" t="s">
        <v>193</v>
      </c>
      <c r="B106" s="461" t="s">
        <v>236</v>
      </c>
      <c r="C106" s="461" t="s">
        <v>17427</v>
      </c>
      <c r="D106" s="461" t="s">
        <v>50</v>
      </c>
      <c r="E106">
        <v>16</v>
      </c>
      <c r="F106">
        <v>2</v>
      </c>
      <c r="H106">
        <v>1</v>
      </c>
      <c r="I106">
        <v>1</v>
      </c>
      <c r="J106">
        <v>3</v>
      </c>
      <c r="K106">
        <v>5</v>
      </c>
      <c r="L106">
        <v>4</v>
      </c>
    </row>
    <row r="107" spans="1:12" x14ac:dyDescent="0.35">
      <c r="A107" s="461" t="s">
        <v>193</v>
      </c>
      <c r="B107" s="461" t="s">
        <v>236</v>
      </c>
      <c r="C107" s="461" t="s">
        <v>337</v>
      </c>
      <c r="D107" s="461" t="s">
        <v>57</v>
      </c>
      <c r="E107">
        <v>10</v>
      </c>
      <c r="F107">
        <v>1</v>
      </c>
      <c r="H107">
        <v>0</v>
      </c>
      <c r="I107">
        <v>0</v>
      </c>
      <c r="J107">
        <v>4</v>
      </c>
      <c r="K107">
        <v>2</v>
      </c>
      <c r="L107">
        <v>3</v>
      </c>
    </row>
    <row r="108" spans="1:12" x14ac:dyDescent="0.35">
      <c r="A108" s="461" t="s">
        <v>193</v>
      </c>
      <c r="B108" s="461" t="s">
        <v>236</v>
      </c>
      <c r="C108" s="461" t="s">
        <v>17428</v>
      </c>
      <c r="D108" s="461" t="s">
        <v>17412</v>
      </c>
      <c r="E108">
        <v>5</v>
      </c>
      <c r="F108">
        <v>0</v>
      </c>
      <c r="H108">
        <v>0</v>
      </c>
      <c r="I108">
        <v>0</v>
      </c>
      <c r="J108">
        <v>1</v>
      </c>
      <c r="K108">
        <v>4</v>
      </c>
      <c r="L108">
        <v>0</v>
      </c>
    </row>
    <row r="109" spans="1:12" x14ac:dyDescent="0.35">
      <c r="A109" s="461" t="s">
        <v>193</v>
      </c>
      <c r="B109" s="461" t="s">
        <v>236</v>
      </c>
      <c r="C109" s="461" t="s">
        <v>338</v>
      </c>
      <c r="D109" s="461" t="s">
        <v>71</v>
      </c>
      <c r="E109">
        <v>7</v>
      </c>
      <c r="F109">
        <v>1</v>
      </c>
      <c r="H109">
        <v>0</v>
      </c>
      <c r="I109">
        <v>0</v>
      </c>
      <c r="J109">
        <v>3</v>
      </c>
      <c r="K109">
        <v>3</v>
      </c>
      <c r="L109">
        <v>0</v>
      </c>
    </row>
    <row r="110" spans="1:12" x14ac:dyDescent="0.35">
      <c r="A110" s="461" t="s">
        <v>193</v>
      </c>
      <c r="B110" s="461" t="s">
        <v>237</v>
      </c>
      <c r="C110" s="461" t="s">
        <v>17424</v>
      </c>
      <c r="D110" s="461" t="s">
        <v>266</v>
      </c>
      <c r="E110">
        <v>249</v>
      </c>
      <c r="F110">
        <v>4</v>
      </c>
      <c r="H110">
        <v>34</v>
      </c>
      <c r="I110">
        <v>7</v>
      </c>
      <c r="J110">
        <v>26</v>
      </c>
      <c r="K110">
        <v>31</v>
      </c>
      <c r="L110">
        <v>147</v>
      </c>
    </row>
    <row r="111" spans="1:12" x14ac:dyDescent="0.35">
      <c r="A111" s="461" t="s">
        <v>193</v>
      </c>
      <c r="B111" s="461" t="s">
        <v>237</v>
      </c>
      <c r="C111" s="461" t="s">
        <v>353</v>
      </c>
      <c r="D111" s="461" t="s">
        <v>166</v>
      </c>
      <c r="E111">
        <v>78</v>
      </c>
      <c r="F111">
        <v>1</v>
      </c>
      <c r="H111">
        <v>4</v>
      </c>
      <c r="I111">
        <v>6</v>
      </c>
      <c r="J111">
        <v>4</v>
      </c>
      <c r="K111">
        <v>17</v>
      </c>
      <c r="L111">
        <v>46</v>
      </c>
    </row>
    <row r="112" spans="1:12" x14ac:dyDescent="0.35">
      <c r="A112" s="461" t="s">
        <v>193</v>
      </c>
      <c r="B112" s="461" t="s">
        <v>237</v>
      </c>
      <c r="C112" s="461" t="s">
        <v>355</v>
      </c>
      <c r="D112" s="461" t="s">
        <v>164</v>
      </c>
      <c r="E112">
        <v>66</v>
      </c>
      <c r="F112">
        <v>1</v>
      </c>
      <c r="H112">
        <v>21</v>
      </c>
      <c r="I112">
        <v>1</v>
      </c>
      <c r="J112">
        <v>7</v>
      </c>
      <c r="K112">
        <v>10</v>
      </c>
      <c r="L112">
        <v>26</v>
      </c>
    </row>
    <row r="113" spans="1:12" x14ac:dyDescent="0.35">
      <c r="A113" s="461" t="s">
        <v>193</v>
      </c>
      <c r="B113" s="461" t="s">
        <v>237</v>
      </c>
      <c r="C113" s="461" t="s">
        <v>354</v>
      </c>
      <c r="D113" s="461" t="s">
        <v>165</v>
      </c>
      <c r="E113">
        <v>105</v>
      </c>
      <c r="F113">
        <v>2</v>
      </c>
      <c r="H113">
        <v>9</v>
      </c>
      <c r="I113">
        <v>0</v>
      </c>
      <c r="J113">
        <v>15</v>
      </c>
      <c r="K113">
        <v>4</v>
      </c>
      <c r="L113">
        <v>75</v>
      </c>
    </row>
    <row r="114" spans="1:12" x14ac:dyDescent="0.35">
      <c r="A114" s="461" t="s">
        <v>193</v>
      </c>
      <c r="B114" s="461" t="s">
        <v>238</v>
      </c>
      <c r="C114" s="461" t="s">
        <v>339</v>
      </c>
      <c r="D114" s="461" t="s">
        <v>246</v>
      </c>
      <c r="E114">
        <v>52</v>
      </c>
      <c r="F114">
        <v>11</v>
      </c>
      <c r="G114">
        <v>7</v>
      </c>
      <c r="H114">
        <v>4</v>
      </c>
      <c r="I114">
        <v>1</v>
      </c>
      <c r="J114">
        <v>12</v>
      </c>
      <c r="K114">
        <v>6</v>
      </c>
      <c r="L114">
        <v>11</v>
      </c>
    </row>
    <row r="115" spans="1:12" x14ac:dyDescent="0.35">
      <c r="A115" s="461" t="s">
        <v>193</v>
      </c>
      <c r="B115" s="461" t="s">
        <v>26</v>
      </c>
      <c r="C115" s="461" t="s">
        <v>339</v>
      </c>
      <c r="D115" s="461" t="s">
        <v>246</v>
      </c>
      <c r="E115">
        <v>3856</v>
      </c>
      <c r="F115">
        <v>33</v>
      </c>
      <c r="G115">
        <v>7</v>
      </c>
      <c r="H115">
        <v>634</v>
      </c>
      <c r="I115">
        <v>2285</v>
      </c>
      <c r="J115">
        <v>103</v>
      </c>
      <c r="K115">
        <v>130</v>
      </c>
      <c r="L115">
        <v>664</v>
      </c>
    </row>
    <row r="116" spans="1:12" x14ac:dyDescent="0.35">
      <c r="A116" s="461" t="s">
        <v>192</v>
      </c>
      <c r="B116" s="461" t="s">
        <v>235</v>
      </c>
      <c r="C116" s="461" t="s">
        <v>286</v>
      </c>
      <c r="D116" s="461" t="s">
        <v>31</v>
      </c>
      <c r="E116">
        <v>142</v>
      </c>
      <c r="H116">
        <v>22</v>
      </c>
      <c r="I116">
        <v>107</v>
      </c>
      <c r="K116">
        <v>0</v>
      </c>
      <c r="L116">
        <v>13</v>
      </c>
    </row>
    <row r="117" spans="1:12" x14ac:dyDescent="0.35">
      <c r="A117" s="461" t="s">
        <v>192</v>
      </c>
      <c r="B117" s="461" t="s">
        <v>235</v>
      </c>
      <c r="C117" s="461" t="s">
        <v>287</v>
      </c>
      <c r="D117" s="461" t="s">
        <v>32</v>
      </c>
      <c r="E117">
        <v>32</v>
      </c>
      <c r="H117">
        <v>6</v>
      </c>
      <c r="I117">
        <v>22</v>
      </c>
      <c r="K117">
        <v>0</v>
      </c>
      <c r="L117">
        <v>4</v>
      </c>
    </row>
    <row r="118" spans="1:12" x14ac:dyDescent="0.35">
      <c r="A118" s="461" t="s">
        <v>192</v>
      </c>
      <c r="B118" s="461" t="s">
        <v>235</v>
      </c>
      <c r="C118" s="461" t="s">
        <v>17424</v>
      </c>
      <c r="D118" s="461" t="s">
        <v>266</v>
      </c>
      <c r="E118">
        <v>3015.9047619047619</v>
      </c>
      <c r="F118">
        <v>0</v>
      </c>
      <c r="G118">
        <v>0</v>
      </c>
      <c r="H118">
        <v>509.34523809523807</v>
      </c>
      <c r="I118">
        <v>2199.9</v>
      </c>
      <c r="J118">
        <v>0</v>
      </c>
      <c r="K118">
        <v>2</v>
      </c>
      <c r="L118">
        <v>304.65952380952382</v>
      </c>
    </row>
    <row r="119" spans="1:12" x14ac:dyDescent="0.35">
      <c r="A119" s="461" t="s">
        <v>192</v>
      </c>
      <c r="B119" s="461" t="s">
        <v>235</v>
      </c>
      <c r="C119" s="461" t="s">
        <v>293</v>
      </c>
      <c r="D119" s="461" t="s">
        <v>33</v>
      </c>
      <c r="E119">
        <v>36</v>
      </c>
      <c r="H119">
        <v>8</v>
      </c>
      <c r="I119">
        <v>25</v>
      </c>
      <c r="K119">
        <v>0</v>
      </c>
      <c r="L119">
        <v>3</v>
      </c>
    </row>
    <row r="120" spans="1:12" x14ac:dyDescent="0.35">
      <c r="A120" s="461" t="s">
        <v>192</v>
      </c>
      <c r="B120" s="461" t="s">
        <v>235</v>
      </c>
      <c r="C120" s="461" t="s">
        <v>288</v>
      </c>
      <c r="D120" s="461" t="s">
        <v>34</v>
      </c>
      <c r="E120">
        <v>55</v>
      </c>
      <c r="H120">
        <v>8</v>
      </c>
      <c r="I120">
        <v>37</v>
      </c>
      <c r="K120">
        <v>0</v>
      </c>
      <c r="L120">
        <v>10</v>
      </c>
    </row>
    <row r="121" spans="1:12" x14ac:dyDescent="0.35">
      <c r="A121" s="461" t="s">
        <v>192</v>
      </c>
      <c r="B121" s="461" t="s">
        <v>235</v>
      </c>
      <c r="C121" s="461" t="s">
        <v>289</v>
      </c>
      <c r="D121" s="461" t="s">
        <v>245</v>
      </c>
      <c r="E121">
        <v>315</v>
      </c>
      <c r="H121">
        <v>48</v>
      </c>
      <c r="I121">
        <v>248</v>
      </c>
      <c r="K121">
        <v>0</v>
      </c>
      <c r="L121">
        <v>19</v>
      </c>
    </row>
    <row r="122" spans="1:12" x14ac:dyDescent="0.35">
      <c r="A122" s="461" t="s">
        <v>192</v>
      </c>
      <c r="B122" s="461" t="s">
        <v>235</v>
      </c>
      <c r="C122" s="461" t="s">
        <v>267</v>
      </c>
      <c r="D122" s="461" t="s">
        <v>35</v>
      </c>
      <c r="E122">
        <v>26</v>
      </c>
      <c r="H122">
        <v>5</v>
      </c>
      <c r="I122">
        <v>17</v>
      </c>
      <c r="K122">
        <v>0</v>
      </c>
      <c r="L122">
        <v>4</v>
      </c>
    </row>
    <row r="123" spans="1:12" x14ac:dyDescent="0.35">
      <c r="A123" s="461" t="s">
        <v>192</v>
      </c>
      <c r="B123" s="461" t="s">
        <v>235</v>
      </c>
      <c r="C123" s="461" t="s">
        <v>268</v>
      </c>
      <c r="D123" s="461" t="s">
        <v>36</v>
      </c>
      <c r="E123">
        <v>65</v>
      </c>
      <c r="H123">
        <v>14</v>
      </c>
      <c r="I123">
        <v>48</v>
      </c>
      <c r="K123">
        <v>0</v>
      </c>
      <c r="L123">
        <v>3</v>
      </c>
    </row>
    <row r="124" spans="1:12" x14ac:dyDescent="0.35">
      <c r="A124" s="461" t="s">
        <v>192</v>
      </c>
      <c r="B124" s="461" t="s">
        <v>235</v>
      </c>
      <c r="C124" s="461" t="s">
        <v>294</v>
      </c>
      <c r="D124" s="461" t="s">
        <v>37</v>
      </c>
      <c r="E124">
        <v>176</v>
      </c>
      <c r="H124">
        <v>26</v>
      </c>
      <c r="I124">
        <v>135</v>
      </c>
      <c r="K124">
        <v>1</v>
      </c>
      <c r="L124">
        <v>14</v>
      </c>
    </row>
    <row r="125" spans="1:12" x14ac:dyDescent="0.35">
      <c r="A125" s="461" t="s">
        <v>192</v>
      </c>
      <c r="B125" s="461" t="s">
        <v>235</v>
      </c>
      <c r="C125" s="461" t="s">
        <v>269</v>
      </c>
      <c r="D125" s="461" t="s">
        <v>38</v>
      </c>
      <c r="E125">
        <v>53</v>
      </c>
      <c r="H125">
        <v>7</v>
      </c>
      <c r="I125">
        <v>41</v>
      </c>
      <c r="K125">
        <v>0</v>
      </c>
      <c r="L125">
        <v>5</v>
      </c>
    </row>
    <row r="126" spans="1:12" x14ac:dyDescent="0.35">
      <c r="A126" s="461" t="s">
        <v>192</v>
      </c>
      <c r="B126" s="461" t="s">
        <v>235</v>
      </c>
      <c r="C126" s="461" t="s">
        <v>296</v>
      </c>
      <c r="D126" s="461" t="s">
        <v>39</v>
      </c>
      <c r="E126">
        <v>70</v>
      </c>
      <c r="H126">
        <v>9</v>
      </c>
      <c r="I126">
        <v>46</v>
      </c>
      <c r="K126">
        <v>0</v>
      </c>
      <c r="L126">
        <v>15</v>
      </c>
    </row>
    <row r="127" spans="1:12" x14ac:dyDescent="0.35">
      <c r="A127" s="461" t="s">
        <v>192</v>
      </c>
      <c r="B127" s="461" t="s">
        <v>235</v>
      </c>
      <c r="C127" s="461" t="s">
        <v>270</v>
      </c>
      <c r="D127" s="461" t="s">
        <v>40</v>
      </c>
      <c r="E127">
        <v>27</v>
      </c>
      <c r="H127">
        <v>4</v>
      </c>
      <c r="I127">
        <v>19</v>
      </c>
      <c r="K127">
        <v>0</v>
      </c>
      <c r="L127">
        <v>4</v>
      </c>
    </row>
    <row r="128" spans="1:12" x14ac:dyDescent="0.35">
      <c r="A128" s="461" t="s">
        <v>192</v>
      </c>
      <c r="B128" s="461" t="s">
        <v>235</v>
      </c>
      <c r="C128" s="461" t="s">
        <v>271</v>
      </c>
      <c r="D128" s="461" t="s">
        <v>41</v>
      </c>
      <c r="E128">
        <v>53</v>
      </c>
      <c r="H128">
        <v>10</v>
      </c>
      <c r="I128">
        <v>34</v>
      </c>
      <c r="K128">
        <v>0</v>
      </c>
      <c r="L128">
        <v>9</v>
      </c>
    </row>
    <row r="129" spans="1:12" x14ac:dyDescent="0.35">
      <c r="A129" s="461" t="s">
        <v>192</v>
      </c>
      <c r="B129" s="461" t="s">
        <v>235</v>
      </c>
      <c r="C129" s="461" t="s">
        <v>273</v>
      </c>
      <c r="D129" s="461" t="s">
        <v>42</v>
      </c>
      <c r="E129">
        <v>277.07499999999999</v>
      </c>
      <c r="H129">
        <v>47</v>
      </c>
      <c r="I129">
        <v>210.07499999999999</v>
      </c>
      <c r="K129">
        <v>0</v>
      </c>
      <c r="L129">
        <v>20</v>
      </c>
    </row>
    <row r="130" spans="1:12" x14ac:dyDescent="0.35">
      <c r="A130" s="461" t="s">
        <v>192</v>
      </c>
      <c r="B130" s="461" t="s">
        <v>235</v>
      </c>
      <c r="C130" s="461" t="s">
        <v>298</v>
      </c>
      <c r="D130" s="461" t="s">
        <v>43</v>
      </c>
      <c r="E130">
        <v>498.15952380952382</v>
      </c>
      <c r="H130">
        <v>98.5</v>
      </c>
      <c r="I130">
        <v>350</v>
      </c>
      <c r="K130">
        <v>0</v>
      </c>
      <c r="L130">
        <v>49.659523809523812</v>
      </c>
    </row>
    <row r="131" spans="1:12" x14ac:dyDescent="0.35">
      <c r="A131" s="461" t="s">
        <v>192</v>
      </c>
      <c r="B131" s="461" t="s">
        <v>235</v>
      </c>
      <c r="C131" s="461" t="s">
        <v>297</v>
      </c>
      <c r="D131" s="461" t="s">
        <v>114</v>
      </c>
      <c r="E131">
        <v>68</v>
      </c>
      <c r="H131">
        <v>11</v>
      </c>
      <c r="I131">
        <v>53</v>
      </c>
      <c r="K131">
        <v>0</v>
      </c>
      <c r="L131">
        <v>4</v>
      </c>
    </row>
    <row r="132" spans="1:12" x14ac:dyDescent="0.35">
      <c r="A132" s="461" t="s">
        <v>192</v>
      </c>
      <c r="B132" s="461" t="s">
        <v>235</v>
      </c>
      <c r="C132" s="461" t="s">
        <v>274</v>
      </c>
      <c r="D132" s="461" t="s">
        <v>44</v>
      </c>
      <c r="E132">
        <v>70</v>
      </c>
      <c r="H132">
        <v>12</v>
      </c>
      <c r="I132">
        <v>48</v>
      </c>
      <c r="K132">
        <v>1</v>
      </c>
      <c r="L132">
        <v>9</v>
      </c>
    </row>
    <row r="133" spans="1:12" x14ac:dyDescent="0.35">
      <c r="A133" s="461" t="s">
        <v>192</v>
      </c>
      <c r="B133" s="461" t="s">
        <v>235</v>
      </c>
      <c r="C133" s="461" t="s">
        <v>275</v>
      </c>
      <c r="D133" s="461" t="s">
        <v>45</v>
      </c>
      <c r="E133">
        <v>23</v>
      </c>
      <c r="H133">
        <v>4</v>
      </c>
      <c r="I133">
        <v>16</v>
      </c>
      <c r="K133">
        <v>0</v>
      </c>
      <c r="L133">
        <v>3</v>
      </c>
    </row>
    <row r="134" spans="1:12" x14ac:dyDescent="0.35">
      <c r="A134" s="461" t="s">
        <v>192</v>
      </c>
      <c r="B134" s="461" t="s">
        <v>235</v>
      </c>
      <c r="C134" s="461" t="s">
        <v>276</v>
      </c>
      <c r="D134" s="461" t="s">
        <v>46</v>
      </c>
      <c r="E134">
        <v>31</v>
      </c>
      <c r="H134">
        <v>5</v>
      </c>
      <c r="I134">
        <v>21</v>
      </c>
      <c r="K134">
        <v>0</v>
      </c>
      <c r="L134">
        <v>5</v>
      </c>
    </row>
    <row r="135" spans="1:12" x14ac:dyDescent="0.35">
      <c r="A135" s="461" t="s">
        <v>192</v>
      </c>
      <c r="B135" s="461" t="s">
        <v>235</v>
      </c>
      <c r="C135" s="461" t="s">
        <v>277</v>
      </c>
      <c r="D135" s="461" t="s">
        <v>47</v>
      </c>
      <c r="E135">
        <v>0</v>
      </c>
      <c r="H135">
        <v>0</v>
      </c>
      <c r="I135">
        <v>0</v>
      </c>
      <c r="K135">
        <v>0</v>
      </c>
      <c r="L135">
        <v>0</v>
      </c>
    </row>
    <row r="136" spans="1:12" x14ac:dyDescent="0.35">
      <c r="A136" s="461" t="s">
        <v>192</v>
      </c>
      <c r="B136" s="461" t="s">
        <v>235</v>
      </c>
      <c r="C136" s="461" t="s">
        <v>272</v>
      </c>
      <c r="D136" s="461" t="s">
        <v>48</v>
      </c>
      <c r="E136">
        <v>95</v>
      </c>
      <c r="H136">
        <v>17</v>
      </c>
      <c r="I136">
        <v>66</v>
      </c>
      <c r="K136">
        <v>0</v>
      </c>
      <c r="L136">
        <v>12</v>
      </c>
    </row>
    <row r="137" spans="1:12" x14ac:dyDescent="0.35">
      <c r="A137" s="461" t="s">
        <v>192</v>
      </c>
      <c r="B137" s="461" t="s">
        <v>235</v>
      </c>
      <c r="C137" s="461" t="s">
        <v>278</v>
      </c>
      <c r="D137" s="461" t="s">
        <v>49</v>
      </c>
      <c r="E137">
        <v>75.095238095238102</v>
      </c>
      <c r="H137">
        <v>13.095238095238095</v>
      </c>
      <c r="I137">
        <v>50</v>
      </c>
      <c r="K137">
        <v>0</v>
      </c>
      <c r="L137">
        <v>12</v>
      </c>
    </row>
    <row r="138" spans="1:12" x14ac:dyDescent="0.35">
      <c r="A138" s="461" t="s">
        <v>192</v>
      </c>
      <c r="B138" s="461" t="s">
        <v>235</v>
      </c>
      <c r="C138" s="461" t="s">
        <v>295</v>
      </c>
      <c r="D138" s="461" t="s">
        <v>50</v>
      </c>
      <c r="E138">
        <v>179.75</v>
      </c>
      <c r="H138">
        <v>27.75</v>
      </c>
      <c r="I138">
        <v>136</v>
      </c>
      <c r="K138">
        <v>0</v>
      </c>
      <c r="L138">
        <v>16</v>
      </c>
    </row>
    <row r="139" spans="1:12" x14ac:dyDescent="0.35">
      <c r="A139" s="461" t="s">
        <v>192</v>
      </c>
      <c r="B139" s="461" t="s">
        <v>235</v>
      </c>
      <c r="C139" s="461" t="s">
        <v>279</v>
      </c>
      <c r="D139" s="461" t="s">
        <v>51</v>
      </c>
      <c r="E139">
        <v>0</v>
      </c>
      <c r="H139">
        <v>0</v>
      </c>
      <c r="I139">
        <v>0</v>
      </c>
      <c r="K139">
        <v>0</v>
      </c>
      <c r="L139">
        <v>0</v>
      </c>
    </row>
    <row r="140" spans="1:12" x14ac:dyDescent="0.35">
      <c r="A140" s="461" t="s">
        <v>192</v>
      </c>
      <c r="B140" s="461" t="s">
        <v>235</v>
      </c>
      <c r="C140" s="461" t="s">
        <v>280</v>
      </c>
      <c r="D140" s="461" t="s">
        <v>52</v>
      </c>
      <c r="E140">
        <v>72.75</v>
      </c>
      <c r="H140">
        <v>13</v>
      </c>
      <c r="I140">
        <v>55.75</v>
      </c>
      <c r="K140">
        <v>0</v>
      </c>
      <c r="L140">
        <v>4</v>
      </c>
    </row>
    <row r="141" spans="1:12" x14ac:dyDescent="0.35">
      <c r="A141" s="461" t="s">
        <v>192</v>
      </c>
      <c r="B141" s="461" t="s">
        <v>235</v>
      </c>
      <c r="C141" s="461" t="s">
        <v>290</v>
      </c>
      <c r="D141" s="461" t="s">
        <v>53</v>
      </c>
      <c r="E141">
        <v>92</v>
      </c>
      <c r="H141">
        <v>15</v>
      </c>
      <c r="I141">
        <v>62</v>
      </c>
      <c r="K141">
        <v>0</v>
      </c>
      <c r="L141">
        <v>15</v>
      </c>
    </row>
    <row r="142" spans="1:12" x14ac:dyDescent="0.35">
      <c r="A142" s="461" t="s">
        <v>192</v>
      </c>
      <c r="B142" s="461" t="s">
        <v>235</v>
      </c>
      <c r="C142" s="461" t="s">
        <v>281</v>
      </c>
      <c r="D142" s="461" t="s">
        <v>54</v>
      </c>
      <c r="E142">
        <v>69.075000000000003</v>
      </c>
      <c r="H142">
        <v>12</v>
      </c>
      <c r="I142">
        <v>48.075000000000003</v>
      </c>
      <c r="K142">
        <v>0</v>
      </c>
      <c r="L142">
        <v>9</v>
      </c>
    </row>
    <row r="143" spans="1:12" x14ac:dyDescent="0.35">
      <c r="A143" s="461" t="s">
        <v>192</v>
      </c>
      <c r="B143" s="461" t="s">
        <v>235</v>
      </c>
      <c r="C143" s="461" t="s">
        <v>282</v>
      </c>
      <c r="D143" s="461" t="s">
        <v>55</v>
      </c>
      <c r="E143">
        <v>0</v>
      </c>
      <c r="H143">
        <v>0</v>
      </c>
      <c r="I143">
        <v>0</v>
      </c>
      <c r="K143">
        <v>0</v>
      </c>
      <c r="L143">
        <v>0</v>
      </c>
    </row>
    <row r="144" spans="1:12" x14ac:dyDescent="0.35">
      <c r="A144" s="461" t="s">
        <v>192</v>
      </c>
      <c r="B144" s="461" t="s">
        <v>235</v>
      </c>
      <c r="C144" s="461" t="s">
        <v>283</v>
      </c>
      <c r="D144" s="461" t="s">
        <v>56</v>
      </c>
      <c r="E144">
        <v>55</v>
      </c>
      <c r="H144">
        <v>10</v>
      </c>
      <c r="I144">
        <v>40</v>
      </c>
      <c r="K144">
        <v>0</v>
      </c>
      <c r="L144">
        <v>5</v>
      </c>
    </row>
    <row r="145" spans="1:12" x14ac:dyDescent="0.35">
      <c r="A145" s="461" t="s">
        <v>192</v>
      </c>
      <c r="B145" s="461" t="s">
        <v>235</v>
      </c>
      <c r="C145" s="461" t="s">
        <v>284</v>
      </c>
      <c r="D145" s="461" t="s">
        <v>57</v>
      </c>
      <c r="E145">
        <v>178</v>
      </c>
      <c r="H145">
        <v>28</v>
      </c>
      <c r="I145">
        <v>132</v>
      </c>
      <c r="K145">
        <v>0</v>
      </c>
      <c r="L145">
        <v>18</v>
      </c>
    </row>
    <row r="146" spans="1:12" x14ac:dyDescent="0.35">
      <c r="A146" s="461" t="s">
        <v>192</v>
      </c>
      <c r="B146" s="461" t="s">
        <v>235</v>
      </c>
      <c r="C146" s="461" t="s">
        <v>285</v>
      </c>
      <c r="D146" s="461" t="s">
        <v>58</v>
      </c>
      <c r="E146">
        <v>51</v>
      </c>
      <c r="H146">
        <v>9</v>
      </c>
      <c r="I146">
        <v>40</v>
      </c>
      <c r="K146">
        <v>0</v>
      </c>
      <c r="L146">
        <v>2</v>
      </c>
    </row>
    <row r="147" spans="1:12" x14ac:dyDescent="0.35">
      <c r="A147" s="461" t="s">
        <v>192</v>
      </c>
      <c r="B147" s="461" t="s">
        <v>235</v>
      </c>
      <c r="C147" s="461" t="s">
        <v>291</v>
      </c>
      <c r="D147" s="461" t="s">
        <v>59</v>
      </c>
      <c r="E147">
        <v>70</v>
      </c>
      <c r="H147">
        <v>11</v>
      </c>
      <c r="I147">
        <v>49</v>
      </c>
      <c r="K147">
        <v>0</v>
      </c>
      <c r="L147">
        <v>10</v>
      </c>
    </row>
    <row r="148" spans="1:12" x14ac:dyDescent="0.35">
      <c r="A148" s="461" t="s">
        <v>192</v>
      </c>
      <c r="B148" s="461" t="s">
        <v>235</v>
      </c>
      <c r="C148" s="461" t="s">
        <v>292</v>
      </c>
      <c r="D148" s="461" t="s">
        <v>60</v>
      </c>
      <c r="E148">
        <v>61</v>
      </c>
      <c r="H148">
        <v>9</v>
      </c>
      <c r="I148">
        <v>44</v>
      </c>
      <c r="K148">
        <v>0</v>
      </c>
      <c r="L148">
        <v>8</v>
      </c>
    </row>
    <row r="149" spans="1:12" x14ac:dyDescent="0.35">
      <c r="A149" s="461" t="s">
        <v>192</v>
      </c>
      <c r="B149" s="461" t="s">
        <v>236</v>
      </c>
      <c r="C149" s="461" t="s">
        <v>326</v>
      </c>
      <c r="D149" s="461" t="s">
        <v>31</v>
      </c>
      <c r="E149">
        <v>16</v>
      </c>
      <c r="F149">
        <v>1</v>
      </c>
      <c r="H149">
        <v>0</v>
      </c>
      <c r="I149">
        <v>3</v>
      </c>
      <c r="J149">
        <v>3</v>
      </c>
      <c r="K149">
        <v>2</v>
      </c>
      <c r="L149">
        <v>7</v>
      </c>
    </row>
    <row r="150" spans="1:12" x14ac:dyDescent="0.35">
      <c r="A150" s="461" t="s">
        <v>192</v>
      </c>
      <c r="B150" s="461" t="s">
        <v>236</v>
      </c>
      <c r="C150" s="461" t="s">
        <v>327</v>
      </c>
      <c r="D150" s="461" t="s">
        <v>63</v>
      </c>
      <c r="E150">
        <v>27</v>
      </c>
      <c r="F150">
        <v>1</v>
      </c>
      <c r="H150">
        <v>7</v>
      </c>
      <c r="I150">
        <v>1</v>
      </c>
      <c r="J150">
        <v>2</v>
      </c>
      <c r="K150">
        <v>6</v>
      </c>
      <c r="L150">
        <v>10</v>
      </c>
    </row>
    <row r="151" spans="1:12" x14ac:dyDescent="0.35">
      <c r="A151" s="461" t="s">
        <v>192</v>
      </c>
      <c r="B151" s="461" t="s">
        <v>236</v>
      </c>
      <c r="C151" s="461" t="s">
        <v>17424</v>
      </c>
      <c r="D151" s="461" t="s">
        <v>266</v>
      </c>
      <c r="E151">
        <v>393.54523809523812</v>
      </c>
      <c r="F151">
        <v>14</v>
      </c>
      <c r="G151">
        <v>0</v>
      </c>
      <c r="H151">
        <v>50</v>
      </c>
      <c r="I151">
        <v>34.885714285714286</v>
      </c>
      <c r="J151">
        <v>62</v>
      </c>
      <c r="K151">
        <v>91</v>
      </c>
      <c r="L151">
        <v>141.65952380952382</v>
      </c>
    </row>
    <row r="152" spans="1:12" x14ac:dyDescent="0.35">
      <c r="A152" s="461" t="s">
        <v>192</v>
      </c>
      <c r="B152" s="461" t="s">
        <v>236</v>
      </c>
      <c r="C152" s="461" t="s">
        <v>329</v>
      </c>
      <c r="D152" s="461" t="s">
        <v>64</v>
      </c>
      <c r="E152">
        <v>25</v>
      </c>
      <c r="F152">
        <v>1</v>
      </c>
      <c r="H152">
        <v>2</v>
      </c>
      <c r="I152">
        <v>4</v>
      </c>
      <c r="J152">
        <v>5</v>
      </c>
      <c r="K152">
        <v>7</v>
      </c>
      <c r="L152">
        <v>6</v>
      </c>
    </row>
    <row r="153" spans="1:12" x14ac:dyDescent="0.35">
      <c r="A153" s="461" t="s">
        <v>192</v>
      </c>
      <c r="B153" s="461" t="s">
        <v>236</v>
      </c>
      <c r="C153" s="461" t="s">
        <v>330</v>
      </c>
      <c r="D153" s="461" t="s">
        <v>36</v>
      </c>
      <c r="E153">
        <v>19</v>
      </c>
      <c r="F153">
        <v>0</v>
      </c>
      <c r="H153">
        <v>0</v>
      </c>
      <c r="I153">
        <v>2</v>
      </c>
      <c r="J153">
        <v>2</v>
      </c>
      <c r="K153">
        <v>5</v>
      </c>
      <c r="L153">
        <v>10</v>
      </c>
    </row>
    <row r="154" spans="1:12" x14ac:dyDescent="0.35">
      <c r="A154" s="461" t="s">
        <v>192</v>
      </c>
      <c r="B154" s="461" t="s">
        <v>236</v>
      </c>
      <c r="C154" s="461" t="s">
        <v>328</v>
      </c>
      <c r="D154" s="461" t="s">
        <v>65</v>
      </c>
      <c r="E154">
        <v>24</v>
      </c>
      <c r="F154">
        <v>1</v>
      </c>
      <c r="H154">
        <v>0</v>
      </c>
      <c r="I154">
        <v>1</v>
      </c>
      <c r="J154">
        <v>4</v>
      </c>
      <c r="K154">
        <v>10</v>
      </c>
      <c r="L154">
        <v>8</v>
      </c>
    </row>
    <row r="155" spans="1:12" x14ac:dyDescent="0.35">
      <c r="A155" s="461" t="s">
        <v>192</v>
      </c>
      <c r="B155" s="461" t="s">
        <v>236</v>
      </c>
      <c r="C155" s="461" t="s">
        <v>331</v>
      </c>
      <c r="D155" s="461" t="s">
        <v>66</v>
      </c>
      <c r="E155">
        <v>28.885714285714286</v>
      </c>
      <c r="F155">
        <v>1</v>
      </c>
      <c r="H155">
        <v>4</v>
      </c>
      <c r="I155">
        <v>1.8857142857142857</v>
      </c>
      <c r="J155">
        <v>6</v>
      </c>
      <c r="K155">
        <v>7</v>
      </c>
      <c r="L155">
        <v>9</v>
      </c>
    </row>
    <row r="156" spans="1:12" x14ac:dyDescent="0.35">
      <c r="A156" s="461" t="s">
        <v>192</v>
      </c>
      <c r="B156" s="461" t="s">
        <v>236</v>
      </c>
      <c r="C156" s="461" t="s">
        <v>332</v>
      </c>
      <c r="D156" s="461" t="s">
        <v>67</v>
      </c>
      <c r="E156">
        <v>38</v>
      </c>
      <c r="F156">
        <v>1</v>
      </c>
      <c r="H156">
        <v>10</v>
      </c>
      <c r="I156">
        <v>5</v>
      </c>
      <c r="J156">
        <v>5</v>
      </c>
      <c r="K156">
        <v>6</v>
      </c>
      <c r="L156">
        <v>11</v>
      </c>
    </row>
    <row r="157" spans="1:12" x14ac:dyDescent="0.35">
      <c r="A157" s="461" t="s">
        <v>192</v>
      </c>
      <c r="B157" s="461" t="s">
        <v>236</v>
      </c>
      <c r="C157" s="461" t="s">
        <v>333</v>
      </c>
      <c r="D157" s="461" t="s">
        <v>68</v>
      </c>
      <c r="E157">
        <v>17</v>
      </c>
      <c r="F157">
        <v>1</v>
      </c>
      <c r="H157">
        <v>1</v>
      </c>
      <c r="I157">
        <v>3</v>
      </c>
      <c r="J157">
        <v>2</v>
      </c>
      <c r="K157">
        <v>3</v>
      </c>
      <c r="L157">
        <v>7</v>
      </c>
    </row>
    <row r="158" spans="1:12" x14ac:dyDescent="0.35">
      <c r="A158" s="461" t="s">
        <v>192</v>
      </c>
      <c r="B158" s="461" t="s">
        <v>236</v>
      </c>
      <c r="C158" s="461" t="s">
        <v>334</v>
      </c>
      <c r="D158" s="461" t="s">
        <v>167</v>
      </c>
      <c r="E158">
        <v>27</v>
      </c>
      <c r="F158">
        <v>0</v>
      </c>
      <c r="H158">
        <v>5</v>
      </c>
      <c r="I158">
        <v>4</v>
      </c>
      <c r="J158">
        <v>7</v>
      </c>
      <c r="K158">
        <v>2</v>
      </c>
      <c r="L158">
        <v>9</v>
      </c>
    </row>
    <row r="159" spans="1:12" x14ac:dyDescent="0.35">
      <c r="A159" s="461" t="s">
        <v>192</v>
      </c>
      <c r="B159" s="461" t="s">
        <v>236</v>
      </c>
      <c r="C159" s="461" t="s">
        <v>335</v>
      </c>
      <c r="D159" s="461" t="s">
        <v>69</v>
      </c>
      <c r="E159">
        <v>25</v>
      </c>
      <c r="F159">
        <v>1</v>
      </c>
      <c r="H159">
        <v>1</v>
      </c>
      <c r="I159">
        <v>2</v>
      </c>
      <c r="J159">
        <v>2</v>
      </c>
      <c r="K159">
        <v>3</v>
      </c>
      <c r="L159">
        <v>16</v>
      </c>
    </row>
    <row r="160" spans="1:12" x14ac:dyDescent="0.35">
      <c r="A160" s="461" t="s">
        <v>192</v>
      </c>
      <c r="B160" s="461" t="s">
        <v>236</v>
      </c>
      <c r="C160" s="461" t="s">
        <v>17425</v>
      </c>
      <c r="D160" s="461" t="s">
        <v>43</v>
      </c>
      <c r="E160">
        <v>26</v>
      </c>
      <c r="F160">
        <v>1</v>
      </c>
      <c r="H160">
        <v>3</v>
      </c>
      <c r="I160">
        <v>4</v>
      </c>
      <c r="J160">
        <v>2</v>
      </c>
      <c r="K160">
        <v>5</v>
      </c>
      <c r="L160">
        <v>11</v>
      </c>
    </row>
    <row r="161" spans="1:12" x14ac:dyDescent="0.35">
      <c r="A161" s="461" t="s">
        <v>192</v>
      </c>
      <c r="B161" s="461" t="s">
        <v>236</v>
      </c>
      <c r="C161" s="461" t="s">
        <v>17426</v>
      </c>
      <c r="D161" s="461" t="s">
        <v>114</v>
      </c>
      <c r="E161">
        <v>31.659523809523812</v>
      </c>
      <c r="F161">
        <v>1</v>
      </c>
      <c r="H161">
        <v>1</v>
      </c>
      <c r="I161">
        <v>2</v>
      </c>
      <c r="J161">
        <v>5</v>
      </c>
      <c r="K161">
        <v>8</v>
      </c>
      <c r="L161">
        <v>14.65952380952381</v>
      </c>
    </row>
    <row r="162" spans="1:12" x14ac:dyDescent="0.35">
      <c r="A162" s="461" t="s">
        <v>192</v>
      </c>
      <c r="B162" s="461" t="s">
        <v>236</v>
      </c>
      <c r="C162" s="461" t="s">
        <v>336</v>
      </c>
      <c r="D162" s="461" t="s">
        <v>70</v>
      </c>
      <c r="E162">
        <v>29</v>
      </c>
      <c r="F162">
        <v>1</v>
      </c>
      <c r="H162">
        <v>7</v>
      </c>
      <c r="I162">
        <v>0</v>
      </c>
      <c r="J162">
        <v>6</v>
      </c>
      <c r="K162">
        <v>8</v>
      </c>
      <c r="L162">
        <v>7</v>
      </c>
    </row>
    <row r="163" spans="1:12" x14ac:dyDescent="0.35">
      <c r="A163" s="461" t="s">
        <v>192</v>
      </c>
      <c r="B163" s="461" t="s">
        <v>236</v>
      </c>
      <c r="C163" s="461" t="s">
        <v>17427</v>
      </c>
      <c r="D163" s="461" t="s">
        <v>50</v>
      </c>
      <c r="E163">
        <v>20</v>
      </c>
      <c r="F163">
        <v>1</v>
      </c>
      <c r="H163">
        <v>3</v>
      </c>
      <c r="I163">
        <v>0</v>
      </c>
      <c r="J163">
        <v>3</v>
      </c>
      <c r="K163">
        <v>4</v>
      </c>
      <c r="L163">
        <v>9</v>
      </c>
    </row>
    <row r="164" spans="1:12" x14ac:dyDescent="0.35">
      <c r="A164" s="461" t="s">
        <v>192</v>
      </c>
      <c r="B164" s="461" t="s">
        <v>236</v>
      </c>
      <c r="C164" s="461" t="s">
        <v>337</v>
      </c>
      <c r="D164" s="461" t="s">
        <v>57</v>
      </c>
      <c r="E164">
        <v>16</v>
      </c>
      <c r="F164">
        <v>1</v>
      </c>
      <c r="H164">
        <v>3</v>
      </c>
      <c r="I164">
        <v>1</v>
      </c>
      <c r="J164">
        <v>3</v>
      </c>
      <c r="K164">
        <v>5</v>
      </c>
      <c r="L164">
        <v>3</v>
      </c>
    </row>
    <row r="165" spans="1:12" x14ac:dyDescent="0.35">
      <c r="A165" s="461" t="s">
        <v>192</v>
      </c>
      <c r="B165" s="461" t="s">
        <v>236</v>
      </c>
      <c r="C165" s="461" t="s">
        <v>17428</v>
      </c>
      <c r="D165" s="461" t="s">
        <v>17412</v>
      </c>
      <c r="E165">
        <v>13</v>
      </c>
      <c r="F165">
        <v>0</v>
      </c>
      <c r="H165">
        <v>2</v>
      </c>
      <c r="I165">
        <v>1</v>
      </c>
      <c r="J165">
        <v>2</v>
      </c>
      <c r="K165">
        <v>5</v>
      </c>
      <c r="L165">
        <v>3</v>
      </c>
    </row>
    <row r="166" spans="1:12" x14ac:dyDescent="0.35">
      <c r="A166" s="461" t="s">
        <v>192</v>
      </c>
      <c r="B166" s="461" t="s">
        <v>236</v>
      </c>
      <c r="C166" s="461" t="s">
        <v>338</v>
      </c>
      <c r="D166" s="461" t="s">
        <v>71</v>
      </c>
      <c r="E166">
        <v>11</v>
      </c>
      <c r="F166">
        <v>1</v>
      </c>
      <c r="H166">
        <v>1</v>
      </c>
      <c r="I166">
        <v>0</v>
      </c>
      <c r="J166">
        <v>3</v>
      </c>
      <c r="K166">
        <v>5</v>
      </c>
      <c r="L166">
        <v>1</v>
      </c>
    </row>
    <row r="167" spans="1:12" x14ac:dyDescent="0.35">
      <c r="A167" s="461" t="s">
        <v>192</v>
      </c>
      <c r="B167" s="461" t="s">
        <v>237</v>
      </c>
      <c r="C167" s="461" t="s">
        <v>353</v>
      </c>
      <c r="D167" s="461" t="s">
        <v>166</v>
      </c>
      <c r="E167">
        <v>25</v>
      </c>
      <c r="F167">
        <v>1</v>
      </c>
      <c r="H167">
        <v>2</v>
      </c>
      <c r="I167">
        <v>0</v>
      </c>
      <c r="J167">
        <v>2</v>
      </c>
      <c r="K167">
        <v>3</v>
      </c>
      <c r="L167">
        <v>17</v>
      </c>
    </row>
    <row r="168" spans="1:12" x14ac:dyDescent="0.35">
      <c r="A168" s="461" t="s">
        <v>192</v>
      </c>
      <c r="B168" s="461" t="s">
        <v>237</v>
      </c>
      <c r="C168" s="461" t="s">
        <v>355</v>
      </c>
      <c r="D168" s="461" t="s">
        <v>164</v>
      </c>
      <c r="E168">
        <v>44</v>
      </c>
      <c r="F168">
        <v>1</v>
      </c>
      <c r="H168">
        <v>8</v>
      </c>
      <c r="I168">
        <v>0</v>
      </c>
      <c r="J168">
        <v>2</v>
      </c>
      <c r="K168">
        <v>8</v>
      </c>
      <c r="L168">
        <v>25</v>
      </c>
    </row>
    <row r="169" spans="1:12" x14ac:dyDescent="0.35">
      <c r="A169" s="461" t="s">
        <v>192</v>
      </c>
      <c r="B169" s="461" t="s">
        <v>237</v>
      </c>
      <c r="C169" s="461" t="s">
        <v>354</v>
      </c>
      <c r="D169" s="461" t="s">
        <v>165</v>
      </c>
      <c r="E169">
        <v>16</v>
      </c>
      <c r="F169">
        <v>1</v>
      </c>
      <c r="H169">
        <v>3</v>
      </c>
      <c r="I169">
        <v>0</v>
      </c>
      <c r="J169">
        <v>5</v>
      </c>
      <c r="K169">
        <v>3</v>
      </c>
      <c r="L169">
        <v>4</v>
      </c>
    </row>
    <row r="170" spans="1:12" x14ac:dyDescent="0.35">
      <c r="A170" s="461" t="s">
        <v>192</v>
      </c>
      <c r="B170" s="461" t="s">
        <v>238</v>
      </c>
      <c r="C170" s="461" t="s">
        <v>339</v>
      </c>
      <c r="D170" s="461" t="s">
        <v>246</v>
      </c>
      <c r="E170">
        <v>195</v>
      </c>
      <c r="F170">
        <v>18</v>
      </c>
      <c r="G170">
        <v>10</v>
      </c>
      <c r="H170">
        <v>26</v>
      </c>
      <c r="I170">
        <v>16</v>
      </c>
      <c r="J170">
        <v>19</v>
      </c>
      <c r="K170">
        <v>19</v>
      </c>
      <c r="L170">
        <v>93</v>
      </c>
    </row>
    <row r="171" spans="1:12" x14ac:dyDescent="0.35">
      <c r="A171" s="461" t="s">
        <v>192</v>
      </c>
      <c r="B171" s="461" t="s">
        <v>17429</v>
      </c>
      <c r="C171" s="461" t="s">
        <v>17424</v>
      </c>
      <c r="D171" s="461" t="s">
        <v>266</v>
      </c>
      <c r="E171">
        <v>85</v>
      </c>
      <c r="F171">
        <v>3</v>
      </c>
      <c r="G171">
        <v>0</v>
      </c>
      <c r="H171">
        <v>13</v>
      </c>
      <c r="I171">
        <v>0</v>
      </c>
      <c r="J171">
        <v>9</v>
      </c>
      <c r="K171">
        <v>14</v>
      </c>
      <c r="L171">
        <v>46</v>
      </c>
    </row>
    <row r="172" spans="1:12" x14ac:dyDescent="0.35">
      <c r="A172" s="461" t="s">
        <v>192</v>
      </c>
      <c r="B172" s="461" t="s">
        <v>26</v>
      </c>
      <c r="C172" s="461" t="s">
        <v>339</v>
      </c>
      <c r="D172" s="461" t="s">
        <v>246</v>
      </c>
      <c r="E172">
        <v>3690</v>
      </c>
      <c r="F172">
        <v>35</v>
      </c>
      <c r="G172">
        <v>4</v>
      </c>
      <c r="H172">
        <v>598.34523809523807</v>
      </c>
      <c r="I172">
        <v>2250.7857142857142</v>
      </c>
      <c r="J172">
        <v>90</v>
      </c>
      <c r="K172">
        <v>126</v>
      </c>
      <c r="L172">
        <v>585.31904761904764</v>
      </c>
    </row>
    <row r="173" spans="1:12" x14ac:dyDescent="0.35">
      <c r="A173" s="461" t="s">
        <v>258</v>
      </c>
      <c r="B173" s="461" t="s">
        <v>235</v>
      </c>
      <c r="C173" s="461" t="s">
        <v>286</v>
      </c>
      <c r="D173" s="461" t="s">
        <v>31</v>
      </c>
      <c r="E173">
        <v>155</v>
      </c>
      <c r="F173">
        <v>0</v>
      </c>
      <c r="G173">
        <v>0</v>
      </c>
      <c r="H173">
        <v>26</v>
      </c>
      <c r="I173">
        <v>113</v>
      </c>
      <c r="J173">
        <v>0</v>
      </c>
      <c r="K173">
        <v>0</v>
      </c>
      <c r="L173">
        <v>16</v>
      </c>
    </row>
    <row r="174" spans="1:12" x14ac:dyDescent="0.35">
      <c r="A174" s="461" t="s">
        <v>258</v>
      </c>
      <c r="B174" s="461" t="s">
        <v>235</v>
      </c>
      <c r="C174" s="461" t="s">
        <v>287</v>
      </c>
      <c r="D174" s="461" t="s">
        <v>32</v>
      </c>
      <c r="E174">
        <v>25</v>
      </c>
      <c r="F174">
        <v>0</v>
      </c>
      <c r="G174">
        <v>0</v>
      </c>
      <c r="H174">
        <v>4</v>
      </c>
      <c r="I174">
        <v>17</v>
      </c>
      <c r="J174">
        <v>0</v>
      </c>
      <c r="K174">
        <v>0</v>
      </c>
      <c r="L174">
        <v>4</v>
      </c>
    </row>
    <row r="175" spans="1:12" x14ac:dyDescent="0.35">
      <c r="A175" s="461" t="s">
        <v>258</v>
      </c>
      <c r="B175" s="461" t="s">
        <v>235</v>
      </c>
      <c r="C175" s="461" t="s">
        <v>17424</v>
      </c>
      <c r="D175" s="461" t="s">
        <v>266</v>
      </c>
      <c r="E175">
        <v>2923</v>
      </c>
      <c r="F175">
        <v>0</v>
      </c>
      <c r="G175">
        <v>0</v>
      </c>
      <c r="H175">
        <v>552</v>
      </c>
      <c r="I175">
        <v>2027</v>
      </c>
      <c r="J175">
        <v>0</v>
      </c>
      <c r="K175">
        <v>1</v>
      </c>
      <c r="L175">
        <v>343</v>
      </c>
    </row>
    <row r="176" spans="1:12" x14ac:dyDescent="0.35">
      <c r="A176" s="461" t="s">
        <v>258</v>
      </c>
      <c r="B176" s="461" t="s">
        <v>235</v>
      </c>
      <c r="C176" s="461" t="s">
        <v>293</v>
      </c>
      <c r="D176" s="461" t="s">
        <v>33</v>
      </c>
      <c r="E176">
        <v>25</v>
      </c>
      <c r="F176">
        <v>0</v>
      </c>
      <c r="G176">
        <v>0</v>
      </c>
      <c r="H176">
        <v>4</v>
      </c>
      <c r="I176">
        <v>18</v>
      </c>
      <c r="J176">
        <v>0</v>
      </c>
      <c r="K176">
        <v>0</v>
      </c>
      <c r="L176">
        <v>3</v>
      </c>
    </row>
    <row r="177" spans="1:12" x14ac:dyDescent="0.35">
      <c r="A177" s="461" t="s">
        <v>258</v>
      </c>
      <c r="B177" s="461" t="s">
        <v>235</v>
      </c>
      <c r="C177" s="461" t="s">
        <v>288</v>
      </c>
      <c r="D177" s="461" t="s">
        <v>34</v>
      </c>
      <c r="E177">
        <v>43</v>
      </c>
      <c r="F177">
        <v>0</v>
      </c>
      <c r="G177">
        <v>0</v>
      </c>
      <c r="H177">
        <v>9</v>
      </c>
      <c r="I177">
        <v>24</v>
      </c>
      <c r="J177">
        <v>0</v>
      </c>
      <c r="K177">
        <v>0</v>
      </c>
      <c r="L177">
        <v>10</v>
      </c>
    </row>
    <row r="178" spans="1:12" x14ac:dyDescent="0.35">
      <c r="A178" s="461" t="s">
        <v>258</v>
      </c>
      <c r="B178" s="461" t="s">
        <v>235</v>
      </c>
      <c r="C178" s="461" t="s">
        <v>289</v>
      </c>
      <c r="D178" s="461" t="s">
        <v>245</v>
      </c>
      <c r="E178">
        <v>313</v>
      </c>
      <c r="F178">
        <v>0</v>
      </c>
      <c r="G178">
        <v>0</v>
      </c>
      <c r="H178">
        <v>60</v>
      </c>
      <c r="I178">
        <v>227</v>
      </c>
      <c r="J178">
        <v>0</v>
      </c>
      <c r="K178">
        <v>0</v>
      </c>
      <c r="L178">
        <v>26</v>
      </c>
    </row>
    <row r="179" spans="1:12" x14ac:dyDescent="0.35">
      <c r="A179" s="461" t="s">
        <v>258</v>
      </c>
      <c r="B179" s="461" t="s">
        <v>235</v>
      </c>
      <c r="C179" s="461" t="s">
        <v>267</v>
      </c>
      <c r="D179" s="461" t="s">
        <v>35</v>
      </c>
      <c r="E179">
        <v>22</v>
      </c>
      <c r="F179">
        <v>0</v>
      </c>
      <c r="G179">
        <v>0</v>
      </c>
      <c r="H179">
        <v>4</v>
      </c>
      <c r="I179">
        <v>14</v>
      </c>
      <c r="J179">
        <v>0</v>
      </c>
      <c r="K179">
        <v>0</v>
      </c>
      <c r="L179">
        <v>4</v>
      </c>
    </row>
    <row r="180" spans="1:12" x14ac:dyDescent="0.35">
      <c r="A180" s="461" t="s">
        <v>258</v>
      </c>
      <c r="B180" s="461" t="s">
        <v>235</v>
      </c>
      <c r="C180" s="461" t="s">
        <v>268</v>
      </c>
      <c r="D180" s="461" t="s">
        <v>36</v>
      </c>
      <c r="E180">
        <v>63</v>
      </c>
      <c r="F180">
        <v>0</v>
      </c>
      <c r="G180">
        <v>0</v>
      </c>
      <c r="H180">
        <v>11</v>
      </c>
      <c r="I180">
        <v>48</v>
      </c>
      <c r="J180">
        <v>0</v>
      </c>
      <c r="K180">
        <v>0</v>
      </c>
      <c r="L180">
        <v>4</v>
      </c>
    </row>
    <row r="181" spans="1:12" x14ac:dyDescent="0.35">
      <c r="A181" s="461" t="s">
        <v>258</v>
      </c>
      <c r="B181" s="461" t="s">
        <v>235</v>
      </c>
      <c r="C181" s="461" t="s">
        <v>294</v>
      </c>
      <c r="D181" s="461" t="s">
        <v>37</v>
      </c>
      <c r="E181">
        <v>192</v>
      </c>
      <c r="F181">
        <v>0</v>
      </c>
      <c r="G181">
        <v>0</v>
      </c>
      <c r="H181">
        <v>30</v>
      </c>
      <c r="I181">
        <v>144</v>
      </c>
      <c r="J181">
        <v>0</v>
      </c>
      <c r="K181">
        <v>0</v>
      </c>
      <c r="L181">
        <v>18</v>
      </c>
    </row>
    <row r="182" spans="1:12" x14ac:dyDescent="0.35">
      <c r="A182" s="461" t="s">
        <v>258</v>
      </c>
      <c r="B182" s="461" t="s">
        <v>235</v>
      </c>
      <c r="C182" s="461" t="s">
        <v>269</v>
      </c>
      <c r="D182" s="461" t="s">
        <v>38</v>
      </c>
      <c r="E182">
        <v>46</v>
      </c>
      <c r="F182">
        <v>0</v>
      </c>
      <c r="G182">
        <v>0</v>
      </c>
      <c r="H182">
        <v>9</v>
      </c>
      <c r="I182">
        <v>32</v>
      </c>
      <c r="J182">
        <v>0</v>
      </c>
      <c r="K182">
        <v>0</v>
      </c>
      <c r="L182">
        <v>5</v>
      </c>
    </row>
    <row r="183" spans="1:12" x14ac:dyDescent="0.35">
      <c r="A183" s="461" t="s">
        <v>258</v>
      </c>
      <c r="B183" s="461" t="s">
        <v>235</v>
      </c>
      <c r="C183" s="461" t="s">
        <v>296</v>
      </c>
      <c r="D183" s="461" t="s">
        <v>39</v>
      </c>
      <c r="E183">
        <v>68</v>
      </c>
      <c r="F183">
        <v>0</v>
      </c>
      <c r="G183">
        <v>0</v>
      </c>
      <c r="H183">
        <v>14</v>
      </c>
      <c r="I183">
        <v>39</v>
      </c>
      <c r="J183">
        <v>0</v>
      </c>
      <c r="K183">
        <v>0</v>
      </c>
      <c r="L183">
        <v>15</v>
      </c>
    </row>
    <row r="184" spans="1:12" x14ac:dyDescent="0.35">
      <c r="A184" s="461" t="s">
        <v>258</v>
      </c>
      <c r="B184" s="461" t="s">
        <v>235</v>
      </c>
      <c r="C184" s="461" t="s">
        <v>270</v>
      </c>
      <c r="D184" s="461" t="s">
        <v>40</v>
      </c>
      <c r="E184">
        <v>27</v>
      </c>
      <c r="F184">
        <v>0</v>
      </c>
      <c r="G184">
        <v>0</v>
      </c>
      <c r="H184">
        <v>4</v>
      </c>
      <c r="I184">
        <v>19</v>
      </c>
      <c r="J184">
        <v>0</v>
      </c>
      <c r="K184">
        <v>0</v>
      </c>
      <c r="L184">
        <v>4</v>
      </c>
    </row>
    <row r="185" spans="1:12" x14ac:dyDescent="0.35">
      <c r="A185" s="461" t="s">
        <v>258</v>
      </c>
      <c r="B185" s="461" t="s">
        <v>235</v>
      </c>
      <c r="C185" s="461" t="s">
        <v>271</v>
      </c>
      <c r="D185" s="461" t="s">
        <v>41</v>
      </c>
      <c r="E185">
        <v>50</v>
      </c>
      <c r="F185">
        <v>0</v>
      </c>
      <c r="G185">
        <v>0</v>
      </c>
      <c r="H185">
        <v>10</v>
      </c>
      <c r="I185">
        <v>30</v>
      </c>
      <c r="J185">
        <v>0</v>
      </c>
      <c r="K185">
        <v>0</v>
      </c>
      <c r="L185">
        <v>10</v>
      </c>
    </row>
    <row r="186" spans="1:12" x14ac:dyDescent="0.35">
      <c r="A186" s="461" t="s">
        <v>258</v>
      </c>
      <c r="B186" s="461" t="s">
        <v>235</v>
      </c>
      <c r="C186" s="461" t="s">
        <v>273</v>
      </c>
      <c r="D186" s="461" t="s">
        <v>42</v>
      </c>
      <c r="E186">
        <v>86</v>
      </c>
      <c r="F186">
        <v>0</v>
      </c>
      <c r="G186">
        <v>0</v>
      </c>
      <c r="H186">
        <v>16</v>
      </c>
      <c r="I186">
        <v>57</v>
      </c>
      <c r="J186">
        <v>0</v>
      </c>
      <c r="K186">
        <v>0</v>
      </c>
      <c r="L186">
        <v>13</v>
      </c>
    </row>
    <row r="187" spans="1:12" x14ac:dyDescent="0.35">
      <c r="A187" s="461" t="s">
        <v>258</v>
      </c>
      <c r="B187" s="461" t="s">
        <v>235</v>
      </c>
      <c r="C187" s="461" t="s">
        <v>298</v>
      </c>
      <c r="D187" s="461" t="s">
        <v>43</v>
      </c>
      <c r="E187">
        <v>270</v>
      </c>
      <c r="F187">
        <v>0</v>
      </c>
      <c r="G187">
        <v>0</v>
      </c>
      <c r="H187">
        <v>48</v>
      </c>
      <c r="I187">
        <v>201</v>
      </c>
      <c r="J187">
        <v>0</v>
      </c>
      <c r="K187">
        <v>0</v>
      </c>
      <c r="L187">
        <v>21</v>
      </c>
    </row>
    <row r="188" spans="1:12" x14ac:dyDescent="0.35">
      <c r="A188" s="461" t="s">
        <v>258</v>
      </c>
      <c r="B188" s="461" t="s">
        <v>235</v>
      </c>
      <c r="C188" s="461" t="s">
        <v>297</v>
      </c>
      <c r="D188" s="461" t="s">
        <v>114</v>
      </c>
      <c r="E188">
        <v>475</v>
      </c>
      <c r="F188">
        <v>0</v>
      </c>
      <c r="G188">
        <v>0</v>
      </c>
      <c r="H188">
        <v>105</v>
      </c>
      <c r="I188">
        <v>313</v>
      </c>
      <c r="J188">
        <v>0</v>
      </c>
      <c r="K188">
        <v>0</v>
      </c>
      <c r="L188">
        <v>57</v>
      </c>
    </row>
    <row r="189" spans="1:12" x14ac:dyDescent="0.35">
      <c r="A189" s="461" t="s">
        <v>258</v>
      </c>
      <c r="B189" s="461" t="s">
        <v>235</v>
      </c>
      <c r="C189" s="461" t="s">
        <v>274</v>
      </c>
      <c r="D189" s="461" t="s">
        <v>44</v>
      </c>
      <c r="E189">
        <v>67</v>
      </c>
      <c r="F189">
        <v>0</v>
      </c>
      <c r="G189">
        <v>0</v>
      </c>
      <c r="H189">
        <v>11</v>
      </c>
      <c r="I189">
        <v>52</v>
      </c>
      <c r="J189">
        <v>0</v>
      </c>
      <c r="K189">
        <v>0</v>
      </c>
      <c r="L189">
        <v>4</v>
      </c>
    </row>
    <row r="190" spans="1:12" x14ac:dyDescent="0.35">
      <c r="A190" s="461" t="s">
        <v>258</v>
      </c>
      <c r="B190" s="461" t="s">
        <v>235</v>
      </c>
      <c r="C190" s="461" t="s">
        <v>275</v>
      </c>
      <c r="D190" s="461" t="s">
        <v>45</v>
      </c>
      <c r="E190">
        <v>68</v>
      </c>
      <c r="F190">
        <v>0</v>
      </c>
      <c r="G190">
        <v>0</v>
      </c>
      <c r="H190">
        <v>13</v>
      </c>
      <c r="I190">
        <v>43</v>
      </c>
      <c r="J190">
        <v>0</v>
      </c>
      <c r="K190">
        <v>1</v>
      </c>
      <c r="L190">
        <v>11</v>
      </c>
    </row>
    <row r="191" spans="1:12" x14ac:dyDescent="0.35">
      <c r="A191" s="461" t="s">
        <v>258</v>
      </c>
      <c r="B191" s="461" t="s">
        <v>235</v>
      </c>
      <c r="C191" s="461" t="s">
        <v>276</v>
      </c>
      <c r="D191" s="461" t="s">
        <v>46</v>
      </c>
      <c r="E191">
        <v>22</v>
      </c>
      <c r="F191">
        <v>0</v>
      </c>
      <c r="G191">
        <v>0</v>
      </c>
      <c r="H191">
        <v>4</v>
      </c>
      <c r="I191">
        <v>14</v>
      </c>
      <c r="J191">
        <v>0</v>
      </c>
      <c r="K191">
        <v>0</v>
      </c>
      <c r="L191">
        <v>4</v>
      </c>
    </row>
    <row r="192" spans="1:12" x14ac:dyDescent="0.35">
      <c r="A192" s="461" t="s">
        <v>258</v>
      </c>
      <c r="B192" s="461" t="s">
        <v>235</v>
      </c>
      <c r="C192" s="461" t="s">
        <v>277</v>
      </c>
      <c r="D192" s="461" t="s">
        <v>47</v>
      </c>
      <c r="E192">
        <v>27</v>
      </c>
      <c r="F192">
        <v>0</v>
      </c>
      <c r="G192">
        <v>0</v>
      </c>
      <c r="H192">
        <v>4</v>
      </c>
      <c r="I192">
        <v>19</v>
      </c>
      <c r="J192">
        <v>0</v>
      </c>
      <c r="K192">
        <v>0</v>
      </c>
      <c r="L192">
        <v>4</v>
      </c>
    </row>
    <row r="193" spans="1:12" x14ac:dyDescent="0.35">
      <c r="A193" s="461" t="s">
        <v>258</v>
      </c>
      <c r="B193" s="461" t="s">
        <v>235</v>
      </c>
      <c r="C193" s="461" t="s">
        <v>272</v>
      </c>
      <c r="D193" s="461" t="s">
        <v>48</v>
      </c>
      <c r="E193">
        <v>0</v>
      </c>
      <c r="F193">
        <v>0</v>
      </c>
      <c r="G193">
        <v>0</v>
      </c>
      <c r="H193">
        <v>0</v>
      </c>
      <c r="I193">
        <v>0</v>
      </c>
      <c r="J193">
        <v>0</v>
      </c>
      <c r="K193">
        <v>0</v>
      </c>
      <c r="L193">
        <v>0</v>
      </c>
    </row>
    <row r="194" spans="1:12" x14ac:dyDescent="0.35">
      <c r="A194" s="461" t="s">
        <v>258</v>
      </c>
      <c r="B194" s="461" t="s">
        <v>235</v>
      </c>
      <c r="C194" s="461" t="s">
        <v>278</v>
      </c>
      <c r="D194" s="461" t="s">
        <v>49</v>
      </c>
      <c r="E194">
        <v>78</v>
      </c>
      <c r="F194">
        <v>0</v>
      </c>
      <c r="G194">
        <v>0</v>
      </c>
      <c r="H194">
        <v>17</v>
      </c>
      <c r="I194">
        <v>46</v>
      </c>
      <c r="J194">
        <v>0</v>
      </c>
      <c r="K194">
        <v>0</v>
      </c>
      <c r="L194">
        <v>15</v>
      </c>
    </row>
    <row r="195" spans="1:12" x14ac:dyDescent="0.35">
      <c r="A195" s="461" t="s">
        <v>258</v>
      </c>
      <c r="B195" s="461" t="s">
        <v>235</v>
      </c>
      <c r="C195" s="461" t="s">
        <v>295</v>
      </c>
      <c r="D195" s="461" t="s">
        <v>50</v>
      </c>
      <c r="E195">
        <v>173</v>
      </c>
      <c r="F195">
        <v>0</v>
      </c>
      <c r="G195">
        <v>0</v>
      </c>
      <c r="H195">
        <v>30</v>
      </c>
      <c r="I195">
        <v>123</v>
      </c>
      <c r="J195">
        <v>0</v>
      </c>
      <c r="K195">
        <v>0</v>
      </c>
      <c r="L195">
        <v>20</v>
      </c>
    </row>
    <row r="196" spans="1:12" x14ac:dyDescent="0.35">
      <c r="A196" s="461" t="s">
        <v>258</v>
      </c>
      <c r="B196" s="461" t="s">
        <v>235</v>
      </c>
      <c r="C196" s="461" t="s">
        <v>279</v>
      </c>
      <c r="D196" s="461" t="s">
        <v>51</v>
      </c>
      <c r="E196">
        <v>0</v>
      </c>
      <c r="F196">
        <v>0</v>
      </c>
      <c r="G196">
        <v>0</v>
      </c>
      <c r="H196">
        <v>0</v>
      </c>
      <c r="I196">
        <v>0</v>
      </c>
      <c r="J196">
        <v>0</v>
      </c>
      <c r="K196">
        <v>0</v>
      </c>
      <c r="L196">
        <v>0</v>
      </c>
    </row>
    <row r="197" spans="1:12" x14ac:dyDescent="0.35">
      <c r="A197" s="461" t="s">
        <v>258</v>
      </c>
      <c r="B197" s="461" t="s">
        <v>235</v>
      </c>
      <c r="C197" s="461" t="s">
        <v>280</v>
      </c>
      <c r="D197" s="461" t="s">
        <v>52</v>
      </c>
      <c r="E197">
        <v>68</v>
      </c>
      <c r="F197">
        <v>0</v>
      </c>
      <c r="G197">
        <v>0</v>
      </c>
      <c r="H197">
        <v>12</v>
      </c>
      <c r="I197">
        <v>52</v>
      </c>
      <c r="J197">
        <v>0</v>
      </c>
      <c r="K197">
        <v>0</v>
      </c>
      <c r="L197">
        <v>4</v>
      </c>
    </row>
    <row r="198" spans="1:12" x14ac:dyDescent="0.35">
      <c r="A198" s="461" t="s">
        <v>258</v>
      </c>
      <c r="B198" s="461" t="s">
        <v>235</v>
      </c>
      <c r="C198" s="461" t="s">
        <v>290</v>
      </c>
      <c r="D198" s="461" t="s">
        <v>53</v>
      </c>
      <c r="E198">
        <v>97</v>
      </c>
      <c r="F198">
        <v>0</v>
      </c>
      <c r="G198">
        <v>0</v>
      </c>
      <c r="H198">
        <v>21</v>
      </c>
      <c r="I198">
        <v>60</v>
      </c>
      <c r="J198">
        <v>0</v>
      </c>
      <c r="K198">
        <v>0</v>
      </c>
      <c r="L198">
        <v>16</v>
      </c>
    </row>
    <row r="199" spans="1:12" x14ac:dyDescent="0.35">
      <c r="A199" s="461" t="s">
        <v>258</v>
      </c>
      <c r="B199" s="461" t="s">
        <v>235</v>
      </c>
      <c r="C199" s="461" t="s">
        <v>281</v>
      </c>
      <c r="D199" s="461" t="s">
        <v>54</v>
      </c>
      <c r="E199">
        <v>56</v>
      </c>
      <c r="F199">
        <v>0</v>
      </c>
      <c r="G199">
        <v>0</v>
      </c>
      <c r="H199">
        <v>8</v>
      </c>
      <c r="I199">
        <v>40</v>
      </c>
      <c r="J199">
        <v>0</v>
      </c>
      <c r="K199">
        <v>0</v>
      </c>
      <c r="L199">
        <v>8</v>
      </c>
    </row>
    <row r="200" spans="1:12" x14ac:dyDescent="0.35">
      <c r="A200" s="461" t="s">
        <v>258</v>
      </c>
      <c r="B200" s="461" t="s">
        <v>235</v>
      </c>
      <c r="C200" s="461" t="s">
        <v>282</v>
      </c>
      <c r="D200" s="461" t="s">
        <v>55</v>
      </c>
      <c r="E200">
        <v>0</v>
      </c>
      <c r="F200">
        <v>0</v>
      </c>
      <c r="G200">
        <v>0</v>
      </c>
      <c r="H200">
        <v>0</v>
      </c>
      <c r="I200">
        <v>0</v>
      </c>
      <c r="J200">
        <v>0</v>
      </c>
      <c r="K200">
        <v>0</v>
      </c>
      <c r="L200">
        <v>0</v>
      </c>
    </row>
    <row r="201" spans="1:12" x14ac:dyDescent="0.35">
      <c r="A201" s="461" t="s">
        <v>258</v>
      </c>
      <c r="B201" s="461" t="s">
        <v>235</v>
      </c>
      <c r="C201" s="461" t="s">
        <v>283</v>
      </c>
      <c r="D201" s="461" t="s">
        <v>56</v>
      </c>
      <c r="E201">
        <v>54</v>
      </c>
      <c r="F201">
        <v>0</v>
      </c>
      <c r="G201">
        <v>0</v>
      </c>
      <c r="H201">
        <v>10</v>
      </c>
      <c r="I201">
        <v>39</v>
      </c>
      <c r="J201">
        <v>0</v>
      </c>
      <c r="K201">
        <v>0</v>
      </c>
      <c r="L201">
        <v>5</v>
      </c>
    </row>
    <row r="202" spans="1:12" x14ac:dyDescent="0.35">
      <c r="A202" s="461" t="s">
        <v>258</v>
      </c>
      <c r="B202" s="461" t="s">
        <v>235</v>
      </c>
      <c r="C202" s="461" t="s">
        <v>284</v>
      </c>
      <c r="D202" s="461" t="s">
        <v>57</v>
      </c>
      <c r="E202">
        <v>171</v>
      </c>
      <c r="F202">
        <v>0</v>
      </c>
      <c r="G202">
        <v>0</v>
      </c>
      <c r="H202">
        <v>34</v>
      </c>
      <c r="I202">
        <v>117</v>
      </c>
      <c r="J202">
        <v>0</v>
      </c>
      <c r="K202">
        <v>0</v>
      </c>
      <c r="L202">
        <v>20</v>
      </c>
    </row>
    <row r="203" spans="1:12" x14ac:dyDescent="0.35">
      <c r="A203" s="461" t="s">
        <v>258</v>
      </c>
      <c r="B203" s="461" t="s">
        <v>235</v>
      </c>
      <c r="C203" s="461" t="s">
        <v>285</v>
      </c>
      <c r="D203" s="461" t="s">
        <v>58</v>
      </c>
      <c r="E203">
        <v>53</v>
      </c>
      <c r="F203">
        <v>0</v>
      </c>
      <c r="G203">
        <v>0</v>
      </c>
      <c r="H203">
        <v>9</v>
      </c>
      <c r="I203">
        <v>40</v>
      </c>
      <c r="J203">
        <v>0</v>
      </c>
      <c r="K203">
        <v>0</v>
      </c>
      <c r="L203">
        <v>4</v>
      </c>
    </row>
    <row r="204" spans="1:12" x14ac:dyDescent="0.35">
      <c r="A204" s="461" t="s">
        <v>258</v>
      </c>
      <c r="B204" s="461" t="s">
        <v>235</v>
      </c>
      <c r="C204" s="461" t="s">
        <v>291</v>
      </c>
      <c r="D204" s="461" t="s">
        <v>59</v>
      </c>
      <c r="E204">
        <v>69</v>
      </c>
      <c r="F204">
        <v>0</v>
      </c>
      <c r="G204">
        <v>0</v>
      </c>
      <c r="H204">
        <v>15</v>
      </c>
      <c r="I204">
        <v>44</v>
      </c>
      <c r="J204">
        <v>0</v>
      </c>
      <c r="K204">
        <v>0</v>
      </c>
      <c r="L204">
        <v>10</v>
      </c>
    </row>
    <row r="205" spans="1:12" x14ac:dyDescent="0.35">
      <c r="A205" s="461" t="s">
        <v>258</v>
      </c>
      <c r="B205" s="461" t="s">
        <v>235</v>
      </c>
      <c r="C205" s="461" t="s">
        <v>292</v>
      </c>
      <c r="D205" s="461" t="s">
        <v>60</v>
      </c>
      <c r="E205">
        <v>60</v>
      </c>
      <c r="F205">
        <v>0</v>
      </c>
      <c r="G205">
        <v>0</v>
      </c>
      <c r="H205">
        <v>10</v>
      </c>
      <c r="I205">
        <v>42</v>
      </c>
      <c r="J205">
        <v>0</v>
      </c>
      <c r="K205">
        <v>0</v>
      </c>
      <c r="L205">
        <v>8</v>
      </c>
    </row>
    <row r="206" spans="1:12" x14ac:dyDescent="0.35">
      <c r="A206" s="461" t="s">
        <v>258</v>
      </c>
      <c r="B206" s="461" t="s">
        <v>236</v>
      </c>
      <c r="C206" s="461" t="s">
        <v>326</v>
      </c>
      <c r="D206" s="461" t="s">
        <v>31</v>
      </c>
      <c r="E206">
        <v>14</v>
      </c>
      <c r="F206">
        <v>1</v>
      </c>
      <c r="G206">
        <v>0</v>
      </c>
      <c r="H206">
        <v>2</v>
      </c>
      <c r="I206">
        <v>2</v>
      </c>
      <c r="J206">
        <v>1</v>
      </c>
      <c r="K206">
        <v>3</v>
      </c>
      <c r="L206">
        <v>5</v>
      </c>
    </row>
    <row r="207" spans="1:12" x14ac:dyDescent="0.35">
      <c r="A207" s="461" t="s">
        <v>258</v>
      </c>
      <c r="B207" s="461" t="s">
        <v>236</v>
      </c>
      <c r="C207" s="461" t="s">
        <v>327</v>
      </c>
      <c r="D207" s="461" t="s">
        <v>63</v>
      </c>
      <c r="E207">
        <v>25</v>
      </c>
      <c r="F207">
        <v>1</v>
      </c>
      <c r="G207">
        <v>0</v>
      </c>
      <c r="H207">
        <v>5</v>
      </c>
      <c r="I207">
        <v>0</v>
      </c>
      <c r="J207">
        <v>2</v>
      </c>
      <c r="K207">
        <v>8</v>
      </c>
      <c r="L207">
        <v>9</v>
      </c>
    </row>
    <row r="208" spans="1:12" x14ac:dyDescent="0.35">
      <c r="A208" s="461" t="s">
        <v>258</v>
      </c>
      <c r="B208" s="461" t="s">
        <v>236</v>
      </c>
      <c r="C208" s="461" t="s">
        <v>17424</v>
      </c>
      <c r="D208" s="461" t="s">
        <v>266</v>
      </c>
      <c r="E208">
        <v>386</v>
      </c>
      <c r="F208">
        <v>16</v>
      </c>
      <c r="G208">
        <v>0</v>
      </c>
      <c r="H208">
        <v>61</v>
      </c>
      <c r="I208">
        <v>27</v>
      </c>
      <c r="J208">
        <v>47</v>
      </c>
      <c r="K208">
        <v>116</v>
      </c>
      <c r="L208">
        <v>119</v>
      </c>
    </row>
    <row r="209" spans="1:12" x14ac:dyDescent="0.35">
      <c r="A209" s="461" t="s">
        <v>258</v>
      </c>
      <c r="B209" s="461" t="s">
        <v>236</v>
      </c>
      <c r="C209" s="461" t="s">
        <v>329</v>
      </c>
      <c r="D209" s="461" t="s">
        <v>64</v>
      </c>
      <c r="E209">
        <v>26</v>
      </c>
      <c r="F209">
        <v>1</v>
      </c>
      <c r="G209">
        <v>0</v>
      </c>
      <c r="H209">
        <v>4</v>
      </c>
      <c r="I209">
        <v>2</v>
      </c>
      <c r="J209">
        <v>3</v>
      </c>
      <c r="K209">
        <v>9</v>
      </c>
      <c r="L209">
        <v>7</v>
      </c>
    </row>
    <row r="210" spans="1:12" x14ac:dyDescent="0.35">
      <c r="A210" s="461" t="s">
        <v>258</v>
      </c>
      <c r="B210" s="461" t="s">
        <v>236</v>
      </c>
      <c r="C210" s="461" t="s">
        <v>330</v>
      </c>
      <c r="D210" s="461" t="s">
        <v>36</v>
      </c>
      <c r="E210">
        <v>21</v>
      </c>
      <c r="F210">
        <v>1</v>
      </c>
      <c r="G210">
        <v>0</v>
      </c>
      <c r="H210">
        <v>3</v>
      </c>
      <c r="I210">
        <v>0</v>
      </c>
      <c r="J210">
        <v>2</v>
      </c>
      <c r="K210">
        <v>6</v>
      </c>
      <c r="L210">
        <v>9</v>
      </c>
    </row>
    <row r="211" spans="1:12" x14ac:dyDescent="0.35">
      <c r="A211" s="461" t="s">
        <v>258</v>
      </c>
      <c r="B211" s="461" t="s">
        <v>236</v>
      </c>
      <c r="C211" s="461" t="s">
        <v>328</v>
      </c>
      <c r="D211" s="461" t="s">
        <v>65</v>
      </c>
      <c r="E211">
        <v>28</v>
      </c>
      <c r="F211">
        <v>1</v>
      </c>
      <c r="G211">
        <v>0</v>
      </c>
      <c r="H211">
        <v>2</v>
      </c>
      <c r="I211">
        <v>2</v>
      </c>
      <c r="J211">
        <v>4</v>
      </c>
      <c r="K211">
        <v>9</v>
      </c>
      <c r="L211">
        <v>10</v>
      </c>
    </row>
    <row r="212" spans="1:12" x14ac:dyDescent="0.35">
      <c r="A212" s="461" t="s">
        <v>258</v>
      </c>
      <c r="B212" s="461" t="s">
        <v>236</v>
      </c>
      <c r="C212" s="461" t="s">
        <v>331</v>
      </c>
      <c r="D212" s="461" t="s">
        <v>66</v>
      </c>
      <c r="E212">
        <v>29</v>
      </c>
      <c r="F212">
        <v>1</v>
      </c>
      <c r="G212">
        <v>0</v>
      </c>
      <c r="H212">
        <v>5</v>
      </c>
      <c r="I212">
        <v>1</v>
      </c>
      <c r="J212">
        <v>4</v>
      </c>
      <c r="K212">
        <v>9</v>
      </c>
      <c r="L212">
        <v>9</v>
      </c>
    </row>
    <row r="213" spans="1:12" x14ac:dyDescent="0.35">
      <c r="A213" s="461" t="s">
        <v>258</v>
      </c>
      <c r="B213" s="461" t="s">
        <v>236</v>
      </c>
      <c r="C213" s="461" t="s">
        <v>332</v>
      </c>
      <c r="D213" s="461" t="s">
        <v>67</v>
      </c>
      <c r="E213">
        <v>31</v>
      </c>
      <c r="F213">
        <v>1</v>
      </c>
      <c r="G213">
        <v>0</v>
      </c>
      <c r="H213">
        <v>5</v>
      </c>
      <c r="I213">
        <v>5</v>
      </c>
      <c r="J213">
        <v>4</v>
      </c>
      <c r="K213">
        <v>8</v>
      </c>
      <c r="L213">
        <v>8</v>
      </c>
    </row>
    <row r="214" spans="1:12" x14ac:dyDescent="0.35">
      <c r="A214" s="461" t="s">
        <v>258</v>
      </c>
      <c r="B214" s="461" t="s">
        <v>236</v>
      </c>
      <c r="C214" s="461" t="s">
        <v>333</v>
      </c>
      <c r="D214" s="461" t="s">
        <v>68</v>
      </c>
      <c r="E214">
        <v>18</v>
      </c>
      <c r="F214">
        <v>1</v>
      </c>
      <c r="G214">
        <v>0</v>
      </c>
      <c r="H214">
        <v>2</v>
      </c>
      <c r="I214">
        <v>1</v>
      </c>
      <c r="J214">
        <v>3</v>
      </c>
      <c r="K214">
        <v>4</v>
      </c>
      <c r="L214">
        <v>7</v>
      </c>
    </row>
    <row r="215" spans="1:12" x14ac:dyDescent="0.35">
      <c r="A215" s="461" t="s">
        <v>258</v>
      </c>
      <c r="B215" s="461" t="s">
        <v>236</v>
      </c>
      <c r="C215" s="461" t="s">
        <v>334</v>
      </c>
      <c r="D215" s="461" t="s">
        <v>167</v>
      </c>
      <c r="E215">
        <v>27</v>
      </c>
      <c r="F215">
        <v>1</v>
      </c>
      <c r="G215">
        <v>0</v>
      </c>
      <c r="H215">
        <v>2</v>
      </c>
      <c r="I215">
        <v>4</v>
      </c>
      <c r="J215">
        <v>3</v>
      </c>
      <c r="K215">
        <v>6</v>
      </c>
      <c r="L215">
        <v>11</v>
      </c>
    </row>
    <row r="216" spans="1:12" x14ac:dyDescent="0.35">
      <c r="A216" s="461" t="s">
        <v>258</v>
      </c>
      <c r="B216" s="461" t="s">
        <v>236</v>
      </c>
      <c r="C216" s="461" t="s">
        <v>335</v>
      </c>
      <c r="D216" s="461" t="s">
        <v>69</v>
      </c>
      <c r="E216">
        <v>21</v>
      </c>
      <c r="F216">
        <v>1</v>
      </c>
      <c r="G216">
        <v>0</v>
      </c>
      <c r="H216">
        <v>3</v>
      </c>
      <c r="I216">
        <v>2</v>
      </c>
      <c r="J216">
        <v>2</v>
      </c>
      <c r="K216">
        <v>6</v>
      </c>
      <c r="L216">
        <v>7</v>
      </c>
    </row>
    <row r="217" spans="1:12" x14ac:dyDescent="0.35">
      <c r="A217" s="461" t="s">
        <v>258</v>
      </c>
      <c r="B217" s="461" t="s">
        <v>236</v>
      </c>
      <c r="C217" s="461" t="s">
        <v>17425</v>
      </c>
      <c r="D217" s="461" t="s">
        <v>43</v>
      </c>
      <c r="E217">
        <v>24</v>
      </c>
      <c r="F217">
        <v>1</v>
      </c>
      <c r="G217">
        <v>0</v>
      </c>
      <c r="H217">
        <v>3</v>
      </c>
      <c r="I217">
        <v>3</v>
      </c>
      <c r="J217">
        <v>2</v>
      </c>
      <c r="K217">
        <v>7</v>
      </c>
      <c r="L217">
        <v>8</v>
      </c>
    </row>
    <row r="218" spans="1:12" x14ac:dyDescent="0.35">
      <c r="A218" s="461" t="s">
        <v>258</v>
      </c>
      <c r="B218" s="461" t="s">
        <v>236</v>
      </c>
      <c r="C218" s="461" t="s">
        <v>17426</v>
      </c>
      <c r="D218" s="461" t="s">
        <v>114</v>
      </c>
      <c r="E218">
        <v>25</v>
      </c>
      <c r="F218">
        <v>1</v>
      </c>
      <c r="G218">
        <v>0</v>
      </c>
      <c r="H218">
        <v>3</v>
      </c>
      <c r="I218">
        <v>2</v>
      </c>
      <c r="J218">
        <v>4</v>
      </c>
      <c r="K218">
        <v>9</v>
      </c>
      <c r="L218">
        <v>6</v>
      </c>
    </row>
    <row r="219" spans="1:12" x14ac:dyDescent="0.35">
      <c r="A219" s="461" t="s">
        <v>258</v>
      </c>
      <c r="B219" s="461" t="s">
        <v>236</v>
      </c>
      <c r="C219" s="461" t="s">
        <v>336</v>
      </c>
      <c r="D219" s="461" t="s">
        <v>70</v>
      </c>
      <c r="E219">
        <v>36</v>
      </c>
      <c r="F219">
        <v>1</v>
      </c>
      <c r="G219">
        <v>0</v>
      </c>
      <c r="H219">
        <v>10</v>
      </c>
      <c r="I219">
        <v>0</v>
      </c>
      <c r="J219">
        <v>4</v>
      </c>
      <c r="K219">
        <v>13</v>
      </c>
      <c r="L219">
        <v>8</v>
      </c>
    </row>
    <row r="220" spans="1:12" x14ac:dyDescent="0.35">
      <c r="A220" s="461" t="s">
        <v>258</v>
      </c>
      <c r="B220" s="461" t="s">
        <v>236</v>
      </c>
      <c r="C220" s="461" t="s">
        <v>17427</v>
      </c>
      <c r="D220" s="461" t="s">
        <v>50</v>
      </c>
      <c r="E220">
        <v>15</v>
      </c>
      <c r="F220">
        <v>1</v>
      </c>
      <c r="G220">
        <v>0</v>
      </c>
      <c r="H220">
        <v>1</v>
      </c>
      <c r="I220">
        <v>1</v>
      </c>
      <c r="J220">
        <v>2</v>
      </c>
      <c r="K220">
        <v>5</v>
      </c>
      <c r="L220">
        <v>5</v>
      </c>
    </row>
    <row r="221" spans="1:12" x14ac:dyDescent="0.35">
      <c r="A221" s="461" t="s">
        <v>258</v>
      </c>
      <c r="B221" s="461" t="s">
        <v>236</v>
      </c>
      <c r="C221" s="461" t="s">
        <v>337</v>
      </c>
      <c r="D221" s="461" t="s">
        <v>57</v>
      </c>
      <c r="E221">
        <v>15</v>
      </c>
      <c r="F221">
        <v>1</v>
      </c>
      <c r="G221">
        <v>0</v>
      </c>
      <c r="H221">
        <v>2</v>
      </c>
      <c r="I221">
        <v>1</v>
      </c>
      <c r="J221">
        <v>2</v>
      </c>
      <c r="K221">
        <v>5</v>
      </c>
      <c r="L221">
        <v>4</v>
      </c>
    </row>
    <row r="222" spans="1:12" x14ac:dyDescent="0.35">
      <c r="A222" s="461" t="s">
        <v>258</v>
      </c>
      <c r="B222" s="461" t="s">
        <v>236</v>
      </c>
      <c r="C222" s="461" t="s">
        <v>17428</v>
      </c>
      <c r="D222" s="461" t="s">
        <v>17412</v>
      </c>
      <c r="E222">
        <v>15</v>
      </c>
      <c r="F222">
        <v>0</v>
      </c>
      <c r="G222">
        <v>0</v>
      </c>
      <c r="H222">
        <v>3</v>
      </c>
      <c r="I222">
        <v>1</v>
      </c>
      <c r="J222">
        <v>2</v>
      </c>
      <c r="K222">
        <v>4</v>
      </c>
      <c r="L222">
        <v>5</v>
      </c>
    </row>
    <row r="223" spans="1:12" x14ac:dyDescent="0.35">
      <c r="A223" s="461" t="s">
        <v>258</v>
      </c>
      <c r="B223" s="461" t="s">
        <v>236</v>
      </c>
      <c r="C223" s="461" t="s">
        <v>338</v>
      </c>
      <c r="D223" s="461" t="s">
        <v>71</v>
      </c>
      <c r="E223">
        <v>16</v>
      </c>
      <c r="F223">
        <v>1</v>
      </c>
      <c r="G223">
        <v>0</v>
      </c>
      <c r="H223">
        <v>6</v>
      </c>
      <c r="I223">
        <v>0</v>
      </c>
      <c r="J223">
        <v>3</v>
      </c>
      <c r="K223">
        <v>5</v>
      </c>
      <c r="L223">
        <v>1</v>
      </c>
    </row>
    <row r="224" spans="1:12" x14ac:dyDescent="0.35">
      <c r="A224" s="461" t="s">
        <v>258</v>
      </c>
      <c r="B224" s="461" t="s">
        <v>237</v>
      </c>
      <c r="C224" s="461" t="s">
        <v>17424</v>
      </c>
      <c r="D224" s="461" t="s">
        <v>266</v>
      </c>
    </row>
    <row r="225" spans="1:12" x14ac:dyDescent="0.35">
      <c r="A225" s="461" t="s">
        <v>258</v>
      </c>
      <c r="B225" s="461" t="s">
        <v>237</v>
      </c>
      <c r="C225" s="461" t="s">
        <v>353</v>
      </c>
      <c r="D225" s="461" t="s">
        <v>166</v>
      </c>
      <c r="E225">
        <v>38</v>
      </c>
      <c r="F225">
        <v>1</v>
      </c>
      <c r="G225">
        <v>0</v>
      </c>
      <c r="H225">
        <v>6</v>
      </c>
      <c r="I225">
        <v>1</v>
      </c>
      <c r="J225">
        <v>5</v>
      </c>
      <c r="K225">
        <v>5</v>
      </c>
      <c r="L225">
        <v>20</v>
      </c>
    </row>
    <row r="226" spans="1:12" x14ac:dyDescent="0.35">
      <c r="A226" s="461" t="s">
        <v>258</v>
      </c>
      <c r="B226" s="461" t="s">
        <v>237</v>
      </c>
      <c r="C226" s="461" t="s">
        <v>355</v>
      </c>
      <c r="D226" s="461" t="s">
        <v>164</v>
      </c>
      <c r="E226">
        <v>45</v>
      </c>
      <c r="F226">
        <v>1</v>
      </c>
      <c r="G226">
        <v>0</v>
      </c>
      <c r="H226">
        <v>6</v>
      </c>
      <c r="I226">
        <v>1</v>
      </c>
      <c r="J226">
        <v>4</v>
      </c>
      <c r="K226">
        <v>9</v>
      </c>
      <c r="L226">
        <v>24</v>
      </c>
    </row>
    <row r="227" spans="1:12" x14ac:dyDescent="0.35">
      <c r="A227" s="461" t="s">
        <v>258</v>
      </c>
      <c r="B227" s="461" t="s">
        <v>237</v>
      </c>
      <c r="C227" s="461" t="s">
        <v>354</v>
      </c>
      <c r="D227" s="461" t="s">
        <v>165</v>
      </c>
      <c r="E227">
        <v>68</v>
      </c>
      <c r="F227">
        <v>1</v>
      </c>
      <c r="G227">
        <v>0</v>
      </c>
      <c r="H227">
        <v>10</v>
      </c>
      <c r="I227">
        <v>1</v>
      </c>
      <c r="J227">
        <v>3</v>
      </c>
      <c r="K227">
        <v>11</v>
      </c>
      <c r="L227">
        <v>42</v>
      </c>
    </row>
    <row r="228" spans="1:12" x14ac:dyDescent="0.35">
      <c r="A228" s="461" t="s">
        <v>258</v>
      </c>
      <c r="B228" s="461" t="s">
        <v>238</v>
      </c>
      <c r="C228" s="461" t="s">
        <v>339</v>
      </c>
      <c r="D228" s="461" t="s">
        <v>246</v>
      </c>
      <c r="E228">
        <v>182</v>
      </c>
      <c r="F228">
        <v>15</v>
      </c>
      <c r="G228">
        <v>4</v>
      </c>
      <c r="H228">
        <v>0</v>
      </c>
      <c r="I228">
        <v>101</v>
      </c>
      <c r="J228">
        <v>11</v>
      </c>
      <c r="K228">
        <v>9</v>
      </c>
      <c r="L228">
        <v>42</v>
      </c>
    </row>
    <row r="229" spans="1:12" x14ac:dyDescent="0.35">
      <c r="A229" s="461" t="s">
        <v>258</v>
      </c>
      <c r="B229" s="461" t="s">
        <v>26</v>
      </c>
      <c r="C229" s="461" t="s">
        <v>339</v>
      </c>
      <c r="D229" s="461" t="s">
        <v>246</v>
      </c>
      <c r="E229">
        <v>3644</v>
      </c>
      <c r="F229">
        <v>34</v>
      </c>
      <c r="G229">
        <v>4</v>
      </c>
      <c r="H229">
        <v>635</v>
      </c>
      <c r="I229">
        <v>2158</v>
      </c>
      <c r="J229">
        <v>70</v>
      </c>
      <c r="K229">
        <v>151</v>
      </c>
      <c r="L229">
        <v>590</v>
      </c>
    </row>
    <row r="230" spans="1:12" x14ac:dyDescent="0.35">
      <c r="A230" s="461" t="s">
        <v>242</v>
      </c>
      <c r="B230" s="461" t="s">
        <v>235</v>
      </c>
      <c r="C230" s="461" t="s">
        <v>286</v>
      </c>
      <c r="D230" s="461" t="s">
        <v>31</v>
      </c>
      <c r="E230">
        <v>145</v>
      </c>
      <c r="H230">
        <v>33</v>
      </c>
      <c r="I230">
        <v>97</v>
      </c>
      <c r="L230">
        <v>15</v>
      </c>
    </row>
    <row r="231" spans="1:12" x14ac:dyDescent="0.35">
      <c r="A231" s="461" t="s">
        <v>242</v>
      </c>
      <c r="B231" s="461" t="s">
        <v>235</v>
      </c>
      <c r="C231" s="461" t="s">
        <v>287</v>
      </c>
      <c r="D231" s="461" t="s">
        <v>32</v>
      </c>
      <c r="E231">
        <v>24</v>
      </c>
      <c r="H231">
        <v>5</v>
      </c>
      <c r="I231">
        <v>14</v>
      </c>
      <c r="L231">
        <v>5</v>
      </c>
    </row>
    <row r="232" spans="1:12" x14ac:dyDescent="0.35">
      <c r="A232" s="461" t="s">
        <v>242</v>
      </c>
      <c r="B232" s="461" t="s">
        <v>235</v>
      </c>
      <c r="C232" s="461" t="s">
        <v>17424</v>
      </c>
      <c r="D232" s="461" t="s">
        <v>266</v>
      </c>
      <c r="E232">
        <v>2868</v>
      </c>
      <c r="H232">
        <v>588</v>
      </c>
      <c r="I232">
        <v>1905</v>
      </c>
      <c r="L232">
        <v>375</v>
      </c>
    </row>
    <row r="233" spans="1:12" x14ac:dyDescent="0.35">
      <c r="A233" s="461" t="s">
        <v>242</v>
      </c>
      <c r="B233" s="461" t="s">
        <v>235</v>
      </c>
      <c r="C233" s="461" t="s">
        <v>293</v>
      </c>
      <c r="D233" s="461" t="s">
        <v>33</v>
      </c>
      <c r="E233">
        <v>28</v>
      </c>
      <c r="H233">
        <v>5</v>
      </c>
      <c r="I233">
        <v>18</v>
      </c>
      <c r="L233">
        <v>5</v>
      </c>
    </row>
    <row r="234" spans="1:12" x14ac:dyDescent="0.35">
      <c r="A234" s="461" t="s">
        <v>242</v>
      </c>
      <c r="B234" s="461" t="s">
        <v>235</v>
      </c>
      <c r="C234" s="461" t="s">
        <v>288</v>
      </c>
      <c r="D234" s="461" t="s">
        <v>34</v>
      </c>
      <c r="E234">
        <v>50</v>
      </c>
      <c r="H234">
        <v>10</v>
      </c>
      <c r="I234">
        <v>30</v>
      </c>
      <c r="L234">
        <v>10</v>
      </c>
    </row>
    <row r="235" spans="1:12" x14ac:dyDescent="0.35">
      <c r="A235" s="461" t="s">
        <v>242</v>
      </c>
      <c r="B235" s="461" t="s">
        <v>235</v>
      </c>
      <c r="C235" s="461" t="s">
        <v>289</v>
      </c>
      <c r="D235" s="461" t="s">
        <v>245</v>
      </c>
      <c r="E235">
        <v>293</v>
      </c>
      <c r="H235">
        <v>54</v>
      </c>
      <c r="I235">
        <v>204</v>
      </c>
      <c r="L235">
        <v>35</v>
      </c>
    </row>
    <row r="236" spans="1:12" x14ac:dyDescent="0.35">
      <c r="A236" s="461" t="s">
        <v>242</v>
      </c>
      <c r="B236" s="461" t="s">
        <v>235</v>
      </c>
      <c r="C236" s="461" t="s">
        <v>267</v>
      </c>
      <c r="D236" s="461" t="s">
        <v>35</v>
      </c>
      <c r="E236">
        <v>25</v>
      </c>
      <c r="H236">
        <v>5</v>
      </c>
      <c r="I236">
        <v>15</v>
      </c>
      <c r="L236">
        <v>5</v>
      </c>
    </row>
    <row r="237" spans="1:12" x14ac:dyDescent="0.35">
      <c r="A237" s="461" t="s">
        <v>242</v>
      </c>
      <c r="B237" s="461" t="s">
        <v>235</v>
      </c>
      <c r="C237" s="461" t="s">
        <v>268</v>
      </c>
      <c r="D237" s="461" t="s">
        <v>36</v>
      </c>
      <c r="E237">
        <v>54</v>
      </c>
      <c r="H237">
        <v>11</v>
      </c>
      <c r="I237">
        <v>38</v>
      </c>
      <c r="L237">
        <v>5</v>
      </c>
    </row>
    <row r="238" spans="1:12" x14ac:dyDescent="0.35">
      <c r="A238" s="461" t="s">
        <v>242</v>
      </c>
      <c r="B238" s="461" t="s">
        <v>235</v>
      </c>
      <c r="C238" s="461" t="s">
        <v>294</v>
      </c>
      <c r="D238" s="461" t="s">
        <v>37</v>
      </c>
      <c r="E238">
        <v>178</v>
      </c>
      <c r="H238">
        <v>35</v>
      </c>
      <c r="I238">
        <v>122</v>
      </c>
      <c r="L238">
        <v>21</v>
      </c>
    </row>
    <row r="239" spans="1:12" x14ac:dyDescent="0.35">
      <c r="A239" s="461" t="s">
        <v>242</v>
      </c>
      <c r="B239" s="461" t="s">
        <v>235</v>
      </c>
      <c r="C239" s="461" t="s">
        <v>269</v>
      </c>
      <c r="D239" s="461" t="s">
        <v>38</v>
      </c>
      <c r="E239">
        <v>49</v>
      </c>
      <c r="H239">
        <v>10</v>
      </c>
      <c r="I239">
        <v>34</v>
      </c>
      <c r="L239">
        <v>5</v>
      </c>
    </row>
    <row r="240" spans="1:12" x14ac:dyDescent="0.35">
      <c r="A240" s="461" t="s">
        <v>242</v>
      </c>
      <c r="B240" s="461" t="s">
        <v>235</v>
      </c>
      <c r="C240" s="461" t="s">
        <v>296</v>
      </c>
      <c r="D240" s="461" t="s">
        <v>39</v>
      </c>
      <c r="E240">
        <v>78</v>
      </c>
      <c r="H240">
        <v>15</v>
      </c>
      <c r="I240">
        <v>48</v>
      </c>
      <c r="L240">
        <v>15</v>
      </c>
    </row>
    <row r="241" spans="1:12" x14ac:dyDescent="0.35">
      <c r="A241" s="461" t="s">
        <v>242</v>
      </c>
      <c r="B241" s="461" t="s">
        <v>235</v>
      </c>
      <c r="C241" s="461" t="s">
        <v>270</v>
      </c>
      <c r="D241" s="461" t="s">
        <v>40</v>
      </c>
      <c r="E241">
        <v>23</v>
      </c>
      <c r="H241">
        <v>5</v>
      </c>
      <c r="I241">
        <v>13</v>
      </c>
      <c r="L241">
        <v>5</v>
      </c>
    </row>
    <row r="242" spans="1:12" x14ac:dyDescent="0.35">
      <c r="A242" s="461" t="s">
        <v>242</v>
      </c>
      <c r="B242" s="461" t="s">
        <v>235</v>
      </c>
      <c r="C242" s="461" t="s">
        <v>271</v>
      </c>
      <c r="D242" s="461" t="s">
        <v>41</v>
      </c>
      <c r="E242">
        <v>51</v>
      </c>
      <c r="H242">
        <v>10</v>
      </c>
      <c r="I242">
        <v>30</v>
      </c>
      <c r="L242">
        <v>11</v>
      </c>
    </row>
    <row r="243" spans="1:12" x14ac:dyDescent="0.35">
      <c r="A243" s="461" t="s">
        <v>242</v>
      </c>
      <c r="B243" s="461" t="s">
        <v>235</v>
      </c>
      <c r="C243" s="461" t="s">
        <v>273</v>
      </c>
      <c r="D243" s="461" t="s">
        <v>42</v>
      </c>
      <c r="E243">
        <v>87</v>
      </c>
      <c r="H243">
        <v>22</v>
      </c>
      <c r="I243">
        <v>49</v>
      </c>
      <c r="L243">
        <v>16</v>
      </c>
    </row>
    <row r="244" spans="1:12" x14ac:dyDescent="0.35">
      <c r="A244" s="461" t="s">
        <v>242</v>
      </c>
      <c r="B244" s="461" t="s">
        <v>235</v>
      </c>
      <c r="C244" s="461" t="s">
        <v>298</v>
      </c>
      <c r="D244" s="461" t="s">
        <v>43</v>
      </c>
      <c r="E244">
        <v>254</v>
      </c>
      <c r="H244">
        <v>49</v>
      </c>
      <c r="I244">
        <v>181</v>
      </c>
      <c r="L244">
        <v>24</v>
      </c>
    </row>
    <row r="245" spans="1:12" x14ac:dyDescent="0.35">
      <c r="A245" s="461" t="s">
        <v>242</v>
      </c>
      <c r="B245" s="461" t="s">
        <v>235</v>
      </c>
      <c r="C245" s="461" t="s">
        <v>297</v>
      </c>
      <c r="D245" s="461" t="s">
        <v>114</v>
      </c>
      <c r="E245">
        <v>489</v>
      </c>
      <c r="H245">
        <v>113</v>
      </c>
      <c r="I245">
        <v>319</v>
      </c>
      <c r="L245">
        <v>57</v>
      </c>
    </row>
    <row r="246" spans="1:12" x14ac:dyDescent="0.35">
      <c r="A246" s="461" t="s">
        <v>242</v>
      </c>
      <c r="B246" s="461" t="s">
        <v>235</v>
      </c>
      <c r="C246" s="461" t="s">
        <v>274</v>
      </c>
      <c r="D246" s="461" t="s">
        <v>44</v>
      </c>
      <c r="E246">
        <v>68</v>
      </c>
      <c r="H246">
        <v>15</v>
      </c>
      <c r="I246">
        <v>49</v>
      </c>
      <c r="L246">
        <v>4</v>
      </c>
    </row>
    <row r="247" spans="1:12" x14ac:dyDescent="0.35">
      <c r="A247" s="461" t="s">
        <v>242</v>
      </c>
      <c r="B247" s="461" t="s">
        <v>235</v>
      </c>
      <c r="C247" s="461" t="s">
        <v>275</v>
      </c>
      <c r="D247" s="461" t="s">
        <v>45</v>
      </c>
      <c r="E247">
        <v>72</v>
      </c>
      <c r="H247">
        <v>15</v>
      </c>
      <c r="I247">
        <v>44</v>
      </c>
      <c r="L247">
        <v>13</v>
      </c>
    </row>
    <row r="248" spans="1:12" x14ac:dyDescent="0.35">
      <c r="A248" s="461" t="s">
        <v>242</v>
      </c>
      <c r="B248" s="461" t="s">
        <v>235</v>
      </c>
      <c r="C248" s="461" t="s">
        <v>276</v>
      </c>
      <c r="D248" s="461" t="s">
        <v>46</v>
      </c>
      <c r="E248">
        <v>28</v>
      </c>
      <c r="H248">
        <v>5</v>
      </c>
      <c r="I248">
        <v>18</v>
      </c>
      <c r="L248">
        <v>5</v>
      </c>
    </row>
    <row r="249" spans="1:12" x14ac:dyDescent="0.35">
      <c r="A249" s="461" t="s">
        <v>242</v>
      </c>
      <c r="B249" s="461" t="s">
        <v>235</v>
      </c>
      <c r="C249" s="461" t="s">
        <v>277</v>
      </c>
      <c r="D249" s="461" t="s">
        <v>47</v>
      </c>
      <c r="E249">
        <v>29</v>
      </c>
      <c r="H249">
        <v>5</v>
      </c>
      <c r="I249">
        <v>19</v>
      </c>
      <c r="L249">
        <v>5</v>
      </c>
    </row>
    <row r="250" spans="1:12" x14ac:dyDescent="0.35">
      <c r="A250" s="461" t="s">
        <v>242</v>
      </c>
      <c r="B250" s="461" t="s">
        <v>235</v>
      </c>
      <c r="C250" s="461" t="s">
        <v>278</v>
      </c>
      <c r="D250" s="461" t="s">
        <v>49</v>
      </c>
      <c r="E250">
        <v>76</v>
      </c>
      <c r="H250">
        <v>16</v>
      </c>
      <c r="I250">
        <v>45</v>
      </c>
      <c r="L250">
        <v>15</v>
      </c>
    </row>
    <row r="251" spans="1:12" x14ac:dyDescent="0.35">
      <c r="A251" s="461" t="s">
        <v>242</v>
      </c>
      <c r="B251" s="461" t="s">
        <v>235</v>
      </c>
      <c r="C251" s="461" t="s">
        <v>295</v>
      </c>
      <c r="D251" s="461" t="s">
        <v>50</v>
      </c>
      <c r="E251">
        <v>163</v>
      </c>
      <c r="H251">
        <v>31</v>
      </c>
      <c r="I251">
        <v>113</v>
      </c>
      <c r="L251">
        <v>19</v>
      </c>
    </row>
    <row r="252" spans="1:12" x14ac:dyDescent="0.35">
      <c r="A252" s="461" t="s">
        <v>242</v>
      </c>
      <c r="B252" s="461" t="s">
        <v>235</v>
      </c>
      <c r="C252" s="461" t="s">
        <v>280</v>
      </c>
      <c r="D252" s="461" t="s">
        <v>52</v>
      </c>
      <c r="E252">
        <v>69</v>
      </c>
      <c r="H252">
        <v>10</v>
      </c>
      <c r="I252">
        <v>54</v>
      </c>
      <c r="L252">
        <v>5</v>
      </c>
    </row>
    <row r="253" spans="1:12" x14ac:dyDescent="0.35">
      <c r="A253" s="461" t="s">
        <v>242</v>
      </c>
      <c r="B253" s="461" t="s">
        <v>235</v>
      </c>
      <c r="C253" s="461" t="s">
        <v>290</v>
      </c>
      <c r="D253" s="461" t="s">
        <v>53</v>
      </c>
      <c r="E253">
        <v>94</v>
      </c>
      <c r="H253">
        <v>20</v>
      </c>
      <c r="I253">
        <v>59</v>
      </c>
      <c r="L253">
        <v>15</v>
      </c>
    </row>
    <row r="254" spans="1:12" x14ac:dyDescent="0.35">
      <c r="A254" s="461" t="s">
        <v>242</v>
      </c>
      <c r="B254" s="461" t="s">
        <v>235</v>
      </c>
      <c r="C254" s="461" t="s">
        <v>281</v>
      </c>
      <c r="D254" s="461" t="s">
        <v>54</v>
      </c>
      <c r="E254">
        <v>51</v>
      </c>
      <c r="H254">
        <v>9</v>
      </c>
      <c r="I254">
        <v>32</v>
      </c>
      <c r="L254">
        <v>10</v>
      </c>
    </row>
    <row r="255" spans="1:12" x14ac:dyDescent="0.35">
      <c r="A255" s="461" t="s">
        <v>242</v>
      </c>
      <c r="B255" s="461" t="s">
        <v>235</v>
      </c>
      <c r="C255" s="461" t="s">
        <v>283</v>
      </c>
      <c r="D255" s="461" t="s">
        <v>56</v>
      </c>
      <c r="E255">
        <v>50</v>
      </c>
      <c r="H255">
        <v>10</v>
      </c>
      <c r="I255">
        <v>35</v>
      </c>
      <c r="L255">
        <v>5</v>
      </c>
    </row>
    <row r="256" spans="1:12" x14ac:dyDescent="0.35">
      <c r="A256" s="461" t="s">
        <v>242</v>
      </c>
      <c r="B256" s="461" t="s">
        <v>235</v>
      </c>
      <c r="C256" s="461" t="s">
        <v>284</v>
      </c>
      <c r="D256" s="461" t="s">
        <v>57</v>
      </c>
      <c r="E256">
        <v>166</v>
      </c>
      <c r="H256">
        <v>35</v>
      </c>
      <c r="I256">
        <v>111</v>
      </c>
      <c r="L256">
        <v>20</v>
      </c>
    </row>
    <row r="257" spans="1:12" x14ac:dyDescent="0.35">
      <c r="A257" s="461" t="s">
        <v>242</v>
      </c>
      <c r="B257" s="461" t="s">
        <v>235</v>
      </c>
      <c r="C257" s="461" t="s">
        <v>285</v>
      </c>
      <c r="D257" s="461" t="s">
        <v>58</v>
      </c>
      <c r="E257">
        <v>48</v>
      </c>
      <c r="H257">
        <v>9</v>
      </c>
      <c r="I257">
        <v>34</v>
      </c>
      <c r="L257">
        <v>5</v>
      </c>
    </row>
    <row r="258" spans="1:12" x14ac:dyDescent="0.35">
      <c r="A258" s="461" t="s">
        <v>242</v>
      </c>
      <c r="B258" s="461" t="s">
        <v>235</v>
      </c>
      <c r="C258" s="461" t="s">
        <v>291</v>
      </c>
      <c r="D258" s="461" t="s">
        <v>59</v>
      </c>
      <c r="E258">
        <v>68</v>
      </c>
      <c r="H258">
        <v>15</v>
      </c>
      <c r="I258">
        <v>43</v>
      </c>
      <c r="L258">
        <v>10</v>
      </c>
    </row>
    <row r="259" spans="1:12" x14ac:dyDescent="0.35">
      <c r="A259" s="461" t="s">
        <v>242</v>
      </c>
      <c r="B259" s="461" t="s">
        <v>235</v>
      </c>
      <c r="C259" s="461" t="s">
        <v>292</v>
      </c>
      <c r="D259" s="461" t="s">
        <v>60</v>
      </c>
      <c r="E259">
        <v>58</v>
      </c>
      <c r="H259">
        <v>11</v>
      </c>
      <c r="I259">
        <v>37</v>
      </c>
      <c r="L259">
        <v>10</v>
      </c>
    </row>
    <row r="260" spans="1:12" x14ac:dyDescent="0.35">
      <c r="A260" s="461" t="s">
        <v>242</v>
      </c>
      <c r="B260" s="461" t="s">
        <v>236</v>
      </c>
      <c r="C260" s="461" t="s">
        <v>326</v>
      </c>
      <c r="D260" s="461" t="s">
        <v>31</v>
      </c>
      <c r="E260">
        <v>15</v>
      </c>
      <c r="F260">
        <v>1</v>
      </c>
      <c r="H260">
        <v>2</v>
      </c>
      <c r="I260">
        <v>2</v>
      </c>
      <c r="J260">
        <v>2</v>
      </c>
      <c r="K260">
        <v>3</v>
      </c>
      <c r="L260">
        <v>5</v>
      </c>
    </row>
    <row r="261" spans="1:12" x14ac:dyDescent="0.35">
      <c r="A261" s="461" t="s">
        <v>242</v>
      </c>
      <c r="B261" s="461" t="s">
        <v>236</v>
      </c>
      <c r="C261" s="461" t="s">
        <v>327</v>
      </c>
      <c r="D261" s="461" t="s">
        <v>63</v>
      </c>
      <c r="E261">
        <v>25</v>
      </c>
      <c r="F261">
        <v>1</v>
      </c>
      <c r="H261">
        <v>7</v>
      </c>
      <c r="J261">
        <v>2</v>
      </c>
      <c r="K261">
        <v>7</v>
      </c>
      <c r="L261">
        <v>8</v>
      </c>
    </row>
    <row r="262" spans="1:12" x14ac:dyDescent="0.35">
      <c r="A262" s="461" t="s">
        <v>242</v>
      </c>
      <c r="B262" s="461" t="s">
        <v>236</v>
      </c>
      <c r="C262" s="461" t="s">
        <v>17424</v>
      </c>
      <c r="D262" s="461" t="s">
        <v>266</v>
      </c>
      <c r="E262">
        <v>377</v>
      </c>
      <c r="F262">
        <v>16</v>
      </c>
      <c r="H262">
        <v>63</v>
      </c>
      <c r="I262">
        <v>28</v>
      </c>
      <c r="J262">
        <v>46</v>
      </c>
      <c r="K262">
        <v>115</v>
      </c>
      <c r="L262">
        <v>109</v>
      </c>
    </row>
    <row r="263" spans="1:12" x14ac:dyDescent="0.35">
      <c r="A263" s="461" t="s">
        <v>242</v>
      </c>
      <c r="B263" s="461" t="s">
        <v>236</v>
      </c>
      <c r="C263" s="461" t="s">
        <v>329</v>
      </c>
      <c r="D263" s="461" t="s">
        <v>64</v>
      </c>
      <c r="E263">
        <v>26</v>
      </c>
      <c r="F263">
        <v>1</v>
      </c>
      <c r="H263">
        <v>6</v>
      </c>
      <c r="I263">
        <v>1</v>
      </c>
      <c r="J263">
        <v>3</v>
      </c>
      <c r="K263">
        <v>9</v>
      </c>
      <c r="L263">
        <v>6</v>
      </c>
    </row>
    <row r="264" spans="1:12" x14ac:dyDescent="0.35">
      <c r="A264" s="461" t="s">
        <v>242</v>
      </c>
      <c r="B264" s="461" t="s">
        <v>236</v>
      </c>
      <c r="C264" s="461" t="s">
        <v>330</v>
      </c>
      <c r="D264" s="461" t="s">
        <v>36</v>
      </c>
      <c r="E264">
        <v>22</v>
      </c>
      <c r="F264">
        <v>1</v>
      </c>
      <c r="H264">
        <v>4</v>
      </c>
      <c r="I264">
        <v>2</v>
      </c>
      <c r="J264">
        <v>2</v>
      </c>
      <c r="K264">
        <v>6</v>
      </c>
      <c r="L264">
        <v>7</v>
      </c>
    </row>
    <row r="265" spans="1:12" x14ac:dyDescent="0.35">
      <c r="A265" s="461" t="s">
        <v>242</v>
      </c>
      <c r="B265" s="461" t="s">
        <v>236</v>
      </c>
      <c r="C265" s="461" t="s">
        <v>328</v>
      </c>
      <c r="D265" s="461" t="s">
        <v>65</v>
      </c>
      <c r="E265">
        <v>28</v>
      </c>
      <c r="F265">
        <v>1</v>
      </c>
      <c r="H265">
        <v>3</v>
      </c>
      <c r="I265">
        <v>2</v>
      </c>
      <c r="J265">
        <v>4</v>
      </c>
      <c r="K265">
        <v>9</v>
      </c>
      <c r="L265">
        <v>9</v>
      </c>
    </row>
    <row r="266" spans="1:12" x14ac:dyDescent="0.35">
      <c r="A266" s="461" t="s">
        <v>242</v>
      </c>
      <c r="B266" s="461" t="s">
        <v>236</v>
      </c>
      <c r="C266" s="461" t="s">
        <v>331</v>
      </c>
      <c r="D266" s="461" t="s">
        <v>66</v>
      </c>
      <c r="E266">
        <v>27</v>
      </c>
      <c r="F266">
        <v>1</v>
      </c>
      <c r="H266">
        <v>5</v>
      </c>
      <c r="I266">
        <v>1</v>
      </c>
      <c r="J266">
        <v>3</v>
      </c>
      <c r="K266">
        <v>9</v>
      </c>
      <c r="L266">
        <v>8</v>
      </c>
    </row>
    <row r="267" spans="1:12" x14ac:dyDescent="0.35">
      <c r="A267" s="461" t="s">
        <v>242</v>
      </c>
      <c r="B267" s="461" t="s">
        <v>236</v>
      </c>
      <c r="C267" s="461" t="s">
        <v>332</v>
      </c>
      <c r="D267" s="461" t="s">
        <v>67</v>
      </c>
      <c r="E267">
        <v>27</v>
      </c>
      <c r="F267">
        <v>1</v>
      </c>
      <c r="H267">
        <v>3</v>
      </c>
      <c r="I267">
        <v>5</v>
      </c>
      <c r="J267">
        <v>3</v>
      </c>
      <c r="K267">
        <v>7</v>
      </c>
      <c r="L267">
        <v>8</v>
      </c>
    </row>
    <row r="268" spans="1:12" x14ac:dyDescent="0.35">
      <c r="A268" s="461" t="s">
        <v>242</v>
      </c>
      <c r="B268" s="461" t="s">
        <v>236</v>
      </c>
      <c r="C268" s="461" t="s">
        <v>333</v>
      </c>
      <c r="D268" s="461" t="s">
        <v>68</v>
      </c>
      <c r="E268">
        <v>16</v>
      </c>
      <c r="F268">
        <v>1</v>
      </c>
      <c r="H268">
        <v>2</v>
      </c>
      <c r="I268">
        <v>2</v>
      </c>
      <c r="J268">
        <v>3</v>
      </c>
      <c r="K268">
        <v>4</v>
      </c>
      <c r="L268">
        <v>4</v>
      </c>
    </row>
    <row r="269" spans="1:12" x14ac:dyDescent="0.35">
      <c r="A269" s="461" t="s">
        <v>242</v>
      </c>
      <c r="B269" s="461" t="s">
        <v>236</v>
      </c>
      <c r="C269" s="461" t="s">
        <v>334</v>
      </c>
      <c r="D269" s="461" t="s">
        <v>167</v>
      </c>
      <c r="E269">
        <v>31</v>
      </c>
      <c r="F269">
        <v>1</v>
      </c>
      <c r="H269">
        <v>6</v>
      </c>
      <c r="I269">
        <v>3</v>
      </c>
      <c r="J269">
        <v>3</v>
      </c>
      <c r="K269">
        <v>7</v>
      </c>
      <c r="L269">
        <v>11</v>
      </c>
    </row>
    <row r="270" spans="1:12" x14ac:dyDescent="0.35">
      <c r="A270" s="461" t="s">
        <v>242</v>
      </c>
      <c r="B270" s="461" t="s">
        <v>236</v>
      </c>
      <c r="C270" s="461" t="s">
        <v>335</v>
      </c>
      <c r="D270" s="461" t="s">
        <v>69</v>
      </c>
      <c r="E270">
        <v>19</v>
      </c>
      <c r="F270">
        <v>1</v>
      </c>
      <c r="H270">
        <v>3</v>
      </c>
      <c r="I270">
        <v>2</v>
      </c>
      <c r="J270">
        <v>2</v>
      </c>
      <c r="K270">
        <v>5</v>
      </c>
      <c r="L270">
        <v>6</v>
      </c>
    </row>
    <row r="271" spans="1:12" x14ac:dyDescent="0.35">
      <c r="A271" s="461" t="s">
        <v>242</v>
      </c>
      <c r="B271" s="461" t="s">
        <v>236</v>
      </c>
      <c r="C271" s="461" t="s">
        <v>17425</v>
      </c>
      <c r="D271" s="461" t="s">
        <v>43</v>
      </c>
      <c r="E271">
        <v>19</v>
      </c>
      <c r="H271">
        <v>1</v>
      </c>
      <c r="I271">
        <v>4</v>
      </c>
      <c r="J271">
        <v>2</v>
      </c>
      <c r="K271">
        <v>6</v>
      </c>
      <c r="L271">
        <v>6</v>
      </c>
    </row>
    <row r="272" spans="1:12" x14ac:dyDescent="0.35">
      <c r="A272" s="461" t="s">
        <v>242</v>
      </c>
      <c r="B272" s="461" t="s">
        <v>236</v>
      </c>
      <c r="C272" s="461" t="s">
        <v>17426</v>
      </c>
      <c r="D272" s="461" t="s">
        <v>114</v>
      </c>
      <c r="E272">
        <v>22</v>
      </c>
      <c r="F272">
        <v>1</v>
      </c>
      <c r="H272">
        <v>2</v>
      </c>
      <c r="I272">
        <v>1</v>
      </c>
      <c r="J272">
        <v>4</v>
      </c>
      <c r="K272">
        <v>8</v>
      </c>
      <c r="L272">
        <v>6</v>
      </c>
    </row>
    <row r="273" spans="1:12" x14ac:dyDescent="0.35">
      <c r="A273" s="461" t="s">
        <v>242</v>
      </c>
      <c r="B273" s="461" t="s">
        <v>236</v>
      </c>
      <c r="C273" s="461" t="s">
        <v>336</v>
      </c>
      <c r="D273" s="461" t="s">
        <v>70</v>
      </c>
      <c r="E273">
        <v>32</v>
      </c>
      <c r="F273">
        <v>1</v>
      </c>
      <c r="H273">
        <v>7</v>
      </c>
      <c r="I273">
        <v>1</v>
      </c>
      <c r="J273">
        <v>4</v>
      </c>
      <c r="K273">
        <v>12</v>
      </c>
      <c r="L273">
        <v>7</v>
      </c>
    </row>
    <row r="274" spans="1:12" x14ac:dyDescent="0.35">
      <c r="A274" s="461" t="s">
        <v>242</v>
      </c>
      <c r="B274" s="461" t="s">
        <v>236</v>
      </c>
      <c r="C274" s="461" t="s">
        <v>17427</v>
      </c>
      <c r="D274" s="461" t="s">
        <v>50</v>
      </c>
      <c r="E274">
        <v>17</v>
      </c>
      <c r="F274">
        <v>1</v>
      </c>
      <c r="H274">
        <v>2</v>
      </c>
      <c r="I274">
        <v>1</v>
      </c>
      <c r="J274">
        <v>2</v>
      </c>
      <c r="K274">
        <v>6</v>
      </c>
      <c r="L274">
        <v>5</v>
      </c>
    </row>
    <row r="275" spans="1:12" x14ac:dyDescent="0.35">
      <c r="A275" s="461" t="s">
        <v>242</v>
      </c>
      <c r="B275" s="461" t="s">
        <v>236</v>
      </c>
      <c r="C275" s="461" t="s">
        <v>337</v>
      </c>
      <c r="D275" s="461" t="s">
        <v>57</v>
      </c>
      <c r="E275">
        <v>16</v>
      </c>
      <c r="F275">
        <v>1</v>
      </c>
      <c r="H275">
        <v>2</v>
      </c>
      <c r="I275">
        <v>1</v>
      </c>
      <c r="J275">
        <v>2</v>
      </c>
      <c r="K275">
        <v>6</v>
      </c>
      <c r="L275">
        <v>4</v>
      </c>
    </row>
    <row r="276" spans="1:12" x14ac:dyDescent="0.35">
      <c r="A276" s="461" t="s">
        <v>242</v>
      </c>
      <c r="B276" s="461" t="s">
        <v>236</v>
      </c>
      <c r="C276" s="461" t="s">
        <v>17428</v>
      </c>
      <c r="D276" s="461" t="s">
        <v>17412</v>
      </c>
      <c r="E276">
        <v>18</v>
      </c>
      <c r="F276">
        <v>1</v>
      </c>
      <c r="H276">
        <v>3</v>
      </c>
      <c r="I276">
        <v>1</v>
      </c>
      <c r="J276">
        <v>3</v>
      </c>
      <c r="K276">
        <v>5</v>
      </c>
      <c r="L276">
        <v>5</v>
      </c>
    </row>
    <row r="277" spans="1:12" x14ac:dyDescent="0.35">
      <c r="A277" s="461" t="s">
        <v>242</v>
      </c>
      <c r="B277" s="461" t="s">
        <v>236</v>
      </c>
      <c r="C277" s="461" t="s">
        <v>338</v>
      </c>
      <c r="D277" s="461" t="s">
        <v>71</v>
      </c>
      <c r="E277">
        <v>18</v>
      </c>
      <c r="F277">
        <v>1</v>
      </c>
      <c r="H277">
        <v>5</v>
      </c>
      <c r="J277">
        <v>2</v>
      </c>
      <c r="K277">
        <v>6</v>
      </c>
      <c r="L277">
        <v>4</v>
      </c>
    </row>
    <row r="278" spans="1:12" x14ac:dyDescent="0.35">
      <c r="A278" s="461" t="s">
        <v>242</v>
      </c>
      <c r="B278" s="461" t="s">
        <v>237</v>
      </c>
      <c r="C278" s="461" t="s">
        <v>17424</v>
      </c>
      <c r="D278" s="461" t="s">
        <v>266</v>
      </c>
      <c r="E278">
        <v>156</v>
      </c>
      <c r="F278">
        <v>3</v>
      </c>
      <c r="H278">
        <v>38</v>
      </c>
      <c r="J278">
        <v>15</v>
      </c>
      <c r="K278">
        <v>29</v>
      </c>
      <c r="L278">
        <v>71</v>
      </c>
    </row>
    <row r="279" spans="1:12" x14ac:dyDescent="0.35">
      <c r="A279" s="461" t="s">
        <v>242</v>
      </c>
      <c r="B279" s="461" t="s">
        <v>237</v>
      </c>
      <c r="C279" s="461" t="s">
        <v>353</v>
      </c>
      <c r="D279" s="461" t="s">
        <v>166</v>
      </c>
      <c r="E279">
        <v>37</v>
      </c>
      <c r="F279">
        <v>1</v>
      </c>
      <c r="H279">
        <v>9</v>
      </c>
      <c r="J279">
        <v>5</v>
      </c>
      <c r="K279">
        <v>6</v>
      </c>
      <c r="L279">
        <v>16</v>
      </c>
    </row>
    <row r="280" spans="1:12" x14ac:dyDescent="0.35">
      <c r="A280" s="461" t="s">
        <v>242</v>
      </c>
      <c r="B280" s="461" t="s">
        <v>237</v>
      </c>
      <c r="C280" s="461" t="s">
        <v>355</v>
      </c>
      <c r="D280" s="461" t="s">
        <v>164</v>
      </c>
      <c r="E280">
        <v>46</v>
      </c>
      <c r="F280">
        <v>1</v>
      </c>
      <c r="H280">
        <v>11</v>
      </c>
      <c r="J280">
        <v>6</v>
      </c>
      <c r="K280">
        <v>10</v>
      </c>
      <c r="L280">
        <v>18</v>
      </c>
    </row>
    <row r="281" spans="1:12" x14ac:dyDescent="0.35">
      <c r="A281" s="461" t="s">
        <v>242</v>
      </c>
      <c r="B281" s="461" t="s">
        <v>237</v>
      </c>
      <c r="C281" s="461" t="s">
        <v>354</v>
      </c>
      <c r="D281" s="461" t="s">
        <v>165</v>
      </c>
      <c r="E281">
        <v>73</v>
      </c>
      <c r="F281">
        <v>1</v>
      </c>
      <c r="H281">
        <v>18</v>
      </c>
      <c r="J281">
        <v>4</v>
      </c>
      <c r="K281">
        <v>13</v>
      </c>
      <c r="L281">
        <v>37</v>
      </c>
    </row>
    <row r="282" spans="1:12" x14ac:dyDescent="0.35">
      <c r="A282" s="461" t="s">
        <v>242</v>
      </c>
      <c r="B282" s="461" t="s">
        <v>238</v>
      </c>
      <c r="C282" s="461" t="s">
        <v>339</v>
      </c>
      <c r="D282" s="461" t="s">
        <v>246</v>
      </c>
      <c r="E282">
        <v>143</v>
      </c>
      <c r="F282">
        <v>15</v>
      </c>
      <c r="G282">
        <v>4</v>
      </c>
      <c r="I282">
        <v>55</v>
      </c>
      <c r="J282">
        <v>13</v>
      </c>
      <c r="K282">
        <v>9</v>
      </c>
      <c r="L282">
        <v>47</v>
      </c>
    </row>
    <row r="283" spans="1:12" x14ac:dyDescent="0.35">
      <c r="A283" s="461" t="s">
        <v>242</v>
      </c>
      <c r="B283" s="461" t="s">
        <v>26</v>
      </c>
      <c r="C283" s="461" t="s">
        <v>339</v>
      </c>
      <c r="D283" s="461" t="s">
        <v>246</v>
      </c>
      <c r="E283">
        <v>3544</v>
      </c>
      <c r="F283">
        <v>34</v>
      </c>
      <c r="G283">
        <v>4</v>
      </c>
      <c r="H283">
        <v>689</v>
      </c>
      <c r="I283">
        <v>1988</v>
      </c>
      <c r="J283">
        <v>74</v>
      </c>
      <c r="K283">
        <v>153</v>
      </c>
      <c r="L283">
        <v>602</v>
      </c>
    </row>
    <row r="284" spans="1:12" x14ac:dyDescent="0.35">
      <c r="A284" s="461" t="s">
        <v>241</v>
      </c>
      <c r="B284" s="461" t="s">
        <v>235</v>
      </c>
      <c r="C284" s="461" t="s">
        <v>286</v>
      </c>
      <c r="D284" s="461" t="s">
        <v>31</v>
      </c>
      <c r="H284">
        <v>35</v>
      </c>
      <c r="I284">
        <v>104</v>
      </c>
      <c r="L284">
        <v>15</v>
      </c>
    </row>
    <row r="285" spans="1:12" x14ac:dyDescent="0.35">
      <c r="A285" s="461" t="s">
        <v>241</v>
      </c>
      <c r="B285" s="461" t="s">
        <v>235</v>
      </c>
      <c r="C285" s="461" t="s">
        <v>287</v>
      </c>
      <c r="D285" s="461" t="s">
        <v>32</v>
      </c>
      <c r="H285">
        <v>5</v>
      </c>
      <c r="I285">
        <v>20</v>
      </c>
      <c r="L285">
        <v>5</v>
      </c>
    </row>
    <row r="286" spans="1:12" x14ac:dyDescent="0.35">
      <c r="A286" s="461" t="s">
        <v>241</v>
      </c>
      <c r="B286" s="461" t="s">
        <v>235</v>
      </c>
      <c r="C286" s="461"/>
      <c r="D286" s="461" t="s">
        <v>186</v>
      </c>
      <c r="H286">
        <v>592</v>
      </c>
      <c r="I286">
        <v>1986</v>
      </c>
      <c r="L286">
        <v>377</v>
      </c>
    </row>
    <row r="287" spans="1:12" x14ac:dyDescent="0.35">
      <c r="A287" s="461" t="s">
        <v>241</v>
      </c>
      <c r="B287" s="461" t="s">
        <v>235</v>
      </c>
      <c r="C287" s="461" t="s">
        <v>293</v>
      </c>
      <c r="D287" s="461" t="s">
        <v>33</v>
      </c>
      <c r="H287">
        <v>5</v>
      </c>
      <c r="I287">
        <v>18</v>
      </c>
      <c r="L287">
        <v>5</v>
      </c>
    </row>
    <row r="288" spans="1:12" x14ac:dyDescent="0.35">
      <c r="A288" s="461" t="s">
        <v>241</v>
      </c>
      <c r="B288" s="461" t="s">
        <v>235</v>
      </c>
      <c r="C288" s="461" t="s">
        <v>288</v>
      </c>
      <c r="D288" s="461" t="s">
        <v>34</v>
      </c>
      <c r="H288">
        <v>11</v>
      </c>
      <c r="I288">
        <v>33</v>
      </c>
      <c r="L288">
        <v>10</v>
      </c>
    </row>
    <row r="289" spans="1:12" x14ac:dyDescent="0.35">
      <c r="A289" s="461" t="s">
        <v>241</v>
      </c>
      <c r="B289" s="461" t="s">
        <v>235</v>
      </c>
      <c r="C289" s="461" t="s">
        <v>289</v>
      </c>
      <c r="D289" s="461" t="s">
        <v>245</v>
      </c>
      <c r="H289">
        <v>59</v>
      </c>
      <c r="I289">
        <v>203</v>
      </c>
      <c r="L289">
        <v>35</v>
      </c>
    </row>
    <row r="290" spans="1:12" x14ac:dyDescent="0.35">
      <c r="A290" s="461" t="s">
        <v>241</v>
      </c>
      <c r="B290" s="461" t="s">
        <v>235</v>
      </c>
      <c r="C290" s="461" t="s">
        <v>267</v>
      </c>
      <c r="D290" s="461" t="s">
        <v>35</v>
      </c>
      <c r="H290">
        <v>5</v>
      </c>
      <c r="I290">
        <v>15</v>
      </c>
      <c r="L290">
        <v>5</v>
      </c>
    </row>
    <row r="291" spans="1:12" x14ac:dyDescent="0.35">
      <c r="A291" s="461" t="s">
        <v>241</v>
      </c>
      <c r="B291" s="461" t="s">
        <v>235</v>
      </c>
      <c r="C291" s="461" t="s">
        <v>268</v>
      </c>
      <c r="D291" s="461" t="s">
        <v>17411</v>
      </c>
      <c r="H291">
        <v>10</v>
      </c>
      <c r="I291">
        <v>38</v>
      </c>
      <c r="L291">
        <v>5</v>
      </c>
    </row>
    <row r="292" spans="1:12" x14ac:dyDescent="0.35">
      <c r="A292" s="461" t="s">
        <v>241</v>
      </c>
      <c r="B292" s="461" t="s">
        <v>235</v>
      </c>
      <c r="C292" s="461" t="s">
        <v>294</v>
      </c>
      <c r="D292" s="461" t="s">
        <v>37</v>
      </c>
      <c r="H292">
        <v>35</v>
      </c>
      <c r="I292">
        <v>122</v>
      </c>
      <c r="L292">
        <v>20</v>
      </c>
    </row>
    <row r="293" spans="1:12" x14ac:dyDescent="0.35">
      <c r="A293" s="461" t="s">
        <v>241</v>
      </c>
      <c r="B293" s="461" t="s">
        <v>235</v>
      </c>
      <c r="C293" s="461" t="s">
        <v>269</v>
      </c>
      <c r="D293" s="461" t="s">
        <v>38</v>
      </c>
      <c r="H293">
        <v>10</v>
      </c>
      <c r="I293">
        <v>32</v>
      </c>
      <c r="L293">
        <v>5</v>
      </c>
    </row>
    <row r="294" spans="1:12" x14ac:dyDescent="0.35">
      <c r="A294" s="461" t="s">
        <v>241</v>
      </c>
      <c r="B294" s="461" t="s">
        <v>235</v>
      </c>
      <c r="C294" s="461" t="s">
        <v>296</v>
      </c>
      <c r="D294" s="461" t="s">
        <v>39</v>
      </c>
      <c r="H294">
        <v>15</v>
      </c>
      <c r="I294">
        <v>47</v>
      </c>
      <c r="L294">
        <v>16</v>
      </c>
    </row>
    <row r="295" spans="1:12" x14ac:dyDescent="0.35">
      <c r="A295" s="461" t="s">
        <v>241</v>
      </c>
      <c r="B295" s="461" t="s">
        <v>235</v>
      </c>
      <c r="C295" s="461" t="s">
        <v>270</v>
      </c>
      <c r="D295" s="461" t="s">
        <v>40</v>
      </c>
      <c r="H295">
        <v>5</v>
      </c>
      <c r="I295">
        <v>14</v>
      </c>
      <c r="L295">
        <v>5</v>
      </c>
    </row>
    <row r="296" spans="1:12" x14ac:dyDescent="0.35">
      <c r="A296" s="461" t="s">
        <v>241</v>
      </c>
      <c r="B296" s="461" t="s">
        <v>235</v>
      </c>
      <c r="C296" s="461" t="s">
        <v>271</v>
      </c>
      <c r="D296" s="461" t="s">
        <v>41</v>
      </c>
      <c r="H296">
        <v>10</v>
      </c>
      <c r="I296">
        <v>31</v>
      </c>
      <c r="L296">
        <v>11</v>
      </c>
    </row>
    <row r="297" spans="1:12" x14ac:dyDescent="0.35">
      <c r="A297" s="461" t="s">
        <v>241</v>
      </c>
      <c r="B297" s="461" t="s">
        <v>235</v>
      </c>
      <c r="C297" s="461" t="s">
        <v>273</v>
      </c>
      <c r="D297" s="461" t="s">
        <v>42</v>
      </c>
      <c r="H297">
        <v>20</v>
      </c>
      <c r="I297">
        <v>53</v>
      </c>
      <c r="L297">
        <v>15</v>
      </c>
    </row>
    <row r="298" spans="1:12" x14ac:dyDescent="0.35">
      <c r="A298" s="461" t="s">
        <v>241</v>
      </c>
      <c r="B298" s="461" t="s">
        <v>235</v>
      </c>
      <c r="C298" s="461" t="s">
        <v>298</v>
      </c>
      <c r="D298" s="461" t="s">
        <v>43</v>
      </c>
      <c r="H298">
        <v>48</v>
      </c>
      <c r="I298">
        <v>199</v>
      </c>
      <c r="L298">
        <v>27</v>
      </c>
    </row>
    <row r="299" spans="1:12" x14ac:dyDescent="0.35">
      <c r="A299" s="461" t="s">
        <v>241</v>
      </c>
      <c r="B299" s="461" t="s">
        <v>235</v>
      </c>
      <c r="C299" s="461" t="s">
        <v>297</v>
      </c>
      <c r="D299" s="461" t="s">
        <v>114</v>
      </c>
      <c r="H299">
        <v>110</v>
      </c>
      <c r="I299">
        <v>349</v>
      </c>
      <c r="L299">
        <v>56</v>
      </c>
    </row>
    <row r="300" spans="1:12" x14ac:dyDescent="0.35">
      <c r="A300" s="461" t="s">
        <v>241</v>
      </c>
      <c r="B300" s="461" t="s">
        <v>235</v>
      </c>
      <c r="C300" s="461" t="s">
        <v>274</v>
      </c>
      <c r="D300" s="461" t="s">
        <v>44</v>
      </c>
      <c r="H300">
        <v>15</v>
      </c>
      <c r="I300">
        <v>50</v>
      </c>
      <c r="L300">
        <v>5</v>
      </c>
    </row>
    <row r="301" spans="1:12" x14ac:dyDescent="0.35">
      <c r="A301" s="461" t="s">
        <v>241</v>
      </c>
      <c r="B301" s="461" t="s">
        <v>235</v>
      </c>
      <c r="C301" s="461" t="s">
        <v>275</v>
      </c>
      <c r="D301" s="461" t="s">
        <v>45</v>
      </c>
      <c r="H301">
        <v>15</v>
      </c>
      <c r="I301">
        <v>47</v>
      </c>
      <c r="L301">
        <v>10</v>
      </c>
    </row>
    <row r="302" spans="1:12" x14ac:dyDescent="0.35">
      <c r="A302" s="461" t="s">
        <v>241</v>
      </c>
      <c r="B302" s="461" t="s">
        <v>235</v>
      </c>
      <c r="C302" s="461" t="s">
        <v>276</v>
      </c>
      <c r="D302" s="461" t="s">
        <v>46</v>
      </c>
      <c r="H302">
        <v>4</v>
      </c>
      <c r="I302">
        <v>17</v>
      </c>
      <c r="L302">
        <v>5</v>
      </c>
    </row>
    <row r="303" spans="1:12" x14ac:dyDescent="0.35">
      <c r="A303" s="461" t="s">
        <v>241</v>
      </c>
      <c r="B303" s="461" t="s">
        <v>235</v>
      </c>
      <c r="C303" s="461" t="s">
        <v>277</v>
      </c>
      <c r="D303" s="461" t="s">
        <v>47</v>
      </c>
      <c r="H303">
        <v>5</v>
      </c>
      <c r="I303">
        <v>20</v>
      </c>
      <c r="L303">
        <v>5</v>
      </c>
    </row>
    <row r="304" spans="1:12" x14ac:dyDescent="0.35">
      <c r="A304" s="461" t="s">
        <v>241</v>
      </c>
      <c r="B304" s="461" t="s">
        <v>235</v>
      </c>
      <c r="C304" s="461" t="s">
        <v>278</v>
      </c>
      <c r="D304" s="461" t="s">
        <v>49</v>
      </c>
      <c r="H304">
        <v>15</v>
      </c>
      <c r="I304">
        <v>45</v>
      </c>
      <c r="L304">
        <v>16</v>
      </c>
    </row>
    <row r="305" spans="1:12" x14ac:dyDescent="0.35">
      <c r="A305" s="461" t="s">
        <v>241</v>
      </c>
      <c r="B305" s="461" t="s">
        <v>235</v>
      </c>
      <c r="C305" s="461" t="s">
        <v>295</v>
      </c>
      <c r="D305" s="461" t="s">
        <v>50</v>
      </c>
      <c r="H305">
        <v>35</v>
      </c>
      <c r="I305">
        <v>111</v>
      </c>
      <c r="L305">
        <v>20</v>
      </c>
    </row>
    <row r="306" spans="1:12" x14ac:dyDescent="0.35">
      <c r="A306" s="461" t="s">
        <v>241</v>
      </c>
      <c r="B306" s="461" t="s">
        <v>235</v>
      </c>
      <c r="C306" s="461" t="s">
        <v>280</v>
      </c>
      <c r="D306" s="461" t="s">
        <v>52</v>
      </c>
      <c r="H306">
        <v>10</v>
      </c>
      <c r="I306">
        <v>54</v>
      </c>
      <c r="L306">
        <v>5</v>
      </c>
    </row>
    <row r="307" spans="1:12" x14ac:dyDescent="0.35">
      <c r="A307" s="461" t="s">
        <v>241</v>
      </c>
      <c r="B307" s="461" t="s">
        <v>235</v>
      </c>
      <c r="C307" s="461" t="s">
        <v>290</v>
      </c>
      <c r="D307" s="461" t="s">
        <v>53</v>
      </c>
      <c r="H307">
        <v>18</v>
      </c>
      <c r="I307">
        <v>65</v>
      </c>
      <c r="L307">
        <v>16</v>
      </c>
    </row>
    <row r="308" spans="1:12" x14ac:dyDescent="0.35">
      <c r="A308" s="461" t="s">
        <v>241</v>
      </c>
      <c r="B308" s="461" t="s">
        <v>235</v>
      </c>
      <c r="C308" s="461" t="s">
        <v>281</v>
      </c>
      <c r="D308" s="461" t="s">
        <v>54</v>
      </c>
      <c r="H308">
        <v>10</v>
      </c>
      <c r="I308">
        <v>36</v>
      </c>
      <c r="L308">
        <v>10</v>
      </c>
    </row>
    <row r="309" spans="1:12" x14ac:dyDescent="0.35">
      <c r="A309" s="461" t="s">
        <v>241</v>
      </c>
      <c r="B309" s="461" t="s">
        <v>235</v>
      </c>
      <c r="C309" s="461" t="s">
        <v>283</v>
      </c>
      <c r="D309" s="461" t="s">
        <v>56</v>
      </c>
      <c r="H309">
        <v>11</v>
      </c>
      <c r="I309">
        <v>34</v>
      </c>
      <c r="L309">
        <v>5</v>
      </c>
    </row>
    <row r="310" spans="1:12" x14ac:dyDescent="0.35">
      <c r="A310" s="461" t="s">
        <v>241</v>
      </c>
      <c r="B310" s="461" t="s">
        <v>235</v>
      </c>
      <c r="C310" s="461" t="s">
        <v>284</v>
      </c>
      <c r="D310" s="461" t="s">
        <v>57</v>
      </c>
      <c r="H310">
        <v>36</v>
      </c>
      <c r="I310">
        <v>111</v>
      </c>
      <c r="L310">
        <v>20</v>
      </c>
    </row>
    <row r="311" spans="1:12" x14ac:dyDescent="0.35">
      <c r="A311" s="461" t="s">
        <v>241</v>
      </c>
      <c r="B311" s="461" t="s">
        <v>235</v>
      </c>
      <c r="C311" s="461" t="s">
        <v>285</v>
      </c>
      <c r="D311" s="461" t="s">
        <v>58</v>
      </c>
      <c r="H311">
        <v>10</v>
      </c>
      <c r="I311">
        <v>34</v>
      </c>
      <c r="L311">
        <v>5</v>
      </c>
    </row>
    <row r="312" spans="1:12" x14ac:dyDescent="0.35">
      <c r="A312" s="461" t="s">
        <v>241</v>
      </c>
      <c r="B312" s="461" t="s">
        <v>235</v>
      </c>
      <c r="C312" s="461" t="s">
        <v>291</v>
      </c>
      <c r="D312" s="461" t="s">
        <v>59</v>
      </c>
      <c r="H312">
        <v>15</v>
      </c>
      <c r="I312">
        <v>48</v>
      </c>
      <c r="L312">
        <v>10</v>
      </c>
    </row>
    <row r="313" spans="1:12" x14ac:dyDescent="0.35">
      <c r="A313" s="461" t="s">
        <v>241</v>
      </c>
      <c r="B313" s="461" t="s">
        <v>235</v>
      </c>
      <c r="C313" s="461" t="s">
        <v>292</v>
      </c>
      <c r="D313" s="461" t="s">
        <v>60</v>
      </c>
      <c r="H313">
        <v>10</v>
      </c>
      <c r="I313">
        <v>36</v>
      </c>
      <c r="L313">
        <v>10</v>
      </c>
    </row>
    <row r="314" spans="1:12" x14ac:dyDescent="0.35">
      <c r="A314" s="461" t="s">
        <v>241</v>
      </c>
      <c r="B314" s="461" t="s">
        <v>236</v>
      </c>
      <c r="C314" s="461" t="s">
        <v>326</v>
      </c>
      <c r="D314" s="461" t="s">
        <v>31</v>
      </c>
      <c r="F314">
        <v>1</v>
      </c>
      <c r="H314">
        <v>2</v>
      </c>
      <c r="I314">
        <v>1</v>
      </c>
      <c r="J314">
        <v>2</v>
      </c>
      <c r="K314">
        <v>4</v>
      </c>
      <c r="L314">
        <v>6</v>
      </c>
    </row>
    <row r="315" spans="1:12" x14ac:dyDescent="0.35">
      <c r="A315" s="461" t="s">
        <v>241</v>
      </c>
      <c r="B315" s="461" t="s">
        <v>236</v>
      </c>
      <c r="C315" s="461" t="s">
        <v>327</v>
      </c>
      <c r="D315" s="461" t="s">
        <v>63</v>
      </c>
      <c r="F315">
        <v>1</v>
      </c>
      <c r="H315">
        <v>6</v>
      </c>
      <c r="J315">
        <v>2</v>
      </c>
      <c r="K315">
        <v>8</v>
      </c>
      <c r="L315">
        <v>8</v>
      </c>
    </row>
    <row r="316" spans="1:12" x14ac:dyDescent="0.35">
      <c r="A316" s="461" t="s">
        <v>241</v>
      </c>
      <c r="B316" s="461" t="s">
        <v>236</v>
      </c>
      <c r="C316" s="461"/>
      <c r="D316" s="461" t="s">
        <v>186</v>
      </c>
      <c r="F316">
        <v>16</v>
      </c>
      <c r="H316">
        <v>54</v>
      </c>
      <c r="I316">
        <v>27.93</v>
      </c>
      <c r="J316">
        <v>49</v>
      </c>
      <c r="K316">
        <v>115</v>
      </c>
      <c r="L316">
        <v>124</v>
      </c>
    </row>
    <row r="317" spans="1:12" x14ac:dyDescent="0.35">
      <c r="A317" s="461" t="s">
        <v>241</v>
      </c>
      <c r="B317" s="461" t="s">
        <v>236</v>
      </c>
      <c r="C317" s="461" t="s">
        <v>329</v>
      </c>
      <c r="D317" s="461" t="s">
        <v>64</v>
      </c>
      <c r="F317">
        <v>1</v>
      </c>
      <c r="H317">
        <v>6</v>
      </c>
      <c r="I317">
        <v>2</v>
      </c>
      <c r="J317">
        <v>3</v>
      </c>
      <c r="K317">
        <v>8</v>
      </c>
      <c r="L317">
        <v>6</v>
      </c>
    </row>
    <row r="318" spans="1:12" x14ac:dyDescent="0.35">
      <c r="A318" s="461" t="s">
        <v>241</v>
      </c>
      <c r="B318" s="461" t="s">
        <v>236</v>
      </c>
      <c r="C318" s="461" t="s">
        <v>330</v>
      </c>
      <c r="D318" s="461" t="s">
        <v>36</v>
      </c>
      <c r="F318">
        <v>1</v>
      </c>
      <c r="H318">
        <v>4</v>
      </c>
      <c r="I318">
        <v>1.83</v>
      </c>
      <c r="J318">
        <v>2</v>
      </c>
      <c r="K318">
        <v>6</v>
      </c>
      <c r="L318">
        <v>7</v>
      </c>
    </row>
    <row r="319" spans="1:12" x14ac:dyDescent="0.35">
      <c r="A319" s="461" t="s">
        <v>241</v>
      </c>
      <c r="B319" s="461" t="s">
        <v>236</v>
      </c>
      <c r="C319" s="461" t="s">
        <v>328</v>
      </c>
      <c r="D319" s="461" t="s">
        <v>65</v>
      </c>
      <c r="F319">
        <v>1</v>
      </c>
      <c r="H319">
        <v>3</v>
      </c>
      <c r="I319">
        <v>2</v>
      </c>
      <c r="J319">
        <v>4</v>
      </c>
      <c r="K319">
        <v>8</v>
      </c>
      <c r="L319">
        <v>11</v>
      </c>
    </row>
    <row r="320" spans="1:12" x14ac:dyDescent="0.35">
      <c r="A320" s="461" t="s">
        <v>241</v>
      </c>
      <c r="B320" s="461" t="s">
        <v>236</v>
      </c>
      <c r="C320" s="461" t="s">
        <v>331</v>
      </c>
      <c r="D320" s="461" t="s">
        <v>66</v>
      </c>
      <c r="F320">
        <v>1</v>
      </c>
      <c r="H320">
        <v>2</v>
      </c>
      <c r="I320">
        <v>1.6</v>
      </c>
      <c r="J320">
        <v>3</v>
      </c>
      <c r="K320">
        <v>9</v>
      </c>
      <c r="L320">
        <v>8</v>
      </c>
    </row>
    <row r="321" spans="1:12" x14ac:dyDescent="0.35">
      <c r="A321" s="461" t="s">
        <v>241</v>
      </c>
      <c r="B321" s="461" t="s">
        <v>236</v>
      </c>
      <c r="C321" s="461" t="s">
        <v>332</v>
      </c>
      <c r="D321" s="461" t="s">
        <v>67</v>
      </c>
      <c r="F321">
        <v>1</v>
      </c>
      <c r="H321">
        <v>2</v>
      </c>
      <c r="I321">
        <v>3</v>
      </c>
      <c r="J321">
        <v>3</v>
      </c>
      <c r="K321">
        <v>7</v>
      </c>
      <c r="L321">
        <v>9</v>
      </c>
    </row>
    <row r="322" spans="1:12" x14ac:dyDescent="0.35">
      <c r="A322" s="461" t="s">
        <v>241</v>
      </c>
      <c r="B322" s="461" t="s">
        <v>236</v>
      </c>
      <c r="C322" s="461" t="s">
        <v>333</v>
      </c>
      <c r="D322" s="461" t="s">
        <v>68</v>
      </c>
      <c r="F322">
        <v>1</v>
      </c>
      <c r="I322">
        <v>2</v>
      </c>
      <c r="J322">
        <v>4</v>
      </c>
      <c r="K322">
        <v>4</v>
      </c>
      <c r="L322">
        <v>3</v>
      </c>
    </row>
    <row r="323" spans="1:12" x14ac:dyDescent="0.35">
      <c r="A323" s="461" t="s">
        <v>241</v>
      </c>
      <c r="B323" s="461" t="s">
        <v>236</v>
      </c>
      <c r="C323" s="461" t="s">
        <v>334</v>
      </c>
      <c r="D323" s="461" t="s">
        <v>167</v>
      </c>
      <c r="F323">
        <v>1</v>
      </c>
      <c r="H323">
        <v>5</v>
      </c>
      <c r="I323">
        <v>2.5</v>
      </c>
      <c r="J323">
        <v>5</v>
      </c>
      <c r="K323">
        <v>4</v>
      </c>
      <c r="L323">
        <v>12</v>
      </c>
    </row>
    <row r="324" spans="1:12" x14ac:dyDescent="0.35">
      <c r="A324" s="461" t="s">
        <v>241</v>
      </c>
      <c r="B324" s="461" t="s">
        <v>236</v>
      </c>
      <c r="C324" s="461" t="s">
        <v>335</v>
      </c>
      <c r="D324" s="461" t="s">
        <v>69</v>
      </c>
      <c r="F324">
        <v>1</v>
      </c>
      <c r="H324">
        <v>3</v>
      </c>
      <c r="I324">
        <v>2</v>
      </c>
      <c r="J324">
        <v>2</v>
      </c>
      <c r="K324">
        <v>6</v>
      </c>
      <c r="L324">
        <v>6</v>
      </c>
    </row>
    <row r="325" spans="1:12" x14ac:dyDescent="0.35">
      <c r="A325" s="461" t="s">
        <v>241</v>
      </c>
      <c r="B325" s="461" t="s">
        <v>236</v>
      </c>
      <c r="C325" s="461" t="s">
        <v>17425</v>
      </c>
      <c r="D325" s="461" t="s">
        <v>43</v>
      </c>
      <c r="I325">
        <v>4</v>
      </c>
      <c r="J325">
        <v>2</v>
      </c>
      <c r="K325">
        <v>6</v>
      </c>
      <c r="L325">
        <v>6</v>
      </c>
    </row>
    <row r="326" spans="1:12" x14ac:dyDescent="0.35">
      <c r="A326" s="461" t="s">
        <v>241</v>
      </c>
      <c r="B326" s="461" t="s">
        <v>236</v>
      </c>
      <c r="C326" s="461" t="s">
        <v>17426</v>
      </c>
      <c r="D326" s="461" t="s">
        <v>114</v>
      </c>
      <c r="F326">
        <v>1</v>
      </c>
      <c r="H326">
        <v>2</v>
      </c>
      <c r="I326">
        <v>2</v>
      </c>
      <c r="J326">
        <v>4</v>
      </c>
      <c r="K326">
        <v>9</v>
      </c>
      <c r="L326">
        <v>7</v>
      </c>
    </row>
    <row r="327" spans="1:12" x14ac:dyDescent="0.35">
      <c r="A327" s="461" t="s">
        <v>241</v>
      </c>
      <c r="B327" s="461" t="s">
        <v>236</v>
      </c>
      <c r="C327" s="461" t="s">
        <v>336</v>
      </c>
      <c r="D327" s="461" t="s">
        <v>70</v>
      </c>
      <c r="F327">
        <v>1</v>
      </c>
      <c r="H327">
        <v>9</v>
      </c>
      <c r="I327">
        <v>1</v>
      </c>
      <c r="J327">
        <v>4</v>
      </c>
      <c r="K327">
        <v>14</v>
      </c>
      <c r="L327">
        <v>16</v>
      </c>
    </row>
    <row r="328" spans="1:12" x14ac:dyDescent="0.35">
      <c r="A328" s="461" t="s">
        <v>241</v>
      </c>
      <c r="B328" s="461" t="s">
        <v>236</v>
      </c>
      <c r="C328" s="461" t="s">
        <v>17427</v>
      </c>
      <c r="D328" s="461" t="s">
        <v>50</v>
      </c>
      <c r="F328">
        <v>1</v>
      </c>
      <c r="H328">
        <v>2</v>
      </c>
      <c r="I328">
        <v>1</v>
      </c>
      <c r="J328">
        <v>2</v>
      </c>
      <c r="K328">
        <v>5</v>
      </c>
      <c r="L328">
        <v>6</v>
      </c>
    </row>
    <row r="329" spans="1:12" x14ac:dyDescent="0.35">
      <c r="A329" s="461" t="s">
        <v>241</v>
      </c>
      <c r="B329" s="461" t="s">
        <v>236</v>
      </c>
      <c r="C329" s="461" t="s">
        <v>337</v>
      </c>
      <c r="D329" s="461" t="s">
        <v>57</v>
      </c>
      <c r="F329">
        <v>1</v>
      </c>
      <c r="H329">
        <v>2</v>
      </c>
      <c r="I329">
        <v>1</v>
      </c>
      <c r="J329">
        <v>2</v>
      </c>
      <c r="K329">
        <v>6</v>
      </c>
      <c r="L329">
        <v>4</v>
      </c>
    </row>
    <row r="330" spans="1:12" x14ac:dyDescent="0.35">
      <c r="A330" s="461" t="s">
        <v>241</v>
      </c>
      <c r="B330" s="461" t="s">
        <v>236</v>
      </c>
      <c r="C330" s="461" t="s">
        <v>17428</v>
      </c>
      <c r="D330" s="461" t="s">
        <v>17412</v>
      </c>
      <c r="F330">
        <v>1</v>
      </c>
      <c r="H330">
        <v>3</v>
      </c>
      <c r="I330">
        <v>1</v>
      </c>
      <c r="J330">
        <v>2</v>
      </c>
      <c r="K330">
        <v>6</v>
      </c>
      <c r="L330">
        <v>5</v>
      </c>
    </row>
    <row r="331" spans="1:12" x14ac:dyDescent="0.35">
      <c r="A331" s="461" t="s">
        <v>241</v>
      </c>
      <c r="B331" s="461" t="s">
        <v>236</v>
      </c>
      <c r="C331" s="461" t="s">
        <v>338</v>
      </c>
      <c r="D331" s="461" t="s">
        <v>71</v>
      </c>
      <c r="F331">
        <v>1</v>
      </c>
      <c r="H331">
        <v>3</v>
      </c>
      <c r="J331">
        <v>3</v>
      </c>
      <c r="K331">
        <v>5</v>
      </c>
      <c r="L331">
        <v>4</v>
      </c>
    </row>
    <row r="332" spans="1:12" x14ac:dyDescent="0.35">
      <c r="A332" s="461" t="s">
        <v>241</v>
      </c>
      <c r="B332" s="461" t="s">
        <v>237</v>
      </c>
      <c r="C332" s="461"/>
      <c r="D332" s="461" t="s">
        <v>186</v>
      </c>
      <c r="F332">
        <v>3</v>
      </c>
      <c r="H332">
        <v>41</v>
      </c>
      <c r="J332">
        <v>14</v>
      </c>
      <c r="K332">
        <v>24</v>
      </c>
      <c r="L332">
        <v>64</v>
      </c>
    </row>
    <row r="333" spans="1:12" x14ac:dyDescent="0.35">
      <c r="A333" s="461" t="s">
        <v>241</v>
      </c>
      <c r="B333" s="461" t="s">
        <v>237</v>
      </c>
      <c r="C333" s="461" t="s">
        <v>353</v>
      </c>
      <c r="D333" s="461" t="s">
        <v>166</v>
      </c>
      <c r="F333">
        <v>1</v>
      </c>
      <c r="H333">
        <v>8</v>
      </c>
      <c r="J333">
        <v>5</v>
      </c>
      <c r="K333">
        <v>5</v>
      </c>
      <c r="L333">
        <v>18</v>
      </c>
    </row>
    <row r="334" spans="1:12" x14ac:dyDescent="0.35">
      <c r="A334" s="461" t="s">
        <v>241</v>
      </c>
      <c r="B334" s="461" t="s">
        <v>237</v>
      </c>
      <c r="C334" s="461" t="s">
        <v>355</v>
      </c>
      <c r="D334" s="461" t="s">
        <v>164</v>
      </c>
      <c r="F334">
        <v>1</v>
      </c>
      <c r="H334">
        <v>7</v>
      </c>
      <c r="J334">
        <v>4</v>
      </c>
      <c r="K334">
        <v>7</v>
      </c>
      <c r="L334">
        <v>11</v>
      </c>
    </row>
    <row r="335" spans="1:12" x14ac:dyDescent="0.35">
      <c r="A335" s="461" t="s">
        <v>241</v>
      </c>
      <c r="B335" s="461" t="s">
        <v>237</v>
      </c>
      <c r="C335" s="461" t="s">
        <v>354</v>
      </c>
      <c r="D335" s="461" t="s">
        <v>165</v>
      </c>
      <c r="F335">
        <v>1</v>
      </c>
      <c r="H335">
        <v>26</v>
      </c>
      <c r="J335">
        <v>5</v>
      </c>
      <c r="K335">
        <v>12</v>
      </c>
      <c r="L335">
        <v>35</v>
      </c>
    </row>
    <row r="336" spans="1:12" x14ac:dyDescent="0.35">
      <c r="A336" s="461" t="s">
        <v>241</v>
      </c>
      <c r="B336" s="461" t="s">
        <v>238</v>
      </c>
      <c r="C336" s="461" t="s">
        <v>339</v>
      </c>
      <c r="D336" s="461" t="s">
        <v>246</v>
      </c>
      <c r="F336">
        <v>14</v>
      </c>
      <c r="G336">
        <v>4</v>
      </c>
      <c r="I336">
        <v>60</v>
      </c>
      <c r="J336">
        <v>17</v>
      </c>
      <c r="K336">
        <v>8</v>
      </c>
      <c r="L336">
        <v>46</v>
      </c>
    </row>
    <row r="337" spans="1:12" x14ac:dyDescent="0.35">
      <c r="A337" s="461" t="s">
        <v>241</v>
      </c>
      <c r="B337" s="461" t="s">
        <v>26</v>
      </c>
      <c r="C337" s="461" t="s">
        <v>339</v>
      </c>
      <c r="D337" s="461" t="s">
        <v>246</v>
      </c>
      <c r="E337">
        <v>6680.09</v>
      </c>
      <c r="F337">
        <v>34</v>
      </c>
      <c r="G337">
        <v>4</v>
      </c>
      <c r="H337">
        <v>1222.93</v>
      </c>
      <c r="I337">
        <v>4254.16</v>
      </c>
      <c r="J337">
        <v>84</v>
      </c>
      <c r="K337">
        <v>156</v>
      </c>
      <c r="L337">
        <v>925</v>
      </c>
    </row>
    <row r="338" spans="1:12" x14ac:dyDescent="0.35">
      <c r="A338" s="461" t="s">
        <v>773</v>
      </c>
      <c r="B338" s="461" t="s">
        <v>235</v>
      </c>
      <c r="C338" s="461" t="s">
        <v>355</v>
      </c>
      <c r="D338" s="461" t="s">
        <v>31</v>
      </c>
      <c r="H338">
        <v>35</v>
      </c>
      <c r="I338">
        <v>105</v>
      </c>
      <c r="L338">
        <v>15</v>
      </c>
    </row>
    <row r="339" spans="1:12" x14ac:dyDescent="0.35">
      <c r="A339" s="461" t="s">
        <v>773</v>
      </c>
      <c r="B339" s="461" t="s">
        <v>235</v>
      </c>
      <c r="C339" s="461" t="s">
        <v>355</v>
      </c>
      <c r="D339" s="461" t="s">
        <v>32</v>
      </c>
      <c r="H339">
        <v>4</v>
      </c>
      <c r="I339">
        <v>22</v>
      </c>
      <c r="L339">
        <v>6</v>
      </c>
    </row>
    <row r="340" spans="1:12" x14ac:dyDescent="0.35">
      <c r="A340" s="461" t="s">
        <v>773</v>
      </c>
      <c r="B340" s="461" t="s">
        <v>235</v>
      </c>
      <c r="C340" s="461"/>
      <c r="D340" s="461" t="s">
        <v>186</v>
      </c>
      <c r="H340">
        <v>597</v>
      </c>
      <c r="I340">
        <v>1992</v>
      </c>
      <c r="L340">
        <v>376</v>
      </c>
    </row>
    <row r="341" spans="1:12" x14ac:dyDescent="0.35">
      <c r="A341" s="461" t="s">
        <v>773</v>
      </c>
      <c r="B341" s="461" t="s">
        <v>235</v>
      </c>
      <c r="C341" s="461" t="s">
        <v>355</v>
      </c>
      <c r="D341" s="461" t="s">
        <v>33</v>
      </c>
      <c r="H341">
        <v>5</v>
      </c>
      <c r="I341">
        <v>17</v>
      </c>
      <c r="L341">
        <v>5</v>
      </c>
    </row>
    <row r="342" spans="1:12" x14ac:dyDescent="0.35">
      <c r="A342" s="461" t="s">
        <v>773</v>
      </c>
      <c r="B342" s="461" t="s">
        <v>235</v>
      </c>
      <c r="C342" s="461" t="s">
        <v>354</v>
      </c>
      <c r="D342" s="461" t="s">
        <v>34</v>
      </c>
      <c r="H342">
        <v>10</v>
      </c>
      <c r="I342">
        <v>33</v>
      </c>
      <c r="L342">
        <v>10</v>
      </c>
    </row>
    <row r="343" spans="1:12" x14ac:dyDescent="0.35">
      <c r="A343" s="461" t="s">
        <v>773</v>
      </c>
      <c r="B343" s="461" t="s">
        <v>235</v>
      </c>
      <c r="C343" s="461" t="s">
        <v>353</v>
      </c>
      <c r="D343" s="461" t="s">
        <v>245</v>
      </c>
      <c r="H343">
        <v>56</v>
      </c>
      <c r="I343">
        <v>214</v>
      </c>
      <c r="L343">
        <v>36</v>
      </c>
    </row>
    <row r="344" spans="1:12" x14ac:dyDescent="0.35">
      <c r="A344" s="461" t="s">
        <v>773</v>
      </c>
      <c r="B344" s="461" t="s">
        <v>235</v>
      </c>
      <c r="C344" s="461" t="s">
        <v>353</v>
      </c>
      <c r="D344" s="461" t="s">
        <v>35</v>
      </c>
      <c r="H344">
        <v>5</v>
      </c>
      <c r="I344">
        <v>15</v>
      </c>
      <c r="L344">
        <v>5</v>
      </c>
    </row>
    <row r="345" spans="1:12" x14ac:dyDescent="0.35">
      <c r="A345" s="461" t="s">
        <v>773</v>
      </c>
      <c r="B345" s="461" t="s">
        <v>235</v>
      </c>
      <c r="C345" s="461" t="s">
        <v>354</v>
      </c>
      <c r="D345" s="461" t="s">
        <v>17411</v>
      </c>
      <c r="H345">
        <v>10</v>
      </c>
      <c r="I345">
        <v>37</v>
      </c>
      <c r="L345">
        <v>5</v>
      </c>
    </row>
    <row r="346" spans="1:12" x14ac:dyDescent="0.35">
      <c r="A346" s="461" t="s">
        <v>773</v>
      </c>
      <c r="B346" s="461" t="s">
        <v>235</v>
      </c>
      <c r="C346" s="461" t="s">
        <v>355</v>
      </c>
      <c r="D346" s="461" t="s">
        <v>37</v>
      </c>
      <c r="H346">
        <v>36</v>
      </c>
      <c r="I346">
        <v>126</v>
      </c>
      <c r="L346">
        <v>20</v>
      </c>
    </row>
    <row r="347" spans="1:12" x14ac:dyDescent="0.35">
      <c r="A347" s="461" t="s">
        <v>773</v>
      </c>
      <c r="B347" s="461" t="s">
        <v>235</v>
      </c>
      <c r="C347" s="461" t="s">
        <v>354</v>
      </c>
      <c r="D347" s="461" t="s">
        <v>38</v>
      </c>
      <c r="H347">
        <v>10</v>
      </c>
      <c r="I347">
        <v>34</v>
      </c>
      <c r="L347">
        <v>5</v>
      </c>
    </row>
    <row r="348" spans="1:12" x14ac:dyDescent="0.35">
      <c r="A348" s="461" t="s">
        <v>773</v>
      </c>
      <c r="B348" s="461" t="s">
        <v>235</v>
      </c>
      <c r="C348" s="461" t="s">
        <v>354</v>
      </c>
      <c r="D348" s="461" t="s">
        <v>39</v>
      </c>
      <c r="H348">
        <v>15</v>
      </c>
      <c r="I348">
        <v>49</v>
      </c>
      <c r="L348">
        <v>15</v>
      </c>
    </row>
    <row r="349" spans="1:12" x14ac:dyDescent="0.35">
      <c r="A349" s="461" t="s">
        <v>773</v>
      </c>
      <c r="B349" s="461" t="s">
        <v>235</v>
      </c>
      <c r="C349" s="461" t="s">
        <v>353</v>
      </c>
      <c r="D349" s="461" t="s">
        <v>40</v>
      </c>
      <c r="H349">
        <v>5</v>
      </c>
      <c r="I349">
        <v>15</v>
      </c>
      <c r="L349">
        <v>5</v>
      </c>
    </row>
    <row r="350" spans="1:12" x14ac:dyDescent="0.35">
      <c r="A350" s="461" t="s">
        <v>773</v>
      </c>
      <c r="B350" s="461" t="s">
        <v>235</v>
      </c>
      <c r="C350" s="461" t="s">
        <v>354</v>
      </c>
      <c r="D350" s="461" t="s">
        <v>41</v>
      </c>
      <c r="H350">
        <v>10</v>
      </c>
      <c r="I350">
        <v>30</v>
      </c>
      <c r="L350">
        <v>10</v>
      </c>
    </row>
    <row r="351" spans="1:12" x14ac:dyDescent="0.35">
      <c r="A351" s="461" t="s">
        <v>773</v>
      </c>
      <c r="B351" s="461" t="s">
        <v>235</v>
      </c>
      <c r="C351" s="461" t="s">
        <v>353</v>
      </c>
      <c r="D351" s="461" t="s">
        <v>42</v>
      </c>
      <c r="H351">
        <v>19</v>
      </c>
      <c r="I351">
        <v>54</v>
      </c>
      <c r="L351">
        <v>15</v>
      </c>
    </row>
    <row r="352" spans="1:12" x14ac:dyDescent="0.35">
      <c r="A352" s="461" t="s">
        <v>773</v>
      </c>
      <c r="B352" s="461" t="s">
        <v>235</v>
      </c>
      <c r="C352" s="461" t="s">
        <v>353</v>
      </c>
      <c r="D352" s="461" t="s">
        <v>43</v>
      </c>
      <c r="H352">
        <v>51</v>
      </c>
      <c r="I352">
        <v>192</v>
      </c>
      <c r="L352">
        <v>26</v>
      </c>
    </row>
    <row r="353" spans="1:12" x14ac:dyDescent="0.35">
      <c r="A353" s="461" t="s">
        <v>773</v>
      </c>
      <c r="B353" s="461" t="s">
        <v>235</v>
      </c>
      <c r="C353" s="461" t="s">
        <v>354</v>
      </c>
      <c r="D353" s="461" t="s">
        <v>114</v>
      </c>
      <c r="H353">
        <v>114</v>
      </c>
      <c r="I353">
        <v>346</v>
      </c>
      <c r="L353">
        <v>57</v>
      </c>
    </row>
    <row r="354" spans="1:12" x14ac:dyDescent="0.35">
      <c r="A354" s="461" t="s">
        <v>773</v>
      </c>
      <c r="B354" s="461" t="s">
        <v>235</v>
      </c>
      <c r="C354" s="461" t="s">
        <v>355</v>
      </c>
      <c r="D354" s="461" t="s">
        <v>44</v>
      </c>
      <c r="H354">
        <v>14</v>
      </c>
      <c r="I354">
        <v>52</v>
      </c>
      <c r="L354">
        <v>5</v>
      </c>
    </row>
    <row r="355" spans="1:12" x14ac:dyDescent="0.35">
      <c r="A355" s="461" t="s">
        <v>773</v>
      </c>
      <c r="B355" s="461" t="s">
        <v>235</v>
      </c>
      <c r="C355" s="461" t="s">
        <v>354</v>
      </c>
      <c r="D355" s="461" t="s">
        <v>45</v>
      </c>
      <c r="H355">
        <v>15</v>
      </c>
      <c r="I355">
        <v>45</v>
      </c>
      <c r="L355">
        <v>10</v>
      </c>
    </row>
    <row r="356" spans="1:12" x14ac:dyDescent="0.35">
      <c r="A356" s="461" t="s">
        <v>773</v>
      </c>
      <c r="B356" s="461" t="s">
        <v>235</v>
      </c>
      <c r="C356" s="461" t="s">
        <v>353</v>
      </c>
      <c r="D356" s="461" t="s">
        <v>46</v>
      </c>
      <c r="H356">
        <v>4</v>
      </c>
      <c r="I356">
        <v>17</v>
      </c>
      <c r="L356">
        <v>5</v>
      </c>
    </row>
    <row r="357" spans="1:12" x14ac:dyDescent="0.35">
      <c r="A357" s="461" t="s">
        <v>773</v>
      </c>
      <c r="B357" s="461" t="s">
        <v>235</v>
      </c>
      <c r="C357" s="461" t="s">
        <v>355</v>
      </c>
      <c r="D357" s="461" t="s">
        <v>47</v>
      </c>
      <c r="H357">
        <v>5</v>
      </c>
      <c r="I357">
        <v>20</v>
      </c>
      <c r="L357">
        <v>5</v>
      </c>
    </row>
    <row r="358" spans="1:12" x14ac:dyDescent="0.35">
      <c r="A358" s="461" t="s">
        <v>773</v>
      </c>
      <c r="B358" s="461" t="s">
        <v>235</v>
      </c>
      <c r="C358" s="461" t="s">
        <v>354</v>
      </c>
      <c r="D358" s="461" t="s">
        <v>49</v>
      </c>
      <c r="H358">
        <v>15</v>
      </c>
      <c r="I358">
        <v>45</v>
      </c>
      <c r="L358">
        <v>15</v>
      </c>
    </row>
    <row r="359" spans="1:12" x14ac:dyDescent="0.35">
      <c r="A359" s="461" t="s">
        <v>773</v>
      </c>
      <c r="B359" s="461" t="s">
        <v>235</v>
      </c>
      <c r="C359" s="461" t="s">
        <v>354</v>
      </c>
      <c r="D359" s="461" t="s">
        <v>50</v>
      </c>
      <c r="H359">
        <v>37</v>
      </c>
      <c r="I359">
        <v>105</v>
      </c>
      <c r="L359">
        <v>21</v>
      </c>
    </row>
    <row r="360" spans="1:12" x14ac:dyDescent="0.35">
      <c r="A360" s="461" t="s">
        <v>773</v>
      </c>
      <c r="B360" s="461" t="s">
        <v>235</v>
      </c>
      <c r="C360" s="461" t="s">
        <v>355</v>
      </c>
      <c r="D360" s="461" t="s">
        <v>52</v>
      </c>
      <c r="H360">
        <v>10</v>
      </c>
      <c r="I360">
        <v>52</v>
      </c>
      <c r="L360">
        <v>5</v>
      </c>
    </row>
    <row r="361" spans="1:12" x14ac:dyDescent="0.35">
      <c r="A361" s="461" t="s">
        <v>773</v>
      </c>
      <c r="B361" s="461" t="s">
        <v>235</v>
      </c>
      <c r="C361" s="461" t="s">
        <v>354</v>
      </c>
      <c r="D361" s="461" t="s">
        <v>53</v>
      </c>
      <c r="H361">
        <v>21</v>
      </c>
      <c r="I361">
        <v>66</v>
      </c>
      <c r="L361">
        <v>15</v>
      </c>
    </row>
    <row r="362" spans="1:12" x14ac:dyDescent="0.35">
      <c r="A362" s="461" t="s">
        <v>773</v>
      </c>
      <c r="B362" s="461" t="s">
        <v>235</v>
      </c>
      <c r="C362" s="461" t="s">
        <v>353</v>
      </c>
      <c r="D362" s="461" t="s">
        <v>54</v>
      </c>
      <c r="H362">
        <v>10</v>
      </c>
      <c r="I362">
        <v>33</v>
      </c>
      <c r="L362">
        <v>10</v>
      </c>
    </row>
    <row r="363" spans="1:12" x14ac:dyDescent="0.35">
      <c r="A363" s="461" t="s">
        <v>773</v>
      </c>
      <c r="B363" s="461" t="s">
        <v>235</v>
      </c>
      <c r="C363" s="461" t="s">
        <v>354</v>
      </c>
      <c r="D363" s="461" t="s">
        <v>56</v>
      </c>
      <c r="H363">
        <v>9</v>
      </c>
      <c r="I363">
        <v>36</v>
      </c>
      <c r="L363">
        <v>5</v>
      </c>
    </row>
    <row r="364" spans="1:12" x14ac:dyDescent="0.35">
      <c r="A364" s="461" t="s">
        <v>773</v>
      </c>
      <c r="B364" s="461" t="s">
        <v>235</v>
      </c>
      <c r="C364" s="461" t="s">
        <v>354</v>
      </c>
      <c r="D364" s="461" t="s">
        <v>57</v>
      </c>
      <c r="H364">
        <v>37</v>
      </c>
      <c r="I364">
        <v>111</v>
      </c>
      <c r="L364">
        <v>20</v>
      </c>
    </row>
    <row r="365" spans="1:12" x14ac:dyDescent="0.35">
      <c r="A365" s="461" t="s">
        <v>773</v>
      </c>
      <c r="B365" s="461" t="s">
        <v>235</v>
      </c>
      <c r="C365" s="461" t="s">
        <v>353</v>
      </c>
      <c r="D365" s="461" t="s">
        <v>58</v>
      </c>
      <c r="H365">
        <v>10</v>
      </c>
      <c r="I365">
        <v>36</v>
      </c>
      <c r="L365">
        <v>5</v>
      </c>
    </row>
    <row r="366" spans="1:12" x14ac:dyDescent="0.35">
      <c r="A366" s="461" t="s">
        <v>773</v>
      </c>
      <c r="B366" s="461" t="s">
        <v>235</v>
      </c>
      <c r="C366" s="461" t="s">
        <v>354</v>
      </c>
      <c r="D366" s="461" t="s">
        <v>59</v>
      </c>
      <c r="H366">
        <v>15</v>
      </c>
      <c r="I366">
        <v>48</v>
      </c>
      <c r="L366">
        <v>10</v>
      </c>
    </row>
    <row r="367" spans="1:12" x14ac:dyDescent="0.35">
      <c r="A367" s="461" t="s">
        <v>773</v>
      </c>
      <c r="B367" s="461" t="s">
        <v>235</v>
      </c>
      <c r="C367" s="461" t="s">
        <v>353</v>
      </c>
      <c r="D367" s="461" t="s">
        <v>60</v>
      </c>
      <c r="H367">
        <v>10</v>
      </c>
      <c r="I367">
        <v>37</v>
      </c>
      <c r="L367">
        <v>10</v>
      </c>
    </row>
    <row r="368" spans="1:12" x14ac:dyDescent="0.35">
      <c r="A368" s="461" t="s">
        <v>773</v>
      </c>
      <c r="B368" s="461" t="s">
        <v>236</v>
      </c>
      <c r="C368" s="461" t="s">
        <v>355</v>
      </c>
      <c r="D368" s="461" t="s">
        <v>31</v>
      </c>
      <c r="F368">
        <v>1</v>
      </c>
      <c r="H368">
        <v>2</v>
      </c>
      <c r="I368">
        <v>1</v>
      </c>
      <c r="J368">
        <v>2</v>
      </c>
      <c r="K368">
        <v>3</v>
      </c>
      <c r="L368">
        <v>4</v>
      </c>
    </row>
    <row r="369" spans="1:12" x14ac:dyDescent="0.35">
      <c r="A369" s="461" t="s">
        <v>773</v>
      </c>
      <c r="B369" s="461" t="s">
        <v>236</v>
      </c>
      <c r="C369" s="461" t="s">
        <v>355</v>
      </c>
      <c r="D369" s="461" t="s">
        <v>63</v>
      </c>
      <c r="F369">
        <v>1</v>
      </c>
      <c r="H369">
        <v>4</v>
      </c>
      <c r="I369">
        <v>1</v>
      </c>
      <c r="J369">
        <v>3</v>
      </c>
      <c r="K369">
        <v>9</v>
      </c>
      <c r="L369">
        <v>7</v>
      </c>
    </row>
    <row r="370" spans="1:12" x14ac:dyDescent="0.35">
      <c r="A370" s="461" t="s">
        <v>773</v>
      </c>
      <c r="B370" s="461" t="s">
        <v>236</v>
      </c>
      <c r="C370" s="461"/>
      <c r="D370" s="461" t="s">
        <v>186</v>
      </c>
      <c r="F370">
        <v>16</v>
      </c>
      <c r="H370">
        <v>58</v>
      </c>
      <c r="I370">
        <v>26.93</v>
      </c>
      <c r="J370">
        <v>50</v>
      </c>
      <c r="K370">
        <v>118</v>
      </c>
      <c r="L370">
        <v>113</v>
      </c>
    </row>
    <row r="371" spans="1:12" x14ac:dyDescent="0.35">
      <c r="A371" s="461" t="s">
        <v>773</v>
      </c>
      <c r="B371" s="461" t="s">
        <v>236</v>
      </c>
      <c r="C371" s="461" t="s">
        <v>354</v>
      </c>
      <c r="D371" s="461" t="s">
        <v>64</v>
      </c>
      <c r="F371">
        <v>1</v>
      </c>
      <c r="H371">
        <v>7</v>
      </c>
      <c r="I371">
        <v>2</v>
      </c>
      <c r="J371">
        <v>3</v>
      </c>
      <c r="K371">
        <v>8</v>
      </c>
      <c r="L371">
        <v>7</v>
      </c>
    </row>
    <row r="372" spans="1:12" x14ac:dyDescent="0.35">
      <c r="A372" s="461" t="s">
        <v>773</v>
      </c>
      <c r="B372" s="461" t="s">
        <v>236</v>
      </c>
      <c r="C372" s="461" t="s">
        <v>354</v>
      </c>
      <c r="D372" s="461" t="s">
        <v>36</v>
      </c>
      <c r="F372">
        <v>1</v>
      </c>
      <c r="H372">
        <v>3</v>
      </c>
      <c r="I372">
        <v>1.83</v>
      </c>
      <c r="J372">
        <v>2</v>
      </c>
      <c r="K372">
        <v>6</v>
      </c>
      <c r="L372">
        <v>8</v>
      </c>
    </row>
    <row r="373" spans="1:12" x14ac:dyDescent="0.35">
      <c r="A373" s="461" t="s">
        <v>773</v>
      </c>
      <c r="B373" s="461" t="s">
        <v>236</v>
      </c>
      <c r="C373" s="461" t="s">
        <v>355</v>
      </c>
      <c r="D373" s="461" t="s">
        <v>65</v>
      </c>
      <c r="F373">
        <v>1</v>
      </c>
      <c r="H373">
        <v>4</v>
      </c>
      <c r="I373">
        <v>2</v>
      </c>
      <c r="J373">
        <v>4</v>
      </c>
      <c r="K373">
        <v>9</v>
      </c>
      <c r="L373">
        <v>11</v>
      </c>
    </row>
    <row r="374" spans="1:12" x14ac:dyDescent="0.35">
      <c r="A374" s="461" t="s">
        <v>773</v>
      </c>
      <c r="B374" s="461" t="s">
        <v>236</v>
      </c>
      <c r="C374" s="461" t="s">
        <v>354</v>
      </c>
      <c r="D374" s="461" t="s">
        <v>66</v>
      </c>
      <c r="F374">
        <v>1</v>
      </c>
      <c r="H374">
        <v>5</v>
      </c>
      <c r="I374">
        <v>0.6</v>
      </c>
      <c r="J374">
        <v>3</v>
      </c>
      <c r="K374">
        <v>10</v>
      </c>
      <c r="L374">
        <v>8</v>
      </c>
    </row>
    <row r="375" spans="1:12" x14ac:dyDescent="0.35">
      <c r="A375" s="461" t="s">
        <v>773</v>
      </c>
      <c r="B375" s="461" t="s">
        <v>236</v>
      </c>
      <c r="C375" s="461" t="s">
        <v>353</v>
      </c>
      <c r="D375" s="461" t="s">
        <v>67</v>
      </c>
      <c r="F375">
        <v>1</v>
      </c>
      <c r="H375">
        <v>5</v>
      </c>
      <c r="I375">
        <v>4</v>
      </c>
      <c r="J375">
        <v>3</v>
      </c>
      <c r="K375">
        <v>7</v>
      </c>
      <c r="L375">
        <v>9</v>
      </c>
    </row>
    <row r="376" spans="1:12" x14ac:dyDescent="0.35">
      <c r="A376" s="461" t="s">
        <v>773</v>
      </c>
      <c r="B376" s="461" t="s">
        <v>236</v>
      </c>
      <c r="C376" s="461" t="s">
        <v>354</v>
      </c>
      <c r="D376" s="461" t="s">
        <v>68</v>
      </c>
      <c r="F376">
        <v>1</v>
      </c>
      <c r="I376">
        <v>1</v>
      </c>
      <c r="J376">
        <v>4</v>
      </c>
      <c r="K376">
        <v>4</v>
      </c>
      <c r="L376">
        <v>3</v>
      </c>
    </row>
    <row r="377" spans="1:12" x14ac:dyDescent="0.35">
      <c r="A377" s="461" t="s">
        <v>773</v>
      </c>
      <c r="B377" s="461" t="s">
        <v>236</v>
      </c>
      <c r="C377" s="461" t="s">
        <v>353</v>
      </c>
      <c r="D377" s="461" t="s">
        <v>167</v>
      </c>
      <c r="F377">
        <v>1</v>
      </c>
      <c r="H377">
        <v>4</v>
      </c>
      <c r="I377">
        <v>3.5</v>
      </c>
      <c r="J377">
        <v>4</v>
      </c>
      <c r="K377">
        <v>5</v>
      </c>
      <c r="L377">
        <v>10</v>
      </c>
    </row>
    <row r="378" spans="1:12" x14ac:dyDescent="0.35">
      <c r="A378" s="461" t="s">
        <v>773</v>
      </c>
      <c r="B378" s="461" t="s">
        <v>236</v>
      </c>
      <c r="C378" s="461" t="s">
        <v>353</v>
      </c>
      <c r="D378" s="461" t="s">
        <v>69</v>
      </c>
      <c r="F378">
        <v>1</v>
      </c>
      <c r="H378">
        <v>2</v>
      </c>
      <c r="I378">
        <v>2</v>
      </c>
      <c r="J378">
        <v>2</v>
      </c>
      <c r="K378">
        <v>6</v>
      </c>
      <c r="L378">
        <v>6</v>
      </c>
    </row>
    <row r="379" spans="1:12" x14ac:dyDescent="0.35">
      <c r="A379" s="461" t="s">
        <v>773</v>
      </c>
      <c r="B379" s="461" t="s">
        <v>236</v>
      </c>
      <c r="C379" s="461" t="s">
        <v>354</v>
      </c>
      <c r="D379" s="461" t="s">
        <v>114</v>
      </c>
      <c r="F379">
        <v>1</v>
      </c>
      <c r="H379">
        <v>2</v>
      </c>
      <c r="I379">
        <v>2</v>
      </c>
      <c r="J379">
        <v>5</v>
      </c>
      <c r="K379">
        <v>10</v>
      </c>
      <c r="L379">
        <v>5</v>
      </c>
    </row>
    <row r="380" spans="1:12" x14ac:dyDescent="0.35">
      <c r="A380" s="461" t="s">
        <v>773</v>
      </c>
      <c r="B380" s="461" t="s">
        <v>236</v>
      </c>
      <c r="C380" s="461" t="s">
        <v>355</v>
      </c>
      <c r="D380" s="461" t="s">
        <v>70</v>
      </c>
      <c r="F380">
        <v>1</v>
      </c>
      <c r="H380">
        <v>8</v>
      </c>
      <c r="I380">
        <v>1</v>
      </c>
      <c r="J380">
        <v>4</v>
      </c>
      <c r="K380">
        <v>13</v>
      </c>
      <c r="L380">
        <v>11</v>
      </c>
    </row>
    <row r="381" spans="1:12" x14ac:dyDescent="0.35">
      <c r="A381" s="461" t="s">
        <v>773</v>
      </c>
      <c r="B381" s="461" t="s">
        <v>236</v>
      </c>
      <c r="C381" s="461" t="s">
        <v>354</v>
      </c>
      <c r="D381" s="461" t="s">
        <v>50</v>
      </c>
      <c r="F381">
        <v>1</v>
      </c>
      <c r="H381">
        <v>2</v>
      </c>
      <c r="I381">
        <v>1</v>
      </c>
      <c r="J381">
        <v>2</v>
      </c>
      <c r="K381">
        <v>5</v>
      </c>
      <c r="L381">
        <v>5</v>
      </c>
    </row>
    <row r="382" spans="1:12" x14ac:dyDescent="0.35">
      <c r="A382" s="461" t="s">
        <v>773</v>
      </c>
      <c r="B382" s="461" t="s">
        <v>236</v>
      </c>
      <c r="C382" s="461" t="s">
        <v>354</v>
      </c>
      <c r="D382" s="461" t="s">
        <v>57</v>
      </c>
      <c r="F382">
        <v>1</v>
      </c>
      <c r="H382">
        <v>3</v>
      </c>
      <c r="J382">
        <v>2</v>
      </c>
      <c r="K382">
        <v>6</v>
      </c>
      <c r="L382">
        <v>4</v>
      </c>
    </row>
    <row r="383" spans="1:12" x14ac:dyDescent="0.35">
      <c r="A383" s="461" t="s">
        <v>773</v>
      </c>
      <c r="B383" s="461" t="s">
        <v>236</v>
      </c>
      <c r="C383" s="461"/>
      <c r="D383" s="461" t="s">
        <v>775</v>
      </c>
      <c r="F383">
        <v>1</v>
      </c>
      <c r="H383">
        <v>6</v>
      </c>
      <c r="I383">
        <v>4</v>
      </c>
      <c r="J383">
        <v>4</v>
      </c>
      <c r="K383">
        <v>12</v>
      </c>
      <c r="L383">
        <v>11</v>
      </c>
    </row>
    <row r="384" spans="1:12" x14ac:dyDescent="0.35">
      <c r="A384" s="461" t="s">
        <v>773</v>
      </c>
      <c r="B384" s="461" t="s">
        <v>236</v>
      </c>
      <c r="C384" s="461" t="s">
        <v>355</v>
      </c>
      <c r="D384" s="461" t="s">
        <v>71</v>
      </c>
      <c r="F384">
        <v>1</v>
      </c>
      <c r="H384">
        <v>1</v>
      </c>
      <c r="J384">
        <v>3</v>
      </c>
      <c r="K384">
        <v>5</v>
      </c>
      <c r="L384">
        <v>4</v>
      </c>
    </row>
    <row r="385" spans="1:12" x14ac:dyDescent="0.35">
      <c r="A385" s="461" t="s">
        <v>773</v>
      </c>
      <c r="B385" s="461" t="s">
        <v>237</v>
      </c>
      <c r="C385" s="461"/>
      <c r="D385" s="461" t="s">
        <v>186</v>
      </c>
      <c r="F385">
        <v>6</v>
      </c>
      <c r="H385">
        <v>33</v>
      </c>
      <c r="J385">
        <v>17</v>
      </c>
      <c r="K385">
        <v>29</v>
      </c>
      <c r="L385">
        <v>112</v>
      </c>
    </row>
    <row r="386" spans="1:12" x14ac:dyDescent="0.35">
      <c r="A386" s="461" t="s">
        <v>773</v>
      </c>
      <c r="B386" s="461" t="s">
        <v>237</v>
      </c>
      <c r="C386" s="461" t="s">
        <v>353</v>
      </c>
      <c r="D386" s="461" t="s">
        <v>166</v>
      </c>
      <c r="F386">
        <v>1</v>
      </c>
      <c r="H386">
        <v>6</v>
      </c>
      <c r="J386">
        <v>4</v>
      </c>
      <c r="K386">
        <v>8</v>
      </c>
      <c r="L386">
        <v>33</v>
      </c>
    </row>
    <row r="387" spans="1:12" x14ac:dyDescent="0.35">
      <c r="A387" s="461" t="s">
        <v>773</v>
      </c>
      <c r="B387" s="461" t="s">
        <v>237</v>
      </c>
      <c r="C387" s="461" t="s">
        <v>355</v>
      </c>
      <c r="D387" s="461" t="s">
        <v>164</v>
      </c>
      <c r="F387">
        <v>2</v>
      </c>
      <c r="H387">
        <v>6</v>
      </c>
      <c r="J387">
        <v>3</v>
      </c>
      <c r="K387">
        <v>7</v>
      </c>
      <c r="L387">
        <v>24</v>
      </c>
    </row>
    <row r="388" spans="1:12" x14ac:dyDescent="0.35">
      <c r="A388" s="461" t="s">
        <v>773</v>
      </c>
      <c r="B388" s="461" t="s">
        <v>237</v>
      </c>
      <c r="C388" s="461" t="s">
        <v>354</v>
      </c>
      <c r="D388" s="461" t="s">
        <v>165</v>
      </c>
      <c r="F388">
        <v>3</v>
      </c>
      <c r="H388">
        <v>21</v>
      </c>
      <c r="J388">
        <v>10</v>
      </c>
      <c r="K388">
        <v>14</v>
      </c>
      <c r="L388">
        <v>55</v>
      </c>
    </row>
    <row r="389" spans="1:12" x14ac:dyDescent="0.35">
      <c r="A389" s="461" t="s">
        <v>773</v>
      </c>
      <c r="B389" s="461" t="s">
        <v>238</v>
      </c>
      <c r="C389" s="461" t="s">
        <v>339</v>
      </c>
      <c r="D389" s="461" t="s">
        <v>246</v>
      </c>
      <c r="F389">
        <v>9</v>
      </c>
      <c r="G389">
        <v>6</v>
      </c>
      <c r="I389">
        <v>49</v>
      </c>
      <c r="J389">
        <v>13</v>
      </c>
      <c r="K389">
        <v>6</v>
      </c>
      <c r="L389">
        <v>7</v>
      </c>
    </row>
    <row r="390" spans="1:12" x14ac:dyDescent="0.35">
      <c r="A390" s="461" t="s">
        <v>773</v>
      </c>
      <c r="B390" s="461" t="s">
        <v>26</v>
      </c>
      <c r="C390" s="461" t="s">
        <v>339</v>
      </c>
      <c r="D390" s="461" t="s">
        <v>246</v>
      </c>
      <c r="E390">
        <v>6670.74</v>
      </c>
      <c r="F390">
        <v>32</v>
      </c>
      <c r="G390">
        <v>6</v>
      </c>
      <c r="H390">
        <v>1204.43</v>
      </c>
      <c r="I390">
        <v>4227.0599999999995</v>
      </c>
      <c r="J390">
        <v>84</v>
      </c>
      <c r="K390">
        <v>161</v>
      </c>
      <c r="L390">
        <v>956.25</v>
      </c>
    </row>
    <row r="391" spans="1:12" x14ac:dyDescent="0.35">
      <c r="A391" s="461" t="s">
        <v>951</v>
      </c>
      <c r="B391" s="461" t="s">
        <v>235</v>
      </c>
      <c r="C391" s="461" t="s">
        <v>355</v>
      </c>
      <c r="D391" s="461" t="s">
        <v>31</v>
      </c>
      <c r="H391">
        <v>35</v>
      </c>
      <c r="I391">
        <v>99</v>
      </c>
      <c r="L391">
        <v>15</v>
      </c>
    </row>
    <row r="392" spans="1:12" x14ac:dyDescent="0.35">
      <c r="A392" s="461" t="s">
        <v>951</v>
      </c>
      <c r="B392" s="461" t="s">
        <v>235</v>
      </c>
      <c r="C392" s="461" t="s">
        <v>355</v>
      </c>
      <c r="D392" s="461" t="s">
        <v>32</v>
      </c>
      <c r="H392">
        <v>5</v>
      </c>
      <c r="I392">
        <v>19</v>
      </c>
      <c r="L392">
        <v>5</v>
      </c>
    </row>
    <row r="393" spans="1:12" x14ac:dyDescent="0.35">
      <c r="A393" s="461" t="s">
        <v>951</v>
      </c>
      <c r="B393" s="461" t="s">
        <v>235</v>
      </c>
      <c r="C393" s="461"/>
      <c r="D393" s="461" t="s">
        <v>186</v>
      </c>
      <c r="H393">
        <v>596</v>
      </c>
      <c r="I393">
        <v>1933.5</v>
      </c>
      <c r="L393">
        <v>372</v>
      </c>
    </row>
    <row r="394" spans="1:12" x14ac:dyDescent="0.35">
      <c r="A394" s="461" t="s">
        <v>951</v>
      </c>
      <c r="B394" s="461" t="s">
        <v>235</v>
      </c>
      <c r="C394" s="461" t="s">
        <v>355</v>
      </c>
      <c r="D394" s="461" t="s">
        <v>33</v>
      </c>
      <c r="H394">
        <v>5</v>
      </c>
      <c r="I394">
        <v>17</v>
      </c>
      <c r="L394">
        <v>5</v>
      </c>
    </row>
    <row r="395" spans="1:12" x14ac:dyDescent="0.35">
      <c r="A395" s="461" t="s">
        <v>951</v>
      </c>
      <c r="B395" s="461" t="s">
        <v>235</v>
      </c>
      <c r="C395" s="461" t="s">
        <v>354</v>
      </c>
      <c r="D395" s="461" t="s">
        <v>34</v>
      </c>
      <c r="H395">
        <v>10</v>
      </c>
      <c r="I395">
        <v>32</v>
      </c>
      <c r="L395">
        <v>10</v>
      </c>
    </row>
    <row r="396" spans="1:12" x14ac:dyDescent="0.35">
      <c r="A396" s="461" t="s">
        <v>951</v>
      </c>
      <c r="B396" s="461" t="s">
        <v>235</v>
      </c>
      <c r="C396" s="461" t="s">
        <v>353</v>
      </c>
      <c r="D396" s="461" t="s">
        <v>245</v>
      </c>
      <c r="H396">
        <v>58</v>
      </c>
      <c r="I396">
        <v>205.5</v>
      </c>
      <c r="L396">
        <v>36</v>
      </c>
    </row>
    <row r="397" spans="1:12" x14ac:dyDescent="0.35">
      <c r="A397" s="461" t="s">
        <v>951</v>
      </c>
      <c r="B397" s="461" t="s">
        <v>235</v>
      </c>
      <c r="C397" s="461" t="s">
        <v>353</v>
      </c>
      <c r="D397" s="461" t="s">
        <v>35</v>
      </c>
      <c r="H397">
        <v>5</v>
      </c>
      <c r="I397">
        <v>13</v>
      </c>
      <c r="L397">
        <v>6</v>
      </c>
    </row>
    <row r="398" spans="1:12" x14ac:dyDescent="0.35">
      <c r="A398" s="461" t="s">
        <v>951</v>
      </c>
      <c r="B398" s="461" t="s">
        <v>235</v>
      </c>
      <c r="C398" s="461" t="s">
        <v>354</v>
      </c>
      <c r="D398" s="461" t="s">
        <v>17411</v>
      </c>
      <c r="H398">
        <v>10</v>
      </c>
      <c r="I398">
        <v>36</v>
      </c>
      <c r="L398">
        <v>5</v>
      </c>
    </row>
    <row r="399" spans="1:12" x14ac:dyDescent="0.35">
      <c r="A399" s="461" t="s">
        <v>951</v>
      </c>
      <c r="B399" s="461" t="s">
        <v>235</v>
      </c>
      <c r="C399" s="461" t="s">
        <v>355</v>
      </c>
      <c r="D399" s="461" t="s">
        <v>37</v>
      </c>
      <c r="H399">
        <v>36</v>
      </c>
      <c r="I399">
        <v>127</v>
      </c>
      <c r="L399">
        <v>19</v>
      </c>
    </row>
    <row r="400" spans="1:12" x14ac:dyDescent="0.35">
      <c r="A400" s="461" t="s">
        <v>951</v>
      </c>
      <c r="B400" s="461" t="s">
        <v>235</v>
      </c>
      <c r="C400" s="461" t="s">
        <v>354</v>
      </c>
      <c r="D400" s="461" t="s">
        <v>38</v>
      </c>
      <c r="H400">
        <v>10</v>
      </c>
      <c r="I400">
        <v>32</v>
      </c>
      <c r="L400">
        <v>5</v>
      </c>
    </row>
    <row r="401" spans="1:12" x14ac:dyDescent="0.35">
      <c r="A401" s="461" t="s">
        <v>951</v>
      </c>
      <c r="B401" s="461" t="s">
        <v>235</v>
      </c>
      <c r="C401" s="461" t="s">
        <v>354</v>
      </c>
      <c r="D401" s="461" t="s">
        <v>39</v>
      </c>
      <c r="H401">
        <v>14</v>
      </c>
      <c r="I401">
        <v>46</v>
      </c>
      <c r="L401">
        <v>16</v>
      </c>
    </row>
    <row r="402" spans="1:12" x14ac:dyDescent="0.35">
      <c r="A402" s="461" t="s">
        <v>951</v>
      </c>
      <c r="B402" s="461" t="s">
        <v>235</v>
      </c>
      <c r="C402" s="461" t="s">
        <v>353</v>
      </c>
      <c r="D402" s="461" t="s">
        <v>40</v>
      </c>
      <c r="H402">
        <v>5</v>
      </c>
      <c r="I402">
        <v>16</v>
      </c>
      <c r="L402">
        <v>5</v>
      </c>
    </row>
    <row r="403" spans="1:12" x14ac:dyDescent="0.35">
      <c r="A403" s="461" t="s">
        <v>951</v>
      </c>
      <c r="B403" s="461" t="s">
        <v>235</v>
      </c>
      <c r="C403" s="461" t="s">
        <v>354</v>
      </c>
      <c r="D403" s="461" t="s">
        <v>41</v>
      </c>
      <c r="H403">
        <v>10</v>
      </c>
      <c r="I403">
        <v>28</v>
      </c>
      <c r="L403">
        <v>10</v>
      </c>
    </row>
    <row r="404" spans="1:12" x14ac:dyDescent="0.35">
      <c r="A404" s="461" t="s">
        <v>951</v>
      </c>
      <c r="B404" s="461" t="s">
        <v>235</v>
      </c>
      <c r="C404" s="461" t="s">
        <v>353</v>
      </c>
      <c r="D404" s="461" t="s">
        <v>42</v>
      </c>
      <c r="H404">
        <v>20</v>
      </c>
      <c r="I404">
        <v>53</v>
      </c>
      <c r="L404">
        <v>15</v>
      </c>
    </row>
    <row r="405" spans="1:12" x14ac:dyDescent="0.35">
      <c r="A405" s="461" t="s">
        <v>951</v>
      </c>
      <c r="B405" s="461" t="s">
        <v>235</v>
      </c>
      <c r="C405" s="461" t="s">
        <v>353</v>
      </c>
      <c r="D405" s="461" t="s">
        <v>43</v>
      </c>
      <c r="H405">
        <v>50</v>
      </c>
      <c r="I405">
        <v>179</v>
      </c>
      <c r="L405">
        <v>25</v>
      </c>
    </row>
    <row r="406" spans="1:12" x14ac:dyDescent="0.35">
      <c r="A406" s="461" t="s">
        <v>951</v>
      </c>
      <c r="B406" s="461" t="s">
        <v>235</v>
      </c>
      <c r="C406" s="461" t="s">
        <v>354</v>
      </c>
      <c r="D406" s="461" t="s">
        <v>114</v>
      </c>
      <c r="H406">
        <v>109</v>
      </c>
      <c r="I406">
        <v>335</v>
      </c>
      <c r="L406">
        <v>55</v>
      </c>
    </row>
    <row r="407" spans="1:12" x14ac:dyDescent="0.35">
      <c r="A407" s="461" t="s">
        <v>951</v>
      </c>
      <c r="B407" s="461" t="s">
        <v>235</v>
      </c>
      <c r="C407" s="461" t="s">
        <v>355</v>
      </c>
      <c r="D407" s="461" t="s">
        <v>44</v>
      </c>
      <c r="H407">
        <v>15</v>
      </c>
      <c r="I407">
        <v>54</v>
      </c>
      <c r="L407">
        <v>5</v>
      </c>
    </row>
    <row r="408" spans="1:12" x14ac:dyDescent="0.35">
      <c r="A408" s="461" t="s">
        <v>951</v>
      </c>
      <c r="B408" s="461" t="s">
        <v>235</v>
      </c>
      <c r="C408" s="461" t="s">
        <v>354</v>
      </c>
      <c r="D408" s="461" t="s">
        <v>45</v>
      </c>
      <c r="H408">
        <v>15</v>
      </c>
      <c r="I408">
        <v>45</v>
      </c>
      <c r="L408">
        <v>10</v>
      </c>
    </row>
    <row r="409" spans="1:12" x14ac:dyDescent="0.35">
      <c r="A409" s="461" t="s">
        <v>951</v>
      </c>
      <c r="B409" s="461" t="s">
        <v>235</v>
      </c>
      <c r="C409" s="461" t="s">
        <v>353</v>
      </c>
      <c r="D409" s="461" t="s">
        <v>46</v>
      </c>
      <c r="H409">
        <v>5</v>
      </c>
      <c r="I409">
        <v>17</v>
      </c>
      <c r="L409">
        <v>5</v>
      </c>
    </row>
    <row r="410" spans="1:12" x14ac:dyDescent="0.35">
      <c r="A410" s="461" t="s">
        <v>951</v>
      </c>
      <c r="B410" s="461" t="s">
        <v>235</v>
      </c>
      <c r="C410" s="461" t="s">
        <v>355</v>
      </c>
      <c r="D410" s="461" t="s">
        <v>47</v>
      </c>
      <c r="H410">
        <v>5</v>
      </c>
      <c r="I410">
        <v>20</v>
      </c>
      <c r="L410">
        <v>5</v>
      </c>
    </row>
    <row r="411" spans="1:12" x14ac:dyDescent="0.35">
      <c r="A411" s="461" t="s">
        <v>951</v>
      </c>
      <c r="B411" s="461" t="s">
        <v>235</v>
      </c>
      <c r="C411" s="461" t="s">
        <v>354</v>
      </c>
      <c r="D411" s="461" t="s">
        <v>49</v>
      </c>
      <c r="H411">
        <v>15</v>
      </c>
      <c r="I411">
        <v>45</v>
      </c>
      <c r="L411">
        <v>15</v>
      </c>
    </row>
    <row r="412" spans="1:12" x14ac:dyDescent="0.35">
      <c r="A412" s="461" t="s">
        <v>951</v>
      </c>
      <c r="B412" s="461" t="s">
        <v>235</v>
      </c>
      <c r="C412" s="461" t="s">
        <v>354</v>
      </c>
      <c r="D412" s="461" t="s">
        <v>50</v>
      </c>
      <c r="H412">
        <v>35</v>
      </c>
      <c r="I412">
        <v>105</v>
      </c>
      <c r="L412">
        <v>20</v>
      </c>
    </row>
    <row r="413" spans="1:12" x14ac:dyDescent="0.35">
      <c r="A413" s="461" t="s">
        <v>951</v>
      </c>
      <c r="B413" s="461" t="s">
        <v>235</v>
      </c>
      <c r="C413" s="461" t="s">
        <v>355</v>
      </c>
      <c r="D413" s="461" t="s">
        <v>52</v>
      </c>
      <c r="H413">
        <v>10</v>
      </c>
      <c r="I413">
        <v>48</v>
      </c>
      <c r="L413">
        <v>5</v>
      </c>
    </row>
    <row r="414" spans="1:12" x14ac:dyDescent="0.35">
      <c r="A414" s="461" t="s">
        <v>951</v>
      </c>
      <c r="B414" s="461" t="s">
        <v>235</v>
      </c>
      <c r="C414" s="461" t="s">
        <v>354</v>
      </c>
      <c r="D414" s="461" t="s">
        <v>53</v>
      </c>
      <c r="H414">
        <v>21</v>
      </c>
      <c r="I414">
        <v>64</v>
      </c>
      <c r="L414">
        <v>15</v>
      </c>
    </row>
    <row r="415" spans="1:12" x14ac:dyDescent="0.35">
      <c r="A415" s="461" t="s">
        <v>951</v>
      </c>
      <c r="B415" s="461" t="s">
        <v>235</v>
      </c>
      <c r="C415" s="461" t="s">
        <v>353</v>
      </c>
      <c r="D415" s="461" t="s">
        <v>54</v>
      </c>
      <c r="H415">
        <v>8</v>
      </c>
      <c r="I415">
        <v>33</v>
      </c>
      <c r="L415">
        <v>10</v>
      </c>
    </row>
    <row r="416" spans="1:12" x14ac:dyDescent="0.35">
      <c r="A416" s="461" t="s">
        <v>951</v>
      </c>
      <c r="B416" s="461" t="s">
        <v>235</v>
      </c>
      <c r="C416" s="461" t="s">
        <v>354</v>
      </c>
      <c r="D416" s="461" t="s">
        <v>56</v>
      </c>
      <c r="H416">
        <v>10</v>
      </c>
      <c r="I416">
        <v>36</v>
      </c>
      <c r="L416">
        <v>5</v>
      </c>
    </row>
    <row r="417" spans="1:12" x14ac:dyDescent="0.35">
      <c r="A417" s="461" t="s">
        <v>951</v>
      </c>
      <c r="B417" s="461" t="s">
        <v>235</v>
      </c>
      <c r="C417" s="461" t="s">
        <v>354</v>
      </c>
      <c r="D417" s="461" t="s">
        <v>57</v>
      </c>
      <c r="H417">
        <v>37</v>
      </c>
      <c r="I417">
        <v>111</v>
      </c>
      <c r="L417">
        <v>20</v>
      </c>
    </row>
    <row r="418" spans="1:12" x14ac:dyDescent="0.35">
      <c r="A418" s="461" t="s">
        <v>951</v>
      </c>
      <c r="B418" s="461" t="s">
        <v>235</v>
      </c>
      <c r="C418" s="461" t="s">
        <v>353</v>
      </c>
      <c r="D418" s="461" t="s">
        <v>58</v>
      </c>
      <c r="H418">
        <v>10</v>
      </c>
      <c r="I418">
        <v>37</v>
      </c>
      <c r="L418">
        <v>5</v>
      </c>
    </row>
    <row r="419" spans="1:12" x14ac:dyDescent="0.35">
      <c r="A419" s="461" t="s">
        <v>951</v>
      </c>
      <c r="B419" s="461" t="s">
        <v>235</v>
      </c>
      <c r="C419" s="461" t="s">
        <v>354</v>
      </c>
      <c r="D419" s="461" t="s">
        <v>59</v>
      </c>
      <c r="H419">
        <v>17</v>
      </c>
      <c r="I419">
        <v>46</v>
      </c>
      <c r="L419">
        <v>10</v>
      </c>
    </row>
    <row r="420" spans="1:12" x14ac:dyDescent="0.35">
      <c r="A420" s="461" t="s">
        <v>951</v>
      </c>
      <c r="B420" s="461" t="s">
        <v>235</v>
      </c>
      <c r="C420" s="461" t="s">
        <v>353</v>
      </c>
      <c r="D420" s="461" t="s">
        <v>60</v>
      </c>
      <c r="H420">
        <v>11</v>
      </c>
      <c r="I420">
        <v>35</v>
      </c>
      <c r="L420">
        <v>10</v>
      </c>
    </row>
    <row r="421" spans="1:12" x14ac:dyDescent="0.35">
      <c r="A421" s="461" t="s">
        <v>951</v>
      </c>
      <c r="B421" s="461" t="s">
        <v>236</v>
      </c>
      <c r="C421" s="461" t="s">
        <v>355</v>
      </c>
      <c r="D421" s="461" t="s">
        <v>31</v>
      </c>
      <c r="F421">
        <v>1</v>
      </c>
      <c r="H421">
        <v>1</v>
      </c>
      <c r="I421">
        <v>1</v>
      </c>
      <c r="J421">
        <v>2</v>
      </c>
      <c r="K421">
        <v>3</v>
      </c>
      <c r="L421">
        <v>4</v>
      </c>
    </row>
    <row r="422" spans="1:12" x14ac:dyDescent="0.35">
      <c r="A422" s="461" t="s">
        <v>951</v>
      </c>
      <c r="B422" s="461" t="s">
        <v>236</v>
      </c>
      <c r="C422" s="461" t="s">
        <v>355</v>
      </c>
      <c r="D422" s="461" t="s">
        <v>63</v>
      </c>
      <c r="F422">
        <v>1</v>
      </c>
      <c r="H422">
        <v>4</v>
      </c>
      <c r="I422">
        <v>1</v>
      </c>
      <c r="J422">
        <v>3</v>
      </c>
      <c r="K422">
        <v>9</v>
      </c>
      <c r="L422">
        <v>8</v>
      </c>
    </row>
    <row r="423" spans="1:12" x14ac:dyDescent="0.35">
      <c r="A423" s="461" t="s">
        <v>951</v>
      </c>
      <c r="B423" s="461" t="s">
        <v>236</v>
      </c>
      <c r="C423" s="461"/>
      <c r="D423" s="461" t="s">
        <v>186</v>
      </c>
      <c r="F423">
        <v>16</v>
      </c>
      <c r="H423">
        <v>55</v>
      </c>
      <c r="I423">
        <v>24.93</v>
      </c>
      <c r="J423">
        <v>49</v>
      </c>
      <c r="K423">
        <v>116</v>
      </c>
      <c r="L423">
        <v>115</v>
      </c>
    </row>
    <row r="424" spans="1:12" x14ac:dyDescent="0.35">
      <c r="A424" s="461" t="s">
        <v>951</v>
      </c>
      <c r="B424" s="461" t="s">
        <v>236</v>
      </c>
      <c r="C424" s="461" t="s">
        <v>354</v>
      </c>
      <c r="D424" s="461" t="s">
        <v>64</v>
      </c>
      <c r="F424">
        <v>1</v>
      </c>
      <c r="H424">
        <v>6</v>
      </c>
      <c r="I424">
        <v>2</v>
      </c>
      <c r="J424">
        <v>3</v>
      </c>
      <c r="K424">
        <v>7</v>
      </c>
      <c r="L424">
        <v>7</v>
      </c>
    </row>
    <row r="425" spans="1:12" x14ac:dyDescent="0.35">
      <c r="A425" s="461" t="s">
        <v>951</v>
      </c>
      <c r="B425" s="461" t="s">
        <v>236</v>
      </c>
      <c r="C425" s="461" t="s">
        <v>354</v>
      </c>
      <c r="D425" s="461" t="s">
        <v>36</v>
      </c>
      <c r="F425">
        <v>1</v>
      </c>
      <c r="H425">
        <v>4</v>
      </c>
      <c r="I425">
        <v>1.83</v>
      </c>
      <c r="J425">
        <v>2</v>
      </c>
      <c r="K425">
        <v>6</v>
      </c>
      <c r="L425">
        <v>6</v>
      </c>
    </row>
    <row r="426" spans="1:12" x14ac:dyDescent="0.35">
      <c r="A426" s="461" t="s">
        <v>951</v>
      </c>
      <c r="B426" s="461" t="s">
        <v>236</v>
      </c>
      <c r="C426" s="461" t="s">
        <v>355</v>
      </c>
      <c r="D426" s="461" t="s">
        <v>65</v>
      </c>
      <c r="F426">
        <v>1</v>
      </c>
      <c r="H426">
        <v>4</v>
      </c>
      <c r="I426">
        <v>1</v>
      </c>
      <c r="J426">
        <v>4</v>
      </c>
      <c r="K426">
        <v>8</v>
      </c>
      <c r="L426">
        <v>10</v>
      </c>
    </row>
    <row r="427" spans="1:12" x14ac:dyDescent="0.35">
      <c r="A427" s="461" t="s">
        <v>951</v>
      </c>
      <c r="B427" s="461" t="s">
        <v>236</v>
      </c>
      <c r="C427" s="461" t="s">
        <v>354</v>
      </c>
      <c r="D427" s="461" t="s">
        <v>66</v>
      </c>
      <c r="F427">
        <v>1</v>
      </c>
      <c r="H427">
        <v>5</v>
      </c>
      <c r="I427">
        <v>0.6</v>
      </c>
      <c r="J427">
        <v>3</v>
      </c>
      <c r="K427">
        <v>9</v>
      </c>
      <c r="L427">
        <v>8</v>
      </c>
    </row>
    <row r="428" spans="1:12" x14ac:dyDescent="0.35">
      <c r="A428" s="461" t="s">
        <v>951</v>
      </c>
      <c r="B428" s="461" t="s">
        <v>236</v>
      </c>
      <c r="C428" s="461" t="s">
        <v>353</v>
      </c>
      <c r="D428" s="461" t="s">
        <v>67</v>
      </c>
      <c r="F428">
        <v>1</v>
      </c>
      <c r="H428">
        <v>3</v>
      </c>
      <c r="I428">
        <v>4</v>
      </c>
      <c r="J428">
        <v>3</v>
      </c>
      <c r="K428">
        <v>7</v>
      </c>
      <c r="L428">
        <v>10</v>
      </c>
    </row>
    <row r="429" spans="1:12" x14ac:dyDescent="0.35">
      <c r="A429" s="461" t="s">
        <v>951</v>
      </c>
      <c r="B429" s="461" t="s">
        <v>236</v>
      </c>
      <c r="C429" s="461" t="s">
        <v>354</v>
      </c>
      <c r="D429" s="461" t="s">
        <v>68</v>
      </c>
      <c r="F429">
        <v>1</v>
      </c>
      <c r="H429">
        <v>2</v>
      </c>
      <c r="I429">
        <v>1</v>
      </c>
      <c r="J429">
        <v>4</v>
      </c>
      <c r="K429">
        <v>5</v>
      </c>
      <c r="L429">
        <v>4</v>
      </c>
    </row>
    <row r="430" spans="1:12" x14ac:dyDescent="0.35">
      <c r="A430" s="461" t="s">
        <v>951</v>
      </c>
      <c r="B430" s="461" t="s">
        <v>236</v>
      </c>
      <c r="C430" s="461" t="s">
        <v>353</v>
      </c>
      <c r="D430" s="461" t="s">
        <v>167</v>
      </c>
      <c r="F430">
        <v>1</v>
      </c>
      <c r="H430">
        <v>3</v>
      </c>
      <c r="I430">
        <v>3.5</v>
      </c>
      <c r="J430">
        <v>3</v>
      </c>
      <c r="K430">
        <v>7</v>
      </c>
      <c r="L430">
        <v>11</v>
      </c>
    </row>
    <row r="431" spans="1:12" x14ac:dyDescent="0.35">
      <c r="A431" s="461" t="s">
        <v>951</v>
      </c>
      <c r="B431" s="461" t="s">
        <v>236</v>
      </c>
      <c r="C431" s="461" t="s">
        <v>353</v>
      </c>
      <c r="D431" s="461" t="s">
        <v>69</v>
      </c>
      <c r="F431">
        <v>1</v>
      </c>
      <c r="H431">
        <v>3</v>
      </c>
      <c r="I431">
        <v>2</v>
      </c>
      <c r="J431">
        <v>2</v>
      </c>
      <c r="K431">
        <v>5</v>
      </c>
      <c r="L431">
        <v>6</v>
      </c>
    </row>
    <row r="432" spans="1:12" x14ac:dyDescent="0.35">
      <c r="A432" s="461" t="s">
        <v>951</v>
      </c>
      <c r="B432" s="461" t="s">
        <v>236</v>
      </c>
      <c r="C432" s="461" t="s">
        <v>354</v>
      </c>
      <c r="D432" s="461" t="s">
        <v>114</v>
      </c>
      <c r="F432">
        <v>1</v>
      </c>
      <c r="H432">
        <v>2</v>
      </c>
      <c r="I432">
        <v>2</v>
      </c>
      <c r="J432">
        <v>5</v>
      </c>
      <c r="K432">
        <v>9</v>
      </c>
      <c r="L432">
        <v>7</v>
      </c>
    </row>
    <row r="433" spans="1:12" x14ac:dyDescent="0.35">
      <c r="A433" s="461" t="s">
        <v>951</v>
      </c>
      <c r="B433" s="461" t="s">
        <v>236</v>
      </c>
      <c r="C433" s="461" t="s">
        <v>355</v>
      </c>
      <c r="D433" s="461" t="s">
        <v>70</v>
      </c>
      <c r="F433">
        <v>1</v>
      </c>
      <c r="H433">
        <v>7</v>
      </c>
      <c r="I433">
        <v>1</v>
      </c>
      <c r="J433">
        <v>4</v>
      </c>
      <c r="K433">
        <v>12</v>
      </c>
      <c r="L433">
        <v>10</v>
      </c>
    </row>
    <row r="434" spans="1:12" x14ac:dyDescent="0.35">
      <c r="A434" s="461" t="s">
        <v>951</v>
      </c>
      <c r="B434" s="461" t="s">
        <v>236</v>
      </c>
      <c r="C434" s="461" t="s">
        <v>354</v>
      </c>
      <c r="D434" s="461" t="s">
        <v>50</v>
      </c>
      <c r="F434">
        <v>1</v>
      </c>
      <c r="H434">
        <v>2</v>
      </c>
      <c r="J434">
        <v>2</v>
      </c>
      <c r="K434">
        <v>5</v>
      </c>
      <c r="L434">
        <v>5</v>
      </c>
    </row>
    <row r="435" spans="1:12" x14ac:dyDescent="0.35">
      <c r="A435" s="461" t="s">
        <v>951</v>
      </c>
      <c r="B435" s="461" t="s">
        <v>236</v>
      </c>
      <c r="C435" s="461" t="s">
        <v>354</v>
      </c>
      <c r="D435" s="461" t="s">
        <v>57</v>
      </c>
      <c r="F435">
        <v>1</v>
      </c>
      <c r="H435">
        <v>3</v>
      </c>
      <c r="J435">
        <v>2</v>
      </c>
      <c r="K435">
        <v>6</v>
      </c>
      <c r="L435">
        <v>4</v>
      </c>
    </row>
    <row r="436" spans="1:12" x14ac:dyDescent="0.35">
      <c r="A436" s="461" t="s">
        <v>951</v>
      </c>
      <c r="B436" s="461" t="s">
        <v>236</v>
      </c>
      <c r="C436" s="461"/>
      <c r="D436" s="461" t="s">
        <v>775</v>
      </c>
      <c r="F436">
        <v>1</v>
      </c>
      <c r="H436">
        <v>6</v>
      </c>
      <c r="I436">
        <v>4</v>
      </c>
      <c r="J436">
        <v>4</v>
      </c>
      <c r="K436">
        <v>11</v>
      </c>
      <c r="L436">
        <v>11</v>
      </c>
    </row>
    <row r="437" spans="1:12" x14ac:dyDescent="0.35">
      <c r="A437" s="461" t="s">
        <v>951</v>
      </c>
      <c r="B437" s="461" t="s">
        <v>236</v>
      </c>
      <c r="C437" s="461" t="s">
        <v>355</v>
      </c>
      <c r="D437" s="461" t="s">
        <v>71</v>
      </c>
      <c r="F437">
        <v>1</v>
      </c>
      <c r="J437">
        <v>3</v>
      </c>
      <c r="K437">
        <v>7</v>
      </c>
      <c r="L437">
        <v>4</v>
      </c>
    </row>
    <row r="438" spans="1:12" x14ac:dyDescent="0.35">
      <c r="A438" s="461" t="s">
        <v>951</v>
      </c>
      <c r="B438" s="461" t="s">
        <v>237</v>
      </c>
      <c r="C438" s="461"/>
      <c r="D438" s="461" t="s">
        <v>186</v>
      </c>
      <c r="F438">
        <v>6</v>
      </c>
      <c r="H438">
        <v>36</v>
      </c>
      <c r="I438">
        <v>58</v>
      </c>
      <c r="J438">
        <v>9</v>
      </c>
      <c r="K438">
        <v>16</v>
      </c>
      <c r="L438">
        <v>87</v>
      </c>
    </row>
    <row r="439" spans="1:12" x14ac:dyDescent="0.35">
      <c r="A439" s="461" t="s">
        <v>951</v>
      </c>
      <c r="B439" s="461" t="s">
        <v>237</v>
      </c>
      <c r="C439" s="461" t="s">
        <v>353</v>
      </c>
      <c r="D439" s="461" t="s">
        <v>166</v>
      </c>
      <c r="F439">
        <v>1</v>
      </c>
      <c r="H439">
        <v>6</v>
      </c>
      <c r="I439">
        <v>20</v>
      </c>
      <c r="J439">
        <v>2</v>
      </c>
      <c r="K439">
        <v>5</v>
      </c>
      <c r="L439">
        <v>32</v>
      </c>
    </row>
    <row r="440" spans="1:12" x14ac:dyDescent="0.35">
      <c r="A440" s="461" t="s">
        <v>951</v>
      </c>
      <c r="B440" s="461" t="s">
        <v>237</v>
      </c>
      <c r="C440" s="461" t="s">
        <v>355</v>
      </c>
      <c r="D440" s="461" t="s">
        <v>164</v>
      </c>
      <c r="F440">
        <v>2</v>
      </c>
      <c r="H440">
        <v>13</v>
      </c>
      <c r="I440">
        <v>13</v>
      </c>
      <c r="J440">
        <v>2</v>
      </c>
      <c r="K440">
        <v>6</v>
      </c>
      <c r="L440">
        <v>19</v>
      </c>
    </row>
    <row r="441" spans="1:12" x14ac:dyDescent="0.35">
      <c r="A441" s="461" t="s">
        <v>951</v>
      </c>
      <c r="B441" s="461" t="s">
        <v>237</v>
      </c>
      <c r="C441" s="461" t="s">
        <v>354</v>
      </c>
      <c r="D441" s="461" t="s">
        <v>165</v>
      </c>
      <c r="F441">
        <v>3</v>
      </c>
      <c r="H441">
        <v>17</v>
      </c>
      <c r="I441">
        <v>25</v>
      </c>
      <c r="J441">
        <v>5</v>
      </c>
      <c r="K441">
        <v>5</v>
      </c>
      <c r="L441">
        <v>36</v>
      </c>
    </row>
    <row r="442" spans="1:12" x14ac:dyDescent="0.35">
      <c r="A442" s="461" t="s">
        <v>951</v>
      </c>
      <c r="B442" s="461" t="s">
        <v>238</v>
      </c>
      <c r="C442" s="461" t="s">
        <v>339</v>
      </c>
      <c r="D442" s="461" t="s">
        <v>246</v>
      </c>
      <c r="F442">
        <v>13</v>
      </c>
      <c r="G442">
        <v>5</v>
      </c>
      <c r="I442">
        <v>1</v>
      </c>
      <c r="J442">
        <v>23</v>
      </c>
      <c r="K442">
        <v>20</v>
      </c>
      <c r="L442">
        <v>30</v>
      </c>
    </row>
    <row r="443" spans="1:12" x14ac:dyDescent="0.35">
      <c r="A443" s="461" t="s">
        <v>951</v>
      </c>
      <c r="B443" s="461" t="s">
        <v>26</v>
      </c>
      <c r="C443" s="461" t="s">
        <v>339</v>
      </c>
      <c r="D443" s="461" t="s">
        <v>246</v>
      </c>
      <c r="E443">
        <v>6550.2199999999993</v>
      </c>
      <c r="F443">
        <v>36</v>
      </c>
      <c r="G443">
        <v>5</v>
      </c>
      <c r="H443">
        <v>1210.6799999999998</v>
      </c>
      <c r="I443">
        <v>4085.79</v>
      </c>
      <c r="J443">
        <v>85</v>
      </c>
      <c r="K443">
        <v>162</v>
      </c>
      <c r="L443">
        <v>965.75</v>
      </c>
    </row>
  </sheetData>
  <pageMargins left="0.7" right="0.7" top="0.75" bottom="0.75" header="0.3" footer="0.3"/>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39997558519241921"/>
    <pageSetUpPr fitToPage="1"/>
  </sheetPr>
  <dimension ref="A1:K84"/>
  <sheetViews>
    <sheetView showGridLines="0" topLeftCell="B1" zoomScaleNormal="100" workbookViewId="0">
      <pane ySplit="2" topLeftCell="A3" activePane="bottomLeft" state="frozen"/>
      <selection pane="bottomLeft" sqref="A1:G1"/>
    </sheetView>
  </sheetViews>
  <sheetFormatPr defaultRowHeight="14.5" x14ac:dyDescent="0.35"/>
  <cols>
    <col min="1" max="1" width="17" customWidth="1"/>
    <col min="2" max="2" width="58.1796875" customWidth="1"/>
    <col min="3" max="9" width="12" customWidth="1"/>
    <col min="10" max="10" width="13" customWidth="1"/>
  </cols>
  <sheetData>
    <row r="1" spans="1:10" ht="15.5" x14ac:dyDescent="0.35">
      <c r="A1" s="1160" t="s">
        <v>439</v>
      </c>
      <c r="B1" s="1160"/>
      <c r="C1" s="1160"/>
      <c r="D1" s="1160"/>
      <c r="E1" s="1160"/>
      <c r="F1" s="1160"/>
      <c r="G1" s="1160"/>
    </row>
    <row r="2" spans="1:10" ht="15.5" x14ac:dyDescent="0.35">
      <c r="A2" s="601" t="s">
        <v>509</v>
      </c>
      <c r="C2" s="538"/>
      <c r="D2" s="538"/>
      <c r="E2" s="538"/>
      <c r="F2" s="538"/>
      <c r="G2" s="538"/>
    </row>
    <row r="3" spans="1:10" ht="15.5" x14ac:dyDescent="0.35">
      <c r="C3" s="538"/>
      <c r="D3" s="538"/>
      <c r="E3" s="538"/>
      <c r="F3" s="538"/>
      <c r="G3" s="538"/>
    </row>
    <row r="4" spans="1:10" ht="37.5" customHeight="1" x14ac:dyDescent="0.35">
      <c r="A4" s="553" t="s">
        <v>464</v>
      </c>
      <c r="B4" s="553"/>
      <c r="C4" s="553"/>
      <c r="D4" s="553"/>
      <c r="E4" s="553"/>
      <c r="F4" s="553"/>
      <c r="G4" s="553"/>
      <c r="H4" s="553"/>
      <c r="I4" s="553"/>
    </row>
    <row r="5" spans="1:10" ht="15" customHeight="1" x14ac:dyDescent="0.35">
      <c r="A5" t="s">
        <v>320</v>
      </c>
      <c r="B5" t="s">
        <v>676</v>
      </c>
      <c r="C5" s="553"/>
      <c r="D5" s="553"/>
      <c r="E5" s="553"/>
      <c r="F5" s="553"/>
      <c r="G5" s="553"/>
      <c r="H5" s="553"/>
      <c r="I5" s="553"/>
    </row>
    <row r="6" spans="1:10" ht="15" customHeight="1" x14ac:dyDescent="0.35">
      <c r="A6" t="s">
        <v>321</v>
      </c>
      <c r="B6" t="s">
        <v>323</v>
      </c>
      <c r="C6" s="553"/>
      <c r="D6" s="553"/>
      <c r="E6" s="553"/>
      <c r="F6" s="553"/>
      <c r="G6" s="553"/>
      <c r="H6" s="553"/>
      <c r="I6" s="553"/>
    </row>
    <row r="7" spans="1:10" ht="15" customHeight="1" x14ac:dyDescent="0.35">
      <c r="A7" t="s">
        <v>322</v>
      </c>
      <c r="B7" t="s">
        <v>324</v>
      </c>
      <c r="C7" s="553"/>
      <c r="D7" s="553"/>
      <c r="E7" s="553"/>
      <c r="F7" s="553"/>
      <c r="G7" s="553"/>
      <c r="H7" s="553"/>
      <c r="I7" s="553"/>
    </row>
    <row r="8" spans="1:10" ht="33.75" customHeight="1" x14ac:dyDescent="0.35">
      <c r="A8" s="43" t="s">
        <v>1</v>
      </c>
      <c r="B8" s="43" t="s">
        <v>207</v>
      </c>
      <c r="C8" s="4" t="s">
        <v>856</v>
      </c>
      <c r="D8" s="50" t="s">
        <v>857</v>
      </c>
      <c r="E8" s="50" t="s">
        <v>858</v>
      </c>
      <c r="F8" s="50" t="s">
        <v>859</v>
      </c>
      <c r="G8" s="50" t="s">
        <v>860</v>
      </c>
      <c r="H8" s="50" t="s">
        <v>861</v>
      </c>
      <c r="I8" s="50" t="s">
        <v>23</v>
      </c>
      <c r="J8" s="50" t="s">
        <v>26</v>
      </c>
    </row>
    <row r="9" spans="1:10" ht="22.5" customHeight="1" thickBot="1" x14ac:dyDescent="0.4">
      <c r="A9" s="45" t="str">
        <f>WTFTERoleAreaPivot!B1</f>
        <v>2020-21</v>
      </c>
      <c r="B9" s="45" t="s">
        <v>75</v>
      </c>
      <c r="C9" s="365">
        <f>C44+C64+C70+C72</f>
        <v>5</v>
      </c>
      <c r="D9" s="365">
        <f t="shared" ref="D9:I9" si="0">D44+D64+D70+D72</f>
        <v>35</v>
      </c>
      <c r="E9" s="365">
        <f t="shared" si="0"/>
        <v>81</v>
      </c>
      <c r="F9" s="365">
        <f t="shared" si="0"/>
        <v>152</v>
      </c>
      <c r="G9" s="365">
        <f t="shared" si="0"/>
        <v>604</v>
      </c>
      <c r="H9" s="365">
        <f t="shared" si="0"/>
        <v>687</v>
      </c>
      <c r="I9" s="365">
        <f t="shared" si="0"/>
        <v>2017.43</v>
      </c>
      <c r="J9" s="365">
        <f>SUM(C9:I9)</f>
        <v>3581.4300000000003</v>
      </c>
    </row>
    <row r="10" spans="1:10" ht="21" customHeight="1" x14ac:dyDescent="0.35">
      <c r="B10" s="46"/>
      <c r="C10" s="838"/>
      <c r="D10" s="838"/>
      <c r="E10" s="838"/>
      <c r="F10" s="838"/>
      <c r="G10" s="838"/>
      <c r="H10" s="838"/>
      <c r="I10" s="838"/>
      <c r="J10" s="111"/>
    </row>
    <row r="11" spans="1:10" ht="13.5" customHeight="1" x14ac:dyDescent="0.35">
      <c r="A11" s="49" t="s">
        <v>449</v>
      </c>
      <c r="B11" s="49" t="s">
        <v>30</v>
      </c>
      <c r="C11" s="50"/>
      <c r="D11" s="50"/>
      <c r="E11" s="50"/>
      <c r="F11" s="50"/>
      <c r="G11" s="50"/>
      <c r="H11" s="50"/>
      <c r="I11" s="50"/>
      <c r="J11" s="88"/>
    </row>
    <row r="12" spans="1:10" ht="23.25" customHeight="1" x14ac:dyDescent="0.35">
      <c r="A12" s="465" t="s">
        <v>286</v>
      </c>
      <c r="B12" s="52" t="s">
        <v>31</v>
      </c>
      <c r="C12" s="1086" t="s">
        <v>563</v>
      </c>
      <c r="D12" s="1086" t="s">
        <v>563</v>
      </c>
      <c r="E12" s="1086" t="s">
        <v>563</v>
      </c>
      <c r="F12" s="1087">
        <f>GETPIVOTDATA("Sum of Station Manager",WTFTERoleAreaPivot!$A$3,"ReportingLevel","1:LA","lvl","Aberdeen City")</f>
        <v>0</v>
      </c>
      <c r="G12" s="1087">
        <f>GETPIVOTDATA("Sum of Watch Manager",WTFTERoleAreaPivot!$A$3,"ReportingLevel","1:LA","lvl","Aberdeen City")</f>
        <v>15</v>
      </c>
      <c r="H12" s="1087">
        <f>GETPIVOTDATA("Sum of Crew Manager",WTFTERoleAreaPivot!$A$3,"ReportingLevel","1:LA","lvl","Aberdeen City")</f>
        <v>35</v>
      </c>
      <c r="I12" s="1087">
        <f>GETPIVOTDATA("Sum of Firefighter",WTFTERoleAreaPivot!$A$3,"ReportingLevel","1:LA","lvl","Aberdeen City")</f>
        <v>99</v>
      </c>
      <c r="J12" s="102">
        <f t="shared" ref="J12:J43" si="1">SUM(C12:I12)</f>
        <v>149</v>
      </c>
    </row>
    <row r="13" spans="1:10" ht="15" customHeight="1" x14ac:dyDescent="0.35">
      <c r="A13" s="466" t="s">
        <v>287</v>
      </c>
      <c r="B13" s="55" t="s">
        <v>32</v>
      </c>
      <c r="C13" s="1086" t="s">
        <v>563</v>
      </c>
      <c r="D13" s="1086" t="s">
        <v>563</v>
      </c>
      <c r="E13" s="1086" t="s">
        <v>563</v>
      </c>
      <c r="F13" s="1087">
        <f>GETPIVOTDATA("Sum of Station Manager",WTFTERoleAreaPivot!$A$3,"ReportingLevel","1:LA","lvl","Aberdeenshire")</f>
        <v>0</v>
      </c>
      <c r="G13" s="1087">
        <f>GETPIVOTDATA("Sum of Watch Manager",WTFTERoleAreaPivot!$A$3,"ReportingLevel","1:LA","lvl","Aberdeenshire")</f>
        <v>5</v>
      </c>
      <c r="H13" s="1087">
        <f>GETPIVOTDATA("Sum of Crew Manager",WTFTERoleAreaPivot!$A$3,"ReportingLevel","1:LA","lvl","Aberdeenshire")</f>
        <v>5</v>
      </c>
      <c r="I13" s="1087">
        <f>GETPIVOTDATA("Sum of Firefighter",WTFTERoleAreaPivot!$A$3,"ReportingLevel","1:LA","lvl","Aberdeenshire")</f>
        <v>19</v>
      </c>
      <c r="J13" s="102">
        <f t="shared" si="1"/>
        <v>29</v>
      </c>
    </row>
    <row r="14" spans="1:10" ht="15" customHeight="1" x14ac:dyDescent="0.35">
      <c r="A14" s="466" t="s">
        <v>293</v>
      </c>
      <c r="B14" s="55" t="s">
        <v>33</v>
      </c>
      <c r="C14" s="1086" t="s">
        <v>563</v>
      </c>
      <c r="D14" s="1086" t="s">
        <v>563</v>
      </c>
      <c r="E14" s="1086" t="s">
        <v>563</v>
      </c>
      <c r="F14" s="1087">
        <f>GETPIVOTDATA("Sum of Station Manager",WTFTERoleAreaPivot!$A$3,"ReportingLevel","1:LA","lvl","Angus")</f>
        <v>0</v>
      </c>
      <c r="G14" s="1087">
        <f>GETPIVOTDATA("Sum of Watch Manager",WTFTERoleAreaPivot!$A$3,"ReportingLevel","1:LA","lvl","Angus")</f>
        <v>5</v>
      </c>
      <c r="H14" s="1087">
        <f>GETPIVOTDATA("Sum of Crew Manager",WTFTERoleAreaPivot!$A$3,"ReportingLevel","1:LA","lvl","Angus")</f>
        <v>5</v>
      </c>
      <c r="I14" s="1087">
        <f>GETPIVOTDATA("Sum of Firefighter",WTFTERoleAreaPivot!$A$3,"ReportingLevel","1:LA","lvl","Angus")</f>
        <v>17</v>
      </c>
      <c r="J14" s="102">
        <f t="shared" si="1"/>
        <v>27</v>
      </c>
    </row>
    <row r="15" spans="1:10" ht="15" customHeight="1" x14ac:dyDescent="0.35">
      <c r="A15" s="466" t="s">
        <v>288</v>
      </c>
      <c r="B15" s="55" t="s">
        <v>34</v>
      </c>
      <c r="C15" s="1086" t="s">
        <v>563</v>
      </c>
      <c r="D15" s="1086" t="s">
        <v>563</v>
      </c>
      <c r="E15" s="1086" t="s">
        <v>563</v>
      </c>
      <c r="F15" s="1087">
        <f>GETPIVOTDATA("Sum of Station Manager",WTFTERoleAreaPivot!$A$3,"ReportingLevel","1:LA","lvl","Argyll and Bute")</f>
        <v>0</v>
      </c>
      <c r="G15" s="1087">
        <f>GETPIVOTDATA("Sum of Watch Manager",WTFTERoleAreaPivot!$A$3,"ReportingLevel","1:LA","lvl","Argyll and Bute")</f>
        <v>10</v>
      </c>
      <c r="H15" s="1087">
        <f>GETPIVOTDATA("Sum of Crew Manager",WTFTERoleAreaPivot!$A$3,"ReportingLevel","1:LA","lvl","Argyll and Bute")</f>
        <v>10</v>
      </c>
      <c r="I15" s="1087">
        <f>GETPIVOTDATA("Sum of Firefighter",WTFTERoleAreaPivot!$A$3,"ReportingLevel","1:LA","lvl","Argyll and Bute")</f>
        <v>32</v>
      </c>
      <c r="J15" s="102">
        <f t="shared" si="1"/>
        <v>52</v>
      </c>
    </row>
    <row r="16" spans="1:10" ht="15" customHeight="1" x14ac:dyDescent="0.35">
      <c r="A16" s="466" t="s">
        <v>289</v>
      </c>
      <c r="B16" s="55" t="s">
        <v>245</v>
      </c>
      <c r="C16" s="1086" t="s">
        <v>563</v>
      </c>
      <c r="D16" s="1086" t="s">
        <v>563</v>
      </c>
      <c r="E16" s="1086" t="s">
        <v>563</v>
      </c>
      <c r="F16" s="1087">
        <f>GETPIVOTDATA("Sum of Station Manager",WTFTERoleAreaPivot!$A$3,"ReportingLevel","1:LA","lvl","City of Edinburgh")</f>
        <v>0</v>
      </c>
      <c r="G16" s="1087">
        <f>GETPIVOTDATA("Sum of Watch Manager",WTFTERoleAreaPivot!$A$3,"ReportingLevel","1:LA","lvl","City of Edinburgh")</f>
        <v>36</v>
      </c>
      <c r="H16" s="1087">
        <f>GETPIVOTDATA("Sum of Crew Manager",WTFTERoleAreaPivot!$A$3,"ReportingLevel","1:LA","lvl","City of Edinburgh")</f>
        <v>58</v>
      </c>
      <c r="I16" s="1087">
        <f>GETPIVOTDATA("Sum of Firefighter",WTFTERoleAreaPivot!$A$3,"ReportingLevel","1:LA","lvl","City of Edinburgh")</f>
        <v>205.5</v>
      </c>
      <c r="J16" s="102">
        <f t="shared" si="1"/>
        <v>299.5</v>
      </c>
    </row>
    <row r="17" spans="1:10" ht="15" customHeight="1" x14ac:dyDescent="0.35">
      <c r="A17" s="466" t="s">
        <v>267</v>
      </c>
      <c r="B17" s="55" t="s">
        <v>35</v>
      </c>
      <c r="C17" s="1086" t="s">
        <v>563</v>
      </c>
      <c r="D17" s="1086" t="s">
        <v>563</v>
      </c>
      <c r="E17" s="1086" t="s">
        <v>563</v>
      </c>
      <c r="F17" s="1087">
        <f>GETPIVOTDATA("Sum of Station Manager",WTFTERoleAreaPivot!$A$3,"ReportingLevel","1:LA","lvl","Clackmannanshire")</f>
        <v>0</v>
      </c>
      <c r="G17" s="1087">
        <f>GETPIVOTDATA("Sum of Watch Manager",WTFTERoleAreaPivot!$A$3,"ReportingLevel","1:LA","lvl","Clackmannanshire")</f>
        <v>6</v>
      </c>
      <c r="H17" s="1087">
        <f>GETPIVOTDATA("Sum of Crew Manager",WTFTERoleAreaPivot!$A$3,"ReportingLevel","1:LA","lvl","Clackmannanshire")</f>
        <v>5</v>
      </c>
      <c r="I17" s="1087">
        <f>GETPIVOTDATA("Sum of Firefighter",WTFTERoleAreaPivot!$A$3,"ReportingLevel","1:LA","lvl","Clackmannanshire")</f>
        <v>13</v>
      </c>
      <c r="J17" s="102">
        <f t="shared" si="1"/>
        <v>24</v>
      </c>
    </row>
    <row r="18" spans="1:10" ht="15" customHeight="1" x14ac:dyDescent="0.35">
      <c r="A18" s="466" t="s">
        <v>268</v>
      </c>
      <c r="B18" s="55" t="s">
        <v>36</v>
      </c>
      <c r="C18" s="1086" t="s">
        <v>563</v>
      </c>
      <c r="D18" s="1086" t="s">
        <v>563</v>
      </c>
      <c r="E18" s="1086" t="s">
        <v>563</v>
      </c>
      <c r="F18" s="1087">
        <f>IF(OR($A$9="2020-21",$A$9="2019-20",$A$9="2018-19"),GETPIVOTDATA("Sum of Station Manager",WTFTERoleAreaPivot!$A$3,"ReportingLevel","1:LA","lvl","Dumfries and Gallowa"),GETPIVOTDATA("Sum of Station Manager",WTFTERoleAreaPivot!$A$3,"ReportingLevel","1:LA","lvl","Dumfries and Galloway"))</f>
        <v>0</v>
      </c>
      <c r="G18" s="1087">
        <f>IF(OR($A$9="2020-21",$A$9="2019-20",$A$9="2018-19"),GETPIVOTDATA("Sum of Watch Manager",WTFTERoleAreaPivot!$A$3,"ReportingLevel","1:LA","lvl","Dumfries and Gallowa"),GETPIVOTDATA("Sum of Watch Manager",WTFTERoleAreaPivot!$A$3,"ReportingLevel","1:LA","lvl","Dumfries and Galloway"))</f>
        <v>5</v>
      </c>
      <c r="H18" s="1087">
        <f>IF(OR($A$9="2020-21",$A$9="2019-20",$A$9="2018-19"),GETPIVOTDATA("Sum of Crew Manager",WTFTERoleAreaPivot!$A$3,"ReportingLevel","1:LA","lvl","Dumfries and Gallowa"),GETPIVOTDATA("Sum of Crew Manager",WTFTERoleAreaPivot!$A$3,"ReportingLevel","1:LA","lvl","Dumfries and Galloway"))</f>
        <v>10</v>
      </c>
      <c r="I18" s="1087">
        <f>IF(OR($A$9="2020-21",$A$9="2019-20",$A$9="2018-19"),GETPIVOTDATA("Sum of Firefighter",WTFTERoleAreaPivot!$A$3,"ReportingLevel","1:LA","lvl","Dumfries and Gallowa"),GETPIVOTDATA("Sum of Firefighter",WTFTERoleAreaPivot!$A$3,"ReportingLevel","1:LA","lvl","Dumfries and Galloway"))</f>
        <v>36</v>
      </c>
      <c r="J18" s="102">
        <f t="shared" si="1"/>
        <v>51</v>
      </c>
    </row>
    <row r="19" spans="1:10" ht="15" customHeight="1" x14ac:dyDescent="0.35">
      <c r="A19" s="466" t="s">
        <v>294</v>
      </c>
      <c r="B19" s="55" t="s">
        <v>37</v>
      </c>
      <c r="C19" s="1086" t="s">
        <v>563</v>
      </c>
      <c r="D19" s="1086" t="s">
        <v>563</v>
      </c>
      <c r="E19" s="1086" t="s">
        <v>563</v>
      </c>
      <c r="F19" s="1087">
        <f>GETPIVOTDATA("Sum of Station Manager",WTFTERoleAreaPivot!$A$3,"ReportingLevel","1:LA","lvl","Dundee City")</f>
        <v>0</v>
      </c>
      <c r="G19" s="1087">
        <f>GETPIVOTDATA("Sum of Watch Manager",WTFTERoleAreaPivot!$A$3,"ReportingLevel","1:LA","lvl","Dundee City")</f>
        <v>19</v>
      </c>
      <c r="H19" s="1087">
        <f>GETPIVOTDATA("Sum of Crew Manager",WTFTERoleAreaPivot!$A$3,"ReportingLevel","1:LA","lvl","Dundee City")</f>
        <v>36</v>
      </c>
      <c r="I19" s="1087">
        <f>GETPIVOTDATA("Sum of Firefighter",WTFTERoleAreaPivot!$A$3,"ReportingLevel","1:LA","lvl","Dundee City")</f>
        <v>127</v>
      </c>
      <c r="J19" s="102">
        <f t="shared" si="1"/>
        <v>182</v>
      </c>
    </row>
    <row r="20" spans="1:10" ht="15" customHeight="1" x14ac:dyDescent="0.35">
      <c r="A20" s="466" t="s">
        <v>269</v>
      </c>
      <c r="B20" s="55" t="s">
        <v>38</v>
      </c>
      <c r="C20" s="1086" t="s">
        <v>563</v>
      </c>
      <c r="D20" s="1086" t="s">
        <v>563</v>
      </c>
      <c r="E20" s="1086" t="s">
        <v>563</v>
      </c>
      <c r="F20" s="1087">
        <f>GETPIVOTDATA("Sum of Station Manager",WTFTERoleAreaPivot!$A$3,"ReportingLevel","1:LA","lvl","East Ayrshire")</f>
        <v>0</v>
      </c>
      <c r="G20" s="1087">
        <f>GETPIVOTDATA("Sum of Watch Manager",WTFTERoleAreaPivot!$A$3,"ReportingLevel","1:LA","lvl","East Ayrshire")</f>
        <v>5</v>
      </c>
      <c r="H20" s="1087">
        <f>GETPIVOTDATA("Sum of Crew Manager",WTFTERoleAreaPivot!$A$3,"ReportingLevel","1:LA","lvl","East Ayrshire")</f>
        <v>10</v>
      </c>
      <c r="I20" s="1087">
        <f>GETPIVOTDATA("Sum of Firefighter",WTFTERoleAreaPivot!$A$3,"ReportingLevel","1:LA","lvl","East Ayrshire")</f>
        <v>32</v>
      </c>
      <c r="J20" s="102">
        <f t="shared" si="1"/>
        <v>47</v>
      </c>
    </row>
    <row r="21" spans="1:10" ht="15" customHeight="1" x14ac:dyDescent="0.35">
      <c r="A21" s="466" t="s">
        <v>296</v>
      </c>
      <c r="B21" s="55" t="s">
        <v>39</v>
      </c>
      <c r="C21" s="1086" t="s">
        <v>563</v>
      </c>
      <c r="D21" s="1086" t="s">
        <v>563</v>
      </c>
      <c r="E21" s="1086" t="s">
        <v>563</v>
      </c>
      <c r="F21" s="1087">
        <f>GETPIVOTDATA("Sum of Station Manager",WTFTERoleAreaPivot!$A$3,"ReportingLevel","1:LA","lvl","East Dunbartonshire")</f>
        <v>0</v>
      </c>
      <c r="G21" s="1087">
        <f>GETPIVOTDATA("Sum of Watch Manager",WTFTERoleAreaPivot!$A$3,"ReportingLevel","1:LA","lvl","East Dunbartonshire")</f>
        <v>16</v>
      </c>
      <c r="H21" s="1087">
        <f>GETPIVOTDATA("Sum of Crew Manager",WTFTERoleAreaPivot!$A$3,"ReportingLevel","1:LA","lvl","East Dunbartonshire")</f>
        <v>14</v>
      </c>
      <c r="I21" s="1087">
        <f>GETPIVOTDATA("Sum of Firefighter",WTFTERoleAreaPivot!$A$3,"ReportingLevel","1:LA","lvl","East Dunbartonshire")</f>
        <v>46</v>
      </c>
      <c r="J21" s="102">
        <f t="shared" si="1"/>
        <v>76</v>
      </c>
    </row>
    <row r="22" spans="1:10" ht="15" customHeight="1" x14ac:dyDescent="0.35">
      <c r="A22" s="466" t="s">
        <v>270</v>
      </c>
      <c r="B22" s="55" t="s">
        <v>40</v>
      </c>
      <c r="C22" s="1086" t="s">
        <v>563</v>
      </c>
      <c r="D22" s="1086" t="s">
        <v>563</v>
      </c>
      <c r="E22" s="1086" t="s">
        <v>563</v>
      </c>
      <c r="F22" s="1087">
        <f>GETPIVOTDATA("Sum of Station Manager",WTFTERoleAreaPivot!$A$3,"ReportingLevel","1:LA","lvl","East Lothian")</f>
        <v>0</v>
      </c>
      <c r="G22" s="1087">
        <f>GETPIVOTDATA("Sum of Watch Manager",WTFTERoleAreaPivot!$A$3,"ReportingLevel","1:LA","lvl","East Lothian")</f>
        <v>5</v>
      </c>
      <c r="H22" s="1087">
        <f>GETPIVOTDATA("Sum of Crew Manager",WTFTERoleAreaPivot!$A$3,"ReportingLevel","1:LA","lvl","East Lothian")</f>
        <v>5</v>
      </c>
      <c r="I22" s="1087">
        <f>GETPIVOTDATA("Sum of Firefighter",WTFTERoleAreaPivot!$A$3,"ReportingLevel","1:LA","lvl","East Lothian")</f>
        <v>16</v>
      </c>
      <c r="J22" s="102">
        <f t="shared" si="1"/>
        <v>26</v>
      </c>
    </row>
    <row r="23" spans="1:10" ht="15" customHeight="1" x14ac:dyDescent="0.35">
      <c r="A23" s="466" t="s">
        <v>271</v>
      </c>
      <c r="B23" s="55" t="s">
        <v>41</v>
      </c>
      <c r="C23" s="1086" t="s">
        <v>563</v>
      </c>
      <c r="D23" s="1086" t="s">
        <v>563</v>
      </c>
      <c r="E23" s="1086" t="s">
        <v>563</v>
      </c>
      <c r="F23" s="1087">
        <f>GETPIVOTDATA("Sum of Station Manager",WTFTERoleAreaPivot!$A$3,"ReportingLevel","1:LA","lvl","East Renfrewshire")</f>
        <v>0</v>
      </c>
      <c r="G23" s="1087">
        <f>GETPIVOTDATA("Sum of Watch Manager",WTFTERoleAreaPivot!$A$3,"ReportingLevel","1:LA","lvl","East Renfrewshire")</f>
        <v>10</v>
      </c>
      <c r="H23" s="1087">
        <f>GETPIVOTDATA("Sum of Crew Manager",WTFTERoleAreaPivot!$A$3,"ReportingLevel","1:LA","lvl","East Renfrewshire")</f>
        <v>10</v>
      </c>
      <c r="I23" s="1087">
        <f>GETPIVOTDATA("Sum of Firefighter",WTFTERoleAreaPivot!$A$3,"ReportingLevel","1:LA","lvl","East Renfrewshire")</f>
        <v>28</v>
      </c>
      <c r="J23" s="102">
        <f t="shared" si="1"/>
        <v>48</v>
      </c>
    </row>
    <row r="24" spans="1:10" ht="15" customHeight="1" x14ac:dyDescent="0.35">
      <c r="A24" s="466" t="s">
        <v>273</v>
      </c>
      <c r="B24" s="55" t="s">
        <v>42</v>
      </c>
      <c r="C24" s="1086" t="s">
        <v>563</v>
      </c>
      <c r="D24" s="1086" t="s">
        <v>563</v>
      </c>
      <c r="E24" s="1086" t="s">
        <v>563</v>
      </c>
      <c r="F24" s="1087">
        <f>GETPIVOTDATA("Sum of Station Manager",WTFTERoleAreaPivot!$A$3,"ReportingLevel","1:LA","lvl","Falkirk")</f>
        <v>0</v>
      </c>
      <c r="G24" s="1087">
        <f>GETPIVOTDATA("Sum of Watch Manager",WTFTERoleAreaPivot!$A$3,"ReportingLevel","1:LA","lvl","Falkirk")</f>
        <v>15</v>
      </c>
      <c r="H24" s="1087">
        <f>GETPIVOTDATA("Sum of Crew Manager",WTFTERoleAreaPivot!$A$3,"ReportingLevel","1:LA","lvl","Falkirk")</f>
        <v>20</v>
      </c>
      <c r="I24" s="1087">
        <f>GETPIVOTDATA("Sum of Firefighter",WTFTERoleAreaPivot!$A$3,"ReportingLevel","1:LA","lvl","Falkirk")</f>
        <v>53</v>
      </c>
      <c r="J24" s="102">
        <f t="shared" si="1"/>
        <v>88</v>
      </c>
    </row>
    <row r="25" spans="1:10" ht="15" customHeight="1" x14ac:dyDescent="0.35">
      <c r="A25" s="466" t="s">
        <v>298</v>
      </c>
      <c r="B25" s="55" t="s">
        <v>43</v>
      </c>
      <c r="C25" s="1086" t="s">
        <v>563</v>
      </c>
      <c r="D25" s="1086" t="s">
        <v>563</v>
      </c>
      <c r="E25" s="1086" t="s">
        <v>563</v>
      </c>
      <c r="F25" s="1087">
        <f>GETPIVOTDATA("Sum of Station Manager",WTFTERoleAreaPivot!$A$3,"ReportingLevel","1:LA","lvl","Fife")</f>
        <v>0</v>
      </c>
      <c r="G25" s="1087">
        <f>GETPIVOTDATA("Sum of Watch Manager",WTFTERoleAreaPivot!$A$3,"ReportingLevel","1:LA","lvl","Fife")</f>
        <v>25</v>
      </c>
      <c r="H25" s="1087">
        <f>GETPIVOTDATA("Sum of Crew Manager",WTFTERoleAreaPivot!$A$3,"ReportingLevel","1:LA","lvl","Fife")</f>
        <v>50</v>
      </c>
      <c r="I25" s="1087">
        <f>GETPIVOTDATA("Sum of Firefighter",WTFTERoleAreaPivot!$A$3,"ReportingLevel","1:LA","lvl","Fife")</f>
        <v>179</v>
      </c>
      <c r="J25" s="102">
        <f t="shared" si="1"/>
        <v>254</v>
      </c>
    </row>
    <row r="26" spans="1:10" ht="15" customHeight="1" x14ac:dyDescent="0.35">
      <c r="A26" s="466" t="str">
        <f>IF(A9 = "2019-20","S12000049","S12000046")</f>
        <v>S12000046</v>
      </c>
      <c r="B26" s="55" t="s">
        <v>114</v>
      </c>
      <c r="C26" s="1086" t="s">
        <v>563</v>
      </c>
      <c r="D26" s="1086" t="s">
        <v>563</v>
      </c>
      <c r="E26" s="1086" t="s">
        <v>563</v>
      </c>
      <c r="F26" s="1087">
        <f>GETPIVOTDATA("Sum of Station Manager",WTFTERoleAreaPivot!$A$3,"ReportingLevel","1:LA","lvl","Glasgow City")</f>
        <v>0</v>
      </c>
      <c r="G26" s="1087">
        <f>GETPIVOTDATA("Sum of Watch Manager",WTFTERoleAreaPivot!$A$3,"ReportingLevel","1:LA","lvl","Glasgow City")</f>
        <v>55</v>
      </c>
      <c r="H26" s="1087">
        <f>GETPIVOTDATA("Sum of Crew Manager",WTFTERoleAreaPivot!$A$3,"ReportingLevel","1:LA","lvl","Glasgow City")</f>
        <v>109</v>
      </c>
      <c r="I26" s="1087">
        <f>GETPIVOTDATA("Sum of Firefighter",WTFTERoleAreaPivot!$A$3,"ReportingLevel","1:LA","lvl","Glasgow City")</f>
        <v>335</v>
      </c>
      <c r="J26" s="102">
        <f t="shared" si="1"/>
        <v>499</v>
      </c>
    </row>
    <row r="27" spans="1:10" ht="15" customHeight="1" x14ac:dyDescent="0.35">
      <c r="A27" s="466" t="s">
        <v>274</v>
      </c>
      <c r="B27" s="55" t="s">
        <v>44</v>
      </c>
      <c r="C27" s="1086" t="s">
        <v>563</v>
      </c>
      <c r="D27" s="1086" t="s">
        <v>563</v>
      </c>
      <c r="E27" s="1086" t="s">
        <v>563</v>
      </c>
      <c r="F27" s="1087">
        <f>GETPIVOTDATA("Sum of Station Manager",WTFTERoleAreaPivot!$A$3,"ReportingLevel","1:LA","lvl","Highland")</f>
        <v>0</v>
      </c>
      <c r="G27" s="1087">
        <f>GETPIVOTDATA("Sum of Watch Manager",WTFTERoleAreaPivot!$A$3,"ReportingLevel","1:LA","lvl","Highland")</f>
        <v>5</v>
      </c>
      <c r="H27" s="1087">
        <f>GETPIVOTDATA("Sum of Crew Manager",WTFTERoleAreaPivot!$A$3,"ReportingLevel","1:LA","lvl","Highland")</f>
        <v>15</v>
      </c>
      <c r="I27" s="1087">
        <f>GETPIVOTDATA("Sum of Firefighter",WTFTERoleAreaPivot!$A$3,"ReportingLevel","1:LA","lvl","Highland")</f>
        <v>54</v>
      </c>
      <c r="J27" s="102">
        <f t="shared" si="1"/>
        <v>74</v>
      </c>
    </row>
    <row r="28" spans="1:10" ht="15" customHeight="1" x14ac:dyDescent="0.35">
      <c r="A28" s="466" t="s">
        <v>275</v>
      </c>
      <c r="B28" s="55" t="s">
        <v>45</v>
      </c>
      <c r="C28" s="1086" t="s">
        <v>563</v>
      </c>
      <c r="D28" s="1086" t="s">
        <v>563</v>
      </c>
      <c r="E28" s="1086" t="s">
        <v>563</v>
      </c>
      <c r="F28" s="1087">
        <f>GETPIVOTDATA("Sum of Station Manager",WTFTERoleAreaPivot!$A$3,"ReportingLevel","1:LA","lvl","Inverclyde")</f>
        <v>0</v>
      </c>
      <c r="G28" s="1087">
        <f>GETPIVOTDATA("Sum of Watch Manager",WTFTERoleAreaPivot!$A$3,"ReportingLevel","1:LA","lvl","Inverclyde")</f>
        <v>10</v>
      </c>
      <c r="H28" s="1087">
        <f>GETPIVOTDATA("Sum of Crew Manager",WTFTERoleAreaPivot!$A$3,"ReportingLevel","1:LA","lvl","Inverclyde")</f>
        <v>15</v>
      </c>
      <c r="I28" s="1087">
        <f>GETPIVOTDATA("Sum of Firefighter",WTFTERoleAreaPivot!$A$3,"ReportingLevel","1:LA","lvl","Inverclyde")</f>
        <v>45</v>
      </c>
      <c r="J28" s="102">
        <f t="shared" si="1"/>
        <v>70</v>
      </c>
    </row>
    <row r="29" spans="1:10" ht="15" customHeight="1" x14ac:dyDescent="0.35">
      <c r="A29" s="466" t="s">
        <v>276</v>
      </c>
      <c r="B29" s="55" t="s">
        <v>46</v>
      </c>
      <c r="C29" s="1086" t="s">
        <v>563</v>
      </c>
      <c r="D29" s="1086" t="s">
        <v>563</v>
      </c>
      <c r="E29" s="1086" t="s">
        <v>563</v>
      </c>
      <c r="F29" s="1087">
        <f>GETPIVOTDATA("Sum of Station Manager",WTFTERoleAreaPivot!$A$3,"ReportingLevel","1:LA","lvl","Midlothian")</f>
        <v>0</v>
      </c>
      <c r="G29" s="1087">
        <f>GETPIVOTDATA("Sum of Watch Manager",WTFTERoleAreaPivot!$A$3,"ReportingLevel","1:LA","lvl","Midlothian")</f>
        <v>5</v>
      </c>
      <c r="H29" s="1087">
        <f>GETPIVOTDATA("Sum of Crew Manager",WTFTERoleAreaPivot!$A$3,"ReportingLevel","1:LA","lvl","Midlothian")</f>
        <v>5</v>
      </c>
      <c r="I29" s="1087">
        <f>GETPIVOTDATA("Sum of Firefighter",WTFTERoleAreaPivot!$A$3,"ReportingLevel","1:LA","lvl","Midlothian")</f>
        <v>17</v>
      </c>
      <c r="J29" s="102">
        <f t="shared" si="1"/>
        <v>27</v>
      </c>
    </row>
    <row r="30" spans="1:10" ht="15" customHeight="1" x14ac:dyDescent="0.35">
      <c r="A30" s="466" t="s">
        <v>277</v>
      </c>
      <c r="B30" s="55" t="s">
        <v>47</v>
      </c>
      <c r="C30" s="1086" t="s">
        <v>563</v>
      </c>
      <c r="D30" s="1086" t="s">
        <v>563</v>
      </c>
      <c r="E30" s="1086" t="s">
        <v>563</v>
      </c>
      <c r="F30" s="1087">
        <f>GETPIVOTDATA("Sum of Station Manager",WTFTERoleAreaPivot!$A$3,"ReportingLevel","1:LA","lvl","Moray")</f>
        <v>0</v>
      </c>
      <c r="G30" s="1087">
        <f>GETPIVOTDATA("Sum of Watch Manager",WTFTERoleAreaPivot!$A$3,"ReportingLevel","1:LA","lvl","Moray")</f>
        <v>5</v>
      </c>
      <c r="H30" s="1087">
        <f>GETPIVOTDATA("Sum of Crew Manager",WTFTERoleAreaPivot!$A$3,"ReportingLevel","1:LA","lvl","Moray")</f>
        <v>5</v>
      </c>
      <c r="I30" s="1087">
        <f>GETPIVOTDATA("Sum of Firefighter",WTFTERoleAreaPivot!$A$3,"ReportingLevel","1:LA","lvl","Moray")</f>
        <v>20</v>
      </c>
      <c r="J30" s="102">
        <f t="shared" si="1"/>
        <v>30</v>
      </c>
    </row>
    <row r="31" spans="1:10" ht="15" customHeight="1" x14ac:dyDescent="0.35">
      <c r="A31" s="466" t="s">
        <v>272</v>
      </c>
      <c r="B31" s="55" t="s">
        <v>48</v>
      </c>
      <c r="C31" s="1086" t="s">
        <v>563</v>
      </c>
      <c r="D31" s="1086" t="s">
        <v>563</v>
      </c>
      <c r="E31" s="1086" t="s">
        <v>563</v>
      </c>
      <c r="F31" s="1087" t="str">
        <f>IFERROR(GETPIVOTDATA("Sum of Station Manager",WTFTERoleAreaPivot!$A$3,"ReportingLevel","1:LA","lvl","Na h-Eileanan Siar"), "-")</f>
        <v>-</v>
      </c>
      <c r="G31" s="1087" t="str">
        <f>IFERROR(GETPIVOTDATA("Sum of Watch Manager",WTFTERoleAreaPivot!$A$3,"ReportingLevel","1:LA","lvl","Na h-Eileanan Siar"), "-")</f>
        <v>-</v>
      </c>
      <c r="H31" s="1087" t="str">
        <f>IFERROR(GETPIVOTDATA("Sum of Crew Manager",WTFTERoleAreaPivot!$A$3,"ReportingLevel","1:LA","lvl","Na h-Eileanan Siar"), "-")</f>
        <v>-</v>
      </c>
      <c r="I31" s="1087" t="str">
        <f>IFERROR(GETPIVOTDATA("Sum of Firefighter",WTFTERoleAreaPivot!$A$3,"ReportingLevel","1:LA","lvl","Na h-Eileanan Siar"), "-")</f>
        <v>-</v>
      </c>
      <c r="J31" s="102">
        <f t="shared" si="1"/>
        <v>0</v>
      </c>
    </row>
    <row r="32" spans="1:10" ht="15" customHeight="1" x14ac:dyDescent="0.35">
      <c r="A32" s="466" t="s">
        <v>278</v>
      </c>
      <c r="B32" s="55" t="s">
        <v>49</v>
      </c>
      <c r="C32" s="1086" t="s">
        <v>563</v>
      </c>
      <c r="D32" s="1086" t="s">
        <v>563</v>
      </c>
      <c r="E32" s="1086" t="s">
        <v>563</v>
      </c>
      <c r="F32" s="1087">
        <f>IFERROR(GETPIVOTDATA("Sum of Station Manager",WTFTERoleAreaPivot!$A$3,"ReportingLevel","1:LA","lvl","North Ayrshire"), "0")</f>
        <v>0</v>
      </c>
      <c r="G32" s="1087">
        <f>IFERROR(GETPIVOTDATA("Sum of Watch Manager",WTFTERoleAreaPivot!$A$3,"ReportingLevel","1:LA","lvl","North Ayrshire"), "0")</f>
        <v>15</v>
      </c>
      <c r="H32" s="1087">
        <f>IFERROR(GETPIVOTDATA("Sum of Crew Manager",WTFTERoleAreaPivot!$A$3,"ReportingLevel","1:LA","lvl","North Ayrshire"), "0")</f>
        <v>15</v>
      </c>
      <c r="I32" s="1087">
        <f>IFERROR(GETPIVOTDATA("Sum of Firefighter",WTFTERoleAreaPivot!$A$3,"ReportingLevel","1:LA","lvl","North Ayrshire"), "0")</f>
        <v>45</v>
      </c>
      <c r="J32" s="102">
        <f t="shared" si="1"/>
        <v>75</v>
      </c>
    </row>
    <row r="33" spans="1:11" ht="15" customHeight="1" x14ac:dyDescent="0.35">
      <c r="A33" s="466" t="str">
        <f>IF(A9="2019-20","S12000050","S12000044")</f>
        <v>S12000044</v>
      </c>
      <c r="B33" s="55" t="s">
        <v>50</v>
      </c>
      <c r="C33" s="1086" t="s">
        <v>563</v>
      </c>
      <c r="D33" s="1086" t="s">
        <v>563</v>
      </c>
      <c r="E33" s="1086" t="s">
        <v>563</v>
      </c>
      <c r="F33" s="1087">
        <f>IFERROR(GETPIVOTDATA("Sum of Station Manager",WTFTERoleAreaPivot!$A$3,"ReportingLevel","1:LA","lvl","North Lanarkshire"), "0")</f>
        <v>0</v>
      </c>
      <c r="G33" s="1087">
        <f>IFERROR(GETPIVOTDATA("Sum of Watch Manager",WTFTERoleAreaPivot!$A$3,"ReportingLevel","1:LA","lvl","North Lanarkshire"), "0")</f>
        <v>20</v>
      </c>
      <c r="H33" s="1087">
        <f>IFERROR(GETPIVOTDATA("Sum of Crew Manager",WTFTERoleAreaPivot!$A$3,"ReportingLevel","1:LA","lvl","North Lanarkshire"), "0")</f>
        <v>35</v>
      </c>
      <c r="I33" s="1087">
        <f>IFERROR(GETPIVOTDATA("Sum of Firefighter",WTFTERoleAreaPivot!$A$3,"ReportingLevel","1:LA","lvl","North Lanarkshire"), "0")</f>
        <v>105</v>
      </c>
      <c r="J33" s="102">
        <f t="shared" si="1"/>
        <v>160</v>
      </c>
    </row>
    <row r="34" spans="1:11" ht="15" customHeight="1" x14ac:dyDescent="0.35">
      <c r="A34" s="466" t="s">
        <v>279</v>
      </c>
      <c r="B34" s="55" t="s">
        <v>51</v>
      </c>
      <c r="C34" s="1086" t="s">
        <v>563</v>
      </c>
      <c r="D34" s="1086" t="s">
        <v>563</v>
      </c>
      <c r="E34" s="1086" t="s">
        <v>563</v>
      </c>
      <c r="F34" s="1087" t="str">
        <f>IFERROR(GETPIVOTDATA("Sum of Station Manager",WTFTERoleAreaPivot!$A$3,"ReportingLevel","1:LA","lvl","Orkney Islands"), "-")</f>
        <v>-</v>
      </c>
      <c r="G34" s="1087" t="str">
        <f>IFERROR(GETPIVOTDATA("Sum of Watch Manager",WTFTERoleAreaPivot!$A$3,"ReportingLevel","1:LA","lvl","Orkney Islands"), "-")</f>
        <v>-</v>
      </c>
      <c r="H34" s="1087" t="str">
        <f>IFERROR(GETPIVOTDATA("Sum of Crew Manager",WTFTERoleAreaPivot!$A$3,"ReportingLevel","1:LA","lvl","Orkney Islands"), "-")</f>
        <v>-</v>
      </c>
      <c r="I34" s="1087" t="str">
        <f>IFERROR(GETPIVOTDATA("Sum of Firefighter",WTFTERoleAreaPivot!$A$3,"ReportingLevel","1:LA","lvl","Orkney Islands"), "")</f>
        <v/>
      </c>
      <c r="J34" s="102">
        <f t="shared" si="1"/>
        <v>0</v>
      </c>
    </row>
    <row r="35" spans="1:11" ht="15" customHeight="1" x14ac:dyDescent="0.35">
      <c r="A35" s="466" t="s">
        <v>280</v>
      </c>
      <c r="B35" s="55" t="s">
        <v>52</v>
      </c>
      <c r="C35" s="1086" t="s">
        <v>563</v>
      </c>
      <c r="D35" s="1086" t="s">
        <v>563</v>
      </c>
      <c r="E35" s="1086" t="s">
        <v>563</v>
      </c>
      <c r="F35" s="1087">
        <f>IFERROR(GETPIVOTDATA("Sum of Station Manager",WTFTERoleAreaPivot!$A$3,"ReportingLevel","1:LA","lvl","Perth and Kinross"), "0")</f>
        <v>0</v>
      </c>
      <c r="G35" s="1087">
        <f>IFERROR(GETPIVOTDATA("Sum of Watch Manager",WTFTERoleAreaPivot!$A$3,"ReportingLevel","1:LA","lvl","Perth and Kinross"), "0")</f>
        <v>5</v>
      </c>
      <c r="H35" s="1087">
        <f>IFERROR(GETPIVOTDATA("Sum of Crew Manager",WTFTERoleAreaPivot!$A$3,"ReportingLevel","1:LA","lvl","Perth and Kinross"), "0")</f>
        <v>10</v>
      </c>
      <c r="I35" s="1087">
        <f>IFERROR(GETPIVOTDATA("Sum of Firefighter",WTFTERoleAreaPivot!$A$3,"ReportingLevel","1:LA","lvl","Perth and Kinross"), "0")</f>
        <v>48</v>
      </c>
      <c r="J35" s="102">
        <f t="shared" si="1"/>
        <v>63</v>
      </c>
    </row>
    <row r="36" spans="1:11" ht="15" customHeight="1" x14ac:dyDescent="0.35">
      <c r="A36" s="466" t="s">
        <v>290</v>
      </c>
      <c r="B36" s="55" t="s">
        <v>53</v>
      </c>
      <c r="C36" s="1086" t="s">
        <v>563</v>
      </c>
      <c r="D36" s="1086" t="s">
        <v>563</v>
      </c>
      <c r="E36" s="1086" t="s">
        <v>563</v>
      </c>
      <c r="F36" s="1087">
        <f>IFERROR(GETPIVOTDATA("Sum of Station Manager",WTFTERoleAreaPivot!$A$3,"ReportingLevel","1:LA","lvl","Renfrewshire"), "0")</f>
        <v>0</v>
      </c>
      <c r="G36" s="1087">
        <f>IFERROR(GETPIVOTDATA("Sum of Watch Manager",WTFTERoleAreaPivot!$A$3,"ReportingLevel","1:LA","lvl","Renfrewshire"), "0")</f>
        <v>15</v>
      </c>
      <c r="H36" s="1087">
        <f>IFERROR(GETPIVOTDATA("Sum of Crew Manager",WTFTERoleAreaPivot!$A$3,"ReportingLevel","1:LA","lvl","Renfrewshire"), "0")</f>
        <v>21</v>
      </c>
      <c r="I36" s="1087">
        <f>IFERROR(GETPIVOTDATA("Sum of Firefighter",WTFTERoleAreaPivot!$A$3,"ReportingLevel","1:LA","lvl","Renfrewshire"), "0")</f>
        <v>64</v>
      </c>
      <c r="J36" s="102">
        <f t="shared" si="1"/>
        <v>100</v>
      </c>
    </row>
    <row r="37" spans="1:11" ht="15" customHeight="1" x14ac:dyDescent="0.35">
      <c r="A37" s="466" t="s">
        <v>281</v>
      </c>
      <c r="B37" s="55" t="s">
        <v>54</v>
      </c>
      <c r="C37" s="1086" t="s">
        <v>563</v>
      </c>
      <c r="D37" s="1086" t="s">
        <v>563</v>
      </c>
      <c r="E37" s="1086" t="s">
        <v>563</v>
      </c>
      <c r="F37" s="1087">
        <f>IFERROR(GETPIVOTDATA("Sum of Station Manager",WTFTERoleAreaPivot!$A$3,"ReportingLevel","1:LA","lvl","Scottish Borders"), "0")</f>
        <v>0</v>
      </c>
      <c r="G37" s="1087">
        <f>IFERROR(GETPIVOTDATA("Sum of Watch Manager",WTFTERoleAreaPivot!$A$3,"ReportingLevel","1:LA","lvl","Scottish Borders"), "0")</f>
        <v>10</v>
      </c>
      <c r="H37" s="1087">
        <f>IFERROR(GETPIVOTDATA("Sum of Crew Manager",WTFTERoleAreaPivot!$A$3,"ReportingLevel","1:LA","lvl","Scottish Borders"), "0")</f>
        <v>8</v>
      </c>
      <c r="I37" s="1087">
        <f>IFERROR(GETPIVOTDATA("Sum of Firefighter",WTFTERoleAreaPivot!$A$3,"ReportingLevel","1:LA","lvl","Scottish Borders"), "0")</f>
        <v>33</v>
      </c>
      <c r="J37" s="102">
        <f t="shared" si="1"/>
        <v>51</v>
      </c>
    </row>
    <row r="38" spans="1:11" ht="15" customHeight="1" x14ac:dyDescent="0.35">
      <c r="A38" s="466" t="s">
        <v>282</v>
      </c>
      <c r="B38" s="55" t="s">
        <v>55</v>
      </c>
      <c r="C38" s="1086" t="s">
        <v>563</v>
      </c>
      <c r="D38" s="1086" t="s">
        <v>563</v>
      </c>
      <c r="E38" s="1086" t="s">
        <v>563</v>
      </c>
      <c r="F38" s="1087" t="str">
        <f>IFERROR(GETPIVOTDATA("Sum of Station Manager",WTFTERoleAreaPivot!$A$3,"ReportingLevel","1:LA","lvl","Shetland Islands"), "-")</f>
        <v>-</v>
      </c>
      <c r="G38" s="1087" t="str">
        <f>IFERROR(GETPIVOTDATA("Sum of Watch Manager",WTFTERoleAreaPivot!$A$3,"ReportingLevel","1:LA","lvl","Shetland Islands"), "-")</f>
        <v>-</v>
      </c>
      <c r="H38" s="1087" t="str">
        <f>IFERROR(GETPIVOTDATA("Sum of Crew Manager",WTFTERoleAreaPivot!$A$3,"ReportingLevel","1:LA","lvl","Shetland Islands"), "-")</f>
        <v>-</v>
      </c>
      <c r="I38" s="1087" t="str">
        <f>IFERROR(GETPIVOTDATA("Sum of Firefighter",WTFTERoleAreaPivot!$A$3,"ReportingLevel","1:LA","lvl","Shetland Islands"), "-")</f>
        <v>-</v>
      </c>
      <c r="J38" s="102">
        <f t="shared" si="1"/>
        <v>0</v>
      </c>
    </row>
    <row r="39" spans="1:11" ht="15" customHeight="1" x14ac:dyDescent="0.35">
      <c r="A39" s="466" t="s">
        <v>283</v>
      </c>
      <c r="B39" s="55" t="s">
        <v>56</v>
      </c>
      <c r="C39" s="1086" t="s">
        <v>563</v>
      </c>
      <c r="D39" s="1086" t="s">
        <v>563</v>
      </c>
      <c r="E39" s="1086" t="s">
        <v>563</v>
      </c>
      <c r="F39" s="1087">
        <f>IFERROR(GETPIVOTDATA("Sum of Station Manager",WTFTERoleAreaPivot!$A$3,"ReportingLevel","1:LA","lvl","South Ayrshire"), "0")</f>
        <v>0</v>
      </c>
      <c r="G39" s="1087">
        <f>IFERROR(GETPIVOTDATA("Sum of Watch Manager",WTFTERoleAreaPivot!$A$3,"ReportingLevel","1:LA","lvl","South Ayrshire"), "0")</f>
        <v>5</v>
      </c>
      <c r="H39" s="1087">
        <f>IFERROR(GETPIVOTDATA("Sum of Crew Manager",WTFTERoleAreaPivot!$A$3,"ReportingLevel","1:LA","lvl","South Ayrshire"), "0")</f>
        <v>10</v>
      </c>
      <c r="I39" s="1087">
        <f>IFERROR(GETPIVOTDATA("Sum of Firefighter",WTFTERoleAreaPivot!$A$3,"ReportingLevel","1:LA","lvl","South Ayrshire"), "0")</f>
        <v>36</v>
      </c>
      <c r="J39" s="102">
        <f t="shared" si="1"/>
        <v>51</v>
      </c>
    </row>
    <row r="40" spans="1:11" ht="15" customHeight="1" x14ac:dyDescent="0.35">
      <c r="A40" s="466" t="s">
        <v>284</v>
      </c>
      <c r="B40" s="55" t="s">
        <v>57</v>
      </c>
      <c r="C40" s="1086" t="s">
        <v>563</v>
      </c>
      <c r="D40" s="1086" t="s">
        <v>563</v>
      </c>
      <c r="E40" s="1086" t="s">
        <v>563</v>
      </c>
      <c r="F40" s="1087">
        <f>IFERROR(GETPIVOTDATA("Sum of Station Manager",WTFTERoleAreaPivot!$A$3,"ReportingLevel","1:LA","lvl","South Lanarkshire"), "0")</f>
        <v>0</v>
      </c>
      <c r="G40" s="1087">
        <f>IFERROR(GETPIVOTDATA("Sum of Watch Manager",WTFTERoleAreaPivot!$A$3,"ReportingLevel","1:LA","lvl","South Lanarkshire"), "0")</f>
        <v>20</v>
      </c>
      <c r="H40" s="1087">
        <f>IFERROR(GETPIVOTDATA("Sum of Crew Manager",WTFTERoleAreaPivot!$A$3,"ReportingLevel","1:LA","lvl","South Lanarkshire"), "0")</f>
        <v>37</v>
      </c>
      <c r="I40" s="1087">
        <f>IFERROR(GETPIVOTDATA("Sum of Firefighter",WTFTERoleAreaPivot!$A$3,"ReportingLevel","1:LA","lvl","South Lanarkshire"), "0")</f>
        <v>111</v>
      </c>
      <c r="J40" s="102">
        <f t="shared" si="1"/>
        <v>168</v>
      </c>
    </row>
    <row r="41" spans="1:11" ht="15" customHeight="1" x14ac:dyDescent="0.35">
      <c r="A41" s="466" t="s">
        <v>285</v>
      </c>
      <c r="B41" s="55" t="s">
        <v>58</v>
      </c>
      <c r="C41" s="1086" t="s">
        <v>563</v>
      </c>
      <c r="D41" s="1086" t="s">
        <v>563</v>
      </c>
      <c r="E41" s="1086" t="s">
        <v>563</v>
      </c>
      <c r="F41" s="1087">
        <f>IFERROR(GETPIVOTDATA("Sum of Station Manager",WTFTERoleAreaPivot!$A$3,"ReportingLevel","1:LA","lvl","Stirling"), "0")</f>
        <v>0</v>
      </c>
      <c r="G41" s="1087">
        <f>IFERROR(GETPIVOTDATA("Sum of Watch Manager",WTFTERoleAreaPivot!$A$3,"ReportingLevel","1:LA","lvl","Stirling"), "0")</f>
        <v>5</v>
      </c>
      <c r="H41" s="1087">
        <f>IFERROR(GETPIVOTDATA("Sum of Crew Manager",WTFTERoleAreaPivot!$A$3,"ReportingLevel","1:LA","lvl","Stirling"), "0")</f>
        <v>10</v>
      </c>
      <c r="I41" s="1087">
        <f>IFERROR(GETPIVOTDATA("Sum of Firefighter",WTFTERoleAreaPivot!$A$3,"ReportingLevel","1:LA","lvl","Stirling"), "0")</f>
        <v>37</v>
      </c>
      <c r="J41" s="102">
        <f t="shared" si="1"/>
        <v>52</v>
      </c>
    </row>
    <row r="42" spans="1:11" ht="15" customHeight="1" x14ac:dyDescent="0.35">
      <c r="A42" s="466" t="s">
        <v>291</v>
      </c>
      <c r="B42" s="55" t="s">
        <v>59</v>
      </c>
      <c r="C42" s="1086" t="s">
        <v>563</v>
      </c>
      <c r="D42" s="1086" t="s">
        <v>563</v>
      </c>
      <c r="E42" s="1086" t="s">
        <v>563</v>
      </c>
      <c r="F42" s="1087">
        <f>IFERROR(GETPIVOTDATA("Sum of Station Manager",WTFTERoleAreaPivot!$A$3,"ReportingLevel","1:LA","lvl","West Dunbartonshire"), "0")</f>
        <v>0</v>
      </c>
      <c r="G42" s="1087">
        <f>IFERROR(GETPIVOTDATA("Sum of Watch Manager",WTFTERoleAreaPivot!$A$3,"ReportingLevel","1:LA","lvl","West Dunbartonshire"), "0")</f>
        <v>10</v>
      </c>
      <c r="H42" s="1087">
        <f>IFERROR(GETPIVOTDATA("Sum of Crew Manager",WTFTERoleAreaPivot!$A$3,"ReportingLevel","1:LA","lvl","West Dunbartonshire"), "0")</f>
        <v>17</v>
      </c>
      <c r="I42" s="1087">
        <f>IFERROR(GETPIVOTDATA("Sum of Firefighter",WTFTERoleAreaPivot!$A$3,"ReportingLevel","1:LA","lvl","West Dunbartonshire"), "0")</f>
        <v>46</v>
      </c>
      <c r="J42" s="102">
        <f t="shared" si="1"/>
        <v>73</v>
      </c>
    </row>
    <row r="43" spans="1:11" ht="15" customHeight="1" x14ac:dyDescent="0.35">
      <c r="A43" s="466" t="s">
        <v>292</v>
      </c>
      <c r="B43" s="55" t="s">
        <v>60</v>
      </c>
      <c r="C43" s="1086" t="s">
        <v>563</v>
      </c>
      <c r="D43" s="1086" t="s">
        <v>563</v>
      </c>
      <c r="E43" s="1086" t="s">
        <v>563</v>
      </c>
      <c r="F43" s="1087">
        <f>IFERROR(GETPIVOTDATA("Sum of Station Manager",WTFTERoleAreaPivot!$A$3,"ReportingLevel","1:LA","lvl","West Lothian"), "0")</f>
        <v>0</v>
      </c>
      <c r="G43" s="1087">
        <f>IFERROR(GETPIVOTDATA("Sum of Watch Manager",WTFTERoleAreaPivot!$A$3,"ReportingLevel","1:LA","lvl","West Lothian"), "0")</f>
        <v>10</v>
      </c>
      <c r="H43" s="1087">
        <f>IFERROR(GETPIVOTDATA("Sum of Crew Manager",WTFTERoleAreaPivot!$A$3,"ReportingLevel","1:LA","lvl","West Lothian"), "0")</f>
        <v>11</v>
      </c>
      <c r="I43" s="1087">
        <f>IFERROR(GETPIVOTDATA("Sum of Firefighter",WTFTERoleAreaPivot!$A$3,"ReportingLevel","1:LA","lvl","West Lothian"), "0")</f>
        <v>35</v>
      </c>
      <c r="J43" s="102">
        <f t="shared" si="1"/>
        <v>56</v>
      </c>
    </row>
    <row r="44" spans="1:11" ht="30" customHeight="1" thickBot="1" x14ac:dyDescent="0.4">
      <c r="A44" s="59"/>
      <c r="B44" s="59" t="s">
        <v>61</v>
      </c>
      <c r="C44" s="532">
        <f t="shared" ref="C44:F44" si="2">SUM(C12:C43)</f>
        <v>0</v>
      </c>
      <c r="D44" s="532">
        <f t="shared" si="2"/>
        <v>0</v>
      </c>
      <c r="E44" s="532">
        <f t="shared" si="2"/>
        <v>0</v>
      </c>
      <c r="F44" s="834">
        <f t="shared" si="2"/>
        <v>0</v>
      </c>
      <c r="G44" s="82">
        <f>GETPIVOTDATA("Sum of Watch Manager",WTFTERoleAreaPivot!$A$3,"ReportingLevel","1:LA","lvl","ALL")</f>
        <v>372</v>
      </c>
      <c r="H44" s="82">
        <f>GETPIVOTDATA("Sum of Crew Manager",WTFTERoleAreaPivot!$A$3,"ReportingLevel","1:LA","lvl","ALL")</f>
        <v>596</v>
      </c>
      <c r="I44" s="82">
        <f>GETPIVOTDATA("Sum of Firefighter",WTFTERoleAreaPivot!$A$3,"ReportingLevel","1:LA","lvl","ALL")</f>
        <v>1933.5</v>
      </c>
      <c r="J44" s="366">
        <f>SUM(G44:I44)</f>
        <v>2901.5</v>
      </c>
      <c r="K44" s="302"/>
    </row>
    <row r="45" spans="1:11" ht="13.5" customHeight="1" x14ac:dyDescent="0.35">
      <c r="A45" s="559"/>
      <c r="B45" s="559"/>
      <c r="J45" s="560"/>
      <c r="K45" s="302"/>
    </row>
    <row r="46" spans="1:11" ht="30" customHeight="1" x14ac:dyDescent="0.35">
      <c r="A46" s="62" t="s">
        <v>450</v>
      </c>
      <c r="B46" s="62" t="s">
        <v>62</v>
      </c>
      <c r="C46" s="50"/>
      <c r="D46" s="50"/>
      <c r="E46" s="50"/>
      <c r="F46" s="50"/>
      <c r="G46" s="50"/>
      <c r="H46" s="50"/>
      <c r="I46" s="50"/>
      <c r="J46" s="88"/>
    </row>
    <row r="47" spans="1:11" ht="22.5" customHeight="1" x14ac:dyDescent="0.35">
      <c r="A47" s="467" t="s">
        <v>326</v>
      </c>
      <c r="B47" s="64" t="s">
        <v>31</v>
      </c>
      <c r="C47" s="530">
        <f>WTFTERoleAreaPivot!B40</f>
        <v>0</v>
      </c>
      <c r="D47" s="832">
        <f>GETPIVOTDATA("Sum of Area Manager",WTFTERoleAreaPivot!$A$3,"ReportingLevel","2:LSO","lvl","Aberdeen City")</f>
        <v>1</v>
      </c>
      <c r="E47" s="832">
        <f>GETPIVOTDATA("Sum of Group Manager",WTFTERoleAreaPivot!$A$3,"ReportingLevel","2:LSO","lvl","Aberdeen City")</f>
        <v>2</v>
      </c>
      <c r="F47" s="832">
        <f>GETPIVOTDATA("Sum of Station Manager",WTFTERoleAreaPivot!$A$3,"ReportingLevel","2:LSO","lvl","Aberdeen City")</f>
        <v>3</v>
      </c>
      <c r="G47" s="832">
        <f>GETPIVOTDATA("Sum of Watch Manager",WTFTERoleAreaPivot!$A$3,"ReportingLevel","2:LSO","lvl","Aberdeen City")</f>
        <v>4</v>
      </c>
      <c r="H47" s="832">
        <f>GETPIVOTDATA("Sum of Crew Manager",WTFTERoleAreaPivot!$A$3,"ReportingLevel","2:LSO","lvl","Aberdeen City")</f>
        <v>1</v>
      </c>
      <c r="I47" s="832">
        <f>GETPIVOTDATA("Sum of Firefighter",WTFTERoleAreaPivot!$A$3,"ReportingLevel","2:LSO","lvl","Aberdeen City")</f>
        <v>1</v>
      </c>
      <c r="J47" s="102">
        <f>ROUND(SUM(C47:I47),0)</f>
        <v>12</v>
      </c>
    </row>
    <row r="48" spans="1:11" ht="13.5" customHeight="1" x14ac:dyDescent="0.35">
      <c r="A48" s="468" t="s">
        <v>327</v>
      </c>
      <c r="B48" s="66" t="s">
        <v>63</v>
      </c>
      <c r="C48" s="531">
        <f>WTFTERoleAreaPivot!B41</f>
        <v>0</v>
      </c>
      <c r="D48" s="833">
        <f>GETPIVOTDATA("Sum of Area Manager",WTFTERoleAreaPivot!$A$3,"ReportingLevel","2:LSO","lvl","Aberdeenshire and Moray")</f>
        <v>1</v>
      </c>
      <c r="E48" s="833">
        <f>GETPIVOTDATA("Sum of Group Manager",WTFTERoleAreaPivot!$A$3,"ReportingLevel","2:LSO","lvl","Aberdeenshire and Moray")</f>
        <v>3</v>
      </c>
      <c r="F48" s="833">
        <f>GETPIVOTDATA("Sum of Station Manager",WTFTERoleAreaPivot!$A$3,"ReportingLevel","2:LSO","lvl","Aberdeenshire and Moray")</f>
        <v>9</v>
      </c>
      <c r="G48" s="833">
        <f>GETPIVOTDATA("Sum of Watch Manager",WTFTERoleAreaPivot!$A$3,"ReportingLevel","2:LSO","lvl","Aberdeenshire and Moray")</f>
        <v>8</v>
      </c>
      <c r="H48" s="833">
        <f>GETPIVOTDATA("Sum of Crew Manager",WTFTERoleAreaPivot!$A$3,"ReportingLevel","2:LSO","lvl","Aberdeenshire and Moray")</f>
        <v>4</v>
      </c>
      <c r="I48" s="833">
        <f>GETPIVOTDATA("Sum of Firefighter",WTFTERoleAreaPivot!$A$3,"ReportingLevel","2:LSO","lvl","Aberdeenshire and Moray")</f>
        <v>1</v>
      </c>
      <c r="J48" s="102">
        <f t="shared" ref="J48:J63" si="3">ROUND(SUM(C48:I48),0)</f>
        <v>26</v>
      </c>
    </row>
    <row r="49" spans="1:10" ht="13.5" customHeight="1" x14ac:dyDescent="0.35">
      <c r="A49" s="468" t="s">
        <v>329</v>
      </c>
      <c r="B49" s="66" t="s">
        <v>64</v>
      </c>
      <c r="C49" s="531">
        <f>WTFTERoleAreaPivot!B43</f>
        <v>0</v>
      </c>
      <c r="D49" s="833">
        <f>GETPIVOTDATA("Sum of Area Manager",WTFTERoleAreaPivot!$A$3,"ReportingLevel","2:LSO","lvl","Argyll and Bute, East Dunbartonshire and West Dunbartonshire")</f>
        <v>1</v>
      </c>
      <c r="E49" s="833">
        <f>GETPIVOTDATA("Sum of Group Manager",WTFTERoleAreaPivot!$A$3,"ReportingLevel","2:LSO","lvl","Argyll and Bute, East Dunbartonshire and West Dunbartonshire")</f>
        <v>3</v>
      </c>
      <c r="F49" s="833">
        <f>GETPIVOTDATA("Sum of Station Manager",WTFTERoleAreaPivot!$A$3,"ReportingLevel","2:LSO","lvl","Argyll and Bute, East Dunbartonshire and West Dunbartonshire")</f>
        <v>7</v>
      </c>
      <c r="G49" s="833">
        <f>GETPIVOTDATA("Sum of Watch Manager",WTFTERoleAreaPivot!$A$3,"ReportingLevel","2:LSO","lvl","Argyll and Bute, East Dunbartonshire and West Dunbartonshire")</f>
        <v>7</v>
      </c>
      <c r="H49" s="833">
        <f>GETPIVOTDATA("Sum of Crew Manager",WTFTERoleAreaPivot!$A$3,"ReportingLevel","2:LSO","lvl","Argyll and Bute, East Dunbartonshire and West Dunbartonshire")</f>
        <v>6</v>
      </c>
      <c r="I49" s="833">
        <f>GETPIVOTDATA("Sum of Firefighter",WTFTERoleAreaPivot!$A$3,"ReportingLevel","2:LSO","lvl","Argyll and Bute, East Dunbartonshire and West Dunbartonshire")</f>
        <v>2</v>
      </c>
      <c r="J49" s="102">
        <f t="shared" si="3"/>
        <v>26</v>
      </c>
    </row>
    <row r="50" spans="1:10" ht="13.5" customHeight="1" x14ac:dyDescent="0.35">
      <c r="A50" s="468" t="s">
        <v>330</v>
      </c>
      <c r="B50" s="66" t="s">
        <v>36</v>
      </c>
      <c r="C50" s="531">
        <f>WTFTERoleAreaPivot!B44</f>
        <v>0</v>
      </c>
      <c r="D50" s="833">
        <f>GETPIVOTDATA("Sum of Area Manager",WTFTERoleAreaPivot!$A$3,"ReportingLevel","2:LSO","lvl","Dumfries and Galloway")</f>
        <v>1</v>
      </c>
      <c r="E50" s="833">
        <f>GETPIVOTDATA("Sum of Group Manager",WTFTERoleAreaPivot!$A$3,"ReportingLevel","2:LSO","lvl","Dumfries and Galloway")</f>
        <v>2</v>
      </c>
      <c r="F50" s="833">
        <f>GETPIVOTDATA("Sum of Station Manager",WTFTERoleAreaPivot!$A$3,"ReportingLevel","2:LSO","lvl","Dumfries and Galloway")</f>
        <v>6</v>
      </c>
      <c r="G50" s="833">
        <f>GETPIVOTDATA("Sum of Watch Manager",WTFTERoleAreaPivot!$A$3,"ReportingLevel","2:LSO","lvl","Dumfries and Galloway")</f>
        <v>6</v>
      </c>
      <c r="H50" s="833">
        <f>GETPIVOTDATA("Sum of Crew Manager",WTFTERoleAreaPivot!$A$3,"ReportingLevel","2:LSO","lvl","Dumfries and Galloway")</f>
        <v>4</v>
      </c>
      <c r="I50" s="833">
        <f>GETPIVOTDATA("Sum of Firefighter",WTFTERoleAreaPivot!$A$3,"ReportingLevel","2:LSO","lvl","Dumfries and Galloway")</f>
        <v>1.83</v>
      </c>
      <c r="J50" s="102">
        <f t="shared" si="3"/>
        <v>21</v>
      </c>
    </row>
    <row r="51" spans="1:10" ht="13.5" customHeight="1" x14ac:dyDescent="0.35">
      <c r="A51" s="468" t="s">
        <v>328</v>
      </c>
      <c r="B51" s="66" t="s">
        <v>65</v>
      </c>
      <c r="C51" s="531">
        <f>WTFTERoleAreaPivot!B45</f>
        <v>0</v>
      </c>
      <c r="D51" s="833">
        <f>GETPIVOTDATA("Sum of Area Manager",WTFTERoleAreaPivot!$A$3,"ReportingLevel","2:LSO","lvl","Dundee, Angus, Perth and Kinross")</f>
        <v>1</v>
      </c>
      <c r="E51" s="833">
        <f>GETPIVOTDATA("Sum of Group Manager",WTFTERoleAreaPivot!$A$3,"ReportingLevel","2:LSO","lvl","Dundee, Angus, Perth and Kinross")</f>
        <v>4</v>
      </c>
      <c r="F51" s="833">
        <f>GETPIVOTDATA("Sum of Station Manager",WTFTERoleAreaPivot!$A$3,"ReportingLevel","2:LSO","lvl","Dundee, Angus, Perth and Kinross")</f>
        <v>8</v>
      </c>
      <c r="G51" s="833">
        <f>GETPIVOTDATA("Sum of Watch Manager",WTFTERoleAreaPivot!$A$3,"ReportingLevel","2:LSO","lvl","Dundee, Angus, Perth and Kinross")</f>
        <v>10</v>
      </c>
      <c r="H51" s="833">
        <f>GETPIVOTDATA("Sum of Crew Manager",WTFTERoleAreaPivot!$A$3,"ReportingLevel","2:LSO","lvl","Dundee, Angus, Perth and Kinross")</f>
        <v>4</v>
      </c>
      <c r="I51" s="833">
        <f>GETPIVOTDATA("Sum of Firefighter",WTFTERoleAreaPivot!$A$3,"ReportingLevel","2:LSO","lvl","Dundee, Angus, Perth and Kinross")</f>
        <v>1</v>
      </c>
      <c r="J51" s="102">
        <f t="shared" si="3"/>
        <v>28</v>
      </c>
    </row>
    <row r="52" spans="1:10" ht="13.5" customHeight="1" x14ac:dyDescent="0.35">
      <c r="A52" s="468" t="s">
        <v>331</v>
      </c>
      <c r="B52" s="66" t="s">
        <v>66</v>
      </c>
      <c r="C52" s="531">
        <f>WTFTERoleAreaPivot!B46</f>
        <v>0</v>
      </c>
      <c r="D52" s="833">
        <f>GETPIVOTDATA("Sum of Area Manager",WTFTERoleAreaPivot!$A$3,"ReportingLevel","2:LSO","lvl","East Ayrshire, North Ayrshire and South Ayrshire")</f>
        <v>1</v>
      </c>
      <c r="E52" s="833">
        <f>GETPIVOTDATA("Sum of Group Manager",WTFTERoleAreaPivot!$A$3,"ReportingLevel","2:LSO","lvl","East Ayrshire, North Ayrshire and South Ayrshire")</f>
        <v>3</v>
      </c>
      <c r="F52" s="833">
        <f>GETPIVOTDATA("Sum of Station Manager",WTFTERoleAreaPivot!$A$3,"ReportingLevel","2:LSO","lvl","East Ayrshire, North Ayrshire and South Ayrshire")</f>
        <v>9</v>
      </c>
      <c r="G52" s="833">
        <f>GETPIVOTDATA("Sum of Watch Manager",WTFTERoleAreaPivot!$A$3,"ReportingLevel","2:LSO","lvl","East Ayrshire, North Ayrshire and South Ayrshire")</f>
        <v>8</v>
      </c>
      <c r="H52" s="833">
        <f>GETPIVOTDATA("Sum of Crew Manager",WTFTERoleAreaPivot!$A$3,"ReportingLevel","2:LSO","lvl","East Ayrshire, North Ayrshire and South Ayrshire")</f>
        <v>5</v>
      </c>
      <c r="I52" s="833">
        <f>GETPIVOTDATA("Sum of Firefighter",WTFTERoleAreaPivot!$A$3,"ReportingLevel","2:LSO","lvl","East Ayrshire, North Ayrshire and South Ayrshire")</f>
        <v>0.6</v>
      </c>
      <c r="J52" s="102">
        <f t="shared" si="3"/>
        <v>27</v>
      </c>
    </row>
    <row r="53" spans="1:10" ht="13.5" customHeight="1" x14ac:dyDescent="0.35">
      <c r="A53" s="468" t="s">
        <v>332</v>
      </c>
      <c r="B53" s="66" t="s">
        <v>67</v>
      </c>
      <c r="C53" s="531">
        <f>WTFTERoleAreaPivot!B47</f>
        <v>0</v>
      </c>
      <c r="D53" s="833">
        <f>GETPIVOTDATA("Sum of Area Manager",WTFTERoleAreaPivot!$A$3,"ReportingLevel","2:LSO","lvl","East Lothian, Midlothian and the Scottish Borders")</f>
        <v>1</v>
      </c>
      <c r="E53" s="833">
        <f>GETPIVOTDATA("Sum of Group Manager",WTFTERoleAreaPivot!$A$3,"ReportingLevel","2:LSO","lvl","East Lothian, Midlothian and the Scottish Borders")</f>
        <v>3</v>
      </c>
      <c r="F53" s="833">
        <f>GETPIVOTDATA("Sum of Station Manager",WTFTERoleAreaPivot!$A$3,"ReportingLevel","2:LSO","lvl","East Lothian, Midlothian and the Scottish Borders")</f>
        <v>7</v>
      </c>
      <c r="G53" s="833">
        <f>GETPIVOTDATA("Sum of Watch Manager",WTFTERoleAreaPivot!$A$3,"ReportingLevel","2:LSO","lvl","East Lothian, Midlothian and the Scottish Borders")</f>
        <v>10</v>
      </c>
      <c r="H53" s="833">
        <f>GETPIVOTDATA("Sum of Crew Manager",WTFTERoleAreaPivot!$A$3,"ReportingLevel","2:LSO","lvl","East Lothian, Midlothian and the Scottish Borders")</f>
        <v>3</v>
      </c>
      <c r="I53" s="833">
        <f>GETPIVOTDATA("Sum of Firefighter",WTFTERoleAreaPivot!$A$3,"ReportingLevel","2:LSO","lvl","East Lothian, Midlothian and the Scottish Borders")</f>
        <v>4</v>
      </c>
      <c r="J53" s="102">
        <f t="shared" si="3"/>
        <v>28</v>
      </c>
    </row>
    <row r="54" spans="1:10" ht="13.5" customHeight="1" x14ac:dyDescent="0.35">
      <c r="A54" s="420" t="s">
        <v>333</v>
      </c>
      <c r="B54" s="66" t="s">
        <v>68</v>
      </c>
      <c r="C54" s="531">
        <f>WTFTERoleAreaPivot!B48</f>
        <v>0</v>
      </c>
      <c r="D54" s="833">
        <f>GETPIVOTDATA("Sum of Area Manager",WTFTERoleAreaPivot!$A$3,"ReportingLevel","2:LSO","lvl","East Renfrewshire, Renfrewshire and Inverclyde")</f>
        <v>1</v>
      </c>
      <c r="E54" s="833">
        <f>GETPIVOTDATA("Sum of Group Manager",WTFTERoleAreaPivot!$A$3,"ReportingLevel","2:LSO","lvl","East Renfrewshire, Renfrewshire and Inverclyde")</f>
        <v>4</v>
      </c>
      <c r="F54" s="833">
        <f>GETPIVOTDATA("Sum of Station Manager",WTFTERoleAreaPivot!$A$3,"ReportingLevel","2:LSO","lvl","East Renfrewshire, Renfrewshire and Inverclyde")</f>
        <v>5</v>
      </c>
      <c r="G54" s="833">
        <f>GETPIVOTDATA("Sum of Watch Manager",WTFTERoleAreaPivot!$A$3,"ReportingLevel","2:LSO","lvl","East Renfrewshire, Renfrewshire and Inverclyde")</f>
        <v>4</v>
      </c>
      <c r="H54" s="833">
        <f>GETPIVOTDATA("Sum of Crew Manager",WTFTERoleAreaPivot!$A$3,"ReportingLevel","2:LSO","lvl","East Renfrewshire, Renfrewshire and Inverclyde")</f>
        <v>2</v>
      </c>
      <c r="I54" s="833">
        <f>GETPIVOTDATA("Sum of Firefighter",WTFTERoleAreaPivot!$A$3,"ReportingLevel","2:LSO","lvl","East Renfrewshire, Renfrewshire and Inverclyde")</f>
        <v>1</v>
      </c>
      <c r="J54" s="102">
        <f t="shared" si="3"/>
        <v>17</v>
      </c>
    </row>
    <row r="55" spans="1:10" ht="13.5" customHeight="1" x14ac:dyDescent="0.35">
      <c r="A55" s="468" t="s">
        <v>334</v>
      </c>
      <c r="B55" s="66" t="s">
        <v>167</v>
      </c>
      <c r="C55" s="531">
        <f>WTFTERoleAreaPivot!B49</f>
        <v>0</v>
      </c>
      <c r="D55" s="833">
        <f>GETPIVOTDATA("Sum of Area Manager",WTFTERoleAreaPivot!$A$3,"ReportingLevel","2:LSO","lvl","Edinburgh City")</f>
        <v>1</v>
      </c>
      <c r="E55" s="833">
        <f>GETPIVOTDATA("Sum of Group Manager",WTFTERoleAreaPivot!$A$3,"ReportingLevel","2:LSO","lvl","Edinburgh City")</f>
        <v>3</v>
      </c>
      <c r="F55" s="833">
        <f>GETPIVOTDATA("Sum of Station Manager",WTFTERoleAreaPivot!$A$3,"ReportingLevel","2:LSO","lvl","Edinburgh City")</f>
        <v>7</v>
      </c>
      <c r="G55" s="833">
        <f>GETPIVOTDATA("Sum of Watch Manager",WTFTERoleAreaPivot!$A$3,"ReportingLevel","2:LSO","lvl","Edinburgh City")</f>
        <v>11</v>
      </c>
      <c r="H55" s="833">
        <f>GETPIVOTDATA("Sum of Crew Manager",WTFTERoleAreaPivot!$A$3,"ReportingLevel","2:LSO","lvl","Edinburgh City")</f>
        <v>3</v>
      </c>
      <c r="I55" s="833">
        <f>GETPIVOTDATA("Sum of Firefighter",WTFTERoleAreaPivot!$A$3,"ReportingLevel","2:LSO","lvl","Edinburgh City")</f>
        <v>3.5</v>
      </c>
      <c r="J55" s="102">
        <f>SUM(C55:I55)</f>
        <v>28.5</v>
      </c>
    </row>
    <row r="56" spans="1:10" ht="13.5" customHeight="1" x14ac:dyDescent="0.35">
      <c r="A56" s="468" t="s">
        <v>335</v>
      </c>
      <c r="B56" s="66" t="s">
        <v>69</v>
      </c>
      <c r="C56" s="531">
        <f>WTFTERoleAreaPivot!B50</f>
        <v>0</v>
      </c>
      <c r="D56" s="833">
        <f>GETPIVOTDATA("Sum of Area Manager",WTFTERoleAreaPivot!$A$3,"ReportingLevel","2:LSO","lvl","Falkirk and West Lothian")</f>
        <v>1</v>
      </c>
      <c r="E56" s="833">
        <f>GETPIVOTDATA("Sum of Group Manager",WTFTERoleAreaPivot!$A$3,"ReportingLevel","2:LSO","lvl","Falkirk and West Lothian")</f>
        <v>2</v>
      </c>
      <c r="F56" s="833">
        <f>GETPIVOTDATA("Sum of Station Manager",WTFTERoleAreaPivot!$A$3,"ReportingLevel","2:LSO","lvl","Falkirk and West Lothian")</f>
        <v>5</v>
      </c>
      <c r="G56" s="833">
        <f>GETPIVOTDATA("Sum of Watch Manager",WTFTERoleAreaPivot!$A$3,"ReportingLevel","2:LSO","lvl","Falkirk and West Lothian")</f>
        <v>6</v>
      </c>
      <c r="H56" s="833">
        <f>GETPIVOTDATA("Sum of Crew Manager",WTFTERoleAreaPivot!$A$3,"ReportingLevel","2:LSO","lvl","Falkirk and West Lothian")</f>
        <v>3</v>
      </c>
      <c r="I56" s="833">
        <f>GETPIVOTDATA("Sum of Firefighter",WTFTERoleAreaPivot!$A$3,"ReportingLevel","2:LSO","lvl","Falkirk and West Lothian")</f>
        <v>2</v>
      </c>
      <c r="J56" s="102">
        <f t="shared" si="3"/>
        <v>19</v>
      </c>
    </row>
    <row r="57" spans="1:10" ht="13.5" customHeight="1" x14ac:dyDescent="0.35">
      <c r="A57" s="468" t="str">
        <f>IF(A9&lt;&gt;"2019-20","S39000019","")</f>
        <v>S39000019</v>
      </c>
      <c r="B57" s="359" t="str">
        <f>IF(OR($A$9 = "2019-20", $A$9 = "2020-21"), "", "Fife")</f>
        <v/>
      </c>
      <c r="C57" s="1088">
        <f>WTFTERoleAreaPivot!B51</f>
        <v>0</v>
      </c>
      <c r="D57" s="1089" t="str">
        <f>IF(OR($A$9 = "2019-20", $A$9 = "2020-21"), "-", GETPIVOTDATA("Sum of Area Manager",WTFTERoleAreaPivot!$A$3,"ReportingLevel","2:LSO","lvl","Fife"))</f>
        <v>-</v>
      </c>
      <c r="E57" s="1089" t="str">
        <f>IF(OR($A$9 = "2019-20", $A$9 = "2020-21"), "-", GETPIVOTDATA("Sum of Group Manager",WTFTERoleAreaPivot!$A$3,"ReportingLevel","2:LSO","lvl","Fife"))</f>
        <v>-</v>
      </c>
      <c r="F57" s="1089" t="str">
        <f>IF(OR($A$9 = "2019-20", $A$9 = "2020-21"), "-", GETPIVOTDATA("Sum of Station Manager",WTFTERoleAreaPivot!$A$3,"ReportingLevel","2:LSO","lvl","Fife"))</f>
        <v>-</v>
      </c>
      <c r="G57" s="1089" t="str">
        <f>IF(OR($A$9 = "2019-20", $A$9 = "2020-21"), "-", GETPIVOTDATA("Sum of Watch Manager",WTFTERoleAreaPivot!$A$3,"ReportingLevel","2:LSO","lvl","Fife"))</f>
        <v>-</v>
      </c>
      <c r="H57" s="1089" t="str">
        <f>IF(OR($A$9 = "2019-20", $A$9 = "2020-21"), "-", GETPIVOTDATA("Sum of Crew Manager",WTFTERoleAreaPivot!$A$3,"ReportingLevel","2:LSO","lvl","Fife"))</f>
        <v>-</v>
      </c>
      <c r="I57" s="1089" t="str">
        <f>IF(OR($A$9 = "2019-20", $A$9 = "2020-21"), "-", GETPIVOTDATA("Sum of Firefighter",WTFTERoleAreaPivot!$A$3,"ReportingLevel","2:LSO","lvl","Fife"))</f>
        <v>-</v>
      </c>
      <c r="J57" s="102">
        <f t="shared" si="3"/>
        <v>0</v>
      </c>
    </row>
    <row r="58" spans="1:10" ht="13.5" customHeight="1" x14ac:dyDescent="0.35">
      <c r="A58" s="468" t="str">
        <f>IF(A9="2018-19","S39000012","S39000020")</f>
        <v>S39000020</v>
      </c>
      <c r="B58" s="66" t="s">
        <v>114</v>
      </c>
      <c r="C58" s="531">
        <f>WTFTERoleAreaPivot!B52</f>
        <v>0</v>
      </c>
      <c r="D58" s="833">
        <f>GETPIVOTDATA("Sum of Area Manager",WTFTERoleAreaPivot!$A$3,"ReportingLevel","2:LSO","lvl","Glasgow City")</f>
        <v>1</v>
      </c>
      <c r="E58" s="833">
        <f>GETPIVOTDATA("Sum of Group Manager",WTFTERoleAreaPivot!$A$3,"ReportingLevel","2:LSO","lvl","Glasgow City")</f>
        <v>5</v>
      </c>
      <c r="F58" s="833">
        <f>GETPIVOTDATA("Sum of Station Manager",WTFTERoleAreaPivot!$A$3,"ReportingLevel","2:LSO","lvl","Glasgow City")</f>
        <v>9</v>
      </c>
      <c r="G58" s="833">
        <f>GETPIVOTDATA("Sum of Watch Manager",WTFTERoleAreaPivot!$A$3,"ReportingLevel","2:LSO","lvl","Glasgow City")</f>
        <v>7</v>
      </c>
      <c r="H58" s="833">
        <f>GETPIVOTDATA("Sum of Crew Manager",WTFTERoleAreaPivot!$A$3,"ReportingLevel","2:LSO","lvl","Glasgow City")</f>
        <v>2</v>
      </c>
      <c r="I58" s="833">
        <f>GETPIVOTDATA("Sum of Firefighter",WTFTERoleAreaPivot!$A$3,"ReportingLevel","2:LSO","lvl","Glasgow City")</f>
        <v>2</v>
      </c>
      <c r="J58" s="102">
        <f t="shared" si="3"/>
        <v>26</v>
      </c>
    </row>
    <row r="59" spans="1:10" ht="13.5" customHeight="1" x14ac:dyDescent="0.35">
      <c r="A59" s="468" t="s">
        <v>336</v>
      </c>
      <c r="B59" s="66" t="s">
        <v>70</v>
      </c>
      <c r="C59" s="531">
        <f>WTFTERoleAreaPivot!B53</f>
        <v>0</v>
      </c>
      <c r="D59" s="833">
        <f>GETPIVOTDATA("Sum of Area Manager",WTFTERoleAreaPivot!$A$3,"ReportingLevel","2:LSO","lvl","Highlands")</f>
        <v>1</v>
      </c>
      <c r="E59" s="833">
        <f>GETPIVOTDATA("Sum of Group Manager",WTFTERoleAreaPivot!$A$3,"ReportingLevel","2:LSO","lvl","Highlands")</f>
        <v>4</v>
      </c>
      <c r="F59" s="833">
        <f>GETPIVOTDATA("Sum of Station Manager",WTFTERoleAreaPivot!$A$3,"ReportingLevel","2:LSO","lvl","Highlands")</f>
        <v>12</v>
      </c>
      <c r="G59" s="833">
        <f>GETPIVOTDATA("Sum of Watch Manager",WTFTERoleAreaPivot!$A$3,"ReportingLevel","2:LSO","lvl","Highlands")</f>
        <v>10</v>
      </c>
      <c r="H59" s="833">
        <f>GETPIVOTDATA("Sum of Crew Manager",WTFTERoleAreaPivot!$A$3,"ReportingLevel","2:LSO","lvl","Highlands")</f>
        <v>7</v>
      </c>
      <c r="I59" s="833">
        <f>GETPIVOTDATA("Sum of Firefighter",WTFTERoleAreaPivot!$A$3,"ReportingLevel","2:LSO","lvl","Highlands")</f>
        <v>1</v>
      </c>
      <c r="J59" s="102">
        <f t="shared" si="3"/>
        <v>35</v>
      </c>
    </row>
    <row r="60" spans="1:10" ht="13.5" customHeight="1" x14ac:dyDescent="0.35">
      <c r="A60" s="468" t="str">
        <f>IF(A9="2018-19","S39000014","S39000021")</f>
        <v>S39000021</v>
      </c>
      <c r="B60" s="66" t="s">
        <v>50</v>
      </c>
      <c r="C60" s="531">
        <f>WTFTERoleAreaPivot!B54</f>
        <v>0</v>
      </c>
      <c r="D60" s="833">
        <f>GETPIVOTDATA("Sum of Area Manager",WTFTERoleAreaPivot!$A$3,"ReportingLevel","2:LSO","lvl","North Lanarkshire")</f>
        <v>1</v>
      </c>
      <c r="E60" s="833">
        <f>GETPIVOTDATA("Sum of Group Manager",WTFTERoleAreaPivot!$A$3,"ReportingLevel","2:LSO","lvl","North Lanarkshire")</f>
        <v>2</v>
      </c>
      <c r="F60" s="833">
        <f>GETPIVOTDATA("Sum of Station Manager",WTFTERoleAreaPivot!$A$3,"ReportingLevel","2:LSO","lvl","North Lanarkshire")</f>
        <v>5</v>
      </c>
      <c r="G60" s="833">
        <f>GETPIVOTDATA("Sum of Watch Manager",WTFTERoleAreaPivot!$A$3,"ReportingLevel","2:LSO","lvl","North Lanarkshire")</f>
        <v>5</v>
      </c>
      <c r="H60" s="833">
        <f>GETPIVOTDATA("Sum of Crew Manager",WTFTERoleAreaPivot!$A$3,"ReportingLevel","2:LSO","lvl","North Lanarkshire")</f>
        <v>2</v>
      </c>
      <c r="I60" s="833">
        <f>GETPIVOTDATA("Sum of Firefighter",WTFTERoleAreaPivot!$A$3,"ReportingLevel","2:LSO","lvl","North Lanarkshire")</f>
        <v>0</v>
      </c>
      <c r="J60" s="102">
        <f t="shared" si="3"/>
        <v>15</v>
      </c>
    </row>
    <row r="61" spans="1:10" ht="13.5" customHeight="1" x14ac:dyDescent="0.35">
      <c r="A61" s="468" t="s">
        <v>337</v>
      </c>
      <c r="B61" s="66" t="s">
        <v>57</v>
      </c>
      <c r="C61" s="531">
        <f>WTFTERoleAreaPivot!B55</f>
        <v>0</v>
      </c>
      <c r="D61" s="833">
        <f>GETPIVOTDATA("Sum of Area Manager",WTFTERoleAreaPivot!$A$3,"ReportingLevel","2:LSO","lvl","South Lanarkshire")</f>
        <v>1</v>
      </c>
      <c r="E61" s="833">
        <f>GETPIVOTDATA("Sum of Group Manager",WTFTERoleAreaPivot!$A$3,"ReportingLevel","2:LSO","lvl","South Lanarkshire")</f>
        <v>2</v>
      </c>
      <c r="F61" s="833">
        <f>GETPIVOTDATA("Sum of Station Manager",WTFTERoleAreaPivot!$A$3,"ReportingLevel","2:LSO","lvl","South Lanarkshire")</f>
        <v>6</v>
      </c>
      <c r="G61" s="833">
        <f>GETPIVOTDATA("Sum of Watch Manager",WTFTERoleAreaPivot!$A$3,"ReportingLevel","2:LSO","lvl","South Lanarkshire")</f>
        <v>4</v>
      </c>
      <c r="H61" s="833">
        <f>GETPIVOTDATA("Sum of Crew Manager",WTFTERoleAreaPivot!$A$3,"ReportingLevel","2:LSO","lvl","South Lanarkshire")</f>
        <v>3</v>
      </c>
      <c r="I61" s="833">
        <f>GETPIVOTDATA("Sum of Firefighter",WTFTERoleAreaPivot!$A$3,"ReportingLevel","2:LSO","lvl","South Lanarkshire")</f>
        <v>0</v>
      </c>
      <c r="J61" s="102">
        <f t="shared" si="3"/>
        <v>16</v>
      </c>
    </row>
    <row r="62" spans="1:10" ht="13.5" customHeight="1" x14ac:dyDescent="0.35">
      <c r="A62" s="468" t="str">
        <f>IF(A9&lt;&gt;"2019-20","S39000016","LSO_E3")</f>
        <v>S39000016</v>
      </c>
      <c r="B62" s="359" t="str">
        <f>IF(A9&lt;&gt;"2019-20","Stirling and Clackmannanshire","Stirling, Clackmannanshire and Fife")</f>
        <v>Stirling and Clackmannanshire</v>
      </c>
      <c r="C62" s="531">
        <f>WTFTERoleAreaPivot!B56</f>
        <v>0</v>
      </c>
      <c r="D62" s="833">
        <f>IF(OR($A$9 ="2019-20", $A$9 = "2020-21"),  GETPIVOTDATA("Sum of Area Manager",WTFTERoleAreaPivot!$A$3,"ReportingLevel","2:LSO","lvl","Stirling, Clackmannanshire and Fife"),  GETPIVOTDATA("Sum of Area Manager",WTFTERoleAreaPivot!$A$3,"ReportingLevel","2:LSO","lvl","Stirling and Clackmannanshire"))</f>
        <v>1</v>
      </c>
      <c r="E62" s="833">
        <f>IF(OR($A$9 ="2019-20", $A$9 = "2020-21"),  GETPIVOTDATA("Sum of Group Manager",WTFTERoleAreaPivot!$A$3,"ReportingLevel","2:LSO","lvl","Stirling, Clackmannanshire and Fife"),  GETPIVOTDATA("Sum of Group Manager",WTFTERoleAreaPivot!$A$3,"ReportingLevel","2:LSO","lvl","Stirling and Clackmannanshire"))</f>
        <v>4</v>
      </c>
      <c r="F62" s="833">
        <f>IF(OR($A$9 ="2019-20", $A$9 = "2020-21"),  GETPIVOTDATA("Sum of Station Manager",WTFTERoleAreaPivot!$A$3,"ReportingLevel","2:LSO","lvl","Stirling, Clackmannanshire and Fife"),  GETPIVOTDATA("Sum of Station Manager",WTFTERoleAreaPivot!$A$3,"ReportingLevel","2:LSO","lvl","Stirling and Clackmannanshire"))</f>
        <v>11</v>
      </c>
      <c r="G62" s="833">
        <f>IF(OR($A$9 ="2019-20", $A$9 = "2020-21"),  GETPIVOTDATA("Sum of Watch Manager",WTFTERoleAreaPivot!$A$3,"ReportingLevel","2:LSO","lvl","Stirling, Clackmannanshire and Fife"),  GETPIVOTDATA("Sum of Watch Manager",WTFTERoleAreaPivot!$A$3,"ReportingLevel","2:LSO","lvl","Stirling and Clackmannanshire"))</f>
        <v>11</v>
      </c>
      <c r="H62" s="833">
        <f>IF(OR($A$9 ="2019-20", $A$9 = "2020-21"),  GETPIVOTDATA("Sum of Crew Manager",WTFTERoleAreaPivot!$A$3,"ReportingLevel","2:LSO","lvl","Stirling, Clackmannanshire and Fife"),  GETPIVOTDATA("Sum of Crew Manager",WTFTERoleAreaPivot!$A$3,"ReportingLevel","2:LSO","lvl","Stirling and Clackmannanshire"))</f>
        <v>6</v>
      </c>
      <c r="I62" s="833">
        <f>IF(OR($A$9 ="2019-20", $A$9 = "2020-21"),  GETPIVOTDATA("Sum of Firefighter",WTFTERoleAreaPivot!$A$3,"ReportingLevel","2:LSO","lvl","Stirling, Clackmannanshire and Fife"),  GETPIVOTDATA("Sum of Firefighter",WTFTERoleAreaPivot!$A$3,"ReportingLevel","2:LSO","lvl","Stirling and Clackmannanshire"))</f>
        <v>4</v>
      </c>
      <c r="J62" s="102">
        <f t="shared" si="3"/>
        <v>37</v>
      </c>
    </row>
    <row r="63" spans="1:10" ht="13.5" customHeight="1" x14ac:dyDescent="0.35">
      <c r="A63" s="468" t="s">
        <v>338</v>
      </c>
      <c r="B63" s="66" t="s">
        <v>71</v>
      </c>
      <c r="C63" s="531">
        <f>WTFTERoleAreaPivot!B57</f>
        <v>0</v>
      </c>
      <c r="D63" s="833">
        <f>GETPIVOTDATA("Sum of Area Manager",WTFTERoleAreaPivot!$A$3,"ReportingLevel","2:LSO","lvl","Western Isles, Orkney and Shetland Islands")</f>
        <v>1</v>
      </c>
      <c r="E63" s="833">
        <f>GETPIVOTDATA("Sum of Group Manager",WTFTERoleAreaPivot!$A$3,"ReportingLevel","2:LSO","lvl","Western Isles, Orkney and Shetland Islands")</f>
        <v>3</v>
      </c>
      <c r="F63" s="833">
        <f>GETPIVOTDATA("Sum of Station Manager",WTFTERoleAreaPivot!$A$3,"ReportingLevel","2:LSO","lvl","Western Isles, Orkney and Shetland Islands")</f>
        <v>7</v>
      </c>
      <c r="G63" s="833">
        <f>GETPIVOTDATA("Sum of Watch Manager",WTFTERoleAreaPivot!$A$3,"ReportingLevel","2:LSO","lvl","Western Isles, Orkney and Shetland Islands")</f>
        <v>4</v>
      </c>
      <c r="H63" s="833">
        <f>GETPIVOTDATA("Sum of Crew Manager",WTFTERoleAreaPivot!$A$3,"ReportingLevel","2:LSO","lvl","Western Isles, Orkney and Shetland Islands")</f>
        <v>0</v>
      </c>
      <c r="I63" s="833">
        <f>GETPIVOTDATA("Sum of Firefighter",WTFTERoleAreaPivot!$A$3,"ReportingLevel","2:LSO","lvl","Western Isles, Orkney and Shetland Islands")</f>
        <v>0</v>
      </c>
      <c r="J63" s="102">
        <f t="shared" si="3"/>
        <v>15</v>
      </c>
    </row>
    <row r="64" spans="1:10" ht="30" customHeight="1" thickBot="1" x14ac:dyDescent="0.4">
      <c r="A64" s="67"/>
      <c r="B64" s="67" t="s">
        <v>72</v>
      </c>
      <c r="C64" s="834">
        <f>GETPIVOTDATA("Sum of Brigade Manager",WTFTERoleAreaPivot!$A$3,"ReportingLevel","2:LSO","lvl","ALL")</f>
        <v>0</v>
      </c>
      <c r="D64" s="834">
        <f>GETPIVOTDATA("Sum of Area Manager",WTFTERoleAreaPivot!$A$3,"ReportingLevel","2:LSO","lvl","ALL")</f>
        <v>16</v>
      </c>
      <c r="E64" s="834">
        <f>GETPIVOTDATA("Sum of Group Manager",WTFTERoleAreaPivot!$A$3,"ReportingLevel","2:LSO","lvl","ALL")</f>
        <v>49</v>
      </c>
      <c r="F64" s="834">
        <f>GETPIVOTDATA("Sum of Station Manager",WTFTERoleAreaPivot!$A$3,"ReportingLevel","2:LSO","lvl","ALL")</f>
        <v>116</v>
      </c>
      <c r="G64" s="834">
        <f>GETPIVOTDATA("Sum of Watch Manager",WTFTERoleAreaPivot!$A$3,"ReportingLevel","2:LSO","lvl","ALL")</f>
        <v>115</v>
      </c>
      <c r="H64" s="834">
        <f>GETPIVOTDATA("Sum of Crew Manager",WTFTERoleAreaPivot!$A$3,"ReportingLevel","2:LSO","lvl","ALL")</f>
        <v>55</v>
      </c>
      <c r="I64" s="834">
        <f>GETPIVOTDATA("Sum of Firefighter",WTFTERoleAreaPivot!$A$3,"ReportingLevel","2:LSO","lvl","ALL")</f>
        <v>24.93</v>
      </c>
      <c r="J64" s="82">
        <f t="shared" ref="J64" si="4">SUM(J47:J63)</f>
        <v>376.5</v>
      </c>
    </row>
    <row r="65" spans="1:10" ht="13.5" customHeight="1" x14ac:dyDescent="0.35">
      <c r="A65" s="61"/>
      <c r="B65" s="61"/>
      <c r="C65" s="80"/>
      <c r="D65" s="80"/>
      <c r="E65" s="80"/>
      <c r="F65" s="80"/>
      <c r="G65" s="80"/>
      <c r="H65" s="80"/>
      <c r="I65" s="80"/>
      <c r="J65" s="80"/>
    </row>
    <row r="66" spans="1:10" ht="18.75" customHeight="1" x14ac:dyDescent="0.35">
      <c r="A66" s="92" t="s">
        <v>325</v>
      </c>
      <c r="B66" s="69" t="s">
        <v>15</v>
      </c>
      <c r="C66" s="50"/>
      <c r="D66" s="50"/>
      <c r="E66" s="50"/>
      <c r="F66" s="50"/>
      <c r="G66" s="50"/>
      <c r="H66" s="50"/>
      <c r="I66" s="50"/>
      <c r="J66" s="88"/>
    </row>
    <row r="67" spans="1:10" ht="22.5" customHeight="1" x14ac:dyDescent="0.35">
      <c r="A67" s="57" t="s">
        <v>353</v>
      </c>
      <c r="B67" s="70" t="s">
        <v>166</v>
      </c>
      <c r="C67" s="531">
        <f>GETPIVOTDATA("Sum of Brigade Manager",WTFTERoleAreaPivot!$A$3,"ReportingLevel","3:SDA","lvl","East")</f>
        <v>0</v>
      </c>
      <c r="D67" s="833">
        <f>GETPIVOTDATA("Sum of Area Manager",WTFTERoleAreaPivot!$A$3,"ReportingLevel","3:SDA","lvl","East")</f>
        <v>1</v>
      </c>
      <c r="E67" s="833">
        <f>GETPIVOTDATA("Sum of Group Manager",WTFTERoleAreaPivot!$A$3,"ReportingLevel","3:SDA","lvl","East")</f>
        <v>2</v>
      </c>
      <c r="F67" s="833">
        <f>GETPIVOTDATA("Sum of Station Manager",WTFTERoleAreaPivot!$A$3,"ReportingLevel","3:SDA","lvl","East")</f>
        <v>5</v>
      </c>
      <c r="G67" s="833">
        <f>GETPIVOTDATA("Sum of Watch Manager",WTFTERoleAreaPivot!$A$3,"ReportingLevel","3:SDA","lvl","East")</f>
        <v>32</v>
      </c>
      <c r="H67" s="833">
        <f>GETPIVOTDATA("Sum of Crew Manager",WTFTERoleAreaPivot!$A$3,"ReportingLevel","3:SDA","lvl","East")</f>
        <v>6</v>
      </c>
      <c r="I67" s="833">
        <f>GETPIVOTDATA("Sum of Firefighter",WTFTERoleAreaPivot!$A$3,"ReportingLevel","3:SDA","lvl","East")</f>
        <v>20</v>
      </c>
      <c r="J67" s="102">
        <f>SUM(C67:I67)</f>
        <v>66</v>
      </c>
    </row>
    <row r="68" spans="1:10" ht="13.5" customHeight="1" x14ac:dyDescent="0.35">
      <c r="A68" s="57" t="s">
        <v>355</v>
      </c>
      <c r="B68" s="55" t="s">
        <v>164</v>
      </c>
      <c r="C68" s="531">
        <f>GETPIVOTDATA("Sum of Brigade Manager",WTFTERoleAreaPivot!$A$3,"ReportingLevel","3:SDA","lvl","North")</f>
        <v>0</v>
      </c>
      <c r="D68" s="833">
        <f>GETPIVOTDATA("Sum of Area Manager",WTFTERoleAreaPivot!$A$3,"ReportingLevel","3:SDA","lvl","North")</f>
        <v>2</v>
      </c>
      <c r="E68" s="833">
        <f>GETPIVOTDATA("Sum of Group Manager",WTFTERoleAreaPivot!$A$3,"ReportingLevel","3:SDA","lvl","North")</f>
        <v>2</v>
      </c>
      <c r="F68" s="833">
        <f>GETPIVOTDATA("Sum of Station Manager",WTFTERoleAreaPivot!$A$3,"ReportingLevel","3:SDA","lvl","North")</f>
        <v>6</v>
      </c>
      <c r="G68" s="833">
        <f>GETPIVOTDATA("Sum of Watch Manager",WTFTERoleAreaPivot!$A$3,"ReportingLevel","3:SDA","lvl","North")</f>
        <v>19</v>
      </c>
      <c r="H68" s="833">
        <f>GETPIVOTDATA("Sum of Crew Manager",WTFTERoleAreaPivot!$A$3,"ReportingLevel","3:SDA","lvl","North")</f>
        <v>13</v>
      </c>
      <c r="I68" s="833">
        <f>GETPIVOTDATA("Sum of Firefighter",WTFTERoleAreaPivot!$A$3,"ReportingLevel","3:SDA","lvl","North")</f>
        <v>13</v>
      </c>
      <c r="J68" s="102">
        <f>SUM(C68:I68)</f>
        <v>55</v>
      </c>
    </row>
    <row r="69" spans="1:10" ht="13.5" customHeight="1" x14ac:dyDescent="0.35">
      <c r="A69" s="556" t="s">
        <v>354</v>
      </c>
      <c r="B69" s="55" t="s">
        <v>165</v>
      </c>
      <c r="C69" s="531">
        <f>GETPIVOTDATA("Sum of Brigade Manager",WTFTERoleAreaPivot!$A$3,"ReportingLevel","3:SDA","lvl","West")</f>
        <v>0</v>
      </c>
      <c r="D69" s="833">
        <f>GETPIVOTDATA("Sum of Area Manager",WTFTERoleAreaPivot!$A$3,"ReportingLevel","3:SDA","lvl","West")</f>
        <v>3</v>
      </c>
      <c r="E69" s="833">
        <f>GETPIVOTDATA("Sum of Group Manager",WTFTERoleAreaPivot!$A$3,"ReportingLevel","3:SDA","lvl","West")</f>
        <v>5</v>
      </c>
      <c r="F69" s="833">
        <f>GETPIVOTDATA("Sum of Station Manager",WTFTERoleAreaPivot!$A$3,"ReportingLevel","3:SDA","lvl","West")</f>
        <v>5</v>
      </c>
      <c r="G69" s="833">
        <f>GETPIVOTDATA("Sum of Watch Manager",WTFTERoleAreaPivot!$A$3,"ReportingLevel","3:SDA","lvl","West")</f>
        <v>36</v>
      </c>
      <c r="H69" s="833">
        <f>GETPIVOTDATA("Sum of Crew Manager",WTFTERoleAreaPivot!$A$3,"ReportingLevel","3:SDA","lvl","West")</f>
        <v>17</v>
      </c>
      <c r="I69" s="833">
        <f>GETPIVOTDATA("Sum of Firefighter",WTFTERoleAreaPivot!$A$3,"ReportingLevel","3:SDA","lvl","West")</f>
        <v>25</v>
      </c>
      <c r="J69" s="102">
        <f>SUM(C69:I69)</f>
        <v>91</v>
      </c>
    </row>
    <row r="70" spans="1:10" ht="30" customHeight="1" thickBot="1" x14ac:dyDescent="0.4">
      <c r="A70" s="72"/>
      <c r="B70" s="72" t="s">
        <v>73</v>
      </c>
      <c r="C70" s="558">
        <f t="shared" ref="C70:J70" si="5">SUM(C67:C69)</f>
        <v>0</v>
      </c>
      <c r="D70" s="839">
        <f t="shared" si="5"/>
        <v>6</v>
      </c>
      <c r="E70" s="839">
        <f t="shared" si="5"/>
        <v>9</v>
      </c>
      <c r="F70" s="839">
        <f t="shared" si="5"/>
        <v>16</v>
      </c>
      <c r="G70" s="839">
        <f t="shared" si="5"/>
        <v>87</v>
      </c>
      <c r="H70" s="839">
        <f t="shared" si="5"/>
        <v>36</v>
      </c>
      <c r="I70" s="839">
        <f t="shared" si="5"/>
        <v>58</v>
      </c>
      <c r="J70" s="366">
        <f t="shared" si="5"/>
        <v>212</v>
      </c>
    </row>
    <row r="71" spans="1:10" ht="18.75" customHeight="1" x14ac:dyDescent="0.35">
      <c r="A71" s="69" t="s">
        <v>447</v>
      </c>
      <c r="B71" s="61"/>
      <c r="C71" s="15"/>
      <c r="D71" s="15"/>
      <c r="E71" s="15"/>
      <c r="F71" s="15"/>
      <c r="G71" s="15"/>
      <c r="H71" s="15"/>
      <c r="I71" s="15"/>
      <c r="J71" s="15"/>
    </row>
    <row r="72" spans="1:10" ht="18.75" customHeight="1" thickBot="1" x14ac:dyDescent="0.4">
      <c r="A72" s="72" t="s">
        <v>339</v>
      </c>
      <c r="B72" s="90" t="s">
        <v>74</v>
      </c>
      <c r="C72" s="344">
        <f>GETPIVOTDATA("Sum of Brigade Manager",WTFTERoleAreaPivot!$A$3,"ReportingLevel","4:National","lvl","Scotland")</f>
        <v>5</v>
      </c>
      <c r="D72" s="344">
        <f>GETPIVOTDATA("Sum of Area Manager",WTFTERoleAreaPivot!$A$3,"ReportingLevel","4:National","lvl","Scotland")</f>
        <v>13</v>
      </c>
      <c r="E72" s="344">
        <f>GETPIVOTDATA("Sum of Group Manager",WTFTERoleAreaPivot!$A$3,"ReportingLevel","4:National","lvl","Scotland")</f>
        <v>23</v>
      </c>
      <c r="F72" s="344">
        <f>GETPIVOTDATA("Sum of Station Manager",WTFTERoleAreaPivot!$A$3,"ReportingLevel","4:National","lvl","Scotland")</f>
        <v>20</v>
      </c>
      <c r="G72" s="344">
        <f>GETPIVOTDATA("Sum of Watch Manager",WTFTERoleAreaPivot!$A$3,"ReportingLevel","4:National","lvl","Scotland")</f>
        <v>30</v>
      </c>
      <c r="H72" s="344">
        <f>GETPIVOTDATA("Sum of Crew Manager",WTFTERoleAreaPivot!$A$3,"ReportingLevel","4:National","lvl","Scotland")</f>
        <v>0</v>
      </c>
      <c r="I72" s="344">
        <f>GETPIVOTDATA("Sum of Firefighter",WTFTERoleAreaPivot!$A$3,"ReportingLevel","4:National","lvl","Scotland")</f>
        <v>1</v>
      </c>
      <c r="J72" s="82">
        <f>SUM(C72:I72)</f>
        <v>92</v>
      </c>
    </row>
    <row r="73" spans="1:10" x14ac:dyDescent="0.35">
      <c r="C73" s="89"/>
      <c r="D73" s="89"/>
      <c r="E73" s="89"/>
      <c r="F73" s="89"/>
      <c r="G73" s="89"/>
      <c r="H73" s="89"/>
      <c r="I73" s="89"/>
      <c r="J73" s="89"/>
    </row>
    <row r="74" spans="1:10" x14ac:dyDescent="0.35">
      <c r="A74" s="408" t="s">
        <v>8</v>
      </c>
    </row>
    <row r="75" spans="1:10" x14ac:dyDescent="0.35">
      <c r="A75" s="405" t="s">
        <v>219</v>
      </c>
    </row>
    <row r="76" spans="1:10" ht="45" customHeight="1" x14ac:dyDescent="0.35">
      <c r="A76" s="1180" t="s">
        <v>863</v>
      </c>
      <c r="B76" s="1180"/>
      <c r="C76" s="1180"/>
      <c r="D76" s="1180"/>
      <c r="E76" s="1180"/>
      <c r="F76" s="1180"/>
      <c r="G76" s="1180"/>
      <c r="H76" s="1180"/>
      <c r="I76" s="1180"/>
    </row>
    <row r="77" spans="1:10" ht="30" customHeight="1" x14ac:dyDescent="0.35">
      <c r="A77" s="1179" t="s">
        <v>216</v>
      </c>
      <c r="B77" s="1179"/>
      <c r="C77" s="1179"/>
      <c r="D77" s="1179"/>
      <c r="E77" s="1179"/>
      <c r="F77" s="1179"/>
      <c r="G77" s="1179"/>
      <c r="H77" s="1179"/>
      <c r="I77" s="1179"/>
      <c r="J77" s="1179"/>
    </row>
    <row r="78" spans="1:10" x14ac:dyDescent="0.35">
      <c r="A78" s="405" t="s">
        <v>448</v>
      </c>
    </row>
    <row r="79" spans="1:10" x14ac:dyDescent="0.35">
      <c r="A79" s="561" t="s">
        <v>214</v>
      </c>
    </row>
    <row r="80" spans="1:10" x14ac:dyDescent="0.35">
      <c r="A80" s="438" t="s">
        <v>215</v>
      </c>
    </row>
    <row r="82" spans="1:1" x14ac:dyDescent="0.35">
      <c r="A82" s="405"/>
    </row>
    <row r="84" spans="1:1" x14ac:dyDescent="0.35">
      <c r="A84" s="405"/>
    </row>
  </sheetData>
  <sheetProtection algorithmName="SHA-512" hashValue="/pVPtmt6bidzMHZKWelQYaLWkcejOltOuQubQ5M8a2A6J4eMvDp5toZCLBp+g6Ctqcr/+i5j37GybGAqQsQHkw==" saltValue="4FL+cn1weE3bcCS7v7VTeQ==" spinCount="100000" sheet="1" scenarios="1" formatCells="0" formatColumns="0" formatRows="0" sort="0" autoFilter="0" pivotTables="0"/>
  <mergeCells count="3">
    <mergeCell ref="A1:G1"/>
    <mergeCell ref="A77:J77"/>
    <mergeCell ref="A76:I76"/>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57" orientation="portrait" r:id="rId1"/>
  <drawing r:id="rId2"/>
  <extLst>
    <ext xmlns:x14="http://schemas.microsoft.com/office/spreadsheetml/2009/9/main" uri="{A8765BA9-456A-4dab-B4F3-ACF838C121DE}">
      <x14:slicerList>
        <x14:slicer r:id="rId3"/>
      </x14:slicerList>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36"/>
  <sheetViews>
    <sheetView workbookViewId="0">
      <selection activeCell="C7" sqref="C7"/>
    </sheetView>
  </sheetViews>
  <sheetFormatPr defaultRowHeight="14.5" x14ac:dyDescent="0.35"/>
  <cols>
    <col min="1" max="1" width="23.26953125" bestFit="1" customWidth="1"/>
    <col min="2" max="2" width="20.6328125" bestFit="1" customWidth="1"/>
    <col min="3" max="3" width="19.453125" bestFit="1" customWidth="1"/>
    <col min="4" max="4" width="15.81640625" bestFit="1" customWidth="1"/>
    <col min="5" max="5" width="11.36328125" bestFit="1" customWidth="1"/>
  </cols>
  <sheetData>
    <row r="1" spans="1:5" x14ac:dyDescent="0.35">
      <c r="A1" s="459" t="s">
        <v>1</v>
      </c>
      <c r="B1" t="s">
        <v>951</v>
      </c>
    </row>
    <row r="3" spans="1:5" x14ac:dyDescent="0.35">
      <c r="A3" s="459" t="s">
        <v>234</v>
      </c>
      <c r="B3" t="s">
        <v>243</v>
      </c>
      <c r="C3" t="s">
        <v>254</v>
      </c>
      <c r="D3" t="s">
        <v>255</v>
      </c>
      <c r="E3" t="s">
        <v>240</v>
      </c>
    </row>
    <row r="4" spans="1:5" x14ac:dyDescent="0.35">
      <c r="A4" s="1154" t="s">
        <v>235</v>
      </c>
      <c r="B4" s="461"/>
      <c r="C4" s="461"/>
      <c r="D4" s="461"/>
      <c r="E4" s="461"/>
    </row>
    <row r="5" spans="1:5" x14ac:dyDescent="0.35">
      <c r="A5" s="462" t="s">
        <v>31</v>
      </c>
      <c r="B5" s="461">
        <v>1</v>
      </c>
      <c r="C5" s="461">
        <v>2.5</v>
      </c>
      <c r="D5" s="461">
        <v>5</v>
      </c>
      <c r="E5" s="461">
        <v>8.5</v>
      </c>
    </row>
    <row r="6" spans="1:5" x14ac:dyDescent="0.35">
      <c r="A6" s="462" t="s">
        <v>32</v>
      </c>
      <c r="B6" s="461">
        <v>22.75</v>
      </c>
      <c r="C6" s="461">
        <v>60.25</v>
      </c>
      <c r="D6" s="461">
        <v>168.75</v>
      </c>
      <c r="E6" s="461">
        <v>251.75</v>
      </c>
    </row>
    <row r="7" spans="1:5" x14ac:dyDescent="0.35">
      <c r="A7" s="462" t="s">
        <v>266</v>
      </c>
      <c r="B7" s="461">
        <v>236</v>
      </c>
      <c r="C7" s="461">
        <v>461.93</v>
      </c>
      <c r="D7" s="461">
        <v>1784.55</v>
      </c>
      <c r="E7" s="461">
        <v>2482.48</v>
      </c>
    </row>
    <row r="8" spans="1:5" x14ac:dyDescent="0.35">
      <c r="A8" s="462" t="s">
        <v>33</v>
      </c>
      <c r="B8" s="461">
        <v>7</v>
      </c>
      <c r="C8" s="461">
        <v>14</v>
      </c>
      <c r="D8" s="461">
        <v>66.25</v>
      </c>
      <c r="E8" s="461">
        <v>87.25</v>
      </c>
    </row>
    <row r="9" spans="1:5" x14ac:dyDescent="0.35">
      <c r="A9" s="462" t="s">
        <v>34</v>
      </c>
      <c r="B9" s="461">
        <v>13</v>
      </c>
      <c r="C9" s="461">
        <v>23.25</v>
      </c>
      <c r="D9" s="461">
        <v>119.75</v>
      </c>
      <c r="E9" s="461">
        <v>156</v>
      </c>
    </row>
    <row r="10" spans="1:5" x14ac:dyDescent="0.35">
      <c r="A10" s="462" t="s">
        <v>245</v>
      </c>
      <c r="B10" s="461">
        <v>0.5</v>
      </c>
      <c r="C10" s="461">
        <v>0.5</v>
      </c>
      <c r="D10" s="461">
        <v>3.75</v>
      </c>
      <c r="E10" s="461">
        <v>4.75</v>
      </c>
    </row>
    <row r="11" spans="1:5" x14ac:dyDescent="0.35">
      <c r="A11" s="462" t="s">
        <v>35</v>
      </c>
      <c r="B11" s="461">
        <v>1.5</v>
      </c>
      <c r="C11" s="461">
        <v>2.75</v>
      </c>
      <c r="D11" s="461">
        <v>16</v>
      </c>
      <c r="E11" s="461">
        <v>20.25</v>
      </c>
    </row>
    <row r="12" spans="1:5" x14ac:dyDescent="0.35">
      <c r="A12" s="462" t="s">
        <v>17411</v>
      </c>
      <c r="B12" s="461">
        <v>14.25</v>
      </c>
      <c r="C12" s="461">
        <v>31</v>
      </c>
      <c r="D12" s="461">
        <v>113.75</v>
      </c>
      <c r="E12" s="461">
        <v>159</v>
      </c>
    </row>
    <row r="13" spans="1:5" x14ac:dyDescent="0.35">
      <c r="A13" s="462" t="s">
        <v>37</v>
      </c>
      <c r="B13" s="461">
        <v>1</v>
      </c>
      <c r="C13" s="461">
        <v>1.5</v>
      </c>
      <c r="D13" s="461">
        <v>7</v>
      </c>
      <c r="E13" s="461">
        <v>9.5</v>
      </c>
    </row>
    <row r="14" spans="1:5" x14ac:dyDescent="0.35">
      <c r="A14" s="462" t="s">
        <v>38</v>
      </c>
      <c r="B14" s="461">
        <v>6</v>
      </c>
      <c r="C14" s="461">
        <v>6.75</v>
      </c>
      <c r="D14" s="461">
        <v>50.75</v>
      </c>
      <c r="E14" s="461">
        <v>63.5</v>
      </c>
    </row>
    <row r="15" spans="1:5" x14ac:dyDescent="0.35">
      <c r="A15" s="462" t="s">
        <v>40</v>
      </c>
      <c r="B15" s="461">
        <v>4.25</v>
      </c>
      <c r="C15" s="461">
        <v>10</v>
      </c>
      <c r="D15" s="461">
        <v>36.5</v>
      </c>
      <c r="E15" s="461">
        <v>50.75</v>
      </c>
    </row>
    <row r="16" spans="1:5" x14ac:dyDescent="0.35">
      <c r="A16" s="462" t="s">
        <v>42</v>
      </c>
      <c r="B16" s="461">
        <v>3.75</v>
      </c>
      <c r="C16" s="461">
        <v>6.75</v>
      </c>
      <c r="D16" s="461">
        <v>31.5</v>
      </c>
      <c r="E16" s="461">
        <v>42</v>
      </c>
    </row>
    <row r="17" spans="1:5" x14ac:dyDescent="0.35">
      <c r="A17" s="462" t="s">
        <v>43</v>
      </c>
      <c r="B17" s="461">
        <v>7.75</v>
      </c>
      <c r="C17" s="461">
        <v>18.43</v>
      </c>
      <c r="D17" s="461">
        <v>66.05</v>
      </c>
      <c r="E17" s="461">
        <v>92.22999999999999</v>
      </c>
    </row>
    <row r="18" spans="1:5" x14ac:dyDescent="0.35">
      <c r="A18" s="462" t="s">
        <v>44</v>
      </c>
      <c r="B18" s="461">
        <v>48.25</v>
      </c>
      <c r="C18" s="461">
        <v>89.75</v>
      </c>
      <c r="D18" s="461">
        <v>311.5</v>
      </c>
      <c r="E18" s="461">
        <v>449.5</v>
      </c>
    </row>
    <row r="19" spans="1:5" x14ac:dyDescent="0.35">
      <c r="A19" s="462" t="s">
        <v>45</v>
      </c>
      <c r="B19" s="461">
        <v>2.25</v>
      </c>
      <c r="C19" s="461">
        <v>4.75</v>
      </c>
      <c r="D19" s="461">
        <v>28.75</v>
      </c>
      <c r="E19" s="461">
        <v>35.75</v>
      </c>
    </row>
    <row r="20" spans="1:5" x14ac:dyDescent="0.35">
      <c r="A20" s="462" t="s">
        <v>46</v>
      </c>
      <c r="B20" s="461">
        <v>1</v>
      </c>
      <c r="C20" s="461">
        <v>1.5</v>
      </c>
      <c r="D20" s="461">
        <v>6.5</v>
      </c>
      <c r="E20" s="461">
        <v>9</v>
      </c>
    </row>
    <row r="21" spans="1:5" x14ac:dyDescent="0.35">
      <c r="A21" s="462" t="s">
        <v>47</v>
      </c>
      <c r="B21" s="461">
        <v>9.75</v>
      </c>
      <c r="C21" s="461">
        <v>23.5</v>
      </c>
      <c r="D21" s="461">
        <v>69</v>
      </c>
      <c r="E21" s="461">
        <v>102.25</v>
      </c>
    </row>
    <row r="22" spans="1:5" x14ac:dyDescent="0.35">
      <c r="A22" s="462" t="s">
        <v>48</v>
      </c>
      <c r="B22" s="461">
        <v>14</v>
      </c>
      <c r="C22" s="461">
        <v>26.25</v>
      </c>
      <c r="D22" s="461">
        <v>83.5</v>
      </c>
      <c r="E22" s="461">
        <v>123.75</v>
      </c>
    </row>
    <row r="23" spans="1:5" x14ac:dyDescent="0.35">
      <c r="A23" s="462" t="s">
        <v>49</v>
      </c>
      <c r="B23" s="461">
        <v>9.75</v>
      </c>
      <c r="C23" s="461">
        <v>9.5</v>
      </c>
      <c r="D23" s="461">
        <v>65.75</v>
      </c>
      <c r="E23" s="461">
        <v>85</v>
      </c>
    </row>
    <row r="24" spans="1:5" x14ac:dyDescent="0.35">
      <c r="A24" s="462" t="s">
        <v>50</v>
      </c>
      <c r="B24" s="461">
        <v>2</v>
      </c>
      <c r="C24" s="461">
        <v>4.5</v>
      </c>
      <c r="D24" s="461">
        <v>20.75</v>
      </c>
      <c r="E24" s="461">
        <v>27.25</v>
      </c>
    </row>
    <row r="25" spans="1:5" x14ac:dyDescent="0.35">
      <c r="A25" s="462" t="s">
        <v>51</v>
      </c>
      <c r="B25" s="461">
        <v>7.25</v>
      </c>
      <c r="C25" s="461">
        <v>21</v>
      </c>
      <c r="D25" s="461">
        <v>80.5</v>
      </c>
      <c r="E25" s="461">
        <v>108.75</v>
      </c>
    </row>
    <row r="26" spans="1:5" x14ac:dyDescent="0.35">
      <c r="A26" s="462" t="s">
        <v>52</v>
      </c>
      <c r="B26" s="461">
        <v>9.25</v>
      </c>
      <c r="C26" s="461">
        <v>19.25</v>
      </c>
      <c r="D26" s="461">
        <v>81.75</v>
      </c>
      <c r="E26" s="461">
        <v>110.25</v>
      </c>
    </row>
    <row r="27" spans="1:5" x14ac:dyDescent="0.35">
      <c r="A27" s="462" t="s">
        <v>53</v>
      </c>
      <c r="B27" s="461">
        <v>1.5</v>
      </c>
      <c r="C27" s="461">
        <v>0.75</v>
      </c>
      <c r="D27" s="461">
        <v>7.25</v>
      </c>
      <c r="E27" s="461">
        <v>9.5</v>
      </c>
    </row>
    <row r="28" spans="1:5" x14ac:dyDescent="0.35">
      <c r="A28" s="462" t="s">
        <v>54</v>
      </c>
      <c r="B28" s="461">
        <v>10.25</v>
      </c>
      <c r="C28" s="461">
        <v>26.5</v>
      </c>
      <c r="D28" s="461">
        <v>85</v>
      </c>
      <c r="E28" s="461">
        <v>121.75</v>
      </c>
    </row>
    <row r="29" spans="1:5" x14ac:dyDescent="0.35">
      <c r="A29" s="462" t="s">
        <v>55</v>
      </c>
      <c r="B29" s="461">
        <v>11.5</v>
      </c>
      <c r="C29" s="461">
        <v>23.75</v>
      </c>
      <c r="D29" s="461">
        <v>82.25</v>
      </c>
      <c r="E29" s="461">
        <v>117.5</v>
      </c>
    </row>
    <row r="30" spans="1:5" x14ac:dyDescent="0.35">
      <c r="A30" s="462" t="s">
        <v>56</v>
      </c>
      <c r="B30" s="461">
        <v>3.5</v>
      </c>
      <c r="C30" s="461">
        <v>5.75</v>
      </c>
      <c r="D30" s="461">
        <v>33.75</v>
      </c>
      <c r="E30" s="461">
        <v>43</v>
      </c>
    </row>
    <row r="31" spans="1:5" x14ac:dyDescent="0.35">
      <c r="A31" s="462" t="s">
        <v>57</v>
      </c>
      <c r="B31" s="461">
        <v>8.75</v>
      </c>
      <c r="C31" s="461">
        <v>5.75</v>
      </c>
      <c r="D31" s="461">
        <v>52.5</v>
      </c>
      <c r="E31" s="461">
        <v>67</v>
      </c>
    </row>
    <row r="32" spans="1:5" x14ac:dyDescent="0.35">
      <c r="A32" s="462" t="s">
        <v>58</v>
      </c>
      <c r="B32" s="461">
        <v>7.75</v>
      </c>
      <c r="C32" s="461">
        <v>13</v>
      </c>
      <c r="D32" s="461">
        <v>43.25</v>
      </c>
      <c r="E32" s="461">
        <v>64</v>
      </c>
    </row>
    <row r="33" spans="1:5" x14ac:dyDescent="0.35">
      <c r="A33" s="462" t="s">
        <v>59</v>
      </c>
      <c r="B33" s="461">
        <v>1.5</v>
      </c>
      <c r="C33" s="461">
        <v>1.5</v>
      </c>
      <c r="D33" s="461">
        <v>15</v>
      </c>
      <c r="E33" s="461">
        <v>18</v>
      </c>
    </row>
    <row r="34" spans="1:5" x14ac:dyDescent="0.35">
      <c r="A34" s="462" t="s">
        <v>60</v>
      </c>
      <c r="B34" s="461">
        <v>5</v>
      </c>
      <c r="C34" s="461">
        <v>7.25</v>
      </c>
      <c r="D34" s="461">
        <v>32.5</v>
      </c>
      <c r="E34" s="461">
        <v>44.75</v>
      </c>
    </row>
    <row r="35" spans="1:5" x14ac:dyDescent="0.35">
      <c r="A35" s="1154" t="s">
        <v>851</v>
      </c>
      <c r="B35" s="461">
        <v>472</v>
      </c>
      <c r="C35" s="461">
        <v>923.86</v>
      </c>
      <c r="D35" s="461">
        <v>3569.1000000000004</v>
      </c>
      <c r="E35" s="461">
        <v>4964.96</v>
      </c>
    </row>
    <row r="36" spans="1:5" x14ac:dyDescent="0.35">
      <c r="A36" s="1154" t="s">
        <v>239</v>
      </c>
      <c r="B36" s="461">
        <v>472</v>
      </c>
      <c r="C36" s="461">
        <v>923.86</v>
      </c>
      <c r="D36" s="461">
        <v>3569.1000000000004</v>
      </c>
      <c r="E36" s="461">
        <v>4964.96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256"/>
  <sheetViews>
    <sheetView workbookViewId="0">
      <selection activeCell="E104" sqref="E104"/>
    </sheetView>
  </sheetViews>
  <sheetFormatPr defaultRowHeight="14.5" x14ac:dyDescent="0.35"/>
  <cols>
    <col min="1" max="1" width="7.453125" bestFit="1" customWidth="1"/>
    <col min="2" max="2" width="15.54296875" bestFit="1" customWidth="1"/>
    <col min="3" max="3" width="9.7265625" bestFit="1" customWidth="1"/>
    <col min="4" max="4" width="20.36328125" bestFit="1" customWidth="1"/>
    <col min="5" max="5" width="11.81640625" bestFit="1" customWidth="1"/>
    <col min="6" max="6" width="16.54296875" bestFit="1" customWidth="1"/>
    <col min="7" max="7" width="15.36328125" bestFit="1" customWidth="1"/>
    <col min="8" max="8" width="11.81640625" bestFit="1" customWidth="1"/>
  </cols>
  <sheetData>
    <row r="1" spans="1:8" x14ac:dyDescent="0.35">
      <c r="A1" s="461" t="s">
        <v>1</v>
      </c>
      <c r="B1" s="461" t="s">
        <v>17409</v>
      </c>
      <c r="C1" s="461" t="s">
        <v>244</v>
      </c>
      <c r="D1" s="461" t="s">
        <v>17410</v>
      </c>
      <c r="E1" s="461" t="s">
        <v>26</v>
      </c>
      <c r="F1" s="461" t="s">
        <v>21</v>
      </c>
      <c r="G1" s="461" t="s">
        <v>22</v>
      </c>
      <c r="H1" s="461" t="s">
        <v>23</v>
      </c>
    </row>
    <row r="2" spans="1:8" hidden="1" x14ac:dyDescent="0.35">
      <c r="A2" s="461" t="s">
        <v>194</v>
      </c>
      <c r="B2" s="461" t="s">
        <v>235</v>
      </c>
      <c r="C2" s="461" t="s">
        <v>286</v>
      </c>
      <c r="D2" s="461" t="s">
        <v>31</v>
      </c>
      <c r="E2" s="461">
        <v>6.5</v>
      </c>
      <c r="F2" s="461">
        <v>1</v>
      </c>
      <c r="G2" s="461">
        <v>1.75</v>
      </c>
      <c r="H2" s="461">
        <v>3.75</v>
      </c>
    </row>
    <row r="3" spans="1:8" hidden="1" x14ac:dyDescent="0.35">
      <c r="A3" s="461" t="s">
        <v>194</v>
      </c>
      <c r="B3" s="461" t="s">
        <v>235</v>
      </c>
      <c r="C3" s="461" t="s">
        <v>287</v>
      </c>
      <c r="D3" s="461" t="s">
        <v>32</v>
      </c>
      <c r="E3" s="461">
        <v>269.71000000000004</v>
      </c>
      <c r="F3" s="461">
        <v>27.46</v>
      </c>
      <c r="G3" s="461">
        <v>57.67</v>
      </c>
      <c r="H3" s="461">
        <v>184.58</v>
      </c>
    </row>
    <row r="4" spans="1:8" hidden="1" x14ac:dyDescent="0.35">
      <c r="A4" s="461" t="s">
        <v>194</v>
      </c>
      <c r="B4" s="461" t="s">
        <v>235</v>
      </c>
      <c r="C4" s="461" t="s">
        <v>17424</v>
      </c>
      <c r="D4" s="461" t="s">
        <v>266</v>
      </c>
      <c r="E4" s="461">
        <v>2665.13</v>
      </c>
      <c r="F4" s="461">
        <v>262.12</v>
      </c>
      <c r="G4" s="461">
        <v>489.46</v>
      </c>
      <c r="H4" s="461">
        <v>1913.55</v>
      </c>
    </row>
    <row r="5" spans="1:8" hidden="1" x14ac:dyDescent="0.35">
      <c r="A5" s="461" t="s">
        <v>194</v>
      </c>
      <c r="B5" s="461" t="s">
        <v>235</v>
      </c>
      <c r="C5" s="461" t="s">
        <v>293</v>
      </c>
      <c r="D5" s="461" t="s">
        <v>33</v>
      </c>
      <c r="E5" s="461">
        <v>86.75</v>
      </c>
      <c r="F5" s="461">
        <v>7</v>
      </c>
      <c r="G5" s="461">
        <v>17</v>
      </c>
      <c r="H5" s="461">
        <v>62.75</v>
      </c>
    </row>
    <row r="6" spans="1:8" hidden="1" x14ac:dyDescent="0.35">
      <c r="A6" s="461" t="s">
        <v>194</v>
      </c>
      <c r="B6" s="461" t="s">
        <v>235</v>
      </c>
      <c r="C6" s="461" t="s">
        <v>288</v>
      </c>
      <c r="D6" s="461" t="s">
        <v>34</v>
      </c>
      <c r="E6" s="461">
        <v>178.25</v>
      </c>
      <c r="F6" s="461">
        <v>16.75</v>
      </c>
      <c r="G6" s="461">
        <v>22.75</v>
      </c>
      <c r="H6" s="461">
        <v>138.75</v>
      </c>
    </row>
    <row r="7" spans="1:8" hidden="1" x14ac:dyDescent="0.35">
      <c r="A7" s="461" t="s">
        <v>194</v>
      </c>
      <c r="B7" s="461" t="s">
        <v>235</v>
      </c>
      <c r="C7" s="461" t="s">
        <v>289</v>
      </c>
      <c r="D7" s="461" t="s">
        <v>245</v>
      </c>
      <c r="E7" s="461">
        <v>9.75</v>
      </c>
      <c r="F7" s="461">
        <v>0.75</v>
      </c>
      <c r="G7" s="461">
        <v>1.75</v>
      </c>
      <c r="H7" s="461">
        <v>7.25</v>
      </c>
    </row>
    <row r="8" spans="1:8" hidden="1" x14ac:dyDescent="0.35">
      <c r="A8" s="461" t="s">
        <v>194</v>
      </c>
      <c r="B8" s="461" t="s">
        <v>235</v>
      </c>
      <c r="C8" s="461" t="s">
        <v>267</v>
      </c>
      <c r="D8" s="461" t="s">
        <v>35</v>
      </c>
      <c r="E8" s="461">
        <v>16.71</v>
      </c>
      <c r="F8" s="461">
        <v>1.52</v>
      </c>
      <c r="G8" s="461">
        <v>3.29</v>
      </c>
      <c r="H8" s="461">
        <v>11.9</v>
      </c>
    </row>
    <row r="9" spans="1:8" hidden="1" x14ac:dyDescent="0.35">
      <c r="A9" s="461" t="s">
        <v>194</v>
      </c>
      <c r="B9" s="461" t="s">
        <v>235</v>
      </c>
      <c r="C9" s="461" t="s">
        <v>268</v>
      </c>
      <c r="D9" s="461" t="s">
        <v>36</v>
      </c>
      <c r="E9" s="461">
        <v>177.25</v>
      </c>
      <c r="F9" s="461">
        <v>15.25</v>
      </c>
      <c r="G9" s="461">
        <v>31.25</v>
      </c>
      <c r="H9" s="461">
        <v>130.75</v>
      </c>
    </row>
    <row r="10" spans="1:8" hidden="1" x14ac:dyDescent="0.35">
      <c r="A10" s="461" t="s">
        <v>194</v>
      </c>
      <c r="B10" s="461" t="s">
        <v>235</v>
      </c>
      <c r="C10" s="461" t="s">
        <v>294</v>
      </c>
      <c r="D10" s="461" t="s">
        <v>37</v>
      </c>
      <c r="E10" s="461">
        <v>12.25</v>
      </c>
      <c r="F10" s="461">
        <v>0.75</v>
      </c>
      <c r="G10" s="461">
        <v>2.75</v>
      </c>
      <c r="H10" s="461">
        <v>8.75</v>
      </c>
    </row>
    <row r="11" spans="1:8" hidden="1" x14ac:dyDescent="0.35">
      <c r="A11" s="461" t="s">
        <v>194</v>
      </c>
      <c r="B11" s="461" t="s">
        <v>235</v>
      </c>
      <c r="C11" s="461" t="s">
        <v>269</v>
      </c>
      <c r="D11" s="461" t="s">
        <v>38</v>
      </c>
      <c r="E11" s="461">
        <v>66.86</v>
      </c>
      <c r="F11" s="461">
        <v>8.25</v>
      </c>
      <c r="G11" s="461">
        <v>8.5</v>
      </c>
      <c r="H11" s="461">
        <v>50.11</v>
      </c>
    </row>
    <row r="12" spans="1:8" hidden="1" x14ac:dyDescent="0.35">
      <c r="A12" s="461" t="s">
        <v>194</v>
      </c>
      <c r="B12" s="461" t="s">
        <v>235</v>
      </c>
      <c r="C12" s="461" t="s">
        <v>296</v>
      </c>
      <c r="D12" s="461" t="s">
        <v>39</v>
      </c>
      <c r="E12" s="461"/>
      <c r="F12" s="461"/>
      <c r="G12" s="461"/>
      <c r="H12" s="461"/>
    </row>
    <row r="13" spans="1:8" hidden="1" x14ac:dyDescent="0.35">
      <c r="A13" s="461" t="s">
        <v>194</v>
      </c>
      <c r="B13" s="461" t="s">
        <v>235</v>
      </c>
      <c r="C13" s="461" t="s">
        <v>270</v>
      </c>
      <c r="D13" s="461" t="s">
        <v>40</v>
      </c>
      <c r="E13" s="461">
        <v>46.75</v>
      </c>
      <c r="F13" s="461">
        <v>5</v>
      </c>
      <c r="G13" s="461">
        <v>8.75</v>
      </c>
      <c r="H13" s="461">
        <v>33</v>
      </c>
    </row>
    <row r="14" spans="1:8" hidden="1" x14ac:dyDescent="0.35">
      <c r="A14" s="461" t="s">
        <v>194</v>
      </c>
      <c r="B14" s="461" t="s">
        <v>235</v>
      </c>
      <c r="C14" s="461" t="s">
        <v>271</v>
      </c>
      <c r="D14" s="461" t="s">
        <v>41</v>
      </c>
      <c r="E14" s="461"/>
      <c r="F14" s="461"/>
      <c r="G14" s="461"/>
      <c r="H14" s="461"/>
    </row>
    <row r="15" spans="1:8" hidden="1" x14ac:dyDescent="0.35">
      <c r="A15" s="461" t="s">
        <v>194</v>
      </c>
      <c r="B15" s="461" t="s">
        <v>235</v>
      </c>
      <c r="C15" s="461" t="s">
        <v>273</v>
      </c>
      <c r="D15" s="461" t="s">
        <v>42</v>
      </c>
      <c r="E15" s="461">
        <v>49.69</v>
      </c>
      <c r="F15" s="461">
        <v>3.81</v>
      </c>
      <c r="G15" s="461">
        <v>7.6</v>
      </c>
      <c r="H15" s="461">
        <v>38.28</v>
      </c>
    </row>
    <row r="16" spans="1:8" hidden="1" x14ac:dyDescent="0.35">
      <c r="A16" s="461" t="s">
        <v>194</v>
      </c>
      <c r="B16" s="461" t="s">
        <v>235</v>
      </c>
      <c r="C16" s="461" t="s">
        <v>298</v>
      </c>
      <c r="D16" s="461" t="s">
        <v>43</v>
      </c>
      <c r="E16" s="461">
        <v>92</v>
      </c>
      <c r="F16" s="461">
        <v>10.75</v>
      </c>
      <c r="G16" s="461">
        <v>15</v>
      </c>
      <c r="H16" s="461">
        <v>66.25</v>
      </c>
    </row>
    <row r="17" spans="1:8" hidden="1" x14ac:dyDescent="0.35">
      <c r="A17" s="461" t="s">
        <v>194</v>
      </c>
      <c r="B17" s="461" t="s">
        <v>235</v>
      </c>
      <c r="C17" s="461" t="s">
        <v>297</v>
      </c>
      <c r="D17" s="461" t="s">
        <v>114</v>
      </c>
      <c r="E17" s="461"/>
      <c r="F17" s="461"/>
      <c r="G17" s="461">
        <v>1</v>
      </c>
      <c r="H17" s="461">
        <v>1</v>
      </c>
    </row>
    <row r="18" spans="1:8" hidden="1" x14ac:dyDescent="0.35">
      <c r="A18" s="461" t="s">
        <v>194</v>
      </c>
      <c r="B18" s="461" t="s">
        <v>235</v>
      </c>
      <c r="C18" s="461" t="s">
        <v>274</v>
      </c>
      <c r="D18" s="461" t="s">
        <v>44</v>
      </c>
      <c r="E18" s="461">
        <v>525.5</v>
      </c>
      <c r="F18" s="461">
        <v>52.25</v>
      </c>
      <c r="G18" s="461">
        <v>108.25</v>
      </c>
      <c r="H18" s="461">
        <v>365</v>
      </c>
    </row>
    <row r="19" spans="1:8" hidden="1" x14ac:dyDescent="0.35">
      <c r="A19" s="461" t="s">
        <v>194</v>
      </c>
      <c r="B19" s="461" t="s">
        <v>235</v>
      </c>
      <c r="C19" s="461" t="s">
        <v>275</v>
      </c>
      <c r="D19" s="461" t="s">
        <v>45</v>
      </c>
      <c r="E19" s="461">
        <v>35.5</v>
      </c>
      <c r="F19" s="461">
        <v>3</v>
      </c>
      <c r="G19" s="461">
        <v>3.75</v>
      </c>
      <c r="H19" s="461">
        <v>28.75</v>
      </c>
    </row>
    <row r="20" spans="1:8" hidden="1" x14ac:dyDescent="0.35">
      <c r="A20" s="461" t="s">
        <v>194</v>
      </c>
      <c r="B20" s="461" t="s">
        <v>235</v>
      </c>
      <c r="C20" s="461" t="s">
        <v>276</v>
      </c>
      <c r="D20" s="461" t="s">
        <v>46</v>
      </c>
      <c r="E20" s="461">
        <v>8.75</v>
      </c>
      <c r="F20" s="461">
        <v>1</v>
      </c>
      <c r="G20" s="461">
        <v>1.75</v>
      </c>
      <c r="H20" s="461">
        <v>6</v>
      </c>
    </row>
    <row r="21" spans="1:8" hidden="1" x14ac:dyDescent="0.35">
      <c r="A21" s="461" t="s">
        <v>194</v>
      </c>
      <c r="B21" s="461" t="s">
        <v>235</v>
      </c>
      <c r="C21" s="461" t="s">
        <v>277</v>
      </c>
      <c r="D21" s="461" t="s">
        <v>47</v>
      </c>
      <c r="E21" s="461">
        <v>95.38</v>
      </c>
      <c r="F21" s="461">
        <v>8</v>
      </c>
      <c r="G21" s="461">
        <v>19.5</v>
      </c>
      <c r="H21" s="461">
        <v>67.88</v>
      </c>
    </row>
    <row r="22" spans="1:8" hidden="1" x14ac:dyDescent="0.35">
      <c r="A22" s="461" t="s">
        <v>194</v>
      </c>
      <c r="B22" s="461" t="s">
        <v>235</v>
      </c>
      <c r="C22" s="461" t="s">
        <v>272</v>
      </c>
      <c r="D22" s="461" t="s">
        <v>48</v>
      </c>
      <c r="E22" s="461">
        <v>124</v>
      </c>
      <c r="F22" s="461">
        <v>12.5</v>
      </c>
      <c r="G22" s="461">
        <v>24</v>
      </c>
      <c r="H22" s="461">
        <v>87.5</v>
      </c>
    </row>
    <row r="23" spans="1:8" hidden="1" x14ac:dyDescent="0.35">
      <c r="A23" s="461" t="s">
        <v>194</v>
      </c>
      <c r="B23" s="461" t="s">
        <v>235</v>
      </c>
      <c r="C23" s="461" t="s">
        <v>278</v>
      </c>
      <c r="D23" s="461" t="s">
        <v>49</v>
      </c>
      <c r="E23" s="461">
        <v>86.25</v>
      </c>
      <c r="F23" s="461">
        <v>8.5</v>
      </c>
      <c r="G23" s="461">
        <v>14</v>
      </c>
      <c r="H23" s="461">
        <v>63.75</v>
      </c>
    </row>
    <row r="24" spans="1:8" hidden="1" x14ac:dyDescent="0.35">
      <c r="A24" s="461" t="s">
        <v>194</v>
      </c>
      <c r="B24" s="461" t="s">
        <v>235</v>
      </c>
      <c r="C24" s="461" t="s">
        <v>295</v>
      </c>
      <c r="D24" s="461" t="s">
        <v>50</v>
      </c>
      <c r="E24" s="461">
        <v>27</v>
      </c>
      <c r="F24" s="461">
        <v>2.75</v>
      </c>
      <c r="G24" s="461">
        <v>3</v>
      </c>
      <c r="H24" s="461">
        <v>21.25</v>
      </c>
    </row>
    <row r="25" spans="1:8" hidden="1" x14ac:dyDescent="0.35">
      <c r="A25" s="461" t="s">
        <v>194</v>
      </c>
      <c r="B25" s="461" t="s">
        <v>235</v>
      </c>
      <c r="C25" s="461" t="s">
        <v>279</v>
      </c>
      <c r="D25" s="461" t="s">
        <v>51</v>
      </c>
      <c r="E25" s="461">
        <v>111</v>
      </c>
      <c r="F25" s="461">
        <v>12</v>
      </c>
      <c r="G25" s="461">
        <v>21.25</v>
      </c>
      <c r="H25" s="461">
        <v>77.75</v>
      </c>
    </row>
    <row r="26" spans="1:8" hidden="1" x14ac:dyDescent="0.35">
      <c r="A26" s="461" t="s">
        <v>194</v>
      </c>
      <c r="B26" s="461" t="s">
        <v>235</v>
      </c>
      <c r="C26" s="461" t="s">
        <v>280</v>
      </c>
      <c r="D26" s="461" t="s">
        <v>52</v>
      </c>
      <c r="E26">
        <v>128</v>
      </c>
      <c r="F26">
        <v>9.5</v>
      </c>
      <c r="G26">
        <v>24</v>
      </c>
      <c r="H26">
        <v>94.5</v>
      </c>
    </row>
    <row r="27" spans="1:8" hidden="1" x14ac:dyDescent="0.35">
      <c r="A27" s="461" t="s">
        <v>194</v>
      </c>
      <c r="B27" s="461" t="s">
        <v>235</v>
      </c>
      <c r="C27" s="461" t="s">
        <v>290</v>
      </c>
      <c r="D27" s="461" t="s">
        <v>53</v>
      </c>
      <c r="E27">
        <v>11.75</v>
      </c>
      <c r="F27">
        <v>1</v>
      </c>
      <c r="G27">
        <v>2</v>
      </c>
      <c r="H27">
        <v>8.75</v>
      </c>
    </row>
    <row r="28" spans="1:8" hidden="1" x14ac:dyDescent="0.35">
      <c r="A28" s="461" t="s">
        <v>194</v>
      </c>
      <c r="B28" s="461" t="s">
        <v>235</v>
      </c>
      <c r="C28" s="461" t="s">
        <v>281</v>
      </c>
      <c r="D28" s="461" t="s">
        <v>54</v>
      </c>
      <c r="E28">
        <v>119.5</v>
      </c>
      <c r="F28">
        <v>12.5</v>
      </c>
      <c r="G28">
        <v>22</v>
      </c>
      <c r="H28">
        <v>85</v>
      </c>
    </row>
    <row r="29" spans="1:8" hidden="1" x14ac:dyDescent="0.35">
      <c r="A29" s="461" t="s">
        <v>194</v>
      </c>
      <c r="B29" s="461" t="s">
        <v>235</v>
      </c>
      <c r="C29" s="461" t="s">
        <v>282</v>
      </c>
      <c r="D29" s="461" t="s">
        <v>55</v>
      </c>
      <c r="E29">
        <v>126</v>
      </c>
      <c r="F29">
        <v>12.25</v>
      </c>
      <c r="G29">
        <v>28.25</v>
      </c>
      <c r="H29">
        <v>85.5</v>
      </c>
    </row>
    <row r="30" spans="1:8" hidden="1" x14ac:dyDescent="0.35">
      <c r="A30" s="461" t="s">
        <v>194</v>
      </c>
      <c r="B30" s="461" t="s">
        <v>235</v>
      </c>
      <c r="C30" s="461" t="s">
        <v>283</v>
      </c>
      <c r="D30" s="461" t="s">
        <v>56</v>
      </c>
      <c r="E30">
        <v>49.25</v>
      </c>
      <c r="F30">
        <v>5</v>
      </c>
      <c r="G30">
        <v>8.25</v>
      </c>
      <c r="H30">
        <v>36</v>
      </c>
    </row>
    <row r="31" spans="1:8" hidden="1" x14ac:dyDescent="0.35">
      <c r="A31" s="461" t="s">
        <v>194</v>
      </c>
      <c r="B31" s="461" t="s">
        <v>235</v>
      </c>
      <c r="C31" s="461" t="s">
        <v>284</v>
      </c>
      <c r="D31" s="461" t="s">
        <v>57</v>
      </c>
      <c r="E31">
        <v>79.25</v>
      </c>
      <c r="F31">
        <v>8.75</v>
      </c>
      <c r="G31">
        <v>8</v>
      </c>
      <c r="H31">
        <v>62.5</v>
      </c>
    </row>
    <row r="32" spans="1:8" hidden="1" x14ac:dyDescent="0.35">
      <c r="A32" s="461" t="s">
        <v>194</v>
      </c>
      <c r="B32" s="461" t="s">
        <v>235</v>
      </c>
      <c r="C32" s="461" t="s">
        <v>285</v>
      </c>
      <c r="D32" s="461" t="s">
        <v>58</v>
      </c>
      <c r="E32">
        <v>58.03</v>
      </c>
      <c r="F32">
        <v>7.33</v>
      </c>
      <c r="G32">
        <v>11.9</v>
      </c>
      <c r="H32">
        <v>38.799999999999997</v>
      </c>
    </row>
    <row r="33" spans="1:8" hidden="1" x14ac:dyDescent="0.35">
      <c r="A33" s="461" t="s">
        <v>194</v>
      </c>
      <c r="B33" s="461" t="s">
        <v>235</v>
      </c>
      <c r="C33" s="461" t="s">
        <v>291</v>
      </c>
      <c r="D33" s="461" t="s">
        <v>59</v>
      </c>
      <c r="E33">
        <v>15.75</v>
      </c>
      <c r="F33">
        <v>1.75</v>
      </c>
      <c r="G33">
        <v>1</v>
      </c>
      <c r="H33">
        <v>13</v>
      </c>
    </row>
    <row r="34" spans="1:8" hidden="1" x14ac:dyDescent="0.35">
      <c r="A34" s="461" t="s">
        <v>194</v>
      </c>
      <c r="B34" s="461" t="s">
        <v>235</v>
      </c>
      <c r="C34" s="461" t="s">
        <v>292</v>
      </c>
      <c r="D34" s="461" t="s">
        <v>60</v>
      </c>
      <c r="E34">
        <v>49.75</v>
      </c>
      <c r="F34">
        <v>5.75</v>
      </c>
      <c r="G34">
        <v>9.5</v>
      </c>
      <c r="H34">
        <v>34.5</v>
      </c>
    </row>
    <row r="35" spans="1:8" hidden="1" x14ac:dyDescent="0.35">
      <c r="A35" s="461" t="s">
        <v>193</v>
      </c>
      <c r="B35" s="461" t="s">
        <v>235</v>
      </c>
      <c r="C35" s="461" t="s">
        <v>286</v>
      </c>
      <c r="D35" s="461" t="s">
        <v>31</v>
      </c>
      <c r="E35">
        <v>6.5</v>
      </c>
      <c r="F35">
        <v>1</v>
      </c>
      <c r="G35">
        <v>1.75</v>
      </c>
      <c r="H35">
        <v>3.75</v>
      </c>
    </row>
    <row r="36" spans="1:8" hidden="1" x14ac:dyDescent="0.35">
      <c r="A36" s="461" t="s">
        <v>193</v>
      </c>
      <c r="B36" s="461" t="s">
        <v>235</v>
      </c>
      <c r="C36" s="461" t="s">
        <v>287</v>
      </c>
      <c r="D36" s="461" t="s">
        <v>32</v>
      </c>
      <c r="E36">
        <v>253.25</v>
      </c>
      <c r="F36">
        <v>25.25</v>
      </c>
      <c r="G36">
        <v>56</v>
      </c>
      <c r="H36">
        <v>172</v>
      </c>
    </row>
    <row r="37" spans="1:8" hidden="1" x14ac:dyDescent="0.35">
      <c r="A37" s="461" t="s">
        <v>193</v>
      </c>
      <c r="B37" s="461" t="s">
        <v>235</v>
      </c>
      <c r="C37" s="461" t="s">
        <v>17424</v>
      </c>
      <c r="D37" s="461" t="s">
        <v>266</v>
      </c>
      <c r="E37">
        <v>2668.5</v>
      </c>
      <c r="F37">
        <v>263.75</v>
      </c>
      <c r="G37">
        <v>498</v>
      </c>
      <c r="H37">
        <v>1906.75</v>
      </c>
    </row>
    <row r="38" spans="1:8" hidden="1" x14ac:dyDescent="0.35">
      <c r="A38" s="461" t="s">
        <v>193</v>
      </c>
      <c r="B38" s="461" t="s">
        <v>235</v>
      </c>
      <c r="C38" s="461" t="s">
        <v>293</v>
      </c>
      <c r="D38" s="461" t="s">
        <v>33</v>
      </c>
      <c r="E38">
        <v>83.5</v>
      </c>
      <c r="F38">
        <v>7</v>
      </c>
      <c r="G38">
        <v>18</v>
      </c>
      <c r="H38">
        <v>58.5</v>
      </c>
    </row>
    <row r="39" spans="1:8" hidden="1" x14ac:dyDescent="0.35">
      <c r="A39" s="461" t="s">
        <v>193</v>
      </c>
      <c r="B39" s="461" t="s">
        <v>235</v>
      </c>
      <c r="C39" s="461" t="s">
        <v>288</v>
      </c>
      <c r="D39" s="461" t="s">
        <v>34</v>
      </c>
      <c r="E39">
        <v>166.5</v>
      </c>
      <c r="F39">
        <v>14.75</v>
      </c>
      <c r="G39">
        <v>22.75</v>
      </c>
      <c r="H39">
        <v>129</v>
      </c>
    </row>
    <row r="40" spans="1:8" hidden="1" x14ac:dyDescent="0.35">
      <c r="A40" s="461" t="s">
        <v>193</v>
      </c>
      <c r="B40" s="461" t="s">
        <v>235</v>
      </c>
      <c r="C40" s="461" t="s">
        <v>289</v>
      </c>
      <c r="D40" s="461" t="s">
        <v>245</v>
      </c>
      <c r="E40">
        <v>10.5</v>
      </c>
      <c r="F40">
        <v>0.75</v>
      </c>
      <c r="G40">
        <v>1.75</v>
      </c>
      <c r="H40">
        <v>8</v>
      </c>
    </row>
    <row r="41" spans="1:8" hidden="1" x14ac:dyDescent="0.35">
      <c r="A41" s="461" t="s">
        <v>193</v>
      </c>
      <c r="B41" s="461" t="s">
        <v>235</v>
      </c>
      <c r="C41" s="461" t="s">
        <v>267</v>
      </c>
      <c r="D41" s="461" t="s">
        <v>35</v>
      </c>
      <c r="E41">
        <v>18.25</v>
      </c>
      <c r="F41">
        <v>1.5</v>
      </c>
      <c r="G41">
        <v>4</v>
      </c>
      <c r="H41">
        <v>12.75</v>
      </c>
    </row>
    <row r="42" spans="1:8" hidden="1" x14ac:dyDescent="0.35">
      <c r="A42" s="461" t="s">
        <v>193</v>
      </c>
      <c r="B42" s="461" t="s">
        <v>235</v>
      </c>
      <c r="C42" s="461" t="s">
        <v>268</v>
      </c>
      <c r="D42" s="461" t="s">
        <v>36</v>
      </c>
      <c r="E42">
        <v>185</v>
      </c>
      <c r="F42">
        <v>15.25</v>
      </c>
      <c r="G42">
        <v>32.75</v>
      </c>
      <c r="H42">
        <v>137</v>
      </c>
    </row>
    <row r="43" spans="1:8" hidden="1" x14ac:dyDescent="0.35">
      <c r="A43" s="461" t="s">
        <v>193</v>
      </c>
      <c r="B43" s="461" t="s">
        <v>235</v>
      </c>
      <c r="C43" s="461" t="s">
        <v>294</v>
      </c>
      <c r="D43" s="461" t="s">
        <v>37</v>
      </c>
      <c r="E43">
        <v>11.75</v>
      </c>
      <c r="F43">
        <v>0.75</v>
      </c>
      <c r="G43">
        <v>2.75</v>
      </c>
      <c r="H43">
        <v>8.25</v>
      </c>
    </row>
    <row r="44" spans="1:8" hidden="1" x14ac:dyDescent="0.35">
      <c r="A44" s="461" t="s">
        <v>193</v>
      </c>
      <c r="B44" s="461" t="s">
        <v>235</v>
      </c>
      <c r="C44" s="461" t="s">
        <v>269</v>
      </c>
      <c r="D44" s="461" t="s">
        <v>38</v>
      </c>
      <c r="E44">
        <v>71.25</v>
      </c>
      <c r="F44">
        <v>7.5</v>
      </c>
      <c r="G44">
        <v>7.25</v>
      </c>
      <c r="H44">
        <v>56.5</v>
      </c>
    </row>
    <row r="45" spans="1:8" hidden="1" x14ac:dyDescent="0.35">
      <c r="A45" s="461" t="s">
        <v>193</v>
      </c>
      <c r="B45" s="461" t="s">
        <v>235</v>
      </c>
      <c r="C45" s="461" t="s">
        <v>296</v>
      </c>
      <c r="D45" s="461" t="s">
        <v>39</v>
      </c>
      <c r="E45">
        <v>0</v>
      </c>
      <c r="F45">
        <v>0</v>
      </c>
      <c r="G45">
        <v>0</v>
      </c>
      <c r="H45">
        <v>0</v>
      </c>
    </row>
    <row r="46" spans="1:8" hidden="1" x14ac:dyDescent="0.35">
      <c r="A46" s="461" t="s">
        <v>193</v>
      </c>
      <c r="B46" s="461" t="s">
        <v>235</v>
      </c>
      <c r="C46" s="461" t="s">
        <v>270</v>
      </c>
      <c r="D46" s="461" t="s">
        <v>40</v>
      </c>
      <c r="E46">
        <v>52.75</v>
      </c>
      <c r="F46">
        <v>5</v>
      </c>
      <c r="G46">
        <v>11.5</v>
      </c>
      <c r="H46">
        <v>36.25</v>
      </c>
    </row>
    <row r="47" spans="1:8" hidden="1" x14ac:dyDescent="0.35">
      <c r="A47" s="461" t="s">
        <v>193</v>
      </c>
      <c r="B47" s="461" t="s">
        <v>235</v>
      </c>
      <c r="C47" s="461" t="s">
        <v>271</v>
      </c>
      <c r="D47" s="461" t="s">
        <v>41</v>
      </c>
      <c r="E47">
        <v>0</v>
      </c>
      <c r="F47">
        <v>0</v>
      </c>
      <c r="G47">
        <v>0</v>
      </c>
      <c r="H47">
        <v>0</v>
      </c>
    </row>
    <row r="48" spans="1:8" hidden="1" x14ac:dyDescent="0.35">
      <c r="A48" s="461" t="s">
        <v>193</v>
      </c>
      <c r="B48" s="461" t="s">
        <v>235</v>
      </c>
      <c r="C48" s="461" t="s">
        <v>273</v>
      </c>
      <c r="D48" s="461" t="s">
        <v>42</v>
      </c>
      <c r="E48">
        <v>51.75</v>
      </c>
      <c r="F48">
        <v>4.5</v>
      </c>
      <c r="G48">
        <v>6.75</v>
      </c>
      <c r="H48">
        <v>40.5</v>
      </c>
    </row>
    <row r="49" spans="1:8" hidden="1" x14ac:dyDescent="0.35">
      <c r="A49" s="461" t="s">
        <v>193</v>
      </c>
      <c r="B49" s="461" t="s">
        <v>235</v>
      </c>
      <c r="C49" s="461" t="s">
        <v>298</v>
      </c>
      <c r="D49" s="461" t="s">
        <v>43</v>
      </c>
      <c r="E49">
        <v>94</v>
      </c>
      <c r="F49">
        <v>9.75</v>
      </c>
      <c r="G49">
        <v>18.75</v>
      </c>
      <c r="H49">
        <v>65.5</v>
      </c>
    </row>
    <row r="50" spans="1:8" hidden="1" x14ac:dyDescent="0.35">
      <c r="A50" s="461" t="s">
        <v>193</v>
      </c>
      <c r="B50" s="461" t="s">
        <v>235</v>
      </c>
      <c r="C50" s="461" t="s">
        <v>297</v>
      </c>
      <c r="D50" s="461" t="s">
        <v>114</v>
      </c>
      <c r="E50">
        <v>0</v>
      </c>
      <c r="F50">
        <v>0</v>
      </c>
      <c r="G50">
        <v>0</v>
      </c>
      <c r="H50">
        <v>0</v>
      </c>
    </row>
    <row r="51" spans="1:8" hidden="1" x14ac:dyDescent="0.35">
      <c r="A51" s="461" t="s">
        <v>193</v>
      </c>
      <c r="B51" s="461" t="s">
        <v>235</v>
      </c>
      <c r="C51" s="461" t="s">
        <v>274</v>
      </c>
      <c r="D51" s="461" t="s">
        <v>44</v>
      </c>
      <c r="E51">
        <v>512.75</v>
      </c>
      <c r="F51">
        <v>52.25</v>
      </c>
      <c r="G51">
        <v>100.25</v>
      </c>
      <c r="H51">
        <v>360.25</v>
      </c>
    </row>
    <row r="52" spans="1:8" hidden="1" x14ac:dyDescent="0.35">
      <c r="A52" s="461" t="s">
        <v>193</v>
      </c>
      <c r="B52" s="461" t="s">
        <v>235</v>
      </c>
      <c r="C52" s="461" t="s">
        <v>275</v>
      </c>
      <c r="D52" s="461" t="s">
        <v>45</v>
      </c>
      <c r="E52">
        <v>33.5</v>
      </c>
      <c r="F52">
        <v>3</v>
      </c>
      <c r="G52">
        <v>3.75</v>
      </c>
      <c r="H52">
        <v>26.75</v>
      </c>
    </row>
    <row r="53" spans="1:8" hidden="1" x14ac:dyDescent="0.35">
      <c r="A53" s="461" t="s">
        <v>193</v>
      </c>
      <c r="B53" s="461" t="s">
        <v>235</v>
      </c>
      <c r="C53" s="461" t="s">
        <v>276</v>
      </c>
      <c r="D53" s="461" t="s">
        <v>46</v>
      </c>
      <c r="E53">
        <v>11.75</v>
      </c>
      <c r="F53">
        <v>1</v>
      </c>
      <c r="G53">
        <v>1.75</v>
      </c>
      <c r="H53">
        <v>9</v>
      </c>
    </row>
    <row r="54" spans="1:8" hidden="1" x14ac:dyDescent="0.35">
      <c r="A54" s="461" t="s">
        <v>193</v>
      </c>
      <c r="B54" s="461" t="s">
        <v>235</v>
      </c>
      <c r="C54" s="461" t="s">
        <v>277</v>
      </c>
      <c r="D54" s="461" t="s">
        <v>47</v>
      </c>
      <c r="E54">
        <v>111.75</v>
      </c>
      <c r="F54">
        <v>10</v>
      </c>
      <c r="G54">
        <v>23</v>
      </c>
      <c r="H54">
        <v>78.75</v>
      </c>
    </row>
    <row r="55" spans="1:8" hidden="1" x14ac:dyDescent="0.35">
      <c r="A55" s="461" t="s">
        <v>193</v>
      </c>
      <c r="B55" s="461" t="s">
        <v>235</v>
      </c>
      <c r="C55" s="461" t="s">
        <v>272</v>
      </c>
      <c r="D55" s="461" t="s">
        <v>48</v>
      </c>
      <c r="E55">
        <v>140.25</v>
      </c>
      <c r="F55">
        <v>15.5</v>
      </c>
      <c r="G55">
        <v>26.5</v>
      </c>
      <c r="H55">
        <v>98.25</v>
      </c>
    </row>
    <row r="56" spans="1:8" hidden="1" x14ac:dyDescent="0.35">
      <c r="A56" s="461" t="s">
        <v>193</v>
      </c>
      <c r="B56" s="461" t="s">
        <v>235</v>
      </c>
      <c r="C56" s="461" t="s">
        <v>278</v>
      </c>
      <c r="D56" s="461" t="s">
        <v>49</v>
      </c>
      <c r="E56">
        <v>82.5</v>
      </c>
      <c r="F56">
        <v>8.5</v>
      </c>
      <c r="G56">
        <v>15.5</v>
      </c>
      <c r="H56">
        <v>58.5</v>
      </c>
    </row>
    <row r="57" spans="1:8" hidden="1" x14ac:dyDescent="0.35">
      <c r="A57" s="461" t="s">
        <v>193</v>
      </c>
      <c r="B57" s="461" t="s">
        <v>235</v>
      </c>
      <c r="C57" s="461" t="s">
        <v>295</v>
      </c>
      <c r="D57" s="461" t="s">
        <v>50</v>
      </c>
      <c r="E57">
        <v>28.25</v>
      </c>
      <c r="F57">
        <v>2.5</v>
      </c>
      <c r="G57">
        <v>3</v>
      </c>
      <c r="H57">
        <v>22.75</v>
      </c>
    </row>
    <row r="58" spans="1:8" hidden="1" x14ac:dyDescent="0.35">
      <c r="A58" s="461" t="s">
        <v>193</v>
      </c>
      <c r="B58" s="461" t="s">
        <v>235</v>
      </c>
      <c r="C58" s="461" t="s">
        <v>279</v>
      </c>
      <c r="D58" s="461" t="s">
        <v>51</v>
      </c>
      <c r="E58">
        <v>107.25</v>
      </c>
      <c r="F58">
        <v>12</v>
      </c>
      <c r="G58">
        <v>25</v>
      </c>
      <c r="H58">
        <v>70.25</v>
      </c>
    </row>
    <row r="59" spans="1:8" hidden="1" x14ac:dyDescent="0.35">
      <c r="A59" s="461" t="s">
        <v>193</v>
      </c>
      <c r="B59" s="461" t="s">
        <v>235</v>
      </c>
      <c r="C59" s="461" t="s">
        <v>280</v>
      </c>
      <c r="D59" s="461" t="s">
        <v>52</v>
      </c>
      <c r="E59">
        <v>116.75</v>
      </c>
      <c r="F59">
        <v>12.75</v>
      </c>
      <c r="G59">
        <v>24.25</v>
      </c>
      <c r="H59">
        <v>79.75</v>
      </c>
    </row>
    <row r="60" spans="1:8" hidden="1" x14ac:dyDescent="0.35">
      <c r="A60" s="461" t="s">
        <v>193</v>
      </c>
      <c r="B60" s="461" t="s">
        <v>235</v>
      </c>
      <c r="C60" s="461" t="s">
        <v>290</v>
      </c>
      <c r="D60" s="461" t="s">
        <v>53</v>
      </c>
      <c r="E60">
        <v>11.75</v>
      </c>
      <c r="F60">
        <v>1</v>
      </c>
      <c r="G60">
        <v>2</v>
      </c>
      <c r="H60">
        <v>8.75</v>
      </c>
    </row>
    <row r="61" spans="1:8" hidden="1" x14ac:dyDescent="0.35">
      <c r="A61" s="461" t="s">
        <v>193</v>
      </c>
      <c r="B61" s="461" t="s">
        <v>235</v>
      </c>
      <c r="C61" s="461" t="s">
        <v>281</v>
      </c>
      <c r="D61" s="461" t="s">
        <v>54</v>
      </c>
      <c r="E61">
        <v>132.25</v>
      </c>
      <c r="F61">
        <v>13.25</v>
      </c>
      <c r="G61">
        <v>22.75</v>
      </c>
      <c r="H61">
        <v>96.25</v>
      </c>
    </row>
    <row r="62" spans="1:8" hidden="1" x14ac:dyDescent="0.35">
      <c r="A62" s="461" t="s">
        <v>193</v>
      </c>
      <c r="B62" s="461" t="s">
        <v>235</v>
      </c>
      <c r="C62" s="461" t="s">
        <v>282</v>
      </c>
      <c r="D62" s="461" t="s">
        <v>55</v>
      </c>
      <c r="E62">
        <v>119</v>
      </c>
      <c r="F62">
        <v>11.25</v>
      </c>
      <c r="G62">
        <v>28</v>
      </c>
      <c r="H62">
        <v>79.75</v>
      </c>
    </row>
    <row r="63" spans="1:8" hidden="1" x14ac:dyDescent="0.35">
      <c r="A63" s="461" t="s">
        <v>193</v>
      </c>
      <c r="B63" s="461" t="s">
        <v>235</v>
      </c>
      <c r="C63" s="461" t="s">
        <v>283</v>
      </c>
      <c r="D63" s="461" t="s">
        <v>56</v>
      </c>
      <c r="E63">
        <v>49</v>
      </c>
      <c r="F63">
        <v>5</v>
      </c>
      <c r="G63">
        <v>8.25</v>
      </c>
      <c r="H63">
        <v>35.75</v>
      </c>
    </row>
    <row r="64" spans="1:8" hidden="1" x14ac:dyDescent="0.35">
      <c r="A64" s="461" t="s">
        <v>193</v>
      </c>
      <c r="B64" s="461" t="s">
        <v>235</v>
      </c>
      <c r="C64" s="461" t="s">
        <v>284</v>
      </c>
      <c r="D64" s="461" t="s">
        <v>57</v>
      </c>
      <c r="E64">
        <v>76.75</v>
      </c>
      <c r="F64">
        <v>8.75</v>
      </c>
      <c r="G64">
        <v>8</v>
      </c>
      <c r="H64">
        <v>60</v>
      </c>
    </row>
    <row r="65" spans="1:8" hidden="1" x14ac:dyDescent="0.35">
      <c r="A65" s="461" t="s">
        <v>193</v>
      </c>
      <c r="B65" s="461" t="s">
        <v>235</v>
      </c>
      <c r="C65" s="461" t="s">
        <v>285</v>
      </c>
      <c r="D65" s="461" t="s">
        <v>58</v>
      </c>
      <c r="E65">
        <v>58.5</v>
      </c>
      <c r="F65">
        <v>7.25</v>
      </c>
      <c r="G65">
        <v>11</v>
      </c>
      <c r="H65">
        <v>40.25</v>
      </c>
    </row>
    <row r="66" spans="1:8" hidden="1" x14ac:dyDescent="0.35">
      <c r="A66" s="461" t="s">
        <v>193</v>
      </c>
      <c r="B66" s="461" t="s">
        <v>235</v>
      </c>
      <c r="C66" s="461" t="s">
        <v>291</v>
      </c>
      <c r="D66" s="461" t="s">
        <v>59</v>
      </c>
      <c r="E66">
        <v>18.5</v>
      </c>
      <c r="F66">
        <v>1.75</v>
      </c>
      <c r="G66">
        <v>1</v>
      </c>
      <c r="H66">
        <v>15.75</v>
      </c>
    </row>
    <row r="67" spans="1:8" hidden="1" x14ac:dyDescent="0.35">
      <c r="A67" s="461" t="s">
        <v>193</v>
      </c>
      <c r="B67" s="461" t="s">
        <v>235</v>
      </c>
      <c r="C67" s="461" t="s">
        <v>292</v>
      </c>
      <c r="D67" s="461" t="s">
        <v>60</v>
      </c>
      <c r="E67">
        <v>53</v>
      </c>
      <c r="F67">
        <v>5</v>
      </c>
      <c r="G67">
        <v>10</v>
      </c>
      <c r="H67">
        <v>38</v>
      </c>
    </row>
    <row r="68" spans="1:8" hidden="1" x14ac:dyDescent="0.35">
      <c r="A68" s="461" t="s">
        <v>192</v>
      </c>
      <c r="B68" s="461" t="s">
        <v>235</v>
      </c>
      <c r="C68" s="461" t="s">
        <v>286</v>
      </c>
      <c r="D68" s="461" t="s">
        <v>31</v>
      </c>
      <c r="E68">
        <v>15.25</v>
      </c>
      <c r="F68">
        <v>1.75</v>
      </c>
      <c r="G68">
        <v>5.5</v>
      </c>
      <c r="H68">
        <v>8</v>
      </c>
    </row>
    <row r="69" spans="1:8" hidden="1" x14ac:dyDescent="0.35">
      <c r="A69" s="461" t="s">
        <v>192</v>
      </c>
      <c r="B69" s="461" t="s">
        <v>235</v>
      </c>
      <c r="C69" s="461" t="s">
        <v>287</v>
      </c>
      <c r="D69" s="461" t="s">
        <v>32</v>
      </c>
      <c r="E69">
        <v>226.25</v>
      </c>
      <c r="F69">
        <v>24</v>
      </c>
      <c r="G69">
        <v>56.25</v>
      </c>
      <c r="H69">
        <v>146</v>
      </c>
    </row>
    <row r="70" spans="1:8" hidden="1" x14ac:dyDescent="0.35">
      <c r="A70" s="461" t="s">
        <v>192</v>
      </c>
      <c r="B70" s="461" t="s">
        <v>235</v>
      </c>
      <c r="C70" s="461" t="s">
        <v>17424</v>
      </c>
      <c r="D70" s="461" t="s">
        <v>266</v>
      </c>
      <c r="E70">
        <v>2527</v>
      </c>
      <c r="F70">
        <v>248</v>
      </c>
      <c r="G70">
        <v>486</v>
      </c>
      <c r="H70">
        <v>1793</v>
      </c>
    </row>
    <row r="71" spans="1:8" hidden="1" x14ac:dyDescent="0.35">
      <c r="A71" s="461" t="s">
        <v>192</v>
      </c>
      <c r="B71" s="461" t="s">
        <v>235</v>
      </c>
      <c r="C71" s="461" t="s">
        <v>293</v>
      </c>
      <c r="D71" s="461" t="s">
        <v>33</v>
      </c>
      <c r="E71">
        <v>82</v>
      </c>
      <c r="F71">
        <v>6</v>
      </c>
      <c r="G71">
        <v>13.5</v>
      </c>
      <c r="H71">
        <v>62.5</v>
      </c>
    </row>
    <row r="72" spans="1:8" hidden="1" x14ac:dyDescent="0.35">
      <c r="A72" s="461" t="s">
        <v>192</v>
      </c>
      <c r="B72" s="461" t="s">
        <v>235</v>
      </c>
      <c r="C72" s="461" t="s">
        <v>288</v>
      </c>
      <c r="D72" s="461" t="s">
        <v>34</v>
      </c>
      <c r="E72">
        <v>171.39285714285714</v>
      </c>
      <c r="F72">
        <v>11.75</v>
      </c>
      <c r="G72">
        <v>24.75</v>
      </c>
      <c r="H72">
        <v>134.89285714285714</v>
      </c>
    </row>
    <row r="73" spans="1:8" hidden="1" x14ac:dyDescent="0.35">
      <c r="A73" s="461" t="s">
        <v>192</v>
      </c>
      <c r="B73" s="461" t="s">
        <v>235</v>
      </c>
      <c r="C73" s="461" t="s">
        <v>289</v>
      </c>
      <c r="D73" s="461" t="s">
        <v>245</v>
      </c>
      <c r="E73">
        <v>10</v>
      </c>
      <c r="F73">
        <v>1</v>
      </c>
      <c r="G73">
        <v>1.75</v>
      </c>
      <c r="H73">
        <v>7.25</v>
      </c>
    </row>
    <row r="74" spans="1:8" hidden="1" x14ac:dyDescent="0.35">
      <c r="A74" s="461" t="s">
        <v>192</v>
      </c>
      <c r="B74" s="461" t="s">
        <v>235</v>
      </c>
      <c r="C74" s="461" t="s">
        <v>267</v>
      </c>
      <c r="D74" s="461" t="s">
        <v>35</v>
      </c>
      <c r="E74">
        <v>16.25</v>
      </c>
      <c r="F74">
        <v>2</v>
      </c>
      <c r="G74">
        <v>3</v>
      </c>
      <c r="H74">
        <v>11.25</v>
      </c>
    </row>
    <row r="75" spans="1:8" hidden="1" x14ac:dyDescent="0.35">
      <c r="A75" s="461" t="s">
        <v>192</v>
      </c>
      <c r="B75" s="461" t="s">
        <v>235</v>
      </c>
      <c r="C75" s="461" t="s">
        <v>268</v>
      </c>
      <c r="D75" s="461" t="s">
        <v>36</v>
      </c>
      <c r="E75">
        <v>169</v>
      </c>
      <c r="F75">
        <v>14.5</v>
      </c>
      <c r="G75">
        <v>30.75</v>
      </c>
      <c r="H75">
        <v>123.75</v>
      </c>
    </row>
    <row r="76" spans="1:8" hidden="1" x14ac:dyDescent="0.35">
      <c r="A76" s="461" t="s">
        <v>192</v>
      </c>
      <c r="B76" s="461" t="s">
        <v>235</v>
      </c>
      <c r="C76" s="461" t="s">
        <v>294</v>
      </c>
      <c r="D76" s="461" t="s">
        <v>37</v>
      </c>
      <c r="E76">
        <v>9.5</v>
      </c>
      <c r="F76">
        <v>0.75</v>
      </c>
      <c r="G76">
        <v>2.5</v>
      </c>
      <c r="H76">
        <v>6.25</v>
      </c>
    </row>
    <row r="77" spans="1:8" hidden="1" x14ac:dyDescent="0.35">
      <c r="A77" s="461" t="s">
        <v>192</v>
      </c>
      <c r="B77" s="461" t="s">
        <v>235</v>
      </c>
      <c r="C77" s="461" t="s">
        <v>269</v>
      </c>
      <c r="D77" s="461" t="s">
        <v>38</v>
      </c>
      <c r="E77">
        <v>71</v>
      </c>
      <c r="F77">
        <v>6.25</v>
      </c>
      <c r="G77">
        <v>8.75</v>
      </c>
      <c r="H77">
        <v>56</v>
      </c>
    </row>
    <row r="78" spans="1:8" hidden="1" x14ac:dyDescent="0.35">
      <c r="A78" s="461" t="s">
        <v>192</v>
      </c>
      <c r="B78" s="461" t="s">
        <v>235</v>
      </c>
      <c r="C78" s="461" t="s">
        <v>296</v>
      </c>
      <c r="D78" s="461" t="s">
        <v>39</v>
      </c>
      <c r="E78">
        <v>0</v>
      </c>
      <c r="F78">
        <v>0</v>
      </c>
      <c r="G78">
        <v>0</v>
      </c>
      <c r="H78">
        <v>0</v>
      </c>
    </row>
    <row r="79" spans="1:8" hidden="1" x14ac:dyDescent="0.35">
      <c r="A79" s="461" t="s">
        <v>192</v>
      </c>
      <c r="B79" s="461" t="s">
        <v>235</v>
      </c>
      <c r="C79" s="461" t="s">
        <v>270</v>
      </c>
      <c r="D79" s="461" t="s">
        <v>40</v>
      </c>
      <c r="E79">
        <v>45.25</v>
      </c>
      <c r="F79">
        <v>4</v>
      </c>
      <c r="G79">
        <v>9.75</v>
      </c>
      <c r="H79">
        <v>31.5</v>
      </c>
    </row>
    <row r="80" spans="1:8" hidden="1" x14ac:dyDescent="0.35">
      <c r="A80" s="461" t="s">
        <v>192</v>
      </c>
      <c r="B80" s="461" t="s">
        <v>235</v>
      </c>
      <c r="C80" s="461" t="s">
        <v>271</v>
      </c>
      <c r="D80" s="461" t="s">
        <v>41</v>
      </c>
      <c r="E80">
        <v>1</v>
      </c>
      <c r="F80">
        <v>0</v>
      </c>
      <c r="G80">
        <v>0</v>
      </c>
      <c r="H80">
        <v>1</v>
      </c>
    </row>
    <row r="81" spans="1:8" hidden="1" x14ac:dyDescent="0.35">
      <c r="A81" s="461" t="s">
        <v>192</v>
      </c>
      <c r="B81" s="461" t="s">
        <v>235</v>
      </c>
      <c r="C81" s="461" t="s">
        <v>273</v>
      </c>
      <c r="D81" s="461" t="s">
        <v>42</v>
      </c>
      <c r="E81">
        <v>39.75</v>
      </c>
      <c r="F81">
        <v>3.75</v>
      </c>
      <c r="G81">
        <v>7</v>
      </c>
      <c r="H81">
        <v>29</v>
      </c>
    </row>
    <row r="82" spans="1:8" hidden="1" x14ac:dyDescent="0.35">
      <c r="A82" s="461" t="s">
        <v>192</v>
      </c>
      <c r="B82" s="461" t="s">
        <v>235</v>
      </c>
      <c r="C82" s="461" t="s">
        <v>298</v>
      </c>
      <c r="D82" s="461" t="s">
        <v>43</v>
      </c>
      <c r="E82">
        <v>93.37</v>
      </c>
      <c r="F82">
        <v>9</v>
      </c>
      <c r="G82">
        <v>18.93</v>
      </c>
      <c r="H82">
        <v>65.44</v>
      </c>
    </row>
    <row r="83" spans="1:8" hidden="1" x14ac:dyDescent="0.35">
      <c r="A83" s="461" t="s">
        <v>192</v>
      </c>
      <c r="B83" s="461" t="s">
        <v>235</v>
      </c>
      <c r="C83" s="461" t="s">
        <v>297</v>
      </c>
      <c r="D83" s="461" t="s">
        <v>114</v>
      </c>
      <c r="E83">
        <v>3.25</v>
      </c>
      <c r="F83">
        <v>0</v>
      </c>
      <c r="G83">
        <v>0</v>
      </c>
      <c r="H83">
        <v>3.25</v>
      </c>
    </row>
    <row r="84" spans="1:8" hidden="1" x14ac:dyDescent="0.35">
      <c r="A84" s="461" t="s">
        <v>192</v>
      </c>
      <c r="B84" s="461" t="s">
        <v>235</v>
      </c>
      <c r="C84" s="461" t="s">
        <v>274</v>
      </c>
      <c r="D84" s="461" t="s">
        <v>44</v>
      </c>
      <c r="E84">
        <v>489.75</v>
      </c>
      <c r="F84">
        <v>51</v>
      </c>
      <c r="G84">
        <v>102.5</v>
      </c>
      <c r="H84">
        <v>336.25</v>
      </c>
    </row>
    <row r="85" spans="1:8" hidden="1" x14ac:dyDescent="0.35">
      <c r="A85" s="461" t="s">
        <v>192</v>
      </c>
      <c r="B85" s="461" t="s">
        <v>235</v>
      </c>
      <c r="C85" s="461" t="s">
        <v>275</v>
      </c>
      <c r="D85" s="461" t="s">
        <v>45</v>
      </c>
      <c r="E85">
        <v>33.75</v>
      </c>
      <c r="F85">
        <v>3.5</v>
      </c>
      <c r="G85">
        <v>5.5</v>
      </c>
      <c r="H85">
        <v>24.75</v>
      </c>
    </row>
    <row r="86" spans="1:8" hidden="1" x14ac:dyDescent="0.35">
      <c r="A86" s="461" t="s">
        <v>192</v>
      </c>
      <c r="B86" s="461" t="s">
        <v>235</v>
      </c>
      <c r="C86" s="461" t="s">
        <v>276</v>
      </c>
      <c r="D86" s="461" t="s">
        <v>46</v>
      </c>
      <c r="E86">
        <v>9.25</v>
      </c>
      <c r="F86">
        <v>1</v>
      </c>
      <c r="G86">
        <v>1.75</v>
      </c>
      <c r="H86">
        <v>6.5</v>
      </c>
    </row>
    <row r="87" spans="1:8" hidden="1" x14ac:dyDescent="0.35">
      <c r="A87" s="461" t="s">
        <v>192</v>
      </c>
      <c r="B87" s="461" t="s">
        <v>235</v>
      </c>
      <c r="C87" s="461" t="s">
        <v>277</v>
      </c>
      <c r="D87" s="461" t="s">
        <v>47</v>
      </c>
      <c r="E87">
        <v>97.25</v>
      </c>
      <c r="F87">
        <v>11</v>
      </c>
      <c r="G87">
        <v>21</v>
      </c>
      <c r="H87">
        <v>65.25</v>
      </c>
    </row>
    <row r="88" spans="1:8" hidden="1" x14ac:dyDescent="0.35">
      <c r="A88" s="461" t="s">
        <v>192</v>
      </c>
      <c r="B88" s="461" t="s">
        <v>235</v>
      </c>
      <c r="C88" s="461" t="s">
        <v>272</v>
      </c>
      <c r="D88" s="461" t="s">
        <v>48</v>
      </c>
      <c r="E88">
        <v>134.25</v>
      </c>
      <c r="F88">
        <v>11.75</v>
      </c>
      <c r="G88">
        <v>33</v>
      </c>
      <c r="H88">
        <v>89.5</v>
      </c>
    </row>
    <row r="89" spans="1:8" hidden="1" x14ac:dyDescent="0.35">
      <c r="A89" s="461" t="s">
        <v>192</v>
      </c>
      <c r="B89" s="461" t="s">
        <v>235</v>
      </c>
      <c r="C89" s="461" t="s">
        <v>278</v>
      </c>
      <c r="D89" s="461" t="s">
        <v>49</v>
      </c>
      <c r="E89">
        <v>91.5</v>
      </c>
      <c r="F89">
        <v>9</v>
      </c>
      <c r="G89">
        <v>10</v>
      </c>
      <c r="H89">
        <v>72.5</v>
      </c>
    </row>
    <row r="90" spans="1:8" hidden="1" x14ac:dyDescent="0.35">
      <c r="A90" s="461" t="s">
        <v>192</v>
      </c>
      <c r="B90" s="461" t="s">
        <v>235</v>
      </c>
      <c r="C90" s="461" t="s">
        <v>295</v>
      </c>
      <c r="D90" s="461" t="s">
        <v>50</v>
      </c>
      <c r="E90">
        <v>27</v>
      </c>
      <c r="F90">
        <v>2.5</v>
      </c>
      <c r="G90">
        <v>2.5</v>
      </c>
      <c r="H90">
        <v>22</v>
      </c>
    </row>
    <row r="91" spans="1:8" hidden="1" x14ac:dyDescent="0.35">
      <c r="A91" s="461" t="s">
        <v>192</v>
      </c>
      <c r="B91" s="461" t="s">
        <v>235</v>
      </c>
      <c r="C91" s="461" t="s">
        <v>279</v>
      </c>
      <c r="D91" s="461" t="s">
        <v>51</v>
      </c>
      <c r="E91">
        <v>96.5</v>
      </c>
      <c r="F91">
        <v>12</v>
      </c>
      <c r="G91">
        <v>18.75</v>
      </c>
      <c r="H91">
        <v>65.75</v>
      </c>
    </row>
    <row r="92" spans="1:8" hidden="1" x14ac:dyDescent="0.35">
      <c r="A92" s="461" t="s">
        <v>192</v>
      </c>
      <c r="B92" s="461" t="s">
        <v>235</v>
      </c>
      <c r="C92" s="461" t="s">
        <v>280</v>
      </c>
      <c r="D92" s="461" t="s">
        <v>52</v>
      </c>
      <c r="E92">
        <v>110.5</v>
      </c>
      <c r="F92">
        <v>8.75</v>
      </c>
      <c r="G92">
        <v>22.5</v>
      </c>
      <c r="H92">
        <v>79.25</v>
      </c>
    </row>
    <row r="93" spans="1:8" hidden="1" x14ac:dyDescent="0.35">
      <c r="A93" s="461" t="s">
        <v>192</v>
      </c>
      <c r="B93" s="461" t="s">
        <v>235</v>
      </c>
      <c r="C93" s="461" t="s">
        <v>290</v>
      </c>
      <c r="D93" s="461" t="s">
        <v>53</v>
      </c>
      <c r="E93">
        <v>10.5</v>
      </c>
      <c r="F93">
        <v>1</v>
      </c>
      <c r="G93">
        <v>1</v>
      </c>
      <c r="H93">
        <v>8.5</v>
      </c>
    </row>
    <row r="94" spans="1:8" hidden="1" x14ac:dyDescent="0.35">
      <c r="A94" s="461" t="s">
        <v>192</v>
      </c>
      <c r="B94" s="461" t="s">
        <v>235</v>
      </c>
      <c r="C94" s="461" t="s">
        <v>281</v>
      </c>
      <c r="D94" s="461" t="s">
        <v>54</v>
      </c>
      <c r="E94">
        <v>123.25</v>
      </c>
      <c r="F94">
        <v>11.5</v>
      </c>
      <c r="G94">
        <v>22.5</v>
      </c>
      <c r="H94">
        <v>89.25</v>
      </c>
    </row>
    <row r="95" spans="1:8" hidden="1" x14ac:dyDescent="0.35">
      <c r="A95" s="461" t="s">
        <v>192</v>
      </c>
      <c r="B95" s="461" t="s">
        <v>235</v>
      </c>
      <c r="C95" s="461" t="s">
        <v>282</v>
      </c>
      <c r="D95" s="461" t="s">
        <v>55</v>
      </c>
      <c r="E95">
        <v>116.75</v>
      </c>
      <c r="F95">
        <v>13.25</v>
      </c>
      <c r="G95">
        <v>23.25</v>
      </c>
      <c r="H95">
        <v>80.25</v>
      </c>
    </row>
    <row r="96" spans="1:8" hidden="1" x14ac:dyDescent="0.35">
      <c r="A96" s="461" t="s">
        <v>192</v>
      </c>
      <c r="B96" s="461" t="s">
        <v>235</v>
      </c>
      <c r="C96" s="461" t="s">
        <v>283</v>
      </c>
      <c r="D96" s="461" t="s">
        <v>56</v>
      </c>
      <c r="E96">
        <v>46</v>
      </c>
      <c r="F96">
        <v>4.75</v>
      </c>
      <c r="G96">
        <v>5.75</v>
      </c>
      <c r="H96">
        <v>35.5</v>
      </c>
    </row>
    <row r="97" spans="1:8" hidden="1" x14ac:dyDescent="0.35">
      <c r="A97" s="461" t="s">
        <v>192</v>
      </c>
      <c r="B97" s="461" t="s">
        <v>235</v>
      </c>
      <c r="C97" s="461" t="s">
        <v>284</v>
      </c>
      <c r="D97" s="461" t="s">
        <v>57</v>
      </c>
      <c r="E97">
        <v>64</v>
      </c>
      <c r="F97">
        <v>7.75</v>
      </c>
      <c r="G97">
        <v>8.75</v>
      </c>
      <c r="H97">
        <v>47.5</v>
      </c>
    </row>
    <row r="98" spans="1:8" hidden="1" x14ac:dyDescent="0.35">
      <c r="A98" s="461" t="s">
        <v>192</v>
      </c>
      <c r="B98" s="461" t="s">
        <v>235</v>
      </c>
      <c r="C98" s="461" t="s">
        <v>285</v>
      </c>
      <c r="D98" s="461" t="s">
        <v>58</v>
      </c>
      <c r="E98">
        <v>62.25</v>
      </c>
      <c r="F98">
        <v>8.25</v>
      </c>
      <c r="G98">
        <v>15</v>
      </c>
      <c r="H98">
        <v>39</v>
      </c>
    </row>
    <row r="99" spans="1:8" hidden="1" x14ac:dyDescent="0.35">
      <c r="A99" s="461" t="s">
        <v>192</v>
      </c>
      <c r="B99" s="461" t="s">
        <v>235</v>
      </c>
      <c r="C99" s="461" t="s">
        <v>291</v>
      </c>
      <c r="D99" s="461" t="s">
        <v>59</v>
      </c>
      <c r="E99">
        <v>16.75</v>
      </c>
      <c r="F99">
        <v>1.75</v>
      </c>
      <c r="G99">
        <v>1.75</v>
      </c>
      <c r="H99">
        <v>13.25</v>
      </c>
    </row>
    <row r="100" spans="1:8" hidden="1" x14ac:dyDescent="0.35">
      <c r="A100" s="461" t="s">
        <v>192</v>
      </c>
      <c r="B100" s="461" t="s">
        <v>235</v>
      </c>
      <c r="C100" s="461" t="s">
        <v>292</v>
      </c>
      <c r="D100" s="461" t="s">
        <v>60</v>
      </c>
      <c r="E100">
        <v>44.25</v>
      </c>
      <c r="F100">
        <v>4.25</v>
      </c>
      <c r="G100">
        <v>8.25</v>
      </c>
      <c r="H100">
        <v>31.75</v>
      </c>
    </row>
    <row r="101" spans="1:8" x14ac:dyDescent="0.35">
      <c r="A101" s="461" t="s">
        <v>258</v>
      </c>
      <c r="B101" s="461" t="s">
        <v>235</v>
      </c>
      <c r="C101" s="461" t="s">
        <v>286</v>
      </c>
      <c r="D101" s="461" t="s">
        <v>31</v>
      </c>
      <c r="E101">
        <v>5</v>
      </c>
      <c r="F101">
        <v>1</v>
      </c>
      <c r="G101">
        <v>1</v>
      </c>
      <c r="H101">
        <v>3</v>
      </c>
    </row>
    <row r="102" spans="1:8" x14ac:dyDescent="0.35">
      <c r="A102" s="461" t="s">
        <v>258</v>
      </c>
      <c r="B102" s="461" t="s">
        <v>235</v>
      </c>
      <c r="C102" s="461" t="s">
        <v>287</v>
      </c>
      <c r="D102" s="461" t="s">
        <v>32</v>
      </c>
      <c r="E102">
        <v>250</v>
      </c>
      <c r="F102">
        <v>24</v>
      </c>
      <c r="G102">
        <v>61</v>
      </c>
      <c r="H102">
        <v>165</v>
      </c>
    </row>
    <row r="103" spans="1:8" x14ac:dyDescent="0.35">
      <c r="A103" s="461" t="s">
        <v>258</v>
      </c>
      <c r="B103" s="461" t="s">
        <v>235</v>
      </c>
      <c r="C103" s="461" t="s">
        <v>17424</v>
      </c>
      <c r="D103" s="461" t="s">
        <v>266</v>
      </c>
      <c r="E103">
        <v>2546</v>
      </c>
      <c r="F103">
        <v>246</v>
      </c>
      <c r="G103">
        <v>499</v>
      </c>
      <c r="H103">
        <v>1800</v>
      </c>
    </row>
    <row r="104" spans="1:8" x14ac:dyDescent="0.35">
      <c r="A104" s="461" t="s">
        <v>258</v>
      </c>
      <c r="B104" s="461" t="s">
        <v>235</v>
      </c>
      <c r="C104" s="461" t="s">
        <v>293</v>
      </c>
      <c r="D104" s="461" t="s">
        <v>33</v>
      </c>
      <c r="E104">
        <v>78</v>
      </c>
      <c r="F104">
        <v>6</v>
      </c>
      <c r="G104">
        <v>14</v>
      </c>
      <c r="H104">
        <v>58</v>
      </c>
    </row>
    <row r="105" spans="1:8" x14ac:dyDescent="0.35">
      <c r="A105" s="461" t="s">
        <v>258</v>
      </c>
      <c r="B105" s="461" t="s">
        <v>235</v>
      </c>
      <c r="C105" s="461" t="s">
        <v>288</v>
      </c>
      <c r="D105" s="461" t="s">
        <v>34</v>
      </c>
      <c r="E105">
        <v>171</v>
      </c>
      <c r="F105">
        <v>13</v>
      </c>
      <c r="G105">
        <v>25</v>
      </c>
      <c r="H105">
        <v>133</v>
      </c>
    </row>
    <row r="106" spans="1:8" x14ac:dyDescent="0.35">
      <c r="A106" s="461" t="s">
        <v>258</v>
      </c>
      <c r="B106" s="461" t="s">
        <v>235</v>
      </c>
      <c r="C106" s="461" t="s">
        <v>289</v>
      </c>
      <c r="D106" s="461" t="s">
        <v>245</v>
      </c>
      <c r="E106">
        <v>9</v>
      </c>
      <c r="F106">
        <v>1</v>
      </c>
      <c r="G106">
        <v>1</v>
      </c>
      <c r="H106">
        <v>7</v>
      </c>
    </row>
    <row r="107" spans="1:8" x14ac:dyDescent="0.35">
      <c r="A107" s="461" t="s">
        <v>258</v>
      </c>
      <c r="B107" s="461" t="s">
        <v>235</v>
      </c>
      <c r="C107" s="461" t="s">
        <v>267</v>
      </c>
      <c r="D107" s="461" t="s">
        <v>35</v>
      </c>
      <c r="E107">
        <v>17</v>
      </c>
      <c r="F107">
        <v>2</v>
      </c>
      <c r="G107">
        <v>2</v>
      </c>
      <c r="H107">
        <v>13</v>
      </c>
    </row>
    <row r="108" spans="1:8" x14ac:dyDescent="0.35">
      <c r="A108" s="461" t="s">
        <v>258</v>
      </c>
      <c r="B108" s="461" t="s">
        <v>235</v>
      </c>
      <c r="C108" s="461" t="s">
        <v>268</v>
      </c>
      <c r="D108" s="461" t="s">
        <v>36</v>
      </c>
      <c r="E108">
        <v>177</v>
      </c>
      <c r="F108">
        <v>14</v>
      </c>
      <c r="G108">
        <v>34</v>
      </c>
      <c r="H108">
        <v>129</v>
      </c>
    </row>
    <row r="109" spans="1:8" x14ac:dyDescent="0.35">
      <c r="A109" s="461" t="s">
        <v>258</v>
      </c>
      <c r="B109" s="461" t="s">
        <v>235</v>
      </c>
      <c r="C109" s="461" t="s">
        <v>294</v>
      </c>
      <c r="D109" s="461" t="s">
        <v>37</v>
      </c>
      <c r="E109">
        <v>11</v>
      </c>
      <c r="F109">
        <v>1</v>
      </c>
      <c r="G109">
        <v>2</v>
      </c>
      <c r="H109">
        <v>8</v>
      </c>
    </row>
    <row r="110" spans="1:8" x14ac:dyDescent="0.35">
      <c r="A110" s="461" t="s">
        <v>258</v>
      </c>
      <c r="B110" s="461" t="s">
        <v>235</v>
      </c>
      <c r="C110" s="461" t="s">
        <v>269</v>
      </c>
      <c r="D110" s="461" t="s">
        <v>38</v>
      </c>
      <c r="E110">
        <v>69</v>
      </c>
      <c r="F110">
        <v>6</v>
      </c>
      <c r="G110">
        <v>9</v>
      </c>
      <c r="H110">
        <v>54</v>
      </c>
    </row>
    <row r="111" spans="1:8" x14ac:dyDescent="0.35">
      <c r="A111" s="461" t="s">
        <v>258</v>
      </c>
      <c r="B111" s="461" t="s">
        <v>235</v>
      </c>
      <c r="C111" s="461" t="s">
        <v>296</v>
      </c>
      <c r="D111" s="461" t="s">
        <v>39</v>
      </c>
      <c r="E111">
        <v>0</v>
      </c>
      <c r="F111">
        <v>0</v>
      </c>
      <c r="G111">
        <v>0</v>
      </c>
      <c r="H111">
        <v>0</v>
      </c>
    </row>
    <row r="112" spans="1:8" x14ac:dyDescent="0.35">
      <c r="A112" s="461" t="s">
        <v>258</v>
      </c>
      <c r="B112" s="461" t="s">
        <v>235</v>
      </c>
      <c r="C112" s="461" t="s">
        <v>270</v>
      </c>
      <c r="D112" s="461" t="s">
        <v>40</v>
      </c>
      <c r="E112">
        <v>45</v>
      </c>
      <c r="F112">
        <v>4</v>
      </c>
      <c r="G112">
        <v>11</v>
      </c>
      <c r="H112">
        <v>30</v>
      </c>
    </row>
    <row r="113" spans="1:8" x14ac:dyDescent="0.35">
      <c r="A113" s="461" t="s">
        <v>258</v>
      </c>
      <c r="B113" s="461" t="s">
        <v>235</v>
      </c>
      <c r="C113" s="461" t="s">
        <v>271</v>
      </c>
      <c r="D113" s="461" t="s">
        <v>41</v>
      </c>
      <c r="E113">
        <v>0</v>
      </c>
      <c r="F113">
        <v>0</v>
      </c>
      <c r="G113">
        <v>0</v>
      </c>
      <c r="H113">
        <v>0</v>
      </c>
    </row>
    <row r="114" spans="1:8" x14ac:dyDescent="0.35">
      <c r="A114" s="461" t="s">
        <v>258</v>
      </c>
      <c r="B114" s="461" t="s">
        <v>235</v>
      </c>
      <c r="C114" s="461" t="s">
        <v>273</v>
      </c>
      <c r="D114" s="461" t="s">
        <v>42</v>
      </c>
      <c r="E114">
        <v>39</v>
      </c>
      <c r="F114">
        <v>3</v>
      </c>
      <c r="G114">
        <v>7</v>
      </c>
      <c r="H114">
        <v>29</v>
      </c>
    </row>
    <row r="115" spans="1:8" x14ac:dyDescent="0.35">
      <c r="A115" s="461" t="s">
        <v>258</v>
      </c>
      <c r="B115" s="461" t="s">
        <v>235</v>
      </c>
      <c r="C115" s="461" t="s">
        <v>298</v>
      </c>
      <c r="D115" s="461" t="s">
        <v>43</v>
      </c>
      <c r="E115">
        <v>93</v>
      </c>
      <c r="F115">
        <v>9</v>
      </c>
      <c r="G115">
        <v>18</v>
      </c>
      <c r="H115">
        <v>66</v>
      </c>
    </row>
    <row r="116" spans="1:8" x14ac:dyDescent="0.35">
      <c r="A116" s="461" t="s">
        <v>258</v>
      </c>
      <c r="B116" s="461" t="s">
        <v>235</v>
      </c>
      <c r="C116" s="461" t="s">
        <v>297</v>
      </c>
      <c r="D116" s="461" t="s">
        <v>114</v>
      </c>
      <c r="E116">
        <v>0</v>
      </c>
      <c r="F116">
        <v>0</v>
      </c>
      <c r="G116">
        <v>0</v>
      </c>
      <c r="H116">
        <v>0</v>
      </c>
    </row>
    <row r="117" spans="1:8" x14ac:dyDescent="0.35">
      <c r="A117" s="461" t="s">
        <v>258</v>
      </c>
      <c r="B117" s="461" t="s">
        <v>235</v>
      </c>
      <c r="C117" s="461" t="s">
        <v>274</v>
      </c>
      <c r="D117" s="461" t="s">
        <v>44</v>
      </c>
      <c r="E117">
        <v>485</v>
      </c>
      <c r="F117">
        <v>50</v>
      </c>
      <c r="G117">
        <v>97</v>
      </c>
      <c r="H117">
        <v>338</v>
      </c>
    </row>
    <row r="118" spans="1:8" x14ac:dyDescent="0.35">
      <c r="A118" s="461" t="s">
        <v>258</v>
      </c>
      <c r="B118" s="461" t="s">
        <v>235</v>
      </c>
      <c r="C118" s="461" t="s">
        <v>275</v>
      </c>
      <c r="D118" s="461" t="s">
        <v>45</v>
      </c>
      <c r="E118">
        <v>31</v>
      </c>
      <c r="F118">
        <v>2</v>
      </c>
      <c r="G118">
        <v>5</v>
      </c>
      <c r="H118">
        <v>24</v>
      </c>
    </row>
    <row r="119" spans="1:8" x14ac:dyDescent="0.35">
      <c r="A119" s="461" t="s">
        <v>258</v>
      </c>
      <c r="B119" s="461" t="s">
        <v>235</v>
      </c>
      <c r="C119" s="461" t="s">
        <v>276</v>
      </c>
      <c r="D119" s="461" t="s">
        <v>46</v>
      </c>
      <c r="E119">
        <v>8</v>
      </c>
      <c r="F119">
        <v>1</v>
      </c>
      <c r="G119">
        <v>1</v>
      </c>
      <c r="H119">
        <v>6</v>
      </c>
    </row>
    <row r="120" spans="1:8" x14ac:dyDescent="0.35">
      <c r="A120" s="461" t="s">
        <v>258</v>
      </c>
      <c r="B120" s="461" t="s">
        <v>235</v>
      </c>
      <c r="C120" s="461" t="s">
        <v>277</v>
      </c>
      <c r="D120" s="461" t="s">
        <v>47</v>
      </c>
      <c r="E120">
        <v>112</v>
      </c>
      <c r="F120">
        <v>11</v>
      </c>
      <c r="G120">
        <v>22</v>
      </c>
      <c r="H120">
        <v>79</v>
      </c>
    </row>
    <row r="121" spans="1:8" x14ac:dyDescent="0.35">
      <c r="A121" s="461" t="s">
        <v>258</v>
      </c>
      <c r="B121" s="461" t="s">
        <v>235</v>
      </c>
      <c r="C121" s="461" t="s">
        <v>272</v>
      </c>
      <c r="D121" s="461" t="s">
        <v>48</v>
      </c>
      <c r="E121">
        <v>130</v>
      </c>
      <c r="F121">
        <v>12</v>
      </c>
      <c r="G121">
        <v>32</v>
      </c>
      <c r="H121">
        <v>86</v>
      </c>
    </row>
    <row r="122" spans="1:8" x14ac:dyDescent="0.35">
      <c r="A122" s="461" t="s">
        <v>258</v>
      </c>
      <c r="B122" s="461" t="s">
        <v>235</v>
      </c>
      <c r="C122" s="461" t="s">
        <v>278</v>
      </c>
      <c r="D122" s="461" t="s">
        <v>49</v>
      </c>
      <c r="E122">
        <v>89</v>
      </c>
      <c r="F122">
        <v>9</v>
      </c>
      <c r="G122">
        <v>10</v>
      </c>
      <c r="H122">
        <v>70</v>
      </c>
    </row>
    <row r="123" spans="1:8" x14ac:dyDescent="0.35">
      <c r="A123" s="461" t="s">
        <v>258</v>
      </c>
      <c r="B123" s="461" t="s">
        <v>235</v>
      </c>
      <c r="C123" s="461" t="s">
        <v>295</v>
      </c>
      <c r="D123" s="461" t="s">
        <v>50</v>
      </c>
      <c r="E123">
        <v>25</v>
      </c>
      <c r="F123">
        <v>3</v>
      </c>
      <c r="G123">
        <v>5</v>
      </c>
      <c r="H123">
        <v>17</v>
      </c>
    </row>
    <row r="124" spans="1:8" x14ac:dyDescent="0.35">
      <c r="A124" s="461" t="s">
        <v>258</v>
      </c>
      <c r="B124" s="461" t="s">
        <v>235</v>
      </c>
      <c r="C124" s="461" t="s">
        <v>279</v>
      </c>
      <c r="D124" s="461" t="s">
        <v>51</v>
      </c>
      <c r="E124">
        <v>92</v>
      </c>
      <c r="F124">
        <v>11</v>
      </c>
      <c r="G124">
        <v>20</v>
      </c>
      <c r="H124">
        <v>61</v>
      </c>
    </row>
    <row r="125" spans="1:8" x14ac:dyDescent="0.35">
      <c r="A125" s="461" t="s">
        <v>258</v>
      </c>
      <c r="B125" s="461" t="s">
        <v>235</v>
      </c>
      <c r="C125" s="461" t="s">
        <v>280</v>
      </c>
      <c r="D125" s="461" t="s">
        <v>52</v>
      </c>
      <c r="E125">
        <v>107</v>
      </c>
      <c r="F125">
        <v>8</v>
      </c>
      <c r="G125">
        <v>21</v>
      </c>
      <c r="H125">
        <v>78</v>
      </c>
    </row>
    <row r="126" spans="1:8" x14ac:dyDescent="0.35">
      <c r="A126" s="461" t="s">
        <v>258</v>
      </c>
      <c r="B126" s="461" t="s">
        <v>235</v>
      </c>
      <c r="C126" s="461" t="s">
        <v>290</v>
      </c>
      <c r="D126" s="461" t="s">
        <v>53</v>
      </c>
      <c r="E126">
        <v>10</v>
      </c>
      <c r="F126">
        <v>1</v>
      </c>
      <c r="G126">
        <v>1</v>
      </c>
      <c r="H126">
        <v>8</v>
      </c>
    </row>
    <row r="127" spans="1:8" x14ac:dyDescent="0.35">
      <c r="A127" s="461" t="s">
        <v>258</v>
      </c>
      <c r="B127" s="461" t="s">
        <v>235</v>
      </c>
      <c r="C127" s="461" t="s">
        <v>281</v>
      </c>
      <c r="D127" s="461" t="s">
        <v>54</v>
      </c>
      <c r="E127">
        <v>118</v>
      </c>
      <c r="F127">
        <v>12</v>
      </c>
      <c r="G127">
        <v>23</v>
      </c>
      <c r="H127">
        <v>83</v>
      </c>
    </row>
    <row r="128" spans="1:8" x14ac:dyDescent="0.35">
      <c r="A128" s="461" t="s">
        <v>258</v>
      </c>
      <c r="B128" s="461" t="s">
        <v>235</v>
      </c>
      <c r="C128" s="461" t="s">
        <v>282</v>
      </c>
      <c r="D128" s="461" t="s">
        <v>55</v>
      </c>
      <c r="E128">
        <v>112</v>
      </c>
      <c r="F128">
        <v>11</v>
      </c>
      <c r="G128">
        <v>25</v>
      </c>
      <c r="H128">
        <v>76</v>
      </c>
    </row>
    <row r="129" spans="1:8" x14ac:dyDescent="0.35">
      <c r="A129" s="461" t="s">
        <v>258</v>
      </c>
      <c r="B129" s="461" t="s">
        <v>235</v>
      </c>
      <c r="C129" s="461" t="s">
        <v>283</v>
      </c>
      <c r="D129" s="461" t="s">
        <v>56</v>
      </c>
      <c r="E129">
        <v>42</v>
      </c>
      <c r="F129">
        <v>5</v>
      </c>
      <c r="G129">
        <v>7</v>
      </c>
      <c r="H129">
        <v>30</v>
      </c>
    </row>
    <row r="130" spans="1:8" x14ac:dyDescent="0.35">
      <c r="A130" s="461" t="s">
        <v>258</v>
      </c>
      <c r="B130" s="461" t="s">
        <v>235</v>
      </c>
      <c r="C130" s="461" t="s">
        <v>284</v>
      </c>
      <c r="D130" s="461" t="s">
        <v>57</v>
      </c>
      <c r="E130">
        <v>64</v>
      </c>
      <c r="F130">
        <v>7</v>
      </c>
      <c r="G130">
        <v>8</v>
      </c>
      <c r="H130">
        <v>49</v>
      </c>
    </row>
    <row r="131" spans="1:8" x14ac:dyDescent="0.35">
      <c r="A131" s="461" t="s">
        <v>258</v>
      </c>
      <c r="B131" s="461" t="s">
        <v>235</v>
      </c>
      <c r="C131" s="461" t="s">
        <v>285</v>
      </c>
      <c r="D131" s="461" t="s">
        <v>58</v>
      </c>
      <c r="E131">
        <v>63</v>
      </c>
      <c r="F131">
        <v>7</v>
      </c>
      <c r="G131">
        <v>15</v>
      </c>
      <c r="H131">
        <v>41</v>
      </c>
    </row>
    <row r="132" spans="1:8" x14ac:dyDescent="0.35">
      <c r="A132" s="461" t="s">
        <v>258</v>
      </c>
      <c r="B132" s="461" t="s">
        <v>235</v>
      </c>
      <c r="C132" s="461" t="s">
        <v>291</v>
      </c>
      <c r="D132" s="461" t="s">
        <v>59</v>
      </c>
      <c r="E132">
        <v>12</v>
      </c>
      <c r="F132">
        <v>0</v>
      </c>
      <c r="G132">
        <v>0</v>
      </c>
      <c r="H132">
        <v>12</v>
      </c>
    </row>
    <row r="133" spans="1:8" x14ac:dyDescent="0.35">
      <c r="A133" s="461" t="s">
        <v>258</v>
      </c>
      <c r="B133" s="461" t="s">
        <v>235</v>
      </c>
      <c r="C133" s="461" t="s">
        <v>292</v>
      </c>
      <c r="D133" s="461" t="s">
        <v>60</v>
      </c>
      <c r="E133">
        <v>48</v>
      </c>
      <c r="F133">
        <v>4</v>
      </c>
      <c r="G133">
        <v>9</v>
      </c>
      <c r="H133">
        <v>35</v>
      </c>
    </row>
    <row r="134" spans="1:8" hidden="1" x14ac:dyDescent="0.35">
      <c r="A134" s="461" t="s">
        <v>242</v>
      </c>
      <c r="B134" s="461" t="s">
        <v>235</v>
      </c>
      <c r="C134" s="461" t="s">
        <v>286</v>
      </c>
      <c r="D134" s="461" t="s">
        <v>31</v>
      </c>
      <c r="E134">
        <v>6</v>
      </c>
      <c r="F134">
        <v>1</v>
      </c>
      <c r="G134">
        <v>1</v>
      </c>
      <c r="H134" s="806">
        <v>4</v>
      </c>
    </row>
    <row r="135" spans="1:8" hidden="1" x14ac:dyDescent="0.35">
      <c r="A135" s="461" t="s">
        <v>242</v>
      </c>
      <c r="B135" s="461" t="s">
        <v>235</v>
      </c>
      <c r="C135" s="461" t="s">
        <v>287</v>
      </c>
      <c r="D135" s="461" t="s">
        <v>32</v>
      </c>
      <c r="E135">
        <v>248</v>
      </c>
      <c r="F135">
        <v>23</v>
      </c>
      <c r="G135">
        <v>63</v>
      </c>
      <c r="H135">
        <v>162</v>
      </c>
    </row>
    <row r="136" spans="1:8" hidden="1" x14ac:dyDescent="0.35">
      <c r="A136" s="461" t="s">
        <v>242</v>
      </c>
      <c r="B136" s="461" t="s">
        <v>235</v>
      </c>
      <c r="C136" s="461" t="s">
        <v>17480</v>
      </c>
      <c r="D136" s="461" t="s">
        <v>266</v>
      </c>
      <c r="E136">
        <v>2545</v>
      </c>
      <c r="F136">
        <v>246</v>
      </c>
      <c r="G136">
        <v>477</v>
      </c>
      <c r="H136">
        <v>1822</v>
      </c>
    </row>
    <row r="137" spans="1:8" hidden="1" x14ac:dyDescent="0.35">
      <c r="A137" s="461" t="s">
        <v>242</v>
      </c>
      <c r="B137" s="461" t="s">
        <v>235</v>
      </c>
      <c r="C137" s="461" t="s">
        <v>293</v>
      </c>
      <c r="D137" s="461" t="s">
        <v>33</v>
      </c>
      <c r="E137">
        <v>80</v>
      </c>
      <c r="F137">
        <v>6</v>
      </c>
      <c r="G137">
        <v>14</v>
      </c>
      <c r="H137">
        <v>60</v>
      </c>
    </row>
    <row r="138" spans="1:8" hidden="1" x14ac:dyDescent="0.35">
      <c r="A138" s="461" t="s">
        <v>242</v>
      </c>
      <c r="B138" s="461" t="s">
        <v>235</v>
      </c>
      <c r="C138" s="461" t="s">
        <v>288</v>
      </c>
      <c r="D138" s="461" t="s">
        <v>34</v>
      </c>
      <c r="E138">
        <v>166</v>
      </c>
      <c r="F138">
        <v>14</v>
      </c>
      <c r="G138">
        <v>24</v>
      </c>
      <c r="H138">
        <v>128</v>
      </c>
    </row>
    <row r="139" spans="1:8" hidden="1" x14ac:dyDescent="0.35">
      <c r="A139" s="461" t="s">
        <v>242</v>
      </c>
      <c r="B139" s="461" t="s">
        <v>235</v>
      </c>
      <c r="C139" s="461" t="s">
        <v>289</v>
      </c>
      <c r="D139" s="461" t="s">
        <v>245</v>
      </c>
      <c r="E139">
        <v>8</v>
      </c>
      <c r="F139">
        <v>1</v>
      </c>
      <c r="G139">
        <v>1</v>
      </c>
      <c r="H139">
        <v>6</v>
      </c>
    </row>
    <row r="140" spans="1:8" hidden="1" x14ac:dyDescent="0.35">
      <c r="A140" s="461" t="s">
        <v>242</v>
      </c>
      <c r="B140" s="461" t="s">
        <v>235</v>
      </c>
      <c r="C140" s="461" t="s">
        <v>267</v>
      </c>
      <c r="D140" s="461" t="s">
        <v>35</v>
      </c>
      <c r="E140">
        <v>17</v>
      </c>
      <c r="F140">
        <v>2</v>
      </c>
      <c r="G140">
        <v>2</v>
      </c>
      <c r="H140">
        <v>13</v>
      </c>
    </row>
    <row r="141" spans="1:8" hidden="1" x14ac:dyDescent="0.35">
      <c r="A141" s="461" t="s">
        <v>242</v>
      </c>
      <c r="B141" s="461" t="s">
        <v>235</v>
      </c>
      <c r="C141" s="461" t="s">
        <v>268</v>
      </c>
      <c r="D141" s="461" t="s">
        <v>36</v>
      </c>
      <c r="E141">
        <v>167</v>
      </c>
      <c r="F141">
        <v>14</v>
      </c>
      <c r="G141">
        <v>31</v>
      </c>
      <c r="H141">
        <v>122</v>
      </c>
    </row>
    <row r="142" spans="1:8" hidden="1" x14ac:dyDescent="0.35">
      <c r="A142" s="461" t="s">
        <v>242</v>
      </c>
      <c r="B142" s="461" t="s">
        <v>235</v>
      </c>
      <c r="C142" s="461" t="s">
        <v>294</v>
      </c>
      <c r="D142" s="461" t="s">
        <v>37</v>
      </c>
      <c r="E142">
        <v>12</v>
      </c>
      <c r="F142">
        <v>1</v>
      </c>
      <c r="G142">
        <v>2</v>
      </c>
      <c r="H142">
        <v>9</v>
      </c>
    </row>
    <row r="143" spans="1:8" hidden="1" x14ac:dyDescent="0.35">
      <c r="A143" s="461" t="s">
        <v>242</v>
      </c>
      <c r="B143" s="461" t="s">
        <v>235</v>
      </c>
      <c r="C143" s="461" t="s">
        <v>269</v>
      </c>
      <c r="D143" s="461" t="s">
        <v>38</v>
      </c>
      <c r="E143">
        <v>69</v>
      </c>
      <c r="F143">
        <v>6</v>
      </c>
      <c r="G143">
        <v>7</v>
      </c>
      <c r="H143">
        <v>56</v>
      </c>
    </row>
    <row r="144" spans="1:8" hidden="1" x14ac:dyDescent="0.35">
      <c r="A144" s="461" t="s">
        <v>242</v>
      </c>
      <c r="B144" s="461" t="s">
        <v>235</v>
      </c>
      <c r="C144" s="461" t="s">
        <v>296</v>
      </c>
      <c r="D144" s="461" t="s">
        <v>39</v>
      </c>
      <c r="E144">
        <v>0</v>
      </c>
      <c r="F144">
        <v>0</v>
      </c>
      <c r="G144">
        <v>0</v>
      </c>
      <c r="H144">
        <v>0</v>
      </c>
    </row>
    <row r="145" spans="1:8" hidden="1" x14ac:dyDescent="0.35">
      <c r="A145" s="461" t="s">
        <v>242</v>
      </c>
      <c r="B145" s="461" t="s">
        <v>235</v>
      </c>
      <c r="C145" s="461" t="s">
        <v>270</v>
      </c>
      <c r="D145" s="461" t="s">
        <v>40</v>
      </c>
      <c r="E145">
        <v>48</v>
      </c>
      <c r="F145">
        <v>5</v>
      </c>
      <c r="G145">
        <v>9</v>
      </c>
      <c r="H145">
        <v>34</v>
      </c>
    </row>
    <row r="146" spans="1:8" hidden="1" x14ac:dyDescent="0.35">
      <c r="A146" s="461" t="s">
        <v>242</v>
      </c>
      <c r="B146" s="461" t="s">
        <v>235</v>
      </c>
      <c r="C146" s="461" t="s">
        <v>271</v>
      </c>
      <c r="D146" s="461" t="s">
        <v>41</v>
      </c>
      <c r="E146">
        <v>0</v>
      </c>
      <c r="F146">
        <v>0</v>
      </c>
      <c r="G146">
        <v>0</v>
      </c>
      <c r="H146">
        <v>0</v>
      </c>
    </row>
    <row r="147" spans="1:8" hidden="1" x14ac:dyDescent="0.35">
      <c r="A147" s="461" t="s">
        <v>242</v>
      </c>
      <c r="B147" s="461" t="s">
        <v>235</v>
      </c>
      <c r="C147" s="461" t="s">
        <v>273</v>
      </c>
      <c r="D147" s="461" t="s">
        <v>42</v>
      </c>
      <c r="E147">
        <v>40</v>
      </c>
      <c r="F147">
        <v>4</v>
      </c>
      <c r="G147">
        <v>8</v>
      </c>
      <c r="H147">
        <v>28</v>
      </c>
    </row>
    <row r="148" spans="1:8" hidden="1" x14ac:dyDescent="0.35">
      <c r="A148" s="461" t="s">
        <v>242</v>
      </c>
      <c r="B148" s="461" t="s">
        <v>235</v>
      </c>
      <c r="C148" s="461" t="s">
        <v>298</v>
      </c>
      <c r="D148" s="461" t="s">
        <v>43</v>
      </c>
      <c r="E148">
        <v>102</v>
      </c>
      <c r="F148">
        <v>9</v>
      </c>
      <c r="G148">
        <v>18</v>
      </c>
      <c r="H148">
        <v>75</v>
      </c>
    </row>
    <row r="149" spans="1:8" hidden="1" x14ac:dyDescent="0.35">
      <c r="A149" s="461" t="s">
        <v>242</v>
      </c>
      <c r="B149" s="461" t="s">
        <v>235</v>
      </c>
      <c r="C149" s="461" t="s">
        <v>297</v>
      </c>
      <c r="D149" s="461" t="s">
        <v>114</v>
      </c>
      <c r="E149">
        <v>0</v>
      </c>
      <c r="F149">
        <v>0</v>
      </c>
      <c r="G149">
        <v>0</v>
      </c>
      <c r="H149">
        <v>0</v>
      </c>
    </row>
    <row r="150" spans="1:8" hidden="1" x14ac:dyDescent="0.35">
      <c r="A150" s="461" t="s">
        <v>242</v>
      </c>
      <c r="B150" s="461" t="s">
        <v>235</v>
      </c>
      <c r="C150" s="461" t="s">
        <v>274</v>
      </c>
      <c r="D150" s="461" t="s">
        <v>44</v>
      </c>
      <c r="E150">
        <v>494</v>
      </c>
      <c r="F150">
        <v>53</v>
      </c>
      <c r="G150">
        <v>101</v>
      </c>
      <c r="H150">
        <v>340</v>
      </c>
    </row>
    <row r="151" spans="1:8" hidden="1" x14ac:dyDescent="0.35">
      <c r="A151" s="461" t="s">
        <v>242</v>
      </c>
      <c r="B151" s="461" t="s">
        <v>235</v>
      </c>
      <c r="C151" s="461" t="s">
        <v>275</v>
      </c>
      <c r="D151" s="461" t="s">
        <v>45</v>
      </c>
      <c r="E151">
        <v>34</v>
      </c>
      <c r="F151">
        <v>3</v>
      </c>
      <c r="G151">
        <v>5</v>
      </c>
      <c r="H151">
        <v>26</v>
      </c>
    </row>
    <row r="152" spans="1:8" hidden="1" x14ac:dyDescent="0.35">
      <c r="A152" s="461" t="s">
        <v>242</v>
      </c>
      <c r="B152" s="461" t="s">
        <v>235</v>
      </c>
      <c r="C152" s="461" t="s">
        <v>276</v>
      </c>
      <c r="D152" s="461" t="s">
        <v>46</v>
      </c>
      <c r="E152">
        <v>10</v>
      </c>
      <c r="F152">
        <v>1</v>
      </c>
      <c r="G152">
        <v>2</v>
      </c>
      <c r="H152">
        <v>7</v>
      </c>
    </row>
    <row r="153" spans="1:8" hidden="1" x14ac:dyDescent="0.35">
      <c r="A153" s="461" t="s">
        <v>242</v>
      </c>
      <c r="B153" s="461" t="s">
        <v>235</v>
      </c>
      <c r="C153" s="461" t="s">
        <v>277</v>
      </c>
      <c r="D153" s="461" t="s">
        <v>47</v>
      </c>
      <c r="E153">
        <v>111</v>
      </c>
      <c r="F153">
        <v>11</v>
      </c>
      <c r="G153">
        <v>24</v>
      </c>
      <c r="H153">
        <v>76</v>
      </c>
    </row>
    <row r="154" spans="1:8" hidden="1" x14ac:dyDescent="0.35">
      <c r="A154" s="461" t="s">
        <v>242</v>
      </c>
      <c r="B154" s="461" t="s">
        <v>235</v>
      </c>
      <c r="C154" s="461" t="s">
        <v>272</v>
      </c>
      <c r="D154" s="461" t="s">
        <v>48</v>
      </c>
      <c r="E154">
        <v>125</v>
      </c>
      <c r="F154">
        <v>13</v>
      </c>
      <c r="G154">
        <v>24</v>
      </c>
      <c r="H154">
        <v>88</v>
      </c>
    </row>
    <row r="155" spans="1:8" hidden="1" x14ac:dyDescent="0.35">
      <c r="A155" s="461" t="s">
        <v>242</v>
      </c>
      <c r="B155" s="461" t="s">
        <v>235</v>
      </c>
      <c r="C155" s="461" t="s">
        <v>278</v>
      </c>
      <c r="D155" s="461" t="s">
        <v>49</v>
      </c>
      <c r="E155">
        <v>92</v>
      </c>
      <c r="F155">
        <v>10</v>
      </c>
      <c r="G155">
        <v>9</v>
      </c>
      <c r="H155">
        <v>73</v>
      </c>
    </row>
    <row r="156" spans="1:8" hidden="1" x14ac:dyDescent="0.35">
      <c r="A156" s="461" t="s">
        <v>242</v>
      </c>
      <c r="B156" s="461" t="s">
        <v>235</v>
      </c>
      <c r="C156" s="461" t="s">
        <v>295</v>
      </c>
      <c r="D156" s="461" t="s">
        <v>50</v>
      </c>
      <c r="E156">
        <v>28</v>
      </c>
      <c r="F156">
        <v>2</v>
      </c>
      <c r="G156">
        <v>5</v>
      </c>
      <c r="H156">
        <v>21</v>
      </c>
    </row>
    <row r="157" spans="1:8" hidden="1" x14ac:dyDescent="0.35">
      <c r="A157" s="461" t="s">
        <v>242</v>
      </c>
      <c r="B157" s="461" t="s">
        <v>235</v>
      </c>
      <c r="C157" s="461" t="s">
        <v>279</v>
      </c>
      <c r="D157" s="461" t="s">
        <v>51</v>
      </c>
      <c r="E157">
        <v>99</v>
      </c>
      <c r="F157">
        <v>9</v>
      </c>
      <c r="G157">
        <v>22</v>
      </c>
      <c r="H157">
        <v>68</v>
      </c>
    </row>
    <row r="158" spans="1:8" hidden="1" x14ac:dyDescent="0.35">
      <c r="A158" s="461" t="s">
        <v>242</v>
      </c>
      <c r="B158" s="461" t="s">
        <v>235</v>
      </c>
      <c r="C158" s="461" t="s">
        <v>280</v>
      </c>
      <c r="D158" s="461" t="s">
        <v>52</v>
      </c>
      <c r="E158">
        <v>110</v>
      </c>
      <c r="F158">
        <v>8</v>
      </c>
      <c r="G158">
        <v>22</v>
      </c>
      <c r="H158">
        <v>80</v>
      </c>
    </row>
    <row r="159" spans="1:8" hidden="1" x14ac:dyDescent="0.35">
      <c r="A159" s="461" t="s">
        <v>242</v>
      </c>
      <c r="B159" s="461" t="s">
        <v>235</v>
      </c>
      <c r="C159" s="461" t="s">
        <v>290</v>
      </c>
      <c r="D159" s="461" t="s">
        <v>53</v>
      </c>
      <c r="E159">
        <v>13</v>
      </c>
      <c r="F159">
        <v>1</v>
      </c>
      <c r="G159">
        <v>2</v>
      </c>
      <c r="H159">
        <v>10</v>
      </c>
    </row>
    <row r="160" spans="1:8" hidden="1" x14ac:dyDescent="0.35">
      <c r="A160" s="461" t="s">
        <v>242</v>
      </c>
      <c r="B160" s="461" t="s">
        <v>235</v>
      </c>
      <c r="C160" s="461" t="s">
        <v>281</v>
      </c>
      <c r="D160" s="461" t="s">
        <v>54</v>
      </c>
      <c r="E160">
        <v>118</v>
      </c>
      <c r="F160">
        <v>12</v>
      </c>
      <c r="G160">
        <v>24</v>
      </c>
      <c r="H160">
        <v>82</v>
      </c>
    </row>
    <row r="161" spans="1:8" hidden="1" x14ac:dyDescent="0.35">
      <c r="A161" s="461" t="s">
        <v>242</v>
      </c>
      <c r="B161" s="461" t="s">
        <v>235</v>
      </c>
      <c r="C161" s="461" t="s">
        <v>282</v>
      </c>
      <c r="D161" s="461" t="s">
        <v>55</v>
      </c>
      <c r="E161">
        <v>110</v>
      </c>
      <c r="F161">
        <v>11</v>
      </c>
      <c r="G161">
        <v>23</v>
      </c>
      <c r="H161">
        <v>76</v>
      </c>
    </row>
    <row r="162" spans="1:8" hidden="1" x14ac:dyDescent="0.35">
      <c r="A162" s="461" t="s">
        <v>242</v>
      </c>
      <c r="B162" s="461" t="s">
        <v>235</v>
      </c>
      <c r="C162" s="461" t="s">
        <v>283</v>
      </c>
      <c r="D162" s="461" t="s">
        <v>56</v>
      </c>
      <c r="E162">
        <v>44</v>
      </c>
      <c r="F162">
        <v>5</v>
      </c>
      <c r="G162">
        <v>5</v>
      </c>
      <c r="H162">
        <v>34</v>
      </c>
    </row>
    <row r="163" spans="1:8" hidden="1" x14ac:dyDescent="0.35">
      <c r="A163" s="461" t="s">
        <v>242</v>
      </c>
      <c r="B163" s="461" t="s">
        <v>235</v>
      </c>
      <c r="C163" s="461" t="s">
        <v>284</v>
      </c>
      <c r="D163" s="461" t="s">
        <v>57</v>
      </c>
      <c r="E163">
        <v>66</v>
      </c>
      <c r="F163">
        <v>9</v>
      </c>
      <c r="G163">
        <v>7</v>
      </c>
      <c r="H163">
        <v>50</v>
      </c>
    </row>
    <row r="164" spans="1:8" hidden="1" x14ac:dyDescent="0.35">
      <c r="A164" s="461" t="s">
        <v>242</v>
      </c>
      <c r="B164" s="461" t="s">
        <v>235</v>
      </c>
      <c r="C164" s="461" t="s">
        <v>285</v>
      </c>
      <c r="D164" s="461" t="s">
        <v>58</v>
      </c>
      <c r="E164">
        <v>66</v>
      </c>
      <c r="F164">
        <v>8</v>
      </c>
      <c r="G164">
        <v>14</v>
      </c>
      <c r="H164">
        <v>44</v>
      </c>
    </row>
    <row r="165" spans="1:8" hidden="1" x14ac:dyDescent="0.35">
      <c r="A165" s="461" t="s">
        <v>242</v>
      </c>
      <c r="B165" s="461" t="s">
        <v>235</v>
      </c>
      <c r="C165" s="461" t="s">
        <v>291</v>
      </c>
      <c r="D165" s="461" t="s">
        <v>59</v>
      </c>
      <c r="E165">
        <v>16</v>
      </c>
      <c r="F165">
        <v>2</v>
      </c>
      <c r="G165">
        <v>2</v>
      </c>
      <c r="H165">
        <v>12</v>
      </c>
    </row>
    <row r="166" spans="1:8" hidden="1" x14ac:dyDescent="0.35">
      <c r="A166" s="461" t="s">
        <v>242</v>
      </c>
      <c r="B166" s="461" t="s">
        <v>235</v>
      </c>
      <c r="C166" s="461" t="s">
        <v>292</v>
      </c>
      <c r="D166" s="461" t="s">
        <v>60</v>
      </c>
      <c r="E166">
        <v>49</v>
      </c>
      <c r="F166">
        <v>4</v>
      </c>
      <c r="G166">
        <v>9</v>
      </c>
      <c r="H166">
        <v>36</v>
      </c>
    </row>
    <row r="167" spans="1:8" hidden="1" x14ac:dyDescent="0.35">
      <c r="A167" s="461" t="s">
        <v>241</v>
      </c>
      <c r="B167" s="461" t="s">
        <v>235</v>
      </c>
      <c r="C167" s="461" t="s">
        <v>286</v>
      </c>
      <c r="D167" s="461" t="s">
        <v>31</v>
      </c>
      <c r="E167">
        <v>6.75</v>
      </c>
      <c r="F167">
        <v>1</v>
      </c>
      <c r="G167">
        <v>2.5</v>
      </c>
      <c r="H167">
        <v>3.25</v>
      </c>
    </row>
    <row r="168" spans="1:8" hidden="1" x14ac:dyDescent="0.35">
      <c r="A168" s="461" t="s">
        <v>241</v>
      </c>
      <c r="B168" s="461" t="s">
        <v>235</v>
      </c>
      <c r="C168" s="461" t="s">
        <v>287</v>
      </c>
      <c r="D168" s="461" t="s">
        <v>32</v>
      </c>
      <c r="E168">
        <v>255.25</v>
      </c>
      <c r="F168">
        <v>22.5</v>
      </c>
      <c r="G168">
        <v>62.5</v>
      </c>
      <c r="H168">
        <v>170.25</v>
      </c>
    </row>
    <row r="169" spans="1:8" hidden="1" x14ac:dyDescent="0.35">
      <c r="A169" s="461" t="s">
        <v>241</v>
      </c>
      <c r="B169" s="461" t="s">
        <v>235</v>
      </c>
      <c r="C169" s="461"/>
      <c r="D169" s="461" t="s">
        <v>186</v>
      </c>
      <c r="E169">
        <v>2583.98</v>
      </c>
      <c r="F169">
        <v>241.25</v>
      </c>
      <c r="G169">
        <v>478.93</v>
      </c>
      <c r="H169">
        <v>1863.8</v>
      </c>
    </row>
    <row r="170" spans="1:8" hidden="1" x14ac:dyDescent="0.35">
      <c r="A170" s="461" t="s">
        <v>241</v>
      </c>
      <c r="B170" s="461" t="s">
        <v>235</v>
      </c>
      <c r="C170" s="461" t="s">
        <v>293</v>
      </c>
      <c r="D170" s="461" t="s">
        <v>33</v>
      </c>
      <c r="E170">
        <v>84</v>
      </c>
      <c r="F170">
        <v>6</v>
      </c>
      <c r="G170">
        <v>12.5</v>
      </c>
      <c r="H170">
        <v>65.5</v>
      </c>
    </row>
    <row r="171" spans="1:8" hidden="1" x14ac:dyDescent="0.35">
      <c r="A171" s="461" t="s">
        <v>241</v>
      </c>
      <c r="B171" s="461" t="s">
        <v>235</v>
      </c>
      <c r="C171" s="461" t="s">
        <v>288</v>
      </c>
      <c r="D171" s="461" t="s">
        <v>34</v>
      </c>
      <c r="E171">
        <v>163.75</v>
      </c>
      <c r="F171">
        <v>13.25</v>
      </c>
      <c r="G171">
        <v>23</v>
      </c>
      <c r="H171">
        <v>127.5</v>
      </c>
    </row>
    <row r="172" spans="1:8" hidden="1" x14ac:dyDescent="0.35">
      <c r="A172" s="461" t="s">
        <v>241</v>
      </c>
      <c r="B172" s="461" t="s">
        <v>235</v>
      </c>
      <c r="C172" s="461" t="s">
        <v>289</v>
      </c>
      <c r="D172" s="461" t="s">
        <v>245</v>
      </c>
      <c r="G172">
        <v>1.25</v>
      </c>
      <c r="H172">
        <v>4.25</v>
      </c>
    </row>
    <row r="173" spans="1:8" hidden="1" x14ac:dyDescent="0.35">
      <c r="A173" s="461" t="s">
        <v>241</v>
      </c>
      <c r="B173" s="461" t="s">
        <v>235</v>
      </c>
      <c r="C173" s="461" t="s">
        <v>267</v>
      </c>
      <c r="D173" s="461" t="s">
        <v>35</v>
      </c>
      <c r="E173">
        <v>15</v>
      </c>
      <c r="F173">
        <v>1.25</v>
      </c>
      <c r="G173">
        <v>2.75</v>
      </c>
      <c r="H173">
        <v>11</v>
      </c>
    </row>
    <row r="174" spans="1:8" hidden="1" x14ac:dyDescent="0.35">
      <c r="A174" s="461" t="s">
        <v>241</v>
      </c>
      <c r="B174" s="461" t="s">
        <v>235</v>
      </c>
      <c r="C174" s="461" t="s">
        <v>268</v>
      </c>
      <c r="D174" s="461" t="s">
        <v>17411</v>
      </c>
      <c r="E174">
        <v>173.25</v>
      </c>
      <c r="F174">
        <v>15.25</v>
      </c>
      <c r="G174">
        <v>31</v>
      </c>
      <c r="H174">
        <v>127</v>
      </c>
    </row>
    <row r="175" spans="1:8" hidden="1" x14ac:dyDescent="0.35">
      <c r="A175" s="461" t="s">
        <v>241</v>
      </c>
      <c r="B175" s="461" t="s">
        <v>235</v>
      </c>
      <c r="C175" s="461" t="s">
        <v>294</v>
      </c>
      <c r="D175" s="461" t="s">
        <v>37</v>
      </c>
      <c r="E175">
        <v>10.25</v>
      </c>
      <c r="F175">
        <v>1</v>
      </c>
      <c r="G175">
        <v>1.5</v>
      </c>
      <c r="H175">
        <v>7.75</v>
      </c>
    </row>
    <row r="176" spans="1:8" hidden="1" x14ac:dyDescent="0.35">
      <c r="A176" s="461" t="s">
        <v>241</v>
      </c>
      <c r="B176" s="461" t="s">
        <v>235</v>
      </c>
      <c r="C176" s="461" t="s">
        <v>269</v>
      </c>
      <c r="D176" s="461" t="s">
        <v>38</v>
      </c>
      <c r="E176">
        <v>62</v>
      </c>
      <c r="F176">
        <v>4.5</v>
      </c>
      <c r="G176">
        <v>8.25</v>
      </c>
      <c r="H176">
        <v>49.25</v>
      </c>
    </row>
    <row r="177" spans="1:8" hidden="1" x14ac:dyDescent="0.35">
      <c r="A177" s="461" t="s">
        <v>241</v>
      </c>
      <c r="B177" s="461" t="s">
        <v>235</v>
      </c>
      <c r="C177" s="461" t="s">
        <v>270</v>
      </c>
      <c r="D177" s="461" t="s">
        <v>40</v>
      </c>
      <c r="E177">
        <v>51</v>
      </c>
      <c r="F177">
        <v>4</v>
      </c>
      <c r="G177">
        <v>10.5</v>
      </c>
      <c r="H177">
        <v>36.5</v>
      </c>
    </row>
    <row r="178" spans="1:8" hidden="1" x14ac:dyDescent="0.35">
      <c r="A178" s="461" t="s">
        <v>241</v>
      </c>
      <c r="B178" s="461" t="s">
        <v>235</v>
      </c>
      <c r="C178" s="461" t="s">
        <v>273</v>
      </c>
      <c r="D178" s="461" t="s">
        <v>42</v>
      </c>
      <c r="E178">
        <v>41</v>
      </c>
      <c r="F178">
        <v>4</v>
      </c>
      <c r="G178">
        <v>7.75</v>
      </c>
      <c r="H178">
        <v>29.25</v>
      </c>
    </row>
    <row r="179" spans="1:8" hidden="1" x14ac:dyDescent="0.35">
      <c r="A179" s="461" t="s">
        <v>241</v>
      </c>
      <c r="B179" s="461" t="s">
        <v>235</v>
      </c>
      <c r="C179" s="461" t="s">
        <v>298</v>
      </c>
      <c r="D179" s="461" t="s">
        <v>43</v>
      </c>
      <c r="E179">
        <v>101.48000000000002</v>
      </c>
      <c r="F179">
        <v>8.75</v>
      </c>
      <c r="G179">
        <v>17.93</v>
      </c>
      <c r="H179">
        <v>74.800000000000011</v>
      </c>
    </row>
    <row r="180" spans="1:8" hidden="1" x14ac:dyDescent="0.35">
      <c r="A180" s="461" t="s">
        <v>241</v>
      </c>
      <c r="B180" s="461" t="s">
        <v>235</v>
      </c>
      <c r="C180" s="461" t="s">
        <v>274</v>
      </c>
      <c r="D180" s="461" t="s">
        <v>44</v>
      </c>
      <c r="E180">
        <v>503</v>
      </c>
      <c r="F180">
        <v>53.5</v>
      </c>
      <c r="G180">
        <v>96.25</v>
      </c>
      <c r="H180">
        <v>353.25</v>
      </c>
    </row>
    <row r="181" spans="1:8" hidden="1" x14ac:dyDescent="0.35">
      <c r="A181" s="461" t="s">
        <v>241</v>
      </c>
      <c r="B181" s="461" t="s">
        <v>235</v>
      </c>
      <c r="C181" s="461" t="s">
        <v>275</v>
      </c>
      <c r="D181" s="461" t="s">
        <v>45</v>
      </c>
      <c r="E181">
        <v>36.5</v>
      </c>
      <c r="F181">
        <v>2.75</v>
      </c>
      <c r="G181">
        <v>4.75</v>
      </c>
      <c r="H181">
        <v>29</v>
      </c>
    </row>
    <row r="182" spans="1:8" hidden="1" x14ac:dyDescent="0.35">
      <c r="A182" s="461" t="s">
        <v>241</v>
      </c>
      <c r="B182" s="461" t="s">
        <v>235</v>
      </c>
      <c r="C182" s="461" t="s">
        <v>276</v>
      </c>
      <c r="D182" s="461" t="s">
        <v>46</v>
      </c>
      <c r="E182">
        <v>11</v>
      </c>
      <c r="F182">
        <v>1</v>
      </c>
      <c r="G182">
        <v>2.5</v>
      </c>
      <c r="H182">
        <v>7.5</v>
      </c>
    </row>
    <row r="183" spans="1:8" hidden="1" x14ac:dyDescent="0.35">
      <c r="A183" s="461" t="s">
        <v>241</v>
      </c>
      <c r="B183" s="461" t="s">
        <v>235</v>
      </c>
      <c r="C183" s="461" t="s">
        <v>277</v>
      </c>
      <c r="D183" s="461" t="s">
        <v>47</v>
      </c>
      <c r="E183">
        <v>109.25</v>
      </c>
      <c r="F183">
        <v>10.25</v>
      </c>
      <c r="G183">
        <v>24.25</v>
      </c>
      <c r="H183">
        <v>74.75</v>
      </c>
    </row>
    <row r="184" spans="1:8" hidden="1" x14ac:dyDescent="0.35">
      <c r="A184" s="461" t="s">
        <v>241</v>
      </c>
      <c r="B184" s="461" t="s">
        <v>235</v>
      </c>
      <c r="C184" s="461" t="s">
        <v>272</v>
      </c>
      <c r="D184" s="461" t="s">
        <v>48</v>
      </c>
      <c r="E184">
        <v>126.75</v>
      </c>
      <c r="F184">
        <v>12.5</v>
      </c>
      <c r="G184">
        <v>24.25</v>
      </c>
      <c r="H184">
        <v>90</v>
      </c>
    </row>
    <row r="185" spans="1:8" hidden="1" x14ac:dyDescent="0.35">
      <c r="A185" s="461" t="s">
        <v>241</v>
      </c>
      <c r="B185" s="461" t="s">
        <v>235</v>
      </c>
      <c r="C185" s="461" t="s">
        <v>278</v>
      </c>
      <c r="D185" s="461" t="s">
        <v>49</v>
      </c>
      <c r="E185">
        <v>90.75</v>
      </c>
      <c r="F185">
        <v>10.75</v>
      </c>
      <c r="G185">
        <v>9.5</v>
      </c>
      <c r="H185">
        <v>70.5</v>
      </c>
    </row>
    <row r="186" spans="1:8" hidden="1" x14ac:dyDescent="0.35">
      <c r="A186" s="461" t="s">
        <v>241</v>
      </c>
      <c r="B186" s="461" t="s">
        <v>235</v>
      </c>
      <c r="C186" s="461" t="s">
        <v>295</v>
      </c>
      <c r="D186" s="461" t="s">
        <v>50</v>
      </c>
      <c r="E186">
        <v>25.5</v>
      </c>
      <c r="F186">
        <v>2.5</v>
      </c>
      <c r="G186">
        <v>4.75</v>
      </c>
      <c r="H186">
        <v>18.25</v>
      </c>
    </row>
    <row r="187" spans="1:8" hidden="1" x14ac:dyDescent="0.35">
      <c r="A187" s="461" t="s">
        <v>241</v>
      </c>
      <c r="B187" s="461" t="s">
        <v>235</v>
      </c>
      <c r="C187" s="461" t="s">
        <v>279</v>
      </c>
      <c r="D187" s="461" t="s">
        <v>51</v>
      </c>
      <c r="E187">
        <v>106.5</v>
      </c>
      <c r="F187">
        <v>8.5</v>
      </c>
      <c r="G187">
        <v>23</v>
      </c>
      <c r="H187">
        <v>75</v>
      </c>
    </row>
    <row r="188" spans="1:8" hidden="1" x14ac:dyDescent="0.35">
      <c r="A188" s="461" t="s">
        <v>241</v>
      </c>
      <c r="B188" s="461" t="s">
        <v>235</v>
      </c>
      <c r="C188" s="461" t="s">
        <v>280</v>
      </c>
      <c r="D188" s="461" t="s">
        <v>52</v>
      </c>
      <c r="E188">
        <v>112</v>
      </c>
      <c r="F188">
        <v>9.25</v>
      </c>
      <c r="G188">
        <v>20.25</v>
      </c>
      <c r="H188">
        <v>82.5</v>
      </c>
    </row>
    <row r="189" spans="1:8" hidden="1" x14ac:dyDescent="0.35">
      <c r="A189" s="461" t="s">
        <v>241</v>
      </c>
      <c r="B189" s="461" t="s">
        <v>235</v>
      </c>
      <c r="C189" s="461" t="s">
        <v>290</v>
      </c>
      <c r="D189" s="461" t="s">
        <v>53</v>
      </c>
      <c r="E189">
        <v>12.25</v>
      </c>
      <c r="F189">
        <v>0.75</v>
      </c>
      <c r="G189">
        <v>1.5</v>
      </c>
      <c r="H189">
        <v>10</v>
      </c>
    </row>
    <row r="190" spans="1:8" hidden="1" x14ac:dyDescent="0.35">
      <c r="A190" s="461" t="s">
        <v>241</v>
      </c>
      <c r="B190" s="461" t="s">
        <v>235</v>
      </c>
      <c r="C190" s="461" t="s">
        <v>281</v>
      </c>
      <c r="D190" s="461" t="s">
        <v>54</v>
      </c>
      <c r="E190">
        <v>117.75</v>
      </c>
      <c r="F190">
        <v>11</v>
      </c>
      <c r="G190">
        <v>24.75</v>
      </c>
      <c r="H190">
        <v>82</v>
      </c>
    </row>
    <row r="191" spans="1:8" hidden="1" x14ac:dyDescent="0.35">
      <c r="A191" s="461" t="s">
        <v>241</v>
      </c>
      <c r="B191" s="461" t="s">
        <v>235</v>
      </c>
      <c r="C191" s="461" t="s">
        <v>282</v>
      </c>
      <c r="D191" s="461" t="s">
        <v>55</v>
      </c>
      <c r="E191">
        <v>118.25</v>
      </c>
      <c r="F191">
        <v>11.75</v>
      </c>
      <c r="G191">
        <v>23.75</v>
      </c>
      <c r="H191">
        <v>82.75</v>
      </c>
    </row>
    <row r="192" spans="1:8" hidden="1" x14ac:dyDescent="0.35">
      <c r="A192" s="461" t="s">
        <v>241</v>
      </c>
      <c r="B192" s="461" t="s">
        <v>235</v>
      </c>
      <c r="C192" s="461" t="s">
        <v>283</v>
      </c>
      <c r="D192" s="461" t="s">
        <v>56</v>
      </c>
      <c r="E192">
        <v>50.75</v>
      </c>
      <c r="F192">
        <v>5</v>
      </c>
      <c r="G192">
        <v>6.25</v>
      </c>
      <c r="H192">
        <v>39.5</v>
      </c>
    </row>
    <row r="193" spans="1:8" hidden="1" x14ac:dyDescent="0.35">
      <c r="A193" s="461" t="s">
        <v>241</v>
      </c>
      <c r="B193" s="461" t="s">
        <v>235</v>
      </c>
      <c r="C193" s="461" t="s">
        <v>284</v>
      </c>
      <c r="D193" s="461" t="s">
        <v>57</v>
      </c>
      <c r="E193">
        <v>65.25</v>
      </c>
      <c r="F193">
        <v>7.25</v>
      </c>
      <c r="G193">
        <v>7.25</v>
      </c>
      <c r="H193">
        <v>50.75</v>
      </c>
    </row>
    <row r="194" spans="1:8" hidden="1" x14ac:dyDescent="0.35">
      <c r="A194" s="461" t="s">
        <v>241</v>
      </c>
      <c r="B194" s="461" t="s">
        <v>235</v>
      </c>
      <c r="C194" s="461" t="s">
        <v>285</v>
      </c>
      <c r="D194" s="461" t="s">
        <v>58</v>
      </c>
      <c r="E194">
        <v>66.5</v>
      </c>
      <c r="F194">
        <v>7.5</v>
      </c>
      <c r="G194">
        <v>14.25</v>
      </c>
      <c r="H194">
        <v>44.75</v>
      </c>
    </row>
    <row r="195" spans="1:8" hidden="1" x14ac:dyDescent="0.35">
      <c r="A195" s="461" t="s">
        <v>241</v>
      </c>
      <c r="B195" s="461" t="s">
        <v>235</v>
      </c>
      <c r="C195" s="461" t="s">
        <v>291</v>
      </c>
      <c r="D195" s="461" t="s">
        <v>59</v>
      </c>
      <c r="E195">
        <v>17.5</v>
      </c>
      <c r="F195">
        <v>1.75</v>
      </c>
      <c r="G195">
        <v>1.5</v>
      </c>
      <c r="H195">
        <v>14.25</v>
      </c>
    </row>
    <row r="196" spans="1:8" hidden="1" x14ac:dyDescent="0.35">
      <c r="A196" s="461" t="s">
        <v>241</v>
      </c>
      <c r="B196" s="461" t="s">
        <v>235</v>
      </c>
      <c r="C196" s="461" t="s">
        <v>292</v>
      </c>
      <c r="D196" s="461" t="s">
        <v>60</v>
      </c>
      <c r="E196">
        <v>45.25</v>
      </c>
      <c r="F196">
        <v>3.75</v>
      </c>
      <c r="G196">
        <v>8.75</v>
      </c>
      <c r="H196">
        <v>32.75</v>
      </c>
    </row>
    <row r="197" spans="1:8" hidden="1" x14ac:dyDescent="0.35">
      <c r="A197" s="461" t="s">
        <v>773</v>
      </c>
      <c r="B197" s="461" t="s">
        <v>235</v>
      </c>
      <c r="C197" s="461" t="s">
        <v>355</v>
      </c>
      <c r="D197" s="461" t="s">
        <v>31</v>
      </c>
      <c r="E197">
        <v>6.5</v>
      </c>
      <c r="F197">
        <v>1</v>
      </c>
      <c r="G197">
        <v>2.5</v>
      </c>
      <c r="H197">
        <v>3</v>
      </c>
    </row>
    <row r="198" spans="1:8" hidden="1" x14ac:dyDescent="0.35">
      <c r="A198" s="461" t="s">
        <v>773</v>
      </c>
      <c r="B198" s="461" t="s">
        <v>235</v>
      </c>
      <c r="C198" s="461" t="s">
        <v>355</v>
      </c>
      <c r="D198" s="461" t="s">
        <v>32</v>
      </c>
      <c r="E198">
        <v>252.5</v>
      </c>
      <c r="F198">
        <v>22.5</v>
      </c>
      <c r="G198">
        <v>58</v>
      </c>
      <c r="H198">
        <v>172</v>
      </c>
    </row>
    <row r="199" spans="1:8" hidden="1" x14ac:dyDescent="0.35">
      <c r="A199" s="461" t="s">
        <v>773</v>
      </c>
      <c r="B199" s="461" t="s">
        <v>235</v>
      </c>
      <c r="C199" s="461"/>
      <c r="D199" s="461" t="s">
        <v>186</v>
      </c>
      <c r="E199">
        <v>2551.73</v>
      </c>
      <c r="F199">
        <v>236.5</v>
      </c>
      <c r="G199">
        <v>459.92999999999995</v>
      </c>
      <c r="H199">
        <v>1855.3</v>
      </c>
    </row>
    <row r="200" spans="1:8" hidden="1" x14ac:dyDescent="0.35">
      <c r="A200" s="461" t="s">
        <v>773</v>
      </c>
      <c r="B200" s="461" t="s">
        <v>235</v>
      </c>
      <c r="C200" s="461" t="s">
        <v>355</v>
      </c>
      <c r="D200" s="461" t="s">
        <v>33</v>
      </c>
      <c r="E200">
        <v>86.5</v>
      </c>
      <c r="F200">
        <v>6</v>
      </c>
      <c r="G200">
        <v>13.75</v>
      </c>
      <c r="H200">
        <v>66.75</v>
      </c>
    </row>
    <row r="201" spans="1:8" hidden="1" x14ac:dyDescent="0.35">
      <c r="A201" s="461" t="s">
        <v>773</v>
      </c>
      <c r="B201" s="461" t="s">
        <v>235</v>
      </c>
      <c r="C201" s="461" t="s">
        <v>354</v>
      </c>
      <c r="D201" s="461" t="s">
        <v>34</v>
      </c>
      <c r="E201">
        <v>160.5</v>
      </c>
      <c r="F201">
        <v>11.75</v>
      </c>
      <c r="G201">
        <v>22.25</v>
      </c>
      <c r="H201">
        <v>126.5</v>
      </c>
    </row>
    <row r="202" spans="1:8" hidden="1" x14ac:dyDescent="0.35">
      <c r="A202" s="461" t="s">
        <v>773</v>
      </c>
      <c r="B202" s="461" t="s">
        <v>235</v>
      </c>
      <c r="C202" s="461" t="s">
        <v>353</v>
      </c>
      <c r="D202" s="461" t="s">
        <v>245</v>
      </c>
      <c r="E202">
        <v>4.75</v>
      </c>
      <c r="F202">
        <v>0.75</v>
      </c>
      <c r="G202">
        <v>1</v>
      </c>
      <c r="H202">
        <v>3</v>
      </c>
    </row>
    <row r="203" spans="1:8" hidden="1" x14ac:dyDescent="0.35">
      <c r="A203" s="461" t="s">
        <v>773</v>
      </c>
      <c r="B203" s="461" t="s">
        <v>235</v>
      </c>
      <c r="C203" s="461" t="s">
        <v>353</v>
      </c>
      <c r="D203" s="461" t="s">
        <v>35</v>
      </c>
      <c r="E203">
        <v>19</v>
      </c>
      <c r="F203">
        <v>2.25</v>
      </c>
      <c r="G203">
        <v>3.5</v>
      </c>
      <c r="H203">
        <v>13.25</v>
      </c>
    </row>
    <row r="204" spans="1:8" hidden="1" x14ac:dyDescent="0.35">
      <c r="A204" s="461" t="s">
        <v>773</v>
      </c>
      <c r="B204" s="461" t="s">
        <v>235</v>
      </c>
      <c r="C204" s="461" t="s">
        <v>354</v>
      </c>
      <c r="D204" s="461" t="s">
        <v>17411</v>
      </c>
      <c r="E204">
        <v>163</v>
      </c>
      <c r="F204">
        <v>14.25</v>
      </c>
      <c r="G204">
        <v>29.75</v>
      </c>
      <c r="H204">
        <v>119</v>
      </c>
    </row>
    <row r="205" spans="1:8" hidden="1" x14ac:dyDescent="0.35">
      <c r="A205" s="461" t="s">
        <v>773</v>
      </c>
      <c r="B205" s="461" t="s">
        <v>235</v>
      </c>
      <c r="C205" s="461" t="s">
        <v>355</v>
      </c>
      <c r="D205" s="461" t="s">
        <v>37</v>
      </c>
      <c r="E205">
        <v>10.25</v>
      </c>
      <c r="F205">
        <v>1</v>
      </c>
      <c r="G205">
        <v>1.5</v>
      </c>
      <c r="H205">
        <v>7.75</v>
      </c>
    </row>
    <row r="206" spans="1:8" hidden="1" x14ac:dyDescent="0.35">
      <c r="A206" s="461" t="s">
        <v>773</v>
      </c>
      <c r="B206" s="461" t="s">
        <v>235</v>
      </c>
      <c r="C206" s="461" t="s">
        <v>354</v>
      </c>
      <c r="D206" s="461" t="s">
        <v>38</v>
      </c>
      <c r="E206">
        <v>64</v>
      </c>
      <c r="F206">
        <v>6</v>
      </c>
      <c r="G206">
        <v>6.75</v>
      </c>
      <c r="H206">
        <v>51.25</v>
      </c>
    </row>
    <row r="207" spans="1:8" hidden="1" x14ac:dyDescent="0.35">
      <c r="A207" s="461" t="s">
        <v>773</v>
      </c>
      <c r="B207" s="461" t="s">
        <v>235</v>
      </c>
      <c r="C207" s="461" t="s">
        <v>353</v>
      </c>
      <c r="D207" s="461" t="s">
        <v>40</v>
      </c>
      <c r="E207">
        <v>52.25</v>
      </c>
      <c r="F207">
        <v>4</v>
      </c>
      <c r="G207">
        <v>10.25</v>
      </c>
      <c r="H207">
        <v>38</v>
      </c>
    </row>
    <row r="208" spans="1:8" hidden="1" x14ac:dyDescent="0.35">
      <c r="A208" s="461" t="s">
        <v>773</v>
      </c>
      <c r="B208" s="461" t="s">
        <v>235</v>
      </c>
      <c r="C208" s="461" t="s">
        <v>353</v>
      </c>
      <c r="D208" s="461" t="s">
        <v>42</v>
      </c>
      <c r="E208">
        <v>42.5</v>
      </c>
      <c r="F208">
        <v>3</v>
      </c>
      <c r="G208">
        <v>7.5</v>
      </c>
      <c r="H208">
        <v>32</v>
      </c>
    </row>
    <row r="209" spans="1:8" hidden="1" x14ac:dyDescent="0.35">
      <c r="A209" s="461" t="s">
        <v>773</v>
      </c>
      <c r="B209" s="461" t="s">
        <v>235</v>
      </c>
      <c r="C209" s="461" t="s">
        <v>353</v>
      </c>
      <c r="D209" s="461" t="s">
        <v>43</v>
      </c>
      <c r="E209">
        <v>97.22999999999999</v>
      </c>
      <c r="F209">
        <v>8.75</v>
      </c>
      <c r="G209">
        <v>17.18</v>
      </c>
      <c r="H209">
        <v>71.3</v>
      </c>
    </row>
    <row r="210" spans="1:8" hidden="1" x14ac:dyDescent="0.35">
      <c r="A210" s="461" t="s">
        <v>773</v>
      </c>
      <c r="B210" s="461" t="s">
        <v>235</v>
      </c>
      <c r="C210" s="461" t="s">
        <v>355</v>
      </c>
      <c r="D210" s="461" t="s">
        <v>44</v>
      </c>
      <c r="E210">
        <v>476.75</v>
      </c>
      <c r="F210">
        <v>49.5</v>
      </c>
      <c r="G210">
        <v>87</v>
      </c>
      <c r="H210">
        <v>340.25</v>
      </c>
    </row>
    <row r="211" spans="1:8" hidden="1" x14ac:dyDescent="0.35">
      <c r="A211" s="461" t="s">
        <v>773</v>
      </c>
      <c r="B211" s="461" t="s">
        <v>235</v>
      </c>
      <c r="C211" s="461" t="s">
        <v>354</v>
      </c>
      <c r="D211" s="461" t="s">
        <v>45</v>
      </c>
      <c r="E211">
        <v>34.5</v>
      </c>
      <c r="F211">
        <v>2.75</v>
      </c>
      <c r="G211">
        <v>4.75</v>
      </c>
      <c r="H211">
        <v>27</v>
      </c>
    </row>
    <row r="212" spans="1:8" hidden="1" x14ac:dyDescent="0.35">
      <c r="A212" s="461" t="s">
        <v>773</v>
      </c>
      <c r="B212" s="461" t="s">
        <v>235</v>
      </c>
      <c r="C212" s="461" t="s">
        <v>353</v>
      </c>
      <c r="D212" s="461" t="s">
        <v>46</v>
      </c>
      <c r="E212">
        <v>10.5</v>
      </c>
      <c r="F212">
        <v>1</v>
      </c>
      <c r="G212">
        <v>1.5</v>
      </c>
      <c r="H212">
        <v>8</v>
      </c>
    </row>
    <row r="213" spans="1:8" hidden="1" x14ac:dyDescent="0.35">
      <c r="A213" s="461" t="s">
        <v>773</v>
      </c>
      <c r="B213" s="461" t="s">
        <v>235</v>
      </c>
      <c r="C213" s="461" t="s">
        <v>355</v>
      </c>
      <c r="D213" s="461" t="s">
        <v>47</v>
      </c>
      <c r="E213">
        <v>109</v>
      </c>
      <c r="F213">
        <v>9.75</v>
      </c>
      <c r="G213">
        <v>23.75</v>
      </c>
      <c r="H213">
        <v>75.5</v>
      </c>
    </row>
    <row r="214" spans="1:8" hidden="1" x14ac:dyDescent="0.35">
      <c r="A214" s="461" t="s">
        <v>773</v>
      </c>
      <c r="B214" s="461" t="s">
        <v>235</v>
      </c>
      <c r="C214" s="461" t="s">
        <v>355</v>
      </c>
      <c r="D214" s="461" t="s">
        <v>48</v>
      </c>
      <c r="E214">
        <v>127.75</v>
      </c>
      <c r="F214">
        <v>13.5</v>
      </c>
      <c r="G214">
        <v>28.75</v>
      </c>
      <c r="H214">
        <v>85.5</v>
      </c>
    </row>
    <row r="215" spans="1:8" hidden="1" x14ac:dyDescent="0.35">
      <c r="A215" s="461" t="s">
        <v>773</v>
      </c>
      <c r="B215" s="461" t="s">
        <v>235</v>
      </c>
      <c r="C215" s="461" t="s">
        <v>354</v>
      </c>
      <c r="D215" s="461" t="s">
        <v>49</v>
      </c>
      <c r="E215">
        <v>88.25</v>
      </c>
      <c r="F215">
        <v>10.5</v>
      </c>
      <c r="G215">
        <v>9.5</v>
      </c>
      <c r="H215">
        <v>68.25</v>
      </c>
    </row>
    <row r="216" spans="1:8" hidden="1" x14ac:dyDescent="0.35">
      <c r="A216" s="461" t="s">
        <v>773</v>
      </c>
      <c r="B216" s="461" t="s">
        <v>235</v>
      </c>
      <c r="C216" s="461" t="s">
        <v>354</v>
      </c>
      <c r="D216" s="461" t="s">
        <v>50</v>
      </c>
      <c r="E216">
        <v>27</v>
      </c>
      <c r="F216">
        <v>2.5</v>
      </c>
      <c r="G216">
        <v>3.75</v>
      </c>
      <c r="H216">
        <v>20.75</v>
      </c>
    </row>
    <row r="217" spans="1:8" hidden="1" x14ac:dyDescent="0.35">
      <c r="A217" s="461" t="s">
        <v>773</v>
      </c>
      <c r="B217" s="461" t="s">
        <v>235</v>
      </c>
      <c r="C217" s="461" t="s">
        <v>355</v>
      </c>
      <c r="D217" s="461" t="s">
        <v>51</v>
      </c>
      <c r="E217">
        <v>106.25</v>
      </c>
      <c r="F217">
        <v>8.75</v>
      </c>
      <c r="G217">
        <v>22</v>
      </c>
      <c r="H217">
        <v>75.5</v>
      </c>
    </row>
    <row r="218" spans="1:8" hidden="1" x14ac:dyDescent="0.35">
      <c r="A218" s="461" t="s">
        <v>773</v>
      </c>
      <c r="B218" s="461" t="s">
        <v>235</v>
      </c>
      <c r="C218" s="461" t="s">
        <v>355</v>
      </c>
      <c r="D218" s="461" t="s">
        <v>52</v>
      </c>
      <c r="E218">
        <v>112.25</v>
      </c>
      <c r="F218">
        <v>9.25</v>
      </c>
      <c r="G218">
        <v>19.75</v>
      </c>
      <c r="H218">
        <v>83.25</v>
      </c>
    </row>
    <row r="219" spans="1:8" hidden="1" x14ac:dyDescent="0.35">
      <c r="A219" s="461" t="s">
        <v>773</v>
      </c>
      <c r="B219" s="461" t="s">
        <v>235</v>
      </c>
      <c r="C219" s="461" t="s">
        <v>354</v>
      </c>
      <c r="D219" s="461" t="s">
        <v>53</v>
      </c>
      <c r="E219">
        <v>11</v>
      </c>
      <c r="F219">
        <v>0.75</v>
      </c>
      <c r="G219">
        <v>1.5</v>
      </c>
      <c r="H219">
        <v>8.75</v>
      </c>
    </row>
    <row r="220" spans="1:8" hidden="1" x14ac:dyDescent="0.35">
      <c r="A220" s="461" t="s">
        <v>773</v>
      </c>
      <c r="B220" s="461" t="s">
        <v>235</v>
      </c>
      <c r="C220" s="461" t="s">
        <v>353</v>
      </c>
      <c r="D220" s="461" t="s">
        <v>54</v>
      </c>
      <c r="E220">
        <v>120.75</v>
      </c>
      <c r="F220">
        <v>10.75</v>
      </c>
      <c r="G220">
        <v>24.75</v>
      </c>
      <c r="H220">
        <v>85.25</v>
      </c>
    </row>
    <row r="221" spans="1:8" hidden="1" x14ac:dyDescent="0.35">
      <c r="A221" s="461" t="s">
        <v>773</v>
      </c>
      <c r="B221" s="461" t="s">
        <v>235</v>
      </c>
      <c r="C221" s="461" t="s">
        <v>355</v>
      </c>
      <c r="D221" s="461" t="s">
        <v>55</v>
      </c>
      <c r="E221">
        <v>121</v>
      </c>
      <c r="F221">
        <v>10.75</v>
      </c>
      <c r="G221">
        <v>22.75</v>
      </c>
      <c r="H221">
        <v>87.5</v>
      </c>
    </row>
    <row r="222" spans="1:8" hidden="1" x14ac:dyDescent="0.35">
      <c r="A222" s="461" t="s">
        <v>773</v>
      </c>
      <c r="B222" s="461" t="s">
        <v>235</v>
      </c>
      <c r="C222" s="461" t="s">
        <v>354</v>
      </c>
      <c r="D222" s="461" t="s">
        <v>56</v>
      </c>
      <c r="E222">
        <v>46.5</v>
      </c>
      <c r="F222">
        <v>4.5</v>
      </c>
      <c r="G222">
        <v>6.5</v>
      </c>
      <c r="H222">
        <v>35.5</v>
      </c>
    </row>
    <row r="223" spans="1:8" hidden="1" x14ac:dyDescent="0.35">
      <c r="A223" s="461" t="s">
        <v>773</v>
      </c>
      <c r="B223" s="461" t="s">
        <v>235</v>
      </c>
      <c r="C223" s="461" t="s">
        <v>354</v>
      </c>
      <c r="D223" s="461" t="s">
        <v>57</v>
      </c>
      <c r="E223">
        <v>70.25</v>
      </c>
      <c r="F223">
        <v>6.5</v>
      </c>
      <c r="G223">
        <v>7.25</v>
      </c>
      <c r="H223">
        <v>56.5</v>
      </c>
    </row>
    <row r="224" spans="1:8" hidden="1" x14ac:dyDescent="0.35">
      <c r="A224" s="461" t="s">
        <v>773</v>
      </c>
      <c r="B224" s="461" t="s">
        <v>235</v>
      </c>
      <c r="C224" s="461" t="s">
        <v>353</v>
      </c>
      <c r="D224" s="461" t="s">
        <v>58</v>
      </c>
      <c r="E224">
        <v>65</v>
      </c>
      <c r="F224">
        <v>8.25</v>
      </c>
      <c r="G224">
        <v>12.75</v>
      </c>
      <c r="H224">
        <v>44</v>
      </c>
    </row>
    <row r="225" spans="1:8" hidden="1" x14ac:dyDescent="0.35">
      <c r="A225" s="461" t="s">
        <v>773</v>
      </c>
      <c r="B225" s="461" t="s">
        <v>235</v>
      </c>
      <c r="C225" s="461" t="s">
        <v>354</v>
      </c>
      <c r="D225" s="461" t="s">
        <v>59</v>
      </c>
      <c r="E225">
        <v>16.25</v>
      </c>
      <c r="F225">
        <v>1.5</v>
      </c>
      <c r="G225">
        <v>1.5</v>
      </c>
      <c r="H225">
        <v>13.25</v>
      </c>
    </row>
    <row r="226" spans="1:8" hidden="1" x14ac:dyDescent="0.35">
      <c r="A226" s="461" t="s">
        <v>773</v>
      </c>
      <c r="B226" s="461" t="s">
        <v>235</v>
      </c>
      <c r="C226" s="461" t="s">
        <v>353</v>
      </c>
      <c r="D226" s="461" t="s">
        <v>60</v>
      </c>
      <c r="E226">
        <v>49.75</v>
      </c>
      <c r="F226">
        <v>4.75</v>
      </c>
      <c r="G226">
        <v>8.25</v>
      </c>
      <c r="H226">
        <v>36.75</v>
      </c>
    </row>
    <row r="227" spans="1:8" hidden="1" x14ac:dyDescent="0.35">
      <c r="A227" s="461" t="s">
        <v>951</v>
      </c>
      <c r="B227" s="461" t="s">
        <v>235</v>
      </c>
      <c r="C227" s="461" t="s">
        <v>355</v>
      </c>
      <c r="D227" s="461" t="s">
        <v>31</v>
      </c>
      <c r="E227">
        <v>8.5</v>
      </c>
      <c r="F227">
        <v>1</v>
      </c>
      <c r="G227">
        <v>2.5</v>
      </c>
      <c r="H227">
        <v>5</v>
      </c>
    </row>
    <row r="228" spans="1:8" hidden="1" x14ac:dyDescent="0.35">
      <c r="A228" t="s">
        <v>951</v>
      </c>
      <c r="B228" t="s">
        <v>235</v>
      </c>
      <c r="C228" t="s">
        <v>355</v>
      </c>
      <c r="D228" t="s">
        <v>32</v>
      </c>
      <c r="E228">
        <v>251.75</v>
      </c>
      <c r="F228">
        <v>22.75</v>
      </c>
      <c r="G228">
        <v>60.25</v>
      </c>
      <c r="H228">
        <v>168.75</v>
      </c>
    </row>
    <row r="229" spans="1:8" hidden="1" x14ac:dyDescent="0.35">
      <c r="A229" t="s">
        <v>951</v>
      </c>
      <c r="B229" t="s">
        <v>235</v>
      </c>
      <c r="D229" t="s">
        <v>186</v>
      </c>
      <c r="E229">
        <v>2482.48</v>
      </c>
      <c r="F229">
        <v>236</v>
      </c>
      <c r="G229">
        <v>461.93</v>
      </c>
      <c r="H229">
        <v>1784.55</v>
      </c>
    </row>
    <row r="230" spans="1:8" hidden="1" x14ac:dyDescent="0.35">
      <c r="A230" s="461" t="s">
        <v>951</v>
      </c>
      <c r="B230" s="461" t="s">
        <v>235</v>
      </c>
      <c r="C230" s="461" t="s">
        <v>355</v>
      </c>
      <c r="D230" s="461" t="s">
        <v>33</v>
      </c>
      <c r="E230">
        <v>87.25</v>
      </c>
      <c r="F230">
        <v>7</v>
      </c>
      <c r="G230">
        <v>14</v>
      </c>
      <c r="H230">
        <v>66.25</v>
      </c>
    </row>
    <row r="231" spans="1:8" hidden="1" x14ac:dyDescent="0.35">
      <c r="A231" s="461" t="s">
        <v>951</v>
      </c>
      <c r="B231" s="461" t="s">
        <v>235</v>
      </c>
      <c r="C231" s="461" t="s">
        <v>354</v>
      </c>
      <c r="D231" s="461" t="s">
        <v>34</v>
      </c>
      <c r="E231">
        <v>156</v>
      </c>
      <c r="F231">
        <v>13</v>
      </c>
      <c r="G231">
        <v>23.25</v>
      </c>
      <c r="H231">
        <v>119.75</v>
      </c>
    </row>
    <row r="232" spans="1:8" hidden="1" x14ac:dyDescent="0.35">
      <c r="A232" s="461" t="s">
        <v>951</v>
      </c>
      <c r="B232" s="461" t="s">
        <v>235</v>
      </c>
      <c r="C232" s="461" t="s">
        <v>353</v>
      </c>
      <c r="D232" s="461" t="s">
        <v>245</v>
      </c>
      <c r="E232">
        <v>4.75</v>
      </c>
      <c r="F232">
        <v>0.5</v>
      </c>
      <c r="G232">
        <v>0.5</v>
      </c>
      <c r="H232">
        <v>3.75</v>
      </c>
    </row>
    <row r="233" spans="1:8" hidden="1" x14ac:dyDescent="0.35">
      <c r="A233" s="461" t="s">
        <v>951</v>
      </c>
      <c r="B233" s="461" t="s">
        <v>235</v>
      </c>
      <c r="C233" s="461" t="s">
        <v>353</v>
      </c>
      <c r="D233" s="461" t="s">
        <v>35</v>
      </c>
      <c r="E233">
        <v>20.25</v>
      </c>
      <c r="F233">
        <v>1.5</v>
      </c>
      <c r="G233">
        <v>2.75</v>
      </c>
      <c r="H233">
        <v>16</v>
      </c>
    </row>
    <row r="234" spans="1:8" hidden="1" x14ac:dyDescent="0.35">
      <c r="A234" s="461" t="s">
        <v>951</v>
      </c>
      <c r="B234" s="461" t="s">
        <v>235</v>
      </c>
      <c r="C234" s="461" t="s">
        <v>354</v>
      </c>
      <c r="D234" s="461" t="s">
        <v>17411</v>
      </c>
      <c r="E234">
        <v>159</v>
      </c>
      <c r="F234">
        <v>14.25</v>
      </c>
      <c r="G234">
        <v>31</v>
      </c>
      <c r="H234">
        <v>113.75</v>
      </c>
    </row>
    <row r="235" spans="1:8" hidden="1" x14ac:dyDescent="0.35">
      <c r="A235" s="461" t="s">
        <v>951</v>
      </c>
      <c r="B235" s="461" t="s">
        <v>235</v>
      </c>
      <c r="C235" s="461" t="s">
        <v>355</v>
      </c>
      <c r="D235" s="461" t="s">
        <v>37</v>
      </c>
      <c r="E235">
        <v>9.5</v>
      </c>
      <c r="F235">
        <v>1</v>
      </c>
      <c r="G235">
        <v>1.5</v>
      </c>
      <c r="H235">
        <v>7</v>
      </c>
    </row>
    <row r="236" spans="1:8" hidden="1" x14ac:dyDescent="0.35">
      <c r="A236" s="461" t="s">
        <v>951</v>
      </c>
      <c r="B236" s="461" t="s">
        <v>235</v>
      </c>
      <c r="C236" s="461" t="s">
        <v>354</v>
      </c>
      <c r="D236" s="461" t="s">
        <v>38</v>
      </c>
      <c r="E236">
        <v>63.5</v>
      </c>
      <c r="F236">
        <v>6</v>
      </c>
      <c r="G236">
        <v>6.75</v>
      </c>
      <c r="H236">
        <v>50.75</v>
      </c>
    </row>
    <row r="237" spans="1:8" hidden="1" x14ac:dyDescent="0.35">
      <c r="A237" s="461" t="s">
        <v>951</v>
      </c>
      <c r="B237" s="461" t="s">
        <v>235</v>
      </c>
      <c r="C237" s="461" t="s">
        <v>353</v>
      </c>
      <c r="D237" s="461" t="s">
        <v>40</v>
      </c>
      <c r="E237">
        <v>50.75</v>
      </c>
      <c r="F237">
        <v>4.25</v>
      </c>
      <c r="G237">
        <v>10</v>
      </c>
      <c r="H237">
        <v>36.5</v>
      </c>
    </row>
    <row r="238" spans="1:8" hidden="1" x14ac:dyDescent="0.35">
      <c r="A238" s="461" t="s">
        <v>951</v>
      </c>
      <c r="B238" s="461" t="s">
        <v>235</v>
      </c>
      <c r="C238" s="461" t="s">
        <v>353</v>
      </c>
      <c r="D238" s="461" t="s">
        <v>42</v>
      </c>
      <c r="E238">
        <v>42</v>
      </c>
      <c r="F238">
        <v>3.75</v>
      </c>
      <c r="G238">
        <v>6.75</v>
      </c>
      <c r="H238">
        <v>31.5</v>
      </c>
    </row>
    <row r="239" spans="1:8" hidden="1" x14ac:dyDescent="0.35">
      <c r="A239" s="461" t="s">
        <v>951</v>
      </c>
      <c r="B239" s="461" t="s">
        <v>235</v>
      </c>
      <c r="C239" s="461" t="s">
        <v>353</v>
      </c>
      <c r="D239" s="461" t="s">
        <v>43</v>
      </c>
      <c r="E239">
        <v>92.22999999999999</v>
      </c>
      <c r="F239">
        <v>7.75</v>
      </c>
      <c r="G239">
        <v>18.43</v>
      </c>
      <c r="H239">
        <v>66.05</v>
      </c>
    </row>
    <row r="240" spans="1:8" hidden="1" x14ac:dyDescent="0.35">
      <c r="A240" s="461" t="s">
        <v>951</v>
      </c>
      <c r="B240" s="461" t="s">
        <v>235</v>
      </c>
      <c r="C240" s="461" t="s">
        <v>355</v>
      </c>
      <c r="D240" s="461" t="s">
        <v>44</v>
      </c>
      <c r="E240">
        <v>449.5</v>
      </c>
      <c r="F240">
        <v>48.25</v>
      </c>
      <c r="G240">
        <v>89.75</v>
      </c>
      <c r="H240">
        <v>311.5</v>
      </c>
    </row>
    <row r="241" spans="1:8" hidden="1" x14ac:dyDescent="0.35">
      <c r="A241" s="461" t="s">
        <v>951</v>
      </c>
      <c r="B241" s="461" t="s">
        <v>235</v>
      </c>
      <c r="C241" s="461" t="s">
        <v>354</v>
      </c>
      <c r="D241" s="461" t="s">
        <v>45</v>
      </c>
      <c r="E241">
        <v>35.75</v>
      </c>
      <c r="F241">
        <v>2.25</v>
      </c>
      <c r="G241">
        <v>4.75</v>
      </c>
      <c r="H241">
        <v>28.75</v>
      </c>
    </row>
    <row r="242" spans="1:8" hidden="1" x14ac:dyDescent="0.35">
      <c r="A242" s="461" t="s">
        <v>951</v>
      </c>
      <c r="B242" s="461" t="s">
        <v>235</v>
      </c>
      <c r="C242" s="461" t="s">
        <v>353</v>
      </c>
      <c r="D242" s="461" t="s">
        <v>46</v>
      </c>
      <c r="E242">
        <v>9</v>
      </c>
      <c r="F242">
        <v>1</v>
      </c>
      <c r="G242">
        <v>1.5</v>
      </c>
      <c r="H242">
        <v>6.5</v>
      </c>
    </row>
    <row r="243" spans="1:8" hidden="1" x14ac:dyDescent="0.35">
      <c r="A243" s="461" t="s">
        <v>951</v>
      </c>
      <c r="B243" s="461" t="s">
        <v>235</v>
      </c>
      <c r="C243" s="461" t="s">
        <v>355</v>
      </c>
      <c r="D243" s="461" t="s">
        <v>47</v>
      </c>
      <c r="E243">
        <v>102.25</v>
      </c>
      <c r="F243">
        <v>9.75</v>
      </c>
      <c r="G243">
        <v>23.5</v>
      </c>
      <c r="H243">
        <v>69</v>
      </c>
    </row>
    <row r="244" spans="1:8" hidden="1" x14ac:dyDescent="0.35">
      <c r="A244" s="461" t="s">
        <v>951</v>
      </c>
      <c r="B244" s="461" t="s">
        <v>235</v>
      </c>
      <c r="C244" s="461" t="s">
        <v>355</v>
      </c>
      <c r="D244" s="461" t="s">
        <v>48</v>
      </c>
      <c r="E244">
        <v>123.75</v>
      </c>
      <c r="F244">
        <v>14</v>
      </c>
      <c r="G244">
        <v>26.25</v>
      </c>
      <c r="H244">
        <v>83.5</v>
      </c>
    </row>
    <row r="245" spans="1:8" hidden="1" x14ac:dyDescent="0.35">
      <c r="A245" s="461" t="s">
        <v>951</v>
      </c>
      <c r="B245" s="461" t="s">
        <v>235</v>
      </c>
      <c r="C245" s="461" t="s">
        <v>354</v>
      </c>
      <c r="D245" s="461" t="s">
        <v>49</v>
      </c>
      <c r="E245">
        <v>85</v>
      </c>
      <c r="F245">
        <v>9.75</v>
      </c>
      <c r="G245">
        <v>9.5</v>
      </c>
      <c r="H245">
        <v>65.75</v>
      </c>
    </row>
    <row r="246" spans="1:8" hidden="1" x14ac:dyDescent="0.35">
      <c r="A246" s="461" t="s">
        <v>951</v>
      </c>
      <c r="B246" s="461" t="s">
        <v>235</v>
      </c>
      <c r="C246" s="461" t="s">
        <v>354</v>
      </c>
      <c r="D246" s="461" t="s">
        <v>50</v>
      </c>
      <c r="E246">
        <v>27.25</v>
      </c>
      <c r="F246">
        <v>2</v>
      </c>
      <c r="G246">
        <v>4.5</v>
      </c>
      <c r="H246">
        <v>20.75</v>
      </c>
    </row>
    <row r="247" spans="1:8" hidden="1" x14ac:dyDescent="0.35">
      <c r="A247" s="461" t="s">
        <v>951</v>
      </c>
      <c r="B247" s="461" t="s">
        <v>235</v>
      </c>
      <c r="C247" s="461" t="s">
        <v>355</v>
      </c>
      <c r="D247" s="461" t="s">
        <v>51</v>
      </c>
      <c r="E247">
        <v>108.75</v>
      </c>
      <c r="F247">
        <v>7.25</v>
      </c>
      <c r="G247">
        <v>21</v>
      </c>
      <c r="H247">
        <v>80.5</v>
      </c>
    </row>
    <row r="248" spans="1:8" hidden="1" x14ac:dyDescent="0.35">
      <c r="A248" s="461" t="s">
        <v>951</v>
      </c>
      <c r="B248" s="461" t="s">
        <v>235</v>
      </c>
      <c r="C248" s="461" t="s">
        <v>355</v>
      </c>
      <c r="D248" s="461" t="s">
        <v>52</v>
      </c>
      <c r="E248">
        <v>110.25</v>
      </c>
      <c r="F248">
        <v>9.25</v>
      </c>
      <c r="G248">
        <v>19.25</v>
      </c>
      <c r="H248">
        <v>81.75</v>
      </c>
    </row>
    <row r="249" spans="1:8" hidden="1" x14ac:dyDescent="0.35">
      <c r="A249" s="461" t="s">
        <v>951</v>
      </c>
      <c r="B249" s="461" t="s">
        <v>235</v>
      </c>
      <c r="C249" s="461" t="s">
        <v>354</v>
      </c>
      <c r="D249" s="461" t="s">
        <v>53</v>
      </c>
      <c r="E249">
        <v>9.5</v>
      </c>
      <c r="F249">
        <v>1.5</v>
      </c>
      <c r="G249">
        <v>0.75</v>
      </c>
      <c r="H249">
        <v>7.25</v>
      </c>
    </row>
    <row r="250" spans="1:8" hidden="1" x14ac:dyDescent="0.35">
      <c r="A250" s="461" t="s">
        <v>951</v>
      </c>
      <c r="B250" s="461" t="s">
        <v>235</v>
      </c>
      <c r="C250" s="461" t="s">
        <v>353</v>
      </c>
      <c r="D250" s="461" t="s">
        <v>54</v>
      </c>
      <c r="E250">
        <v>121.75</v>
      </c>
      <c r="F250">
        <v>10.25</v>
      </c>
      <c r="G250">
        <v>26.5</v>
      </c>
      <c r="H250">
        <v>85</v>
      </c>
    </row>
    <row r="251" spans="1:8" hidden="1" x14ac:dyDescent="0.35">
      <c r="A251" s="461" t="s">
        <v>951</v>
      </c>
      <c r="B251" s="461" t="s">
        <v>235</v>
      </c>
      <c r="C251" s="461" t="s">
        <v>355</v>
      </c>
      <c r="D251" s="461" t="s">
        <v>55</v>
      </c>
      <c r="E251">
        <v>117.5</v>
      </c>
      <c r="F251">
        <v>11.5</v>
      </c>
      <c r="G251">
        <v>23.75</v>
      </c>
      <c r="H251">
        <v>82.25</v>
      </c>
    </row>
    <row r="252" spans="1:8" hidden="1" x14ac:dyDescent="0.35">
      <c r="A252" s="461" t="s">
        <v>951</v>
      </c>
      <c r="B252" s="461" t="s">
        <v>235</v>
      </c>
      <c r="C252" s="461" t="s">
        <v>354</v>
      </c>
      <c r="D252" s="461" t="s">
        <v>56</v>
      </c>
      <c r="E252">
        <v>43</v>
      </c>
      <c r="F252">
        <v>3.5</v>
      </c>
      <c r="G252">
        <v>5.75</v>
      </c>
      <c r="H252">
        <v>33.75</v>
      </c>
    </row>
    <row r="253" spans="1:8" hidden="1" x14ac:dyDescent="0.35">
      <c r="A253" s="461" t="s">
        <v>951</v>
      </c>
      <c r="B253" s="461" t="s">
        <v>235</v>
      </c>
      <c r="C253" s="461" t="s">
        <v>354</v>
      </c>
      <c r="D253" s="461" t="s">
        <v>57</v>
      </c>
      <c r="E253">
        <v>67</v>
      </c>
      <c r="F253">
        <v>8.75</v>
      </c>
      <c r="G253">
        <v>5.75</v>
      </c>
      <c r="H253">
        <v>52.5</v>
      </c>
    </row>
    <row r="254" spans="1:8" hidden="1" x14ac:dyDescent="0.35">
      <c r="A254" s="461" t="s">
        <v>951</v>
      </c>
      <c r="B254" s="461" t="s">
        <v>235</v>
      </c>
      <c r="C254" s="461" t="s">
        <v>353</v>
      </c>
      <c r="D254" s="461" t="s">
        <v>58</v>
      </c>
      <c r="E254">
        <v>64</v>
      </c>
      <c r="F254">
        <v>7.75</v>
      </c>
      <c r="G254">
        <v>13</v>
      </c>
      <c r="H254">
        <v>43.25</v>
      </c>
    </row>
    <row r="255" spans="1:8" hidden="1" x14ac:dyDescent="0.35">
      <c r="A255" s="461" t="s">
        <v>951</v>
      </c>
      <c r="B255" s="461" t="s">
        <v>235</v>
      </c>
      <c r="C255" s="461" t="s">
        <v>354</v>
      </c>
      <c r="D255" s="461" t="s">
        <v>59</v>
      </c>
      <c r="E255">
        <v>18</v>
      </c>
      <c r="F255">
        <v>1.5</v>
      </c>
      <c r="G255">
        <v>1.5</v>
      </c>
      <c r="H255">
        <v>15</v>
      </c>
    </row>
    <row r="256" spans="1:8" hidden="1" x14ac:dyDescent="0.35">
      <c r="A256" s="461" t="s">
        <v>951</v>
      </c>
      <c r="B256" s="461" t="s">
        <v>235</v>
      </c>
      <c r="C256" s="461" t="s">
        <v>353</v>
      </c>
      <c r="D256" s="461" t="s">
        <v>60</v>
      </c>
      <c r="E256">
        <v>44.75</v>
      </c>
      <c r="F256">
        <v>5</v>
      </c>
      <c r="G256">
        <v>7.25</v>
      </c>
      <c r="H256">
        <v>32.5</v>
      </c>
    </row>
  </sheetData>
  <pageMargins left="0.7" right="0.7" top="0.75" bottom="0.75" header="0.3" footer="0.3"/>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J51"/>
  <sheetViews>
    <sheetView showGridLines="0" zoomScaleNormal="100" workbookViewId="0">
      <pane ySplit="2" topLeftCell="A3" activePane="bottomLeft" state="frozen"/>
      <selection pane="bottomLeft" sqref="A1:G1"/>
    </sheetView>
  </sheetViews>
  <sheetFormatPr defaultRowHeight="14.5" x14ac:dyDescent="0.35"/>
  <cols>
    <col min="1" max="1" width="17.453125" customWidth="1"/>
    <col min="2" max="2" width="31.81640625" customWidth="1"/>
    <col min="3" max="5" width="11.81640625" customWidth="1"/>
    <col min="6" max="6" width="11.1796875" customWidth="1"/>
  </cols>
  <sheetData>
    <row r="1" spans="1:7" ht="15.5" x14ac:dyDescent="0.35">
      <c r="A1" s="1160" t="s">
        <v>439</v>
      </c>
      <c r="B1" s="1160"/>
      <c r="C1" s="1160"/>
      <c r="D1" s="1160"/>
      <c r="E1" s="1160"/>
      <c r="F1" s="1160"/>
      <c r="G1" s="1160"/>
    </row>
    <row r="2" spans="1:7" ht="15.5" x14ac:dyDescent="0.35">
      <c r="A2" s="601" t="s">
        <v>509</v>
      </c>
      <c r="C2" s="538"/>
      <c r="D2" s="538"/>
      <c r="E2" s="538"/>
      <c r="F2" s="538"/>
      <c r="G2" s="538"/>
    </row>
    <row r="3" spans="1:7" ht="15.5" x14ac:dyDescent="0.35">
      <c r="C3" s="538"/>
      <c r="D3" s="538"/>
      <c r="E3" s="538"/>
      <c r="F3" s="538"/>
      <c r="G3" s="538"/>
    </row>
    <row r="4" spans="1:7" ht="37.5" customHeight="1" x14ac:dyDescent="0.35">
      <c r="A4" s="553" t="s">
        <v>463</v>
      </c>
      <c r="B4" s="553"/>
      <c r="C4" s="553"/>
      <c r="D4" s="553"/>
      <c r="E4" s="553"/>
    </row>
    <row r="5" spans="1:7" ht="15" customHeight="1" x14ac:dyDescent="0.35">
      <c r="A5" t="s">
        <v>320</v>
      </c>
      <c r="B5" t="s">
        <v>677</v>
      </c>
      <c r="C5" s="553"/>
      <c r="D5" s="553"/>
      <c r="E5" s="553"/>
    </row>
    <row r="6" spans="1:7" ht="15" customHeight="1" x14ac:dyDescent="0.35">
      <c r="A6" t="s">
        <v>321</v>
      </c>
      <c r="B6" t="s">
        <v>323</v>
      </c>
      <c r="C6" s="553"/>
      <c r="D6" s="553"/>
      <c r="E6" s="553"/>
    </row>
    <row r="7" spans="1:7" ht="15" customHeight="1" x14ac:dyDescent="0.35">
      <c r="A7" t="s">
        <v>322</v>
      </c>
      <c r="B7" t="s">
        <v>324</v>
      </c>
      <c r="C7" s="553"/>
      <c r="D7" s="553"/>
      <c r="E7" s="553"/>
    </row>
    <row r="8" spans="1:7" ht="26.5" x14ac:dyDescent="0.35">
      <c r="A8" s="92" t="s">
        <v>1</v>
      </c>
      <c r="B8" s="92" t="s">
        <v>207</v>
      </c>
      <c r="C8" s="93" t="s">
        <v>860</v>
      </c>
      <c r="D8" s="93" t="s">
        <v>861</v>
      </c>
      <c r="E8" s="93" t="s">
        <v>23</v>
      </c>
      <c r="F8" s="93" t="s">
        <v>26</v>
      </c>
    </row>
    <row r="9" spans="1:7" ht="15" thickBot="1" x14ac:dyDescent="0.4">
      <c r="A9" s="94" t="str">
        <f>RDSFTERoleAreaPivot!B1</f>
        <v>2020-21</v>
      </c>
      <c r="B9" s="94" t="s">
        <v>451</v>
      </c>
      <c r="C9" s="1074">
        <f>C44</f>
        <v>236</v>
      </c>
      <c r="D9" s="1074">
        <f>D44</f>
        <v>461.93</v>
      </c>
      <c r="E9" s="1074">
        <f>E44</f>
        <v>1784.55</v>
      </c>
      <c r="F9" s="1074">
        <f>F44</f>
        <v>2482.48</v>
      </c>
      <c r="G9" s="302"/>
    </row>
    <row r="10" spans="1:7" x14ac:dyDescent="0.35">
      <c r="B10" s="61"/>
      <c r="C10" s="361"/>
      <c r="D10" s="361"/>
      <c r="E10" s="361"/>
      <c r="F10" s="361"/>
    </row>
    <row r="11" spans="1:7" x14ac:dyDescent="0.35">
      <c r="A11" s="49" t="s">
        <v>449</v>
      </c>
      <c r="B11" s="49" t="s">
        <v>30</v>
      </c>
      <c r="C11" s="362"/>
      <c r="D11" s="362"/>
      <c r="E11" s="362"/>
      <c r="F11" s="362"/>
    </row>
    <row r="12" spans="1:7" x14ac:dyDescent="0.35">
      <c r="A12" s="469" t="s">
        <v>286</v>
      </c>
      <c r="B12" s="470" t="s">
        <v>31</v>
      </c>
      <c r="C12" s="343">
        <f>GETPIVOTDATA("Sum of Watch Manager",RDSFTERoleAreaPivot!$A$3,"ReportingLevel","1:LA","lvl","Aberdeen City")</f>
        <v>1</v>
      </c>
      <c r="D12" s="343">
        <f>GETPIVOTDATA("Sum of Crew Manager",RDSFTERoleAreaPivot!$A$3,"ReportingLevel","1:LA","lvl","Aberdeen City")</f>
        <v>2.5</v>
      </c>
      <c r="E12" s="343">
        <f>GETPIVOTDATA("Sum of FireFighter",RDSFTERoleAreaPivot!$A$3,"ReportingLevel","1:LA","lvl","Aberdeen City")</f>
        <v>5</v>
      </c>
      <c r="F12" s="102">
        <f>SUM(C12:E12)</f>
        <v>8.5</v>
      </c>
    </row>
    <row r="13" spans="1:7" x14ac:dyDescent="0.35">
      <c r="A13" s="103" t="s">
        <v>287</v>
      </c>
      <c r="B13" s="61" t="s">
        <v>32</v>
      </c>
      <c r="C13" s="78">
        <f>GETPIVOTDATA("Sum of Watch Manager",RDSFTERoleAreaPivot!$A$3,"ReportingLevel","1:LA","lvl","Aberdeenshire")</f>
        <v>22.75</v>
      </c>
      <c r="D13" s="78">
        <f>GETPIVOTDATA("Sum of Crew Manager",RDSFTERoleAreaPivot!$A$3,"ReportingLevel","1:LA","lvl","Aberdeenshire")</f>
        <v>60.25</v>
      </c>
      <c r="E13" s="78">
        <f>GETPIVOTDATA("Sum of FireFighter",RDSFTERoleAreaPivot!$A$3,"ReportingLevel","1:LA","lvl","Aberdeenshire")</f>
        <v>168.75</v>
      </c>
      <c r="F13" s="102">
        <f t="shared" ref="F13:F43" si="0">SUM(C13:E13)</f>
        <v>251.75</v>
      </c>
    </row>
    <row r="14" spans="1:7" x14ac:dyDescent="0.35">
      <c r="A14" s="103" t="s">
        <v>293</v>
      </c>
      <c r="B14" s="61" t="s">
        <v>33</v>
      </c>
      <c r="C14" s="78">
        <f>GETPIVOTDATA("Sum of Watch Manager",RDSFTERoleAreaPivot!$A$3,"ReportingLevel","1:LA","lvl","Angus")</f>
        <v>7</v>
      </c>
      <c r="D14" s="78">
        <f>GETPIVOTDATA("Sum of Crew Manager",RDSFTERoleAreaPivot!$A$3,"ReportingLevel","1:LA","lvl","Angus")</f>
        <v>14</v>
      </c>
      <c r="E14" s="78">
        <f>GETPIVOTDATA("Sum of FireFighter",RDSFTERoleAreaPivot!$A$3,"ReportingLevel","1:LA","lvl","Angus")</f>
        <v>66.25</v>
      </c>
      <c r="F14" s="102">
        <f t="shared" si="0"/>
        <v>87.25</v>
      </c>
    </row>
    <row r="15" spans="1:7" x14ac:dyDescent="0.35">
      <c r="A15" s="103" t="s">
        <v>288</v>
      </c>
      <c r="B15" s="61" t="s">
        <v>34</v>
      </c>
      <c r="C15" s="78">
        <f>GETPIVOTDATA("Sum of Watch Manager",RDSFTERoleAreaPivot!$A$3,"ReportingLevel","1:LA","lvl","Argyll and Bute")</f>
        <v>13</v>
      </c>
      <c r="D15" s="78">
        <f>GETPIVOTDATA("Sum of Crew Manager",RDSFTERoleAreaPivot!$A$3,"ReportingLevel","1:LA","lvl","Argyll and Bute")</f>
        <v>23.25</v>
      </c>
      <c r="E15" s="78">
        <f>GETPIVOTDATA("Sum of FireFighter",RDSFTERoleAreaPivot!$A$3,"ReportingLevel","1:LA","lvl","Argyll and Bute")</f>
        <v>119.75</v>
      </c>
      <c r="F15" s="102">
        <f t="shared" si="0"/>
        <v>156</v>
      </c>
    </row>
    <row r="16" spans="1:7" x14ac:dyDescent="0.35">
      <c r="A16" s="103" t="s">
        <v>289</v>
      </c>
      <c r="B16" s="61" t="s">
        <v>245</v>
      </c>
      <c r="C16" s="78">
        <f>GETPIVOTDATA("Sum of Watch Manager",RDSFTERoleAreaPivot!$A$3,"ReportingLevel","1:LA","lvl","City of Edinburgh")</f>
        <v>0.5</v>
      </c>
      <c r="D16" s="78">
        <f>GETPIVOTDATA("Sum of Crew Manager",RDSFTERoleAreaPivot!$A$3,"ReportingLevel","1:LA","lvl","City of Edinburgh")</f>
        <v>0.5</v>
      </c>
      <c r="E16" s="78">
        <f>GETPIVOTDATA("Sum of FireFighter",RDSFTERoleAreaPivot!$A$3,"ReportingLevel","1:LA","lvl","City of Edinburgh")</f>
        <v>3.75</v>
      </c>
      <c r="F16" s="102">
        <f t="shared" si="0"/>
        <v>4.75</v>
      </c>
    </row>
    <row r="17" spans="1:6" x14ac:dyDescent="0.35">
      <c r="A17" s="103" t="s">
        <v>267</v>
      </c>
      <c r="B17" s="61" t="s">
        <v>35</v>
      </c>
      <c r="C17" s="78">
        <f>GETPIVOTDATA("Sum of Watch Manager",RDSFTERoleAreaPivot!$A$3,"ReportingLevel","1:LA","lvl","Clackmannanshire")</f>
        <v>1.5</v>
      </c>
      <c r="D17" s="78">
        <f>GETPIVOTDATA("Sum of Crew Manager",RDSFTERoleAreaPivot!$A$3,"ReportingLevel","1:LA","lvl","Clackmannanshire")</f>
        <v>2.75</v>
      </c>
      <c r="E17" s="78">
        <f>GETPIVOTDATA("Sum of FireFighter",RDSFTERoleAreaPivot!$A$3,"ReportingLevel","1:LA","lvl","Clackmannanshire")</f>
        <v>16</v>
      </c>
      <c r="F17" s="102">
        <f t="shared" si="0"/>
        <v>20.25</v>
      </c>
    </row>
    <row r="18" spans="1:6" x14ac:dyDescent="0.35">
      <c r="A18" s="103" t="s">
        <v>268</v>
      </c>
      <c r="B18" s="61" t="s">
        <v>36</v>
      </c>
      <c r="C18" s="909" t="str">
        <f>IFERROR(GETPIVOTDATA("Sum of Watch Manager",RDSFTERoleAreaPivot!$A$3,"ReportingLevel","1:LA","lvl","Dumfries and Galloway"), "-")</f>
        <v>-</v>
      </c>
      <c r="D18" s="909" t="str">
        <f>IFERROR(GETPIVOTDATA("Sum of Crew Manager",RDSFTERoleAreaPivot!$A$3,"ReportingLevel","1:LA","lvl","Dumfries and Galloway"), "-")</f>
        <v>-</v>
      </c>
      <c r="E18" s="909" t="str">
        <f>IFERROR(GETPIVOTDATA("Sum of Firefighter",RDSFTERoleAreaPivot!$A$3,"ReportingLevel","1:LA","lvl","Dumfries and Galloway"), "-")</f>
        <v>-</v>
      </c>
      <c r="F18" s="102">
        <f t="shared" si="0"/>
        <v>0</v>
      </c>
    </row>
    <row r="19" spans="1:6" x14ac:dyDescent="0.35">
      <c r="A19" s="103" t="s">
        <v>294</v>
      </c>
      <c r="B19" s="61" t="s">
        <v>37</v>
      </c>
      <c r="C19" s="78">
        <f>GETPIVOTDATA("Sum of Watch Manager",RDSFTERoleAreaPivot!$A$3,"ReportingLevel","1:LA","lvl","Dundee City")</f>
        <v>1</v>
      </c>
      <c r="D19" s="78">
        <f>GETPIVOTDATA("Sum of Crew Manager",RDSFTERoleAreaPivot!$A$3,"ReportingLevel","1:LA","lvl","Dundee City")</f>
        <v>1.5</v>
      </c>
      <c r="E19" s="78">
        <f>GETPIVOTDATA("Sum of FireFighter",RDSFTERoleAreaPivot!$A$3,"ReportingLevel","1:LA","lvl","Dundee City")</f>
        <v>7</v>
      </c>
      <c r="F19" s="102">
        <f t="shared" si="0"/>
        <v>9.5</v>
      </c>
    </row>
    <row r="20" spans="1:6" x14ac:dyDescent="0.35">
      <c r="A20" s="103" t="s">
        <v>269</v>
      </c>
      <c r="B20" s="61" t="s">
        <v>38</v>
      </c>
      <c r="C20" s="78">
        <f>GETPIVOTDATA("Sum of Watch Manager",RDSFTERoleAreaPivot!$A$3,"ReportingLevel","1:LA","lvl","East Ayrshire")</f>
        <v>6</v>
      </c>
      <c r="D20" s="78">
        <f>GETPIVOTDATA("Sum of Crew Manager",RDSFTERoleAreaPivot!$A$3,"ReportingLevel","1:LA","lvl","East Ayrshire")</f>
        <v>6.75</v>
      </c>
      <c r="E20" s="78">
        <f>GETPIVOTDATA("Sum of FireFighter",RDSFTERoleAreaPivot!$A$3,"ReportingLevel","1:LA","lvl","East Ayrshire")</f>
        <v>50.75</v>
      </c>
      <c r="F20" s="102">
        <f t="shared" si="0"/>
        <v>63.5</v>
      </c>
    </row>
    <row r="21" spans="1:6" x14ac:dyDescent="0.35">
      <c r="A21" s="103" t="s">
        <v>296</v>
      </c>
      <c r="B21" s="61" t="s">
        <v>39</v>
      </c>
      <c r="C21" s="909" t="str">
        <f>IFERROR(GETPIVOTDATA("Sum of Watch Manager",RDSFTERoleAreaPivot!$A$3,"ReportingLevel","1:LA","lvl","East Dunbartonshire"), "-")</f>
        <v>-</v>
      </c>
      <c r="D21" s="909" t="str">
        <f>IFERROR(GETPIVOTDATA("Sum of Crew Manager",RDSFTERoleAreaPivot!$A$3,"ReportingLevel","1:LA","lvl","East Dunbartonshire"), "-")</f>
        <v>-</v>
      </c>
      <c r="E21" s="909" t="str">
        <f>IFERROR(GETPIVOTDATA("Sum of Firefighter",RDSFTERoleAreaPivot!$A$3,"ReportingLevel","1:LA","lvl","East Dunbartonshire"), "-")</f>
        <v>-</v>
      </c>
      <c r="F21" s="909">
        <f>IFERROR(SUM(C21:E21), "-")</f>
        <v>0</v>
      </c>
    </row>
    <row r="22" spans="1:6" x14ac:dyDescent="0.35">
      <c r="A22" s="103" t="s">
        <v>270</v>
      </c>
      <c r="B22" s="61" t="s">
        <v>40</v>
      </c>
      <c r="C22" s="909">
        <f>GETPIVOTDATA("Sum of Watch Manager",RDSFTERoleAreaPivot!$A$3,"ReportingLevel","1:LA","lvl","East Lothian")</f>
        <v>4.25</v>
      </c>
      <c r="D22" s="909">
        <f>GETPIVOTDATA("Sum of Crew Manager",RDSFTERoleAreaPivot!$A$3,"ReportingLevel","1:LA","lvl","East Lothian")</f>
        <v>10</v>
      </c>
      <c r="E22" s="909">
        <f>GETPIVOTDATA("Sum of FireFighter",RDSFTERoleAreaPivot!$A$3,"ReportingLevel","1:LA","lvl","East Lothian")</f>
        <v>36.5</v>
      </c>
      <c r="F22" s="233">
        <f t="shared" si="0"/>
        <v>50.75</v>
      </c>
    </row>
    <row r="23" spans="1:6" x14ac:dyDescent="0.35">
      <c r="A23" s="103" t="s">
        <v>271</v>
      </c>
      <c r="B23" s="61" t="s">
        <v>41</v>
      </c>
      <c r="C23" s="909" t="str">
        <f>IFERROR(GETPIVOTDATA("Sum of Watch Manager",RDSFTERoleAreaPivot!$A$3,"ReportingLevel","1:LA","lvl","East Renfrewshire"), "-")</f>
        <v>-</v>
      </c>
      <c r="D23" s="909" t="str">
        <f>IFERROR(GETPIVOTDATA("Sum of Crew Manager",RDSFTERoleAreaPivot!$A$3,"ReportingLevel","1:LA","lvl","East Renfrewshire"), "-")</f>
        <v>-</v>
      </c>
      <c r="E23" s="909" t="str">
        <f>IFERROR(GETPIVOTDATA("Sum of Firefighter",RDSFTERoleAreaPivot!$A$3,"ReportingLevel","1:LA","lvl","East Renfrewshire"), "-")</f>
        <v>-</v>
      </c>
      <c r="F23" s="233">
        <f t="shared" si="0"/>
        <v>0</v>
      </c>
    </row>
    <row r="24" spans="1:6" x14ac:dyDescent="0.35">
      <c r="A24" s="103" t="s">
        <v>273</v>
      </c>
      <c r="B24" s="61" t="s">
        <v>42</v>
      </c>
      <c r="C24" s="909">
        <f>GETPIVOTDATA("Sum of Watch Manager",RDSFTERoleAreaPivot!$A$3,"ReportingLevel","1:LA","lvl","Falkirk")</f>
        <v>3.75</v>
      </c>
      <c r="D24" s="909">
        <f>GETPIVOTDATA("Sum of Crew Manager",RDSFTERoleAreaPivot!$A$3,"ReportingLevel","1:LA","lvl","Falkirk")</f>
        <v>6.75</v>
      </c>
      <c r="E24" s="909">
        <f>GETPIVOTDATA("Sum of FireFighter",RDSFTERoleAreaPivot!$A$3,"ReportingLevel","1:LA","lvl","Falkirk")</f>
        <v>31.5</v>
      </c>
      <c r="F24" s="233">
        <f t="shared" si="0"/>
        <v>42</v>
      </c>
    </row>
    <row r="25" spans="1:6" x14ac:dyDescent="0.35">
      <c r="A25" s="103" t="s">
        <v>298</v>
      </c>
      <c r="B25" s="61" t="s">
        <v>43</v>
      </c>
      <c r="C25" s="909">
        <f>GETPIVOTDATA("Sum of Watch Manager",RDSFTERoleAreaPivot!$A$3,"ReportingLevel","1:LA","lvl","Fife")</f>
        <v>7.75</v>
      </c>
      <c r="D25" s="909">
        <f>GETPIVOTDATA("Sum of Crew Manager",RDSFTERoleAreaPivot!$A$3,"ReportingLevel","1:LA","lvl","Fife")</f>
        <v>18.43</v>
      </c>
      <c r="E25" s="909">
        <f>GETPIVOTDATA("Sum of FireFighter",RDSFTERoleAreaPivot!$A$3,"ReportingLevel","1:LA","lvl","Fife")</f>
        <v>66.05</v>
      </c>
      <c r="F25" s="233">
        <f t="shared" si="0"/>
        <v>92.22999999999999</v>
      </c>
    </row>
    <row r="26" spans="1:6" x14ac:dyDescent="0.35">
      <c r="A26" s="466" t="str">
        <f>IF(A9 = "2019-20","S12000049","S12000046")</f>
        <v>S12000046</v>
      </c>
      <c r="B26" s="61" t="s">
        <v>114</v>
      </c>
      <c r="C26" s="909" t="str">
        <f>IFERROR(GETPIVOTDATA("Sum of Watch Manager",RDSFTERoleAreaPivot!$A$3,"ReportingLevel","1:LA","lvl","Glasgow City"), "-")</f>
        <v>-</v>
      </c>
      <c r="D26" s="909" t="str">
        <f>IFERROR(GETPIVOTDATA("Sum of Crew Manager",RDSFTERoleAreaPivot!$A$3,"ReportingLevel","1:LA","lvl","Glasgow City"), "-")</f>
        <v>-</v>
      </c>
      <c r="E26" s="909" t="str">
        <f>IFERROR(GETPIVOTDATA("Sum of Firefighter",RDSFTERoleAreaPivot!$A$3,"ReportingLevel","1:LA","lvl","Glasgow City"), "-")</f>
        <v>-</v>
      </c>
      <c r="F26" s="233">
        <f t="shared" si="0"/>
        <v>0</v>
      </c>
    </row>
    <row r="27" spans="1:6" x14ac:dyDescent="0.35">
      <c r="A27" s="466" t="s">
        <v>274</v>
      </c>
      <c r="B27" s="61" t="s">
        <v>44</v>
      </c>
      <c r="C27" s="909">
        <f>GETPIVOTDATA("Sum of Watch Manager",RDSFTERoleAreaPivot!$A$3,"ReportingLevel","1:LA","lvl","Highland")</f>
        <v>48.25</v>
      </c>
      <c r="D27" s="909">
        <f>GETPIVOTDATA("Sum of Crew Manager",RDSFTERoleAreaPivot!$A$3,"ReportingLevel","1:LA","lvl","Highland")</f>
        <v>89.75</v>
      </c>
      <c r="E27" s="909">
        <f>GETPIVOTDATA("Sum of FireFighter",RDSFTERoleAreaPivot!$A$3,"ReportingLevel","1:LA","lvl","Highland")</f>
        <v>311.5</v>
      </c>
      <c r="F27" s="233">
        <f t="shared" si="0"/>
        <v>449.5</v>
      </c>
    </row>
    <row r="28" spans="1:6" x14ac:dyDescent="0.35">
      <c r="A28" s="466" t="s">
        <v>275</v>
      </c>
      <c r="B28" s="61" t="s">
        <v>45</v>
      </c>
      <c r="C28" s="78">
        <f>GETPIVOTDATA("Sum of Watch Manager",RDSFTERoleAreaPivot!$A$3,"ReportingLevel","1:LA","lvl","Inverclyde")</f>
        <v>2.25</v>
      </c>
      <c r="D28" s="78">
        <f>GETPIVOTDATA("Sum of Crew Manager",RDSFTERoleAreaPivot!$A$3,"ReportingLevel","1:LA","lvl","Inverclyde")</f>
        <v>4.75</v>
      </c>
      <c r="E28" s="78">
        <f>GETPIVOTDATA("Sum of FireFighter",RDSFTERoleAreaPivot!$A$3,"ReportingLevel","1:LA","lvl","Inverclyde")</f>
        <v>28.75</v>
      </c>
      <c r="F28" s="102">
        <f t="shared" si="0"/>
        <v>35.75</v>
      </c>
    </row>
    <row r="29" spans="1:6" x14ac:dyDescent="0.35">
      <c r="A29" s="466" t="s">
        <v>276</v>
      </c>
      <c r="B29" s="61" t="s">
        <v>46</v>
      </c>
      <c r="C29" s="78">
        <f>GETPIVOTDATA("Sum of Watch Manager",RDSFTERoleAreaPivot!$A$3,"ReportingLevel","1:LA","lvl","Midlothian")</f>
        <v>1</v>
      </c>
      <c r="D29" s="78">
        <f>GETPIVOTDATA("Sum of Crew Manager",RDSFTERoleAreaPivot!$A$3,"ReportingLevel","1:LA","lvl","Midlothian")</f>
        <v>1.5</v>
      </c>
      <c r="E29" s="78">
        <f>GETPIVOTDATA("Sum of FireFighter",RDSFTERoleAreaPivot!$A$3,"ReportingLevel","1:LA","lvl","Midlothian")</f>
        <v>6.5</v>
      </c>
      <c r="F29" s="102">
        <f t="shared" si="0"/>
        <v>9</v>
      </c>
    </row>
    <row r="30" spans="1:6" x14ac:dyDescent="0.35">
      <c r="A30" s="466" t="s">
        <v>277</v>
      </c>
      <c r="B30" s="61" t="s">
        <v>47</v>
      </c>
      <c r="C30" s="78">
        <f>GETPIVOTDATA("Sum of Watch Manager",RDSFTERoleAreaPivot!$A$3,"ReportingLevel","1:LA","lvl","Moray")</f>
        <v>9.75</v>
      </c>
      <c r="D30" s="78">
        <f>GETPIVOTDATA("Sum of Crew Manager",RDSFTERoleAreaPivot!$A$3,"ReportingLevel","1:LA","lvl","Moray")</f>
        <v>23.5</v>
      </c>
      <c r="E30" s="78">
        <f>GETPIVOTDATA("Sum of FireFighter",RDSFTERoleAreaPivot!$A$3,"ReportingLevel","1:LA","lvl","Moray")</f>
        <v>69</v>
      </c>
      <c r="F30" s="102">
        <f t="shared" si="0"/>
        <v>102.25</v>
      </c>
    </row>
    <row r="31" spans="1:6" x14ac:dyDescent="0.35">
      <c r="A31" s="466" t="s">
        <v>272</v>
      </c>
      <c r="B31" s="61" t="s">
        <v>48</v>
      </c>
      <c r="C31" s="78">
        <f>GETPIVOTDATA("Sum of Watch Manager",RDSFTERoleAreaPivot!$A$3,"ReportingLevel","1:LA","lvl","Na h-Eileanan Siar")</f>
        <v>14</v>
      </c>
      <c r="D31" s="78">
        <f>GETPIVOTDATA("Sum of Crew Manager",RDSFTERoleAreaPivot!$A$3,"ReportingLevel","1:LA","lvl","Na h-Eileanan Siar")</f>
        <v>26.25</v>
      </c>
      <c r="E31" s="78">
        <f>GETPIVOTDATA("Sum of FireFighter",RDSFTERoleAreaPivot!$A$3,"ReportingLevel","1:LA","lvl","Na h-Eileanan Siar")</f>
        <v>83.5</v>
      </c>
      <c r="F31" s="102">
        <f t="shared" si="0"/>
        <v>123.75</v>
      </c>
    </row>
    <row r="32" spans="1:6" x14ac:dyDescent="0.35">
      <c r="A32" s="466" t="s">
        <v>278</v>
      </c>
      <c r="B32" s="61" t="s">
        <v>49</v>
      </c>
      <c r="C32" s="78">
        <f>GETPIVOTDATA("Sum of Watch Manager",RDSFTERoleAreaPivot!$A$3,"ReportingLevel","1:LA","lvl","North Ayrshire")</f>
        <v>9.75</v>
      </c>
      <c r="D32" s="78">
        <f>GETPIVOTDATA("Sum of Crew Manager",RDSFTERoleAreaPivot!$A$3,"ReportingLevel","1:LA","lvl","North Ayrshire")</f>
        <v>9.5</v>
      </c>
      <c r="E32" s="78">
        <f>GETPIVOTDATA("Sum of FireFighter",RDSFTERoleAreaPivot!$A$3,"ReportingLevel","1:LA","lvl","North Ayrshire")</f>
        <v>65.75</v>
      </c>
      <c r="F32" s="102">
        <f t="shared" si="0"/>
        <v>85</v>
      </c>
    </row>
    <row r="33" spans="1:6" x14ac:dyDescent="0.35">
      <c r="A33" s="466" t="str">
        <f>IF(A9="2019-20","S12000050","S12000044")</f>
        <v>S12000044</v>
      </c>
      <c r="B33" s="61" t="s">
        <v>50</v>
      </c>
      <c r="C33" s="78">
        <f>GETPIVOTDATA("Sum of Watch Manager",RDSFTERoleAreaPivot!$A$3,"ReportingLevel","1:LA","lvl","North Lanarkshire")</f>
        <v>2</v>
      </c>
      <c r="D33" s="78">
        <f>GETPIVOTDATA("Sum of Crew Manager",RDSFTERoleAreaPivot!$A$3,"ReportingLevel","1:LA","lvl","North Lanarkshire")</f>
        <v>4.5</v>
      </c>
      <c r="E33" s="78">
        <f>GETPIVOTDATA("Sum of FireFighter",RDSFTERoleAreaPivot!$A$3,"ReportingLevel","1:LA","lvl","North Lanarkshire")</f>
        <v>20.75</v>
      </c>
      <c r="F33" s="102">
        <f t="shared" si="0"/>
        <v>27.25</v>
      </c>
    </row>
    <row r="34" spans="1:6" x14ac:dyDescent="0.35">
      <c r="A34" s="103" t="s">
        <v>279</v>
      </c>
      <c r="B34" s="61" t="s">
        <v>51</v>
      </c>
      <c r="C34" s="78">
        <f>GETPIVOTDATA("Sum of Watch Manager",RDSFTERoleAreaPivot!$A$3,"ReportingLevel","1:LA","lvl","Orkney Islands")</f>
        <v>7.25</v>
      </c>
      <c r="D34" s="78">
        <f>GETPIVOTDATA("Sum of Crew Manager",RDSFTERoleAreaPivot!$A$3,"ReportingLevel","1:LA","lvl","Orkney Islands")</f>
        <v>21</v>
      </c>
      <c r="E34" s="78">
        <f>GETPIVOTDATA("Sum of FireFighter",RDSFTERoleAreaPivot!$A$3,"ReportingLevel","1:LA","lvl","Orkney Islands")</f>
        <v>80.5</v>
      </c>
      <c r="F34" s="102">
        <f t="shared" si="0"/>
        <v>108.75</v>
      </c>
    </row>
    <row r="35" spans="1:6" x14ac:dyDescent="0.35">
      <c r="A35" s="103" t="s">
        <v>280</v>
      </c>
      <c r="B35" s="61" t="s">
        <v>52</v>
      </c>
      <c r="C35" s="78">
        <f>GETPIVOTDATA("Sum of Watch Manager",RDSFTERoleAreaPivot!$A$3,"ReportingLevel","1:LA","lvl","Perth and Kinross")</f>
        <v>9.25</v>
      </c>
      <c r="D35" s="78">
        <f>GETPIVOTDATA("Sum of Crew Manager",RDSFTERoleAreaPivot!$A$3,"ReportingLevel","1:LA","lvl","Perth and Kinross")</f>
        <v>19.25</v>
      </c>
      <c r="E35" s="78">
        <f>GETPIVOTDATA("Sum of FireFighter",RDSFTERoleAreaPivot!$A$3,"ReportingLevel","1:LA","lvl","Perth and Kinross")</f>
        <v>81.75</v>
      </c>
      <c r="F35" s="102">
        <f t="shared" si="0"/>
        <v>110.25</v>
      </c>
    </row>
    <row r="36" spans="1:6" x14ac:dyDescent="0.35">
      <c r="A36" s="103" t="s">
        <v>290</v>
      </c>
      <c r="B36" s="61" t="s">
        <v>53</v>
      </c>
      <c r="C36" s="78">
        <f>GETPIVOTDATA("Sum of Watch Manager",RDSFTERoleAreaPivot!$A$3,"ReportingLevel","1:LA","lvl","Renfrewshire")</f>
        <v>1.5</v>
      </c>
      <c r="D36" s="78">
        <f>GETPIVOTDATA("Sum of Crew Manager",RDSFTERoleAreaPivot!$A$3,"ReportingLevel","1:LA","lvl","Renfrewshire")</f>
        <v>0.75</v>
      </c>
      <c r="E36" s="78">
        <f>GETPIVOTDATA("Sum of FireFighter",RDSFTERoleAreaPivot!$A$3,"ReportingLevel","1:LA","lvl","Renfrewshire")</f>
        <v>7.25</v>
      </c>
      <c r="F36" s="102">
        <f t="shared" si="0"/>
        <v>9.5</v>
      </c>
    </row>
    <row r="37" spans="1:6" x14ac:dyDescent="0.35">
      <c r="A37" s="103" t="s">
        <v>281</v>
      </c>
      <c r="B37" s="61" t="s">
        <v>54</v>
      </c>
      <c r="C37" s="78">
        <f>GETPIVOTDATA("Sum of Watch Manager",RDSFTERoleAreaPivot!$A$3,"ReportingLevel","1:LA","lvl","Scottish Borders")</f>
        <v>10.25</v>
      </c>
      <c r="D37" s="78">
        <f>GETPIVOTDATA("Sum of Crew Manager",RDSFTERoleAreaPivot!$A$3,"ReportingLevel","1:LA","lvl","Scottish Borders")</f>
        <v>26.5</v>
      </c>
      <c r="E37" s="78">
        <f>GETPIVOTDATA("Sum of FireFighter",RDSFTERoleAreaPivot!$A$3,"ReportingLevel","1:LA","lvl","Scottish Borders")</f>
        <v>85</v>
      </c>
      <c r="F37" s="102">
        <f t="shared" si="0"/>
        <v>121.75</v>
      </c>
    </row>
    <row r="38" spans="1:6" x14ac:dyDescent="0.35">
      <c r="A38" s="103" t="s">
        <v>282</v>
      </c>
      <c r="B38" s="61" t="s">
        <v>55</v>
      </c>
      <c r="C38" s="78">
        <f>GETPIVOTDATA("Sum of Watch Manager",RDSFTERoleAreaPivot!$A$3,"ReportingLevel","1:LA","lvl","Shetland Islands")</f>
        <v>11.5</v>
      </c>
      <c r="D38" s="78">
        <f>GETPIVOTDATA("Sum of Crew Manager",RDSFTERoleAreaPivot!$A$3,"ReportingLevel","1:LA","lvl","Shetland Islands")</f>
        <v>23.75</v>
      </c>
      <c r="E38" s="78">
        <f>GETPIVOTDATA("Sum of FireFighter",RDSFTERoleAreaPivot!$A$3,"ReportingLevel","1:LA","lvl","Shetland Islands")</f>
        <v>82.25</v>
      </c>
      <c r="F38" s="102">
        <f t="shared" si="0"/>
        <v>117.5</v>
      </c>
    </row>
    <row r="39" spans="1:6" x14ac:dyDescent="0.35">
      <c r="A39" s="103" t="s">
        <v>283</v>
      </c>
      <c r="B39" s="61" t="s">
        <v>56</v>
      </c>
      <c r="C39" s="78">
        <f>GETPIVOTDATA("Sum of Watch Manager",RDSFTERoleAreaPivot!$A$3,"ReportingLevel","1:LA","lvl","South Ayrshire")</f>
        <v>3.5</v>
      </c>
      <c r="D39" s="78">
        <f>GETPIVOTDATA("Sum of Crew Manager",RDSFTERoleAreaPivot!$A$3,"ReportingLevel","1:LA","lvl","South Ayrshire")</f>
        <v>5.75</v>
      </c>
      <c r="E39" s="78">
        <f>GETPIVOTDATA("Sum of FireFighter",RDSFTERoleAreaPivot!$A$3,"ReportingLevel","1:LA","lvl","South Ayrshire")</f>
        <v>33.75</v>
      </c>
      <c r="F39" s="102">
        <f t="shared" si="0"/>
        <v>43</v>
      </c>
    </row>
    <row r="40" spans="1:6" x14ac:dyDescent="0.35">
      <c r="A40" s="103" t="s">
        <v>284</v>
      </c>
      <c r="B40" s="61" t="s">
        <v>57</v>
      </c>
      <c r="C40" s="78">
        <f>GETPIVOTDATA("Sum of Watch Manager",RDSFTERoleAreaPivot!$A$3,"ReportingLevel","1:LA","lvl","South Lanarkshire")</f>
        <v>8.75</v>
      </c>
      <c r="D40" s="78">
        <f>GETPIVOTDATA("Sum of Crew Manager",RDSFTERoleAreaPivot!$A$3,"ReportingLevel","1:LA","lvl","South Lanarkshire")</f>
        <v>5.75</v>
      </c>
      <c r="E40" s="78">
        <f>GETPIVOTDATA("Sum of FireFighter",RDSFTERoleAreaPivot!$A$3,"ReportingLevel","1:LA","lvl","South Lanarkshire")</f>
        <v>52.5</v>
      </c>
      <c r="F40" s="102">
        <f t="shared" si="0"/>
        <v>67</v>
      </c>
    </row>
    <row r="41" spans="1:6" x14ac:dyDescent="0.35">
      <c r="A41" s="103" t="s">
        <v>285</v>
      </c>
      <c r="B41" s="61" t="s">
        <v>58</v>
      </c>
      <c r="C41" s="78">
        <f>GETPIVOTDATA("Sum of Watch Manager",RDSFTERoleAreaPivot!$A$3,"ReportingLevel","1:LA","lvl","Stirling")</f>
        <v>7.75</v>
      </c>
      <c r="D41" s="78">
        <f>GETPIVOTDATA("Sum of Crew Manager",RDSFTERoleAreaPivot!$A$3,"ReportingLevel","1:LA","lvl","Stirling")</f>
        <v>13</v>
      </c>
      <c r="E41" s="78">
        <f>GETPIVOTDATA("Sum of FireFighter",RDSFTERoleAreaPivot!$A$3,"ReportingLevel","1:LA","lvl","Stirling")</f>
        <v>43.25</v>
      </c>
      <c r="F41" s="102">
        <f t="shared" si="0"/>
        <v>64</v>
      </c>
    </row>
    <row r="42" spans="1:6" x14ac:dyDescent="0.35">
      <c r="A42" s="103" t="s">
        <v>291</v>
      </c>
      <c r="B42" s="61" t="s">
        <v>59</v>
      </c>
      <c r="C42" s="78">
        <f>GETPIVOTDATA("Sum of Watch Manager",RDSFTERoleAreaPivot!$A$3,"ReportingLevel","1:LA","lvl","West Dunbartonshire")</f>
        <v>1.5</v>
      </c>
      <c r="D42" s="78">
        <f>GETPIVOTDATA("Sum of Crew Manager",RDSFTERoleAreaPivot!$A$3,"ReportingLevel","1:LA","lvl","West Dunbartonshire")</f>
        <v>1.5</v>
      </c>
      <c r="E42" s="78">
        <f>GETPIVOTDATA("Sum of FireFighter",RDSFTERoleAreaPivot!$A$3,"ReportingLevel","1:LA","lvl","West Dunbartonshire")</f>
        <v>15</v>
      </c>
      <c r="F42" s="102">
        <f t="shared" si="0"/>
        <v>18</v>
      </c>
    </row>
    <row r="43" spans="1:6" x14ac:dyDescent="0.35">
      <c r="A43" s="103" t="s">
        <v>292</v>
      </c>
      <c r="B43" s="61" t="s">
        <v>60</v>
      </c>
      <c r="C43" s="78">
        <f>GETPIVOTDATA("Sum of Watch Manager",RDSFTERoleAreaPivot!$A$3,"ReportingLevel","1:LA","lvl","West Lothian")</f>
        <v>5</v>
      </c>
      <c r="D43" s="78">
        <f>GETPIVOTDATA("Sum of Crew Manager",RDSFTERoleAreaPivot!$A$3,"ReportingLevel","1:LA","lvl","West Lothian")</f>
        <v>7.25</v>
      </c>
      <c r="E43" s="78">
        <f>GETPIVOTDATA("Sum of FireFighter",RDSFTERoleAreaPivot!$A$3,"ReportingLevel","1:LA","lvl","West Lothian")</f>
        <v>32.5</v>
      </c>
      <c r="F43" s="102">
        <f t="shared" si="0"/>
        <v>44.75</v>
      </c>
    </row>
    <row r="44" spans="1:6" ht="15" thickBot="1" x14ac:dyDescent="0.4">
      <c r="A44" s="557"/>
      <c r="B44" s="59" t="s">
        <v>61</v>
      </c>
      <c r="C44" s="363">
        <f>GETPIVOTDATA("Sum of Watch Manager",RDSFTERoleAreaPivot!$A$3,"ReportingLevel","1:LA","lvl","ALL")</f>
        <v>236</v>
      </c>
      <c r="D44" s="363">
        <f>GETPIVOTDATA("Sum of Crew Manager",RDSFTERoleAreaPivot!$A$3,"ReportingLevel","1:LA","lvl","ALL")</f>
        <v>461.93</v>
      </c>
      <c r="E44" s="363">
        <f>GETPIVOTDATA("Sum of Firefighter",RDSFTERoleAreaPivot!$A$3,"ReportingLevel","1:LA","lvl","ALL")</f>
        <v>1784.55</v>
      </c>
      <c r="F44" s="363">
        <f>GETPIVOTDATA("Sum of Total",RDSFTERoleAreaPivot!$A$3,"ReportingLevel","1:LA","lvl","ALL")</f>
        <v>2482.48</v>
      </c>
    </row>
    <row r="45" spans="1:6" x14ac:dyDescent="0.35">
      <c r="B45" s="95"/>
      <c r="C45" s="306"/>
      <c r="D45" s="306"/>
      <c r="E45" s="306"/>
      <c r="F45" s="306"/>
    </row>
    <row r="46" spans="1:6" x14ac:dyDescent="0.35">
      <c r="A46" s="564" t="s">
        <v>8</v>
      </c>
      <c r="B46" s="554"/>
      <c r="C46" s="554"/>
      <c r="D46" s="554"/>
      <c r="E46" s="554"/>
    </row>
    <row r="47" spans="1:6" x14ac:dyDescent="0.35">
      <c r="A47" s="561" t="s">
        <v>214</v>
      </c>
    </row>
    <row r="48" spans="1:6" x14ac:dyDescent="0.35">
      <c r="A48" s="438" t="s">
        <v>215</v>
      </c>
    </row>
    <row r="49" spans="1:10" ht="45" customHeight="1" x14ac:dyDescent="0.35">
      <c r="A49" s="1180" t="s">
        <v>863</v>
      </c>
      <c r="B49" s="1180"/>
      <c r="C49" s="1180"/>
      <c r="D49" s="1180"/>
      <c r="E49" s="1180"/>
      <c r="F49" s="1180"/>
      <c r="G49" s="1180"/>
      <c r="H49" s="1180"/>
      <c r="I49" s="1180"/>
      <c r="J49" s="441"/>
    </row>
    <row r="50" spans="1:10" x14ac:dyDescent="0.35">
      <c r="B50" s="405"/>
    </row>
    <row r="51" spans="1:10" x14ac:dyDescent="0.35">
      <c r="E51" s="438"/>
    </row>
  </sheetData>
  <sheetProtection algorithmName="SHA-512" hashValue="qgsycnMMblfvFJv5d8r7JTsZjLs5ms+6GemeJFTcJS2WwimuBNdgrfF1DE1IDdnr0rTaN9ViQDxk6FPdfUmRkA==" saltValue="Jcb3DR+31hUjp5bDwie/Ww==" spinCount="100000" sheet="1" scenarios="1" formatCells="0" formatColumns="0" formatRows="0" sort="0" autoFilter="0" pivotTables="0"/>
  <mergeCells count="2">
    <mergeCell ref="A1:G1"/>
    <mergeCell ref="A49:I4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orientation="portrait" r:id="rId1"/>
  <drawing r:id="rId2"/>
  <extLst>
    <ext xmlns:x14="http://schemas.microsoft.com/office/spreadsheetml/2009/9/main" uri="{A8765BA9-456A-4dab-B4F3-ACF838C121DE}">
      <x14:slicerList>
        <x14:slicer r:id="rId3"/>
      </x14:slicerList>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5"/>
  <sheetViews>
    <sheetView workbookViewId="0">
      <selection activeCell="E4" sqref="E4"/>
    </sheetView>
  </sheetViews>
  <sheetFormatPr defaultRowHeight="14.5" x14ac:dyDescent="0.35"/>
  <cols>
    <col min="1" max="1" width="12.36328125" bestFit="1" customWidth="1"/>
    <col min="2" max="2" width="19.08984375" bestFit="1" customWidth="1"/>
    <col min="3" max="3" width="20.453125" bestFit="1" customWidth="1"/>
    <col min="4" max="4" width="21.26953125" bestFit="1" customWidth="1"/>
    <col min="5" max="5" width="20.6328125" bestFit="1" customWidth="1"/>
    <col min="6" max="6" width="19.453125" bestFit="1" customWidth="1"/>
    <col min="7" max="7" width="21.81640625" bestFit="1" customWidth="1"/>
    <col min="8" max="8" width="11.36328125" bestFit="1" customWidth="1"/>
  </cols>
  <sheetData>
    <row r="1" spans="1:8" x14ac:dyDescent="0.35">
      <c r="A1" s="459" t="s">
        <v>1</v>
      </c>
      <c r="B1" t="s">
        <v>951</v>
      </c>
    </row>
    <row r="3" spans="1:8" x14ac:dyDescent="0.35">
      <c r="A3" s="459" t="s">
        <v>234</v>
      </c>
      <c r="B3" t="s">
        <v>251</v>
      </c>
      <c r="C3" t="s">
        <v>252</v>
      </c>
      <c r="D3" t="s">
        <v>253</v>
      </c>
      <c r="E3" t="s">
        <v>243</v>
      </c>
      <c r="F3" t="s">
        <v>254</v>
      </c>
      <c r="G3" t="s">
        <v>257</v>
      </c>
      <c r="H3" t="s">
        <v>240</v>
      </c>
    </row>
    <row r="4" spans="1:8" x14ac:dyDescent="0.35">
      <c r="A4" s="1154" t="s">
        <v>238</v>
      </c>
      <c r="B4" s="461">
        <v>1</v>
      </c>
      <c r="C4" s="461">
        <v>4</v>
      </c>
      <c r="D4" s="461">
        <v>10</v>
      </c>
      <c r="E4" s="461">
        <v>41</v>
      </c>
      <c r="F4" s="461">
        <v>30</v>
      </c>
      <c r="G4" s="461">
        <v>90.06</v>
      </c>
      <c r="H4" s="461">
        <v>176.06</v>
      </c>
    </row>
    <row r="5" spans="1:8" x14ac:dyDescent="0.35">
      <c r="A5" s="1154" t="s">
        <v>239</v>
      </c>
      <c r="B5" s="461">
        <v>1</v>
      </c>
      <c r="C5" s="461">
        <v>4</v>
      </c>
      <c r="D5" s="461">
        <v>10</v>
      </c>
      <c r="E5" s="461">
        <v>41</v>
      </c>
      <c r="F5" s="461">
        <v>30</v>
      </c>
      <c r="G5" s="461">
        <v>90.06</v>
      </c>
      <c r="H5" s="461">
        <v>176.06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9"/>
  <sheetViews>
    <sheetView workbookViewId="0">
      <selection sqref="A1:K9"/>
    </sheetView>
  </sheetViews>
  <sheetFormatPr defaultRowHeight="14.5" x14ac:dyDescent="0.35"/>
  <cols>
    <col min="1" max="1" width="7.453125" bestFit="1" customWidth="1"/>
    <col min="2" max="2" width="15.54296875" bestFit="1" customWidth="1"/>
    <col min="3" max="3" width="7.90625" bestFit="1" customWidth="1"/>
    <col min="4" max="4" width="9.7265625" bestFit="1" customWidth="1"/>
    <col min="5" max="5" width="11.81640625" bestFit="1" customWidth="1"/>
    <col min="6" max="6" width="14.90625" bestFit="1" customWidth="1"/>
    <col min="7" max="7" width="16.36328125" bestFit="1" customWidth="1"/>
    <col min="8" max="8" width="17.08984375" bestFit="1" customWidth="1"/>
    <col min="9" max="9" width="16.54296875" bestFit="1" customWidth="1"/>
    <col min="10" max="10" width="15.36328125" bestFit="1" customWidth="1"/>
    <col min="11" max="11" width="17.6328125" bestFit="1" customWidth="1"/>
  </cols>
  <sheetData>
    <row r="1" spans="1:11" x14ac:dyDescent="0.35">
      <c r="A1" s="461" t="s">
        <v>1</v>
      </c>
      <c r="B1" s="461" t="s">
        <v>17409</v>
      </c>
      <c r="C1" s="461" t="s">
        <v>17410</v>
      </c>
      <c r="D1" s="461" t="s">
        <v>244</v>
      </c>
      <c r="E1" s="461" t="s">
        <v>26</v>
      </c>
      <c r="F1" s="461" t="s">
        <v>18</v>
      </c>
      <c r="G1" s="461" t="s">
        <v>19</v>
      </c>
      <c r="H1" s="461" t="s">
        <v>20</v>
      </c>
      <c r="I1" s="461" t="s">
        <v>21</v>
      </c>
      <c r="J1" s="461" t="s">
        <v>22</v>
      </c>
      <c r="K1" s="461" t="s">
        <v>76</v>
      </c>
    </row>
    <row r="2" spans="1:11" x14ac:dyDescent="0.35">
      <c r="A2" s="461" t="s">
        <v>194</v>
      </c>
      <c r="B2" s="461" t="s">
        <v>238</v>
      </c>
      <c r="C2" s="461" t="s">
        <v>246</v>
      </c>
      <c r="D2" s="461" t="s">
        <v>339</v>
      </c>
      <c r="E2" s="461">
        <v>212.96</v>
      </c>
      <c r="F2" s="461">
        <v>0</v>
      </c>
      <c r="G2" s="461">
        <v>5</v>
      </c>
      <c r="H2" s="461">
        <v>11</v>
      </c>
      <c r="I2" s="461">
        <v>51.56</v>
      </c>
      <c r="J2" s="461">
        <v>51.01</v>
      </c>
      <c r="K2" s="461">
        <v>94.39</v>
      </c>
    </row>
    <row r="3" spans="1:11" x14ac:dyDescent="0.35">
      <c r="A3" s="461" t="s">
        <v>193</v>
      </c>
      <c r="B3" s="461" t="s">
        <v>238</v>
      </c>
      <c r="C3" s="461" t="s">
        <v>246</v>
      </c>
      <c r="D3" s="461" t="s">
        <v>339</v>
      </c>
      <c r="E3" s="461">
        <v>220.79</v>
      </c>
      <c r="F3" s="461">
        <v>0</v>
      </c>
      <c r="G3" s="461">
        <v>5</v>
      </c>
      <c r="H3" s="461">
        <v>12.85</v>
      </c>
      <c r="I3" s="461">
        <v>49.46</v>
      </c>
      <c r="J3" s="461">
        <v>50.79</v>
      </c>
      <c r="K3" s="461">
        <v>102.69</v>
      </c>
    </row>
    <row r="4" spans="1:11" x14ac:dyDescent="0.35">
      <c r="A4" s="461" t="s">
        <v>192</v>
      </c>
      <c r="B4" s="461" t="s">
        <v>238</v>
      </c>
      <c r="C4" s="461" t="s">
        <v>246</v>
      </c>
      <c r="D4" s="461" t="s">
        <v>339</v>
      </c>
      <c r="E4" s="461">
        <v>195.16952380952381</v>
      </c>
      <c r="F4" s="461">
        <v>0</v>
      </c>
      <c r="G4" s="461">
        <v>6</v>
      </c>
      <c r="H4" s="461">
        <v>6.8333333333333339</v>
      </c>
      <c r="I4" s="461">
        <v>50.314285714285717</v>
      </c>
      <c r="J4" s="461">
        <v>43</v>
      </c>
      <c r="K4" s="461">
        <v>89.021904761904764</v>
      </c>
    </row>
    <row r="5" spans="1:11" x14ac:dyDescent="0.35">
      <c r="A5" s="461" t="s">
        <v>258</v>
      </c>
      <c r="B5" s="461" t="s">
        <v>238</v>
      </c>
      <c r="C5" s="461" t="s">
        <v>246</v>
      </c>
      <c r="D5" s="461" t="s">
        <v>339</v>
      </c>
      <c r="E5" s="461">
        <v>160</v>
      </c>
      <c r="F5" s="461">
        <v>0</v>
      </c>
      <c r="G5" s="461">
        <v>5</v>
      </c>
      <c r="H5" s="461">
        <v>8</v>
      </c>
      <c r="I5" s="461">
        <v>40</v>
      </c>
      <c r="J5" s="461">
        <v>30</v>
      </c>
      <c r="K5" s="461">
        <v>76</v>
      </c>
    </row>
    <row r="6" spans="1:11" x14ac:dyDescent="0.35">
      <c r="A6" s="461" t="s">
        <v>242</v>
      </c>
      <c r="B6" s="461" t="s">
        <v>238</v>
      </c>
      <c r="C6" s="461" t="s">
        <v>246</v>
      </c>
      <c r="D6" s="461" t="s">
        <v>339</v>
      </c>
      <c r="E6" s="461">
        <v>184</v>
      </c>
      <c r="F6" s="461">
        <v>0</v>
      </c>
      <c r="G6" s="461">
        <v>5</v>
      </c>
      <c r="H6" s="461">
        <v>8</v>
      </c>
      <c r="I6" s="461">
        <v>43</v>
      </c>
      <c r="J6" s="461">
        <v>27</v>
      </c>
      <c r="K6" s="461">
        <v>101</v>
      </c>
    </row>
    <row r="7" spans="1:11" x14ac:dyDescent="0.35">
      <c r="A7" s="461" t="s">
        <v>241</v>
      </c>
      <c r="B7" s="461" t="s">
        <v>238</v>
      </c>
      <c r="C7" s="461" t="s">
        <v>246</v>
      </c>
      <c r="D7" s="461" t="s">
        <v>339</v>
      </c>
      <c r="E7" s="461">
        <v>202.33</v>
      </c>
      <c r="F7" s="461">
        <v>1</v>
      </c>
      <c r="G7" s="461">
        <v>4</v>
      </c>
      <c r="H7" s="461">
        <v>9</v>
      </c>
      <c r="I7" s="461">
        <v>42</v>
      </c>
      <c r="J7" s="461">
        <v>27</v>
      </c>
      <c r="K7" s="461">
        <v>119.33000000000001</v>
      </c>
    </row>
    <row r="8" spans="1:11" x14ac:dyDescent="0.35">
      <c r="A8" s="461" t="s">
        <v>773</v>
      </c>
      <c r="B8" s="461" t="s">
        <v>238</v>
      </c>
      <c r="C8" s="461" t="s">
        <v>246</v>
      </c>
      <c r="D8" s="461" t="s">
        <v>339</v>
      </c>
      <c r="E8" s="461">
        <v>183.83</v>
      </c>
      <c r="F8" s="461">
        <v>1</v>
      </c>
      <c r="G8" s="461">
        <v>4</v>
      </c>
      <c r="H8" s="461">
        <v>8</v>
      </c>
      <c r="I8" s="461">
        <v>45</v>
      </c>
      <c r="J8" s="461">
        <v>26</v>
      </c>
      <c r="K8" s="461">
        <v>99.830000000000013</v>
      </c>
    </row>
    <row r="9" spans="1:11" x14ac:dyDescent="0.35">
      <c r="A9" s="461" t="s">
        <v>951</v>
      </c>
      <c r="B9" s="461" t="s">
        <v>238</v>
      </c>
      <c r="C9" s="461" t="s">
        <v>246</v>
      </c>
      <c r="D9" s="461" t="s">
        <v>339</v>
      </c>
      <c r="E9" s="461">
        <v>176.06</v>
      </c>
      <c r="F9" s="461">
        <v>1</v>
      </c>
      <c r="G9" s="461">
        <v>4</v>
      </c>
      <c r="H9" s="461">
        <v>10</v>
      </c>
      <c r="I9" s="461">
        <v>41</v>
      </c>
      <c r="J9" s="461">
        <v>30</v>
      </c>
      <c r="K9" s="461">
        <v>90.06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59999389629810485"/>
    <pageSetUpPr fitToPage="1"/>
  </sheetPr>
  <dimension ref="A1:I49"/>
  <sheetViews>
    <sheetView showGridLines="0" workbookViewId="0">
      <pane ySplit="2" topLeftCell="A3" activePane="bottomLeft" state="frozen"/>
      <selection pane="bottomLeft" sqref="A1:C1"/>
    </sheetView>
  </sheetViews>
  <sheetFormatPr defaultRowHeight="14.5" x14ac:dyDescent="0.35"/>
  <cols>
    <col min="1" max="1" width="16.81640625" customWidth="1"/>
    <col min="2" max="2" width="22" customWidth="1"/>
    <col min="3" max="7" width="13.81640625" customWidth="1"/>
    <col min="8" max="9" width="11.1796875" customWidth="1"/>
    <col min="10" max="10" width="4.1796875" customWidth="1"/>
    <col min="11" max="11" width="13.453125" customWidth="1"/>
  </cols>
  <sheetData>
    <row r="1" spans="1:8" ht="15.5" x14ac:dyDescent="0.35">
      <c r="A1" s="1160" t="s">
        <v>521</v>
      </c>
      <c r="B1" s="1160"/>
      <c r="C1" s="1160"/>
    </row>
    <row r="2" spans="1:8" ht="15.5" x14ac:dyDescent="0.35">
      <c r="A2" s="601" t="s">
        <v>509</v>
      </c>
      <c r="B2" s="603"/>
      <c r="C2" s="603"/>
    </row>
    <row r="3" spans="1:8" ht="15.5" x14ac:dyDescent="0.35">
      <c r="D3" s="209"/>
      <c r="E3" s="209"/>
      <c r="F3" s="209"/>
    </row>
    <row r="4" spans="1:8" ht="15.5" x14ac:dyDescent="0.35">
      <c r="A4" s="1161" t="s">
        <v>523</v>
      </c>
      <c r="B4" s="1161"/>
      <c r="C4" s="1161"/>
      <c r="D4" s="1161"/>
      <c r="E4" s="1161"/>
      <c r="F4" s="1161"/>
    </row>
    <row r="5" spans="1:8" ht="15.5" x14ac:dyDescent="0.35">
      <c r="A5" t="s">
        <v>320</v>
      </c>
      <c r="B5" t="s">
        <v>637</v>
      </c>
      <c r="C5" s="606"/>
      <c r="D5" s="606"/>
      <c r="E5" s="606"/>
      <c r="F5" s="606"/>
    </row>
    <row r="6" spans="1:8" ht="15.5" x14ac:dyDescent="0.35">
      <c r="A6" t="s">
        <v>321</v>
      </c>
      <c r="B6" t="s">
        <v>323</v>
      </c>
      <c r="C6" s="606"/>
      <c r="D6" s="606"/>
      <c r="E6" s="606"/>
      <c r="F6" s="606"/>
    </row>
    <row r="7" spans="1:8" ht="15.5" x14ac:dyDescent="0.35">
      <c r="A7" t="s">
        <v>322</v>
      </c>
      <c r="B7" t="s">
        <v>324</v>
      </c>
      <c r="C7" s="606"/>
      <c r="D7" s="606"/>
      <c r="E7" s="606"/>
      <c r="F7" s="606"/>
    </row>
    <row r="8" spans="1:8" ht="15.5" x14ac:dyDescent="0.35">
      <c r="C8" s="748"/>
      <c r="D8" s="748"/>
      <c r="E8" s="748"/>
      <c r="F8" s="748"/>
    </row>
    <row r="9" spans="1:8" x14ac:dyDescent="0.35">
      <c r="A9" s="359"/>
    </row>
    <row r="10" spans="1:8" ht="15.5" x14ac:dyDescent="0.35">
      <c r="A10" s="921" t="s">
        <v>1</v>
      </c>
      <c r="B10" s="922" t="str">
        <f>CrewingModelAreaPivot!B1</f>
        <v>2020-21</v>
      </c>
      <c r="C10" s="214"/>
      <c r="D10" s="214"/>
      <c r="E10" s="214"/>
      <c r="F10" s="214"/>
      <c r="G10" s="214"/>
      <c r="H10" s="445" t="s">
        <v>6</v>
      </c>
    </row>
    <row r="11" spans="1:8" s="563" customFormat="1" ht="27.75" customHeight="1" x14ac:dyDescent="0.35">
      <c r="A11" s="622" t="s">
        <v>449</v>
      </c>
      <c r="B11" s="622" t="s">
        <v>30</v>
      </c>
      <c r="C11" s="225" t="s">
        <v>112</v>
      </c>
      <c r="D11" s="225" t="s">
        <v>341</v>
      </c>
      <c r="E11" s="225" t="s">
        <v>342</v>
      </c>
      <c r="F11" s="225" t="s">
        <v>185</v>
      </c>
      <c r="G11" s="225" t="s">
        <v>29</v>
      </c>
      <c r="H11" s="623" t="s">
        <v>26</v>
      </c>
    </row>
    <row r="12" spans="1:8" ht="19.5" customHeight="1" x14ac:dyDescent="0.35">
      <c r="A12" s="103" t="s">
        <v>286</v>
      </c>
      <c r="B12" s="470" t="s">
        <v>31</v>
      </c>
      <c r="C12" s="58">
        <f>CrewingModelAreaPivot!B4</f>
        <v>3</v>
      </c>
      <c r="D12" s="58">
        <f>CrewingModelAreaPivot!C4</f>
        <v>0</v>
      </c>
      <c r="E12" s="58">
        <f>CrewingModelAreaPivot!D4</f>
        <v>0</v>
      </c>
      <c r="F12" s="58">
        <f>CrewingModelAreaPivot!E4</f>
        <v>1</v>
      </c>
      <c r="G12" s="58">
        <f>CrewingModelAreaPivot!F4</f>
        <v>0</v>
      </c>
      <c r="H12" s="216">
        <f>SUM(C12:G12)</f>
        <v>4</v>
      </c>
    </row>
    <row r="13" spans="1:8" x14ac:dyDescent="0.35">
      <c r="A13" s="103" t="s">
        <v>287</v>
      </c>
      <c r="B13" s="61" t="s">
        <v>32</v>
      </c>
      <c r="C13" s="58">
        <f>CrewingModelAreaPivot!B5</f>
        <v>0</v>
      </c>
      <c r="D13" s="58">
        <f>CrewingModelAreaPivot!C5</f>
        <v>1</v>
      </c>
      <c r="E13" s="58">
        <f>CrewingModelAreaPivot!D5</f>
        <v>0</v>
      </c>
      <c r="F13" s="58">
        <f>CrewingModelAreaPivot!E5</f>
        <v>23</v>
      </c>
      <c r="G13" s="58">
        <f>CrewingModelAreaPivot!F5</f>
        <v>0</v>
      </c>
      <c r="H13" s="102">
        <f t="shared" ref="H13:H43" si="0">SUM(C13:G13)</f>
        <v>24</v>
      </c>
    </row>
    <row r="14" spans="1:8" x14ac:dyDescent="0.35">
      <c r="A14" s="103" t="s">
        <v>293</v>
      </c>
      <c r="B14" s="61" t="s">
        <v>33</v>
      </c>
      <c r="C14" s="58">
        <f>CrewingModelAreaPivot!B6</f>
        <v>0</v>
      </c>
      <c r="D14" s="58">
        <f>CrewingModelAreaPivot!C6</f>
        <v>1</v>
      </c>
      <c r="E14" s="58">
        <f>CrewingModelAreaPivot!D6</f>
        <v>0</v>
      </c>
      <c r="F14" s="58">
        <f>CrewingModelAreaPivot!E6</f>
        <v>5</v>
      </c>
      <c r="G14" s="58">
        <f>CrewingModelAreaPivot!F6</f>
        <v>0</v>
      </c>
      <c r="H14" s="102">
        <f t="shared" si="0"/>
        <v>6</v>
      </c>
    </row>
    <row r="15" spans="1:8" x14ac:dyDescent="0.35">
      <c r="A15" s="103" t="s">
        <v>288</v>
      </c>
      <c r="B15" s="61" t="s">
        <v>34</v>
      </c>
      <c r="C15" s="58">
        <f>CrewingModelAreaPivot!B7</f>
        <v>0</v>
      </c>
      <c r="D15" s="58">
        <f>CrewingModelAreaPivot!C7</f>
        <v>2</v>
      </c>
      <c r="E15" s="58">
        <f>CrewingModelAreaPivot!D7</f>
        <v>0</v>
      </c>
      <c r="F15" s="58">
        <f>CrewingModelAreaPivot!E7</f>
        <v>12</v>
      </c>
      <c r="G15" s="58">
        <f>CrewingModelAreaPivot!F7</f>
        <v>25</v>
      </c>
      <c r="H15" s="102">
        <f t="shared" si="0"/>
        <v>39</v>
      </c>
    </row>
    <row r="16" spans="1:8" x14ac:dyDescent="0.35">
      <c r="A16" s="103" t="s">
        <v>289</v>
      </c>
      <c r="B16" s="61" t="s">
        <v>245</v>
      </c>
      <c r="C16" s="58">
        <f>CrewingModelAreaPivot!B8</f>
        <v>7</v>
      </c>
      <c r="D16" s="58">
        <f>CrewingModelAreaPivot!C8</f>
        <v>0</v>
      </c>
      <c r="E16" s="58">
        <f>CrewingModelAreaPivot!D8</f>
        <v>0</v>
      </c>
      <c r="F16" s="58">
        <f>CrewingModelAreaPivot!E8</f>
        <v>1</v>
      </c>
      <c r="G16" s="58">
        <f>CrewingModelAreaPivot!F8</f>
        <v>0</v>
      </c>
      <c r="H16" s="102">
        <f t="shared" si="0"/>
        <v>8</v>
      </c>
    </row>
    <row r="17" spans="1:8" x14ac:dyDescent="0.35">
      <c r="A17" s="103" t="s">
        <v>267</v>
      </c>
      <c r="B17" s="61" t="s">
        <v>35</v>
      </c>
      <c r="C17" s="58">
        <f>CrewingModelAreaPivot!B9</f>
        <v>0</v>
      </c>
      <c r="D17" s="58">
        <f>CrewingModelAreaPivot!C9</f>
        <v>1</v>
      </c>
      <c r="E17" s="58">
        <f>CrewingModelAreaPivot!D9</f>
        <v>0</v>
      </c>
      <c r="F17" s="58">
        <f>CrewingModelAreaPivot!E9</f>
        <v>1</v>
      </c>
      <c r="G17" s="58">
        <f>CrewingModelAreaPivot!F9</f>
        <v>0</v>
      </c>
      <c r="H17" s="102">
        <f t="shared" si="0"/>
        <v>2</v>
      </c>
    </row>
    <row r="18" spans="1:8" x14ac:dyDescent="0.35">
      <c r="A18" s="103" t="s">
        <v>268</v>
      </c>
      <c r="B18" s="61" t="s">
        <v>36</v>
      </c>
      <c r="C18" s="58">
        <f>CrewingModelAreaPivot!B10</f>
        <v>0</v>
      </c>
      <c r="D18" s="58">
        <f>CrewingModelAreaPivot!C10</f>
        <v>1</v>
      </c>
      <c r="E18" s="58">
        <f>CrewingModelAreaPivot!D10</f>
        <v>0</v>
      </c>
      <c r="F18" s="58">
        <f>CrewingModelAreaPivot!E10</f>
        <v>15</v>
      </c>
      <c r="G18" s="58">
        <f>CrewingModelAreaPivot!F10</f>
        <v>1</v>
      </c>
      <c r="H18" s="102">
        <f t="shared" si="0"/>
        <v>17</v>
      </c>
    </row>
    <row r="19" spans="1:8" x14ac:dyDescent="0.35">
      <c r="A19" s="103" t="s">
        <v>294</v>
      </c>
      <c r="B19" s="61" t="s">
        <v>37</v>
      </c>
      <c r="C19" s="58">
        <f>CrewingModelAreaPivot!B11</f>
        <v>3</v>
      </c>
      <c r="D19" s="58">
        <f>CrewingModelAreaPivot!C11</f>
        <v>1</v>
      </c>
      <c r="E19" s="58">
        <f>CrewingModelAreaPivot!D11</f>
        <v>0</v>
      </c>
      <c r="F19" s="58">
        <f>CrewingModelAreaPivot!E11</f>
        <v>0</v>
      </c>
      <c r="G19" s="58">
        <f>CrewingModelAreaPivot!F11</f>
        <v>0</v>
      </c>
      <c r="H19" s="102">
        <f t="shared" si="0"/>
        <v>4</v>
      </c>
    </row>
    <row r="20" spans="1:8" x14ac:dyDescent="0.35">
      <c r="A20" s="103" t="s">
        <v>269</v>
      </c>
      <c r="B20" s="61" t="s">
        <v>38</v>
      </c>
      <c r="C20" s="58">
        <f>CrewingModelAreaPivot!B12</f>
        <v>1</v>
      </c>
      <c r="D20" s="58">
        <f>CrewingModelAreaPivot!C12</f>
        <v>0</v>
      </c>
      <c r="E20" s="58">
        <f>CrewingModelAreaPivot!D12</f>
        <v>0</v>
      </c>
      <c r="F20" s="58">
        <f>CrewingModelAreaPivot!E12</f>
        <v>7</v>
      </c>
      <c r="G20" s="58">
        <f>CrewingModelAreaPivot!F12</f>
        <v>0</v>
      </c>
      <c r="H20" s="102">
        <f t="shared" si="0"/>
        <v>8</v>
      </c>
    </row>
    <row r="21" spans="1:8" x14ac:dyDescent="0.35">
      <c r="A21" s="103" t="s">
        <v>296</v>
      </c>
      <c r="B21" s="61" t="s">
        <v>39</v>
      </c>
      <c r="C21" s="58">
        <f>CrewingModelAreaPivot!B13</f>
        <v>3</v>
      </c>
      <c r="D21" s="58">
        <f>CrewingModelAreaPivot!C13</f>
        <v>0</v>
      </c>
      <c r="E21" s="58">
        <f>CrewingModelAreaPivot!D13</f>
        <v>0</v>
      </c>
      <c r="F21" s="58">
        <f>CrewingModelAreaPivot!E13</f>
        <v>0</v>
      </c>
      <c r="G21" s="58">
        <f>CrewingModelAreaPivot!F13</f>
        <v>0</v>
      </c>
      <c r="H21" s="102">
        <f t="shared" si="0"/>
        <v>3</v>
      </c>
    </row>
    <row r="22" spans="1:8" x14ac:dyDescent="0.35">
      <c r="A22" s="103" t="s">
        <v>270</v>
      </c>
      <c r="B22" s="61" t="s">
        <v>40</v>
      </c>
      <c r="C22" s="58">
        <f>CrewingModelAreaPivot!B14</f>
        <v>1</v>
      </c>
      <c r="D22" s="58">
        <f>CrewingModelAreaPivot!C14</f>
        <v>0</v>
      </c>
      <c r="E22" s="58">
        <f>CrewingModelAreaPivot!D14</f>
        <v>0</v>
      </c>
      <c r="F22" s="58">
        <f>CrewingModelAreaPivot!E14</f>
        <v>5</v>
      </c>
      <c r="G22" s="58">
        <f>CrewingModelAreaPivot!F14</f>
        <v>0</v>
      </c>
      <c r="H22" s="102">
        <f t="shared" si="0"/>
        <v>6</v>
      </c>
    </row>
    <row r="23" spans="1:8" x14ac:dyDescent="0.35">
      <c r="A23" s="103" t="s">
        <v>271</v>
      </c>
      <c r="B23" s="61" t="s">
        <v>41</v>
      </c>
      <c r="C23" s="58">
        <f>CrewingModelAreaPivot!B15</f>
        <v>2</v>
      </c>
      <c r="D23" s="58">
        <f>CrewingModelAreaPivot!C15</f>
        <v>0</v>
      </c>
      <c r="E23" s="58">
        <f>CrewingModelAreaPivot!D15</f>
        <v>0</v>
      </c>
      <c r="F23" s="58">
        <f>CrewingModelAreaPivot!E15</f>
        <v>0</v>
      </c>
      <c r="G23" s="58">
        <f>CrewingModelAreaPivot!F15</f>
        <v>0</v>
      </c>
      <c r="H23" s="102">
        <f t="shared" si="0"/>
        <v>2</v>
      </c>
    </row>
    <row r="24" spans="1:8" x14ac:dyDescent="0.35">
      <c r="A24" s="103" t="s">
        <v>273</v>
      </c>
      <c r="B24" s="61" t="s">
        <v>42</v>
      </c>
      <c r="C24" s="58">
        <f>CrewingModelAreaPivot!B16</f>
        <v>0</v>
      </c>
      <c r="D24" s="58">
        <f>CrewingModelAreaPivot!C16</f>
        <v>3</v>
      </c>
      <c r="E24" s="58">
        <f>CrewingModelAreaPivot!D16</f>
        <v>0</v>
      </c>
      <c r="F24" s="58">
        <f>CrewingModelAreaPivot!E16</f>
        <v>2</v>
      </c>
      <c r="G24" s="58">
        <f>CrewingModelAreaPivot!F16</f>
        <v>0</v>
      </c>
      <c r="H24" s="102">
        <f t="shared" si="0"/>
        <v>5</v>
      </c>
    </row>
    <row r="25" spans="1:8" x14ac:dyDescent="0.35">
      <c r="A25" s="103" t="s">
        <v>298</v>
      </c>
      <c r="B25" s="61" t="s">
        <v>43</v>
      </c>
      <c r="C25" s="58">
        <f>CrewingModelAreaPivot!B17</f>
        <v>5</v>
      </c>
      <c r="D25" s="58">
        <f>CrewingModelAreaPivot!C17</f>
        <v>0</v>
      </c>
      <c r="E25" s="58">
        <f>CrewingModelAreaPivot!D17</f>
        <v>0</v>
      </c>
      <c r="F25" s="58">
        <f>CrewingModelAreaPivot!E17</f>
        <v>8</v>
      </c>
      <c r="G25" s="58">
        <f>CrewingModelAreaPivot!F17</f>
        <v>0</v>
      </c>
      <c r="H25" s="102">
        <f t="shared" si="0"/>
        <v>13</v>
      </c>
    </row>
    <row r="26" spans="1:8" x14ac:dyDescent="0.35">
      <c r="A26" s="103" t="str">
        <f>IF(A10 = "2019-20","S12000049","S12000046")</f>
        <v>S12000046</v>
      </c>
      <c r="B26" s="61" t="s">
        <v>114</v>
      </c>
      <c r="C26" s="58">
        <f>CrewingModelAreaPivot!B18</f>
        <v>11</v>
      </c>
      <c r="D26" s="58">
        <f>CrewingModelAreaPivot!C18</f>
        <v>0</v>
      </c>
      <c r="E26" s="58">
        <f>CrewingModelAreaPivot!D18</f>
        <v>0</v>
      </c>
      <c r="F26" s="58">
        <f>CrewingModelAreaPivot!E18</f>
        <v>0</v>
      </c>
      <c r="G26" s="58">
        <f>CrewingModelAreaPivot!F18</f>
        <v>0</v>
      </c>
      <c r="H26" s="102">
        <f t="shared" si="0"/>
        <v>11</v>
      </c>
    </row>
    <row r="27" spans="1:8" x14ac:dyDescent="0.35">
      <c r="A27" s="103" t="s">
        <v>274</v>
      </c>
      <c r="B27" s="61" t="s">
        <v>44</v>
      </c>
      <c r="C27" s="58">
        <f>CrewingModelAreaPivot!B19</f>
        <v>0</v>
      </c>
      <c r="D27" s="58">
        <f>CrewingModelAreaPivot!C19</f>
        <v>1</v>
      </c>
      <c r="E27" s="58">
        <f>CrewingModelAreaPivot!D19</f>
        <v>0</v>
      </c>
      <c r="F27" s="58">
        <f>CrewingModelAreaPivot!E19</f>
        <v>51</v>
      </c>
      <c r="G27" s="58">
        <f>CrewingModelAreaPivot!F19</f>
        <v>9</v>
      </c>
      <c r="H27" s="102">
        <f t="shared" si="0"/>
        <v>61</v>
      </c>
    </row>
    <row r="28" spans="1:8" x14ac:dyDescent="0.35">
      <c r="A28" s="103" t="s">
        <v>275</v>
      </c>
      <c r="B28" s="61" t="s">
        <v>45</v>
      </c>
      <c r="C28" s="58">
        <f>CrewingModelAreaPivot!B20</f>
        <v>0</v>
      </c>
      <c r="D28" s="58">
        <f>CrewingModelAreaPivot!C20</f>
        <v>2</v>
      </c>
      <c r="E28" s="58">
        <f>CrewingModelAreaPivot!D20</f>
        <v>0</v>
      </c>
      <c r="F28" s="58">
        <f>CrewingModelAreaPivot!E20</f>
        <v>1</v>
      </c>
      <c r="G28" s="58">
        <f>CrewingModelAreaPivot!F20</f>
        <v>0</v>
      </c>
      <c r="H28" s="102">
        <f t="shared" si="0"/>
        <v>3</v>
      </c>
    </row>
    <row r="29" spans="1:8" x14ac:dyDescent="0.35">
      <c r="A29" s="103" t="s">
        <v>276</v>
      </c>
      <c r="B29" s="61" t="s">
        <v>46</v>
      </c>
      <c r="C29" s="58">
        <f>CrewingModelAreaPivot!B21</f>
        <v>1</v>
      </c>
      <c r="D29" s="58">
        <f>CrewingModelAreaPivot!C21</f>
        <v>0</v>
      </c>
      <c r="E29" s="58">
        <f>CrewingModelAreaPivot!D21</f>
        <v>0</v>
      </c>
      <c r="F29" s="58">
        <f>CrewingModelAreaPivot!E21</f>
        <v>1</v>
      </c>
      <c r="G29" s="58">
        <f>CrewingModelAreaPivot!F21</f>
        <v>0</v>
      </c>
      <c r="H29" s="102">
        <f t="shared" si="0"/>
        <v>2</v>
      </c>
    </row>
    <row r="30" spans="1:8" x14ac:dyDescent="0.35">
      <c r="A30" s="103" t="s">
        <v>277</v>
      </c>
      <c r="B30" s="61" t="s">
        <v>47</v>
      </c>
      <c r="C30" s="58">
        <f>CrewingModelAreaPivot!B22</f>
        <v>0</v>
      </c>
      <c r="D30" s="58">
        <f>CrewingModelAreaPivot!C22</f>
        <v>1</v>
      </c>
      <c r="E30" s="58">
        <f>CrewingModelAreaPivot!D22</f>
        <v>0</v>
      </c>
      <c r="F30" s="58">
        <f>CrewingModelAreaPivot!E22</f>
        <v>10</v>
      </c>
      <c r="G30" s="58">
        <f>CrewingModelAreaPivot!F22</f>
        <v>1</v>
      </c>
      <c r="H30" s="102">
        <f t="shared" si="0"/>
        <v>12</v>
      </c>
    </row>
    <row r="31" spans="1:8" x14ac:dyDescent="0.35">
      <c r="A31" s="103" t="s">
        <v>272</v>
      </c>
      <c r="B31" s="61" t="s">
        <v>48</v>
      </c>
      <c r="C31" s="58">
        <f>CrewingModelAreaPivot!B23</f>
        <v>0</v>
      </c>
      <c r="D31" s="58">
        <f>CrewingModelAreaPivot!C23</f>
        <v>0</v>
      </c>
      <c r="E31" s="58">
        <f>CrewingModelAreaPivot!D23</f>
        <v>0</v>
      </c>
      <c r="F31" s="58">
        <f>CrewingModelAreaPivot!E23</f>
        <v>14</v>
      </c>
      <c r="G31" s="58">
        <f>CrewingModelAreaPivot!F23</f>
        <v>0</v>
      </c>
      <c r="H31" s="102">
        <f t="shared" si="0"/>
        <v>14</v>
      </c>
    </row>
    <row r="32" spans="1:8" x14ac:dyDescent="0.35">
      <c r="A32" s="103" t="s">
        <v>278</v>
      </c>
      <c r="B32" s="61" t="s">
        <v>49</v>
      </c>
      <c r="C32" s="58">
        <f>CrewingModelAreaPivot!B24</f>
        <v>1</v>
      </c>
      <c r="D32" s="58">
        <f>CrewingModelAreaPivot!C24</f>
        <v>2</v>
      </c>
      <c r="E32" s="58">
        <f>CrewingModelAreaPivot!D24</f>
        <v>0</v>
      </c>
      <c r="F32" s="58">
        <f>CrewingModelAreaPivot!E24</f>
        <v>8</v>
      </c>
      <c r="G32" s="58">
        <f>CrewingModelAreaPivot!F24</f>
        <v>3</v>
      </c>
      <c r="H32" s="102">
        <f t="shared" si="0"/>
        <v>14</v>
      </c>
    </row>
    <row r="33" spans="1:9" x14ac:dyDescent="0.35">
      <c r="A33" s="103" t="str">
        <f>IF(A10="2019-20","S12000050","S12000044")</f>
        <v>S12000044</v>
      </c>
      <c r="B33" s="61" t="s">
        <v>50</v>
      </c>
      <c r="C33" s="58">
        <f>CrewingModelAreaPivot!B25</f>
        <v>4</v>
      </c>
      <c r="D33" s="58">
        <f>CrewingModelAreaPivot!C25</f>
        <v>0</v>
      </c>
      <c r="E33" s="58">
        <f>CrewingModelAreaPivot!D25</f>
        <v>0</v>
      </c>
      <c r="F33" s="58">
        <f>CrewingModelAreaPivot!E25</f>
        <v>3</v>
      </c>
      <c r="G33" s="58">
        <f>CrewingModelAreaPivot!F25</f>
        <v>0</v>
      </c>
      <c r="H33" s="102">
        <f t="shared" si="0"/>
        <v>7</v>
      </c>
    </row>
    <row r="34" spans="1:9" x14ac:dyDescent="0.35">
      <c r="A34" s="103" t="s">
        <v>279</v>
      </c>
      <c r="B34" s="61" t="s">
        <v>51</v>
      </c>
      <c r="C34" s="58">
        <f>CrewingModelAreaPivot!B26</f>
        <v>0</v>
      </c>
      <c r="D34" s="58">
        <f>CrewingModelAreaPivot!C26</f>
        <v>0</v>
      </c>
      <c r="E34" s="58">
        <f>CrewingModelAreaPivot!D26</f>
        <v>0</v>
      </c>
      <c r="F34" s="58">
        <f>CrewingModelAreaPivot!E26</f>
        <v>12</v>
      </c>
      <c r="G34" s="58">
        <f>CrewingModelAreaPivot!F26</f>
        <v>0</v>
      </c>
      <c r="H34" s="102">
        <f t="shared" si="0"/>
        <v>12</v>
      </c>
    </row>
    <row r="35" spans="1:9" x14ac:dyDescent="0.35">
      <c r="A35" s="103" t="s">
        <v>280</v>
      </c>
      <c r="B35" s="61" t="s">
        <v>52</v>
      </c>
      <c r="C35" s="58">
        <f>CrewingModelAreaPivot!B27</f>
        <v>1</v>
      </c>
      <c r="D35" s="58">
        <f>CrewingModelAreaPivot!C27</f>
        <v>0</v>
      </c>
      <c r="E35" s="58">
        <f>CrewingModelAreaPivot!D27</f>
        <v>0</v>
      </c>
      <c r="F35" s="58">
        <f>CrewingModelAreaPivot!E27</f>
        <v>10</v>
      </c>
      <c r="G35" s="58">
        <f>CrewingModelAreaPivot!F27</f>
        <v>3</v>
      </c>
      <c r="H35" s="102">
        <f t="shared" si="0"/>
        <v>14</v>
      </c>
    </row>
    <row r="36" spans="1:9" x14ac:dyDescent="0.35">
      <c r="A36" s="103" t="s">
        <v>290</v>
      </c>
      <c r="B36" s="61" t="s">
        <v>53</v>
      </c>
      <c r="C36" s="58">
        <f>CrewingModelAreaPivot!B28</f>
        <v>2</v>
      </c>
      <c r="D36" s="58">
        <f>CrewingModelAreaPivot!C28</f>
        <v>1</v>
      </c>
      <c r="E36" s="58">
        <f>CrewingModelAreaPivot!D28</f>
        <v>0</v>
      </c>
      <c r="F36" s="58">
        <f>CrewingModelAreaPivot!E28</f>
        <v>0</v>
      </c>
      <c r="G36" s="58">
        <f>CrewingModelAreaPivot!F28</f>
        <v>0</v>
      </c>
      <c r="H36" s="102">
        <f t="shared" si="0"/>
        <v>3</v>
      </c>
    </row>
    <row r="37" spans="1:9" x14ac:dyDescent="0.35">
      <c r="A37" s="103" t="s">
        <v>281</v>
      </c>
      <c r="B37" s="61" t="s">
        <v>54</v>
      </c>
      <c r="C37" s="58">
        <f>CrewingModelAreaPivot!B29</f>
        <v>0</v>
      </c>
      <c r="D37" s="58">
        <f>CrewingModelAreaPivot!C29</f>
        <v>2</v>
      </c>
      <c r="E37" s="58">
        <f>CrewingModelAreaPivot!D29</f>
        <v>0</v>
      </c>
      <c r="F37" s="58">
        <f>CrewingModelAreaPivot!E29</f>
        <v>11</v>
      </c>
      <c r="G37" s="58">
        <f>CrewingModelAreaPivot!F29</f>
        <v>0</v>
      </c>
      <c r="H37" s="102">
        <f t="shared" si="0"/>
        <v>13</v>
      </c>
    </row>
    <row r="38" spans="1:9" x14ac:dyDescent="0.35">
      <c r="A38" s="103" t="s">
        <v>282</v>
      </c>
      <c r="B38" s="61" t="s">
        <v>55</v>
      </c>
      <c r="C38" s="58">
        <f>CrewingModelAreaPivot!B30</f>
        <v>0</v>
      </c>
      <c r="D38" s="58">
        <f>CrewingModelAreaPivot!C30</f>
        <v>0</v>
      </c>
      <c r="E38" s="58">
        <f>CrewingModelAreaPivot!D30</f>
        <v>0</v>
      </c>
      <c r="F38" s="58">
        <f>CrewingModelAreaPivot!E30</f>
        <v>14</v>
      </c>
      <c r="G38" s="58">
        <f>CrewingModelAreaPivot!F30</f>
        <v>0</v>
      </c>
      <c r="H38" s="102">
        <f t="shared" si="0"/>
        <v>14</v>
      </c>
    </row>
    <row r="39" spans="1:9" x14ac:dyDescent="0.35">
      <c r="A39" s="103" t="s">
        <v>283</v>
      </c>
      <c r="B39" s="61" t="s">
        <v>56</v>
      </c>
      <c r="C39" s="58">
        <f>CrewingModelAreaPivot!B31</f>
        <v>0</v>
      </c>
      <c r="D39" s="58">
        <f>CrewingModelAreaPivot!C31</f>
        <v>1</v>
      </c>
      <c r="E39" s="58">
        <f>CrewingModelAreaPivot!D31</f>
        <v>0</v>
      </c>
      <c r="F39" s="58">
        <f>CrewingModelAreaPivot!E31</f>
        <v>4</v>
      </c>
      <c r="G39" s="58">
        <f>CrewingModelAreaPivot!F31</f>
        <v>0</v>
      </c>
      <c r="H39" s="102">
        <f t="shared" si="0"/>
        <v>5</v>
      </c>
    </row>
    <row r="40" spans="1:9" x14ac:dyDescent="0.35">
      <c r="A40" s="103" t="s">
        <v>284</v>
      </c>
      <c r="B40" s="61" t="s">
        <v>57</v>
      </c>
      <c r="C40" s="58">
        <f>CrewingModelAreaPivot!B32</f>
        <v>3</v>
      </c>
      <c r="D40" s="58">
        <f>CrewingModelAreaPivot!C32</f>
        <v>1</v>
      </c>
      <c r="E40" s="58">
        <f>CrewingModelAreaPivot!D32</f>
        <v>0</v>
      </c>
      <c r="F40" s="58">
        <f>CrewingModelAreaPivot!E32</f>
        <v>7</v>
      </c>
      <c r="G40" s="58">
        <f>CrewingModelAreaPivot!F32</f>
        <v>1</v>
      </c>
      <c r="H40" s="102">
        <f t="shared" si="0"/>
        <v>12</v>
      </c>
    </row>
    <row r="41" spans="1:9" x14ac:dyDescent="0.35">
      <c r="A41" s="103" t="s">
        <v>285</v>
      </c>
      <c r="B41" s="61" t="s">
        <v>58</v>
      </c>
      <c r="C41" s="58">
        <f>CrewingModelAreaPivot!B33</f>
        <v>1</v>
      </c>
      <c r="D41" s="58">
        <f>CrewingModelAreaPivot!C33</f>
        <v>0</v>
      </c>
      <c r="E41" s="58">
        <f>CrewingModelAreaPivot!D33</f>
        <v>0</v>
      </c>
      <c r="F41" s="58">
        <f>CrewingModelAreaPivot!E33</f>
        <v>9</v>
      </c>
      <c r="G41" s="58">
        <f>CrewingModelAreaPivot!F33</f>
        <v>0</v>
      </c>
      <c r="H41" s="102">
        <f t="shared" si="0"/>
        <v>10</v>
      </c>
    </row>
    <row r="42" spans="1:9" x14ac:dyDescent="0.35">
      <c r="A42" s="103" t="s">
        <v>291</v>
      </c>
      <c r="B42" s="61" t="s">
        <v>59</v>
      </c>
      <c r="C42" s="58">
        <f>CrewingModelAreaPivot!B34</f>
        <v>1</v>
      </c>
      <c r="D42" s="58">
        <f>CrewingModelAreaPivot!C34</f>
        <v>1</v>
      </c>
      <c r="E42" s="58">
        <f>CrewingModelAreaPivot!D34</f>
        <v>0</v>
      </c>
      <c r="F42" s="58">
        <f>CrewingModelAreaPivot!E34</f>
        <v>1</v>
      </c>
      <c r="G42" s="58">
        <f>CrewingModelAreaPivot!F34</f>
        <v>0</v>
      </c>
      <c r="H42" s="102">
        <f t="shared" si="0"/>
        <v>3</v>
      </c>
    </row>
    <row r="43" spans="1:9" x14ac:dyDescent="0.35">
      <c r="A43" s="103" t="s">
        <v>292</v>
      </c>
      <c r="B43" s="61" t="s">
        <v>60</v>
      </c>
      <c r="C43" s="58">
        <f>CrewingModelAreaPivot!B35</f>
        <v>0</v>
      </c>
      <c r="D43" s="58">
        <f>CrewingModelAreaPivot!C35</f>
        <v>1</v>
      </c>
      <c r="E43" s="58">
        <f>CrewingModelAreaPivot!D35</f>
        <v>1</v>
      </c>
      <c r="F43" s="58">
        <f>CrewingModelAreaPivot!E35</f>
        <v>4</v>
      </c>
      <c r="G43" s="58">
        <f>CrewingModelAreaPivot!F35</f>
        <v>0</v>
      </c>
      <c r="H43" s="102">
        <f t="shared" si="0"/>
        <v>6</v>
      </c>
    </row>
    <row r="44" spans="1:9" ht="21.75" customHeight="1" thickBot="1" x14ac:dyDescent="0.4">
      <c r="A44" s="38"/>
      <c r="B44" s="38" t="s">
        <v>734</v>
      </c>
      <c r="C44" s="82">
        <f t="shared" ref="C44:H44" si="1">SUM(C12:C43)</f>
        <v>50</v>
      </c>
      <c r="D44" s="82">
        <f t="shared" si="1"/>
        <v>23</v>
      </c>
      <c r="E44" s="82">
        <f t="shared" si="1"/>
        <v>1</v>
      </c>
      <c r="F44" s="82">
        <f t="shared" si="1"/>
        <v>240</v>
      </c>
      <c r="G44" s="82">
        <f t="shared" si="1"/>
        <v>43</v>
      </c>
      <c r="H44" s="82">
        <f t="shared" si="1"/>
        <v>357</v>
      </c>
    </row>
    <row r="45" spans="1:9" x14ac:dyDescent="0.35">
      <c r="B45" s="217"/>
      <c r="C45" s="218"/>
      <c r="D45" s="218"/>
      <c r="E45" s="218"/>
      <c r="F45" s="218"/>
      <c r="G45" s="218"/>
      <c r="H45" s="218"/>
    </row>
    <row r="46" spans="1:9" ht="15" customHeight="1" x14ac:dyDescent="0.35">
      <c r="A46" s="61" t="s">
        <v>8</v>
      </c>
    </row>
    <row r="47" spans="1:9" ht="30.75" customHeight="1" x14ac:dyDescent="0.35">
      <c r="A47" s="1163" t="s">
        <v>953</v>
      </c>
      <c r="B47" s="1163"/>
      <c r="C47" s="1163"/>
      <c r="D47" s="1163"/>
      <c r="E47" s="1163"/>
      <c r="F47" s="1163"/>
      <c r="G47" s="1163"/>
      <c r="H47" s="1163"/>
    </row>
    <row r="48" spans="1:9" ht="30.75" customHeight="1" x14ac:dyDescent="0.35">
      <c r="A48" s="1162" t="s">
        <v>721</v>
      </c>
      <c r="B48" s="1162"/>
      <c r="C48" s="1162"/>
      <c r="D48" s="1162"/>
      <c r="E48" s="1162"/>
      <c r="F48" s="1162"/>
      <c r="G48" s="1162"/>
      <c r="H48" s="1162"/>
      <c r="I48" s="1162"/>
    </row>
    <row r="49" spans="1:8" x14ac:dyDescent="0.35">
      <c r="A49" s="1163" t="s">
        <v>953</v>
      </c>
      <c r="B49" s="1163"/>
      <c r="C49" s="1163"/>
      <c r="D49" s="1163"/>
      <c r="E49" s="1163"/>
      <c r="F49" s="1163"/>
      <c r="G49" s="1163"/>
      <c r="H49" s="1163"/>
    </row>
  </sheetData>
  <sheetProtection algorithmName="SHA-512" hashValue="lOUfKTDsX81RUpvs+/2LjxqDu1TItTS6bnam9S2LFrEjkfVvyDOVqCQrQ0YPT/wIgMX8yE5tHgdGZOBMQ3oqyw==" saltValue="pUrOYW/Jt6v06EhsILcP+w==" spinCount="100000" sheet="1" scenarios="1" formatCells="0" formatColumns="0" formatRows="0" sort="0" autoFilter="0" pivotTables="0"/>
  <mergeCells count="5">
    <mergeCell ref="A48:I48"/>
    <mergeCell ref="A1:C1"/>
    <mergeCell ref="A4:F4"/>
    <mergeCell ref="A49:H49"/>
    <mergeCell ref="A47:H47"/>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71" orientation="portrait" r:id="rId1"/>
  <ignoredErrors>
    <ignoredError sqref="B10" unlockedFormula="1"/>
  </ignoredErrors>
  <drawing r:id="rId2"/>
  <extLst>
    <ext xmlns:x14="http://schemas.microsoft.com/office/spreadsheetml/2009/9/main" uri="{A8765BA9-456A-4dab-B4F3-ACF838C121DE}">
      <x14:slicerList>
        <x14:slicer r:id="rId3"/>
      </x14:slicerList>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10"/>
  <sheetViews>
    <sheetView workbookViewId="0">
      <selection activeCell="D6" sqref="D6"/>
    </sheetView>
  </sheetViews>
  <sheetFormatPr defaultRowHeight="14.5" x14ac:dyDescent="0.35"/>
  <cols>
    <col min="1" max="1" width="14.26953125" bestFit="1" customWidth="1"/>
    <col min="2" max="2" width="14" bestFit="1" customWidth="1"/>
    <col min="3" max="3" width="21.08984375" bestFit="1" customWidth="1"/>
    <col min="4" max="4" width="18" bestFit="1" customWidth="1"/>
    <col min="5" max="5" width="17.54296875" bestFit="1" customWidth="1"/>
    <col min="6" max="6" width="23.26953125" bestFit="1" customWidth="1"/>
    <col min="7" max="7" width="18.36328125" bestFit="1" customWidth="1"/>
    <col min="8" max="8" width="19.81640625" bestFit="1" customWidth="1"/>
    <col min="9" max="9" width="11.36328125" bestFit="1" customWidth="1"/>
  </cols>
  <sheetData>
    <row r="1" spans="1:9" x14ac:dyDescent="0.35">
      <c r="A1" s="459" t="s">
        <v>1</v>
      </c>
      <c r="B1" t="s">
        <v>951</v>
      </c>
    </row>
    <row r="3" spans="1:9" x14ac:dyDescent="0.35">
      <c r="A3" s="459" t="s">
        <v>234</v>
      </c>
      <c r="B3" t="s">
        <v>259</v>
      </c>
      <c r="C3" t="s">
        <v>260</v>
      </c>
      <c r="D3" t="s">
        <v>261</v>
      </c>
      <c r="E3" t="s">
        <v>262</v>
      </c>
      <c r="F3" t="s">
        <v>263</v>
      </c>
      <c r="G3" t="s">
        <v>264</v>
      </c>
      <c r="H3" t="s">
        <v>265</v>
      </c>
      <c r="I3" t="s">
        <v>240</v>
      </c>
    </row>
    <row r="4" spans="1:9" x14ac:dyDescent="0.35">
      <c r="A4" s="1154" t="s">
        <v>238</v>
      </c>
      <c r="B4" s="461"/>
      <c r="C4" s="461"/>
      <c r="D4" s="461"/>
      <c r="E4" s="461"/>
      <c r="F4" s="461"/>
      <c r="G4" s="461"/>
      <c r="H4" s="461"/>
      <c r="I4" s="461"/>
    </row>
    <row r="5" spans="1:9" x14ac:dyDescent="0.35">
      <c r="A5" s="462" t="s">
        <v>246</v>
      </c>
      <c r="B5" s="461">
        <v>3</v>
      </c>
      <c r="C5" s="461">
        <v>49.8</v>
      </c>
      <c r="D5" s="461">
        <v>30</v>
      </c>
      <c r="E5" s="461">
        <v>88.43</v>
      </c>
      <c r="F5" s="461">
        <v>399.88000000000005</v>
      </c>
      <c r="G5" s="461">
        <v>55.73</v>
      </c>
      <c r="H5" s="461">
        <v>160.44999999999999</v>
      </c>
      <c r="I5" s="461">
        <v>787.29000000000019</v>
      </c>
    </row>
    <row r="6" spans="1:9" x14ac:dyDescent="0.35">
      <c r="A6" s="1154" t="s">
        <v>854</v>
      </c>
      <c r="B6" s="461">
        <v>3</v>
      </c>
      <c r="C6" s="461">
        <v>49.8</v>
      </c>
      <c r="D6" s="461">
        <v>30</v>
      </c>
      <c r="E6" s="461">
        <v>88.43</v>
      </c>
      <c r="F6" s="461">
        <v>399.88000000000005</v>
      </c>
      <c r="G6" s="461">
        <v>55.73</v>
      </c>
      <c r="H6" s="461">
        <v>160.44999999999999</v>
      </c>
      <c r="I6" s="461">
        <v>787.29000000000019</v>
      </c>
    </row>
    <row r="7" spans="1:9" x14ac:dyDescent="0.35">
      <c r="A7" s="1154" t="s">
        <v>26</v>
      </c>
      <c r="B7" s="461"/>
      <c r="C7" s="461"/>
      <c r="D7" s="461"/>
      <c r="E7" s="461"/>
      <c r="F7" s="461"/>
      <c r="G7" s="461"/>
      <c r="H7" s="461"/>
      <c r="I7" s="461"/>
    </row>
    <row r="8" spans="1:9" x14ac:dyDescent="0.35">
      <c r="A8" s="462" t="s">
        <v>246</v>
      </c>
      <c r="B8" s="461">
        <v>49.8</v>
      </c>
      <c r="C8" s="461">
        <v>88.429999999999993</v>
      </c>
      <c r="D8" s="461">
        <v>55.730000000000004</v>
      </c>
      <c r="E8" s="461">
        <v>30</v>
      </c>
      <c r="F8" s="461">
        <v>399.87999999999994</v>
      </c>
      <c r="G8" s="461">
        <v>160.44999999999999</v>
      </c>
      <c r="H8" s="461">
        <v>3</v>
      </c>
      <c r="I8" s="461">
        <v>787.29</v>
      </c>
    </row>
    <row r="9" spans="1:9" x14ac:dyDescent="0.35">
      <c r="A9" s="1154" t="s">
        <v>17430</v>
      </c>
      <c r="B9" s="461">
        <v>49.8</v>
      </c>
      <c r="C9" s="461">
        <v>88.429999999999993</v>
      </c>
      <c r="D9" s="461">
        <v>55.730000000000004</v>
      </c>
      <c r="E9" s="461">
        <v>30</v>
      </c>
      <c r="F9" s="461">
        <v>399.87999999999994</v>
      </c>
      <c r="G9" s="461">
        <v>160.44999999999999</v>
      </c>
      <c r="H9" s="461">
        <v>3</v>
      </c>
      <c r="I9" s="461">
        <v>787.29</v>
      </c>
    </row>
    <row r="10" spans="1:9" x14ac:dyDescent="0.35">
      <c r="A10" s="1154" t="s">
        <v>239</v>
      </c>
      <c r="B10" s="461">
        <v>52.8</v>
      </c>
      <c r="C10" s="461">
        <v>138.22999999999999</v>
      </c>
      <c r="D10" s="461">
        <v>85.73</v>
      </c>
      <c r="E10" s="461">
        <v>118.43</v>
      </c>
      <c r="F10" s="461">
        <v>799.76</v>
      </c>
      <c r="G10" s="461">
        <v>216.17999999999998</v>
      </c>
      <c r="H10" s="461">
        <v>163.44999999999999</v>
      </c>
      <c r="I10" s="461">
        <v>1574.5800000000002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31"/>
  <sheetViews>
    <sheetView workbookViewId="0">
      <selection activeCell="A14" sqref="A14"/>
    </sheetView>
  </sheetViews>
  <sheetFormatPr defaultRowHeight="14.5" x14ac:dyDescent="0.35"/>
  <cols>
    <col min="1" max="1" width="7.453125" bestFit="1" customWidth="1"/>
    <col min="2" max="2" width="9.7265625" bestFit="1" customWidth="1"/>
    <col min="3" max="3" width="15.54296875" bestFit="1" customWidth="1"/>
    <col min="4" max="4" width="7.90625" bestFit="1" customWidth="1"/>
    <col min="5" max="5" width="9.90625" bestFit="1" customWidth="1"/>
    <col min="6" max="6" width="16.90625" bestFit="1" customWidth="1"/>
    <col min="7" max="7" width="13.81640625" bestFit="1" customWidth="1"/>
    <col min="8" max="8" width="13.36328125" bestFit="1" customWidth="1"/>
    <col min="9" max="9" width="19.08984375" bestFit="1" customWidth="1"/>
    <col min="10" max="10" width="14.1796875" bestFit="1" customWidth="1"/>
    <col min="11" max="11" width="15.7265625" bestFit="1" customWidth="1"/>
    <col min="12" max="12" width="11.81640625" bestFit="1" customWidth="1"/>
  </cols>
  <sheetData>
    <row r="1" spans="1:12" x14ac:dyDescent="0.35">
      <c r="A1" s="461" t="s">
        <v>1</v>
      </c>
      <c r="B1" s="461" t="s">
        <v>244</v>
      </c>
      <c r="C1" s="461" t="s">
        <v>17409</v>
      </c>
      <c r="D1" s="461" t="s">
        <v>17410</v>
      </c>
      <c r="E1" s="461" t="s">
        <v>199</v>
      </c>
      <c r="F1" s="461" t="s">
        <v>77</v>
      </c>
      <c r="G1" s="461" t="s">
        <v>80</v>
      </c>
      <c r="H1" s="461" t="s">
        <v>78</v>
      </c>
      <c r="I1" s="461" t="s">
        <v>302</v>
      </c>
      <c r="J1" s="461" t="s">
        <v>303</v>
      </c>
      <c r="K1" s="461" t="s">
        <v>91</v>
      </c>
      <c r="L1" s="461" t="s">
        <v>26</v>
      </c>
    </row>
    <row r="2" spans="1:12" hidden="1" x14ac:dyDescent="0.35">
      <c r="A2" s="461" t="s">
        <v>194</v>
      </c>
      <c r="B2" s="461" t="s">
        <v>353</v>
      </c>
      <c r="C2" s="461" t="s">
        <v>238</v>
      </c>
      <c r="D2" s="461" t="s">
        <v>166</v>
      </c>
      <c r="E2" s="461"/>
      <c r="F2" s="461">
        <v>6</v>
      </c>
      <c r="G2" s="461">
        <v>2</v>
      </c>
      <c r="H2" s="461">
        <v>7</v>
      </c>
      <c r="I2" s="461">
        <v>44.7</v>
      </c>
      <c r="J2" s="461">
        <v>36.700000000000003</v>
      </c>
      <c r="K2" s="461">
        <v>40.699999999999996</v>
      </c>
      <c r="L2" s="461">
        <v>137.1</v>
      </c>
    </row>
    <row r="3" spans="1:12" hidden="1" x14ac:dyDescent="0.35">
      <c r="A3" s="461" t="s">
        <v>194</v>
      </c>
      <c r="B3" s="461" t="s">
        <v>355</v>
      </c>
      <c r="C3" s="461" t="s">
        <v>238</v>
      </c>
      <c r="D3" s="461" t="s">
        <v>164</v>
      </c>
      <c r="E3" s="461"/>
      <c r="F3" s="461">
        <v>4</v>
      </c>
      <c r="G3" s="461">
        <v>4.8</v>
      </c>
      <c r="H3" s="461">
        <v>5.8</v>
      </c>
      <c r="I3" s="461">
        <v>57</v>
      </c>
      <c r="J3" s="461">
        <v>15.899999999999999</v>
      </c>
      <c r="K3" s="461">
        <v>34.200000000000003</v>
      </c>
      <c r="L3" s="461">
        <v>121.7</v>
      </c>
    </row>
    <row r="4" spans="1:12" hidden="1" x14ac:dyDescent="0.35">
      <c r="A4" s="461" t="s">
        <v>194</v>
      </c>
      <c r="B4" s="461" t="s">
        <v>339</v>
      </c>
      <c r="C4" s="461" t="s">
        <v>238</v>
      </c>
      <c r="D4" s="461" t="s">
        <v>246</v>
      </c>
      <c r="E4" s="461"/>
      <c r="F4" s="461">
        <v>55.7</v>
      </c>
      <c r="G4" s="461">
        <v>9</v>
      </c>
      <c r="H4" s="461">
        <v>21.5</v>
      </c>
      <c r="I4" s="461">
        <v>52.3</v>
      </c>
      <c r="J4" s="461">
        <v>46.4</v>
      </c>
      <c r="K4" s="461">
        <v>42.4</v>
      </c>
      <c r="L4" s="461">
        <v>227.3</v>
      </c>
    </row>
    <row r="5" spans="1:12" hidden="1" x14ac:dyDescent="0.35">
      <c r="A5" s="461" t="s">
        <v>194</v>
      </c>
      <c r="B5" s="461" t="s">
        <v>354</v>
      </c>
      <c r="C5" s="461" t="s">
        <v>238</v>
      </c>
      <c r="D5" s="461" t="s">
        <v>165</v>
      </c>
      <c r="E5" s="461"/>
      <c r="F5" s="461">
        <v>4</v>
      </c>
      <c r="G5" s="461">
        <v>4</v>
      </c>
      <c r="H5" s="461">
        <v>8</v>
      </c>
      <c r="I5" s="461">
        <v>102.4</v>
      </c>
      <c r="J5" s="461">
        <v>100.5</v>
      </c>
      <c r="K5" s="461">
        <v>106.3</v>
      </c>
      <c r="L5" s="461">
        <v>325.2</v>
      </c>
    </row>
    <row r="6" spans="1:12" hidden="1" x14ac:dyDescent="0.35">
      <c r="A6" s="461" t="s">
        <v>193</v>
      </c>
      <c r="B6" s="461" t="s">
        <v>353</v>
      </c>
      <c r="C6" s="461" t="s">
        <v>238</v>
      </c>
      <c r="D6" s="461" t="s">
        <v>166</v>
      </c>
      <c r="E6" s="461"/>
      <c r="F6" s="461">
        <v>3</v>
      </c>
      <c r="G6" s="461">
        <v>7</v>
      </c>
      <c r="H6" s="461">
        <v>11</v>
      </c>
      <c r="I6" s="461">
        <v>46.7</v>
      </c>
      <c r="J6" s="461">
        <v>36.069999999999986</v>
      </c>
      <c r="K6" s="461">
        <v>24.580000000000005</v>
      </c>
      <c r="L6" s="461">
        <v>128.35</v>
      </c>
    </row>
    <row r="7" spans="1:12" hidden="1" x14ac:dyDescent="0.35">
      <c r="A7" s="461" t="s">
        <v>193</v>
      </c>
      <c r="B7" s="461" t="s">
        <v>355</v>
      </c>
      <c r="C7" s="461" t="s">
        <v>238</v>
      </c>
      <c r="D7" s="461" t="s">
        <v>164</v>
      </c>
      <c r="E7" s="461"/>
      <c r="F7" s="461">
        <v>3</v>
      </c>
      <c r="G7" s="461">
        <v>7</v>
      </c>
      <c r="H7" s="461">
        <v>5.83</v>
      </c>
      <c r="I7" s="461">
        <v>62.64</v>
      </c>
      <c r="J7" s="461">
        <v>15.44</v>
      </c>
      <c r="K7" s="461">
        <v>21.74</v>
      </c>
      <c r="L7" s="461">
        <v>115.65</v>
      </c>
    </row>
    <row r="8" spans="1:12" hidden="1" x14ac:dyDescent="0.35">
      <c r="A8" s="461" t="s">
        <v>193</v>
      </c>
      <c r="B8" s="461" t="s">
        <v>339</v>
      </c>
      <c r="C8" s="461" t="s">
        <v>238</v>
      </c>
      <c r="D8" s="461" t="s">
        <v>246</v>
      </c>
      <c r="E8" s="461">
        <v>2</v>
      </c>
      <c r="F8" s="461">
        <v>34.99</v>
      </c>
      <c r="G8" s="461">
        <v>12.9</v>
      </c>
      <c r="H8" s="461">
        <v>25.28</v>
      </c>
      <c r="I8" s="461">
        <v>109.36000000000001</v>
      </c>
      <c r="J8" s="461">
        <v>0</v>
      </c>
      <c r="K8" s="461">
        <v>38.92</v>
      </c>
      <c r="L8" s="461">
        <v>223.45000000000002</v>
      </c>
    </row>
    <row r="9" spans="1:12" hidden="1" x14ac:dyDescent="0.35">
      <c r="A9" s="461" t="s">
        <v>193</v>
      </c>
      <c r="B9" s="461" t="s">
        <v>354</v>
      </c>
      <c r="C9" s="461" t="s">
        <v>238</v>
      </c>
      <c r="D9" s="461" t="s">
        <v>165</v>
      </c>
      <c r="E9" s="461"/>
      <c r="F9" s="461">
        <v>3</v>
      </c>
      <c r="G9" s="461">
        <v>9</v>
      </c>
      <c r="H9" s="461">
        <v>13.36</v>
      </c>
      <c r="I9" s="461">
        <v>108.52999999999999</v>
      </c>
      <c r="J9" s="461">
        <v>75.46999999999997</v>
      </c>
      <c r="K9" s="461">
        <v>67.15000000000002</v>
      </c>
      <c r="L9" s="461">
        <v>276.51</v>
      </c>
    </row>
    <row r="10" spans="1:12" x14ac:dyDescent="0.35">
      <c r="A10" s="461" t="s">
        <v>192</v>
      </c>
      <c r="B10" s="461" t="s">
        <v>353</v>
      </c>
      <c r="C10" s="461" t="s">
        <v>238</v>
      </c>
      <c r="D10" s="461" t="s">
        <v>166</v>
      </c>
      <c r="E10" s="461"/>
      <c r="F10" s="461">
        <v>3</v>
      </c>
      <c r="G10" s="461">
        <v>5</v>
      </c>
      <c r="H10" s="461">
        <v>11.528571428571428</v>
      </c>
      <c r="I10" s="461">
        <v>33.935714285714283</v>
      </c>
      <c r="J10" s="461">
        <v>32.164285714285711</v>
      </c>
      <c r="K10" s="461">
        <v>10.092857142857142</v>
      </c>
      <c r="L10" s="461">
        <v>95.721428571428561</v>
      </c>
    </row>
    <row r="11" spans="1:12" x14ac:dyDescent="0.35">
      <c r="A11" s="461" t="s">
        <v>192</v>
      </c>
      <c r="B11" s="461" t="s">
        <v>355</v>
      </c>
      <c r="C11" s="461" t="s">
        <v>238</v>
      </c>
      <c r="D11" s="461" t="s">
        <v>164</v>
      </c>
      <c r="E11" s="461"/>
      <c r="F11" s="461">
        <v>3</v>
      </c>
      <c r="G11" s="461">
        <v>7</v>
      </c>
      <c r="H11" s="461">
        <v>10.214285714285715</v>
      </c>
      <c r="I11" s="461">
        <v>59.985714285714288</v>
      </c>
      <c r="J11" s="461">
        <v>16.166857142857143</v>
      </c>
      <c r="K11" s="461">
        <v>14.585714285714284</v>
      </c>
      <c r="L11" s="461">
        <v>110.95257142857143</v>
      </c>
    </row>
    <row r="12" spans="1:12" x14ac:dyDescent="0.35">
      <c r="A12" s="461" t="s">
        <v>192</v>
      </c>
      <c r="B12" s="461" t="s">
        <v>339</v>
      </c>
      <c r="C12" s="461" t="s">
        <v>238</v>
      </c>
      <c r="D12" s="461" t="s">
        <v>246</v>
      </c>
      <c r="E12" s="461">
        <v>3</v>
      </c>
      <c r="F12" s="461">
        <v>32</v>
      </c>
      <c r="G12" s="461">
        <v>11.709428571428571</v>
      </c>
      <c r="H12" s="461">
        <v>34.285714285714285</v>
      </c>
      <c r="I12" s="461">
        <v>106.63857142857142</v>
      </c>
      <c r="J12" s="461">
        <v>3.8905714285714286</v>
      </c>
      <c r="K12" s="461">
        <v>85</v>
      </c>
      <c r="L12" s="461">
        <v>276.74971428571428</v>
      </c>
    </row>
    <row r="13" spans="1:12" x14ac:dyDescent="0.35">
      <c r="A13" s="461" t="s">
        <v>192</v>
      </c>
      <c r="B13" s="461" t="s">
        <v>339</v>
      </c>
      <c r="C13" s="461" t="s">
        <v>26</v>
      </c>
      <c r="D13" s="461" t="s">
        <v>246</v>
      </c>
      <c r="E13" s="461">
        <v>3</v>
      </c>
      <c r="F13" s="461">
        <v>40</v>
      </c>
      <c r="G13" s="461">
        <v>33</v>
      </c>
      <c r="H13" s="461">
        <v>71</v>
      </c>
      <c r="I13" s="461">
        <v>304</v>
      </c>
      <c r="J13" s="461">
        <v>122</v>
      </c>
      <c r="K13" s="461">
        <v>146</v>
      </c>
      <c r="L13" s="461">
        <v>719</v>
      </c>
    </row>
    <row r="14" spans="1:12" x14ac:dyDescent="0.35">
      <c r="A14" s="461" t="s">
        <v>192</v>
      </c>
      <c r="B14" s="461" t="s">
        <v>354</v>
      </c>
      <c r="C14" s="461" t="s">
        <v>238</v>
      </c>
      <c r="D14" s="461" t="s">
        <v>165</v>
      </c>
      <c r="E14" s="461"/>
      <c r="F14" s="461">
        <v>2</v>
      </c>
      <c r="G14" s="461">
        <v>9.6</v>
      </c>
      <c r="H14" s="461">
        <v>14.685714285714285</v>
      </c>
      <c r="I14" s="461">
        <v>97.048571428571421</v>
      </c>
      <c r="J14" s="461">
        <v>61.014285714285712</v>
      </c>
      <c r="K14" s="461">
        <v>35.368571428571428</v>
      </c>
      <c r="L14" s="461">
        <v>219.71714285714287</v>
      </c>
    </row>
    <row r="15" spans="1:12" x14ac:dyDescent="0.35">
      <c r="A15" s="461" t="s">
        <v>258</v>
      </c>
      <c r="B15" s="461" t="s">
        <v>353</v>
      </c>
      <c r="C15" s="461" t="s">
        <v>238</v>
      </c>
      <c r="D15" s="461" t="s">
        <v>166</v>
      </c>
      <c r="E15" s="461"/>
      <c r="F15" s="461">
        <v>3</v>
      </c>
      <c r="G15" s="461">
        <v>5</v>
      </c>
      <c r="H15" s="461">
        <v>12</v>
      </c>
      <c r="I15" s="461">
        <v>47</v>
      </c>
      <c r="J15" s="461">
        <v>29</v>
      </c>
      <c r="K15" s="461">
        <v>16</v>
      </c>
      <c r="L15" s="461">
        <v>113</v>
      </c>
    </row>
    <row r="16" spans="1:12" x14ac:dyDescent="0.35">
      <c r="A16" s="461" t="s">
        <v>258</v>
      </c>
      <c r="B16" s="461" t="s">
        <v>355</v>
      </c>
      <c r="C16" s="461" t="s">
        <v>238</v>
      </c>
      <c r="D16" s="461" t="s">
        <v>164</v>
      </c>
      <c r="E16" s="461"/>
      <c r="F16" s="461">
        <v>3</v>
      </c>
      <c r="G16" s="461">
        <v>7</v>
      </c>
      <c r="H16" s="461">
        <v>11</v>
      </c>
      <c r="I16" s="461">
        <v>70</v>
      </c>
      <c r="J16" s="461">
        <v>11</v>
      </c>
      <c r="K16" s="461">
        <v>21</v>
      </c>
      <c r="L16" s="461">
        <v>124</v>
      </c>
    </row>
    <row r="17" spans="1:12" x14ac:dyDescent="0.35">
      <c r="A17" s="461" t="s">
        <v>258</v>
      </c>
      <c r="B17" s="461" t="s">
        <v>339</v>
      </c>
      <c r="C17" s="461" t="s">
        <v>238</v>
      </c>
      <c r="D17" s="461" t="s">
        <v>246</v>
      </c>
      <c r="E17" s="461">
        <v>3</v>
      </c>
      <c r="F17" s="461">
        <v>34</v>
      </c>
      <c r="G17" s="461">
        <v>12</v>
      </c>
      <c r="H17" s="461">
        <v>36</v>
      </c>
      <c r="I17" s="461">
        <v>100</v>
      </c>
      <c r="J17" s="461">
        <v>5</v>
      </c>
      <c r="K17" s="461">
        <v>58</v>
      </c>
      <c r="L17" s="461">
        <v>250</v>
      </c>
    </row>
    <row r="18" spans="1:12" x14ac:dyDescent="0.35">
      <c r="A18" s="461" t="s">
        <v>258</v>
      </c>
      <c r="B18" s="461" t="s">
        <v>339</v>
      </c>
      <c r="C18" s="461" t="s">
        <v>26</v>
      </c>
      <c r="D18" s="461" t="s">
        <v>246</v>
      </c>
      <c r="E18" s="461">
        <v>3</v>
      </c>
      <c r="F18" s="461">
        <v>42</v>
      </c>
      <c r="G18" s="461">
        <v>33</v>
      </c>
      <c r="H18" s="461">
        <v>74</v>
      </c>
      <c r="I18" s="461">
        <v>334</v>
      </c>
      <c r="J18" s="461">
        <v>115</v>
      </c>
      <c r="K18" s="461">
        <v>140</v>
      </c>
      <c r="L18" s="461">
        <v>745</v>
      </c>
    </row>
    <row r="19" spans="1:12" x14ac:dyDescent="0.35">
      <c r="A19" s="461" t="s">
        <v>258</v>
      </c>
      <c r="B19" s="461" t="s">
        <v>354</v>
      </c>
      <c r="C19" s="461" t="s">
        <v>238</v>
      </c>
      <c r="D19" s="461" t="s">
        <v>165</v>
      </c>
      <c r="F19">
        <v>2</v>
      </c>
      <c r="G19">
        <v>9</v>
      </c>
      <c r="H19">
        <v>14</v>
      </c>
      <c r="I19">
        <v>114</v>
      </c>
      <c r="J19">
        <v>64</v>
      </c>
      <c r="K19">
        <v>43</v>
      </c>
      <c r="L19">
        <v>248</v>
      </c>
    </row>
    <row r="20" spans="1:12" hidden="1" x14ac:dyDescent="0.35">
      <c r="A20" s="461" t="s">
        <v>242</v>
      </c>
      <c r="B20" s="461" t="s">
        <v>17485</v>
      </c>
      <c r="C20" s="461" t="s">
        <v>238</v>
      </c>
      <c r="D20" s="461" t="s">
        <v>246</v>
      </c>
      <c r="F20">
        <v>8</v>
      </c>
      <c r="G20">
        <v>20</v>
      </c>
      <c r="H20">
        <v>35</v>
      </c>
      <c r="I20">
        <v>250</v>
      </c>
      <c r="J20">
        <v>106</v>
      </c>
      <c r="K20">
        <v>79</v>
      </c>
      <c r="L20">
        <v>499</v>
      </c>
    </row>
    <row r="21" spans="1:12" hidden="1" x14ac:dyDescent="0.35">
      <c r="A21" s="461" t="s">
        <v>242</v>
      </c>
      <c r="B21" s="461" t="s">
        <v>17486</v>
      </c>
      <c r="C21" s="461" t="s">
        <v>238</v>
      </c>
      <c r="D21" s="461" t="s">
        <v>246</v>
      </c>
      <c r="F21">
        <v>3</v>
      </c>
      <c r="G21">
        <v>3</v>
      </c>
      <c r="H21">
        <v>10</v>
      </c>
      <c r="I21">
        <v>44</v>
      </c>
      <c r="J21">
        <v>30</v>
      </c>
      <c r="K21">
        <v>16</v>
      </c>
      <c r="L21">
        <v>105</v>
      </c>
    </row>
    <row r="22" spans="1:12" hidden="1" x14ac:dyDescent="0.35">
      <c r="A22" s="461" t="s">
        <v>242</v>
      </c>
      <c r="B22" s="461" t="s">
        <v>17487</v>
      </c>
      <c r="C22" s="461" t="s">
        <v>238</v>
      </c>
      <c r="D22" s="461" t="s">
        <v>246</v>
      </c>
      <c r="F22">
        <v>3</v>
      </c>
      <c r="G22">
        <v>8</v>
      </c>
      <c r="H22">
        <v>10</v>
      </c>
      <c r="I22">
        <v>78</v>
      </c>
      <c r="J22">
        <v>13</v>
      </c>
      <c r="K22">
        <v>20</v>
      </c>
      <c r="L22">
        <v>133</v>
      </c>
    </row>
    <row r="23" spans="1:12" hidden="1" x14ac:dyDescent="0.35">
      <c r="A23" s="461" t="s">
        <v>242</v>
      </c>
      <c r="B23" s="461" t="s">
        <v>339</v>
      </c>
      <c r="C23" s="461" t="s">
        <v>238</v>
      </c>
      <c r="D23" s="461" t="s">
        <v>246</v>
      </c>
      <c r="E23">
        <v>2</v>
      </c>
      <c r="F23">
        <v>42</v>
      </c>
      <c r="G23">
        <v>11</v>
      </c>
      <c r="H23">
        <v>40</v>
      </c>
      <c r="I23">
        <v>105</v>
      </c>
      <c r="J23">
        <v>4</v>
      </c>
      <c r="K23">
        <v>56</v>
      </c>
      <c r="L23">
        <v>260</v>
      </c>
    </row>
    <row r="24" spans="1:12" hidden="1" x14ac:dyDescent="0.35">
      <c r="A24" s="461" t="s">
        <v>242</v>
      </c>
      <c r="B24" s="461" t="s">
        <v>17488</v>
      </c>
      <c r="C24" s="461" t="s">
        <v>238</v>
      </c>
      <c r="D24" s="461" t="s">
        <v>246</v>
      </c>
      <c r="F24">
        <v>2</v>
      </c>
      <c r="G24">
        <v>9</v>
      </c>
      <c r="H24">
        <v>15</v>
      </c>
      <c r="I24">
        <v>128</v>
      </c>
      <c r="J24">
        <v>63</v>
      </c>
      <c r="K24">
        <v>43</v>
      </c>
      <c r="L24">
        <v>260</v>
      </c>
    </row>
    <row r="25" spans="1:12" hidden="1" x14ac:dyDescent="0.35">
      <c r="A25" s="461" t="s">
        <v>242</v>
      </c>
      <c r="B25" s="461" t="s">
        <v>339</v>
      </c>
      <c r="C25" s="461" t="s">
        <v>26</v>
      </c>
      <c r="D25" s="461" t="s">
        <v>246</v>
      </c>
      <c r="E25">
        <v>2</v>
      </c>
      <c r="F25">
        <v>50</v>
      </c>
      <c r="G25">
        <v>31</v>
      </c>
      <c r="H25">
        <v>76</v>
      </c>
      <c r="I25">
        <v>355</v>
      </c>
      <c r="J25">
        <v>110</v>
      </c>
      <c r="K25">
        <v>135</v>
      </c>
      <c r="L25">
        <v>759</v>
      </c>
    </row>
    <row r="26" spans="1:12" hidden="1" x14ac:dyDescent="0.35">
      <c r="A26" s="461" t="s">
        <v>241</v>
      </c>
      <c r="B26" s="461" t="s">
        <v>339</v>
      </c>
      <c r="C26" s="461" t="s">
        <v>238</v>
      </c>
      <c r="D26" s="461" t="s">
        <v>246</v>
      </c>
      <c r="E26">
        <v>3</v>
      </c>
      <c r="F26">
        <v>49</v>
      </c>
      <c r="G26">
        <v>34</v>
      </c>
      <c r="H26">
        <v>80.399999999999991</v>
      </c>
      <c r="I26">
        <v>375.55999999999995</v>
      </c>
      <c r="J26">
        <v>58.61</v>
      </c>
      <c r="K26">
        <v>144.99</v>
      </c>
      <c r="L26">
        <v>745.56</v>
      </c>
    </row>
    <row r="27" spans="1:12" hidden="1" x14ac:dyDescent="0.35">
      <c r="A27" s="461" t="s">
        <v>241</v>
      </c>
      <c r="B27" s="461" t="s">
        <v>339</v>
      </c>
      <c r="C27" s="461" t="s">
        <v>26</v>
      </c>
      <c r="D27" s="461" t="s">
        <v>246</v>
      </c>
      <c r="E27">
        <v>49</v>
      </c>
      <c r="F27">
        <v>80.400000000000006</v>
      </c>
      <c r="G27">
        <v>58.61</v>
      </c>
      <c r="H27">
        <v>34</v>
      </c>
      <c r="I27">
        <v>375.56</v>
      </c>
      <c r="J27">
        <v>144.99</v>
      </c>
      <c r="K27">
        <v>3</v>
      </c>
      <c r="L27">
        <v>745.56</v>
      </c>
    </row>
    <row r="28" spans="1:12" hidden="1" x14ac:dyDescent="0.35">
      <c r="A28" s="461" t="s">
        <v>773</v>
      </c>
      <c r="B28" s="461" t="s">
        <v>339</v>
      </c>
      <c r="C28" s="461" t="s">
        <v>238</v>
      </c>
      <c r="D28" s="461" t="s">
        <v>246</v>
      </c>
      <c r="E28">
        <v>3</v>
      </c>
      <c r="F28">
        <v>47</v>
      </c>
      <c r="G28">
        <v>32</v>
      </c>
      <c r="H28">
        <v>88.61</v>
      </c>
      <c r="I28">
        <v>382.5</v>
      </c>
      <c r="J28">
        <v>56.949999999999996</v>
      </c>
      <c r="K28">
        <v>154.33999999999997</v>
      </c>
      <c r="L28">
        <v>764.40000000000009</v>
      </c>
    </row>
    <row r="29" spans="1:12" hidden="1" x14ac:dyDescent="0.35">
      <c r="A29" s="461" t="s">
        <v>773</v>
      </c>
      <c r="B29" s="461" t="s">
        <v>339</v>
      </c>
      <c r="C29" s="461" t="s">
        <v>26</v>
      </c>
      <c r="D29" s="461" t="s">
        <v>246</v>
      </c>
      <c r="E29">
        <v>47</v>
      </c>
      <c r="F29">
        <v>88.61</v>
      </c>
      <c r="G29">
        <v>56.95</v>
      </c>
      <c r="H29">
        <v>32</v>
      </c>
      <c r="I29">
        <v>382.5</v>
      </c>
      <c r="J29">
        <v>154.34</v>
      </c>
      <c r="K29">
        <v>3</v>
      </c>
      <c r="L29">
        <v>764.4</v>
      </c>
    </row>
    <row r="30" spans="1:12" hidden="1" x14ac:dyDescent="0.35">
      <c r="A30" s="461" t="s">
        <v>951</v>
      </c>
      <c r="B30" s="461" t="s">
        <v>339</v>
      </c>
      <c r="C30" s="461" t="s">
        <v>238</v>
      </c>
      <c r="D30" s="461" t="s">
        <v>246</v>
      </c>
      <c r="E30">
        <v>3</v>
      </c>
      <c r="F30">
        <v>49.8</v>
      </c>
      <c r="G30">
        <v>30</v>
      </c>
      <c r="H30">
        <v>88.43</v>
      </c>
      <c r="I30">
        <v>399.88000000000005</v>
      </c>
      <c r="J30">
        <v>55.73</v>
      </c>
      <c r="K30">
        <v>160.44999999999999</v>
      </c>
      <c r="L30">
        <v>787.29000000000019</v>
      </c>
    </row>
    <row r="31" spans="1:12" hidden="1" x14ac:dyDescent="0.35">
      <c r="A31" s="461" t="s">
        <v>951</v>
      </c>
      <c r="B31" s="461" t="s">
        <v>339</v>
      </c>
      <c r="C31" s="461" t="s">
        <v>26</v>
      </c>
      <c r="D31" s="461" t="s">
        <v>246</v>
      </c>
      <c r="E31">
        <v>49.8</v>
      </c>
      <c r="F31">
        <v>88.429999999999993</v>
      </c>
      <c r="G31">
        <v>55.730000000000004</v>
      </c>
      <c r="H31">
        <v>30</v>
      </c>
      <c r="I31">
        <v>399.87999999999994</v>
      </c>
      <c r="J31">
        <v>160.44999999999999</v>
      </c>
      <c r="K31">
        <v>3</v>
      </c>
      <c r="L31">
        <v>787.29</v>
      </c>
    </row>
  </sheetData>
  <pageMargins left="0.7" right="0.7" top="0.75" bottom="0.75" header="0.3" footer="0.3"/>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39997558519241921"/>
    <pageSetUpPr fitToPage="1"/>
  </sheetPr>
  <dimension ref="A1:XFC42"/>
  <sheetViews>
    <sheetView showGridLines="0" workbookViewId="0">
      <pane ySplit="2" topLeftCell="A3" activePane="bottomLeft" state="frozen"/>
      <selection pane="bottomLeft" sqref="A1:H1"/>
    </sheetView>
  </sheetViews>
  <sheetFormatPr defaultRowHeight="14.5" x14ac:dyDescent="0.35"/>
  <cols>
    <col min="1" max="1" width="17.26953125" customWidth="1"/>
    <col min="2" max="2" width="58.7265625" customWidth="1"/>
    <col min="3" max="10" width="12.7265625" customWidth="1"/>
  </cols>
  <sheetData>
    <row r="1" spans="1:16383" ht="15.5" x14ac:dyDescent="0.35">
      <c r="A1" s="1160" t="s">
        <v>439</v>
      </c>
      <c r="B1" s="1160"/>
      <c r="C1" s="1160"/>
      <c r="D1" s="1160"/>
      <c r="E1" s="1160"/>
      <c r="F1" s="1160"/>
      <c r="G1" s="1160"/>
      <c r="H1" s="1160"/>
    </row>
    <row r="2" spans="1:16383" ht="15.5" x14ac:dyDescent="0.35">
      <c r="A2" s="601" t="s">
        <v>509</v>
      </c>
      <c r="C2" s="538"/>
      <c r="D2" s="538"/>
      <c r="E2" s="538"/>
      <c r="F2" s="538"/>
      <c r="G2" s="538"/>
      <c r="H2" s="538"/>
    </row>
    <row r="3" spans="1:16383" ht="15.5" x14ac:dyDescent="0.35">
      <c r="C3" s="538"/>
      <c r="D3" s="538"/>
      <c r="E3" s="538"/>
      <c r="F3" s="538"/>
      <c r="G3" s="538"/>
      <c r="H3" s="538"/>
    </row>
    <row r="4" spans="1:16383" ht="31.5" customHeight="1" x14ac:dyDescent="0.35">
      <c r="A4" s="553" t="s">
        <v>461</v>
      </c>
      <c r="B4" s="553"/>
      <c r="C4" s="553"/>
      <c r="D4" s="553"/>
      <c r="E4" s="553"/>
      <c r="F4" s="553"/>
      <c r="G4" s="553"/>
      <c r="H4" s="553"/>
      <c r="I4" s="553"/>
      <c r="J4" s="97"/>
    </row>
    <row r="5" spans="1:16383" ht="15" customHeight="1" x14ac:dyDescent="0.35">
      <c r="A5" t="s">
        <v>320</v>
      </c>
      <c r="B5" t="s">
        <v>678</v>
      </c>
      <c r="C5" s="553"/>
      <c r="D5" s="553"/>
      <c r="E5" s="553"/>
      <c r="F5" s="553"/>
      <c r="G5" s="553"/>
      <c r="H5" s="553"/>
      <c r="I5" s="553"/>
      <c r="J5" s="97"/>
    </row>
    <row r="6" spans="1:16383" ht="15" customHeight="1" x14ac:dyDescent="0.35">
      <c r="A6" t="s">
        <v>321</v>
      </c>
      <c r="B6" t="s">
        <v>323</v>
      </c>
      <c r="C6" s="553"/>
      <c r="D6" s="553"/>
      <c r="E6" s="553"/>
      <c r="F6" s="553"/>
      <c r="G6" s="553"/>
      <c r="H6" s="553"/>
      <c r="I6" s="553"/>
      <c r="J6" s="97"/>
    </row>
    <row r="7" spans="1:16383" ht="15" customHeight="1" x14ac:dyDescent="0.35">
      <c r="A7" t="s">
        <v>322</v>
      </c>
      <c r="B7" t="s">
        <v>324</v>
      </c>
      <c r="C7" s="553"/>
      <c r="D7" s="553"/>
      <c r="E7" s="553"/>
      <c r="F7" s="553"/>
      <c r="G7" s="553"/>
      <c r="H7" s="553"/>
      <c r="I7" s="553"/>
      <c r="J7" s="97"/>
    </row>
    <row r="8" spans="1:16383" ht="26" x14ac:dyDescent="0.35">
      <c r="A8" s="98" t="s">
        <v>447</v>
      </c>
      <c r="B8" s="98" t="s">
        <v>207</v>
      </c>
      <c r="C8" s="99" t="s">
        <v>857</v>
      </c>
      <c r="D8" s="99" t="s">
        <v>858</v>
      </c>
      <c r="E8" s="99" t="s">
        <v>859</v>
      </c>
      <c r="F8" s="99" t="s">
        <v>860</v>
      </c>
      <c r="G8" s="99" t="s">
        <v>861</v>
      </c>
      <c r="H8" s="99" t="s">
        <v>76</v>
      </c>
      <c r="I8" s="585" t="s">
        <v>26</v>
      </c>
    </row>
    <row r="9" spans="1:16383" ht="15" thickBot="1" x14ac:dyDescent="0.4">
      <c r="A9" s="557" t="s">
        <v>339</v>
      </c>
      <c r="B9" s="94" t="s">
        <v>451</v>
      </c>
      <c r="C9" s="364">
        <f>CSFTERoleAreaControlPivot!B4</f>
        <v>1</v>
      </c>
      <c r="D9" s="364">
        <f>CSFTERoleAreaControlPivot!C4</f>
        <v>4</v>
      </c>
      <c r="E9" s="364">
        <f>CSFTERoleAreaControlPivot!D4</f>
        <v>10</v>
      </c>
      <c r="F9" s="364">
        <f>CSFTERoleAreaControlPivot!E4</f>
        <v>41</v>
      </c>
      <c r="G9" s="364">
        <f>CSFTERoleAreaControlPivot!F4</f>
        <v>30</v>
      </c>
      <c r="H9" s="364">
        <f>CSFTERoleAreaControlPivot!G4</f>
        <v>90.06</v>
      </c>
      <c r="I9" s="586">
        <f>GETPIVOTDATA("Sum of Total",CSFTERoleAreaControlPivot!$A$3,"ReportingLevel","4:National")</f>
        <v>176.06</v>
      </c>
      <c r="K9" s="102"/>
      <c r="L9" s="102"/>
      <c r="M9" s="102"/>
      <c r="N9" s="102"/>
      <c r="O9" s="102"/>
      <c r="P9" s="102"/>
      <c r="Q9" s="102"/>
      <c r="R9" s="102"/>
    </row>
    <row r="10" spans="1:16383" x14ac:dyDescent="0.35">
      <c r="B10" s="96"/>
      <c r="C10" s="25"/>
      <c r="D10" s="25"/>
      <c r="E10" s="25"/>
      <c r="F10" s="25"/>
      <c r="G10" s="25"/>
      <c r="H10" s="25"/>
      <c r="I10" s="12"/>
      <c r="J10" s="41"/>
    </row>
    <row r="11" spans="1:16383" x14ac:dyDescent="0.35">
      <c r="A11" s="443" t="s">
        <v>8</v>
      </c>
      <c r="C11" s="25"/>
      <c r="D11" s="25"/>
      <c r="E11" s="25"/>
      <c r="F11" s="25"/>
      <c r="G11" s="25"/>
      <c r="H11" s="25"/>
      <c r="I11" s="12"/>
      <c r="J11" s="41"/>
    </row>
    <row r="12" spans="1:16383" x14ac:dyDescent="0.35">
      <c r="A12" s="561" t="s">
        <v>214</v>
      </c>
      <c r="B12" s="460"/>
      <c r="C12" s="568"/>
      <c r="D12" s="568"/>
      <c r="E12" s="568"/>
      <c r="F12" s="568"/>
      <c r="G12" s="568"/>
      <c r="H12" s="568"/>
      <c r="I12" s="568"/>
      <c r="J12" s="568"/>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row>
    <row r="13" spans="1:16383" ht="15.5" x14ac:dyDescent="0.35">
      <c r="A13" s="569" t="s">
        <v>215</v>
      </c>
      <c r="B13" s="570"/>
      <c r="C13" s="562"/>
      <c r="D13" s="562"/>
      <c r="E13" s="562"/>
      <c r="F13" s="562"/>
      <c r="G13" s="562"/>
      <c r="H13" s="562"/>
      <c r="I13" s="562"/>
      <c r="J13" s="571"/>
    </row>
    <row r="14" spans="1:16383" ht="15.5" x14ac:dyDescent="0.35">
      <c r="A14" s="549" t="s">
        <v>220</v>
      </c>
      <c r="B14" s="570"/>
      <c r="C14" s="562"/>
      <c r="D14" s="562"/>
      <c r="E14" s="562"/>
      <c r="F14" s="562"/>
      <c r="G14" s="562"/>
      <c r="H14" s="562"/>
      <c r="I14" s="562"/>
      <c r="J14" s="571"/>
    </row>
    <row r="15" spans="1:16383" ht="47.25" customHeight="1" x14ac:dyDescent="0.35">
      <c r="A15" s="1180" t="s">
        <v>863</v>
      </c>
      <c r="B15" s="1180"/>
      <c r="C15" s="1180"/>
      <c r="D15" s="1180"/>
      <c r="E15" s="1180"/>
      <c r="F15" s="1180"/>
      <c r="G15" s="1180"/>
      <c r="H15" s="1180"/>
      <c r="I15" s="1180"/>
      <c r="J15" s="571"/>
    </row>
    <row r="16" spans="1:16383" x14ac:dyDescent="0.35">
      <c r="A16" s="707"/>
      <c r="B16" s="707"/>
      <c r="C16" s="707"/>
      <c r="D16" s="707"/>
      <c r="E16" s="707"/>
      <c r="F16" s="707"/>
      <c r="G16" s="707"/>
      <c r="H16" s="707"/>
      <c r="I16" s="707"/>
      <c r="J16" s="571"/>
    </row>
    <row r="17" spans="1:10" ht="37.5" customHeight="1" x14ac:dyDescent="0.35">
      <c r="A17" s="553" t="s">
        <v>462</v>
      </c>
      <c r="B17" s="553"/>
      <c r="C17" s="553" t="str">
        <f>CSFTERoleAreaSupportPivot!$B$1</f>
        <v>2020-21</v>
      </c>
      <c r="D17" s="553"/>
      <c r="E17" s="553"/>
      <c r="F17" s="553"/>
      <c r="G17" s="553"/>
      <c r="H17" s="553"/>
      <c r="I17" s="553"/>
      <c r="J17" s="97"/>
    </row>
    <row r="18" spans="1:10" ht="15" customHeight="1" x14ac:dyDescent="0.35">
      <c r="A18" t="s">
        <v>320</v>
      </c>
      <c r="B18" t="s">
        <v>679</v>
      </c>
      <c r="C18" s="553"/>
      <c r="D18" s="553"/>
      <c r="E18" s="553"/>
      <c r="F18" s="553"/>
      <c r="G18" s="553"/>
      <c r="H18" s="553"/>
      <c r="I18" s="553"/>
      <c r="J18" s="97"/>
    </row>
    <row r="19" spans="1:10" ht="15" customHeight="1" x14ac:dyDescent="0.35">
      <c r="A19" t="s">
        <v>321</v>
      </c>
      <c r="B19" t="s">
        <v>323</v>
      </c>
      <c r="C19" s="553"/>
      <c r="D19" s="553"/>
      <c r="E19" s="553"/>
      <c r="F19" s="553"/>
      <c r="G19" s="553"/>
      <c r="H19" s="553"/>
      <c r="I19" s="553"/>
      <c r="J19" s="97"/>
    </row>
    <row r="20" spans="1:10" ht="15" customHeight="1" x14ac:dyDescent="0.35">
      <c r="A20" t="s">
        <v>322</v>
      </c>
      <c r="B20" t="s">
        <v>324</v>
      </c>
      <c r="C20" s="553"/>
      <c r="D20" s="553"/>
      <c r="E20" s="553"/>
      <c r="F20" s="553"/>
      <c r="G20" s="553"/>
      <c r="H20" s="553"/>
      <c r="I20" s="553"/>
      <c r="J20" s="97"/>
    </row>
    <row r="21" spans="1:10" x14ac:dyDescent="0.35">
      <c r="A21" s="559"/>
      <c r="C21" s="102"/>
      <c r="D21" s="102"/>
      <c r="E21" s="102"/>
      <c r="F21" s="102"/>
      <c r="G21" s="102"/>
    </row>
    <row r="22" spans="1:10" ht="26.5" x14ac:dyDescent="0.35">
      <c r="A22" s="103"/>
      <c r="B22" s="44" t="s">
        <v>199</v>
      </c>
      <c r="C22" s="44" t="s">
        <v>77</v>
      </c>
      <c r="D22" s="44" t="s">
        <v>17475</v>
      </c>
      <c r="E22" s="44" t="s">
        <v>78</v>
      </c>
      <c r="F22" s="44" t="s">
        <v>17476</v>
      </c>
      <c r="G22" s="44" t="s">
        <v>79</v>
      </c>
      <c r="H22" s="44" t="s">
        <v>17477</v>
      </c>
      <c r="I22" s="585" t="s">
        <v>26</v>
      </c>
    </row>
    <row r="23" spans="1:10" ht="15" thickBot="1" x14ac:dyDescent="0.4">
      <c r="A23" s="45" t="s">
        <v>74</v>
      </c>
      <c r="B23" s="345">
        <f>IF(OR(CSFTERoleAreaSupportPivot!$B$1="2020-21",CSFTERoleAreaSupportPivot!$B$1="2019-20",CSFTERoleAreaSupportPivot!$B$1="2018-19"),GETPIVOTDATA("Sum of Director",CSFTERoleAreaSupportPivot!$A$3,"ReportingLevel","4:National","lvl","Scotland"),IF(OR(CSFTERoleAreaSupportPivot!$B$1="2016-17",CSFTERoleAreaSupportPivot!$B$1="2015-16",CSFTERoleAreaSupportPivot!$B$1="2014-15",CSFTERoleAreaSupportPivot!$B$1="2013-14"),GETPIVOTDATA("Sum of Director",CSFTERoleAreaSupportPivot!$A$3,"ReportingLevel","4:National"),IF(CSFTERoleAreaSupportPivot!$B$1="2017-18",GETPIVOTDATA("Sum of Director",CSFTERoleAreaSupportPivot!$A$3,"ReportingLevel","Total","lvl","Scotland"),"-")))</f>
        <v>3</v>
      </c>
      <c r="C23" s="345">
        <f>IF(OR(CSFTERoleAreaSupportPivot!$B$1="2020-21",CSFTERoleAreaSupportPivot!$B$1="2019-20",CSFTERoleAreaSupportPivot!$B$1="2018-19"),GETPIVOTDATA("Sum of Service Manager",CSFTERoleAreaSupportPivot!$A$3,"ReportingLevel","4:National","lvl","Scotland"),IF(OR(CSFTERoleAreaSupportPivot!$B$1="2014-15",CSFTERoleAreaSupportPivot!$B$1="2013-14"),GETPIVOTDATA("Sum of Service Manager",CSFTERoleAreaSupportPivot!$A$3,"ReportingLevel","4:National"),IF(CSFTERoleAreaSupportPivot!$B$1="2017-18",GETPIVOTDATA("Sum of Service Manager",CSFTERoleAreaSupportPivot!$A$3,"ReportingLevel","Total","lvl","Scotland"), GETPIVOTDATA("Sum of Service Manager",CSFTERoleAreaSupportPivot!$A$3,"ReportingLevel","Total","lvl","Scotland"))))</f>
        <v>49.8</v>
      </c>
      <c r="D23" s="345">
        <f>IF(OR(CSFTERoleAreaSupportPivot!$B$1="2020-21",CSFTERoleAreaSupportPivot!$B$1="2019-20",CSFTERoleAreaSupportPivot!$B$1="2018-19"),GETPIVOTDATA("Sum of Team Leader",CSFTERoleAreaSupportPivot!$A$3,"ReportingLevel","4:National","lvl","Scotland"),IF(OR(CSFTERoleAreaSupportPivot!$B$1="2014-15",CSFTERoleAreaSupportPivot!$B$1="2013-14"),GETPIVOTDATA("Sum of Team Leader",CSFTERoleAreaSupportPivot!$A$3,"ReportingLevel","4:National"),IF(CSFTERoleAreaSupportPivot!$B$1="2017-18",GETPIVOTDATA("Sum of Team Leader",CSFTERoleAreaSupportPivot!$A$3,"ReportingLevel","Total","lvl","Scotland"), GETPIVOTDATA("Sum of Team Leader",CSFTERoleAreaSupportPivot!$A$3,"ReportingLevel","Total","lvl","Scotland"))))</f>
        <v>30</v>
      </c>
      <c r="E23" s="345">
        <f>IF(OR(CSFTERoleAreaSupportPivot!$B$1="2020-21",CSFTERoleAreaSupportPivot!$B$1="2019-20",CSFTERoleAreaSupportPivot!$B$1="2018-19"),GETPIVOTDATA("Sum of Professional",CSFTERoleAreaSupportPivot!$A$3,"ReportingLevel","4:National","lvl","Scotland"),IF(OR(CSFTERoleAreaSupportPivot!$B$1="2014-15",CSFTERoleAreaSupportPivot!$B$1="2013-14"),GETPIVOTDATA("Sum of Professional",CSFTERoleAreaSupportPivot!$A$3,"ReportingLevel","4:National"),IF(CSFTERoleAreaSupportPivot!$B$1="2017-18",GETPIVOTDATA("Sum of Professional",CSFTERoleAreaSupportPivot!$A$3,"ReportingLevel","Total","lvl","Scotland"), GETPIVOTDATA("Sum of Professional",CSFTERoleAreaSupportPivot!$A$3,"ReportingLevel","Total","lvl","Scotland"))))</f>
        <v>88.43</v>
      </c>
      <c r="F23" s="345">
        <f>IF(OR(CSFTERoleAreaSupportPivot!$B$1="2020-21",CSFTERoleAreaSupportPivot!$B$1="2019-20",CSFTERoleAreaSupportPivot!$B$1="2018-19"),GETPIVOTDATA("Sum of Specialist Technical",CSFTERoleAreaSupportPivot!$A$3,"ReportingLevel","4:National","lvl","Scotland"),IF(OR(CSFTERoleAreaSupportPivot!$B$1="2014-15",CSFTERoleAreaSupportPivot!$B$1="2013-14"),GETPIVOTDATA("Sum of Specialist Technical",CSFTERoleAreaSupportPivot!$A$3,"ReportingLevel","4:National"),IF(CSFTERoleAreaSupportPivot!$B$1="2017-18",GETPIVOTDATA("Sum of Specialist Technical",CSFTERoleAreaSupportPivot!$A$3,"ReportingLevel","Total","lvl","Scotland"), GETPIVOTDATA("Sum of Specialist Technical",CSFTERoleAreaSupportPivot!$A$3,"ReportingLevel","Total","lvl","Scotland"))))</f>
        <v>399.88000000000005</v>
      </c>
      <c r="G23" s="345">
        <f>IF(OR(CSFTERoleAreaSupportPivot!$B$1="2020-21",CSFTERoleAreaSupportPivot!$B$1="2019-20",CSFTERoleAreaSupportPivot!$B$1="2018-19"),GETPIVOTDATA("Sum of Tech Support",CSFTERoleAreaSupportPivot!$A$3,"ReportingLevel","4:National","lvl","Scotland"),IF(OR(CSFTERoleAreaSupportPivot!$B$1="2014-15",CSFTERoleAreaSupportPivot!$B$1="2013-14"),GETPIVOTDATA("Sum of Tech Support",CSFTERoleAreaSupportPivot!$A$3,"ReportingLevel","4:National"),IF(CSFTERoleAreaSupportPivot!$B$1="2017-18",GETPIVOTDATA("Sum of Tech Support",CSFTERoleAreaSupportPivot!$A$3,"ReportingLevel","Total","lvl","Scotland"), GETPIVOTDATA("Sum of Tech Support",CSFTERoleAreaSupportPivot!$A$3,"ReportingLevel","Total","lvl","Scotland"))))</f>
        <v>55.73</v>
      </c>
      <c r="H23" s="1090">
        <f>IF(OR(CSFTERoleAreaSupportPivot!$B$1="2020-21",CSFTERoleAreaSupportPivot!$B$1="2019-20",CSFTERoleAreaSupportPivot!$B$1="2018-19"),GETPIVOTDATA("Sum of Administration",CSFTERoleAreaSupportPivot!$A$3,"ReportingLevel","4:National","lvl","Scotland"),IF(OR(CSFTERoleAreaSupportPivot!$B$1="2014-15",CSFTERoleAreaSupportPivot!$B$1="2013-14"),GETPIVOTDATA("Sum of Administration",CSFTERoleAreaSupportPivot!$A$3,"ReportingLevel","4:National"),IF(CSFTERoleAreaSupportPivot!$B$1="2017-18",GETPIVOTDATA("Sum of Administration",CSFTERoleAreaSupportPivot!$A$3,"ReportingLevel","Total","lvl","Scotland"), GETPIVOTDATA("Sum of Administration",CSFTERoleAreaSupportPivot!$A$3,"ReportingLevel","Total","lvl","Scotland"))))</f>
        <v>160.44999999999999</v>
      </c>
      <c r="I23" s="363">
        <f>IF(OR(CSFTERoleAreaSupportPivot!$B$1="2020-21",CSFTERoleAreaSupportPivot!$B$1="2019-20",CSFTERoleAreaSupportPivot!$B$1="2018-19"),GETPIVOTDATA("Sum of Total",CSFTERoleAreaSupportPivot!$A$3,"ReportingLevel","4:National","lvl","Scotland"),IF(OR(CSFTERoleAreaSupportPivot!$B$1="2014-15",CSFTERoleAreaSupportPivot!$B$1="2013-14"),GETPIVOTDATA("Sum of Total",CSFTERoleAreaSupportPivot!$A$3,"ReportingLevel","4:National"),IF(CSFTERoleAreaSupportPivot!$B$1="2017-18",GETPIVOTDATA("Sum of Total",CSFTERoleAreaSupportPivot!$A$3,"ReportingLevel","Total","lvl","Scotland"), GETPIVOTDATA("Sum of Total",CSFTERoleAreaSupportPivot!$A$3,"ReportingLevel","Total","lvl","Scotland"))))</f>
        <v>787.29000000000019</v>
      </c>
    </row>
    <row r="24" spans="1:10" x14ac:dyDescent="0.35">
      <c r="A24" s="565"/>
      <c r="B24" s="565"/>
      <c r="C24" s="565"/>
      <c r="D24" s="565"/>
      <c r="E24" s="565"/>
      <c r="F24" s="565"/>
      <c r="G24" s="566"/>
      <c r="H24" s="567"/>
    </row>
    <row r="25" spans="1:10" x14ac:dyDescent="0.35">
      <c r="A25" s="61"/>
      <c r="B25" s="860"/>
      <c r="C25" s="860"/>
      <c r="D25" s="860"/>
      <c r="E25" s="860"/>
      <c r="F25" s="860"/>
      <c r="G25" s="860"/>
      <c r="H25" s="860"/>
      <c r="I25" s="860"/>
      <c r="J25" s="860"/>
    </row>
    <row r="26" spans="1:10" x14ac:dyDescent="0.35">
      <c r="A26" s="402" t="s">
        <v>8</v>
      </c>
      <c r="B26" s="550"/>
      <c r="C26" s="550"/>
      <c r="D26" s="550"/>
      <c r="E26" s="550"/>
      <c r="F26" s="550"/>
      <c r="G26" s="550"/>
      <c r="H26" s="550"/>
      <c r="I26" s="550"/>
      <c r="J26" s="550"/>
    </row>
    <row r="27" spans="1:10" x14ac:dyDescent="0.35">
      <c r="A27" s="561" t="s">
        <v>214</v>
      </c>
      <c r="B27" s="859"/>
      <c r="C27" s="859"/>
      <c r="D27" s="859"/>
      <c r="E27" s="859"/>
      <c r="F27" s="859"/>
      <c r="G27" s="859"/>
      <c r="H27" s="859"/>
      <c r="I27" s="859"/>
      <c r="J27" s="859"/>
    </row>
    <row r="28" spans="1:10" x14ac:dyDescent="0.35">
      <c r="A28" s="438" t="s">
        <v>215</v>
      </c>
      <c r="B28" s="395"/>
      <c r="C28" s="551"/>
      <c r="D28" s="552"/>
      <c r="E28" s="552"/>
      <c r="F28" s="552"/>
      <c r="G28" s="552"/>
      <c r="H28" s="552"/>
      <c r="I28" s="552"/>
    </row>
    <row r="29" spans="1:10" ht="15" customHeight="1" x14ac:dyDescent="0.35">
      <c r="A29" s="688" t="s">
        <v>732</v>
      </c>
      <c r="B29" s="554"/>
      <c r="C29" s="554"/>
      <c r="D29" s="554"/>
      <c r="E29" s="554"/>
      <c r="F29" s="554"/>
      <c r="G29" s="554"/>
      <c r="H29" s="554"/>
      <c r="I29" s="554"/>
    </row>
    <row r="30" spans="1:10" ht="43.5" customHeight="1" x14ac:dyDescent="0.35">
      <c r="A30" s="1181" t="s">
        <v>17484</v>
      </c>
      <c r="B30" s="1181"/>
      <c r="C30" s="1181"/>
      <c r="D30" s="1181"/>
      <c r="E30" s="554"/>
      <c r="F30" s="554"/>
      <c r="G30" s="554"/>
      <c r="H30" s="554"/>
      <c r="I30" s="554"/>
    </row>
    <row r="31" spans="1:10" ht="60" customHeight="1" x14ac:dyDescent="0.35">
      <c r="A31" s="1179" t="s">
        <v>218</v>
      </c>
      <c r="B31" s="1179"/>
    </row>
    <row r="32" spans="1:10" ht="15" customHeight="1" x14ac:dyDescent="0.35">
      <c r="A32" s="405" t="s">
        <v>219</v>
      </c>
      <c r="B32" s="441"/>
      <c r="C32" s="441"/>
      <c r="D32" s="441"/>
      <c r="E32" s="441"/>
      <c r="F32" s="441"/>
      <c r="G32" s="441"/>
      <c r="H32" s="441"/>
      <c r="I32" s="441"/>
      <c r="J32" s="441"/>
    </row>
    <row r="33" spans="1:10" x14ac:dyDescent="0.35">
      <c r="B33" s="546"/>
      <c r="C33" s="546"/>
      <c r="D33" s="546"/>
      <c r="E33" s="546"/>
      <c r="F33" s="546"/>
      <c r="G33" s="546"/>
      <c r="H33" s="547"/>
      <c r="I33" s="548"/>
    </row>
    <row r="34" spans="1:10" x14ac:dyDescent="0.35">
      <c r="B34" s="860"/>
      <c r="C34" s="860"/>
      <c r="D34" s="860"/>
      <c r="E34" s="860"/>
      <c r="F34" s="860"/>
      <c r="G34" s="860"/>
      <c r="H34" s="860"/>
      <c r="I34" s="860"/>
      <c r="J34" s="860"/>
    </row>
    <row r="35" spans="1:10" x14ac:dyDescent="0.35">
      <c r="B35" s="550"/>
      <c r="C35" s="550"/>
      <c r="D35" s="550"/>
      <c r="E35" s="550"/>
      <c r="F35" s="550"/>
      <c r="G35" s="550"/>
      <c r="H35" s="550"/>
      <c r="I35" s="550"/>
      <c r="J35" s="550"/>
    </row>
    <row r="36" spans="1:10" x14ac:dyDescent="0.35">
      <c r="B36" s="859"/>
      <c r="C36" s="859"/>
      <c r="D36" s="859"/>
      <c r="E36" s="859"/>
      <c r="F36" s="859"/>
      <c r="G36" s="859"/>
      <c r="H36" s="859"/>
      <c r="I36" s="859"/>
      <c r="J36" s="859"/>
    </row>
    <row r="37" spans="1:10" x14ac:dyDescent="0.35">
      <c r="B37" s="395"/>
      <c r="C37" s="551"/>
      <c r="D37" s="552"/>
      <c r="E37" s="552"/>
      <c r="F37" s="552"/>
      <c r="G37" s="552"/>
      <c r="H37" s="552"/>
      <c r="I37" s="552"/>
    </row>
    <row r="38" spans="1:10" x14ac:dyDescent="0.35">
      <c r="A38" s="688"/>
    </row>
    <row r="39" spans="1:10" x14ac:dyDescent="0.35">
      <c r="A39" s="860"/>
    </row>
    <row r="40" spans="1:10" x14ac:dyDescent="0.35">
      <c r="A40" s="550"/>
    </row>
    <row r="41" spans="1:10" x14ac:dyDescent="0.35">
      <c r="A41" s="859"/>
    </row>
    <row r="42" spans="1:10" x14ac:dyDescent="0.35">
      <c r="A42" s="405"/>
    </row>
  </sheetData>
  <sheetProtection algorithmName="SHA-512" hashValue="uDTrNhizOqHuA0OU91nvWOMcCv4nxGhn2qJ36RsMbbTzTJpbZ3JaUMiIpSFWWBiTTW11zJR8h9kqprFlybYUPg==" saltValue="ETpmxbT5cFvt8anrSjurAw==" spinCount="100000" sheet="1" scenarios="1" formatCells="0" formatColumns="0" formatRows="0" sort="0" autoFilter="0" pivotTables="0"/>
  <mergeCells count="4">
    <mergeCell ref="A1:H1"/>
    <mergeCell ref="A15:I15"/>
    <mergeCell ref="A31:B31"/>
    <mergeCell ref="A30:D30"/>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5" orientation="landscape" r:id="rId1"/>
  <drawing r:id="rId2"/>
  <extLst>
    <ext xmlns:x14="http://schemas.microsoft.com/office/spreadsheetml/2009/9/main" uri="{A8765BA9-456A-4dab-B4F3-ACF838C121DE}">
      <x14:slicerList>
        <x14:slicer r:id="rId3"/>
      </x14:slicerList>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39997558519241921"/>
    <pageSetUpPr fitToPage="1"/>
  </sheetPr>
  <dimension ref="A1:Q62"/>
  <sheetViews>
    <sheetView showGridLines="0" zoomScaleNormal="100" workbookViewId="0">
      <pane ySplit="2" topLeftCell="A3" activePane="bottomLeft" state="frozen"/>
      <selection pane="bottomLeft" sqref="A1:E1"/>
    </sheetView>
  </sheetViews>
  <sheetFormatPr defaultRowHeight="14.5" x14ac:dyDescent="0.35"/>
  <cols>
    <col min="1" max="1" width="18.6328125" customWidth="1"/>
    <col min="2" max="2" width="12.7265625" bestFit="1" customWidth="1"/>
    <col min="3" max="3" width="10.90625" bestFit="1" customWidth="1"/>
    <col min="4" max="4" width="13.1796875" bestFit="1" customWidth="1"/>
    <col min="5" max="5" width="11.36328125" bestFit="1" customWidth="1"/>
    <col min="6" max="6" width="20.453125" bestFit="1" customWidth="1"/>
    <col min="7" max="7" width="18.54296875" bestFit="1" customWidth="1"/>
    <col min="8" max="8" width="16.26953125" bestFit="1" customWidth="1"/>
    <col min="9" max="9" width="14.26953125" bestFit="1" customWidth="1"/>
    <col min="10" max="10" width="16.453125" bestFit="1" customWidth="1"/>
    <col min="11" max="11" width="14.54296875" bestFit="1" customWidth="1"/>
    <col min="12" max="12" width="12.6328125" bestFit="1" customWidth="1"/>
    <col min="13" max="13" width="10.81640625" bestFit="1" customWidth="1"/>
    <col min="14" max="17" width="11.1796875" customWidth="1"/>
  </cols>
  <sheetData>
    <row r="1" spans="1:17" ht="15.5" x14ac:dyDescent="0.35">
      <c r="A1" s="1160" t="s">
        <v>439</v>
      </c>
      <c r="B1" s="1160"/>
      <c r="C1" s="1160"/>
      <c r="D1" s="1160"/>
      <c r="E1" s="1160"/>
      <c r="F1" s="693"/>
      <c r="G1" s="693"/>
    </row>
    <row r="2" spans="1:17" ht="15.5" x14ac:dyDescent="0.35">
      <c r="A2" s="601" t="s">
        <v>509</v>
      </c>
      <c r="C2" s="538"/>
      <c r="D2" s="538"/>
      <c r="E2" s="538"/>
      <c r="F2" s="693"/>
      <c r="G2" s="693"/>
    </row>
    <row r="3" spans="1:17" ht="15.5" x14ac:dyDescent="0.35">
      <c r="C3" s="538"/>
      <c r="D3" s="538"/>
      <c r="E3" s="538"/>
      <c r="F3" s="693"/>
      <c r="G3" s="693"/>
      <c r="H3" s="28"/>
      <c r="I3" s="28"/>
      <c r="J3" s="28"/>
      <c r="K3" s="28"/>
      <c r="L3" s="28"/>
      <c r="M3" s="28"/>
      <c r="N3" s="28"/>
      <c r="O3" s="28"/>
      <c r="P3" s="28"/>
      <c r="Q3" s="28"/>
    </row>
    <row r="4" spans="1:17" ht="15.5" x14ac:dyDescent="0.35">
      <c r="A4" s="1186" t="s">
        <v>456</v>
      </c>
      <c r="B4" s="1186"/>
      <c r="C4" s="1186"/>
      <c r="D4" s="1186"/>
      <c r="E4" s="1186"/>
      <c r="F4" s="1186"/>
      <c r="G4" s="1186"/>
      <c r="H4" s="1186"/>
      <c r="I4" s="1186"/>
      <c r="J4" s="1186"/>
      <c r="K4" s="1186"/>
      <c r="L4" s="1186"/>
      <c r="M4" s="1186"/>
      <c r="N4" s="1186"/>
      <c r="O4" s="1186"/>
      <c r="P4" s="1186"/>
      <c r="Q4" s="1186"/>
    </row>
    <row r="5" spans="1:17" ht="15.5" x14ac:dyDescent="0.35">
      <c r="A5" t="s">
        <v>320</v>
      </c>
      <c r="B5" t="s">
        <v>680</v>
      </c>
      <c r="C5" s="506"/>
      <c r="D5" s="506"/>
      <c r="E5" s="506"/>
      <c r="F5" s="696"/>
      <c r="G5" s="696"/>
      <c r="H5" s="506"/>
      <c r="I5" s="506"/>
      <c r="J5" s="506"/>
      <c r="K5" s="506"/>
      <c r="L5" s="506"/>
      <c r="M5" s="506"/>
      <c r="N5" s="506"/>
      <c r="O5" s="506"/>
      <c r="P5" s="506"/>
      <c r="Q5" s="506"/>
    </row>
    <row r="6" spans="1:17" ht="15.5" x14ac:dyDescent="0.35">
      <c r="A6" t="s">
        <v>321</v>
      </c>
      <c r="B6" t="s">
        <v>323</v>
      </c>
      <c r="C6" s="506"/>
      <c r="D6" s="506"/>
      <c r="E6" s="506"/>
      <c r="F6" s="696"/>
      <c r="G6" s="696"/>
      <c r="H6" s="506"/>
      <c r="I6" s="506"/>
      <c r="J6" s="506"/>
      <c r="K6" s="506"/>
      <c r="L6" s="506"/>
      <c r="M6" s="506"/>
      <c r="N6" s="506"/>
      <c r="O6" s="506"/>
      <c r="P6" s="506"/>
      <c r="Q6" s="506"/>
    </row>
    <row r="7" spans="1:17" ht="15.5" x14ac:dyDescent="0.35">
      <c r="A7" t="s">
        <v>322</v>
      </c>
      <c r="B7" t="s">
        <v>324</v>
      </c>
      <c r="C7" s="506"/>
      <c r="D7" s="506"/>
      <c r="E7" s="506"/>
      <c r="F7" s="696"/>
      <c r="G7" s="696"/>
      <c r="H7" s="506"/>
      <c r="I7" s="506"/>
      <c r="J7" s="506"/>
      <c r="K7" s="506"/>
      <c r="L7" s="506"/>
      <c r="M7" s="506"/>
      <c r="N7" s="506"/>
      <c r="O7" s="506"/>
      <c r="P7" s="506"/>
      <c r="Q7" s="506"/>
    </row>
    <row r="8" spans="1:17" x14ac:dyDescent="0.35">
      <c r="A8" s="12"/>
      <c r="B8" s="12"/>
      <c r="C8" s="12"/>
      <c r="D8" s="12"/>
      <c r="E8" s="12"/>
      <c r="F8" s="12"/>
      <c r="G8" s="12"/>
      <c r="H8" s="12"/>
      <c r="I8" s="12"/>
      <c r="J8" s="12"/>
      <c r="K8" s="12"/>
      <c r="L8" s="25"/>
      <c r="M8" s="117"/>
      <c r="N8" s="25"/>
      <c r="O8" s="25"/>
      <c r="P8" s="21"/>
      <c r="Q8" s="114" t="s">
        <v>6</v>
      </c>
    </row>
    <row r="9" spans="1:17" ht="28" customHeight="1" x14ac:dyDescent="0.35">
      <c r="A9" s="274" t="s">
        <v>81</v>
      </c>
      <c r="B9" s="1182" t="s">
        <v>27</v>
      </c>
      <c r="C9" s="1182"/>
      <c r="D9" s="1183" t="s">
        <v>28</v>
      </c>
      <c r="E9" s="1183"/>
      <c r="F9" s="1187" t="s">
        <v>849</v>
      </c>
      <c r="G9" s="1188"/>
      <c r="H9" s="1182" t="s">
        <v>2</v>
      </c>
      <c r="I9" s="1182"/>
      <c r="J9" s="1182" t="s">
        <v>83</v>
      </c>
      <c r="K9" s="1182"/>
      <c r="L9" s="1183" t="s">
        <v>29</v>
      </c>
      <c r="M9" s="1183"/>
      <c r="N9" s="1182" t="s">
        <v>26</v>
      </c>
      <c r="O9" s="1182"/>
      <c r="P9" s="1184" t="s">
        <v>84</v>
      </c>
      <c r="Q9" s="1185"/>
    </row>
    <row r="10" spans="1:17" hidden="1" x14ac:dyDescent="0.35">
      <c r="A10" s="461" t="s">
        <v>1</v>
      </c>
      <c r="B10" s="461" t="s">
        <v>1009</v>
      </c>
      <c r="C10" s="461" t="s">
        <v>1010</v>
      </c>
      <c r="D10" s="461" t="s">
        <v>1011</v>
      </c>
      <c r="E10" s="461" t="s">
        <v>1012</v>
      </c>
      <c r="F10" s="461" t="s">
        <v>1014</v>
      </c>
      <c r="G10" s="461" t="s">
        <v>1013</v>
      </c>
      <c r="H10" s="461" t="s">
        <v>1015</v>
      </c>
      <c r="I10" s="461" t="s">
        <v>1016</v>
      </c>
      <c r="J10" s="461" t="s">
        <v>1017</v>
      </c>
      <c r="K10" s="461" t="s">
        <v>1018</v>
      </c>
      <c r="L10" s="461" t="s">
        <v>1019</v>
      </c>
      <c r="M10" s="461" t="s">
        <v>1020</v>
      </c>
      <c r="N10" s="812" t="s">
        <v>85</v>
      </c>
      <c r="O10" s="812" t="s">
        <v>86</v>
      </c>
      <c r="P10" s="812" t="s">
        <v>85</v>
      </c>
      <c r="Q10" s="812" t="s">
        <v>86</v>
      </c>
    </row>
    <row r="11" spans="1:17" x14ac:dyDescent="0.35">
      <c r="A11" s="786" t="s">
        <v>1</v>
      </c>
      <c r="B11" s="837" t="s">
        <v>85</v>
      </c>
      <c r="C11" s="837" t="s">
        <v>86</v>
      </c>
      <c r="D11" s="837" t="s">
        <v>85</v>
      </c>
      <c r="E11" s="837" t="s">
        <v>86</v>
      </c>
      <c r="F11" s="837" t="s">
        <v>85</v>
      </c>
      <c r="G11" s="837" t="s">
        <v>86</v>
      </c>
      <c r="H11" s="837" t="s">
        <v>85</v>
      </c>
      <c r="I11" s="837" t="s">
        <v>86</v>
      </c>
      <c r="J11" s="837" t="s">
        <v>85</v>
      </c>
      <c r="K11" s="837" t="s">
        <v>86</v>
      </c>
      <c r="L11" s="837" t="s">
        <v>85</v>
      </c>
      <c r="M11" s="813" t="s">
        <v>86</v>
      </c>
      <c r="N11" s="811" t="s">
        <v>85</v>
      </c>
      <c r="O11" s="572" t="s">
        <v>86</v>
      </c>
      <c r="P11" s="811" t="s">
        <v>85</v>
      </c>
      <c r="Q11" s="572" t="s">
        <v>86</v>
      </c>
    </row>
    <row r="12" spans="1:17" x14ac:dyDescent="0.35">
      <c r="A12" s="783" t="s">
        <v>308</v>
      </c>
      <c r="B12" s="461">
        <v>148</v>
      </c>
      <c r="C12" s="461">
        <v>4011</v>
      </c>
      <c r="D12" s="461">
        <v>182</v>
      </c>
      <c r="E12" s="461">
        <v>2870</v>
      </c>
      <c r="F12" s="461"/>
      <c r="G12" s="461"/>
      <c r="H12" s="461">
        <v>202</v>
      </c>
      <c r="I12" s="461">
        <v>32</v>
      </c>
      <c r="J12" s="461">
        <v>649</v>
      </c>
      <c r="K12" s="461">
        <v>487</v>
      </c>
      <c r="L12" s="461">
        <v>59</v>
      </c>
      <c r="M12" s="461">
        <v>400</v>
      </c>
      <c r="N12" s="585">
        <f t="shared" ref="N12:N18" si="0">B12+D12+H12+J12+L12</f>
        <v>1240</v>
      </c>
      <c r="O12" s="809">
        <f>C12+E12+G12+I12+K12+M12</f>
        <v>7800</v>
      </c>
      <c r="P12" s="585">
        <f>N12-L12</f>
        <v>1181</v>
      </c>
      <c r="Q12" s="810">
        <f>O12-M12</f>
        <v>7400</v>
      </c>
    </row>
    <row r="13" spans="1:17" x14ac:dyDescent="0.35">
      <c r="A13" s="783" t="s">
        <v>195</v>
      </c>
      <c r="B13" s="461">
        <v>158</v>
      </c>
      <c r="C13" s="461">
        <v>3993</v>
      </c>
      <c r="D13" s="461">
        <v>173</v>
      </c>
      <c r="E13" s="461">
        <v>2903</v>
      </c>
      <c r="F13" s="461"/>
      <c r="G13" s="461"/>
      <c r="H13" s="461">
        <v>203</v>
      </c>
      <c r="I13" s="461">
        <v>31</v>
      </c>
      <c r="J13" s="461">
        <v>604</v>
      </c>
      <c r="K13" s="461">
        <v>482</v>
      </c>
      <c r="L13" s="461">
        <v>52</v>
      </c>
      <c r="M13" s="461">
        <v>365</v>
      </c>
      <c r="N13" s="585">
        <f t="shared" si="0"/>
        <v>1190</v>
      </c>
      <c r="O13" s="809">
        <f t="shared" ref="O13:O19" si="1">C13+E13+G13+I13+K13+M13</f>
        <v>7774</v>
      </c>
      <c r="P13" s="585">
        <f t="shared" ref="P13:P21" si="2">N13-L13</f>
        <v>1138</v>
      </c>
      <c r="Q13" s="810">
        <f t="shared" ref="Q13:Q21" si="3">O13-M13</f>
        <v>7409</v>
      </c>
    </row>
    <row r="14" spans="1:17" x14ac:dyDescent="0.35">
      <c r="A14" s="783" t="s">
        <v>194</v>
      </c>
      <c r="B14" s="461">
        <v>159</v>
      </c>
      <c r="C14" s="461">
        <v>3842</v>
      </c>
      <c r="D14" s="461">
        <v>178</v>
      </c>
      <c r="E14" s="461">
        <v>2762</v>
      </c>
      <c r="F14" s="461"/>
      <c r="G14" s="461"/>
      <c r="H14" s="461">
        <v>199</v>
      </c>
      <c r="I14" s="461">
        <v>24</v>
      </c>
      <c r="J14" s="461">
        <v>545</v>
      </c>
      <c r="K14" s="461">
        <v>416</v>
      </c>
      <c r="L14" s="461">
        <v>52</v>
      </c>
      <c r="M14" s="461">
        <v>307</v>
      </c>
      <c r="N14" s="585">
        <f t="shared" si="0"/>
        <v>1133</v>
      </c>
      <c r="O14" s="809">
        <f t="shared" si="1"/>
        <v>7351</v>
      </c>
      <c r="P14" s="585">
        <f t="shared" si="2"/>
        <v>1081</v>
      </c>
      <c r="Q14" s="810">
        <f t="shared" si="3"/>
        <v>7044</v>
      </c>
    </row>
    <row r="15" spans="1:17" x14ac:dyDescent="0.35">
      <c r="A15" s="783" t="s">
        <v>193</v>
      </c>
      <c r="B15" s="461">
        <v>164</v>
      </c>
      <c r="C15" s="461">
        <v>3692</v>
      </c>
      <c r="D15" s="461">
        <v>172</v>
      </c>
      <c r="E15" s="461">
        <v>2778</v>
      </c>
      <c r="F15" s="461"/>
      <c r="G15" s="461"/>
      <c r="H15" s="461">
        <v>192</v>
      </c>
      <c r="I15" s="461">
        <v>38</v>
      </c>
      <c r="J15" s="461">
        <v>480</v>
      </c>
      <c r="K15" s="461">
        <v>387</v>
      </c>
      <c r="L15" s="461">
        <v>56</v>
      </c>
      <c r="M15" s="461">
        <v>322</v>
      </c>
      <c r="N15" s="585">
        <f t="shared" si="0"/>
        <v>1064</v>
      </c>
      <c r="O15" s="809">
        <f t="shared" si="1"/>
        <v>7217</v>
      </c>
      <c r="P15" s="585">
        <f t="shared" si="2"/>
        <v>1008</v>
      </c>
      <c r="Q15" s="810">
        <f t="shared" si="3"/>
        <v>6895</v>
      </c>
    </row>
    <row r="16" spans="1:17" x14ac:dyDescent="0.35">
      <c r="A16" s="783" t="s">
        <v>192</v>
      </c>
      <c r="B16" s="461">
        <v>167</v>
      </c>
      <c r="C16" s="461">
        <v>3523</v>
      </c>
      <c r="D16" s="461">
        <v>163</v>
      </c>
      <c r="E16" s="461">
        <v>2707</v>
      </c>
      <c r="F16" s="461"/>
      <c r="G16" s="461"/>
      <c r="H16" s="461">
        <v>171</v>
      </c>
      <c r="I16" s="461">
        <v>32</v>
      </c>
      <c r="J16" s="461">
        <v>463</v>
      </c>
      <c r="K16" s="461">
        <v>365</v>
      </c>
      <c r="L16" s="461">
        <v>56</v>
      </c>
      <c r="M16" s="461">
        <v>286</v>
      </c>
      <c r="N16" s="585">
        <f t="shared" si="0"/>
        <v>1020</v>
      </c>
      <c r="O16" s="809">
        <f t="shared" si="1"/>
        <v>6913</v>
      </c>
      <c r="P16" s="585">
        <f t="shared" si="2"/>
        <v>964</v>
      </c>
      <c r="Q16" s="810">
        <f t="shared" si="3"/>
        <v>6627</v>
      </c>
    </row>
    <row r="17" spans="1:17" x14ac:dyDescent="0.35">
      <c r="A17" s="783" t="s">
        <v>258</v>
      </c>
      <c r="B17" s="461">
        <v>178</v>
      </c>
      <c r="C17" s="461">
        <v>3467</v>
      </c>
      <c r="D17" s="461">
        <v>158</v>
      </c>
      <c r="E17" s="461">
        <v>2712</v>
      </c>
      <c r="F17" s="461"/>
      <c r="G17" s="461"/>
      <c r="H17" s="461">
        <v>139</v>
      </c>
      <c r="I17" s="461">
        <v>26</v>
      </c>
      <c r="J17" s="461">
        <v>466</v>
      </c>
      <c r="K17" s="461">
        <v>372</v>
      </c>
      <c r="L17" s="461">
        <v>48</v>
      </c>
      <c r="M17" s="461">
        <v>268</v>
      </c>
      <c r="N17" s="585">
        <f t="shared" si="0"/>
        <v>989</v>
      </c>
      <c r="O17" s="809">
        <f t="shared" si="1"/>
        <v>6845</v>
      </c>
      <c r="P17" s="585">
        <f t="shared" si="2"/>
        <v>941</v>
      </c>
      <c r="Q17" s="810">
        <f t="shared" si="3"/>
        <v>6577</v>
      </c>
    </row>
    <row r="18" spans="1:17" x14ac:dyDescent="0.35">
      <c r="A18" s="783" t="s">
        <v>242</v>
      </c>
      <c r="B18" s="461">
        <v>175</v>
      </c>
      <c r="C18" s="461">
        <v>3371</v>
      </c>
      <c r="D18" s="461">
        <v>171</v>
      </c>
      <c r="E18" s="461">
        <v>2692</v>
      </c>
      <c r="F18" s="461"/>
      <c r="G18" s="461"/>
      <c r="H18" s="461">
        <v>158</v>
      </c>
      <c r="I18" s="461">
        <v>31</v>
      </c>
      <c r="J18" s="461">
        <v>476</v>
      </c>
      <c r="K18" s="461">
        <v>370</v>
      </c>
      <c r="L18" s="461">
        <v>55</v>
      </c>
      <c r="M18" s="461">
        <v>277</v>
      </c>
      <c r="N18" s="585">
        <f t="shared" si="0"/>
        <v>1035</v>
      </c>
      <c r="O18" s="809">
        <f t="shared" si="1"/>
        <v>6741</v>
      </c>
      <c r="P18" s="585">
        <f t="shared" si="2"/>
        <v>980</v>
      </c>
      <c r="Q18" s="810">
        <f t="shared" si="3"/>
        <v>6464</v>
      </c>
    </row>
    <row r="19" spans="1:17" x14ac:dyDescent="0.35">
      <c r="A19" s="783" t="s">
        <v>241</v>
      </c>
      <c r="B19" s="461">
        <v>196</v>
      </c>
      <c r="C19" s="461">
        <v>3441</v>
      </c>
      <c r="D19" s="461">
        <v>201</v>
      </c>
      <c r="E19" s="461">
        <v>2734</v>
      </c>
      <c r="F19" s="461"/>
      <c r="G19" s="461"/>
      <c r="H19" s="461">
        <v>172</v>
      </c>
      <c r="I19" s="461">
        <v>35</v>
      </c>
      <c r="J19" s="461">
        <v>427</v>
      </c>
      <c r="K19" s="461">
        <v>365</v>
      </c>
      <c r="L19" s="461">
        <v>54</v>
      </c>
      <c r="M19" s="461">
        <v>263</v>
      </c>
      <c r="N19" s="585">
        <f>B19+D19+H19+J19+L19</f>
        <v>1050</v>
      </c>
      <c r="O19" s="809">
        <f t="shared" si="1"/>
        <v>6838</v>
      </c>
      <c r="P19" s="585">
        <f>N19-L19</f>
        <v>996</v>
      </c>
      <c r="Q19" s="810">
        <f t="shared" si="3"/>
        <v>6575</v>
      </c>
    </row>
    <row r="20" spans="1:17" x14ac:dyDescent="0.35">
      <c r="A20" s="783" t="s">
        <v>773</v>
      </c>
      <c r="B20" s="461">
        <v>222</v>
      </c>
      <c r="C20" s="461">
        <v>3414</v>
      </c>
      <c r="D20" s="461">
        <v>208</v>
      </c>
      <c r="E20" s="461">
        <v>2729</v>
      </c>
      <c r="F20" s="461">
        <v>7</v>
      </c>
      <c r="G20" s="461">
        <v>29</v>
      </c>
      <c r="H20" s="461">
        <v>156</v>
      </c>
      <c r="I20" s="461">
        <v>32</v>
      </c>
      <c r="J20" s="461">
        <v>447</v>
      </c>
      <c r="K20" s="461">
        <v>370</v>
      </c>
      <c r="L20" s="461">
        <v>54</v>
      </c>
      <c r="M20" s="461">
        <v>261</v>
      </c>
      <c r="N20" s="585">
        <f t="shared" ref="N20:N21" si="4">B20+D20+H20+J20+L20</f>
        <v>1087</v>
      </c>
      <c r="O20" s="809">
        <f>C20+E20+I20+K20+M20</f>
        <v>6806</v>
      </c>
      <c r="P20" s="585">
        <f t="shared" si="2"/>
        <v>1033</v>
      </c>
      <c r="Q20" s="810">
        <f>O20-M20</f>
        <v>6545</v>
      </c>
    </row>
    <row r="21" spans="1:17" x14ac:dyDescent="0.35">
      <c r="A21" s="784" t="s">
        <v>951</v>
      </c>
      <c r="B21" s="772">
        <v>219</v>
      </c>
      <c r="C21" s="772">
        <v>3365</v>
      </c>
      <c r="D21" s="772">
        <v>197</v>
      </c>
      <c r="E21" s="772">
        <v>2675</v>
      </c>
      <c r="F21" s="772">
        <v>11</v>
      </c>
      <c r="G21" s="772">
        <v>43</v>
      </c>
      <c r="H21" s="772">
        <v>151</v>
      </c>
      <c r="I21" s="772">
        <v>31</v>
      </c>
      <c r="J21" s="772">
        <v>461</v>
      </c>
      <c r="K21" s="772">
        <v>375</v>
      </c>
      <c r="L21" s="772">
        <v>52</v>
      </c>
      <c r="M21" s="772">
        <v>251</v>
      </c>
      <c r="N21" s="814">
        <f t="shared" si="4"/>
        <v>1080</v>
      </c>
      <c r="O21" s="815">
        <f>C21+E21+I21+K21+M21</f>
        <v>6697</v>
      </c>
      <c r="P21" s="814">
        <f t="shared" si="2"/>
        <v>1028</v>
      </c>
      <c r="Q21" s="815">
        <f t="shared" si="3"/>
        <v>6446</v>
      </c>
    </row>
    <row r="23" spans="1:17" x14ac:dyDescent="0.35">
      <c r="A23" s="803"/>
      <c r="B23" s="773"/>
      <c r="C23" s="773"/>
      <c r="D23" s="773"/>
      <c r="E23" s="773"/>
      <c r="F23" s="773"/>
      <c r="G23" s="773"/>
      <c r="H23" s="773"/>
      <c r="I23" s="773"/>
      <c r="J23" s="773"/>
      <c r="K23" s="773"/>
      <c r="L23" s="773"/>
      <c r="M23" s="773"/>
      <c r="N23" s="809"/>
      <c r="O23" s="809"/>
      <c r="P23" s="809"/>
      <c r="Q23" s="73"/>
    </row>
    <row r="24" spans="1:17" x14ac:dyDescent="0.35">
      <c r="A24" s="805"/>
      <c r="B24" s="118"/>
      <c r="C24" s="118"/>
      <c r="D24" s="118"/>
      <c r="E24" s="118"/>
      <c r="F24" s="118"/>
      <c r="G24" s="118"/>
      <c r="H24" s="118"/>
      <c r="I24" s="118"/>
      <c r="J24" s="118"/>
      <c r="K24" s="118"/>
      <c r="L24" s="118"/>
      <c r="M24" s="118"/>
      <c r="N24" s="73"/>
      <c r="O24" s="73"/>
      <c r="P24" s="73"/>
      <c r="Q24" s="120" t="s">
        <v>7</v>
      </c>
    </row>
    <row r="25" spans="1:17" ht="32" customHeight="1" x14ac:dyDescent="0.35">
      <c r="A25" s="231" t="s">
        <v>7</v>
      </c>
      <c r="B25" s="1182" t="s">
        <v>82</v>
      </c>
      <c r="C25" s="1182"/>
      <c r="D25" s="1183" t="s">
        <v>28</v>
      </c>
      <c r="E25" s="1183"/>
      <c r="F25" s="1187" t="s">
        <v>849</v>
      </c>
      <c r="G25" s="1188"/>
      <c r="H25" s="1182" t="s">
        <v>2</v>
      </c>
      <c r="I25" s="1182"/>
      <c r="J25" s="1182" t="s">
        <v>83</v>
      </c>
      <c r="K25" s="1182"/>
      <c r="L25" s="1183" t="s">
        <v>29</v>
      </c>
      <c r="M25" s="1183"/>
      <c r="N25" s="1182" t="s">
        <v>26</v>
      </c>
      <c r="O25" s="1182"/>
      <c r="P25" s="1184" t="s">
        <v>84</v>
      </c>
      <c r="Q25" s="1185"/>
    </row>
    <row r="26" spans="1:17" x14ac:dyDescent="0.35">
      <c r="A26" s="576" t="s">
        <v>1</v>
      </c>
      <c r="B26" s="572" t="s">
        <v>85</v>
      </c>
      <c r="C26" s="572" t="s">
        <v>86</v>
      </c>
      <c r="D26" s="572" t="s">
        <v>85</v>
      </c>
      <c r="E26" s="572" t="s">
        <v>86</v>
      </c>
      <c r="F26" s="572" t="s">
        <v>85</v>
      </c>
      <c r="G26" s="572" t="s">
        <v>86</v>
      </c>
      <c r="H26" s="572" t="s">
        <v>85</v>
      </c>
      <c r="I26" s="572" t="s">
        <v>86</v>
      </c>
      <c r="J26" s="572" t="s">
        <v>85</v>
      </c>
      <c r="K26" s="572" t="s">
        <v>86</v>
      </c>
      <c r="L26" s="572" t="s">
        <v>85</v>
      </c>
      <c r="M26" s="572" t="s">
        <v>86</v>
      </c>
      <c r="N26" s="812" t="s">
        <v>85</v>
      </c>
      <c r="O26" s="572" t="s">
        <v>86</v>
      </c>
      <c r="P26" s="572" t="s">
        <v>85</v>
      </c>
      <c r="Q26" s="812" t="s">
        <v>86</v>
      </c>
    </row>
    <row r="27" spans="1:17" ht="17.5" customHeight="1" x14ac:dyDescent="0.35">
      <c r="A27" s="5" t="str">
        <f>A12</f>
        <v>2011-12</v>
      </c>
      <c r="B27" s="121">
        <f>B12/(B12+C12)</f>
        <v>3.558547727819187E-2</v>
      </c>
      <c r="C27" s="121">
        <f>C12/(B12+C12)</f>
        <v>0.96441452272180817</v>
      </c>
      <c r="D27" s="121">
        <f>D12/(D12+E12)</f>
        <v>5.9633027522935783E-2</v>
      </c>
      <c r="E27" s="121">
        <f>E12/(D12+E12)</f>
        <v>0.94036697247706424</v>
      </c>
      <c r="F27" s="121"/>
      <c r="G27" s="121"/>
      <c r="H27" s="121">
        <f>H12/(H12+I12)</f>
        <v>0.86324786324786329</v>
      </c>
      <c r="I27" s="121">
        <f>I12/(H12+I12)</f>
        <v>0.13675213675213677</v>
      </c>
      <c r="J27" s="121">
        <f>J12/(J12+K12)</f>
        <v>0.57130281690140849</v>
      </c>
      <c r="K27" s="121">
        <f>K12/(J12+K12)</f>
        <v>0.42869718309859156</v>
      </c>
      <c r="L27" s="121">
        <f>L12/(L12+M12)</f>
        <v>0.12854030501089325</v>
      </c>
      <c r="M27" s="121">
        <f>M12/(L12+M12)</f>
        <v>0.8714596949891068</v>
      </c>
      <c r="N27" s="573">
        <f>N12/(N12+O12)</f>
        <v>0.13716814159292035</v>
      </c>
      <c r="O27" s="121">
        <f>O12/(N12+O12)</f>
        <v>0.86283185840707965</v>
      </c>
      <c r="P27" s="573">
        <f>P12/(P12+Q12)</f>
        <v>0.13762964689430138</v>
      </c>
      <c r="Q27" s="577">
        <f>Q12/(P12+Q12)</f>
        <v>0.86237035310569865</v>
      </c>
    </row>
    <row r="28" spans="1:17" x14ac:dyDescent="0.35">
      <c r="A28" s="821" t="str">
        <f t="shared" ref="A28:A36" si="5">A13</f>
        <v>2012-13</v>
      </c>
      <c r="B28" s="121">
        <f t="shared" ref="B28:B36" si="6">B13/(B13+C13)</f>
        <v>3.8063117321127438E-2</v>
      </c>
      <c r="C28" s="121">
        <f t="shared" ref="C28:C36" si="7">C13/(B13+C13)</f>
        <v>0.96193688267887256</v>
      </c>
      <c r="D28" s="121">
        <f t="shared" ref="D28:D36" si="8">D13/(D13+E13)</f>
        <v>5.6241872561768533E-2</v>
      </c>
      <c r="E28" s="121">
        <f t="shared" ref="E28:E36" si="9">E13/(D13+E13)</f>
        <v>0.94375812743823151</v>
      </c>
      <c r="F28" s="121"/>
      <c r="G28" s="121"/>
      <c r="H28" s="121">
        <f t="shared" ref="H28:H36" si="10">H13/(H13+I13)</f>
        <v>0.86752136752136755</v>
      </c>
      <c r="I28" s="121">
        <f t="shared" ref="I28:I36" si="11">I13/(H13+I13)</f>
        <v>0.13247863247863248</v>
      </c>
      <c r="J28" s="121">
        <f t="shared" ref="J28:J36" si="12">J13/(J13+K13)</f>
        <v>0.55616942909760592</v>
      </c>
      <c r="K28" s="121">
        <f t="shared" ref="K28:K36" si="13">K13/(J13+K13)</f>
        <v>0.44383057090239408</v>
      </c>
      <c r="L28" s="121">
        <f t="shared" ref="L28:L36" si="14">L13/(L13+M13)</f>
        <v>0.12470023980815348</v>
      </c>
      <c r="M28" s="121">
        <f t="shared" ref="M28:M36" si="15">M13/(L13+M13)</f>
        <v>0.87529976019184652</v>
      </c>
      <c r="N28" s="574">
        <f t="shared" ref="N28:N36" si="16">N13/(N13+O13)</f>
        <v>0.13275323516287371</v>
      </c>
      <c r="O28" s="121">
        <f t="shared" ref="O28:O36" si="17">O13/(N13+O13)</f>
        <v>0.86724676483712626</v>
      </c>
      <c r="P28" s="574">
        <f t="shared" ref="P28:P36" si="18">P13/(P13+Q13)</f>
        <v>0.13314613314613313</v>
      </c>
      <c r="Q28" s="578">
        <f t="shared" ref="Q28:Q36" si="19">Q13/(P13+Q13)</f>
        <v>0.86685386685386689</v>
      </c>
    </row>
    <row r="29" spans="1:17" x14ac:dyDescent="0.35">
      <c r="A29" s="821" t="str">
        <f t="shared" si="5"/>
        <v>2013-14</v>
      </c>
      <c r="B29" s="121">
        <f t="shared" si="6"/>
        <v>3.9740064983754063E-2</v>
      </c>
      <c r="C29" s="121">
        <f t="shared" si="7"/>
        <v>0.96025993501624596</v>
      </c>
      <c r="D29" s="121">
        <f t="shared" si="8"/>
        <v>6.0544217687074832E-2</v>
      </c>
      <c r="E29" s="121">
        <f t="shared" si="9"/>
        <v>0.93945578231292515</v>
      </c>
      <c r="F29" s="121"/>
      <c r="G29" s="121"/>
      <c r="H29" s="121">
        <f t="shared" si="10"/>
        <v>0.8923766816143498</v>
      </c>
      <c r="I29" s="121">
        <f t="shared" si="11"/>
        <v>0.10762331838565023</v>
      </c>
      <c r="J29" s="121">
        <f t="shared" si="12"/>
        <v>0.56711758584807492</v>
      </c>
      <c r="K29" s="121">
        <f t="shared" si="13"/>
        <v>0.43288241415192508</v>
      </c>
      <c r="L29" s="121">
        <f t="shared" si="14"/>
        <v>0.14484679665738162</v>
      </c>
      <c r="M29" s="121">
        <f t="shared" si="15"/>
        <v>0.85515320334261835</v>
      </c>
      <c r="N29" s="574">
        <f t="shared" si="16"/>
        <v>0.13354549740688354</v>
      </c>
      <c r="O29" s="121">
        <f t="shared" si="17"/>
        <v>0.8664545025931164</v>
      </c>
      <c r="P29" s="574">
        <f t="shared" si="18"/>
        <v>0.13304615384615384</v>
      </c>
      <c r="Q29" s="578">
        <f t="shared" si="19"/>
        <v>0.86695384615384619</v>
      </c>
    </row>
    <row r="30" spans="1:17" x14ac:dyDescent="0.35">
      <c r="A30" s="821" t="str">
        <f t="shared" si="5"/>
        <v>2014-15</v>
      </c>
      <c r="B30" s="121">
        <f t="shared" si="6"/>
        <v>4.2531120331950209E-2</v>
      </c>
      <c r="C30" s="121">
        <f t="shared" si="7"/>
        <v>0.95746887966804983</v>
      </c>
      <c r="D30" s="121">
        <f t="shared" si="8"/>
        <v>5.8305084745762709E-2</v>
      </c>
      <c r="E30" s="121">
        <f t="shared" si="9"/>
        <v>0.94169491525423732</v>
      </c>
      <c r="F30" s="121"/>
      <c r="G30" s="121"/>
      <c r="H30" s="121">
        <f t="shared" si="10"/>
        <v>0.83478260869565213</v>
      </c>
      <c r="I30" s="121">
        <f t="shared" si="11"/>
        <v>0.16521739130434782</v>
      </c>
      <c r="J30" s="121">
        <f t="shared" si="12"/>
        <v>0.55363321799307963</v>
      </c>
      <c r="K30" s="121">
        <f t="shared" si="13"/>
        <v>0.44636678200692043</v>
      </c>
      <c r="L30" s="121">
        <f t="shared" si="14"/>
        <v>0.14814814814814814</v>
      </c>
      <c r="M30" s="121">
        <f t="shared" si="15"/>
        <v>0.85185185185185186</v>
      </c>
      <c r="N30" s="574">
        <f t="shared" si="16"/>
        <v>0.12848689771766694</v>
      </c>
      <c r="O30" s="121">
        <f t="shared" si="17"/>
        <v>0.87151310228233303</v>
      </c>
      <c r="P30" s="574">
        <f t="shared" si="18"/>
        <v>0.1275465013286094</v>
      </c>
      <c r="Q30" s="578">
        <f t="shared" si="19"/>
        <v>0.87245349867139066</v>
      </c>
    </row>
    <row r="31" spans="1:17" x14ac:dyDescent="0.35">
      <c r="A31" s="821" t="str">
        <f t="shared" si="5"/>
        <v>2015-16</v>
      </c>
      <c r="B31" s="121">
        <f t="shared" si="6"/>
        <v>4.5257452574525743E-2</v>
      </c>
      <c r="C31" s="121">
        <f t="shared" si="7"/>
        <v>0.95474254742547426</v>
      </c>
      <c r="D31" s="121">
        <f t="shared" si="8"/>
        <v>5.6794425087108011E-2</v>
      </c>
      <c r="E31" s="121">
        <f t="shared" si="9"/>
        <v>0.94320557491289203</v>
      </c>
      <c r="F31" s="121"/>
      <c r="G31" s="121"/>
      <c r="H31" s="121">
        <f t="shared" si="10"/>
        <v>0.8423645320197044</v>
      </c>
      <c r="I31" s="121">
        <f t="shared" si="11"/>
        <v>0.15763546798029557</v>
      </c>
      <c r="J31" s="121">
        <f t="shared" si="12"/>
        <v>0.5591787439613527</v>
      </c>
      <c r="K31" s="121">
        <f t="shared" si="13"/>
        <v>0.44082125603864736</v>
      </c>
      <c r="L31" s="121">
        <f t="shared" si="14"/>
        <v>0.16374269005847952</v>
      </c>
      <c r="M31" s="121">
        <f t="shared" si="15"/>
        <v>0.83625730994152048</v>
      </c>
      <c r="N31" s="574">
        <f t="shared" si="16"/>
        <v>0.12857683095928402</v>
      </c>
      <c r="O31" s="121">
        <f t="shared" si="17"/>
        <v>0.87142316904071604</v>
      </c>
      <c r="P31" s="574">
        <f t="shared" si="18"/>
        <v>0.12699249110789093</v>
      </c>
      <c r="Q31" s="578">
        <f t="shared" si="19"/>
        <v>0.8730075088921091</v>
      </c>
    </row>
    <row r="32" spans="1:17" x14ac:dyDescent="0.35">
      <c r="A32" s="821" t="str">
        <f t="shared" si="5"/>
        <v>2016-17</v>
      </c>
      <c r="B32" s="121">
        <f t="shared" si="6"/>
        <v>4.8834019204389574E-2</v>
      </c>
      <c r="C32" s="121">
        <f t="shared" si="7"/>
        <v>0.95116598079561043</v>
      </c>
      <c r="D32" s="121">
        <f t="shared" si="8"/>
        <v>5.5052264808362367E-2</v>
      </c>
      <c r="E32" s="121">
        <f t="shared" si="9"/>
        <v>0.94494773519163766</v>
      </c>
      <c r="F32" s="121"/>
      <c r="G32" s="121"/>
      <c r="H32" s="121">
        <f t="shared" si="10"/>
        <v>0.84242424242424241</v>
      </c>
      <c r="I32" s="121">
        <f t="shared" si="11"/>
        <v>0.15757575757575756</v>
      </c>
      <c r="J32" s="121">
        <f t="shared" si="12"/>
        <v>0.55608591885441527</v>
      </c>
      <c r="K32" s="121">
        <f t="shared" si="13"/>
        <v>0.44391408114558473</v>
      </c>
      <c r="L32" s="121">
        <f t="shared" si="14"/>
        <v>0.15189873417721519</v>
      </c>
      <c r="M32" s="121">
        <f t="shared" si="15"/>
        <v>0.84810126582278478</v>
      </c>
      <c r="N32" s="574">
        <f t="shared" si="16"/>
        <v>0.12624457492979321</v>
      </c>
      <c r="O32" s="121">
        <f t="shared" si="17"/>
        <v>0.87375542507020676</v>
      </c>
      <c r="P32" s="574">
        <f t="shared" si="18"/>
        <v>0.12516626762436819</v>
      </c>
      <c r="Q32" s="578">
        <f t="shared" si="19"/>
        <v>0.87483373237563178</v>
      </c>
    </row>
    <row r="33" spans="1:17" x14ac:dyDescent="0.35">
      <c r="A33" s="821" t="str">
        <f t="shared" si="5"/>
        <v>2017-18</v>
      </c>
      <c r="B33" s="121">
        <f t="shared" si="6"/>
        <v>4.9351381838691484E-2</v>
      </c>
      <c r="C33" s="121">
        <f t="shared" si="7"/>
        <v>0.95064861816130852</v>
      </c>
      <c r="D33" s="121">
        <f t="shared" si="8"/>
        <v>5.9727558505064615E-2</v>
      </c>
      <c r="E33" s="121">
        <f t="shared" si="9"/>
        <v>0.94027244149493538</v>
      </c>
      <c r="F33" s="121"/>
      <c r="G33" s="121"/>
      <c r="H33" s="121">
        <f t="shared" si="10"/>
        <v>0.83597883597883593</v>
      </c>
      <c r="I33" s="121">
        <f t="shared" si="11"/>
        <v>0.16402116402116401</v>
      </c>
      <c r="J33" s="121">
        <f t="shared" si="12"/>
        <v>0.56264775413711587</v>
      </c>
      <c r="K33" s="121">
        <f t="shared" si="13"/>
        <v>0.43735224586288418</v>
      </c>
      <c r="L33" s="121">
        <f t="shared" si="14"/>
        <v>0.16566265060240964</v>
      </c>
      <c r="M33" s="121">
        <f t="shared" si="15"/>
        <v>0.83433734939759041</v>
      </c>
      <c r="N33" s="574">
        <f t="shared" si="16"/>
        <v>0.13310185185185186</v>
      </c>
      <c r="O33" s="121">
        <f t="shared" si="17"/>
        <v>0.86689814814814814</v>
      </c>
      <c r="P33" s="574">
        <f t="shared" si="18"/>
        <v>0.13164965072541646</v>
      </c>
      <c r="Q33" s="578">
        <f t="shared" si="19"/>
        <v>0.86835034927458354</v>
      </c>
    </row>
    <row r="34" spans="1:17" x14ac:dyDescent="0.35">
      <c r="A34" s="821" t="str">
        <f t="shared" si="5"/>
        <v>2018-19</v>
      </c>
      <c r="B34" s="121">
        <f t="shared" si="6"/>
        <v>5.3890569150398679E-2</v>
      </c>
      <c r="C34" s="121">
        <f t="shared" si="7"/>
        <v>0.94610943084960131</v>
      </c>
      <c r="D34" s="121">
        <f t="shared" si="8"/>
        <v>6.8483816013628615E-2</v>
      </c>
      <c r="E34" s="121">
        <f t="shared" si="9"/>
        <v>0.93151618398637137</v>
      </c>
      <c r="F34" s="121"/>
      <c r="G34" s="121"/>
      <c r="H34" s="121">
        <f t="shared" si="10"/>
        <v>0.83091787439613529</v>
      </c>
      <c r="I34" s="121">
        <f t="shared" si="11"/>
        <v>0.16908212560386474</v>
      </c>
      <c r="J34" s="121">
        <f t="shared" si="12"/>
        <v>0.53914141414141414</v>
      </c>
      <c r="K34" s="121">
        <f t="shared" si="13"/>
        <v>0.46085858585858586</v>
      </c>
      <c r="L34" s="121">
        <f t="shared" si="14"/>
        <v>0.17034700315457413</v>
      </c>
      <c r="M34" s="121">
        <f t="shared" si="15"/>
        <v>0.82965299684542582</v>
      </c>
      <c r="N34" s="574">
        <f t="shared" si="16"/>
        <v>0.13311359026369168</v>
      </c>
      <c r="O34" s="121">
        <f t="shared" si="17"/>
        <v>0.86688640973630826</v>
      </c>
      <c r="P34" s="574">
        <f t="shared" si="18"/>
        <v>0.13155461629903578</v>
      </c>
      <c r="Q34" s="578">
        <f t="shared" si="19"/>
        <v>0.86844538370096425</v>
      </c>
    </row>
    <row r="35" spans="1:17" x14ac:dyDescent="0.35">
      <c r="A35" s="821" t="str">
        <f t="shared" si="5"/>
        <v>2019-20</v>
      </c>
      <c r="B35" s="121">
        <f t="shared" si="6"/>
        <v>6.1056105610561059E-2</v>
      </c>
      <c r="C35" s="121">
        <f t="shared" si="7"/>
        <v>0.93894389438943893</v>
      </c>
      <c r="D35" s="121">
        <f t="shared" si="8"/>
        <v>7.0820565202587671E-2</v>
      </c>
      <c r="E35" s="121">
        <f t="shared" si="9"/>
        <v>0.92917943479741227</v>
      </c>
      <c r="F35" s="121">
        <f>F20/(F20+G20)</f>
        <v>0.19444444444444445</v>
      </c>
      <c r="G35" s="121">
        <f>G20/(F20+G20)</f>
        <v>0.80555555555555558</v>
      </c>
      <c r="H35" s="121">
        <f t="shared" si="10"/>
        <v>0.82978723404255317</v>
      </c>
      <c r="I35" s="121">
        <f t="shared" si="11"/>
        <v>0.1702127659574468</v>
      </c>
      <c r="J35" s="121">
        <f t="shared" si="12"/>
        <v>0.54712362301101591</v>
      </c>
      <c r="K35" s="121">
        <f t="shared" si="13"/>
        <v>0.45287637698898409</v>
      </c>
      <c r="L35" s="121">
        <f t="shared" si="14"/>
        <v>0.17142857142857143</v>
      </c>
      <c r="M35" s="121">
        <f t="shared" si="15"/>
        <v>0.82857142857142863</v>
      </c>
      <c r="N35" s="574">
        <f t="shared" si="16"/>
        <v>0.13771696439883441</v>
      </c>
      <c r="O35" s="121">
        <f t="shared" si="17"/>
        <v>0.86228303560116559</v>
      </c>
      <c r="P35" s="574">
        <f t="shared" si="18"/>
        <v>0.13631565056743203</v>
      </c>
      <c r="Q35" s="578">
        <f t="shared" si="19"/>
        <v>0.863684349432568</v>
      </c>
    </row>
    <row r="36" spans="1:17" x14ac:dyDescent="0.35">
      <c r="A36" s="17" t="str">
        <f t="shared" si="5"/>
        <v>2020-21</v>
      </c>
      <c r="B36" s="122">
        <f t="shared" si="6"/>
        <v>6.1104910714285712E-2</v>
      </c>
      <c r="C36" s="122">
        <f t="shared" si="7"/>
        <v>0.9388950892857143</v>
      </c>
      <c r="D36" s="122">
        <f t="shared" si="8"/>
        <v>6.8593314763231203E-2</v>
      </c>
      <c r="E36" s="122">
        <f t="shared" si="9"/>
        <v>0.93140668523676884</v>
      </c>
      <c r="F36" s="122">
        <f>F21/(F21+G21)</f>
        <v>0.20370370370370369</v>
      </c>
      <c r="G36" s="122">
        <f>G21/(F21+G21)</f>
        <v>0.79629629629629628</v>
      </c>
      <c r="H36" s="122">
        <f t="shared" si="10"/>
        <v>0.82967032967032972</v>
      </c>
      <c r="I36" s="122">
        <f t="shared" si="11"/>
        <v>0.17032967032967034</v>
      </c>
      <c r="J36" s="122">
        <f t="shared" si="12"/>
        <v>0.55143540669856461</v>
      </c>
      <c r="K36" s="122">
        <f t="shared" si="13"/>
        <v>0.44856459330143539</v>
      </c>
      <c r="L36" s="122">
        <f t="shared" si="14"/>
        <v>0.17161716171617161</v>
      </c>
      <c r="M36" s="122">
        <f t="shared" si="15"/>
        <v>0.82838283828382842</v>
      </c>
      <c r="N36" s="575">
        <f t="shared" si="16"/>
        <v>0.13887102996013886</v>
      </c>
      <c r="O36" s="122">
        <f t="shared" si="17"/>
        <v>0.86112897003986111</v>
      </c>
      <c r="P36" s="575">
        <f t="shared" si="18"/>
        <v>0.13754348407813755</v>
      </c>
      <c r="Q36" s="579">
        <f t="shared" si="19"/>
        <v>0.86245651592186245</v>
      </c>
    </row>
    <row r="37" spans="1:17" x14ac:dyDescent="0.35">
      <c r="A37" s="12"/>
      <c r="B37" s="12"/>
      <c r="C37" s="119"/>
      <c r="D37" s="119"/>
      <c r="E37" s="119"/>
      <c r="F37" s="119"/>
      <c r="G37" s="119"/>
      <c r="H37" s="119"/>
      <c r="I37" s="119"/>
      <c r="J37" s="119"/>
      <c r="K37" s="119"/>
      <c r="L37" s="119"/>
      <c r="M37" s="119"/>
      <c r="N37" s="119"/>
      <c r="O37" s="119"/>
      <c r="P37" s="119"/>
      <c r="Q37" s="119"/>
    </row>
    <row r="38" spans="1:17" x14ac:dyDescent="0.35">
      <c r="A38" s="1174" t="str">
        <f>"One Year Change " &amp;A20 &amp; " to " &amp;A21</f>
        <v>One Year Change 2019-20 to 2020-21</v>
      </c>
      <c r="B38" s="1174"/>
      <c r="C38" s="1174"/>
      <c r="D38" s="12"/>
      <c r="E38" s="12"/>
      <c r="F38" s="12"/>
      <c r="G38" s="12"/>
      <c r="H38" s="12"/>
      <c r="I38" s="12"/>
      <c r="J38" s="12"/>
      <c r="K38" s="12"/>
      <c r="L38" s="25"/>
      <c r="M38" s="117"/>
      <c r="N38" s="15"/>
      <c r="O38" s="15"/>
      <c r="P38" s="25"/>
      <c r="Q38" s="25"/>
    </row>
    <row r="39" spans="1:17" ht="15.5" customHeight="1" x14ac:dyDescent="0.35">
      <c r="A39" s="22" t="s">
        <v>6</v>
      </c>
      <c r="B39" s="123">
        <f>B21-B20</f>
        <v>-3</v>
      </c>
      <c r="C39" s="123">
        <f t="shared" ref="C39:Q39" si="20">C21-C20</f>
        <v>-49</v>
      </c>
      <c r="D39" s="123">
        <f t="shared" si="20"/>
        <v>-11</v>
      </c>
      <c r="E39" s="123">
        <f t="shared" si="20"/>
        <v>-54</v>
      </c>
      <c r="F39" s="123">
        <f t="shared" si="20"/>
        <v>4</v>
      </c>
      <c r="G39" s="123">
        <f t="shared" si="20"/>
        <v>14</v>
      </c>
      <c r="H39" s="123">
        <f t="shared" si="20"/>
        <v>-5</v>
      </c>
      <c r="I39" s="123">
        <f t="shared" si="20"/>
        <v>-1</v>
      </c>
      <c r="J39" s="123">
        <f t="shared" si="20"/>
        <v>14</v>
      </c>
      <c r="K39" s="123">
        <f t="shared" si="20"/>
        <v>5</v>
      </c>
      <c r="L39" s="123">
        <f t="shared" si="20"/>
        <v>-2</v>
      </c>
      <c r="M39" s="123">
        <f t="shared" si="20"/>
        <v>-10</v>
      </c>
      <c r="N39" s="123">
        <f t="shared" si="20"/>
        <v>-7</v>
      </c>
      <c r="O39" s="123">
        <f t="shared" si="20"/>
        <v>-109</v>
      </c>
      <c r="P39" s="123">
        <f t="shared" si="20"/>
        <v>-5</v>
      </c>
      <c r="Q39" s="123">
        <f t="shared" si="20"/>
        <v>-99</v>
      </c>
    </row>
    <row r="40" spans="1:17" ht="15.5" customHeight="1" thickBot="1" x14ac:dyDescent="0.4">
      <c r="A40" s="10" t="s">
        <v>7</v>
      </c>
      <c r="B40" s="11">
        <f>B39/B20</f>
        <v>-1.3513513513513514E-2</v>
      </c>
      <c r="C40" s="11">
        <f t="shared" ref="C40:Q40" si="21">C39/C20</f>
        <v>-1.4352665495020504E-2</v>
      </c>
      <c r="D40" s="11">
        <f t="shared" si="21"/>
        <v>-5.2884615384615384E-2</v>
      </c>
      <c r="E40" s="11">
        <f t="shared" si="21"/>
        <v>-1.9787467936973249E-2</v>
      </c>
      <c r="F40" s="11">
        <f t="shared" si="21"/>
        <v>0.5714285714285714</v>
      </c>
      <c r="G40" s="11">
        <f t="shared" si="21"/>
        <v>0.48275862068965519</v>
      </c>
      <c r="H40" s="11">
        <f t="shared" si="21"/>
        <v>-3.2051282051282048E-2</v>
      </c>
      <c r="I40" s="11">
        <f t="shared" si="21"/>
        <v>-3.125E-2</v>
      </c>
      <c r="J40" s="11">
        <f t="shared" si="21"/>
        <v>3.1319910514541388E-2</v>
      </c>
      <c r="K40" s="11">
        <f t="shared" si="21"/>
        <v>1.3513513513513514E-2</v>
      </c>
      <c r="L40" s="11">
        <f t="shared" si="21"/>
        <v>-3.7037037037037035E-2</v>
      </c>
      <c r="M40" s="11">
        <f t="shared" si="21"/>
        <v>-3.8314176245210725E-2</v>
      </c>
      <c r="N40" s="11">
        <f t="shared" si="21"/>
        <v>-6.439742410303588E-3</v>
      </c>
      <c r="O40" s="11">
        <f t="shared" si="21"/>
        <v>-1.6015280634734057E-2</v>
      </c>
      <c r="P40" s="11">
        <f t="shared" si="21"/>
        <v>-4.8402710551790898E-3</v>
      </c>
      <c r="Q40" s="11">
        <f t="shared" si="21"/>
        <v>-1.5126050420168067E-2</v>
      </c>
    </row>
    <row r="41" spans="1:17" x14ac:dyDescent="0.35">
      <c r="A41" s="12"/>
      <c r="B41" s="13"/>
      <c r="C41" s="13"/>
      <c r="D41" s="13"/>
      <c r="E41" s="13"/>
      <c r="F41" s="13"/>
      <c r="G41" s="13"/>
      <c r="H41" s="13"/>
      <c r="I41" s="13"/>
      <c r="J41" s="13"/>
      <c r="K41" s="12"/>
      <c r="L41" s="25"/>
      <c r="M41" s="117"/>
      <c r="N41" s="12"/>
      <c r="O41" s="12"/>
      <c r="P41" s="115"/>
      <c r="Q41" s="115"/>
    </row>
    <row r="42" spans="1:17" x14ac:dyDescent="0.35">
      <c r="A42" s="1174" t="str">
        <f>"Five Year Change " &amp;A16 &amp; " to " &amp;A21</f>
        <v>Five Year Change 2015-16 to 2020-21</v>
      </c>
      <c r="B42" s="1174"/>
      <c r="C42" s="1174"/>
      <c r="D42" s="12"/>
      <c r="E42" s="12"/>
      <c r="F42" s="12"/>
      <c r="G42" s="12"/>
      <c r="H42" s="12"/>
      <c r="I42" s="12"/>
      <c r="J42" s="12"/>
      <c r="K42" s="12"/>
      <c r="L42" s="25"/>
      <c r="M42" s="117"/>
      <c r="N42" s="15"/>
      <c r="O42" s="15"/>
      <c r="P42" s="25"/>
      <c r="Q42" s="25"/>
    </row>
    <row r="43" spans="1:17" x14ac:dyDescent="0.35">
      <c r="A43" s="22" t="s">
        <v>6</v>
      </c>
      <c r="B43" s="123">
        <f>B21-B16</f>
        <v>52</v>
      </c>
      <c r="C43" s="123">
        <f t="shared" ref="C43:Q43" si="22">C21-C16</f>
        <v>-158</v>
      </c>
      <c r="D43" s="123">
        <f t="shared" si="22"/>
        <v>34</v>
      </c>
      <c r="E43" s="123">
        <f t="shared" si="22"/>
        <v>-32</v>
      </c>
      <c r="F43" s="123">
        <f t="shared" si="22"/>
        <v>11</v>
      </c>
      <c r="G43" s="123">
        <f t="shared" si="22"/>
        <v>43</v>
      </c>
      <c r="H43" s="123">
        <f t="shared" si="22"/>
        <v>-20</v>
      </c>
      <c r="I43" s="123">
        <f t="shared" si="22"/>
        <v>-1</v>
      </c>
      <c r="J43" s="123">
        <f t="shared" si="22"/>
        <v>-2</v>
      </c>
      <c r="K43" s="123">
        <f t="shared" si="22"/>
        <v>10</v>
      </c>
      <c r="L43" s="123">
        <f t="shared" si="22"/>
        <v>-4</v>
      </c>
      <c r="M43" s="123">
        <f t="shared" si="22"/>
        <v>-35</v>
      </c>
      <c r="N43" s="123">
        <f t="shared" si="22"/>
        <v>60</v>
      </c>
      <c r="O43" s="123">
        <f t="shared" si="22"/>
        <v>-216</v>
      </c>
      <c r="P43" s="123">
        <f t="shared" si="22"/>
        <v>64</v>
      </c>
      <c r="Q43" s="123">
        <f t="shared" si="22"/>
        <v>-181</v>
      </c>
    </row>
    <row r="44" spans="1:17" ht="15" thickBot="1" x14ac:dyDescent="0.4">
      <c r="A44" s="10" t="s">
        <v>7</v>
      </c>
      <c r="B44" s="11">
        <f>B43/B16</f>
        <v>0.31137724550898205</v>
      </c>
      <c r="C44" s="11">
        <f t="shared" ref="C44:Q44" si="23">C43/C16</f>
        <v>-4.4848140789100197E-2</v>
      </c>
      <c r="D44" s="11">
        <f t="shared" si="23"/>
        <v>0.20858895705521471</v>
      </c>
      <c r="E44" s="11">
        <f t="shared" si="23"/>
        <v>-1.1821204285186553E-2</v>
      </c>
      <c r="F44" s="11"/>
      <c r="G44" s="11"/>
      <c r="H44" s="11">
        <f t="shared" si="23"/>
        <v>-0.11695906432748537</v>
      </c>
      <c r="I44" s="11">
        <f t="shared" si="23"/>
        <v>-3.125E-2</v>
      </c>
      <c r="J44" s="11">
        <f t="shared" si="23"/>
        <v>-4.3196544276457886E-3</v>
      </c>
      <c r="K44" s="11">
        <f t="shared" si="23"/>
        <v>2.7397260273972601E-2</v>
      </c>
      <c r="L44" s="11">
        <f t="shared" si="23"/>
        <v>-7.1428571428571425E-2</v>
      </c>
      <c r="M44" s="11">
        <f t="shared" si="23"/>
        <v>-0.12237762237762238</v>
      </c>
      <c r="N44" s="11">
        <f t="shared" si="23"/>
        <v>5.8823529411764705E-2</v>
      </c>
      <c r="O44" s="11">
        <f t="shared" si="23"/>
        <v>-3.1245479531317805E-2</v>
      </c>
      <c r="P44" s="11">
        <f t="shared" si="23"/>
        <v>6.6390041493775934E-2</v>
      </c>
      <c r="Q44" s="11">
        <f t="shared" si="23"/>
        <v>-2.7312509431115135E-2</v>
      </c>
    </row>
    <row r="46" spans="1:17" x14ac:dyDescent="0.35">
      <c r="A46" s="359" t="s">
        <v>945</v>
      </c>
    </row>
    <row r="47" spans="1:17" x14ac:dyDescent="0.35">
      <c r="A47" s="554" t="s">
        <v>946</v>
      </c>
      <c r="B47" s="554"/>
      <c r="C47" s="554"/>
      <c r="D47" s="554"/>
      <c r="E47" s="554"/>
      <c r="F47" s="554"/>
      <c r="G47" s="554"/>
    </row>
    <row r="53" ht="15" customHeight="1" x14ac:dyDescent="0.35"/>
    <row r="62" ht="15" customHeight="1" x14ac:dyDescent="0.35"/>
  </sheetData>
  <sheetProtection algorithmName="SHA-512" hashValue="McA7cqJ50z265Ep+s8QQyIGV6qlFmpqaaCZZl/5BaWUoQH/l2xf6VAhaFglRP8uuXlqD11Vt5Yjy30YZLSmlfQ==" saltValue="8HctgCj808KSo6/imdBgCQ==" spinCount="100000" sheet="1" scenarios="1" formatCells="0" formatColumns="0" formatRows="0" sort="0" autoFilter="0" pivotTables="0"/>
  <mergeCells count="20">
    <mergeCell ref="N9:O9"/>
    <mergeCell ref="P9:Q9"/>
    <mergeCell ref="A1:E1"/>
    <mergeCell ref="L25:M25"/>
    <mergeCell ref="N25:O25"/>
    <mergeCell ref="P25:Q25"/>
    <mergeCell ref="J25:K25"/>
    <mergeCell ref="A4:Q4"/>
    <mergeCell ref="B9:C9"/>
    <mergeCell ref="D9:E9"/>
    <mergeCell ref="H9:I9"/>
    <mergeCell ref="J9:K9"/>
    <mergeCell ref="L9:M9"/>
    <mergeCell ref="F9:G9"/>
    <mergeCell ref="F25:G25"/>
    <mergeCell ref="A42:C42"/>
    <mergeCell ref="A38:C38"/>
    <mergeCell ref="B25:C25"/>
    <mergeCell ref="D25:E25"/>
    <mergeCell ref="H25:I25"/>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3" orientation="landscape"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10"/>
  <sheetViews>
    <sheetView workbookViewId="0">
      <selection activeCell="E9" sqref="E9"/>
    </sheetView>
  </sheetViews>
  <sheetFormatPr defaultRowHeight="14.5" x14ac:dyDescent="0.35"/>
  <cols>
    <col min="1" max="1" width="12.36328125" bestFit="1" customWidth="1"/>
    <col min="2" max="2" width="13.1796875" bestFit="1" customWidth="1"/>
    <col min="3" max="3" width="11.26953125" bestFit="1" customWidth="1"/>
    <col min="4" max="4" width="11.36328125" bestFit="1" customWidth="1"/>
  </cols>
  <sheetData>
    <row r="1" spans="1:4" x14ac:dyDescent="0.35">
      <c r="A1" s="459" t="s">
        <v>1</v>
      </c>
      <c r="B1" t="s">
        <v>951</v>
      </c>
    </row>
    <row r="3" spans="1:4" x14ac:dyDescent="0.35">
      <c r="A3" s="459" t="s">
        <v>234</v>
      </c>
      <c r="B3" t="s">
        <v>304</v>
      </c>
      <c r="C3" t="s">
        <v>305</v>
      </c>
      <c r="D3" t="s">
        <v>240</v>
      </c>
    </row>
    <row r="4" spans="1:4" x14ac:dyDescent="0.35">
      <c r="A4" s="1000" t="s">
        <v>2</v>
      </c>
      <c r="B4" s="461">
        <v>151</v>
      </c>
      <c r="C4" s="461">
        <v>31</v>
      </c>
      <c r="D4" s="461">
        <v>182</v>
      </c>
    </row>
    <row r="5" spans="1:4" x14ac:dyDescent="0.35">
      <c r="A5" s="1000" t="s">
        <v>9</v>
      </c>
      <c r="B5" s="461">
        <v>197</v>
      </c>
      <c r="C5" s="461">
        <v>2675</v>
      </c>
      <c r="D5" s="461">
        <v>2872</v>
      </c>
    </row>
    <row r="6" spans="1:4" x14ac:dyDescent="0.35">
      <c r="A6" s="1000" t="s">
        <v>774</v>
      </c>
      <c r="B6" s="461">
        <v>11</v>
      </c>
      <c r="C6" s="461">
        <v>43</v>
      </c>
      <c r="D6" s="461">
        <v>54</v>
      </c>
    </row>
    <row r="7" spans="1:4" x14ac:dyDescent="0.35">
      <c r="A7" s="1000" t="s">
        <v>3</v>
      </c>
      <c r="B7" s="461">
        <v>461</v>
      </c>
      <c r="C7" s="461">
        <v>375</v>
      </c>
      <c r="D7" s="461">
        <v>836</v>
      </c>
    </row>
    <row r="8" spans="1:4" x14ac:dyDescent="0.35">
      <c r="A8" s="1000" t="s">
        <v>300</v>
      </c>
      <c r="B8" s="461">
        <v>52</v>
      </c>
      <c r="C8" s="461">
        <v>251</v>
      </c>
      <c r="D8" s="461">
        <v>303</v>
      </c>
    </row>
    <row r="9" spans="1:4" x14ac:dyDescent="0.35">
      <c r="A9" s="1000" t="s">
        <v>301</v>
      </c>
      <c r="B9" s="461">
        <v>219</v>
      </c>
      <c r="C9" s="461">
        <v>3365</v>
      </c>
      <c r="D9" s="461">
        <v>3584</v>
      </c>
    </row>
    <row r="10" spans="1:4" x14ac:dyDescent="0.35">
      <c r="A10" s="1000" t="s">
        <v>239</v>
      </c>
      <c r="B10" s="461">
        <v>1091</v>
      </c>
      <c r="C10" s="461">
        <v>6740</v>
      </c>
      <c r="D10" s="461">
        <v>7831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44"/>
  <sheetViews>
    <sheetView workbookViewId="0">
      <selection activeCell="D11" sqref="D11"/>
    </sheetView>
  </sheetViews>
  <sheetFormatPr defaultRowHeight="14.5" x14ac:dyDescent="0.35"/>
  <cols>
    <col min="1" max="1" width="7.453125" bestFit="1" customWidth="1"/>
    <col min="2" max="2" width="11.1796875" bestFit="1" customWidth="1"/>
    <col min="3" max="3" width="7.36328125" bestFit="1" customWidth="1"/>
    <col min="4" max="4" width="9.08984375" bestFit="1" customWidth="1"/>
    <col min="5" max="5" width="7.26953125" bestFit="1" customWidth="1"/>
  </cols>
  <sheetData>
    <row r="1" spans="1:5" x14ac:dyDescent="0.35">
      <c r="A1" s="461" t="s">
        <v>1</v>
      </c>
      <c r="B1" s="461" t="s">
        <v>1000</v>
      </c>
      <c r="C1" s="461" t="s">
        <v>26</v>
      </c>
      <c r="D1" s="461" t="s">
        <v>85</v>
      </c>
      <c r="E1" s="461" t="s">
        <v>86</v>
      </c>
    </row>
    <row r="2" spans="1:5" x14ac:dyDescent="0.35">
      <c r="A2" s="461" t="s">
        <v>194</v>
      </c>
      <c r="B2" s="461" t="s">
        <v>2</v>
      </c>
      <c r="C2" s="461">
        <v>223</v>
      </c>
      <c r="D2" s="461">
        <v>199</v>
      </c>
      <c r="E2" s="461">
        <v>24</v>
      </c>
    </row>
    <row r="3" spans="1:5" x14ac:dyDescent="0.35">
      <c r="A3" s="461" t="s">
        <v>194</v>
      </c>
      <c r="B3" s="461" t="s">
        <v>9</v>
      </c>
      <c r="C3" s="461">
        <v>2940</v>
      </c>
      <c r="D3" s="461">
        <v>178</v>
      </c>
      <c r="E3" s="461">
        <v>2762</v>
      </c>
    </row>
    <row r="4" spans="1:5" x14ac:dyDescent="0.35">
      <c r="A4" s="461" t="s">
        <v>194</v>
      </c>
      <c r="B4" s="461" t="s">
        <v>3</v>
      </c>
      <c r="C4" s="461">
        <v>961</v>
      </c>
      <c r="D4" s="461">
        <v>545</v>
      </c>
      <c r="E4" s="461">
        <v>416</v>
      </c>
    </row>
    <row r="5" spans="1:5" x14ac:dyDescent="0.35">
      <c r="A5" s="461" t="s">
        <v>194</v>
      </c>
      <c r="B5" s="461" t="s">
        <v>300</v>
      </c>
      <c r="C5" s="461">
        <v>359</v>
      </c>
      <c r="D5" s="461">
        <v>52</v>
      </c>
      <c r="E5" s="461">
        <v>307</v>
      </c>
    </row>
    <row r="6" spans="1:5" x14ac:dyDescent="0.35">
      <c r="A6" s="461" t="s">
        <v>194</v>
      </c>
      <c r="B6" s="461" t="s">
        <v>301</v>
      </c>
      <c r="C6" s="461">
        <v>4001</v>
      </c>
      <c r="D6" s="461">
        <v>159</v>
      </c>
      <c r="E6" s="461">
        <v>3842</v>
      </c>
    </row>
    <row r="7" spans="1:5" x14ac:dyDescent="0.35">
      <c r="A7" s="461" t="s">
        <v>193</v>
      </c>
      <c r="B7" s="461" t="s">
        <v>2</v>
      </c>
      <c r="C7" s="461">
        <v>230</v>
      </c>
      <c r="D7" s="461">
        <v>192</v>
      </c>
      <c r="E7" s="461">
        <v>38</v>
      </c>
    </row>
    <row r="8" spans="1:5" x14ac:dyDescent="0.35">
      <c r="A8" s="461" t="s">
        <v>193</v>
      </c>
      <c r="B8" s="461" t="s">
        <v>9</v>
      </c>
      <c r="C8" s="461">
        <v>2950</v>
      </c>
      <c r="D8" s="461">
        <v>172</v>
      </c>
      <c r="E8" s="461">
        <v>2778</v>
      </c>
    </row>
    <row r="9" spans="1:5" x14ac:dyDescent="0.35">
      <c r="A9" s="461" t="s">
        <v>193</v>
      </c>
      <c r="B9" s="461" t="s">
        <v>3</v>
      </c>
      <c r="C9" s="461">
        <v>867</v>
      </c>
      <c r="D9" s="461">
        <v>480</v>
      </c>
      <c r="E9" s="461">
        <v>387</v>
      </c>
    </row>
    <row r="10" spans="1:5" x14ac:dyDescent="0.35">
      <c r="A10" s="461" t="s">
        <v>193</v>
      </c>
      <c r="B10" s="461" t="s">
        <v>300</v>
      </c>
      <c r="C10" s="461">
        <v>378</v>
      </c>
      <c r="D10" s="461">
        <v>56</v>
      </c>
      <c r="E10" s="461">
        <v>322</v>
      </c>
    </row>
    <row r="11" spans="1:5" x14ac:dyDescent="0.35">
      <c r="A11" s="461" t="s">
        <v>193</v>
      </c>
      <c r="B11" s="461" t="s">
        <v>301</v>
      </c>
      <c r="C11" s="461">
        <v>3856</v>
      </c>
      <c r="D11" s="461">
        <v>164</v>
      </c>
      <c r="E11" s="461">
        <v>3692</v>
      </c>
    </row>
    <row r="12" spans="1:5" x14ac:dyDescent="0.35">
      <c r="A12" s="461" t="s">
        <v>192</v>
      </c>
      <c r="B12" s="461" t="s">
        <v>2</v>
      </c>
      <c r="C12" s="461">
        <v>203</v>
      </c>
      <c r="D12" s="461">
        <v>171</v>
      </c>
      <c r="E12" s="461">
        <v>32</v>
      </c>
    </row>
    <row r="13" spans="1:5" x14ac:dyDescent="0.35">
      <c r="A13" s="461" t="s">
        <v>192</v>
      </c>
      <c r="B13" s="461" t="s">
        <v>9</v>
      </c>
      <c r="C13" s="461">
        <v>2870</v>
      </c>
      <c r="D13" s="461">
        <v>163</v>
      </c>
      <c r="E13" s="461">
        <v>2707</v>
      </c>
    </row>
    <row r="14" spans="1:5" x14ac:dyDescent="0.35">
      <c r="A14" s="461" t="s">
        <v>192</v>
      </c>
      <c r="B14" s="461" t="s">
        <v>3</v>
      </c>
      <c r="C14" s="461">
        <v>828</v>
      </c>
      <c r="D14" s="461">
        <v>463</v>
      </c>
      <c r="E14" s="461">
        <v>365</v>
      </c>
    </row>
    <row r="15" spans="1:5" x14ac:dyDescent="0.35">
      <c r="A15" s="461" t="s">
        <v>192</v>
      </c>
      <c r="B15" s="461" t="s">
        <v>300</v>
      </c>
      <c r="C15" s="461">
        <v>342</v>
      </c>
      <c r="D15" s="461">
        <v>56</v>
      </c>
      <c r="E15" s="461">
        <v>286</v>
      </c>
    </row>
    <row r="16" spans="1:5" x14ac:dyDescent="0.35">
      <c r="A16" s="461" t="s">
        <v>192</v>
      </c>
      <c r="B16" s="461" t="s">
        <v>301</v>
      </c>
      <c r="C16" s="461">
        <v>3690</v>
      </c>
      <c r="D16" s="461">
        <v>167</v>
      </c>
      <c r="E16" s="461">
        <v>3523</v>
      </c>
    </row>
    <row r="17" spans="1:5" x14ac:dyDescent="0.35">
      <c r="A17" s="461" t="s">
        <v>258</v>
      </c>
      <c r="B17" s="461" t="s">
        <v>2</v>
      </c>
      <c r="C17" s="461">
        <v>165</v>
      </c>
      <c r="D17" s="461">
        <v>139</v>
      </c>
      <c r="E17" s="461">
        <v>26</v>
      </c>
    </row>
    <row r="18" spans="1:5" x14ac:dyDescent="0.35">
      <c r="A18" s="461" t="s">
        <v>258</v>
      </c>
      <c r="B18" s="461" t="s">
        <v>9</v>
      </c>
      <c r="C18" s="461">
        <v>2870</v>
      </c>
      <c r="D18" s="461">
        <v>158</v>
      </c>
      <c r="E18" s="461">
        <v>2712</v>
      </c>
    </row>
    <row r="19" spans="1:5" x14ac:dyDescent="0.35">
      <c r="A19" s="461" t="s">
        <v>258</v>
      </c>
      <c r="B19" s="461" t="s">
        <v>3</v>
      </c>
      <c r="C19" s="461">
        <v>838</v>
      </c>
      <c r="D19" s="461">
        <v>466</v>
      </c>
      <c r="E19" s="461">
        <v>372</v>
      </c>
    </row>
    <row r="20" spans="1:5" x14ac:dyDescent="0.35">
      <c r="A20" s="461" t="s">
        <v>258</v>
      </c>
      <c r="B20" s="461" t="s">
        <v>300</v>
      </c>
      <c r="C20" s="461">
        <v>316</v>
      </c>
      <c r="D20" s="461">
        <v>48</v>
      </c>
      <c r="E20" s="461">
        <v>268</v>
      </c>
    </row>
    <row r="21" spans="1:5" x14ac:dyDescent="0.35">
      <c r="A21" s="461" t="s">
        <v>258</v>
      </c>
      <c r="B21" s="461" t="s">
        <v>301</v>
      </c>
      <c r="C21" s="461">
        <v>3645</v>
      </c>
      <c r="D21" s="461">
        <v>178</v>
      </c>
      <c r="E21" s="461">
        <v>3467</v>
      </c>
    </row>
    <row r="22" spans="1:5" x14ac:dyDescent="0.35">
      <c r="A22" s="461" t="s">
        <v>242</v>
      </c>
      <c r="B22" s="461" t="s">
        <v>2</v>
      </c>
      <c r="C22" s="461">
        <v>189</v>
      </c>
      <c r="D22" s="461">
        <v>158</v>
      </c>
      <c r="E22" s="461">
        <v>31</v>
      </c>
    </row>
    <row r="23" spans="1:5" x14ac:dyDescent="0.35">
      <c r="A23" s="461" t="s">
        <v>242</v>
      </c>
      <c r="B23" s="461" t="s">
        <v>9</v>
      </c>
      <c r="C23" s="461">
        <v>2863</v>
      </c>
      <c r="D23" s="461">
        <v>171</v>
      </c>
      <c r="E23" s="461">
        <v>2692</v>
      </c>
    </row>
    <row r="24" spans="1:5" x14ac:dyDescent="0.35">
      <c r="A24" s="461" t="s">
        <v>242</v>
      </c>
      <c r="B24" s="461" t="s">
        <v>3</v>
      </c>
      <c r="C24" s="461">
        <v>846</v>
      </c>
      <c r="D24" s="461">
        <v>476</v>
      </c>
      <c r="E24" s="461">
        <v>370</v>
      </c>
    </row>
    <row r="25" spans="1:5" x14ac:dyDescent="0.35">
      <c r="A25" s="461" t="s">
        <v>242</v>
      </c>
      <c r="B25" s="461" t="s">
        <v>300</v>
      </c>
      <c r="C25" s="461">
        <v>332</v>
      </c>
      <c r="D25" s="461">
        <v>55</v>
      </c>
      <c r="E25" s="461">
        <v>277</v>
      </c>
    </row>
    <row r="26" spans="1:5" x14ac:dyDescent="0.35">
      <c r="A26" s="461" t="s">
        <v>242</v>
      </c>
      <c r="B26" s="461" t="s">
        <v>301</v>
      </c>
      <c r="C26" s="461">
        <v>3546</v>
      </c>
      <c r="D26" s="461">
        <v>175</v>
      </c>
      <c r="E26" s="461">
        <v>3371</v>
      </c>
    </row>
    <row r="27" spans="1:5" x14ac:dyDescent="0.35">
      <c r="A27" s="461" t="s">
        <v>241</v>
      </c>
      <c r="B27" s="461" t="s">
        <v>2</v>
      </c>
      <c r="C27" s="461">
        <v>207</v>
      </c>
      <c r="D27" s="461">
        <v>172</v>
      </c>
      <c r="E27" s="461">
        <v>35</v>
      </c>
    </row>
    <row r="28" spans="1:5" x14ac:dyDescent="0.35">
      <c r="A28" s="461" t="s">
        <v>241</v>
      </c>
      <c r="B28" s="461" t="s">
        <v>9</v>
      </c>
      <c r="C28" s="461">
        <v>2935</v>
      </c>
      <c r="D28" s="461">
        <v>201</v>
      </c>
      <c r="E28" s="461">
        <v>2734</v>
      </c>
    </row>
    <row r="29" spans="1:5" x14ac:dyDescent="0.35">
      <c r="A29" s="461" t="s">
        <v>241</v>
      </c>
      <c r="B29" s="461" t="s">
        <v>774</v>
      </c>
      <c r="C29" s="461">
        <v>18</v>
      </c>
      <c r="D29" s="461">
        <v>1</v>
      </c>
      <c r="E29" s="461">
        <v>17</v>
      </c>
    </row>
    <row r="30" spans="1:5" x14ac:dyDescent="0.35">
      <c r="A30" s="461" t="s">
        <v>241</v>
      </c>
      <c r="B30" s="461" t="s">
        <v>3</v>
      </c>
      <c r="C30" s="461">
        <v>792</v>
      </c>
      <c r="D30" s="461">
        <v>427</v>
      </c>
      <c r="E30" s="461">
        <v>365</v>
      </c>
    </row>
    <row r="31" spans="1:5" x14ac:dyDescent="0.35">
      <c r="A31" s="461" t="s">
        <v>241</v>
      </c>
      <c r="B31" s="461" t="s">
        <v>300</v>
      </c>
      <c r="C31" s="461">
        <v>317</v>
      </c>
      <c r="D31" s="461">
        <v>54</v>
      </c>
      <c r="E31" s="461">
        <v>263</v>
      </c>
    </row>
    <row r="32" spans="1:5" x14ac:dyDescent="0.35">
      <c r="A32" s="461" t="s">
        <v>241</v>
      </c>
      <c r="B32" s="461" t="s">
        <v>301</v>
      </c>
      <c r="C32" s="461">
        <v>3637</v>
      </c>
      <c r="D32" s="461">
        <v>196</v>
      </c>
      <c r="E32" s="461">
        <v>3441</v>
      </c>
    </row>
    <row r="33" spans="1:5" x14ac:dyDescent="0.35">
      <c r="A33" s="461" t="s">
        <v>773</v>
      </c>
      <c r="B33" s="461" t="s">
        <v>2</v>
      </c>
      <c r="C33" s="461">
        <v>188</v>
      </c>
      <c r="D33" s="461">
        <v>156</v>
      </c>
      <c r="E33" s="461">
        <v>32</v>
      </c>
    </row>
    <row r="34" spans="1:5" x14ac:dyDescent="0.35">
      <c r="A34" s="461" t="s">
        <v>773</v>
      </c>
      <c r="B34" s="461" t="s">
        <v>9</v>
      </c>
      <c r="C34" s="461">
        <v>2937</v>
      </c>
      <c r="D34" s="461">
        <v>208</v>
      </c>
      <c r="E34" s="461">
        <v>2729</v>
      </c>
    </row>
    <row r="35" spans="1:5" x14ac:dyDescent="0.35">
      <c r="A35" s="461" t="s">
        <v>773</v>
      </c>
      <c r="B35" s="461" t="s">
        <v>774</v>
      </c>
      <c r="C35" s="461">
        <v>36</v>
      </c>
      <c r="D35" s="461">
        <v>7</v>
      </c>
      <c r="E35" s="461">
        <v>29</v>
      </c>
    </row>
    <row r="36" spans="1:5" x14ac:dyDescent="0.35">
      <c r="A36" s="461" t="s">
        <v>773</v>
      </c>
      <c r="B36" s="461" t="s">
        <v>3</v>
      </c>
      <c r="C36" s="461">
        <v>817</v>
      </c>
      <c r="D36" s="461">
        <v>447</v>
      </c>
      <c r="E36" s="461">
        <v>370</v>
      </c>
    </row>
    <row r="37" spans="1:5" x14ac:dyDescent="0.35">
      <c r="A37" s="461" t="s">
        <v>773</v>
      </c>
      <c r="B37" s="461" t="s">
        <v>300</v>
      </c>
      <c r="C37" s="461">
        <v>315</v>
      </c>
      <c r="D37" s="461">
        <v>54</v>
      </c>
      <c r="E37" s="461">
        <v>261</v>
      </c>
    </row>
    <row r="38" spans="1:5" x14ac:dyDescent="0.35">
      <c r="A38" s="461" t="s">
        <v>773</v>
      </c>
      <c r="B38" s="461" t="s">
        <v>301</v>
      </c>
      <c r="C38" s="461">
        <v>3636</v>
      </c>
      <c r="D38" s="461">
        <v>222</v>
      </c>
      <c r="E38" s="461">
        <v>3414</v>
      </c>
    </row>
    <row r="39" spans="1:5" x14ac:dyDescent="0.35">
      <c r="A39" s="461" t="s">
        <v>951</v>
      </c>
      <c r="B39" s="461" t="s">
        <v>2</v>
      </c>
      <c r="C39" s="461">
        <v>182</v>
      </c>
      <c r="D39" s="461">
        <v>151</v>
      </c>
      <c r="E39" s="461">
        <v>31</v>
      </c>
    </row>
    <row r="40" spans="1:5" x14ac:dyDescent="0.35">
      <c r="A40" s="461" t="s">
        <v>951</v>
      </c>
      <c r="B40" s="461" t="s">
        <v>9</v>
      </c>
      <c r="C40" s="461">
        <v>2872</v>
      </c>
      <c r="D40" s="461">
        <v>197</v>
      </c>
      <c r="E40" s="461">
        <v>2675</v>
      </c>
    </row>
    <row r="41" spans="1:5" x14ac:dyDescent="0.35">
      <c r="A41" s="461" t="s">
        <v>951</v>
      </c>
      <c r="B41" s="461" t="s">
        <v>774</v>
      </c>
      <c r="C41">
        <v>54</v>
      </c>
      <c r="D41">
        <v>11</v>
      </c>
      <c r="E41">
        <v>43</v>
      </c>
    </row>
    <row r="42" spans="1:5" x14ac:dyDescent="0.35">
      <c r="A42" s="461" t="s">
        <v>951</v>
      </c>
      <c r="B42" s="461" t="s">
        <v>3</v>
      </c>
      <c r="C42">
        <v>836</v>
      </c>
      <c r="D42">
        <v>461</v>
      </c>
      <c r="E42">
        <v>375</v>
      </c>
    </row>
    <row r="43" spans="1:5" x14ac:dyDescent="0.35">
      <c r="A43" s="461" t="s">
        <v>951</v>
      </c>
      <c r="B43" s="461" t="s">
        <v>300</v>
      </c>
      <c r="C43">
        <v>303</v>
      </c>
      <c r="D43">
        <v>52</v>
      </c>
      <c r="E43">
        <v>251</v>
      </c>
    </row>
    <row r="44" spans="1:5" x14ac:dyDescent="0.35">
      <c r="A44" s="461" t="s">
        <v>951</v>
      </c>
      <c r="B44" s="461" t="s">
        <v>301</v>
      </c>
      <c r="C44">
        <v>3584</v>
      </c>
      <c r="D44">
        <v>219</v>
      </c>
      <c r="E44">
        <v>3365</v>
      </c>
    </row>
  </sheetData>
  <pageMargins left="0.7" right="0.7" top="0.75" bottom="0.75" header="0.3" footer="0.3"/>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39997558519241921"/>
    <pageSetUpPr fitToPage="1"/>
  </sheetPr>
  <dimension ref="A1:G19"/>
  <sheetViews>
    <sheetView showGridLines="0" workbookViewId="0">
      <pane ySplit="2" topLeftCell="A3" activePane="bottomLeft" state="frozen"/>
      <selection pane="bottomLeft" sqref="A1:C1"/>
    </sheetView>
  </sheetViews>
  <sheetFormatPr defaultRowHeight="14.5" x14ac:dyDescent="0.35"/>
  <cols>
    <col min="1" max="1" width="25" customWidth="1"/>
    <col min="2" max="3" width="7.7265625" customWidth="1"/>
    <col min="4" max="4" width="11.453125" customWidth="1"/>
    <col min="5" max="6" width="7.7265625" customWidth="1"/>
    <col min="7" max="7" width="11.54296875" customWidth="1"/>
  </cols>
  <sheetData>
    <row r="1" spans="1:7" ht="15.5" x14ac:dyDescent="0.35">
      <c r="A1" s="1160" t="s">
        <v>439</v>
      </c>
      <c r="B1" s="1160"/>
      <c r="C1" s="1160"/>
    </row>
    <row r="2" spans="1:7" x14ac:dyDescent="0.35">
      <c r="A2" s="601" t="s">
        <v>509</v>
      </c>
    </row>
    <row r="3" spans="1:7" x14ac:dyDescent="0.35">
      <c r="A3" s="28"/>
      <c r="B3" s="28"/>
      <c r="C3" s="28"/>
      <c r="D3" s="28"/>
      <c r="E3" s="28"/>
      <c r="F3" s="28"/>
      <c r="G3" s="28"/>
    </row>
    <row r="4" spans="1:7" ht="22.5" customHeight="1" x14ac:dyDescent="0.35">
      <c r="A4" s="1189" t="s">
        <v>453</v>
      </c>
      <c r="B4" s="1189"/>
      <c r="C4" s="1189"/>
      <c r="D4" s="1189"/>
      <c r="E4" s="1189"/>
      <c r="F4" s="1189"/>
      <c r="G4" s="1189"/>
    </row>
    <row r="5" spans="1:7" ht="15" customHeight="1" x14ac:dyDescent="0.35">
      <c r="A5" t="s">
        <v>320</v>
      </c>
      <c r="B5" t="s">
        <v>681</v>
      </c>
      <c r="C5" s="506"/>
      <c r="D5" s="515"/>
      <c r="E5" s="515"/>
      <c r="F5" s="515"/>
      <c r="G5" s="515"/>
    </row>
    <row r="6" spans="1:7" ht="15" customHeight="1" x14ac:dyDescent="0.35">
      <c r="A6" t="s">
        <v>321</v>
      </c>
      <c r="B6" t="s">
        <v>323</v>
      </c>
      <c r="C6" s="506"/>
      <c r="D6" s="515"/>
      <c r="E6" s="515"/>
      <c r="F6" s="515"/>
      <c r="G6" s="515"/>
    </row>
    <row r="7" spans="1:7" ht="15" customHeight="1" x14ac:dyDescent="0.35">
      <c r="A7" t="s">
        <v>322</v>
      </c>
      <c r="B7" t="s">
        <v>324</v>
      </c>
      <c r="C7" s="506"/>
      <c r="D7" s="515"/>
      <c r="E7" s="515"/>
      <c r="F7" s="515"/>
      <c r="G7" s="515"/>
    </row>
    <row r="8" spans="1:7" x14ac:dyDescent="0.35">
      <c r="A8" s="166"/>
      <c r="B8" s="166"/>
      <c r="C8" s="166"/>
      <c r="D8" s="440" t="s">
        <v>6</v>
      </c>
      <c r="E8" s="75"/>
      <c r="F8" s="75"/>
      <c r="G8" s="167" t="s">
        <v>7</v>
      </c>
    </row>
    <row r="9" spans="1:7" x14ac:dyDescent="0.35">
      <c r="A9" s="168" t="s">
        <v>457</v>
      </c>
      <c r="B9" s="169" t="s">
        <v>85</v>
      </c>
      <c r="C9" s="169" t="s">
        <v>86</v>
      </c>
      <c r="D9" s="169" t="s">
        <v>26</v>
      </c>
      <c r="E9" s="588" t="s">
        <v>85</v>
      </c>
      <c r="F9" s="169" t="s">
        <v>86</v>
      </c>
      <c r="G9" s="169" t="s">
        <v>26</v>
      </c>
    </row>
    <row r="10" spans="1:7" x14ac:dyDescent="0.35">
      <c r="A10" s="137" t="s">
        <v>27</v>
      </c>
      <c r="B10" s="171">
        <f>GETPIVOTDATA("Sum of Female",GenderPivot!$A$3,"Type","WT")</f>
        <v>219</v>
      </c>
      <c r="C10" s="171">
        <f>GETPIVOTDATA("Sum of Male",GenderPivot!$A$3,"Type","WT")</f>
        <v>3365</v>
      </c>
      <c r="D10" s="172">
        <f t="shared" ref="D10:D15" si="0">B10+C10</f>
        <v>3584</v>
      </c>
      <c r="E10" s="589">
        <f t="shared" ref="E10:E16" si="1">B10/D10</f>
        <v>6.1104910714285712E-2</v>
      </c>
      <c r="F10" s="173">
        <f t="shared" ref="F10:F16" si="2">C10/D10</f>
        <v>0.9388950892857143</v>
      </c>
      <c r="G10" s="173">
        <f t="shared" ref="G10:G15" si="3">D10/$D$16</f>
        <v>0.45766824160388203</v>
      </c>
    </row>
    <row r="11" spans="1:7" x14ac:dyDescent="0.35">
      <c r="A11" s="360" t="s">
        <v>28</v>
      </c>
      <c r="B11" s="171">
        <f>GETPIVOTDATA("Sum of Female",GenderPivot!$A$3,"Type","RDS")</f>
        <v>197</v>
      </c>
      <c r="C11" s="171">
        <f>GETPIVOTDATA("Sum of Male",GenderPivot!$A$3,"Type","RDS")</f>
        <v>2675</v>
      </c>
      <c r="D11" s="172">
        <f t="shared" si="0"/>
        <v>2872</v>
      </c>
      <c r="E11" s="589">
        <f t="shared" si="1"/>
        <v>6.8593314763231203E-2</v>
      </c>
      <c r="F11" s="173">
        <f t="shared" si="2"/>
        <v>0.93140668523676884</v>
      </c>
      <c r="G11" s="173">
        <f t="shared" si="3"/>
        <v>0.36674754182096797</v>
      </c>
    </row>
    <row r="12" spans="1:7" x14ac:dyDescent="0.35">
      <c r="A12" s="360" t="s">
        <v>772</v>
      </c>
      <c r="B12" s="171">
        <f>IFERROR(GETPIVOTDATA("Sum of Female",GenderPivot!$A$3,"Type","RDS Fulltime"), 0)</f>
        <v>11</v>
      </c>
      <c r="C12" s="171">
        <f>IFERROR(GETPIVOTDATA("Sum of Male",GenderPivot!$A$3,"Type","RDS Fulltime"), 0)</f>
        <v>43</v>
      </c>
      <c r="D12" s="172">
        <f t="shared" si="0"/>
        <v>54</v>
      </c>
      <c r="E12" s="589">
        <f>IFERROR(B12/D12,"")</f>
        <v>0.20370370370370369</v>
      </c>
      <c r="F12" s="173">
        <f>IFERROR(C12/D12,"")</f>
        <v>0.79629629629629628</v>
      </c>
      <c r="G12" s="173">
        <f t="shared" si="3"/>
        <v>6.8956710509513472E-3</v>
      </c>
    </row>
    <row r="13" spans="1:7" x14ac:dyDescent="0.35">
      <c r="A13" s="360" t="s">
        <v>2</v>
      </c>
      <c r="B13" s="171">
        <f>GETPIVOTDATA("Sum of Female",GenderPivot!$A$3,"Type","Control")</f>
        <v>151</v>
      </c>
      <c r="C13" s="171">
        <f>GETPIVOTDATA("Sum of Male",GenderPivot!$A$3,"Type","Control")</f>
        <v>31</v>
      </c>
      <c r="D13" s="172">
        <f t="shared" si="0"/>
        <v>182</v>
      </c>
      <c r="E13" s="589">
        <f t="shared" si="1"/>
        <v>0.82967032967032972</v>
      </c>
      <c r="F13" s="173">
        <f t="shared" si="2"/>
        <v>0.17032967032967034</v>
      </c>
      <c r="G13" s="173">
        <f t="shared" si="3"/>
        <v>2.3240965393947134E-2</v>
      </c>
    </row>
    <row r="14" spans="1:7" x14ac:dyDescent="0.35">
      <c r="A14" s="360" t="s">
        <v>83</v>
      </c>
      <c r="B14" s="171">
        <f>GETPIVOTDATA("Sum of Female",GenderPivot!$A$3,"Type","Support")</f>
        <v>461</v>
      </c>
      <c r="C14" s="171">
        <f>GETPIVOTDATA("Sum of Male",GenderPivot!$A$3,"Type","Support")</f>
        <v>375</v>
      </c>
      <c r="D14" s="172">
        <f t="shared" si="0"/>
        <v>836</v>
      </c>
      <c r="E14" s="589">
        <f t="shared" si="1"/>
        <v>0.55143540669856461</v>
      </c>
      <c r="F14" s="173">
        <f t="shared" si="2"/>
        <v>0.44856459330143539</v>
      </c>
      <c r="G14" s="173">
        <f t="shared" si="3"/>
        <v>0.10675520367769123</v>
      </c>
    </row>
    <row r="15" spans="1:7" x14ac:dyDescent="0.35">
      <c r="A15" s="360" t="s">
        <v>29</v>
      </c>
      <c r="B15" s="171">
        <f>GETPIVOTDATA("Sum of Female",GenderPivot!$A$3,"Type","Vol")</f>
        <v>52</v>
      </c>
      <c r="C15" s="171">
        <f>GETPIVOTDATA("Sum of Male",GenderPivot!$A$3,"Type","Vol")</f>
        <v>251</v>
      </c>
      <c r="D15" s="172">
        <f t="shared" si="0"/>
        <v>303</v>
      </c>
      <c r="E15" s="589">
        <f t="shared" si="1"/>
        <v>0.17161716171617161</v>
      </c>
      <c r="F15" s="173">
        <f t="shared" si="2"/>
        <v>0.82838283828382842</v>
      </c>
      <c r="G15" s="173">
        <f t="shared" si="3"/>
        <v>3.8692376452560337E-2</v>
      </c>
    </row>
    <row r="16" spans="1:7" ht="15" thickBot="1" x14ac:dyDescent="0.4">
      <c r="A16" s="174" t="s">
        <v>94</v>
      </c>
      <c r="B16" s="175">
        <f>SUM(B10:B15)</f>
        <v>1091</v>
      </c>
      <c r="C16" s="175">
        <f>SUM(C10:C15)</f>
        <v>6740</v>
      </c>
      <c r="D16" s="175">
        <f>C16+B16</f>
        <v>7831</v>
      </c>
      <c r="E16" s="590">
        <f t="shared" si="1"/>
        <v>0.13931809475162815</v>
      </c>
      <c r="F16" s="176">
        <f t="shared" si="2"/>
        <v>0.86068190524837185</v>
      </c>
      <c r="G16" s="176">
        <f t="shared" ref="G16" si="4">D16/$D$16</f>
        <v>1</v>
      </c>
    </row>
    <row r="17" spans="1:7" x14ac:dyDescent="0.35">
      <c r="A17" s="28"/>
      <c r="B17" s="28"/>
      <c r="C17" s="28"/>
      <c r="D17" s="28"/>
      <c r="E17" s="28"/>
      <c r="F17" s="28"/>
      <c r="G17" s="28"/>
    </row>
    <row r="18" spans="1:7" x14ac:dyDescent="0.35">
      <c r="A18" s="360" t="s">
        <v>945</v>
      </c>
      <c r="B18" s="28"/>
      <c r="C18" s="28"/>
      <c r="D18" s="28"/>
      <c r="E18" s="28"/>
      <c r="F18" s="28"/>
      <c r="G18" s="28"/>
    </row>
    <row r="19" spans="1:7" ht="27" customHeight="1" x14ac:dyDescent="0.35">
      <c r="A19" s="1159" t="s">
        <v>946</v>
      </c>
      <c r="B19" s="1159"/>
      <c r="C19" s="1159"/>
      <c r="D19" s="1159"/>
      <c r="E19" s="1159"/>
      <c r="F19" s="1159"/>
      <c r="G19" s="1159"/>
    </row>
  </sheetData>
  <sheetProtection algorithmName="SHA-512" hashValue="9zPjyHpAxkokkNU+tZ4h55KfBFQ4NK+rI8miZ9D/sXMuYyQDUNB6l98LNzpSMJEyJfaYpULJUoevt71kb4Y/ZQ==" saltValue="XQeqUU2MI/DZjFFmb9CWvQ==" spinCount="100000" sheet="1" scenarios="1" formatCells="0" formatColumns="0" formatRows="0" sort="0" autoFilter="0" pivotTables="0"/>
  <mergeCells count="3">
    <mergeCell ref="A4:G4"/>
    <mergeCell ref="A1:C1"/>
    <mergeCell ref="A19:G1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90" orientation="portrait" r:id="rId1"/>
  <ignoredErrors>
    <ignoredError sqref="E12:F12" formula="1"/>
  </ignoredErrors>
  <drawing r:id="rId2"/>
  <extLst>
    <ext xmlns:x14="http://schemas.microsoft.com/office/spreadsheetml/2009/9/main" uri="{A8765BA9-456A-4dab-B4F3-ACF838C121DE}">
      <x14:slicerList>
        <x14:slicer r:id="rId3"/>
      </x14:slicerList>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43"/>
  <sheetViews>
    <sheetView workbookViewId="0">
      <selection activeCell="B9" sqref="B9"/>
    </sheetView>
  </sheetViews>
  <sheetFormatPr defaultRowHeight="14.5" x14ac:dyDescent="0.35"/>
  <cols>
    <col min="1" max="1" width="20.6328125" bestFit="1" customWidth="1"/>
    <col min="2" max="2" width="13.1796875" bestFit="1" customWidth="1"/>
    <col min="3" max="3" width="11.26953125" bestFit="1" customWidth="1"/>
    <col min="4" max="4" width="11.36328125" bestFit="1" customWidth="1"/>
  </cols>
  <sheetData>
    <row r="1" spans="1:4" x14ac:dyDescent="0.35">
      <c r="A1" s="459" t="s">
        <v>1</v>
      </c>
      <c r="B1" t="s">
        <v>951</v>
      </c>
    </row>
    <row r="3" spans="1:4" x14ac:dyDescent="0.35">
      <c r="A3" s="459" t="s">
        <v>234</v>
      </c>
      <c r="B3" t="s">
        <v>304</v>
      </c>
      <c r="C3" t="s">
        <v>305</v>
      </c>
      <c r="D3" t="s">
        <v>240</v>
      </c>
    </row>
    <row r="4" spans="1:4" x14ac:dyDescent="0.35">
      <c r="A4" s="1000" t="s">
        <v>2</v>
      </c>
      <c r="B4" s="461"/>
      <c r="C4" s="461"/>
      <c r="D4" s="461"/>
    </row>
    <row r="5" spans="1:4" x14ac:dyDescent="0.35">
      <c r="A5" s="462" t="s">
        <v>18</v>
      </c>
      <c r="B5" s="461">
        <v>1</v>
      </c>
      <c r="C5" s="461">
        <v>0</v>
      </c>
      <c r="D5" s="461">
        <v>1</v>
      </c>
    </row>
    <row r="6" spans="1:4" x14ac:dyDescent="0.35">
      <c r="A6" s="462" t="s">
        <v>22</v>
      </c>
      <c r="B6" s="461">
        <v>24</v>
      </c>
      <c r="C6" s="461">
        <v>7</v>
      </c>
      <c r="D6" s="461">
        <v>31</v>
      </c>
    </row>
    <row r="7" spans="1:4" x14ac:dyDescent="0.35">
      <c r="A7" s="462" t="s">
        <v>23</v>
      </c>
      <c r="B7" s="461">
        <v>79</v>
      </c>
      <c r="C7" s="461">
        <v>16</v>
      </c>
      <c r="D7" s="461">
        <v>95</v>
      </c>
    </row>
    <row r="8" spans="1:4" x14ac:dyDescent="0.35">
      <c r="A8" s="462" t="s">
        <v>19</v>
      </c>
      <c r="B8" s="461">
        <v>3</v>
      </c>
      <c r="C8" s="461">
        <v>1</v>
      </c>
      <c r="D8" s="461">
        <v>4</v>
      </c>
    </row>
    <row r="9" spans="1:4" x14ac:dyDescent="0.35">
      <c r="A9" s="462" t="s">
        <v>20</v>
      </c>
      <c r="B9" s="461">
        <v>9</v>
      </c>
      <c r="C9" s="461">
        <v>1</v>
      </c>
      <c r="D9" s="461">
        <v>10</v>
      </c>
    </row>
    <row r="10" spans="1:4" x14ac:dyDescent="0.35">
      <c r="A10" s="462" t="s">
        <v>21</v>
      </c>
      <c r="B10" s="461">
        <v>35</v>
      </c>
      <c r="C10" s="461">
        <v>6</v>
      </c>
      <c r="D10" s="461">
        <v>41</v>
      </c>
    </row>
    <row r="11" spans="1:4" x14ac:dyDescent="0.35">
      <c r="A11" s="1000" t="s">
        <v>1003</v>
      </c>
      <c r="B11" s="461">
        <v>151</v>
      </c>
      <c r="C11" s="461">
        <v>31</v>
      </c>
      <c r="D11" s="461">
        <v>182</v>
      </c>
    </row>
    <row r="12" spans="1:4" x14ac:dyDescent="0.35">
      <c r="A12" s="1000" t="s">
        <v>9</v>
      </c>
      <c r="B12" s="461"/>
      <c r="C12" s="461"/>
      <c r="D12" s="461"/>
    </row>
    <row r="13" spans="1:4" x14ac:dyDescent="0.35">
      <c r="A13" s="462" t="s">
        <v>22</v>
      </c>
      <c r="B13" s="461">
        <v>16</v>
      </c>
      <c r="C13" s="461">
        <v>506</v>
      </c>
      <c r="D13" s="461">
        <v>522</v>
      </c>
    </row>
    <row r="14" spans="1:4" x14ac:dyDescent="0.35">
      <c r="A14" s="462" t="s">
        <v>23</v>
      </c>
      <c r="B14" s="461">
        <v>167</v>
      </c>
      <c r="C14" s="461">
        <v>1916</v>
      </c>
      <c r="D14" s="461">
        <v>2083</v>
      </c>
    </row>
    <row r="15" spans="1:4" x14ac:dyDescent="0.35">
      <c r="A15" s="462" t="s">
        <v>21</v>
      </c>
      <c r="B15" s="461">
        <v>14</v>
      </c>
      <c r="C15" s="461">
        <v>253</v>
      </c>
      <c r="D15" s="461">
        <v>267</v>
      </c>
    </row>
    <row r="16" spans="1:4" x14ac:dyDescent="0.35">
      <c r="A16" s="1000" t="s">
        <v>1004</v>
      </c>
      <c r="B16" s="461">
        <v>197</v>
      </c>
      <c r="C16" s="461">
        <v>2675</v>
      </c>
      <c r="D16" s="461">
        <v>2872</v>
      </c>
    </row>
    <row r="17" spans="1:4" x14ac:dyDescent="0.35">
      <c r="A17" s="1000" t="s">
        <v>774</v>
      </c>
      <c r="B17" s="461"/>
      <c r="C17" s="461"/>
      <c r="D17" s="461"/>
    </row>
    <row r="18" spans="1:4" x14ac:dyDescent="0.35">
      <c r="A18" s="462" t="s">
        <v>21</v>
      </c>
      <c r="B18" s="461">
        <v>11</v>
      </c>
      <c r="C18" s="461">
        <v>43</v>
      </c>
      <c r="D18" s="461">
        <v>54</v>
      </c>
    </row>
    <row r="19" spans="1:4" x14ac:dyDescent="0.35">
      <c r="A19" s="1000" t="s">
        <v>17481</v>
      </c>
      <c r="B19" s="461">
        <v>11</v>
      </c>
      <c r="C19" s="461">
        <v>43</v>
      </c>
      <c r="D19" s="461">
        <v>54</v>
      </c>
    </row>
    <row r="20" spans="1:4" x14ac:dyDescent="0.35">
      <c r="A20" s="1000" t="s">
        <v>3</v>
      </c>
      <c r="B20" s="461"/>
      <c r="C20" s="461"/>
      <c r="D20" s="461"/>
    </row>
    <row r="21" spans="1:4" x14ac:dyDescent="0.35">
      <c r="A21" s="462" t="s">
        <v>91</v>
      </c>
      <c r="B21" s="461">
        <v>178</v>
      </c>
      <c r="C21" s="461">
        <v>9</v>
      </c>
      <c r="D21" s="461">
        <v>187</v>
      </c>
    </row>
    <row r="22" spans="1:4" x14ac:dyDescent="0.35">
      <c r="A22" s="462" t="s">
        <v>199</v>
      </c>
      <c r="B22" s="461">
        <v>2</v>
      </c>
      <c r="C22" s="461">
        <v>1</v>
      </c>
      <c r="D22" s="461">
        <v>3</v>
      </c>
    </row>
    <row r="23" spans="1:4" x14ac:dyDescent="0.35">
      <c r="A23" s="462" t="s">
        <v>78</v>
      </c>
      <c r="B23" s="461">
        <v>61</v>
      </c>
      <c r="C23" s="461">
        <v>30</v>
      </c>
      <c r="D23" s="461">
        <v>91</v>
      </c>
    </row>
    <row r="24" spans="1:4" x14ac:dyDescent="0.35">
      <c r="A24" s="462" t="s">
        <v>77</v>
      </c>
      <c r="B24" s="461">
        <v>17</v>
      </c>
      <c r="C24" s="461">
        <v>33</v>
      </c>
      <c r="D24" s="461">
        <v>50</v>
      </c>
    </row>
    <row r="25" spans="1:4" x14ac:dyDescent="0.35">
      <c r="A25" s="462" t="s">
        <v>302</v>
      </c>
      <c r="B25" s="461">
        <v>161</v>
      </c>
      <c r="C25" s="461">
        <v>253</v>
      </c>
      <c r="D25" s="461">
        <v>414</v>
      </c>
    </row>
    <row r="26" spans="1:4" x14ac:dyDescent="0.35">
      <c r="A26" s="462" t="s">
        <v>80</v>
      </c>
      <c r="B26" s="461">
        <v>19</v>
      </c>
      <c r="C26" s="461">
        <v>11</v>
      </c>
      <c r="D26" s="461">
        <v>30</v>
      </c>
    </row>
    <row r="27" spans="1:4" x14ac:dyDescent="0.35">
      <c r="A27" s="462" t="s">
        <v>303</v>
      </c>
      <c r="B27" s="461">
        <v>23</v>
      </c>
      <c r="C27" s="461">
        <v>38</v>
      </c>
      <c r="D27" s="461">
        <v>61</v>
      </c>
    </row>
    <row r="28" spans="1:4" x14ac:dyDescent="0.35">
      <c r="A28" s="1000" t="s">
        <v>1005</v>
      </c>
      <c r="B28" s="461">
        <v>461</v>
      </c>
      <c r="C28" s="461">
        <v>375</v>
      </c>
      <c r="D28" s="461">
        <v>836</v>
      </c>
    </row>
    <row r="29" spans="1:4" x14ac:dyDescent="0.35">
      <c r="A29" s="1000" t="s">
        <v>300</v>
      </c>
      <c r="B29" s="461"/>
      <c r="C29" s="461"/>
      <c r="D29" s="461"/>
    </row>
    <row r="30" spans="1:4" x14ac:dyDescent="0.35">
      <c r="A30" s="462" t="s">
        <v>22</v>
      </c>
      <c r="B30" s="461">
        <v>3</v>
      </c>
      <c r="C30" s="461">
        <v>40</v>
      </c>
      <c r="D30" s="461">
        <v>43</v>
      </c>
    </row>
    <row r="31" spans="1:4" x14ac:dyDescent="0.35">
      <c r="A31" s="462" t="s">
        <v>23</v>
      </c>
      <c r="B31" s="461">
        <v>44</v>
      </c>
      <c r="C31" s="461">
        <v>179</v>
      </c>
      <c r="D31" s="461">
        <v>223</v>
      </c>
    </row>
    <row r="32" spans="1:4" x14ac:dyDescent="0.35">
      <c r="A32" s="462" t="s">
        <v>21</v>
      </c>
      <c r="B32" s="461">
        <v>5</v>
      </c>
      <c r="C32" s="461">
        <v>32</v>
      </c>
      <c r="D32" s="461">
        <v>37</v>
      </c>
    </row>
    <row r="33" spans="1:4" x14ac:dyDescent="0.35">
      <c r="A33" s="1000" t="s">
        <v>1006</v>
      </c>
      <c r="B33" s="461">
        <v>52</v>
      </c>
      <c r="C33" s="461">
        <v>251</v>
      </c>
      <c r="D33" s="461">
        <v>303</v>
      </c>
    </row>
    <row r="34" spans="1:4" x14ac:dyDescent="0.35">
      <c r="A34" s="1000" t="s">
        <v>301</v>
      </c>
      <c r="B34" s="461"/>
      <c r="C34" s="461"/>
      <c r="D34" s="461"/>
    </row>
    <row r="35" spans="1:4" x14ac:dyDescent="0.35">
      <c r="A35" s="462" t="s">
        <v>18</v>
      </c>
      <c r="B35" s="461">
        <v>0</v>
      </c>
      <c r="C35" s="461">
        <v>35</v>
      </c>
      <c r="D35" s="461">
        <v>35</v>
      </c>
    </row>
    <row r="36" spans="1:4" x14ac:dyDescent="0.35">
      <c r="A36" s="462" t="s">
        <v>198</v>
      </c>
      <c r="B36" s="461">
        <v>0</v>
      </c>
      <c r="C36" s="461">
        <v>5</v>
      </c>
      <c r="D36" s="461">
        <v>5</v>
      </c>
    </row>
    <row r="37" spans="1:4" x14ac:dyDescent="0.35">
      <c r="A37" s="462" t="s">
        <v>22</v>
      </c>
      <c r="B37" s="461">
        <v>29</v>
      </c>
      <c r="C37" s="461">
        <v>658</v>
      </c>
      <c r="D37" s="461">
        <v>687</v>
      </c>
    </row>
    <row r="38" spans="1:4" x14ac:dyDescent="0.35">
      <c r="A38" s="462" t="s">
        <v>23</v>
      </c>
      <c r="B38" s="461">
        <v>150</v>
      </c>
      <c r="C38" s="461">
        <v>1870</v>
      </c>
      <c r="D38" s="461">
        <v>2020</v>
      </c>
    </row>
    <row r="39" spans="1:4" x14ac:dyDescent="0.35">
      <c r="A39" s="462" t="s">
        <v>19</v>
      </c>
      <c r="B39" s="461">
        <v>2</v>
      </c>
      <c r="C39" s="461">
        <v>79</v>
      </c>
      <c r="D39" s="461">
        <v>81</v>
      </c>
    </row>
    <row r="40" spans="1:4" x14ac:dyDescent="0.35">
      <c r="A40" s="462" t="s">
        <v>20</v>
      </c>
      <c r="B40" s="461">
        <v>7</v>
      </c>
      <c r="C40" s="461">
        <v>145</v>
      </c>
      <c r="D40" s="461">
        <v>152</v>
      </c>
    </row>
    <row r="41" spans="1:4" x14ac:dyDescent="0.35">
      <c r="A41" s="462" t="s">
        <v>21</v>
      </c>
      <c r="B41" s="461">
        <v>31</v>
      </c>
      <c r="C41" s="461">
        <v>573</v>
      </c>
      <c r="D41" s="461">
        <v>604</v>
      </c>
    </row>
    <row r="42" spans="1:4" x14ac:dyDescent="0.35">
      <c r="A42" s="1000" t="s">
        <v>1007</v>
      </c>
      <c r="B42" s="461">
        <v>219</v>
      </c>
      <c r="C42" s="461">
        <v>3365</v>
      </c>
      <c r="D42" s="461">
        <v>3584</v>
      </c>
    </row>
    <row r="43" spans="1:4" x14ac:dyDescent="0.35">
      <c r="A43" s="1000" t="s">
        <v>239</v>
      </c>
      <c r="B43" s="461">
        <v>1091</v>
      </c>
      <c r="C43" s="461">
        <v>6740</v>
      </c>
      <c r="D43" s="461">
        <v>7831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207"/>
  <sheetViews>
    <sheetView workbookViewId="0">
      <selection activeCell="F82" sqref="F82"/>
    </sheetView>
  </sheetViews>
  <sheetFormatPr defaultRowHeight="14.5" x14ac:dyDescent="0.35"/>
  <cols>
    <col min="1" max="1" width="10.453125" customWidth="1"/>
    <col min="2" max="2" width="11.1796875" bestFit="1" customWidth="1"/>
    <col min="3" max="3" width="16.7265625" bestFit="1" customWidth="1"/>
    <col min="4" max="4" width="7.36328125" bestFit="1" customWidth="1"/>
    <col min="5" max="5" width="9.08984375" bestFit="1" customWidth="1"/>
    <col min="6" max="6" width="7.26953125" bestFit="1" customWidth="1"/>
  </cols>
  <sheetData>
    <row r="1" spans="1:6" x14ac:dyDescent="0.35">
      <c r="A1" s="461" t="s">
        <v>1</v>
      </c>
      <c r="B1" s="461" t="s">
        <v>1000</v>
      </c>
      <c r="C1" s="461" t="s">
        <v>1001</v>
      </c>
      <c r="D1" s="461" t="s">
        <v>26</v>
      </c>
      <c r="E1" s="461" t="s">
        <v>85</v>
      </c>
      <c r="F1" s="461" t="s">
        <v>86</v>
      </c>
    </row>
    <row r="2" spans="1:6" hidden="1" x14ac:dyDescent="0.35">
      <c r="A2" s="461" t="s">
        <v>194</v>
      </c>
      <c r="B2" s="461" t="s">
        <v>2</v>
      </c>
      <c r="C2" s="461" t="s">
        <v>19</v>
      </c>
      <c r="D2" s="461">
        <v>5</v>
      </c>
      <c r="E2" s="461">
        <v>4</v>
      </c>
      <c r="F2" s="461">
        <v>1</v>
      </c>
    </row>
    <row r="3" spans="1:6" hidden="1" x14ac:dyDescent="0.35">
      <c r="A3" s="461" t="s">
        <v>193</v>
      </c>
      <c r="B3" s="461" t="s">
        <v>3</v>
      </c>
      <c r="C3" s="461" t="s">
        <v>302</v>
      </c>
      <c r="D3" s="461">
        <v>335</v>
      </c>
      <c r="E3" s="461">
        <v>99</v>
      </c>
      <c r="F3" s="461">
        <v>236</v>
      </c>
    </row>
    <row r="4" spans="1:6" hidden="1" x14ac:dyDescent="0.35">
      <c r="A4" s="461" t="s">
        <v>193</v>
      </c>
      <c r="B4" s="461" t="s">
        <v>300</v>
      </c>
      <c r="C4" s="461" t="s">
        <v>22</v>
      </c>
      <c r="D4" s="461">
        <v>44</v>
      </c>
      <c r="E4" s="461">
        <v>4</v>
      </c>
      <c r="F4" s="461">
        <v>40</v>
      </c>
    </row>
    <row r="5" spans="1:6" hidden="1" x14ac:dyDescent="0.35">
      <c r="A5" s="461" t="s">
        <v>192</v>
      </c>
      <c r="B5" s="461" t="s">
        <v>3</v>
      </c>
      <c r="C5" s="461" t="s">
        <v>302</v>
      </c>
      <c r="D5" s="461">
        <v>316</v>
      </c>
      <c r="E5" s="461">
        <v>101</v>
      </c>
      <c r="F5" s="461">
        <v>215</v>
      </c>
    </row>
    <row r="6" spans="1:6" hidden="1" x14ac:dyDescent="0.35">
      <c r="A6" s="461" t="s">
        <v>192</v>
      </c>
      <c r="B6" s="461" t="s">
        <v>3</v>
      </c>
      <c r="C6" s="461" t="s">
        <v>303</v>
      </c>
      <c r="D6" s="461">
        <v>167</v>
      </c>
      <c r="E6" s="461">
        <v>94</v>
      </c>
      <c r="F6" s="461">
        <v>73</v>
      </c>
    </row>
    <row r="7" spans="1:6" hidden="1" x14ac:dyDescent="0.35">
      <c r="A7" s="461" t="s">
        <v>192</v>
      </c>
      <c r="B7" s="461" t="s">
        <v>301</v>
      </c>
      <c r="C7" s="461" t="s">
        <v>18</v>
      </c>
      <c r="D7" s="461">
        <v>35</v>
      </c>
      <c r="E7" s="461">
        <v>0</v>
      </c>
      <c r="F7" s="461">
        <v>35</v>
      </c>
    </row>
    <row r="8" spans="1:6" hidden="1" x14ac:dyDescent="0.35">
      <c r="A8" s="461" t="s">
        <v>258</v>
      </c>
      <c r="B8" s="461" t="s">
        <v>3</v>
      </c>
      <c r="C8" s="461" t="s">
        <v>91</v>
      </c>
      <c r="D8" s="461">
        <v>170</v>
      </c>
      <c r="E8" s="461">
        <v>159</v>
      </c>
      <c r="F8" s="461">
        <v>11</v>
      </c>
    </row>
    <row r="9" spans="1:6" hidden="1" x14ac:dyDescent="0.35">
      <c r="A9" s="461" t="s">
        <v>258</v>
      </c>
      <c r="B9" s="461" t="s">
        <v>3</v>
      </c>
      <c r="C9" s="461" t="s">
        <v>302</v>
      </c>
      <c r="D9" s="461">
        <v>346</v>
      </c>
      <c r="E9" s="461">
        <v>113</v>
      </c>
      <c r="F9" s="461">
        <v>233</v>
      </c>
    </row>
    <row r="10" spans="1:6" hidden="1" x14ac:dyDescent="0.35">
      <c r="A10" s="461" t="s">
        <v>242</v>
      </c>
      <c r="B10" s="461" t="s">
        <v>9</v>
      </c>
      <c r="C10" s="461" t="s">
        <v>22</v>
      </c>
      <c r="D10" s="461">
        <v>525</v>
      </c>
      <c r="E10" s="461">
        <v>19</v>
      </c>
      <c r="F10" s="461">
        <v>506</v>
      </c>
    </row>
    <row r="11" spans="1:6" hidden="1" x14ac:dyDescent="0.35">
      <c r="A11" s="461" t="s">
        <v>773</v>
      </c>
      <c r="B11" s="461" t="s">
        <v>2</v>
      </c>
      <c r="C11" s="461" t="s">
        <v>23</v>
      </c>
      <c r="D11" s="461">
        <v>104</v>
      </c>
      <c r="E11" s="461">
        <v>86</v>
      </c>
      <c r="F11" s="461">
        <v>18</v>
      </c>
    </row>
    <row r="12" spans="1:6" hidden="1" x14ac:dyDescent="0.35">
      <c r="A12" s="461" t="s">
        <v>773</v>
      </c>
      <c r="B12" s="461" t="s">
        <v>774</v>
      </c>
      <c r="C12" s="461" t="s">
        <v>21</v>
      </c>
      <c r="D12" s="461">
        <v>36</v>
      </c>
      <c r="E12" s="461">
        <v>7</v>
      </c>
      <c r="F12" s="461">
        <v>29</v>
      </c>
    </row>
    <row r="13" spans="1:6" hidden="1" x14ac:dyDescent="0.35">
      <c r="A13" s="461" t="s">
        <v>773</v>
      </c>
      <c r="B13" s="461" t="s">
        <v>3</v>
      </c>
      <c r="C13" s="461" t="s">
        <v>199</v>
      </c>
      <c r="D13" s="461">
        <v>3</v>
      </c>
      <c r="E13" s="461">
        <v>2</v>
      </c>
      <c r="F13" s="461">
        <v>1</v>
      </c>
    </row>
    <row r="14" spans="1:6" hidden="1" x14ac:dyDescent="0.35">
      <c r="A14" s="461" t="s">
        <v>951</v>
      </c>
      <c r="B14" s="461" t="s">
        <v>9</v>
      </c>
      <c r="C14" s="461" t="s">
        <v>22</v>
      </c>
      <c r="D14" s="461">
        <v>522</v>
      </c>
      <c r="E14" s="461">
        <v>16</v>
      </c>
      <c r="F14" s="461">
        <v>506</v>
      </c>
    </row>
    <row r="15" spans="1:6" hidden="1" x14ac:dyDescent="0.35">
      <c r="A15" s="461" t="s">
        <v>951</v>
      </c>
      <c r="B15" s="461" t="s">
        <v>300</v>
      </c>
      <c r="C15" s="461" t="s">
        <v>22</v>
      </c>
      <c r="D15" s="461">
        <v>43</v>
      </c>
      <c r="E15" s="461">
        <v>3</v>
      </c>
      <c r="F15" s="461">
        <v>40</v>
      </c>
    </row>
    <row r="16" spans="1:6" hidden="1" x14ac:dyDescent="0.35">
      <c r="A16" s="461" t="s">
        <v>951</v>
      </c>
      <c r="B16" s="461" t="s">
        <v>301</v>
      </c>
      <c r="C16" s="461" t="s">
        <v>18</v>
      </c>
      <c r="D16" s="461">
        <v>35</v>
      </c>
      <c r="E16" s="461">
        <v>0</v>
      </c>
      <c r="F16" s="461">
        <v>35</v>
      </c>
    </row>
    <row r="17" spans="1:6" hidden="1" x14ac:dyDescent="0.35">
      <c r="A17" s="461" t="s">
        <v>951</v>
      </c>
      <c r="B17" s="461" t="s">
        <v>301</v>
      </c>
      <c r="C17" s="461" t="s">
        <v>198</v>
      </c>
      <c r="D17" s="461">
        <v>5</v>
      </c>
      <c r="E17" s="461">
        <v>0</v>
      </c>
      <c r="F17" s="461">
        <v>5</v>
      </c>
    </row>
    <row r="18" spans="1:6" hidden="1" x14ac:dyDescent="0.35">
      <c r="A18" s="461" t="s">
        <v>194</v>
      </c>
      <c r="B18" s="461" t="s">
        <v>2</v>
      </c>
      <c r="C18" s="461" t="s">
        <v>23</v>
      </c>
      <c r="D18" s="461">
        <v>103</v>
      </c>
      <c r="E18" s="461">
        <v>94</v>
      </c>
      <c r="F18" s="461">
        <v>9</v>
      </c>
    </row>
    <row r="19" spans="1:6" hidden="1" x14ac:dyDescent="0.35">
      <c r="A19" s="461" t="s">
        <v>194</v>
      </c>
      <c r="B19" s="461" t="s">
        <v>3</v>
      </c>
      <c r="C19" s="461" t="s">
        <v>199</v>
      </c>
      <c r="D19" s="461">
        <v>0</v>
      </c>
      <c r="E19" s="461">
        <v>0</v>
      </c>
      <c r="F19" s="461">
        <v>0</v>
      </c>
    </row>
    <row r="20" spans="1:6" hidden="1" x14ac:dyDescent="0.35">
      <c r="A20" s="461" t="s">
        <v>194</v>
      </c>
      <c r="B20" s="461" t="s">
        <v>301</v>
      </c>
      <c r="C20" s="461" t="s">
        <v>20</v>
      </c>
      <c r="D20" s="461">
        <v>136</v>
      </c>
      <c r="E20" s="461">
        <v>2</v>
      </c>
      <c r="F20" s="461">
        <v>134</v>
      </c>
    </row>
    <row r="21" spans="1:6" hidden="1" x14ac:dyDescent="0.35">
      <c r="A21" s="461" t="s">
        <v>193</v>
      </c>
      <c r="B21" s="461" t="s">
        <v>9</v>
      </c>
      <c r="C21" s="461" t="s">
        <v>22</v>
      </c>
      <c r="D21" s="461">
        <v>546</v>
      </c>
      <c r="E21" s="461">
        <v>17</v>
      </c>
      <c r="F21" s="461">
        <v>529</v>
      </c>
    </row>
    <row r="22" spans="1:6" hidden="1" x14ac:dyDescent="0.35">
      <c r="A22" s="461" t="s">
        <v>258</v>
      </c>
      <c r="B22" s="461" t="s">
        <v>2</v>
      </c>
      <c r="C22" s="461" t="s">
        <v>23</v>
      </c>
      <c r="D22" s="461">
        <v>80</v>
      </c>
      <c r="E22" s="461">
        <v>67</v>
      </c>
      <c r="F22" s="461">
        <v>13</v>
      </c>
    </row>
    <row r="23" spans="1:6" hidden="1" x14ac:dyDescent="0.35">
      <c r="A23" s="461" t="s">
        <v>258</v>
      </c>
      <c r="B23" s="461" t="s">
        <v>3</v>
      </c>
      <c r="C23" s="461" t="s">
        <v>199</v>
      </c>
      <c r="D23" s="461">
        <v>3</v>
      </c>
      <c r="E23" s="461">
        <v>2</v>
      </c>
      <c r="F23" s="461">
        <v>1</v>
      </c>
    </row>
    <row r="24" spans="1:6" hidden="1" x14ac:dyDescent="0.35">
      <c r="A24" s="461" t="s">
        <v>258</v>
      </c>
      <c r="B24" s="461" t="s">
        <v>3</v>
      </c>
      <c r="C24" s="461" t="s">
        <v>80</v>
      </c>
      <c r="D24" s="461">
        <v>34</v>
      </c>
      <c r="E24" s="461">
        <v>19</v>
      </c>
      <c r="F24" s="461">
        <v>15</v>
      </c>
    </row>
    <row r="25" spans="1:6" hidden="1" x14ac:dyDescent="0.35">
      <c r="A25" s="461" t="s">
        <v>258</v>
      </c>
      <c r="B25" s="461" t="s">
        <v>301</v>
      </c>
      <c r="C25" s="461" t="s">
        <v>198</v>
      </c>
      <c r="D25" s="461">
        <v>4</v>
      </c>
      <c r="E25" s="461">
        <v>0</v>
      </c>
      <c r="F25" s="461">
        <v>4</v>
      </c>
    </row>
    <row r="26" spans="1:6" hidden="1" x14ac:dyDescent="0.35">
      <c r="A26" s="461" t="s">
        <v>242</v>
      </c>
      <c r="B26" s="461" t="s">
        <v>2</v>
      </c>
      <c r="C26" s="461" t="s">
        <v>23</v>
      </c>
      <c r="D26" s="461">
        <v>106</v>
      </c>
      <c r="E26" s="461">
        <v>88</v>
      </c>
      <c r="F26" s="461">
        <v>18</v>
      </c>
    </row>
    <row r="27" spans="1:6" x14ac:dyDescent="0.35">
      <c r="A27" s="461" t="s">
        <v>242</v>
      </c>
      <c r="B27" s="461" t="s">
        <v>301</v>
      </c>
      <c r="C27" s="461" t="s">
        <v>198</v>
      </c>
      <c r="D27" s="461">
        <v>4</v>
      </c>
      <c r="E27" s="461">
        <v>0</v>
      </c>
      <c r="F27" s="461">
        <v>4</v>
      </c>
    </row>
    <row r="28" spans="1:6" x14ac:dyDescent="0.35">
      <c r="A28" s="461" t="s">
        <v>242</v>
      </c>
      <c r="B28" s="461" t="s">
        <v>301</v>
      </c>
      <c r="C28" s="461" t="s">
        <v>23</v>
      </c>
      <c r="D28" s="461">
        <v>1988</v>
      </c>
      <c r="E28" s="461">
        <v>114</v>
      </c>
      <c r="F28" s="461">
        <v>1875</v>
      </c>
    </row>
    <row r="29" spans="1:6" hidden="1" x14ac:dyDescent="0.35">
      <c r="A29" s="461" t="s">
        <v>241</v>
      </c>
      <c r="B29" s="461" t="s">
        <v>3</v>
      </c>
      <c r="C29" s="461" t="s">
        <v>80</v>
      </c>
      <c r="D29" s="461">
        <v>34</v>
      </c>
      <c r="E29" s="461">
        <v>21</v>
      </c>
      <c r="F29" s="461">
        <v>13</v>
      </c>
    </row>
    <row r="30" spans="1:6" hidden="1" x14ac:dyDescent="0.35">
      <c r="A30" s="461" t="s">
        <v>241</v>
      </c>
      <c r="B30" s="461" t="s">
        <v>301</v>
      </c>
      <c r="C30" s="461" t="s">
        <v>18</v>
      </c>
      <c r="D30" s="461">
        <v>33</v>
      </c>
      <c r="E30" s="461">
        <v>0</v>
      </c>
      <c r="F30" s="461">
        <v>33</v>
      </c>
    </row>
    <row r="31" spans="1:6" hidden="1" x14ac:dyDescent="0.35">
      <c r="A31" s="461" t="s">
        <v>773</v>
      </c>
      <c r="B31" s="461" t="s">
        <v>9</v>
      </c>
      <c r="C31" s="461" t="s">
        <v>21</v>
      </c>
      <c r="D31" s="461">
        <v>262</v>
      </c>
      <c r="E31" s="461">
        <v>13</v>
      </c>
      <c r="F31" s="461">
        <v>249</v>
      </c>
    </row>
    <row r="32" spans="1:6" hidden="1" x14ac:dyDescent="0.35">
      <c r="A32" s="461" t="s">
        <v>773</v>
      </c>
      <c r="B32" s="461" t="s">
        <v>300</v>
      </c>
      <c r="C32" s="461" t="s">
        <v>22</v>
      </c>
      <c r="D32" s="461">
        <v>41</v>
      </c>
      <c r="E32" s="461">
        <v>1</v>
      </c>
      <c r="F32" s="461">
        <v>40</v>
      </c>
    </row>
    <row r="33" spans="1:6" hidden="1" x14ac:dyDescent="0.35">
      <c r="A33" s="461" t="s">
        <v>773</v>
      </c>
      <c r="B33" s="461" t="s">
        <v>301</v>
      </c>
      <c r="C33" s="461" t="s">
        <v>19</v>
      </c>
      <c r="D33" s="461">
        <v>80</v>
      </c>
      <c r="E33" s="461">
        <v>2</v>
      </c>
      <c r="F33" s="461">
        <v>78</v>
      </c>
    </row>
    <row r="34" spans="1:6" hidden="1" x14ac:dyDescent="0.35">
      <c r="A34" s="461" t="s">
        <v>773</v>
      </c>
      <c r="B34" s="461" t="s">
        <v>301</v>
      </c>
      <c r="C34" s="461" t="s">
        <v>20</v>
      </c>
      <c r="D34" s="461">
        <v>153</v>
      </c>
      <c r="E34" s="461">
        <v>5</v>
      </c>
      <c r="F34" s="461">
        <v>148</v>
      </c>
    </row>
    <row r="35" spans="1:6" hidden="1" x14ac:dyDescent="0.35">
      <c r="A35" s="461" t="s">
        <v>194</v>
      </c>
      <c r="B35" s="461" t="s">
        <v>9</v>
      </c>
      <c r="C35" s="461" t="s">
        <v>21</v>
      </c>
      <c r="D35" s="461">
        <v>278</v>
      </c>
      <c r="E35" s="461">
        <v>10</v>
      </c>
      <c r="F35" s="461">
        <v>268</v>
      </c>
    </row>
    <row r="36" spans="1:6" hidden="1" x14ac:dyDescent="0.35">
      <c r="A36" s="461" t="s">
        <v>194</v>
      </c>
      <c r="B36" s="461" t="s">
        <v>301</v>
      </c>
      <c r="C36" s="461" t="s">
        <v>198</v>
      </c>
      <c r="D36" s="461">
        <v>9</v>
      </c>
      <c r="E36" s="461">
        <v>0</v>
      </c>
      <c r="F36" s="461">
        <v>9</v>
      </c>
    </row>
    <row r="37" spans="1:6" hidden="1" x14ac:dyDescent="0.35">
      <c r="A37" s="461" t="s">
        <v>194</v>
      </c>
      <c r="B37" s="461" t="s">
        <v>301</v>
      </c>
      <c r="C37" s="461" t="s">
        <v>23</v>
      </c>
      <c r="D37" s="461">
        <v>2374</v>
      </c>
      <c r="E37" s="461">
        <v>106</v>
      </c>
      <c r="F37" s="461">
        <v>2268</v>
      </c>
    </row>
    <row r="38" spans="1:6" hidden="1" x14ac:dyDescent="0.35">
      <c r="A38" s="461" t="s">
        <v>193</v>
      </c>
      <c r="B38" s="461" t="s">
        <v>2</v>
      </c>
      <c r="C38" s="461" t="s">
        <v>22</v>
      </c>
      <c r="D38" s="461">
        <v>52</v>
      </c>
      <c r="E38" s="461">
        <v>44</v>
      </c>
      <c r="F38" s="461">
        <v>8</v>
      </c>
    </row>
    <row r="39" spans="1:6" hidden="1" x14ac:dyDescent="0.35">
      <c r="A39" s="461" t="s">
        <v>193</v>
      </c>
      <c r="B39" s="461" t="s">
        <v>9</v>
      </c>
      <c r="C39" s="461" t="s">
        <v>23</v>
      </c>
      <c r="D39" s="461">
        <v>2124</v>
      </c>
      <c r="E39" s="461">
        <v>143</v>
      </c>
      <c r="F39" s="461">
        <v>1981</v>
      </c>
    </row>
    <row r="40" spans="1:6" hidden="1" x14ac:dyDescent="0.35">
      <c r="A40" s="461" t="s">
        <v>193</v>
      </c>
      <c r="B40" s="461" t="s">
        <v>301</v>
      </c>
      <c r="C40" s="461" t="s">
        <v>21</v>
      </c>
      <c r="D40" s="461">
        <v>664</v>
      </c>
      <c r="E40" s="461">
        <v>27</v>
      </c>
      <c r="F40" s="461">
        <v>637</v>
      </c>
    </row>
    <row r="41" spans="1:6" hidden="1" x14ac:dyDescent="0.35">
      <c r="A41" s="461" t="s">
        <v>192</v>
      </c>
      <c r="B41" s="461" t="s">
        <v>2</v>
      </c>
      <c r="C41" s="461" t="s">
        <v>22</v>
      </c>
      <c r="D41" s="461">
        <v>44</v>
      </c>
      <c r="E41" s="461">
        <v>39</v>
      </c>
      <c r="F41" s="461">
        <v>5</v>
      </c>
    </row>
    <row r="42" spans="1:6" hidden="1" x14ac:dyDescent="0.35">
      <c r="A42" s="461" t="s">
        <v>192</v>
      </c>
      <c r="B42" s="461" t="s">
        <v>2</v>
      </c>
      <c r="C42" s="461" t="s">
        <v>23</v>
      </c>
      <c r="D42" s="461">
        <v>95</v>
      </c>
      <c r="E42" s="461">
        <v>77</v>
      </c>
      <c r="F42" s="461">
        <v>18</v>
      </c>
    </row>
    <row r="43" spans="1:6" hidden="1" x14ac:dyDescent="0.35">
      <c r="A43" s="461" t="s">
        <v>192</v>
      </c>
      <c r="B43" s="461" t="s">
        <v>2</v>
      </c>
      <c r="C43" s="461" t="s">
        <v>20</v>
      </c>
      <c r="D43" s="461">
        <v>7</v>
      </c>
      <c r="E43" s="461">
        <v>7</v>
      </c>
      <c r="F43" s="461">
        <v>0</v>
      </c>
    </row>
    <row r="44" spans="1:6" hidden="1" x14ac:dyDescent="0.35">
      <c r="A44" s="461" t="s">
        <v>192</v>
      </c>
      <c r="B44" s="461" t="s">
        <v>2</v>
      </c>
      <c r="C44" s="461" t="s">
        <v>21</v>
      </c>
      <c r="D44" s="461">
        <v>51</v>
      </c>
      <c r="E44" s="461">
        <v>44</v>
      </c>
      <c r="F44" s="461">
        <v>7</v>
      </c>
    </row>
    <row r="45" spans="1:6" hidden="1" x14ac:dyDescent="0.35">
      <c r="A45" s="461" t="s">
        <v>192</v>
      </c>
      <c r="B45" s="461" t="s">
        <v>9</v>
      </c>
      <c r="C45" s="461" t="s">
        <v>21</v>
      </c>
      <c r="D45" s="461">
        <v>262</v>
      </c>
      <c r="E45" s="461">
        <v>14</v>
      </c>
      <c r="F45" s="461">
        <v>248</v>
      </c>
    </row>
    <row r="46" spans="1:6" hidden="1" x14ac:dyDescent="0.35">
      <c r="A46" s="461" t="s">
        <v>192</v>
      </c>
      <c r="B46" s="461" t="s">
        <v>300</v>
      </c>
      <c r="C46" s="461" t="s">
        <v>1002</v>
      </c>
      <c r="D46" s="461">
        <v>36</v>
      </c>
      <c r="E46" s="461">
        <v>2</v>
      </c>
      <c r="F46" s="461">
        <v>34</v>
      </c>
    </row>
    <row r="47" spans="1:6" hidden="1" x14ac:dyDescent="0.35">
      <c r="A47" s="461" t="s">
        <v>192</v>
      </c>
      <c r="B47" s="461" t="s">
        <v>301</v>
      </c>
      <c r="C47" s="461" t="s">
        <v>20</v>
      </c>
      <c r="D47" s="461">
        <v>126</v>
      </c>
      <c r="E47" s="461">
        <v>2</v>
      </c>
      <c r="F47" s="461">
        <v>124</v>
      </c>
    </row>
    <row r="48" spans="1:6" hidden="1" x14ac:dyDescent="0.35">
      <c r="A48" s="461" t="s">
        <v>258</v>
      </c>
      <c r="B48" s="461" t="s">
        <v>9</v>
      </c>
      <c r="C48" s="461" t="s">
        <v>22</v>
      </c>
      <c r="D48" s="461">
        <v>549</v>
      </c>
      <c r="E48" s="461">
        <v>15</v>
      </c>
      <c r="F48" s="461">
        <v>534</v>
      </c>
    </row>
    <row r="49" spans="1:6" hidden="1" x14ac:dyDescent="0.35">
      <c r="A49" s="461" t="s">
        <v>258</v>
      </c>
      <c r="B49" s="461" t="s">
        <v>301</v>
      </c>
      <c r="C49" s="461" t="s">
        <v>19</v>
      </c>
      <c r="D49" s="461">
        <v>70</v>
      </c>
      <c r="E49" s="461">
        <v>2</v>
      </c>
      <c r="F49" s="461">
        <v>68</v>
      </c>
    </row>
    <row r="50" spans="1:6" hidden="1" x14ac:dyDescent="0.35">
      <c r="A50" s="461" t="s">
        <v>258</v>
      </c>
      <c r="B50" s="461" t="s">
        <v>301</v>
      </c>
      <c r="C50" s="461" t="s">
        <v>20</v>
      </c>
      <c r="D50" s="461">
        <v>151</v>
      </c>
      <c r="E50" s="461">
        <v>2</v>
      </c>
      <c r="F50" s="461">
        <v>149</v>
      </c>
    </row>
    <row r="51" spans="1:6" hidden="1" x14ac:dyDescent="0.35">
      <c r="A51" s="461" t="s">
        <v>242</v>
      </c>
      <c r="B51" s="461" t="s">
        <v>9</v>
      </c>
      <c r="C51" s="461" t="s">
        <v>23</v>
      </c>
      <c r="D51" s="461">
        <v>2077</v>
      </c>
      <c r="E51" s="461">
        <v>138</v>
      </c>
      <c r="F51" s="461">
        <v>1939</v>
      </c>
    </row>
    <row r="52" spans="1:6" hidden="1" x14ac:dyDescent="0.35">
      <c r="A52" s="461" t="s">
        <v>241</v>
      </c>
      <c r="B52" s="461" t="s">
        <v>9</v>
      </c>
      <c r="C52" s="461" t="s">
        <v>22</v>
      </c>
      <c r="D52" s="461">
        <v>533</v>
      </c>
      <c r="E52" s="461">
        <v>20</v>
      </c>
      <c r="F52" s="461">
        <v>513</v>
      </c>
    </row>
    <row r="53" spans="1:6" hidden="1" x14ac:dyDescent="0.35">
      <c r="A53" s="461" t="s">
        <v>241</v>
      </c>
      <c r="B53" s="461" t="s">
        <v>9</v>
      </c>
      <c r="C53" s="461" t="s">
        <v>23</v>
      </c>
      <c r="D53" s="461">
        <v>2141</v>
      </c>
      <c r="E53" s="461">
        <v>168</v>
      </c>
      <c r="F53" s="461">
        <v>1973</v>
      </c>
    </row>
    <row r="54" spans="1:6" hidden="1" x14ac:dyDescent="0.35">
      <c r="A54" s="461" t="s">
        <v>241</v>
      </c>
      <c r="B54" s="461" t="s">
        <v>3</v>
      </c>
      <c r="C54" s="461" t="s">
        <v>77</v>
      </c>
      <c r="D54" s="461">
        <v>49</v>
      </c>
      <c r="E54" s="461">
        <v>15</v>
      </c>
      <c r="F54" s="461">
        <v>34</v>
      </c>
    </row>
    <row r="55" spans="1:6" hidden="1" x14ac:dyDescent="0.35">
      <c r="A55" s="461" t="s">
        <v>241</v>
      </c>
      <c r="B55" s="461" t="s">
        <v>3</v>
      </c>
      <c r="C55" s="461" t="s">
        <v>303</v>
      </c>
      <c r="D55" s="461">
        <v>64</v>
      </c>
      <c r="E55" s="461">
        <v>26</v>
      </c>
      <c r="F55" s="461">
        <v>38</v>
      </c>
    </row>
    <row r="56" spans="1:6" hidden="1" x14ac:dyDescent="0.35">
      <c r="A56" s="461" t="s">
        <v>241</v>
      </c>
      <c r="B56" s="461" t="s">
        <v>301</v>
      </c>
      <c r="C56" s="461" t="s">
        <v>22</v>
      </c>
      <c r="D56" s="461">
        <v>687</v>
      </c>
      <c r="E56" s="461">
        <v>27</v>
      </c>
      <c r="F56" s="461">
        <v>660</v>
      </c>
    </row>
    <row r="57" spans="1:6" hidden="1" x14ac:dyDescent="0.35">
      <c r="A57" s="461" t="s">
        <v>241</v>
      </c>
      <c r="B57" s="461" t="s">
        <v>301</v>
      </c>
      <c r="C57" s="461" t="s">
        <v>23</v>
      </c>
      <c r="D57" s="461">
        <v>2075</v>
      </c>
      <c r="E57" s="461">
        <v>132</v>
      </c>
      <c r="F57" s="461">
        <v>1943</v>
      </c>
    </row>
    <row r="58" spans="1:6" hidden="1" x14ac:dyDescent="0.35">
      <c r="A58" s="461" t="s">
        <v>773</v>
      </c>
      <c r="B58" s="461" t="s">
        <v>2</v>
      </c>
      <c r="C58" s="461" t="s">
        <v>22</v>
      </c>
      <c r="D58" s="461">
        <v>26</v>
      </c>
      <c r="E58" s="461">
        <v>21</v>
      </c>
      <c r="F58" s="461">
        <v>5</v>
      </c>
    </row>
    <row r="59" spans="1:6" hidden="1" x14ac:dyDescent="0.35">
      <c r="A59" s="461" t="s">
        <v>773</v>
      </c>
      <c r="B59" s="461" t="s">
        <v>2</v>
      </c>
      <c r="C59" s="461" t="s">
        <v>19</v>
      </c>
      <c r="D59" s="461">
        <v>4</v>
      </c>
      <c r="E59" s="461">
        <v>3</v>
      </c>
      <c r="F59" s="461">
        <v>1</v>
      </c>
    </row>
    <row r="60" spans="1:6" hidden="1" x14ac:dyDescent="0.35">
      <c r="A60" s="461" t="s">
        <v>773</v>
      </c>
      <c r="B60" s="461" t="s">
        <v>9</v>
      </c>
      <c r="C60" s="461" t="s">
        <v>23</v>
      </c>
      <c r="D60" s="461">
        <v>2155</v>
      </c>
      <c r="E60" s="461">
        <v>175</v>
      </c>
      <c r="F60" s="461">
        <v>1980</v>
      </c>
    </row>
    <row r="61" spans="1:6" hidden="1" x14ac:dyDescent="0.35">
      <c r="A61" s="461" t="s">
        <v>773</v>
      </c>
      <c r="B61" s="461" t="s">
        <v>3</v>
      </c>
      <c r="C61" s="461" t="s">
        <v>91</v>
      </c>
      <c r="D61" s="461">
        <v>182</v>
      </c>
      <c r="E61" s="461">
        <v>172</v>
      </c>
      <c r="F61" s="461">
        <v>10</v>
      </c>
    </row>
    <row r="62" spans="1:6" hidden="1" x14ac:dyDescent="0.35">
      <c r="A62" s="461" t="s">
        <v>951</v>
      </c>
      <c r="B62" s="461" t="s">
        <v>300</v>
      </c>
      <c r="C62" s="461" t="s">
        <v>21</v>
      </c>
      <c r="D62" s="461">
        <v>37</v>
      </c>
      <c r="E62" s="461">
        <v>5</v>
      </c>
      <c r="F62" s="461">
        <v>32</v>
      </c>
    </row>
    <row r="63" spans="1:6" hidden="1" x14ac:dyDescent="0.35">
      <c r="A63" s="461" t="s">
        <v>951</v>
      </c>
      <c r="B63" s="461" t="s">
        <v>301</v>
      </c>
      <c r="C63" s="461" t="s">
        <v>19</v>
      </c>
      <c r="D63" s="461">
        <v>81</v>
      </c>
      <c r="E63" s="461">
        <v>2</v>
      </c>
      <c r="F63" s="461">
        <v>79</v>
      </c>
    </row>
    <row r="64" spans="1:6" hidden="1" x14ac:dyDescent="0.35">
      <c r="A64" s="461" t="s">
        <v>194</v>
      </c>
      <c r="B64" s="461" t="s">
        <v>300</v>
      </c>
      <c r="C64" s="461" t="s">
        <v>22</v>
      </c>
      <c r="D64" s="461">
        <v>73</v>
      </c>
      <c r="E64" s="461">
        <v>8</v>
      </c>
      <c r="F64" s="461">
        <v>65</v>
      </c>
    </row>
    <row r="65" spans="1:6" hidden="1" x14ac:dyDescent="0.35">
      <c r="A65" s="461" t="s">
        <v>194</v>
      </c>
      <c r="B65" s="461" t="s">
        <v>301</v>
      </c>
      <c r="C65" s="461" t="s">
        <v>19</v>
      </c>
      <c r="D65" s="461">
        <v>115</v>
      </c>
      <c r="E65" s="461">
        <v>3</v>
      </c>
      <c r="F65" s="461">
        <v>112</v>
      </c>
    </row>
    <row r="66" spans="1:6" hidden="1" x14ac:dyDescent="0.35">
      <c r="A66" s="461" t="s">
        <v>194</v>
      </c>
      <c r="B66" s="461" t="s">
        <v>301</v>
      </c>
      <c r="C66" s="461" t="s">
        <v>21</v>
      </c>
      <c r="D66" s="461">
        <v>679</v>
      </c>
      <c r="E66" s="461">
        <v>22</v>
      </c>
      <c r="F66" s="461">
        <v>657</v>
      </c>
    </row>
    <row r="67" spans="1:6" hidden="1" x14ac:dyDescent="0.35">
      <c r="A67" s="461" t="s">
        <v>193</v>
      </c>
      <c r="B67" s="461" t="s">
        <v>2</v>
      </c>
      <c r="C67" s="461" t="s">
        <v>23</v>
      </c>
      <c r="D67" s="461">
        <v>110</v>
      </c>
      <c r="E67" s="461">
        <v>89</v>
      </c>
      <c r="F67" s="461">
        <v>21</v>
      </c>
    </row>
    <row r="68" spans="1:6" hidden="1" x14ac:dyDescent="0.35">
      <c r="A68" s="461" t="s">
        <v>193</v>
      </c>
      <c r="B68" s="461" t="s">
        <v>3</v>
      </c>
      <c r="C68" s="461" t="s">
        <v>91</v>
      </c>
      <c r="D68" s="461">
        <v>195</v>
      </c>
      <c r="E68" s="461">
        <v>176</v>
      </c>
      <c r="F68" s="461">
        <v>19</v>
      </c>
    </row>
    <row r="69" spans="1:6" hidden="1" x14ac:dyDescent="0.35">
      <c r="A69" s="461" t="s">
        <v>193</v>
      </c>
      <c r="B69" s="461" t="s">
        <v>3</v>
      </c>
      <c r="C69" s="461" t="s">
        <v>199</v>
      </c>
      <c r="D69" s="461">
        <v>2</v>
      </c>
      <c r="E69" s="461">
        <v>2</v>
      </c>
      <c r="F69" s="461">
        <v>0</v>
      </c>
    </row>
    <row r="70" spans="1:6" hidden="1" x14ac:dyDescent="0.35">
      <c r="A70" s="461" t="s">
        <v>193</v>
      </c>
      <c r="B70" s="461" t="s">
        <v>3</v>
      </c>
      <c r="C70" s="461" t="s">
        <v>78</v>
      </c>
      <c r="D70" s="461">
        <v>59</v>
      </c>
      <c r="E70" s="461">
        <v>40</v>
      </c>
      <c r="F70" s="461">
        <v>19</v>
      </c>
    </row>
    <row r="71" spans="1:6" hidden="1" x14ac:dyDescent="0.35">
      <c r="A71" s="461" t="s">
        <v>193</v>
      </c>
      <c r="B71" s="461" t="s">
        <v>3</v>
      </c>
      <c r="C71" s="461" t="s">
        <v>77</v>
      </c>
      <c r="D71" s="461">
        <v>44</v>
      </c>
      <c r="E71" s="461">
        <v>21</v>
      </c>
      <c r="F71" s="461">
        <v>23</v>
      </c>
    </row>
    <row r="72" spans="1:6" hidden="1" x14ac:dyDescent="0.35">
      <c r="A72" s="461" t="s">
        <v>193</v>
      </c>
      <c r="B72" s="461" t="s">
        <v>301</v>
      </c>
      <c r="C72" s="461" t="s">
        <v>198</v>
      </c>
      <c r="D72" s="461">
        <v>7</v>
      </c>
      <c r="E72" s="461">
        <v>0</v>
      </c>
      <c r="F72" s="461">
        <v>7</v>
      </c>
    </row>
    <row r="73" spans="1:6" hidden="1" x14ac:dyDescent="0.35">
      <c r="A73" s="461" t="s">
        <v>193</v>
      </c>
      <c r="B73" s="461" t="s">
        <v>301</v>
      </c>
      <c r="C73" s="461" t="s">
        <v>23</v>
      </c>
      <c r="D73" s="461">
        <v>2285</v>
      </c>
      <c r="E73" s="461">
        <v>109</v>
      </c>
      <c r="F73" s="461">
        <v>2176</v>
      </c>
    </row>
    <row r="74" spans="1:6" hidden="1" x14ac:dyDescent="0.35">
      <c r="A74" s="461" t="s">
        <v>193</v>
      </c>
      <c r="B74" s="461" t="s">
        <v>301</v>
      </c>
      <c r="C74" s="461" t="s">
        <v>20</v>
      </c>
      <c r="D74" s="461">
        <v>130</v>
      </c>
      <c r="E74" s="461">
        <v>1</v>
      </c>
      <c r="F74" s="461">
        <v>129</v>
      </c>
    </row>
    <row r="75" spans="1:6" hidden="1" x14ac:dyDescent="0.35">
      <c r="A75" s="461" t="s">
        <v>192</v>
      </c>
      <c r="B75" s="461" t="s">
        <v>9</v>
      </c>
      <c r="C75" s="461" t="s">
        <v>22</v>
      </c>
      <c r="D75" s="461">
        <v>543</v>
      </c>
      <c r="E75" s="461">
        <v>17</v>
      </c>
      <c r="F75" s="461">
        <v>526</v>
      </c>
    </row>
    <row r="76" spans="1:6" hidden="1" x14ac:dyDescent="0.35">
      <c r="A76" s="461" t="s">
        <v>192</v>
      </c>
      <c r="B76" s="461" t="s">
        <v>3</v>
      </c>
      <c r="C76" s="461" t="s">
        <v>77</v>
      </c>
      <c r="D76" s="461">
        <v>40</v>
      </c>
      <c r="E76" s="461">
        <v>15</v>
      </c>
      <c r="F76" s="461">
        <v>25</v>
      </c>
    </row>
    <row r="77" spans="1:6" hidden="1" x14ac:dyDescent="0.35">
      <c r="A77" s="461" t="s">
        <v>192</v>
      </c>
      <c r="B77" s="461" t="s">
        <v>301</v>
      </c>
      <c r="C77" s="461" t="s">
        <v>198</v>
      </c>
      <c r="D77" s="461">
        <v>4</v>
      </c>
      <c r="E77" s="461">
        <v>0</v>
      </c>
      <c r="F77" s="461">
        <v>4</v>
      </c>
    </row>
    <row r="78" spans="1:6" hidden="1" x14ac:dyDescent="0.35">
      <c r="A78" s="461" t="s">
        <v>192</v>
      </c>
      <c r="B78" s="461" t="s">
        <v>301</v>
      </c>
      <c r="C78" s="461" t="s">
        <v>22</v>
      </c>
      <c r="D78" s="461">
        <v>600</v>
      </c>
      <c r="E78" s="461">
        <v>27</v>
      </c>
      <c r="F78" s="461">
        <v>573</v>
      </c>
    </row>
    <row r="79" spans="1:6" hidden="1" x14ac:dyDescent="0.35">
      <c r="A79" s="461" t="s">
        <v>258</v>
      </c>
      <c r="B79" s="461" t="s">
        <v>2</v>
      </c>
      <c r="C79" s="461" t="s">
        <v>19</v>
      </c>
      <c r="D79" s="461">
        <v>5</v>
      </c>
      <c r="E79" s="461">
        <v>4</v>
      </c>
      <c r="F79" s="461">
        <v>1</v>
      </c>
    </row>
    <row r="80" spans="1:6" hidden="1" x14ac:dyDescent="0.35">
      <c r="A80" s="461" t="s">
        <v>258</v>
      </c>
      <c r="B80" s="461" t="s">
        <v>9</v>
      </c>
      <c r="C80" s="461" t="s">
        <v>21</v>
      </c>
      <c r="D80" s="461">
        <v>260</v>
      </c>
      <c r="E80" s="461">
        <v>16</v>
      </c>
      <c r="F80" s="461">
        <v>244</v>
      </c>
    </row>
    <row r="81" spans="1:6" hidden="1" x14ac:dyDescent="0.35">
      <c r="A81" s="461" t="s">
        <v>242</v>
      </c>
      <c r="B81" s="461" t="s">
        <v>3</v>
      </c>
      <c r="C81" s="461" t="s">
        <v>80</v>
      </c>
      <c r="D81" s="461">
        <v>32</v>
      </c>
      <c r="E81" s="461">
        <v>19</v>
      </c>
      <c r="F81" s="461">
        <v>13</v>
      </c>
    </row>
    <row r="82" spans="1:6" x14ac:dyDescent="0.35">
      <c r="A82" s="461" t="s">
        <v>242</v>
      </c>
      <c r="B82" s="461" t="s">
        <v>301</v>
      </c>
      <c r="C82" s="461" t="s">
        <v>18</v>
      </c>
      <c r="D82" s="461">
        <v>34</v>
      </c>
      <c r="E82" s="461">
        <v>0</v>
      </c>
      <c r="F82" s="461">
        <v>34</v>
      </c>
    </row>
    <row r="83" spans="1:6" x14ac:dyDescent="0.35">
      <c r="A83" s="461" t="s">
        <v>242</v>
      </c>
      <c r="B83" s="461" t="s">
        <v>301</v>
      </c>
      <c r="C83" s="461" t="s">
        <v>22</v>
      </c>
      <c r="D83" s="461">
        <v>689</v>
      </c>
      <c r="E83" s="461">
        <v>26</v>
      </c>
      <c r="F83" s="461">
        <v>663</v>
      </c>
    </row>
    <row r="84" spans="1:6" x14ac:dyDescent="0.35">
      <c r="A84" s="461" t="s">
        <v>242</v>
      </c>
      <c r="B84" s="461" t="s">
        <v>301</v>
      </c>
      <c r="C84" s="461" t="s">
        <v>20</v>
      </c>
      <c r="D84" s="461">
        <v>153</v>
      </c>
      <c r="E84" s="461">
        <v>2</v>
      </c>
      <c r="F84" s="461">
        <v>151</v>
      </c>
    </row>
    <row r="85" spans="1:6" x14ac:dyDescent="0.35">
      <c r="A85" s="461" t="s">
        <v>242</v>
      </c>
      <c r="B85" s="461" t="s">
        <v>301</v>
      </c>
      <c r="C85" s="461" t="s">
        <v>21</v>
      </c>
      <c r="D85" s="461">
        <v>603</v>
      </c>
      <c r="E85" s="461">
        <v>31</v>
      </c>
      <c r="F85" s="461">
        <v>572</v>
      </c>
    </row>
    <row r="86" spans="1:6" hidden="1" x14ac:dyDescent="0.35">
      <c r="A86" s="461" t="s">
        <v>241</v>
      </c>
      <c r="B86" s="461" t="s">
        <v>2</v>
      </c>
      <c r="C86" s="461" t="s">
        <v>23</v>
      </c>
      <c r="D86" s="461">
        <v>124</v>
      </c>
      <c r="E86" s="461">
        <v>103</v>
      </c>
      <c r="F86" s="461">
        <v>21</v>
      </c>
    </row>
    <row r="87" spans="1:6" hidden="1" x14ac:dyDescent="0.35">
      <c r="A87" s="461" t="s">
        <v>241</v>
      </c>
      <c r="B87" s="461" t="s">
        <v>2</v>
      </c>
      <c r="C87" s="461" t="s">
        <v>20</v>
      </c>
      <c r="D87" s="461">
        <v>9</v>
      </c>
      <c r="E87" s="461">
        <v>8</v>
      </c>
      <c r="F87" s="461">
        <v>1</v>
      </c>
    </row>
    <row r="88" spans="1:6" hidden="1" x14ac:dyDescent="0.35">
      <c r="A88" s="461" t="s">
        <v>241</v>
      </c>
      <c r="B88" s="461" t="s">
        <v>774</v>
      </c>
      <c r="C88" s="461" t="s">
        <v>17423</v>
      </c>
      <c r="D88" s="461">
        <v>18</v>
      </c>
      <c r="E88" s="461">
        <v>1</v>
      </c>
      <c r="F88" s="461">
        <v>17</v>
      </c>
    </row>
    <row r="89" spans="1:6" hidden="1" x14ac:dyDescent="0.35">
      <c r="A89" s="461" t="s">
        <v>241</v>
      </c>
      <c r="B89" s="461" t="s">
        <v>300</v>
      </c>
      <c r="C89" s="461" t="s">
        <v>22</v>
      </c>
      <c r="D89" s="461">
        <v>40</v>
      </c>
      <c r="E89" s="461">
        <v>3</v>
      </c>
      <c r="F89" s="461">
        <v>37</v>
      </c>
    </row>
    <row r="90" spans="1:6" hidden="1" x14ac:dyDescent="0.35">
      <c r="A90" s="461" t="s">
        <v>241</v>
      </c>
      <c r="B90" s="461" t="s">
        <v>301</v>
      </c>
      <c r="C90" s="461" t="s">
        <v>198</v>
      </c>
      <c r="D90" s="461">
        <v>4</v>
      </c>
      <c r="E90" s="461">
        <v>0</v>
      </c>
      <c r="F90" s="461">
        <v>4</v>
      </c>
    </row>
    <row r="91" spans="1:6" hidden="1" x14ac:dyDescent="0.35">
      <c r="A91" s="461" t="s">
        <v>773</v>
      </c>
      <c r="B91" s="461" t="s">
        <v>3</v>
      </c>
      <c r="C91" s="461" t="s">
        <v>302</v>
      </c>
      <c r="D91" s="461">
        <v>400</v>
      </c>
      <c r="E91" s="461">
        <v>152</v>
      </c>
      <c r="F91" s="461">
        <v>248</v>
      </c>
    </row>
    <row r="92" spans="1:6" hidden="1" x14ac:dyDescent="0.35">
      <c r="A92" s="461" t="s">
        <v>773</v>
      </c>
      <c r="B92" s="461" t="s">
        <v>301</v>
      </c>
      <c r="C92" s="461" t="s">
        <v>18</v>
      </c>
      <c r="D92" s="461">
        <v>31</v>
      </c>
      <c r="E92" s="461">
        <v>0</v>
      </c>
      <c r="F92" s="461">
        <v>31</v>
      </c>
    </row>
    <row r="93" spans="1:6" hidden="1" x14ac:dyDescent="0.35">
      <c r="A93" s="461" t="s">
        <v>773</v>
      </c>
      <c r="B93" s="461" t="s">
        <v>301</v>
      </c>
      <c r="C93" s="461" t="s">
        <v>22</v>
      </c>
      <c r="D93" s="461">
        <v>688</v>
      </c>
      <c r="E93" s="461">
        <v>31</v>
      </c>
      <c r="F93" s="461">
        <v>657</v>
      </c>
    </row>
    <row r="94" spans="1:6" hidden="1" x14ac:dyDescent="0.35">
      <c r="A94" s="461" t="s">
        <v>951</v>
      </c>
      <c r="B94" s="461" t="s">
        <v>2</v>
      </c>
      <c r="C94" s="461" t="s">
        <v>23</v>
      </c>
      <c r="D94" s="461">
        <v>95</v>
      </c>
      <c r="E94" s="461">
        <v>79</v>
      </c>
      <c r="F94" s="461">
        <v>16</v>
      </c>
    </row>
    <row r="95" spans="1:6" hidden="1" x14ac:dyDescent="0.35">
      <c r="A95" s="461" t="s">
        <v>951</v>
      </c>
      <c r="B95" s="461" t="s">
        <v>9</v>
      </c>
      <c r="C95" s="461" t="s">
        <v>21</v>
      </c>
      <c r="D95" s="461">
        <v>267</v>
      </c>
      <c r="E95" s="461">
        <v>14</v>
      </c>
      <c r="F95" s="461">
        <v>253</v>
      </c>
    </row>
    <row r="96" spans="1:6" hidden="1" x14ac:dyDescent="0.35">
      <c r="A96" s="461" t="s">
        <v>951</v>
      </c>
      <c r="B96" s="461" t="s">
        <v>3</v>
      </c>
      <c r="C96" s="461" t="s">
        <v>91</v>
      </c>
      <c r="D96" s="461">
        <v>187</v>
      </c>
      <c r="E96" s="461">
        <v>178</v>
      </c>
      <c r="F96" s="461">
        <v>9</v>
      </c>
    </row>
    <row r="97" spans="1:6" hidden="1" x14ac:dyDescent="0.35">
      <c r="A97" s="461" t="s">
        <v>951</v>
      </c>
      <c r="B97" s="461" t="s">
        <v>3</v>
      </c>
      <c r="C97" s="461" t="s">
        <v>199</v>
      </c>
      <c r="D97" s="461">
        <v>3</v>
      </c>
      <c r="E97" s="461">
        <v>2</v>
      </c>
      <c r="F97" s="461">
        <v>1</v>
      </c>
    </row>
    <row r="98" spans="1:6" hidden="1" x14ac:dyDescent="0.35">
      <c r="A98" s="461" t="s">
        <v>951</v>
      </c>
      <c r="B98" s="461" t="s">
        <v>300</v>
      </c>
      <c r="C98" s="461" t="s">
        <v>23</v>
      </c>
      <c r="D98" s="461">
        <v>223</v>
      </c>
      <c r="E98" s="461">
        <v>44</v>
      </c>
      <c r="F98" s="461">
        <v>179</v>
      </c>
    </row>
    <row r="99" spans="1:6" hidden="1" x14ac:dyDescent="0.35">
      <c r="A99" s="461" t="s">
        <v>194</v>
      </c>
      <c r="B99" s="461" t="s">
        <v>9</v>
      </c>
      <c r="C99" s="461" t="s">
        <v>22</v>
      </c>
      <c r="D99" s="461">
        <v>535</v>
      </c>
      <c r="E99" s="461">
        <v>19</v>
      </c>
      <c r="F99" s="461">
        <v>516</v>
      </c>
    </row>
    <row r="100" spans="1:6" hidden="1" x14ac:dyDescent="0.35">
      <c r="A100" s="461" t="s">
        <v>194</v>
      </c>
      <c r="B100" s="461" t="s">
        <v>9</v>
      </c>
      <c r="C100" s="461" t="s">
        <v>23</v>
      </c>
      <c r="D100" s="461">
        <v>2127</v>
      </c>
      <c r="E100" s="461">
        <v>149</v>
      </c>
      <c r="F100" s="461">
        <v>1978</v>
      </c>
    </row>
    <row r="101" spans="1:6" hidden="1" x14ac:dyDescent="0.35">
      <c r="A101" s="461" t="s">
        <v>194</v>
      </c>
      <c r="B101" s="461" t="s">
        <v>3</v>
      </c>
      <c r="C101" s="461" t="s">
        <v>78</v>
      </c>
      <c r="D101" s="461">
        <v>45</v>
      </c>
      <c r="E101" s="461">
        <v>28</v>
      </c>
      <c r="F101" s="461">
        <v>17</v>
      </c>
    </row>
    <row r="102" spans="1:6" hidden="1" x14ac:dyDescent="0.35">
      <c r="A102" s="461" t="s">
        <v>194</v>
      </c>
      <c r="B102" s="461" t="s">
        <v>3</v>
      </c>
      <c r="C102" s="461" t="s">
        <v>80</v>
      </c>
      <c r="D102" s="461">
        <v>20</v>
      </c>
      <c r="E102" s="461">
        <v>7</v>
      </c>
      <c r="F102" s="461">
        <v>13</v>
      </c>
    </row>
    <row r="103" spans="1:6" hidden="1" x14ac:dyDescent="0.35">
      <c r="A103" s="461" t="s">
        <v>194</v>
      </c>
      <c r="B103" s="461" t="s">
        <v>300</v>
      </c>
      <c r="C103" s="461" t="s">
        <v>1002</v>
      </c>
      <c r="D103" s="461">
        <v>9</v>
      </c>
      <c r="E103" s="461">
        <v>0</v>
      </c>
      <c r="F103" s="461">
        <v>9</v>
      </c>
    </row>
    <row r="104" spans="1:6" hidden="1" x14ac:dyDescent="0.35">
      <c r="A104" s="461" t="s">
        <v>193</v>
      </c>
      <c r="B104" s="461" t="s">
        <v>2</v>
      </c>
      <c r="C104" s="461" t="s">
        <v>19</v>
      </c>
      <c r="D104" s="461">
        <v>5</v>
      </c>
      <c r="E104" s="461">
        <v>4</v>
      </c>
      <c r="F104" s="461">
        <v>1</v>
      </c>
    </row>
    <row r="105" spans="1:6" hidden="1" x14ac:dyDescent="0.35">
      <c r="A105" s="461" t="s">
        <v>193</v>
      </c>
      <c r="B105" s="461" t="s">
        <v>301</v>
      </c>
      <c r="C105" s="461" t="s">
        <v>18</v>
      </c>
      <c r="D105" s="461">
        <v>33</v>
      </c>
      <c r="E105" s="461">
        <v>0</v>
      </c>
      <c r="F105" s="461">
        <v>33</v>
      </c>
    </row>
    <row r="106" spans="1:6" hidden="1" x14ac:dyDescent="0.35">
      <c r="A106" s="461" t="s">
        <v>192</v>
      </c>
      <c r="B106" s="461" t="s">
        <v>300</v>
      </c>
      <c r="C106" s="461" t="s">
        <v>22</v>
      </c>
      <c r="D106" s="461">
        <v>46</v>
      </c>
      <c r="E106" s="461">
        <v>6</v>
      </c>
      <c r="F106" s="461">
        <v>40</v>
      </c>
    </row>
    <row r="107" spans="1:6" hidden="1" x14ac:dyDescent="0.35">
      <c r="A107" s="461" t="s">
        <v>192</v>
      </c>
      <c r="B107" s="461" t="s">
        <v>300</v>
      </c>
      <c r="C107" s="461" t="s">
        <v>23</v>
      </c>
      <c r="D107" s="461">
        <v>260</v>
      </c>
      <c r="E107" s="461">
        <v>48</v>
      </c>
      <c r="F107" s="461">
        <v>212</v>
      </c>
    </row>
    <row r="108" spans="1:6" hidden="1" x14ac:dyDescent="0.35">
      <c r="A108" s="461" t="s">
        <v>192</v>
      </c>
      <c r="B108" s="461" t="s">
        <v>301</v>
      </c>
      <c r="C108" s="461" t="s">
        <v>23</v>
      </c>
      <c r="D108" s="461">
        <v>2258</v>
      </c>
      <c r="E108" s="461">
        <v>113</v>
      </c>
      <c r="F108" s="461">
        <v>2145</v>
      </c>
    </row>
    <row r="109" spans="1:6" hidden="1" x14ac:dyDescent="0.35">
      <c r="A109" s="461" t="s">
        <v>192</v>
      </c>
      <c r="B109" s="461" t="s">
        <v>301</v>
      </c>
      <c r="C109" s="461" t="s">
        <v>19</v>
      </c>
      <c r="D109" s="461">
        <v>90</v>
      </c>
      <c r="E109" s="461">
        <v>3</v>
      </c>
      <c r="F109" s="461">
        <v>87</v>
      </c>
    </row>
    <row r="110" spans="1:6" hidden="1" x14ac:dyDescent="0.35">
      <c r="A110" s="461" t="s">
        <v>258</v>
      </c>
      <c r="B110" s="461" t="s">
        <v>301</v>
      </c>
      <c r="C110" s="461" t="s">
        <v>18</v>
      </c>
      <c r="D110" s="461">
        <v>34</v>
      </c>
      <c r="E110" s="461">
        <v>0</v>
      </c>
      <c r="F110" s="461">
        <v>34</v>
      </c>
    </row>
    <row r="111" spans="1:6" hidden="1" x14ac:dyDescent="0.35">
      <c r="A111" s="461" t="s">
        <v>258</v>
      </c>
      <c r="B111" s="461" t="s">
        <v>301</v>
      </c>
      <c r="C111" s="461" t="s">
        <v>22</v>
      </c>
      <c r="D111" s="461">
        <v>635</v>
      </c>
      <c r="E111" s="461">
        <v>29</v>
      </c>
      <c r="F111" s="461">
        <v>606</v>
      </c>
    </row>
    <row r="112" spans="1:6" hidden="1" x14ac:dyDescent="0.35">
      <c r="A112" s="461" t="s">
        <v>258</v>
      </c>
      <c r="B112" s="461" t="s">
        <v>301</v>
      </c>
      <c r="C112" s="461" t="s">
        <v>23</v>
      </c>
      <c r="D112" s="461">
        <v>2161</v>
      </c>
      <c r="E112" s="461">
        <v>122</v>
      </c>
      <c r="F112" s="461">
        <v>2039</v>
      </c>
    </row>
    <row r="113" spans="1:6" hidden="1" x14ac:dyDescent="0.35">
      <c r="A113" s="461" t="s">
        <v>258</v>
      </c>
      <c r="B113" s="461" t="s">
        <v>301</v>
      </c>
      <c r="C113" s="461" t="s">
        <v>21</v>
      </c>
      <c r="D113" s="461">
        <v>590</v>
      </c>
      <c r="E113" s="461">
        <v>23</v>
      </c>
      <c r="F113" s="461">
        <v>567</v>
      </c>
    </row>
    <row r="114" spans="1:6" hidden="1" x14ac:dyDescent="0.35">
      <c r="A114" s="461" t="s">
        <v>242</v>
      </c>
      <c r="B114" s="461" t="s">
        <v>3</v>
      </c>
      <c r="C114" s="461" t="s">
        <v>302</v>
      </c>
      <c r="D114" s="461">
        <v>366</v>
      </c>
      <c r="E114" s="461">
        <v>139</v>
      </c>
      <c r="F114" s="461">
        <v>227</v>
      </c>
    </row>
    <row r="115" spans="1:6" hidden="1" x14ac:dyDescent="0.35">
      <c r="A115" s="461" t="s">
        <v>242</v>
      </c>
      <c r="B115" s="461" t="s">
        <v>3</v>
      </c>
      <c r="C115" s="461" t="s">
        <v>303</v>
      </c>
      <c r="D115" s="461">
        <v>153</v>
      </c>
      <c r="E115" s="461">
        <v>88</v>
      </c>
      <c r="F115" s="461">
        <v>65</v>
      </c>
    </row>
    <row r="116" spans="1:6" hidden="1" x14ac:dyDescent="0.35">
      <c r="A116" s="461" t="s">
        <v>241</v>
      </c>
      <c r="B116" s="461" t="s">
        <v>2</v>
      </c>
      <c r="C116" s="461" t="s">
        <v>19</v>
      </c>
      <c r="D116" s="461">
        <v>4</v>
      </c>
      <c r="E116" s="461">
        <v>3</v>
      </c>
      <c r="F116" s="461">
        <v>1</v>
      </c>
    </row>
    <row r="117" spans="1:6" hidden="1" x14ac:dyDescent="0.35">
      <c r="A117" s="461" t="s">
        <v>951</v>
      </c>
      <c r="B117" s="461" t="s">
        <v>9</v>
      </c>
      <c r="C117" s="461" t="s">
        <v>23</v>
      </c>
      <c r="D117" s="461">
        <v>2083</v>
      </c>
      <c r="E117" s="461">
        <v>167</v>
      </c>
      <c r="F117" s="461">
        <v>1916</v>
      </c>
    </row>
    <row r="118" spans="1:6" hidden="1" x14ac:dyDescent="0.35">
      <c r="A118" s="461" t="s">
        <v>951</v>
      </c>
      <c r="B118" s="461" t="s">
        <v>301</v>
      </c>
      <c r="C118" s="461" t="s">
        <v>21</v>
      </c>
      <c r="D118" s="461">
        <v>604</v>
      </c>
      <c r="E118" s="461">
        <v>31</v>
      </c>
      <c r="F118" s="461">
        <v>573</v>
      </c>
    </row>
    <row r="119" spans="1:6" hidden="1" x14ac:dyDescent="0.35">
      <c r="A119" s="461" t="s">
        <v>194</v>
      </c>
      <c r="B119" s="461" t="s">
        <v>3</v>
      </c>
      <c r="C119" s="461" t="s">
        <v>91</v>
      </c>
      <c r="D119" s="461">
        <v>278</v>
      </c>
      <c r="E119" s="461">
        <v>248</v>
      </c>
      <c r="F119" s="461">
        <v>30</v>
      </c>
    </row>
    <row r="120" spans="1:6" hidden="1" x14ac:dyDescent="0.35">
      <c r="A120" s="461" t="s">
        <v>194</v>
      </c>
      <c r="B120" s="461" t="s">
        <v>300</v>
      </c>
      <c r="C120" s="461" t="s">
        <v>23</v>
      </c>
      <c r="D120" s="461">
        <v>277</v>
      </c>
      <c r="E120" s="461">
        <v>44</v>
      </c>
      <c r="F120" s="461">
        <v>233</v>
      </c>
    </row>
    <row r="121" spans="1:6" hidden="1" x14ac:dyDescent="0.35">
      <c r="A121" s="461" t="s">
        <v>194</v>
      </c>
      <c r="B121" s="461" t="s">
        <v>301</v>
      </c>
      <c r="C121" s="461" t="s">
        <v>18</v>
      </c>
      <c r="D121" s="461">
        <v>28</v>
      </c>
      <c r="E121" s="461">
        <v>0</v>
      </c>
      <c r="F121" s="461">
        <v>28</v>
      </c>
    </row>
    <row r="122" spans="1:6" hidden="1" x14ac:dyDescent="0.35">
      <c r="A122" s="461" t="s">
        <v>193</v>
      </c>
      <c r="B122" s="461" t="s">
        <v>301</v>
      </c>
      <c r="C122" s="461" t="s">
        <v>22</v>
      </c>
      <c r="D122" s="461">
        <v>634</v>
      </c>
      <c r="E122" s="461">
        <v>24</v>
      </c>
      <c r="F122" s="461">
        <v>610</v>
      </c>
    </row>
    <row r="123" spans="1:6" hidden="1" x14ac:dyDescent="0.35">
      <c r="A123" s="461" t="s">
        <v>192</v>
      </c>
      <c r="B123" s="461" t="s">
        <v>3</v>
      </c>
      <c r="C123" s="461" t="s">
        <v>91</v>
      </c>
      <c r="D123" s="461">
        <v>194</v>
      </c>
      <c r="E123" s="461">
        <v>176</v>
      </c>
      <c r="F123" s="461">
        <v>18</v>
      </c>
    </row>
    <row r="124" spans="1:6" hidden="1" x14ac:dyDescent="0.35">
      <c r="A124" s="461" t="s">
        <v>192</v>
      </c>
      <c r="B124" s="461" t="s">
        <v>3</v>
      </c>
      <c r="C124" s="461" t="s">
        <v>199</v>
      </c>
      <c r="D124" s="461">
        <v>3</v>
      </c>
      <c r="E124" s="461">
        <v>2</v>
      </c>
      <c r="F124" s="461">
        <v>1</v>
      </c>
    </row>
    <row r="125" spans="1:6" hidden="1" x14ac:dyDescent="0.35">
      <c r="A125" s="461" t="s">
        <v>192</v>
      </c>
      <c r="B125" s="461" t="s">
        <v>3</v>
      </c>
      <c r="C125" s="461" t="s">
        <v>80</v>
      </c>
      <c r="D125" s="461">
        <v>34</v>
      </c>
      <c r="E125" s="461">
        <v>18</v>
      </c>
      <c r="F125" s="461">
        <v>16</v>
      </c>
    </row>
    <row r="126" spans="1:6" hidden="1" x14ac:dyDescent="0.35">
      <c r="A126" s="461" t="s">
        <v>258</v>
      </c>
      <c r="B126" s="461" t="s">
        <v>2</v>
      </c>
      <c r="C126" s="461" t="s">
        <v>21</v>
      </c>
      <c r="D126" s="461">
        <v>41</v>
      </c>
      <c r="E126" s="461">
        <v>35</v>
      </c>
      <c r="F126" s="461">
        <v>6</v>
      </c>
    </row>
    <row r="127" spans="1:6" hidden="1" x14ac:dyDescent="0.35">
      <c r="A127" s="461" t="s">
        <v>258</v>
      </c>
      <c r="B127" s="461" t="s">
        <v>3</v>
      </c>
      <c r="C127" s="461" t="s">
        <v>303</v>
      </c>
      <c r="D127" s="461">
        <v>165</v>
      </c>
      <c r="E127" s="461">
        <v>98</v>
      </c>
      <c r="F127" s="461">
        <v>67</v>
      </c>
    </row>
    <row r="128" spans="1:6" hidden="1" x14ac:dyDescent="0.35">
      <c r="A128" s="461" t="s">
        <v>258</v>
      </c>
      <c r="B128" s="461" t="s">
        <v>300</v>
      </c>
      <c r="C128" s="461" t="s">
        <v>22</v>
      </c>
      <c r="D128" s="461">
        <v>46</v>
      </c>
      <c r="E128" s="461">
        <v>4</v>
      </c>
      <c r="F128" s="461">
        <v>38</v>
      </c>
    </row>
    <row r="129" spans="1:6" hidden="1" x14ac:dyDescent="0.35">
      <c r="A129" s="461" t="s">
        <v>258</v>
      </c>
      <c r="B129" s="461" t="s">
        <v>300</v>
      </c>
      <c r="C129" s="461" t="s">
        <v>23</v>
      </c>
      <c r="D129" s="461">
        <v>260</v>
      </c>
      <c r="E129" s="461">
        <v>40</v>
      </c>
      <c r="F129" s="461">
        <v>198</v>
      </c>
    </row>
    <row r="130" spans="1:6" hidden="1" x14ac:dyDescent="0.35">
      <c r="A130" s="461" t="s">
        <v>242</v>
      </c>
      <c r="B130" s="461" t="s">
        <v>2</v>
      </c>
      <c r="C130" s="461" t="s">
        <v>22</v>
      </c>
      <c r="D130" s="461">
        <v>27</v>
      </c>
      <c r="E130" s="461">
        <v>23</v>
      </c>
      <c r="F130" s="461">
        <v>4</v>
      </c>
    </row>
    <row r="131" spans="1:6" hidden="1" x14ac:dyDescent="0.35">
      <c r="A131" s="461" t="s">
        <v>242</v>
      </c>
      <c r="B131" s="461" t="s">
        <v>3</v>
      </c>
      <c r="C131" s="461" t="s">
        <v>199</v>
      </c>
      <c r="D131" s="461">
        <v>2</v>
      </c>
      <c r="E131" s="461">
        <v>1</v>
      </c>
      <c r="F131" s="461">
        <v>1</v>
      </c>
    </row>
    <row r="132" spans="1:6" hidden="1" x14ac:dyDescent="0.35">
      <c r="A132" s="461" t="s">
        <v>242</v>
      </c>
      <c r="B132" s="461" t="s">
        <v>3</v>
      </c>
      <c r="C132" s="461" t="s">
        <v>77</v>
      </c>
      <c r="D132" s="461">
        <v>50</v>
      </c>
      <c r="E132" s="461">
        <v>17</v>
      </c>
      <c r="F132" s="461">
        <v>33</v>
      </c>
    </row>
    <row r="133" spans="1:6" hidden="1" x14ac:dyDescent="0.35">
      <c r="A133" s="461" t="s">
        <v>242</v>
      </c>
      <c r="B133" s="461" t="s">
        <v>300</v>
      </c>
      <c r="C133" s="461" t="s">
        <v>22</v>
      </c>
      <c r="D133" s="461">
        <v>39</v>
      </c>
      <c r="E133" s="461">
        <v>3</v>
      </c>
      <c r="F133" s="461">
        <v>36</v>
      </c>
    </row>
    <row r="134" spans="1:6" hidden="1" x14ac:dyDescent="0.35">
      <c r="A134" s="461" t="s">
        <v>241</v>
      </c>
      <c r="B134" s="461" t="s">
        <v>9</v>
      </c>
      <c r="C134" s="461" t="s">
        <v>21</v>
      </c>
      <c r="D134" s="461">
        <v>261</v>
      </c>
      <c r="E134" s="461">
        <v>13</v>
      </c>
      <c r="F134" s="461">
        <v>248</v>
      </c>
    </row>
    <row r="135" spans="1:6" hidden="1" x14ac:dyDescent="0.35">
      <c r="A135" s="461" t="s">
        <v>241</v>
      </c>
      <c r="B135" s="461" t="s">
        <v>3</v>
      </c>
      <c r="C135" s="461" t="s">
        <v>199</v>
      </c>
      <c r="D135" s="461">
        <v>3</v>
      </c>
      <c r="E135" s="461">
        <v>2</v>
      </c>
      <c r="F135" s="461">
        <v>1</v>
      </c>
    </row>
    <row r="136" spans="1:6" hidden="1" x14ac:dyDescent="0.35">
      <c r="A136" s="461" t="s">
        <v>241</v>
      </c>
      <c r="B136" s="461" t="s">
        <v>301</v>
      </c>
      <c r="C136" s="461" t="s">
        <v>21</v>
      </c>
      <c r="D136" s="461">
        <v>611</v>
      </c>
      <c r="E136" s="461">
        <v>33</v>
      </c>
      <c r="F136" s="461">
        <v>578</v>
      </c>
    </row>
    <row r="137" spans="1:6" hidden="1" x14ac:dyDescent="0.35">
      <c r="A137" s="461" t="s">
        <v>773</v>
      </c>
      <c r="B137" s="461" t="s">
        <v>2</v>
      </c>
      <c r="C137" s="461" t="s">
        <v>18</v>
      </c>
      <c r="D137" s="461">
        <v>1</v>
      </c>
      <c r="E137" s="461">
        <v>1</v>
      </c>
      <c r="F137" s="461">
        <v>0</v>
      </c>
    </row>
    <row r="138" spans="1:6" hidden="1" x14ac:dyDescent="0.35">
      <c r="A138" s="461" t="s">
        <v>773</v>
      </c>
      <c r="B138" s="461" t="s">
        <v>300</v>
      </c>
      <c r="C138" s="461" t="s">
        <v>23</v>
      </c>
      <c r="D138" s="461">
        <v>237</v>
      </c>
      <c r="E138" s="461">
        <v>48</v>
      </c>
      <c r="F138" s="461">
        <v>189</v>
      </c>
    </row>
    <row r="139" spans="1:6" hidden="1" x14ac:dyDescent="0.35">
      <c r="A139" s="461" t="s">
        <v>951</v>
      </c>
      <c r="B139" s="461" t="s">
        <v>2</v>
      </c>
      <c r="C139" s="461" t="s">
        <v>20</v>
      </c>
      <c r="D139" s="461">
        <v>10</v>
      </c>
      <c r="E139" s="461">
        <v>9</v>
      </c>
      <c r="F139" s="461">
        <v>1</v>
      </c>
    </row>
    <row r="140" spans="1:6" hidden="1" x14ac:dyDescent="0.35">
      <c r="A140" s="461" t="s">
        <v>951</v>
      </c>
      <c r="B140" s="461" t="s">
        <v>2</v>
      </c>
      <c r="C140" s="461" t="s">
        <v>21</v>
      </c>
      <c r="D140" s="461">
        <v>41</v>
      </c>
      <c r="E140" s="461">
        <v>35</v>
      </c>
      <c r="F140" s="461">
        <v>6</v>
      </c>
    </row>
    <row r="141" spans="1:6" hidden="1" x14ac:dyDescent="0.35">
      <c r="A141" s="461" t="s">
        <v>951</v>
      </c>
      <c r="B141" s="461" t="s">
        <v>3</v>
      </c>
      <c r="C141" s="461" t="s">
        <v>302</v>
      </c>
      <c r="D141" s="461">
        <v>414</v>
      </c>
      <c r="E141" s="461">
        <v>161</v>
      </c>
      <c r="F141" s="461">
        <v>253</v>
      </c>
    </row>
    <row r="142" spans="1:6" hidden="1" x14ac:dyDescent="0.35">
      <c r="A142" s="461" t="s">
        <v>951</v>
      </c>
      <c r="B142" s="461" t="s">
        <v>3</v>
      </c>
      <c r="C142" s="461" t="s">
        <v>303</v>
      </c>
      <c r="D142" s="461">
        <v>61</v>
      </c>
      <c r="E142" s="461">
        <v>23</v>
      </c>
      <c r="F142" s="461">
        <v>38</v>
      </c>
    </row>
    <row r="143" spans="1:6" hidden="1" x14ac:dyDescent="0.35">
      <c r="A143" s="461" t="s">
        <v>194</v>
      </c>
      <c r="B143" s="461" t="s">
        <v>2</v>
      </c>
      <c r="C143" s="461" t="s">
        <v>20</v>
      </c>
      <c r="D143" s="461">
        <v>11</v>
      </c>
      <c r="E143" s="461">
        <v>9</v>
      </c>
      <c r="F143" s="461">
        <v>2</v>
      </c>
    </row>
    <row r="144" spans="1:6" hidden="1" x14ac:dyDescent="0.35">
      <c r="A144" s="461" t="s">
        <v>194</v>
      </c>
      <c r="B144" s="461" t="s">
        <v>2</v>
      </c>
      <c r="C144" s="461" t="s">
        <v>21</v>
      </c>
      <c r="D144" s="461">
        <v>52</v>
      </c>
      <c r="E144" s="461">
        <v>46</v>
      </c>
      <c r="F144" s="461">
        <v>6</v>
      </c>
    </row>
    <row r="145" spans="1:6" hidden="1" x14ac:dyDescent="0.35">
      <c r="A145" s="461" t="s">
        <v>194</v>
      </c>
      <c r="B145" s="461" t="s">
        <v>3</v>
      </c>
      <c r="C145" s="461" t="s">
        <v>77</v>
      </c>
      <c r="D145" s="461">
        <v>70</v>
      </c>
      <c r="E145" s="461">
        <v>32</v>
      </c>
      <c r="F145" s="461">
        <v>38</v>
      </c>
    </row>
    <row r="146" spans="1:6" hidden="1" x14ac:dyDescent="0.35">
      <c r="A146" s="461" t="s">
        <v>193</v>
      </c>
      <c r="B146" s="461" t="s">
        <v>3</v>
      </c>
      <c r="C146" s="461" t="s">
        <v>80</v>
      </c>
      <c r="D146" s="461">
        <v>37</v>
      </c>
      <c r="E146" s="461">
        <v>20</v>
      </c>
      <c r="F146" s="461">
        <v>17</v>
      </c>
    </row>
    <row r="147" spans="1:6" hidden="1" x14ac:dyDescent="0.35">
      <c r="A147" s="461" t="s">
        <v>193</v>
      </c>
      <c r="B147" s="461" t="s">
        <v>300</v>
      </c>
      <c r="C147" s="461" t="s">
        <v>1002</v>
      </c>
      <c r="D147" s="461">
        <v>38</v>
      </c>
      <c r="E147" s="461">
        <v>4</v>
      </c>
      <c r="F147" s="461">
        <v>34</v>
      </c>
    </row>
    <row r="148" spans="1:6" hidden="1" x14ac:dyDescent="0.35">
      <c r="A148" s="461" t="s">
        <v>193</v>
      </c>
      <c r="B148" s="461" t="s">
        <v>301</v>
      </c>
      <c r="C148" s="461" t="s">
        <v>19</v>
      </c>
      <c r="D148" s="461">
        <v>103</v>
      </c>
      <c r="E148" s="461">
        <v>3</v>
      </c>
      <c r="F148" s="461">
        <v>100</v>
      </c>
    </row>
    <row r="149" spans="1:6" hidden="1" x14ac:dyDescent="0.35">
      <c r="A149" s="461" t="s">
        <v>258</v>
      </c>
      <c r="B149" s="461" t="s">
        <v>2</v>
      </c>
      <c r="C149" s="461" t="s">
        <v>22</v>
      </c>
      <c r="D149" s="461">
        <v>31</v>
      </c>
      <c r="E149" s="461">
        <v>26</v>
      </c>
      <c r="F149" s="461">
        <v>5</v>
      </c>
    </row>
    <row r="150" spans="1:6" hidden="1" x14ac:dyDescent="0.35">
      <c r="A150" s="461" t="s">
        <v>258</v>
      </c>
      <c r="B150" s="461" t="s">
        <v>9</v>
      </c>
      <c r="C150" s="461" t="s">
        <v>23</v>
      </c>
      <c r="D150" s="461">
        <v>2061</v>
      </c>
      <c r="E150" s="461">
        <v>127</v>
      </c>
      <c r="F150" s="461">
        <v>1934</v>
      </c>
    </row>
    <row r="151" spans="1:6" hidden="1" x14ac:dyDescent="0.35">
      <c r="A151" s="461" t="s">
        <v>258</v>
      </c>
      <c r="B151" s="461" t="s">
        <v>3</v>
      </c>
      <c r="C151" s="461" t="s">
        <v>77</v>
      </c>
      <c r="D151" s="461">
        <v>42</v>
      </c>
      <c r="E151" s="461">
        <v>17</v>
      </c>
      <c r="F151" s="461">
        <v>25</v>
      </c>
    </row>
    <row r="152" spans="1:6" hidden="1" x14ac:dyDescent="0.35">
      <c r="A152" s="461" t="s">
        <v>242</v>
      </c>
      <c r="B152" s="461" t="s">
        <v>9</v>
      </c>
      <c r="C152" s="461" t="s">
        <v>21</v>
      </c>
      <c r="D152" s="461">
        <v>261</v>
      </c>
      <c r="E152" s="461">
        <v>14</v>
      </c>
      <c r="F152" s="461">
        <v>247</v>
      </c>
    </row>
    <row r="153" spans="1:6" hidden="1" x14ac:dyDescent="0.35">
      <c r="A153" s="461" t="s">
        <v>242</v>
      </c>
      <c r="B153" s="461" t="s">
        <v>3</v>
      </c>
      <c r="C153" s="461" t="s">
        <v>91</v>
      </c>
      <c r="D153" s="461">
        <v>164</v>
      </c>
      <c r="E153" s="461">
        <v>155</v>
      </c>
      <c r="F153" s="461">
        <v>9</v>
      </c>
    </row>
    <row r="154" spans="1:6" hidden="1" x14ac:dyDescent="0.35">
      <c r="A154" s="461" t="s">
        <v>242</v>
      </c>
      <c r="B154" s="461" t="s">
        <v>3</v>
      </c>
      <c r="C154" s="461" t="s">
        <v>78</v>
      </c>
      <c r="D154" s="461">
        <v>79</v>
      </c>
      <c r="E154" s="461">
        <v>57</v>
      </c>
      <c r="F154" s="461">
        <v>22</v>
      </c>
    </row>
    <row r="155" spans="1:6" hidden="1" x14ac:dyDescent="0.35">
      <c r="A155" s="461" t="s">
        <v>242</v>
      </c>
      <c r="B155" s="461" t="s">
        <v>300</v>
      </c>
      <c r="C155" s="461" t="s">
        <v>23</v>
      </c>
      <c r="D155" s="461">
        <v>256</v>
      </c>
      <c r="E155" s="461">
        <v>47</v>
      </c>
      <c r="F155" s="461">
        <v>209</v>
      </c>
    </row>
    <row r="156" spans="1:6" hidden="1" x14ac:dyDescent="0.35">
      <c r="A156" s="461" t="s">
        <v>241</v>
      </c>
      <c r="B156" s="461" t="s">
        <v>3</v>
      </c>
      <c r="C156" s="461" t="s">
        <v>91</v>
      </c>
      <c r="D156" s="461">
        <v>170</v>
      </c>
      <c r="E156" s="461">
        <v>159</v>
      </c>
      <c r="F156" s="461">
        <v>11</v>
      </c>
    </row>
    <row r="157" spans="1:6" hidden="1" x14ac:dyDescent="0.35">
      <c r="A157" s="461" t="s">
        <v>241</v>
      </c>
      <c r="B157" s="461" t="s">
        <v>3</v>
      </c>
      <c r="C157" s="461" t="s">
        <v>302</v>
      </c>
      <c r="D157" s="461">
        <v>388</v>
      </c>
      <c r="E157" s="461">
        <v>146</v>
      </c>
      <c r="F157" s="461">
        <v>242</v>
      </c>
    </row>
    <row r="158" spans="1:6" hidden="1" x14ac:dyDescent="0.35">
      <c r="A158" s="461" t="s">
        <v>241</v>
      </c>
      <c r="B158" s="461" t="s">
        <v>300</v>
      </c>
      <c r="C158" s="461" t="s">
        <v>23</v>
      </c>
      <c r="D158" s="461">
        <v>240</v>
      </c>
      <c r="E158" s="461">
        <v>46</v>
      </c>
      <c r="F158" s="461">
        <v>194</v>
      </c>
    </row>
    <row r="159" spans="1:6" hidden="1" x14ac:dyDescent="0.35">
      <c r="A159" s="461" t="s">
        <v>241</v>
      </c>
      <c r="B159" s="461" t="s">
        <v>300</v>
      </c>
      <c r="C159" s="461" t="s">
        <v>21</v>
      </c>
      <c r="D159" s="461">
        <v>37</v>
      </c>
      <c r="E159" s="461">
        <v>5</v>
      </c>
      <c r="F159" s="461">
        <v>32</v>
      </c>
    </row>
    <row r="160" spans="1:6" hidden="1" x14ac:dyDescent="0.35">
      <c r="A160" s="461" t="s">
        <v>241</v>
      </c>
      <c r="B160" s="461" t="s">
        <v>301</v>
      </c>
      <c r="C160" s="461" t="s">
        <v>19</v>
      </c>
      <c r="D160" s="461">
        <v>80</v>
      </c>
      <c r="E160" s="461">
        <v>2</v>
      </c>
      <c r="F160" s="461">
        <v>78</v>
      </c>
    </row>
    <row r="161" spans="1:6" hidden="1" x14ac:dyDescent="0.35">
      <c r="A161" s="461" t="s">
        <v>241</v>
      </c>
      <c r="B161" s="461" t="s">
        <v>301</v>
      </c>
      <c r="C161" s="461" t="s">
        <v>20</v>
      </c>
      <c r="D161" s="461">
        <v>147</v>
      </c>
      <c r="E161" s="461">
        <v>2</v>
      </c>
      <c r="F161" s="461">
        <v>145</v>
      </c>
    </row>
    <row r="162" spans="1:6" hidden="1" x14ac:dyDescent="0.35">
      <c r="A162" s="461" t="s">
        <v>773</v>
      </c>
      <c r="B162" s="461" t="s">
        <v>2</v>
      </c>
      <c r="C162" s="461" t="s">
        <v>20</v>
      </c>
      <c r="D162" s="461">
        <v>8</v>
      </c>
      <c r="E162" s="461">
        <v>7</v>
      </c>
      <c r="F162" s="461">
        <v>1</v>
      </c>
    </row>
    <row r="163" spans="1:6" hidden="1" x14ac:dyDescent="0.35">
      <c r="A163" s="461" t="s">
        <v>773</v>
      </c>
      <c r="B163" s="461" t="s">
        <v>2</v>
      </c>
      <c r="C163" s="461" t="s">
        <v>21</v>
      </c>
      <c r="D163" s="461">
        <v>45</v>
      </c>
      <c r="E163" s="461">
        <v>38</v>
      </c>
      <c r="F163" s="461">
        <v>7</v>
      </c>
    </row>
    <row r="164" spans="1:6" hidden="1" x14ac:dyDescent="0.35">
      <c r="A164" s="461" t="s">
        <v>773</v>
      </c>
      <c r="B164" s="461" t="s">
        <v>3</v>
      </c>
      <c r="C164" s="461" t="s">
        <v>78</v>
      </c>
      <c r="D164" s="461">
        <v>90</v>
      </c>
      <c r="E164" s="461">
        <v>61</v>
      </c>
      <c r="F164" s="461">
        <v>29</v>
      </c>
    </row>
    <row r="165" spans="1:6" hidden="1" x14ac:dyDescent="0.35">
      <c r="A165" s="461" t="s">
        <v>773</v>
      </c>
      <c r="B165" s="461" t="s">
        <v>301</v>
      </c>
      <c r="C165" s="461" t="s">
        <v>198</v>
      </c>
      <c r="D165" s="461">
        <v>6</v>
      </c>
      <c r="E165" s="461">
        <v>0</v>
      </c>
      <c r="F165" s="461">
        <v>6</v>
      </c>
    </row>
    <row r="166" spans="1:6" hidden="1" x14ac:dyDescent="0.35">
      <c r="A166" s="461" t="s">
        <v>773</v>
      </c>
      <c r="B166" s="461" t="s">
        <v>301</v>
      </c>
      <c r="C166" s="461" t="s">
        <v>23</v>
      </c>
      <c r="D166" s="461">
        <v>2070</v>
      </c>
      <c r="E166" s="461">
        <v>154</v>
      </c>
      <c r="F166" s="461">
        <v>1916</v>
      </c>
    </row>
    <row r="167" spans="1:6" hidden="1" x14ac:dyDescent="0.35">
      <c r="A167" s="461" t="s">
        <v>773</v>
      </c>
      <c r="B167" s="461" t="s">
        <v>301</v>
      </c>
      <c r="C167" s="461" t="s">
        <v>21</v>
      </c>
      <c r="D167" s="461">
        <v>608</v>
      </c>
      <c r="E167" s="461">
        <v>30</v>
      </c>
      <c r="F167" s="461">
        <v>578</v>
      </c>
    </row>
    <row r="168" spans="1:6" hidden="1" x14ac:dyDescent="0.35">
      <c r="A168" s="461" t="s">
        <v>951</v>
      </c>
      <c r="B168" s="461" t="s">
        <v>2</v>
      </c>
      <c r="C168" s="461" t="s">
        <v>18</v>
      </c>
      <c r="D168" s="461">
        <v>1</v>
      </c>
      <c r="E168" s="461">
        <v>1</v>
      </c>
      <c r="F168" s="461">
        <v>0</v>
      </c>
    </row>
    <row r="169" spans="1:6" hidden="1" x14ac:dyDescent="0.35">
      <c r="A169" s="461" t="s">
        <v>951</v>
      </c>
      <c r="B169" s="461" t="s">
        <v>2</v>
      </c>
      <c r="C169" s="461" t="s">
        <v>19</v>
      </c>
      <c r="D169" s="461">
        <v>4</v>
      </c>
      <c r="E169" s="461">
        <v>3</v>
      </c>
      <c r="F169" s="461">
        <v>1</v>
      </c>
    </row>
    <row r="170" spans="1:6" hidden="1" x14ac:dyDescent="0.35">
      <c r="A170" s="461" t="s">
        <v>951</v>
      </c>
      <c r="B170" s="461" t="s">
        <v>3</v>
      </c>
      <c r="C170" s="461" t="s">
        <v>78</v>
      </c>
      <c r="D170" s="461">
        <v>91</v>
      </c>
      <c r="E170" s="461">
        <v>61</v>
      </c>
      <c r="F170" s="461">
        <v>30</v>
      </c>
    </row>
    <row r="171" spans="1:6" hidden="1" x14ac:dyDescent="0.35">
      <c r="A171" s="461" t="s">
        <v>951</v>
      </c>
      <c r="B171" s="461" t="s">
        <v>301</v>
      </c>
      <c r="C171" s="461" t="s">
        <v>22</v>
      </c>
      <c r="D171" s="461">
        <v>687</v>
      </c>
      <c r="E171" s="461">
        <v>29</v>
      </c>
      <c r="F171" s="461">
        <v>658</v>
      </c>
    </row>
    <row r="172" spans="1:6" hidden="1" x14ac:dyDescent="0.35">
      <c r="A172" s="461" t="s">
        <v>194</v>
      </c>
      <c r="B172" s="461" t="s">
        <v>2</v>
      </c>
      <c r="C172" s="461" t="s">
        <v>22</v>
      </c>
      <c r="D172" s="461">
        <v>52</v>
      </c>
      <c r="E172" s="461">
        <v>46</v>
      </c>
      <c r="F172" s="461">
        <v>6</v>
      </c>
    </row>
    <row r="173" spans="1:6" hidden="1" x14ac:dyDescent="0.35">
      <c r="A173" s="461" t="s">
        <v>194</v>
      </c>
      <c r="B173" s="461" t="s">
        <v>3</v>
      </c>
      <c r="C173" s="461" t="s">
        <v>302</v>
      </c>
      <c r="D173" s="461">
        <v>314</v>
      </c>
      <c r="E173" s="461">
        <v>91</v>
      </c>
      <c r="F173" s="461">
        <v>223</v>
      </c>
    </row>
    <row r="174" spans="1:6" hidden="1" x14ac:dyDescent="0.35">
      <c r="A174" s="461" t="s">
        <v>194</v>
      </c>
      <c r="B174" s="461" t="s">
        <v>3</v>
      </c>
      <c r="C174" s="461" t="s">
        <v>303</v>
      </c>
      <c r="D174" s="461">
        <v>234</v>
      </c>
      <c r="E174" s="461">
        <v>139</v>
      </c>
      <c r="F174" s="461">
        <v>95</v>
      </c>
    </row>
    <row r="175" spans="1:6" hidden="1" x14ac:dyDescent="0.35">
      <c r="A175" s="461" t="s">
        <v>194</v>
      </c>
      <c r="B175" s="461" t="s">
        <v>301</v>
      </c>
      <c r="C175" s="461" t="s">
        <v>22</v>
      </c>
      <c r="D175" s="461">
        <v>660</v>
      </c>
      <c r="E175" s="461">
        <v>26</v>
      </c>
      <c r="F175" s="461">
        <v>634</v>
      </c>
    </row>
    <row r="176" spans="1:6" hidden="1" x14ac:dyDescent="0.35">
      <c r="A176" s="461" t="s">
        <v>193</v>
      </c>
      <c r="B176" s="461" t="s">
        <v>2</v>
      </c>
      <c r="C176" s="461" t="s">
        <v>20</v>
      </c>
      <c r="D176" s="461">
        <v>13</v>
      </c>
      <c r="E176" s="461">
        <v>11</v>
      </c>
      <c r="F176" s="461">
        <v>2</v>
      </c>
    </row>
    <row r="177" spans="1:6" hidden="1" x14ac:dyDescent="0.35">
      <c r="A177" s="461" t="s">
        <v>193</v>
      </c>
      <c r="B177" s="461" t="s">
        <v>2</v>
      </c>
      <c r="C177" s="461" t="s">
        <v>21</v>
      </c>
      <c r="D177" s="461">
        <v>50</v>
      </c>
      <c r="E177" s="461">
        <v>44</v>
      </c>
      <c r="F177" s="461">
        <v>6</v>
      </c>
    </row>
    <row r="178" spans="1:6" hidden="1" x14ac:dyDescent="0.35">
      <c r="A178" s="461" t="s">
        <v>193</v>
      </c>
      <c r="B178" s="461" t="s">
        <v>9</v>
      </c>
      <c r="C178" s="461" t="s">
        <v>21</v>
      </c>
      <c r="D178" s="461">
        <v>280</v>
      </c>
      <c r="E178" s="461">
        <v>12</v>
      </c>
      <c r="F178" s="461">
        <v>268</v>
      </c>
    </row>
    <row r="179" spans="1:6" hidden="1" x14ac:dyDescent="0.35">
      <c r="A179" s="461" t="s">
        <v>193</v>
      </c>
      <c r="B179" s="461" t="s">
        <v>3</v>
      </c>
      <c r="C179" s="461" t="s">
        <v>303</v>
      </c>
      <c r="D179" s="461">
        <v>195</v>
      </c>
      <c r="E179" s="461">
        <v>122</v>
      </c>
      <c r="F179" s="461">
        <v>73</v>
      </c>
    </row>
    <row r="180" spans="1:6" hidden="1" x14ac:dyDescent="0.35">
      <c r="A180" s="461" t="s">
        <v>193</v>
      </c>
      <c r="B180" s="461" t="s">
        <v>300</v>
      </c>
      <c r="C180" s="461" t="s">
        <v>23</v>
      </c>
      <c r="D180" s="461">
        <v>296</v>
      </c>
      <c r="E180" s="461">
        <v>48</v>
      </c>
      <c r="F180" s="461">
        <v>248</v>
      </c>
    </row>
    <row r="181" spans="1:6" hidden="1" x14ac:dyDescent="0.35">
      <c r="A181" s="461" t="s">
        <v>192</v>
      </c>
      <c r="B181" s="461" t="s">
        <v>2</v>
      </c>
      <c r="C181" s="461" t="s">
        <v>19</v>
      </c>
      <c r="D181" s="461">
        <v>6</v>
      </c>
      <c r="E181" s="461">
        <v>4</v>
      </c>
      <c r="F181" s="461">
        <v>2</v>
      </c>
    </row>
    <row r="182" spans="1:6" hidden="1" x14ac:dyDescent="0.35">
      <c r="A182" s="461" t="s">
        <v>192</v>
      </c>
      <c r="B182" s="461" t="s">
        <v>9</v>
      </c>
      <c r="C182" s="461" t="s">
        <v>23</v>
      </c>
      <c r="D182" s="461">
        <v>2065</v>
      </c>
      <c r="E182" s="461">
        <v>132</v>
      </c>
      <c r="F182" s="461">
        <v>1933</v>
      </c>
    </row>
    <row r="183" spans="1:6" hidden="1" x14ac:dyDescent="0.35">
      <c r="A183" s="461" t="s">
        <v>192</v>
      </c>
      <c r="B183" s="461" t="s">
        <v>3</v>
      </c>
      <c r="C183" s="461" t="s">
        <v>78</v>
      </c>
      <c r="D183" s="461">
        <v>74</v>
      </c>
      <c r="E183" s="461">
        <v>57</v>
      </c>
      <c r="F183" s="461">
        <v>17</v>
      </c>
    </row>
    <row r="184" spans="1:6" hidden="1" x14ac:dyDescent="0.35">
      <c r="A184" s="461" t="s">
        <v>192</v>
      </c>
      <c r="B184" s="461" t="s">
        <v>301</v>
      </c>
      <c r="C184" s="461" t="s">
        <v>21</v>
      </c>
      <c r="D184" s="461">
        <v>577</v>
      </c>
      <c r="E184" s="461">
        <v>22</v>
      </c>
      <c r="F184" s="461">
        <v>555</v>
      </c>
    </row>
    <row r="185" spans="1:6" hidden="1" x14ac:dyDescent="0.35">
      <c r="A185" s="461" t="s">
        <v>258</v>
      </c>
      <c r="B185" s="461" t="s">
        <v>2</v>
      </c>
      <c r="C185" s="461" t="s">
        <v>20</v>
      </c>
      <c r="D185" s="461">
        <v>8</v>
      </c>
      <c r="E185" s="461">
        <v>7</v>
      </c>
      <c r="F185" s="461">
        <v>1</v>
      </c>
    </row>
    <row r="186" spans="1:6" hidden="1" x14ac:dyDescent="0.35">
      <c r="A186" s="461" t="s">
        <v>258</v>
      </c>
      <c r="B186" s="461" t="s">
        <v>3</v>
      </c>
      <c r="C186" s="461" t="s">
        <v>78</v>
      </c>
      <c r="D186" s="461">
        <v>78</v>
      </c>
      <c r="E186" s="461">
        <v>58</v>
      </c>
      <c r="F186" s="461">
        <v>20</v>
      </c>
    </row>
    <row r="187" spans="1:6" hidden="1" x14ac:dyDescent="0.35">
      <c r="A187" s="461" t="s">
        <v>258</v>
      </c>
      <c r="B187" s="461" t="s">
        <v>300</v>
      </c>
      <c r="C187" s="461" t="s">
        <v>1002</v>
      </c>
      <c r="D187" s="461">
        <v>36</v>
      </c>
      <c r="E187" s="461">
        <v>4</v>
      </c>
      <c r="F187" s="461">
        <v>32</v>
      </c>
    </row>
    <row r="188" spans="1:6" hidden="1" x14ac:dyDescent="0.35">
      <c r="A188" s="461" t="s">
        <v>242</v>
      </c>
      <c r="B188" s="461" t="s">
        <v>2</v>
      </c>
      <c r="C188" s="461" t="s">
        <v>19</v>
      </c>
      <c r="D188" s="461">
        <v>5</v>
      </c>
      <c r="E188" s="461">
        <v>4</v>
      </c>
      <c r="F188" s="461">
        <v>1</v>
      </c>
    </row>
    <row r="189" spans="1:6" hidden="1" x14ac:dyDescent="0.35">
      <c r="A189" s="461" t="s">
        <v>242</v>
      </c>
      <c r="B189" s="461" t="s">
        <v>2</v>
      </c>
      <c r="C189" s="461" t="s">
        <v>20</v>
      </c>
      <c r="D189" s="461">
        <v>8</v>
      </c>
      <c r="E189" s="461">
        <v>7</v>
      </c>
      <c r="F189" s="461">
        <v>1</v>
      </c>
    </row>
    <row r="190" spans="1:6" hidden="1" x14ac:dyDescent="0.35">
      <c r="A190" s="461" t="s">
        <v>242</v>
      </c>
      <c r="B190" s="461" t="s">
        <v>2</v>
      </c>
      <c r="C190" s="461" t="s">
        <v>21</v>
      </c>
      <c r="D190" s="461">
        <v>43</v>
      </c>
      <c r="E190" s="461">
        <v>36</v>
      </c>
      <c r="F190" s="461">
        <v>7</v>
      </c>
    </row>
    <row r="191" spans="1:6" hidden="1" x14ac:dyDescent="0.35">
      <c r="A191" s="461" t="s">
        <v>242</v>
      </c>
      <c r="B191" s="461" t="s">
        <v>300</v>
      </c>
      <c r="C191" s="461" t="s">
        <v>21</v>
      </c>
      <c r="D191" s="461">
        <v>37</v>
      </c>
      <c r="E191" s="461">
        <v>5</v>
      </c>
      <c r="F191" s="461">
        <v>32</v>
      </c>
    </row>
    <row r="192" spans="1:6" x14ac:dyDescent="0.35">
      <c r="A192" s="461" t="s">
        <v>242</v>
      </c>
      <c r="B192" s="461" t="s">
        <v>301</v>
      </c>
      <c r="C192" s="461" t="s">
        <v>19</v>
      </c>
      <c r="D192" s="461">
        <v>74</v>
      </c>
      <c r="E192" s="461">
        <v>2</v>
      </c>
      <c r="F192" s="461">
        <v>72</v>
      </c>
    </row>
    <row r="193" spans="1:6" hidden="1" x14ac:dyDescent="0.35">
      <c r="A193" s="461" t="s">
        <v>241</v>
      </c>
      <c r="B193" s="461" t="s">
        <v>2</v>
      </c>
      <c r="C193" s="461" t="s">
        <v>18</v>
      </c>
      <c r="D193" s="461">
        <v>1</v>
      </c>
      <c r="E193" s="461">
        <v>1</v>
      </c>
      <c r="F193" s="461">
        <v>0</v>
      </c>
    </row>
    <row r="194" spans="1:6" hidden="1" x14ac:dyDescent="0.35">
      <c r="A194" s="461" t="s">
        <v>241</v>
      </c>
      <c r="B194" s="461" t="s">
        <v>2</v>
      </c>
      <c r="C194" s="461" t="s">
        <v>22</v>
      </c>
      <c r="D194" s="461">
        <v>27</v>
      </c>
      <c r="E194" s="461">
        <v>21</v>
      </c>
      <c r="F194" s="461">
        <v>6</v>
      </c>
    </row>
    <row r="195" spans="1:6" hidden="1" x14ac:dyDescent="0.35">
      <c r="A195" s="461" t="s">
        <v>241</v>
      </c>
      <c r="B195" s="461" t="s">
        <v>2</v>
      </c>
      <c r="C195" s="461" t="s">
        <v>21</v>
      </c>
      <c r="D195" s="461">
        <v>42</v>
      </c>
      <c r="E195" s="461">
        <v>36</v>
      </c>
      <c r="F195" s="461">
        <v>6</v>
      </c>
    </row>
    <row r="196" spans="1:6" hidden="1" x14ac:dyDescent="0.35">
      <c r="A196" s="461" t="s">
        <v>241</v>
      </c>
      <c r="B196" s="461" t="s">
        <v>3</v>
      </c>
      <c r="C196" s="461" t="s">
        <v>78</v>
      </c>
      <c r="D196" s="461">
        <v>84</v>
      </c>
      <c r="E196" s="461">
        <v>58</v>
      </c>
      <c r="F196" s="461">
        <v>26</v>
      </c>
    </row>
    <row r="197" spans="1:6" hidden="1" x14ac:dyDescent="0.35">
      <c r="A197" s="461" t="s">
        <v>773</v>
      </c>
      <c r="B197" s="461" t="s">
        <v>9</v>
      </c>
      <c r="C197" s="461" t="s">
        <v>22</v>
      </c>
      <c r="D197" s="461">
        <v>520</v>
      </c>
      <c r="E197" s="461">
        <v>20</v>
      </c>
      <c r="F197" s="461">
        <v>500</v>
      </c>
    </row>
    <row r="198" spans="1:6" hidden="1" x14ac:dyDescent="0.35">
      <c r="A198" s="461" t="s">
        <v>773</v>
      </c>
      <c r="B198" s="461" t="s">
        <v>3</v>
      </c>
      <c r="C198" s="461" t="s">
        <v>77</v>
      </c>
      <c r="D198" s="461">
        <v>47</v>
      </c>
      <c r="E198" s="461">
        <v>14</v>
      </c>
      <c r="F198" s="461">
        <v>33</v>
      </c>
    </row>
    <row r="199" spans="1:6" hidden="1" x14ac:dyDescent="0.35">
      <c r="A199" s="461" t="s">
        <v>773</v>
      </c>
      <c r="B199" s="461" t="s">
        <v>3</v>
      </c>
      <c r="C199" s="461" t="s">
        <v>80</v>
      </c>
      <c r="D199" s="461">
        <v>32</v>
      </c>
      <c r="E199" s="461">
        <v>20</v>
      </c>
      <c r="F199" s="461">
        <v>12</v>
      </c>
    </row>
    <row r="200" spans="1:6" hidden="1" x14ac:dyDescent="0.35">
      <c r="A200" s="461" t="s">
        <v>773</v>
      </c>
      <c r="B200" s="461" t="s">
        <v>3</v>
      </c>
      <c r="C200" s="461" t="s">
        <v>303</v>
      </c>
      <c r="D200" s="461">
        <v>63</v>
      </c>
      <c r="E200" s="461">
        <v>26</v>
      </c>
      <c r="F200" s="461">
        <v>37</v>
      </c>
    </row>
    <row r="201" spans="1:6" hidden="1" x14ac:dyDescent="0.35">
      <c r="A201" s="461" t="s">
        <v>773</v>
      </c>
      <c r="B201" s="461" t="s">
        <v>300</v>
      </c>
      <c r="C201" s="461" t="s">
        <v>21</v>
      </c>
      <c r="D201" s="461">
        <v>37</v>
      </c>
      <c r="E201" s="461">
        <v>5</v>
      </c>
      <c r="F201" s="461">
        <v>32</v>
      </c>
    </row>
    <row r="202" spans="1:6" hidden="1" x14ac:dyDescent="0.35">
      <c r="A202" s="461" t="s">
        <v>951</v>
      </c>
      <c r="B202" s="461" t="s">
        <v>2</v>
      </c>
      <c r="C202" s="461" t="s">
        <v>22</v>
      </c>
      <c r="D202" s="461">
        <v>31</v>
      </c>
      <c r="E202" s="461">
        <v>24</v>
      </c>
      <c r="F202" s="461">
        <v>7</v>
      </c>
    </row>
    <row r="203" spans="1:6" hidden="1" x14ac:dyDescent="0.35">
      <c r="A203" s="461" t="s">
        <v>951</v>
      </c>
      <c r="B203" s="461" t="s">
        <v>774</v>
      </c>
      <c r="C203" s="461" t="s">
        <v>21</v>
      </c>
      <c r="D203" s="461">
        <v>54</v>
      </c>
      <c r="E203" s="461">
        <v>11</v>
      </c>
      <c r="F203" s="461">
        <v>43</v>
      </c>
    </row>
    <row r="204" spans="1:6" hidden="1" x14ac:dyDescent="0.35">
      <c r="A204" s="461" t="s">
        <v>951</v>
      </c>
      <c r="B204" s="461" t="s">
        <v>3</v>
      </c>
      <c r="C204" s="461" t="s">
        <v>77</v>
      </c>
      <c r="D204" s="461">
        <v>50</v>
      </c>
      <c r="E204" s="461">
        <v>17</v>
      </c>
      <c r="F204" s="461">
        <v>33</v>
      </c>
    </row>
    <row r="205" spans="1:6" hidden="1" x14ac:dyDescent="0.35">
      <c r="A205" s="461" t="s">
        <v>951</v>
      </c>
      <c r="B205" s="461" t="s">
        <v>3</v>
      </c>
      <c r="C205" s="461" t="s">
        <v>80</v>
      </c>
      <c r="D205" s="461">
        <v>30</v>
      </c>
      <c r="E205" s="461">
        <v>19</v>
      </c>
      <c r="F205" s="461">
        <v>11</v>
      </c>
    </row>
    <row r="206" spans="1:6" hidden="1" x14ac:dyDescent="0.35">
      <c r="A206" s="461" t="s">
        <v>951</v>
      </c>
      <c r="B206" s="461" t="s">
        <v>301</v>
      </c>
      <c r="C206" s="461" t="s">
        <v>23</v>
      </c>
      <c r="D206" s="461">
        <v>2020</v>
      </c>
      <c r="E206" s="461">
        <v>150</v>
      </c>
      <c r="F206" s="461">
        <v>1870</v>
      </c>
    </row>
    <row r="207" spans="1:6" hidden="1" x14ac:dyDescent="0.35">
      <c r="A207" s="461" t="s">
        <v>951</v>
      </c>
      <c r="B207" s="461" t="s">
        <v>301</v>
      </c>
      <c r="C207" s="461" t="s">
        <v>20</v>
      </c>
      <c r="D207" s="461">
        <v>152</v>
      </c>
      <c r="E207" s="461">
        <v>7</v>
      </c>
      <c r="F207" s="461">
        <v>145</v>
      </c>
    </row>
  </sheetData>
  <pageMargins left="0.7" right="0.7" top="0.75" bottom="0.75" header="0.3" footer="0.3"/>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39997558519241921"/>
    <pageSetUpPr fitToPage="1"/>
  </sheetPr>
  <dimension ref="A1:I65"/>
  <sheetViews>
    <sheetView showGridLines="0" zoomScaleNormal="100" workbookViewId="0">
      <pane ySplit="2" topLeftCell="A3" activePane="bottomLeft" state="frozen"/>
      <selection pane="bottomLeft" sqref="A1:C1"/>
    </sheetView>
  </sheetViews>
  <sheetFormatPr defaultRowHeight="14.5" x14ac:dyDescent="0.35"/>
  <cols>
    <col min="1" max="1" width="36.81640625" customWidth="1"/>
    <col min="2" max="6" width="14" customWidth="1"/>
  </cols>
  <sheetData>
    <row r="1" spans="1:6" ht="15.5" x14ac:dyDescent="0.35">
      <c r="A1" s="1160" t="s">
        <v>439</v>
      </c>
      <c r="B1" s="1160"/>
      <c r="C1" s="1160"/>
    </row>
    <row r="2" spans="1:6" x14ac:dyDescent="0.35">
      <c r="A2" s="601" t="s">
        <v>509</v>
      </c>
    </row>
    <row r="3" spans="1:6" x14ac:dyDescent="0.35">
      <c r="A3" s="28"/>
      <c r="B3" s="28"/>
      <c r="C3" s="28"/>
      <c r="D3" s="28"/>
      <c r="E3" s="28"/>
      <c r="F3" s="28"/>
    </row>
    <row r="4" spans="1:6" ht="15.75" customHeight="1" x14ac:dyDescent="0.35">
      <c r="A4" s="1190" t="s">
        <v>454</v>
      </c>
      <c r="B4" s="1190"/>
      <c r="C4" s="1190"/>
      <c r="D4" s="1190"/>
      <c r="E4" s="1190"/>
      <c r="F4" s="1190"/>
    </row>
    <row r="5" spans="1:6" ht="15" customHeight="1" x14ac:dyDescent="0.35">
      <c r="A5" t="s">
        <v>320</v>
      </c>
      <c r="B5" t="s">
        <v>682</v>
      </c>
      <c r="C5" s="514"/>
      <c r="E5" s="514"/>
      <c r="F5" s="514"/>
    </row>
    <row r="6" spans="1:6" ht="15" customHeight="1" x14ac:dyDescent="0.35">
      <c r="A6" t="s">
        <v>321</v>
      </c>
      <c r="B6" t="s">
        <v>323</v>
      </c>
      <c r="C6" s="514"/>
      <c r="E6" s="514"/>
      <c r="F6" s="514"/>
    </row>
    <row r="7" spans="1:6" ht="15" customHeight="1" x14ac:dyDescent="0.35">
      <c r="A7" t="s">
        <v>322</v>
      </c>
      <c r="B7" t="s">
        <v>324</v>
      </c>
      <c r="C7" s="514"/>
      <c r="D7" s="514"/>
      <c r="E7" s="514"/>
      <c r="F7" s="514"/>
    </row>
    <row r="8" spans="1:6" ht="15.5" x14ac:dyDescent="0.35">
      <c r="A8" s="75"/>
      <c r="B8" s="124"/>
      <c r="C8" s="124"/>
      <c r="D8" s="444" t="s">
        <v>6</v>
      </c>
      <c r="E8" s="124"/>
      <c r="F8" s="125" t="s">
        <v>7</v>
      </c>
    </row>
    <row r="9" spans="1:6" x14ac:dyDescent="0.35">
      <c r="A9" s="580" t="s">
        <v>27</v>
      </c>
      <c r="B9" s="583" t="s">
        <v>85</v>
      </c>
      <c r="C9" s="583" t="s">
        <v>86</v>
      </c>
      <c r="D9" s="583" t="s">
        <v>26</v>
      </c>
      <c r="E9" s="584" t="s">
        <v>85</v>
      </c>
      <c r="F9" s="583" t="s">
        <v>86</v>
      </c>
    </row>
    <row r="10" spans="1:6" x14ac:dyDescent="0.35">
      <c r="A10" s="131" t="s">
        <v>856</v>
      </c>
      <c r="B10" s="133">
        <f>GETPIVOTDATA("Sum of Female",genderandrolepivot!$A$3,"Type","WT","PostConv","Brigade Manager")</f>
        <v>0</v>
      </c>
      <c r="C10" s="133">
        <f>GETPIVOTDATA("Sum of Male",genderandrolepivot!$A$3,"Type","WT","PostConv","Brigade Manager")</f>
        <v>5</v>
      </c>
      <c r="D10" s="581">
        <f>SUM(B10:C10)</f>
        <v>5</v>
      </c>
      <c r="E10" s="134">
        <f t="shared" ref="E10:E17" si="0">B10/(B10+C10)</f>
        <v>0</v>
      </c>
      <c r="F10" s="134">
        <f t="shared" ref="F10:F17" si="1">C10/(B10+C10)</f>
        <v>1</v>
      </c>
    </row>
    <row r="11" spans="1:6" x14ac:dyDescent="0.35">
      <c r="A11" s="131" t="s">
        <v>857</v>
      </c>
      <c r="B11" s="133">
        <f>GETPIVOTDATA("Sum of Female",genderandrolepivot!$A$3,"Type","WT","PostConv","Area Manager")</f>
        <v>0</v>
      </c>
      <c r="C11" s="133">
        <f>GETPIVOTDATA("Sum of Male",genderandrolepivot!$A$3,"Type","WT","PostConv","Area Manager")</f>
        <v>35</v>
      </c>
      <c r="D11" s="581">
        <f t="shared" ref="D11:D16" si="2">SUM(B11:C11)</f>
        <v>35</v>
      </c>
      <c r="E11" s="134">
        <f t="shared" si="0"/>
        <v>0</v>
      </c>
      <c r="F11" s="134">
        <f t="shared" si="1"/>
        <v>1</v>
      </c>
    </row>
    <row r="12" spans="1:6" x14ac:dyDescent="0.35">
      <c r="A12" s="131" t="s">
        <v>858</v>
      </c>
      <c r="B12" s="133">
        <f>GETPIVOTDATA("Sum of Female",genderandrolepivot!$A$3,"Type","WT","PostConv","Group Manager")</f>
        <v>2</v>
      </c>
      <c r="C12" s="133">
        <f>GETPIVOTDATA("Sum of Male",genderandrolepivot!$A$3,"Type","WT","PostConv","Group Manager")</f>
        <v>79</v>
      </c>
      <c r="D12" s="136">
        <f>SUM(B12:C12)</f>
        <v>81</v>
      </c>
      <c r="E12" s="134">
        <f t="shared" si="0"/>
        <v>2.4691358024691357E-2</v>
      </c>
      <c r="F12" s="134">
        <f t="shared" si="1"/>
        <v>0.97530864197530864</v>
      </c>
    </row>
    <row r="13" spans="1:6" x14ac:dyDescent="0.35">
      <c r="A13" s="131" t="s">
        <v>859</v>
      </c>
      <c r="B13" s="133">
        <f>GETPIVOTDATA("Sum of Female",genderandrolepivot!$A$3,"Type","WT","PostConv","Station Manager")</f>
        <v>7</v>
      </c>
      <c r="C13" s="133">
        <f>GETPIVOTDATA("Sum of Male",genderandrolepivot!$A$3,"Type","WT","PostConv","Station Manager")</f>
        <v>145</v>
      </c>
      <c r="D13" s="136">
        <f t="shared" si="2"/>
        <v>152</v>
      </c>
      <c r="E13" s="134">
        <f t="shared" si="0"/>
        <v>4.6052631578947366E-2</v>
      </c>
      <c r="F13" s="134">
        <f t="shared" si="1"/>
        <v>0.95394736842105265</v>
      </c>
    </row>
    <row r="14" spans="1:6" x14ac:dyDescent="0.35">
      <c r="A14" s="131" t="s">
        <v>860</v>
      </c>
      <c r="B14" s="133">
        <f>GETPIVOTDATA("Sum of Female",genderandrolepivot!$A$3,"Type","WT","PostConv","Watch Manager")</f>
        <v>31</v>
      </c>
      <c r="C14" s="133">
        <f>GETPIVOTDATA("Sum of Male",genderandrolepivot!$A$3,"Type","WT","PostConv","Watch Manager")</f>
        <v>573</v>
      </c>
      <c r="D14" s="136">
        <f t="shared" si="2"/>
        <v>604</v>
      </c>
      <c r="E14" s="134">
        <f t="shared" si="0"/>
        <v>5.1324503311258277E-2</v>
      </c>
      <c r="F14" s="134">
        <f t="shared" si="1"/>
        <v>0.94867549668874174</v>
      </c>
    </row>
    <row r="15" spans="1:6" x14ac:dyDescent="0.35">
      <c r="A15" s="131" t="s">
        <v>861</v>
      </c>
      <c r="B15" s="133">
        <f>GETPIVOTDATA("Sum of Female",genderandrolepivot!$A$3,"Type","WT","PostConv","Crew Manager")</f>
        <v>29</v>
      </c>
      <c r="C15" s="133">
        <f>GETPIVOTDATA("Sum of Male",genderandrolepivot!$A$3,"Type","WT","PostConv","Crew Manager")</f>
        <v>658</v>
      </c>
      <c r="D15" s="136">
        <f t="shared" si="2"/>
        <v>687</v>
      </c>
      <c r="E15" s="134">
        <f t="shared" si="0"/>
        <v>4.2212518195050945E-2</v>
      </c>
      <c r="F15" s="134">
        <f t="shared" si="1"/>
        <v>0.9577874818049491</v>
      </c>
    </row>
    <row r="16" spans="1:6" x14ac:dyDescent="0.35">
      <c r="A16" s="131" t="s">
        <v>23</v>
      </c>
      <c r="B16" s="133">
        <f>GETPIVOTDATA("Sum of Female",genderandrolepivot!$A$3,"Type","WT","PostConv","Firefighter")</f>
        <v>150</v>
      </c>
      <c r="C16" s="133">
        <f>GETPIVOTDATA("Sum of Male",genderandrolepivot!$A$3,"Type","WT","PostConv","Firefighter")</f>
        <v>1870</v>
      </c>
      <c r="D16" s="136">
        <f t="shared" si="2"/>
        <v>2020</v>
      </c>
      <c r="E16" s="134">
        <f t="shared" si="0"/>
        <v>7.4257425742574254E-2</v>
      </c>
      <c r="F16" s="134">
        <f t="shared" si="1"/>
        <v>0.92574257425742579</v>
      </c>
    </row>
    <row r="17" spans="1:6" ht="15" thickBot="1" x14ac:dyDescent="0.4">
      <c r="A17" s="138" t="s">
        <v>455</v>
      </c>
      <c r="B17" s="139">
        <f>SUM(B10:B16)</f>
        <v>219</v>
      </c>
      <c r="C17" s="139">
        <f>SUM(C10:C16)</f>
        <v>3365</v>
      </c>
      <c r="D17" s="139">
        <f>SUM(B17:C17)</f>
        <v>3584</v>
      </c>
      <c r="E17" s="140">
        <f t="shared" si="0"/>
        <v>6.1104910714285712E-2</v>
      </c>
      <c r="F17" s="140">
        <f t="shared" si="1"/>
        <v>0.9388950892857143</v>
      </c>
    </row>
    <row r="18" spans="1:6" x14ac:dyDescent="0.35">
      <c r="A18" s="132"/>
      <c r="B18" s="141"/>
      <c r="C18" s="141"/>
      <c r="D18" s="136"/>
      <c r="E18" s="143"/>
      <c r="F18" s="143"/>
    </row>
    <row r="19" spans="1:6" x14ac:dyDescent="0.35">
      <c r="A19" s="127" t="s">
        <v>28</v>
      </c>
      <c r="B19" s="144"/>
      <c r="C19" s="152"/>
      <c r="D19" s="136"/>
      <c r="E19" s="350"/>
      <c r="F19" s="350"/>
    </row>
    <row r="20" spans="1:6" x14ac:dyDescent="0.35">
      <c r="A20" s="131" t="s">
        <v>860</v>
      </c>
      <c r="B20" s="148">
        <f>GETPIVOTDATA("Sum of Female",genderandrolepivot!$A$3,"Type","RDS","PostConv","Watch Manager")</f>
        <v>14</v>
      </c>
      <c r="C20" s="347">
        <f>GETPIVOTDATA("Sum of Male",genderandrolepivot!$A$3,"Type","RDS","PostConv","Watch Manager")</f>
        <v>253</v>
      </c>
      <c r="D20" s="582">
        <f>SUM(B20:C20)</f>
        <v>267</v>
      </c>
      <c r="E20" s="349">
        <f>B20/(B20+C20)</f>
        <v>5.2434456928838954E-2</v>
      </c>
      <c r="F20" s="349">
        <f>C20/(B20+C20)</f>
        <v>0.94756554307116103</v>
      </c>
    </row>
    <row r="21" spans="1:6" x14ac:dyDescent="0.35">
      <c r="A21" s="131" t="s">
        <v>861</v>
      </c>
      <c r="B21" s="148">
        <f>GETPIVOTDATA("Sum of Female",genderandrolepivot!$A$3,"Type","RDS","PostConv","Crew Manager")</f>
        <v>16</v>
      </c>
      <c r="C21" s="148">
        <f>GETPIVOTDATA("Sum of Male",genderandrolepivot!$A$3,"Type","RDS","PostConv","Crew Manager")</f>
        <v>506</v>
      </c>
      <c r="D21" s="581">
        <f>SUM(B21:C21)</f>
        <v>522</v>
      </c>
      <c r="E21" s="134">
        <f>B21/(B21+C21)</f>
        <v>3.0651340996168581E-2</v>
      </c>
      <c r="F21" s="134">
        <f>C21/(B21+C21)</f>
        <v>0.96934865900383138</v>
      </c>
    </row>
    <row r="22" spans="1:6" x14ac:dyDescent="0.35">
      <c r="A22" s="131" t="s">
        <v>23</v>
      </c>
      <c r="B22" s="148">
        <f>GETPIVOTDATA("Sum of Female",genderandrolepivot!$A$3,"Type","RDS","PostConv","Firefighter")</f>
        <v>167</v>
      </c>
      <c r="C22" s="148">
        <f>GETPIVOTDATA("Sum of Male",genderandrolepivot!$A$3,"Type","RDS","PostConv","Firefighter")</f>
        <v>1916</v>
      </c>
      <c r="D22" s="581">
        <f>SUM(B22:C22)</f>
        <v>2083</v>
      </c>
      <c r="E22" s="134">
        <f>B22/(B22+C22)</f>
        <v>8.0172827652424394E-2</v>
      </c>
      <c r="F22" s="134">
        <f>C22/(B22+C22)</f>
        <v>0.91982717234757561</v>
      </c>
    </row>
    <row r="23" spans="1:6" ht="15" thickBot="1" x14ac:dyDescent="0.4">
      <c r="A23" s="138" t="s">
        <v>87</v>
      </c>
      <c r="B23" s="139">
        <f>SUM(B20:B22)</f>
        <v>197</v>
      </c>
      <c r="C23" s="139">
        <f>SUM(C20:C22)</f>
        <v>2675</v>
      </c>
      <c r="D23" s="139">
        <f>SUM(B23:C23)</f>
        <v>2872</v>
      </c>
      <c r="E23" s="140">
        <f>B23/(B23+C23)</f>
        <v>6.8593314763231203E-2</v>
      </c>
      <c r="F23" s="140">
        <f>C23/(B23+C23)</f>
        <v>0.93140668523676884</v>
      </c>
    </row>
    <row r="24" spans="1:6" x14ac:dyDescent="0.35">
      <c r="A24" s="807"/>
      <c r="B24" s="155"/>
      <c r="C24" s="155"/>
      <c r="D24" s="155"/>
      <c r="E24" s="808"/>
      <c r="F24" s="808"/>
    </row>
    <row r="25" spans="1:6" x14ac:dyDescent="0.35">
      <c r="A25" s="127" t="s">
        <v>849</v>
      </c>
      <c r="B25" s="1082"/>
      <c r="C25" s="1082"/>
      <c r="D25" s="1082"/>
      <c r="E25" s="1083"/>
      <c r="F25" s="1083"/>
    </row>
    <row r="26" spans="1:6" x14ac:dyDescent="0.35">
      <c r="A26" s="355" t="s">
        <v>860</v>
      </c>
      <c r="B26" s="1084">
        <f>IFERROR(GETPIVOTDATA("Sum of Female",genderandrolepivot!$A$3,"Type","RDS Fulltime","PostConv","Watch Manager"), "-")</f>
        <v>11</v>
      </c>
      <c r="C26" s="1084">
        <f>IFERROR(GETPIVOTDATA("Sum of Male",genderandrolepivot!$A$3,"Type","RDS Fulltime","PostConv","Watch Manager"), "-")</f>
        <v>43</v>
      </c>
      <c r="D26" s="1084">
        <f>SUM(B26:C26)</f>
        <v>54</v>
      </c>
      <c r="E26" s="134">
        <f>IFERROR(B26/(B26+C26), "-")</f>
        <v>0.20370370370370369</v>
      </c>
      <c r="F26" s="134">
        <f>IFERROR(C26/(C26+B26), "-")</f>
        <v>0.79629629629629628</v>
      </c>
    </row>
    <row r="27" spans="1:6" ht="15" thickBot="1" x14ac:dyDescent="0.4">
      <c r="A27" s="138" t="s">
        <v>17482</v>
      </c>
      <c r="B27" s="943">
        <f>B26</f>
        <v>11</v>
      </c>
      <c r="C27" s="943">
        <f t="shared" ref="C27:D27" si="3">C26</f>
        <v>43</v>
      </c>
      <c r="D27" s="943">
        <f t="shared" si="3"/>
        <v>54</v>
      </c>
      <c r="E27" s="1085">
        <f>IFERROR(B27/(B27+C27), "-")</f>
        <v>0.20370370370370369</v>
      </c>
      <c r="F27" s="1085">
        <f>IFERROR(C27/(C27+B27), "-")</f>
        <v>0.79629629629629628</v>
      </c>
    </row>
    <row r="28" spans="1:6" x14ac:dyDescent="0.35">
      <c r="A28" s="807"/>
      <c r="B28" s="155"/>
      <c r="C28" s="155"/>
      <c r="D28" s="155"/>
      <c r="E28" s="808"/>
      <c r="F28" s="808"/>
    </row>
    <row r="29" spans="1:6" x14ac:dyDescent="0.35">
      <c r="A29" s="127" t="s">
        <v>88</v>
      </c>
      <c r="B29" s="144"/>
      <c r="C29" s="144"/>
      <c r="D29" s="144"/>
      <c r="E29" s="144"/>
      <c r="F29" s="144"/>
    </row>
    <row r="30" spans="1:6" x14ac:dyDescent="0.35">
      <c r="A30" s="131" t="s">
        <v>857</v>
      </c>
      <c r="B30" s="135">
        <f>IFERROR(GETPIVOTDATA("Sum of Female",genderandrolepivot!$A$3,"Type","Control","PostConv","Area Manager"), "-")</f>
        <v>1</v>
      </c>
      <c r="C30" s="135">
        <f>IFERROR(GETPIVOTDATA("Sum of Male",genderandrolepivot!$A$3,"Type","Control","PostConv","Area Manager"), "-")</f>
        <v>0</v>
      </c>
      <c r="D30" s="581">
        <f t="shared" ref="D30:D36" si="4">SUM(B30:C30)</f>
        <v>1</v>
      </c>
      <c r="E30" s="134">
        <f>IFERROR(B30/(B30+C30),0)</f>
        <v>1</v>
      </c>
      <c r="F30" s="134">
        <f>IFERROR(C30/(B30+C30),0)</f>
        <v>0</v>
      </c>
    </row>
    <row r="31" spans="1:6" x14ac:dyDescent="0.35">
      <c r="A31" s="131" t="s">
        <v>858</v>
      </c>
      <c r="B31" s="135">
        <f>GETPIVOTDATA("Sum of Female",genderandrolepivot!$A$3,"Type","Control","PostConv","Group Manager")</f>
        <v>3</v>
      </c>
      <c r="C31" s="135">
        <f>GETPIVOTDATA("Sum of Male",genderandrolepivot!$A$3,"Type","Control","PostConv","Group Manager")</f>
        <v>1</v>
      </c>
      <c r="D31" s="581">
        <f t="shared" si="4"/>
        <v>4</v>
      </c>
      <c r="E31" s="134">
        <f t="shared" ref="E31:E36" si="5">B31/(B31+C31)</f>
        <v>0.75</v>
      </c>
      <c r="F31" s="134">
        <f t="shared" ref="F31:F36" si="6">C31/(B31+C31)</f>
        <v>0.25</v>
      </c>
    </row>
    <row r="32" spans="1:6" x14ac:dyDescent="0.35">
      <c r="A32" s="131" t="s">
        <v>859</v>
      </c>
      <c r="B32" s="135">
        <f>GETPIVOTDATA("Sum of Female",genderandrolepivot!$A$3,"Type","Control","PostConv","Station Manager")</f>
        <v>9</v>
      </c>
      <c r="C32" s="135">
        <f>GETPIVOTDATA("Sum of Male",genderandrolepivot!$A$3,"Type","Control","PostConv","Station Manager")</f>
        <v>1</v>
      </c>
      <c r="D32" s="581">
        <f t="shared" si="4"/>
        <v>10</v>
      </c>
      <c r="E32" s="134">
        <f t="shared" si="5"/>
        <v>0.9</v>
      </c>
      <c r="F32" s="134">
        <f t="shared" si="6"/>
        <v>0.1</v>
      </c>
    </row>
    <row r="33" spans="1:6" x14ac:dyDescent="0.35">
      <c r="A33" s="131" t="s">
        <v>861</v>
      </c>
      <c r="B33" s="135">
        <f>GETPIVOTDATA("Sum of Female",genderandrolepivot!$A$3,"Type","Control","PostConv","Crew Manager")</f>
        <v>24</v>
      </c>
      <c r="C33" s="135">
        <f>GETPIVOTDATA("Sum of Male",genderandrolepivot!$A$3,"Type","Control","PostConv","Crew Manager")</f>
        <v>7</v>
      </c>
      <c r="D33" s="581">
        <f t="shared" si="4"/>
        <v>31</v>
      </c>
      <c r="E33" s="134">
        <f t="shared" si="5"/>
        <v>0.77419354838709675</v>
      </c>
      <c r="F33" s="134">
        <f t="shared" si="6"/>
        <v>0.22580645161290322</v>
      </c>
    </row>
    <row r="34" spans="1:6" x14ac:dyDescent="0.35">
      <c r="A34" s="131" t="s">
        <v>860</v>
      </c>
      <c r="B34" s="135">
        <f>GETPIVOTDATA("Sum of Female",genderandrolepivot!$A$3,"Type","Control","PostConv","Watch Manager")</f>
        <v>35</v>
      </c>
      <c r="C34" s="135">
        <f>GETPIVOTDATA("Sum of Male",genderandrolepivot!$A$3,"Type","Control","PostConv","Watch Manager")</f>
        <v>6</v>
      </c>
      <c r="D34" s="581">
        <f t="shared" si="4"/>
        <v>41</v>
      </c>
      <c r="E34" s="134">
        <f t="shared" si="5"/>
        <v>0.85365853658536583</v>
      </c>
      <c r="F34" s="134">
        <f t="shared" si="6"/>
        <v>0.14634146341463414</v>
      </c>
    </row>
    <row r="35" spans="1:6" x14ac:dyDescent="0.35">
      <c r="A35" s="131" t="s">
        <v>76</v>
      </c>
      <c r="B35" s="135">
        <f>GETPIVOTDATA("Sum of Female",genderandrolepivot!$A$3,"Type","Control","PostConv","Firefighter")</f>
        <v>79</v>
      </c>
      <c r="C35" s="135">
        <f>GETPIVOTDATA("Sum of Male",genderandrolepivot!$A$3,"Type","Control","PostConv","Firefighter")</f>
        <v>16</v>
      </c>
      <c r="D35" s="581">
        <f t="shared" si="4"/>
        <v>95</v>
      </c>
      <c r="E35" s="134">
        <f t="shared" si="5"/>
        <v>0.83157894736842108</v>
      </c>
      <c r="F35" s="134">
        <f t="shared" si="6"/>
        <v>0.16842105263157894</v>
      </c>
    </row>
    <row r="36" spans="1:6" ht="15" thickBot="1" x14ac:dyDescent="0.4">
      <c r="A36" s="149" t="s">
        <v>89</v>
      </c>
      <c r="B36" s="139">
        <f>SUM(B30:B35)</f>
        <v>151</v>
      </c>
      <c r="C36" s="139">
        <f>SUM(C30:C35)</f>
        <v>31</v>
      </c>
      <c r="D36" s="139">
        <f t="shared" si="4"/>
        <v>182</v>
      </c>
      <c r="E36" s="140">
        <f t="shared" si="5"/>
        <v>0.82967032967032972</v>
      </c>
      <c r="F36" s="140">
        <f t="shared" si="6"/>
        <v>0.17032967032967034</v>
      </c>
    </row>
    <row r="37" spans="1:6" x14ac:dyDescent="0.35">
      <c r="A37" s="132"/>
      <c r="B37" s="141"/>
      <c r="C37" s="141"/>
      <c r="D37" s="136"/>
      <c r="E37" s="143"/>
      <c r="F37" s="143"/>
    </row>
    <row r="38" spans="1:6" x14ac:dyDescent="0.35">
      <c r="A38" s="150" t="s">
        <v>83</v>
      </c>
      <c r="B38" s="128"/>
      <c r="C38" s="136"/>
      <c r="D38" s="136"/>
      <c r="E38" s="350"/>
      <c r="F38" s="350"/>
    </row>
    <row r="39" spans="1:6" x14ac:dyDescent="0.35">
      <c r="A39" s="131" t="s">
        <v>199</v>
      </c>
      <c r="B39" s="142">
        <f>GETPIVOTDATA("Sum of Female",genderandrolepivot!$A$3,"Type","Support","PostConv","Director")</f>
        <v>2</v>
      </c>
      <c r="C39" s="348">
        <f>GETPIVOTDATA("Sum of Male",genderandrolepivot!$A$3,"Type","Support","PostConv","Director")</f>
        <v>1</v>
      </c>
      <c r="D39" s="351">
        <f>SUM(B39:C39)</f>
        <v>3</v>
      </c>
      <c r="E39" s="349">
        <f t="shared" ref="E39:E45" si="7">B39/(B39+C39)</f>
        <v>0.66666666666666663</v>
      </c>
      <c r="F39" s="349">
        <f t="shared" ref="F39:F45" si="8">C39/(B39+C39)</f>
        <v>0.33333333333333331</v>
      </c>
    </row>
    <row r="40" spans="1:6" x14ac:dyDescent="0.35">
      <c r="A40" s="131" t="s">
        <v>77</v>
      </c>
      <c r="B40" s="142">
        <f>GETPIVOTDATA("Sum of Female",genderandrolepivot!$A$3,"Type","Support","PostConv","Service Manager")</f>
        <v>17</v>
      </c>
      <c r="C40" s="142">
        <f>GETPIVOTDATA("Sum of Male",genderandrolepivot!$A$3,"Type","Support","PostConv","Service Manager")</f>
        <v>33</v>
      </c>
      <c r="D40" s="136">
        <f t="shared" ref="D40:D45" si="9">SUM(B40:C40)</f>
        <v>50</v>
      </c>
      <c r="E40" s="134">
        <f t="shared" si="7"/>
        <v>0.34</v>
      </c>
      <c r="F40" s="134">
        <f t="shared" si="8"/>
        <v>0.66</v>
      </c>
    </row>
    <row r="41" spans="1:6" x14ac:dyDescent="0.35">
      <c r="A41" s="131" t="s">
        <v>80</v>
      </c>
      <c r="B41" s="142">
        <f>GETPIVOTDATA("Sum of Female",genderandrolepivot!$A$3,"Type","Support","PostConv","Team Leader")</f>
        <v>19</v>
      </c>
      <c r="C41" s="142">
        <f>GETPIVOTDATA("Sum of Male",genderandrolepivot!$A$3,"Type","Support","PostConv","Team Leader")</f>
        <v>11</v>
      </c>
      <c r="D41" s="136">
        <f t="shared" si="9"/>
        <v>30</v>
      </c>
      <c r="E41" s="134">
        <f t="shared" si="7"/>
        <v>0.6333333333333333</v>
      </c>
      <c r="F41" s="134">
        <f t="shared" si="8"/>
        <v>0.36666666666666664</v>
      </c>
    </row>
    <row r="42" spans="1:6" x14ac:dyDescent="0.35">
      <c r="A42" s="131" t="s">
        <v>79</v>
      </c>
      <c r="B42" s="142">
        <f>GETPIVOTDATA("Sum of Female",genderandrolepivot!$A$3,"Type","Support","PostConv","Tech Support")</f>
        <v>23</v>
      </c>
      <c r="C42" s="142">
        <f>GETPIVOTDATA("Sum of Male",genderandrolepivot!$A$3,"Type","Support","PostConv","Tech Support")</f>
        <v>38</v>
      </c>
      <c r="D42" s="136">
        <f t="shared" si="9"/>
        <v>61</v>
      </c>
      <c r="E42" s="134">
        <f t="shared" si="7"/>
        <v>0.37704918032786883</v>
      </c>
      <c r="F42" s="134">
        <f t="shared" si="8"/>
        <v>0.62295081967213117</v>
      </c>
    </row>
    <row r="43" spans="1:6" x14ac:dyDescent="0.35">
      <c r="A43" s="131" t="s">
        <v>78</v>
      </c>
      <c r="B43" s="142">
        <f>GETPIVOTDATA("Sum of Female",genderandrolepivot!$A$3,"Type","Support","PostConv","Professional")</f>
        <v>61</v>
      </c>
      <c r="C43" s="142">
        <f>GETPIVOTDATA("Sum of Male",genderandrolepivot!$A$3,"Type","Support","PostConv","Professional")</f>
        <v>30</v>
      </c>
      <c r="D43" s="136">
        <f t="shared" si="9"/>
        <v>91</v>
      </c>
      <c r="E43" s="134">
        <f t="shared" si="7"/>
        <v>0.67032967032967028</v>
      </c>
      <c r="F43" s="134">
        <f t="shared" si="8"/>
        <v>0.32967032967032966</v>
      </c>
    </row>
    <row r="44" spans="1:6" x14ac:dyDescent="0.35">
      <c r="A44" s="131" t="s">
        <v>90</v>
      </c>
      <c r="B44" s="142">
        <f>GETPIVOTDATA("Sum of Female",genderandrolepivot!$A$3,"Type","Support","PostConv","Specialist Technical")</f>
        <v>161</v>
      </c>
      <c r="C44" s="142">
        <f>GETPIVOTDATA("Sum of Male",genderandrolepivot!$A$3,"Type","Support","PostConv","Specialist Technical")</f>
        <v>253</v>
      </c>
      <c r="D44" s="136">
        <f t="shared" si="9"/>
        <v>414</v>
      </c>
      <c r="E44" s="134">
        <f t="shared" si="7"/>
        <v>0.3888888888888889</v>
      </c>
      <c r="F44" s="134">
        <f t="shared" si="8"/>
        <v>0.61111111111111116</v>
      </c>
    </row>
    <row r="45" spans="1:6" x14ac:dyDescent="0.35">
      <c r="A45" s="131" t="s">
        <v>91</v>
      </c>
      <c r="B45" s="142">
        <f>GETPIVOTDATA("Sum of Female",genderandrolepivot!$A$3,"Type","Support","PostConv","Administration")</f>
        <v>178</v>
      </c>
      <c r="C45" s="142">
        <f>GETPIVOTDATA("Sum of Male",genderandrolepivot!$A$3,"Type","Support","PostConv","Administration")</f>
        <v>9</v>
      </c>
      <c r="D45" s="136">
        <f t="shared" si="9"/>
        <v>187</v>
      </c>
      <c r="E45" s="134">
        <f t="shared" si="7"/>
        <v>0.95187165775401072</v>
      </c>
      <c r="F45" s="134">
        <f t="shared" si="8"/>
        <v>4.8128342245989303E-2</v>
      </c>
    </row>
    <row r="46" spans="1:6" ht="15" thickBot="1" x14ac:dyDescent="0.4">
      <c r="A46" s="149" t="s">
        <v>92</v>
      </c>
      <c r="B46" s="139">
        <f>SUM(B39:B45)</f>
        <v>461</v>
      </c>
      <c r="C46" s="139">
        <f>SUM(C39:C45)</f>
        <v>375</v>
      </c>
      <c r="D46" s="139">
        <f>SUM(B46:C46)</f>
        <v>836</v>
      </c>
      <c r="E46" s="140">
        <f>B46/(B46+C46)</f>
        <v>0.55143540669856461</v>
      </c>
      <c r="F46" s="140">
        <f>C46/(B46+C46)</f>
        <v>0.44856459330143539</v>
      </c>
    </row>
    <row r="47" spans="1:6" x14ac:dyDescent="0.35">
      <c r="A47" s="28"/>
      <c r="B47" s="152"/>
      <c r="C47" s="152"/>
      <c r="D47" s="136"/>
      <c r="E47" s="143"/>
      <c r="F47" s="143"/>
    </row>
    <row r="48" spans="1:6" x14ac:dyDescent="0.35">
      <c r="A48" s="150" t="s">
        <v>29</v>
      </c>
      <c r="B48" s="144"/>
      <c r="C48" s="152"/>
      <c r="D48" s="136"/>
      <c r="E48" s="350"/>
      <c r="F48" s="350"/>
    </row>
    <row r="49" spans="1:9" x14ac:dyDescent="0.35">
      <c r="A49" s="137" t="s">
        <v>211</v>
      </c>
      <c r="B49" s="141">
        <f>GETPIVOTDATA("Sum of Female",genderandrolepivot!$A$3,"Type","Vol","PostConv","Crew Manager")</f>
        <v>3</v>
      </c>
      <c r="C49" s="352">
        <f>GETPIVOTDATA("Sum of Male",genderandrolepivot!$A$3,"Type","Vol","PostConv","Crew Manager")</f>
        <v>40</v>
      </c>
      <c r="D49" s="353">
        <f>SUM(B49:C49)</f>
        <v>43</v>
      </c>
      <c r="E49" s="349">
        <f>B49/(B49+C49)</f>
        <v>6.9767441860465115E-2</v>
      </c>
      <c r="F49" s="349">
        <f>C49/(B49+C49)</f>
        <v>0.93023255813953487</v>
      </c>
    </row>
    <row r="50" spans="1:9" x14ac:dyDescent="0.35">
      <c r="A50" s="137" t="s">
        <v>1008</v>
      </c>
      <c r="B50" s="141">
        <f>GETPIVOTDATA("Sum of Female",genderandrolepivot!$A$3,"Type","Vol","PostConv","Watch Manager")</f>
        <v>5</v>
      </c>
      <c r="C50" s="141">
        <f>GETPIVOTDATA("Sum of Male",genderandrolepivot!$A$3,"Type","Vol","PostConv","Watch Manager")</f>
        <v>32</v>
      </c>
      <c r="D50" s="153">
        <f t="shared" ref="D50:D51" si="10">SUM(B50:C50)</f>
        <v>37</v>
      </c>
      <c r="E50" s="134">
        <f>B50/(B50+C50)</f>
        <v>0.13513513513513514</v>
      </c>
      <c r="F50" s="134">
        <f>C50/(B50+C50)</f>
        <v>0.86486486486486491</v>
      </c>
    </row>
    <row r="51" spans="1:9" x14ac:dyDescent="0.35">
      <c r="A51" s="137" t="s">
        <v>212</v>
      </c>
      <c r="B51" s="141">
        <f>GETPIVOTDATA("Sum of Female",genderandrolepivot!$A$3,"Type","Vol","PostConv","Firefighter")</f>
        <v>44</v>
      </c>
      <c r="C51" s="141">
        <f>GETPIVOTDATA("Sum of Male",genderandrolepivot!$A$3,"Type","Vol","PostConv","Firefighter")</f>
        <v>179</v>
      </c>
      <c r="D51" s="153">
        <f t="shared" si="10"/>
        <v>223</v>
      </c>
      <c r="E51" s="134">
        <f>B51/(B51+C51)</f>
        <v>0.19730941704035873</v>
      </c>
      <c r="F51" s="134">
        <f>C51/(B51+C51)</f>
        <v>0.80269058295964124</v>
      </c>
    </row>
    <row r="52" spans="1:9" ht="15" thickBot="1" x14ac:dyDescent="0.4">
      <c r="A52" s="149" t="s">
        <v>93</v>
      </c>
      <c r="B52" s="139">
        <f>SUM(B49:B51)</f>
        <v>52</v>
      </c>
      <c r="C52" s="139">
        <f>SUM(C49:C51)</f>
        <v>251</v>
      </c>
      <c r="D52" s="139">
        <f>SUM(B52:C52)</f>
        <v>303</v>
      </c>
      <c r="E52" s="140">
        <f>B52/(B52+C52)</f>
        <v>0.17161716171617161</v>
      </c>
      <c r="F52" s="140">
        <f>C52/(B52+C52)</f>
        <v>0.82838283828382842</v>
      </c>
    </row>
    <row r="53" spans="1:9" x14ac:dyDescent="0.35">
      <c r="A53" s="154"/>
      <c r="B53" s="155"/>
      <c r="C53" s="155"/>
      <c r="D53" s="156"/>
      <c r="E53" s="157"/>
      <c r="F53" s="157"/>
    </row>
    <row r="54" spans="1:9" ht="15" thickBot="1" x14ac:dyDescent="0.4">
      <c r="A54" s="158" t="s">
        <v>94</v>
      </c>
      <c r="B54" s="159">
        <f>IFERROR(B52+B46+B36+B23+B17+B27, B52+B46+B36+B23+B17)</f>
        <v>1091</v>
      </c>
      <c r="C54" s="159">
        <f>IFERROR(C52+C46+C36+C23+C17+C27, C52+C46+C36+C23+C17)</f>
        <v>6740</v>
      </c>
      <c r="D54" s="159">
        <f>D52+D46+D36+D23+D17+D27</f>
        <v>7831</v>
      </c>
      <c r="E54" s="140">
        <f>B54/(B54+C54)</f>
        <v>0.13931809475162815</v>
      </c>
      <c r="F54" s="140">
        <f>C54/(B54+C54)</f>
        <v>0.86068190524837185</v>
      </c>
    </row>
    <row r="55" spans="1:9" x14ac:dyDescent="0.35">
      <c r="A55" s="160"/>
      <c r="B55" s="161"/>
      <c r="C55" s="161"/>
      <c r="D55" s="161"/>
      <c r="E55" s="157"/>
      <c r="F55" s="157"/>
    </row>
    <row r="56" spans="1:9" ht="15" thickBot="1" x14ac:dyDescent="0.4">
      <c r="A56" s="162" t="s">
        <v>95</v>
      </c>
      <c r="B56" s="159">
        <f>B54-B52</f>
        <v>1039</v>
      </c>
      <c r="C56" s="159">
        <f>C54-C52</f>
        <v>6489</v>
      </c>
      <c r="D56" s="139">
        <f>SUM(B56:C56)</f>
        <v>7528</v>
      </c>
      <c r="E56" s="140">
        <f>B56/(B56+C56)</f>
        <v>0.13801806588735388</v>
      </c>
      <c r="F56" s="140">
        <f>C56/(B56+C56)</f>
        <v>0.86198193411264612</v>
      </c>
    </row>
    <row r="57" spans="1:9" x14ac:dyDescent="0.35">
      <c r="A57" s="163"/>
      <c r="B57" s="163"/>
      <c r="C57" s="163"/>
      <c r="D57" s="164"/>
      <c r="E57" s="165" t="s">
        <v>96</v>
      </c>
      <c r="F57" s="28"/>
    </row>
    <row r="58" spans="1:9" x14ac:dyDescent="0.35">
      <c r="A58" s="390" t="s">
        <v>8</v>
      </c>
      <c r="B58" s="399"/>
      <c r="C58" s="399"/>
      <c r="D58" s="400"/>
      <c r="E58" s="401"/>
      <c r="F58" s="397"/>
      <c r="G58" s="397"/>
    </row>
    <row r="59" spans="1:9" ht="29.25" customHeight="1" x14ac:dyDescent="0.35">
      <c r="A59" s="1159" t="s">
        <v>946</v>
      </c>
      <c r="B59" s="1159"/>
      <c r="C59" s="1159"/>
      <c r="D59" s="1159"/>
      <c r="E59" s="1159"/>
      <c r="F59" s="1159"/>
      <c r="G59" s="1159"/>
    </row>
    <row r="60" spans="1:9" ht="48.75" customHeight="1" x14ac:dyDescent="0.35">
      <c r="A60" s="1180" t="s">
        <v>863</v>
      </c>
      <c r="B60" s="1180"/>
      <c r="C60" s="1180"/>
      <c r="D60" s="1180"/>
      <c r="E60" s="1180"/>
      <c r="F60" s="1180"/>
      <c r="G60" s="1180"/>
      <c r="H60" s="741"/>
      <c r="I60" s="741"/>
    </row>
    <row r="61" spans="1:9" ht="45" customHeight="1" x14ac:dyDescent="0.35">
      <c r="A61" s="1179" t="s">
        <v>216</v>
      </c>
      <c r="B61" s="1179"/>
      <c r="C61" s="1179"/>
      <c r="D61" s="1179"/>
      <c r="E61" s="1179"/>
      <c r="F61" s="1179"/>
      <c r="G61" s="1179"/>
    </row>
    <row r="62" spans="1:9" ht="18" customHeight="1" x14ac:dyDescent="0.35">
      <c r="A62" s="1179" t="s">
        <v>17483</v>
      </c>
      <c r="B62" s="1179"/>
      <c r="C62" s="1179"/>
      <c r="D62" s="998"/>
      <c r="E62" s="998"/>
      <c r="F62" s="998"/>
      <c r="G62" s="998"/>
    </row>
    <row r="63" spans="1:9" ht="30" customHeight="1" x14ac:dyDescent="0.35">
      <c r="A63" s="1191" t="s">
        <v>217</v>
      </c>
      <c r="B63" s="1191"/>
      <c r="C63" s="1191"/>
      <c r="D63" s="1191"/>
      <c r="E63" s="1191"/>
      <c r="F63" s="1191"/>
      <c r="G63" s="397"/>
    </row>
    <row r="64" spans="1:9" ht="45" customHeight="1" x14ac:dyDescent="0.35">
      <c r="A64" s="1192" t="s">
        <v>218</v>
      </c>
      <c r="B64" s="1192"/>
      <c r="C64" s="1192"/>
      <c r="D64" s="1192"/>
      <c r="E64" s="1192"/>
      <c r="F64" s="1192"/>
      <c r="G64" s="397"/>
    </row>
    <row r="65" spans="1:1" x14ac:dyDescent="0.35">
      <c r="A65" s="688" t="s">
        <v>732</v>
      </c>
    </row>
  </sheetData>
  <sheetProtection algorithmName="SHA-512" hashValue="T4U5rOQx6JS8zqIVq19T+CVqpr86Wm/QMUfKVwzEXWgQYPfY7YgNRvy6pptflmBQ/9JXGV0qhCAX5OoW3j2mFQ==" saltValue="8uNx6o3T4KubMfg6xA4jbQ==" spinCount="100000" sheet="1" scenarios="1" formatCells="0" formatColumns="0" formatRows="0" sort="0" autoFilter="0" pivotTables="0"/>
  <mergeCells count="8">
    <mergeCell ref="A1:C1"/>
    <mergeCell ref="A60:G60"/>
    <mergeCell ref="A4:F4"/>
    <mergeCell ref="A63:F63"/>
    <mergeCell ref="A64:F64"/>
    <mergeCell ref="A61:G61"/>
    <mergeCell ref="A59:G59"/>
    <mergeCell ref="A62:C62"/>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3" orientation="portrait"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G36"/>
  <sheetViews>
    <sheetView workbookViewId="0">
      <selection activeCell="B36" sqref="B36"/>
    </sheetView>
  </sheetViews>
  <sheetFormatPr defaultRowHeight="14.5" x14ac:dyDescent="0.35"/>
  <cols>
    <col min="1" max="1" width="20.36328125" bestFit="1" customWidth="1"/>
    <col min="2" max="2" width="16.453125" bestFit="1" customWidth="1"/>
    <col min="3" max="3" width="28.26953125" bestFit="1" customWidth="1"/>
    <col min="4" max="4" width="23.90625" bestFit="1" customWidth="1"/>
    <col min="5" max="5" width="14.6328125" bestFit="1" customWidth="1"/>
    <col min="6" max="6" width="15.54296875" bestFit="1" customWidth="1"/>
    <col min="7" max="7" width="11.36328125" bestFit="1" customWidth="1"/>
  </cols>
  <sheetData>
    <row r="1" spans="1:7" x14ac:dyDescent="0.35">
      <c r="A1" s="459" t="s">
        <v>1</v>
      </c>
      <c r="B1" t="s">
        <v>951</v>
      </c>
    </row>
    <row r="3" spans="1:7" x14ac:dyDescent="0.35">
      <c r="A3" s="459" t="s">
        <v>234</v>
      </c>
      <c r="B3" t="s">
        <v>313</v>
      </c>
      <c r="C3" t="s">
        <v>316</v>
      </c>
      <c r="D3" t="s">
        <v>317</v>
      </c>
      <c r="E3" t="s">
        <v>314</v>
      </c>
      <c r="F3" t="s">
        <v>315</v>
      </c>
      <c r="G3" t="s">
        <v>240</v>
      </c>
    </row>
    <row r="4" spans="1:7" x14ac:dyDescent="0.35">
      <c r="A4" s="1000" t="s">
        <v>31</v>
      </c>
      <c r="B4" s="461">
        <v>3</v>
      </c>
      <c r="C4" s="461"/>
      <c r="D4" s="461"/>
      <c r="E4" s="461">
        <v>1</v>
      </c>
      <c r="F4" s="461"/>
      <c r="G4" s="461">
        <v>4</v>
      </c>
    </row>
    <row r="5" spans="1:7" x14ac:dyDescent="0.35">
      <c r="A5" s="1000" t="s">
        <v>32</v>
      </c>
      <c r="B5" s="461"/>
      <c r="C5" s="461">
        <v>1</v>
      </c>
      <c r="D5" s="461"/>
      <c r="E5" s="461">
        <v>23</v>
      </c>
      <c r="F5" s="461"/>
      <c r="G5" s="461">
        <v>24</v>
      </c>
    </row>
    <row r="6" spans="1:7" x14ac:dyDescent="0.35">
      <c r="A6" s="1000" t="s">
        <v>33</v>
      </c>
      <c r="B6" s="461"/>
      <c r="C6" s="461">
        <v>1</v>
      </c>
      <c r="D6" s="461"/>
      <c r="E6" s="461">
        <v>5</v>
      </c>
      <c r="F6" s="461"/>
      <c r="G6" s="461">
        <v>6</v>
      </c>
    </row>
    <row r="7" spans="1:7" x14ac:dyDescent="0.35">
      <c r="A7" s="1000" t="s">
        <v>34</v>
      </c>
      <c r="B7" s="461"/>
      <c r="C7" s="461">
        <v>2</v>
      </c>
      <c r="D7" s="461"/>
      <c r="E7" s="461">
        <v>12</v>
      </c>
      <c r="F7" s="461">
        <v>25</v>
      </c>
      <c r="G7" s="461">
        <v>39</v>
      </c>
    </row>
    <row r="8" spans="1:7" x14ac:dyDescent="0.35">
      <c r="A8" s="1000" t="s">
        <v>245</v>
      </c>
      <c r="B8" s="461">
        <v>7</v>
      </c>
      <c r="C8" s="461"/>
      <c r="D8" s="461"/>
      <c r="E8" s="461">
        <v>1</v>
      </c>
      <c r="F8" s="461"/>
      <c r="G8" s="461">
        <v>8</v>
      </c>
    </row>
    <row r="9" spans="1:7" x14ac:dyDescent="0.35">
      <c r="A9" s="1000" t="s">
        <v>35</v>
      </c>
      <c r="B9" s="461"/>
      <c r="C9" s="461">
        <v>1</v>
      </c>
      <c r="D9" s="461"/>
      <c r="E9" s="461">
        <v>1</v>
      </c>
      <c r="F9" s="461"/>
      <c r="G9" s="461">
        <v>2</v>
      </c>
    </row>
    <row r="10" spans="1:7" x14ac:dyDescent="0.35">
      <c r="A10" s="1000" t="s">
        <v>36</v>
      </c>
      <c r="B10" s="461"/>
      <c r="C10" s="461">
        <v>1</v>
      </c>
      <c r="D10" s="461"/>
      <c r="E10" s="461">
        <v>15</v>
      </c>
      <c r="F10" s="461">
        <v>1</v>
      </c>
      <c r="G10" s="461">
        <v>17</v>
      </c>
    </row>
    <row r="11" spans="1:7" x14ac:dyDescent="0.35">
      <c r="A11" s="1000" t="s">
        <v>37</v>
      </c>
      <c r="B11" s="461">
        <v>3</v>
      </c>
      <c r="C11" s="461">
        <v>1</v>
      </c>
      <c r="D11" s="461"/>
      <c r="E11" s="461"/>
      <c r="F11" s="461"/>
      <c r="G11" s="461">
        <v>4</v>
      </c>
    </row>
    <row r="12" spans="1:7" x14ac:dyDescent="0.35">
      <c r="A12" s="1000" t="s">
        <v>38</v>
      </c>
      <c r="B12" s="461">
        <v>1</v>
      </c>
      <c r="C12" s="461"/>
      <c r="D12" s="461"/>
      <c r="E12" s="461">
        <v>7</v>
      </c>
      <c r="F12" s="461"/>
      <c r="G12" s="461">
        <v>8</v>
      </c>
    </row>
    <row r="13" spans="1:7" x14ac:dyDescent="0.35">
      <c r="A13" s="1000" t="s">
        <v>39</v>
      </c>
      <c r="B13" s="461">
        <v>3</v>
      </c>
      <c r="C13" s="461"/>
      <c r="D13" s="461"/>
      <c r="E13" s="461"/>
      <c r="F13" s="461"/>
      <c r="G13" s="461">
        <v>3</v>
      </c>
    </row>
    <row r="14" spans="1:7" x14ac:dyDescent="0.35">
      <c r="A14" s="1000" t="s">
        <v>40</v>
      </c>
      <c r="B14" s="461">
        <v>1</v>
      </c>
      <c r="C14" s="461"/>
      <c r="D14" s="461"/>
      <c r="E14" s="461">
        <v>5</v>
      </c>
      <c r="F14" s="461"/>
      <c r="G14" s="461">
        <v>6</v>
      </c>
    </row>
    <row r="15" spans="1:7" x14ac:dyDescent="0.35">
      <c r="A15" s="1000" t="s">
        <v>41</v>
      </c>
      <c r="B15" s="461">
        <v>2</v>
      </c>
      <c r="C15" s="461"/>
      <c r="D15" s="461"/>
      <c r="E15" s="461"/>
      <c r="F15" s="461"/>
      <c r="G15" s="461">
        <v>2</v>
      </c>
    </row>
    <row r="16" spans="1:7" x14ac:dyDescent="0.35">
      <c r="A16" s="1000" t="s">
        <v>42</v>
      </c>
      <c r="B16" s="461"/>
      <c r="C16" s="461">
        <v>3</v>
      </c>
      <c r="D16" s="461"/>
      <c r="E16" s="461">
        <v>2</v>
      </c>
      <c r="F16" s="461"/>
      <c r="G16" s="461">
        <v>5</v>
      </c>
    </row>
    <row r="17" spans="1:7" x14ac:dyDescent="0.35">
      <c r="A17" s="1000" t="s">
        <v>43</v>
      </c>
      <c r="B17" s="461">
        <v>5</v>
      </c>
      <c r="C17" s="461"/>
      <c r="D17" s="461"/>
      <c r="E17" s="461">
        <v>8</v>
      </c>
      <c r="F17" s="461"/>
      <c r="G17" s="461">
        <v>13</v>
      </c>
    </row>
    <row r="18" spans="1:7" x14ac:dyDescent="0.35">
      <c r="A18" s="1000" t="s">
        <v>114</v>
      </c>
      <c r="B18" s="461">
        <v>11</v>
      </c>
      <c r="C18" s="461"/>
      <c r="D18" s="461"/>
      <c r="E18" s="461"/>
      <c r="F18" s="461"/>
      <c r="G18" s="461">
        <v>11</v>
      </c>
    </row>
    <row r="19" spans="1:7" x14ac:dyDescent="0.35">
      <c r="A19" s="1000" t="s">
        <v>44</v>
      </c>
      <c r="B19" s="461"/>
      <c r="C19" s="461">
        <v>1</v>
      </c>
      <c r="D19" s="461"/>
      <c r="E19" s="461">
        <v>51</v>
      </c>
      <c r="F19" s="461">
        <v>9</v>
      </c>
      <c r="G19" s="461">
        <v>61</v>
      </c>
    </row>
    <row r="20" spans="1:7" x14ac:dyDescent="0.35">
      <c r="A20" s="1000" t="s">
        <v>45</v>
      </c>
      <c r="B20" s="461"/>
      <c r="C20" s="461">
        <v>2</v>
      </c>
      <c r="D20" s="461"/>
      <c r="E20" s="461">
        <v>1</v>
      </c>
      <c r="F20" s="461"/>
      <c r="G20" s="461">
        <v>3</v>
      </c>
    </row>
    <row r="21" spans="1:7" x14ac:dyDescent="0.35">
      <c r="A21" s="1000" t="s">
        <v>46</v>
      </c>
      <c r="B21" s="461">
        <v>1</v>
      </c>
      <c r="C21" s="461"/>
      <c r="D21" s="461"/>
      <c r="E21" s="461">
        <v>1</v>
      </c>
      <c r="F21" s="461"/>
      <c r="G21" s="461">
        <v>2</v>
      </c>
    </row>
    <row r="22" spans="1:7" x14ac:dyDescent="0.35">
      <c r="A22" s="1000" t="s">
        <v>47</v>
      </c>
      <c r="B22" s="461"/>
      <c r="C22" s="461">
        <v>1</v>
      </c>
      <c r="D22" s="461"/>
      <c r="E22" s="461">
        <v>10</v>
      </c>
      <c r="F22" s="461">
        <v>1</v>
      </c>
      <c r="G22" s="461">
        <v>12</v>
      </c>
    </row>
    <row r="23" spans="1:7" x14ac:dyDescent="0.35">
      <c r="A23" s="1000" t="s">
        <v>48</v>
      </c>
      <c r="B23" s="461"/>
      <c r="C23" s="461"/>
      <c r="D23" s="461"/>
      <c r="E23" s="461">
        <v>14</v>
      </c>
      <c r="F23" s="461"/>
      <c r="G23" s="461">
        <v>14</v>
      </c>
    </row>
    <row r="24" spans="1:7" x14ac:dyDescent="0.35">
      <c r="A24" s="1000" t="s">
        <v>49</v>
      </c>
      <c r="B24" s="461">
        <v>1</v>
      </c>
      <c r="C24" s="461">
        <v>2</v>
      </c>
      <c r="D24" s="461"/>
      <c r="E24" s="461">
        <v>8</v>
      </c>
      <c r="F24" s="461">
        <v>3</v>
      </c>
      <c r="G24" s="461">
        <v>14</v>
      </c>
    </row>
    <row r="25" spans="1:7" x14ac:dyDescent="0.35">
      <c r="A25" s="1000" t="s">
        <v>50</v>
      </c>
      <c r="B25" s="461">
        <v>4</v>
      </c>
      <c r="C25" s="461"/>
      <c r="D25" s="461"/>
      <c r="E25" s="461">
        <v>3</v>
      </c>
      <c r="F25" s="461"/>
      <c r="G25" s="461">
        <v>7</v>
      </c>
    </row>
    <row r="26" spans="1:7" x14ac:dyDescent="0.35">
      <c r="A26" s="1000" t="s">
        <v>51</v>
      </c>
      <c r="B26" s="461"/>
      <c r="C26" s="461"/>
      <c r="D26" s="461"/>
      <c r="E26" s="461">
        <v>12</v>
      </c>
      <c r="F26" s="461"/>
      <c r="G26" s="461">
        <v>12</v>
      </c>
    </row>
    <row r="27" spans="1:7" x14ac:dyDescent="0.35">
      <c r="A27" s="1000" t="s">
        <v>52</v>
      </c>
      <c r="B27" s="461">
        <v>1</v>
      </c>
      <c r="C27" s="461"/>
      <c r="D27" s="461"/>
      <c r="E27" s="461">
        <v>10</v>
      </c>
      <c r="F27" s="461">
        <v>3</v>
      </c>
      <c r="G27" s="461">
        <v>14</v>
      </c>
    </row>
    <row r="28" spans="1:7" x14ac:dyDescent="0.35">
      <c r="A28" s="1000" t="s">
        <v>53</v>
      </c>
      <c r="B28" s="461">
        <v>2</v>
      </c>
      <c r="C28" s="461">
        <v>1</v>
      </c>
      <c r="D28" s="461"/>
      <c r="E28" s="461"/>
      <c r="F28" s="461"/>
      <c r="G28" s="461">
        <v>3</v>
      </c>
    </row>
    <row r="29" spans="1:7" x14ac:dyDescent="0.35">
      <c r="A29" s="1000" t="s">
        <v>54</v>
      </c>
      <c r="B29" s="461"/>
      <c r="C29" s="461">
        <v>2</v>
      </c>
      <c r="D29" s="461"/>
      <c r="E29" s="461">
        <v>11</v>
      </c>
      <c r="F29" s="461"/>
      <c r="G29" s="461">
        <v>13</v>
      </c>
    </row>
    <row r="30" spans="1:7" x14ac:dyDescent="0.35">
      <c r="A30" s="1000" t="s">
        <v>55</v>
      </c>
      <c r="B30" s="461"/>
      <c r="C30" s="461"/>
      <c r="D30" s="461"/>
      <c r="E30" s="461">
        <v>14</v>
      </c>
      <c r="F30" s="461"/>
      <c r="G30" s="461">
        <v>14</v>
      </c>
    </row>
    <row r="31" spans="1:7" x14ac:dyDescent="0.35">
      <c r="A31" s="1000" t="s">
        <v>56</v>
      </c>
      <c r="B31" s="461"/>
      <c r="C31" s="461">
        <v>1</v>
      </c>
      <c r="D31" s="461"/>
      <c r="E31" s="461">
        <v>4</v>
      </c>
      <c r="F31" s="461"/>
      <c r="G31" s="461">
        <v>5</v>
      </c>
    </row>
    <row r="32" spans="1:7" x14ac:dyDescent="0.35">
      <c r="A32" s="1000" t="s">
        <v>57</v>
      </c>
      <c r="B32" s="461">
        <v>3</v>
      </c>
      <c r="C32" s="461">
        <v>1</v>
      </c>
      <c r="D32" s="461"/>
      <c r="E32" s="461">
        <v>7</v>
      </c>
      <c r="F32" s="461">
        <v>1</v>
      </c>
      <c r="G32" s="461">
        <v>12</v>
      </c>
    </row>
    <row r="33" spans="1:7" x14ac:dyDescent="0.35">
      <c r="A33" s="1000" t="s">
        <v>58</v>
      </c>
      <c r="B33" s="461">
        <v>1</v>
      </c>
      <c r="C33" s="461"/>
      <c r="D33" s="461"/>
      <c r="E33" s="461">
        <v>9</v>
      </c>
      <c r="F33" s="461"/>
      <c r="G33" s="461">
        <v>10</v>
      </c>
    </row>
    <row r="34" spans="1:7" x14ac:dyDescent="0.35">
      <c r="A34" s="1000" t="s">
        <v>59</v>
      </c>
      <c r="B34" s="461">
        <v>1</v>
      </c>
      <c r="C34" s="461">
        <v>1</v>
      </c>
      <c r="D34" s="461"/>
      <c r="E34" s="461">
        <v>1</v>
      </c>
      <c r="F34" s="461"/>
      <c r="G34" s="461">
        <v>3</v>
      </c>
    </row>
    <row r="35" spans="1:7" x14ac:dyDescent="0.35">
      <c r="A35" s="1000" t="s">
        <v>60</v>
      </c>
      <c r="B35" s="461"/>
      <c r="C35" s="461">
        <v>1</v>
      </c>
      <c r="D35" s="461">
        <v>1</v>
      </c>
      <c r="E35" s="461">
        <v>4</v>
      </c>
      <c r="F35" s="461"/>
      <c r="G35" s="461">
        <v>6</v>
      </c>
    </row>
    <row r="36" spans="1:7" x14ac:dyDescent="0.35">
      <c r="A36" s="1000" t="s">
        <v>239</v>
      </c>
      <c r="B36" s="461">
        <v>50</v>
      </c>
      <c r="C36" s="461">
        <v>23</v>
      </c>
      <c r="D36" s="461">
        <v>1</v>
      </c>
      <c r="E36" s="461">
        <v>240</v>
      </c>
      <c r="F36" s="461">
        <v>43</v>
      </c>
      <c r="G36" s="461">
        <v>357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38"/>
  <sheetViews>
    <sheetView workbookViewId="0">
      <selection activeCell="B16" sqref="B16"/>
    </sheetView>
  </sheetViews>
  <sheetFormatPr defaultRowHeight="14.5" x14ac:dyDescent="0.35"/>
  <cols>
    <col min="1" max="1" width="20.6328125" bestFit="1" customWidth="1"/>
    <col min="2" max="2" width="13.1796875" bestFit="1" customWidth="1"/>
    <col min="3" max="3" width="11.26953125" bestFit="1" customWidth="1"/>
    <col min="4" max="4" width="11.36328125" bestFit="1" customWidth="1"/>
  </cols>
  <sheetData>
    <row r="1" spans="1:4" x14ac:dyDescent="0.35">
      <c r="A1" s="459" t="s">
        <v>1</v>
      </c>
      <c r="B1" t="s">
        <v>951</v>
      </c>
    </row>
    <row r="3" spans="1:4" x14ac:dyDescent="0.35">
      <c r="A3" s="459" t="s">
        <v>234</v>
      </c>
      <c r="B3" t="s">
        <v>304</v>
      </c>
      <c r="C3" t="s">
        <v>305</v>
      </c>
      <c r="D3" t="s">
        <v>240</v>
      </c>
    </row>
    <row r="4" spans="1:4" x14ac:dyDescent="0.35">
      <c r="A4" s="1000" t="s">
        <v>2</v>
      </c>
      <c r="B4" s="461"/>
      <c r="C4" s="461"/>
      <c r="D4" s="461"/>
    </row>
    <row r="5" spans="1:4" x14ac:dyDescent="0.35">
      <c r="A5" s="462" t="s">
        <v>18</v>
      </c>
      <c r="B5" s="461">
        <v>1</v>
      </c>
      <c r="C5" s="461"/>
      <c r="D5" s="461"/>
    </row>
    <row r="6" spans="1:4" x14ac:dyDescent="0.35">
      <c r="A6" s="462" t="s">
        <v>22</v>
      </c>
      <c r="B6" s="461">
        <v>23</v>
      </c>
      <c r="C6" s="461">
        <v>7</v>
      </c>
      <c r="D6" s="461">
        <v>30</v>
      </c>
    </row>
    <row r="7" spans="1:4" x14ac:dyDescent="0.35">
      <c r="A7" s="462" t="s">
        <v>23</v>
      </c>
      <c r="B7" s="461">
        <v>74.06</v>
      </c>
      <c r="C7" s="461">
        <v>16</v>
      </c>
      <c r="D7" s="461">
        <v>90.06</v>
      </c>
    </row>
    <row r="8" spans="1:4" x14ac:dyDescent="0.35">
      <c r="A8" s="462" t="s">
        <v>19</v>
      </c>
      <c r="B8" s="461">
        <v>3</v>
      </c>
      <c r="C8" s="461">
        <v>1</v>
      </c>
      <c r="D8" s="461">
        <v>4</v>
      </c>
    </row>
    <row r="9" spans="1:4" x14ac:dyDescent="0.35">
      <c r="A9" s="462" t="s">
        <v>20</v>
      </c>
      <c r="B9" s="461">
        <v>9</v>
      </c>
      <c r="C9" s="461">
        <v>1</v>
      </c>
      <c r="D9" s="461">
        <v>10</v>
      </c>
    </row>
    <row r="10" spans="1:4" x14ac:dyDescent="0.35">
      <c r="A10" s="462" t="s">
        <v>21</v>
      </c>
      <c r="B10" s="461">
        <v>35</v>
      </c>
      <c r="C10" s="461">
        <v>6</v>
      </c>
      <c r="D10" s="461">
        <v>41</v>
      </c>
    </row>
    <row r="11" spans="1:4" x14ac:dyDescent="0.35">
      <c r="A11" s="1000" t="s">
        <v>1003</v>
      </c>
      <c r="B11" s="461">
        <v>145.06</v>
      </c>
      <c r="C11" s="461">
        <v>31</v>
      </c>
      <c r="D11" s="461">
        <v>175.06</v>
      </c>
    </row>
    <row r="12" spans="1:4" x14ac:dyDescent="0.35">
      <c r="A12" s="1000" t="s">
        <v>9</v>
      </c>
      <c r="B12" s="461"/>
      <c r="C12" s="461"/>
      <c r="D12" s="461"/>
    </row>
    <row r="13" spans="1:4" x14ac:dyDescent="0.35">
      <c r="A13" s="462" t="s">
        <v>22</v>
      </c>
      <c r="B13" s="461">
        <v>14</v>
      </c>
      <c r="C13" s="461">
        <v>447.93</v>
      </c>
      <c r="D13" s="461">
        <v>461.93</v>
      </c>
    </row>
    <row r="14" spans="1:4" x14ac:dyDescent="0.35">
      <c r="A14" s="462" t="s">
        <v>23</v>
      </c>
      <c r="B14" s="461">
        <v>143.4</v>
      </c>
      <c r="C14" s="461">
        <v>1641.15</v>
      </c>
      <c r="D14" s="461">
        <v>1784.5500000000002</v>
      </c>
    </row>
    <row r="15" spans="1:4" x14ac:dyDescent="0.35">
      <c r="A15" s="462" t="s">
        <v>21</v>
      </c>
      <c r="B15" s="461">
        <v>11.25</v>
      </c>
      <c r="C15" s="461">
        <v>224.75</v>
      </c>
      <c r="D15" s="461">
        <v>236</v>
      </c>
    </row>
    <row r="16" spans="1:4" x14ac:dyDescent="0.35">
      <c r="A16" s="1000" t="s">
        <v>1004</v>
      </c>
      <c r="B16" s="461">
        <v>168.65</v>
      </c>
      <c r="C16" s="461">
        <v>2313.83</v>
      </c>
      <c r="D16" s="461">
        <v>2482.48</v>
      </c>
    </row>
    <row r="17" spans="1:4" x14ac:dyDescent="0.35">
      <c r="A17" s="1000" t="s">
        <v>774</v>
      </c>
      <c r="B17" s="461"/>
      <c r="C17" s="461"/>
      <c r="D17" s="461"/>
    </row>
    <row r="18" spans="1:4" x14ac:dyDescent="0.35">
      <c r="A18" s="462" t="s">
        <v>21</v>
      </c>
      <c r="B18" s="461">
        <v>11</v>
      </c>
      <c r="C18" s="461">
        <v>43</v>
      </c>
      <c r="D18" s="461">
        <v>54</v>
      </c>
    </row>
    <row r="19" spans="1:4" x14ac:dyDescent="0.35">
      <c r="A19" s="1000" t="s">
        <v>17481</v>
      </c>
      <c r="B19" s="461">
        <v>11</v>
      </c>
      <c r="C19" s="461">
        <v>43</v>
      </c>
      <c r="D19" s="461">
        <v>54</v>
      </c>
    </row>
    <row r="20" spans="1:4" x14ac:dyDescent="0.35">
      <c r="A20" s="1000" t="s">
        <v>3</v>
      </c>
      <c r="B20" s="461"/>
      <c r="C20" s="461"/>
      <c r="D20" s="461"/>
    </row>
    <row r="21" spans="1:4" x14ac:dyDescent="0.35">
      <c r="A21" s="462" t="s">
        <v>91</v>
      </c>
      <c r="B21" s="461">
        <v>151.58999999999997</v>
      </c>
      <c r="C21" s="461">
        <v>8.86</v>
      </c>
      <c r="D21" s="461">
        <v>160.44999999999999</v>
      </c>
    </row>
    <row r="22" spans="1:4" x14ac:dyDescent="0.35">
      <c r="A22" s="462" t="s">
        <v>199</v>
      </c>
      <c r="B22" s="461">
        <v>2</v>
      </c>
      <c r="C22" s="461">
        <v>1</v>
      </c>
      <c r="D22" s="461">
        <v>3</v>
      </c>
    </row>
    <row r="23" spans="1:4" x14ac:dyDescent="0.35">
      <c r="A23" s="462" t="s">
        <v>78</v>
      </c>
      <c r="B23" s="461">
        <v>59.429999999999993</v>
      </c>
      <c r="C23" s="461">
        <v>29</v>
      </c>
      <c r="D23" s="461">
        <v>88.429999999999993</v>
      </c>
    </row>
    <row r="24" spans="1:4" x14ac:dyDescent="0.35">
      <c r="A24" s="462" t="s">
        <v>77</v>
      </c>
      <c r="B24" s="461">
        <v>16.8</v>
      </c>
      <c r="C24" s="461">
        <v>33</v>
      </c>
      <c r="D24" s="461">
        <v>49.8</v>
      </c>
    </row>
    <row r="25" spans="1:4" x14ac:dyDescent="0.35">
      <c r="A25" s="462" t="s">
        <v>302</v>
      </c>
      <c r="B25" s="461">
        <v>154.13999999999999</v>
      </c>
      <c r="C25" s="461">
        <v>245.74</v>
      </c>
      <c r="D25" s="461">
        <v>399.88</v>
      </c>
    </row>
    <row r="26" spans="1:4" x14ac:dyDescent="0.35">
      <c r="A26" s="462" t="s">
        <v>80</v>
      </c>
      <c r="B26" s="461">
        <v>19</v>
      </c>
      <c r="C26" s="461">
        <v>11</v>
      </c>
      <c r="D26" s="461">
        <v>30</v>
      </c>
    </row>
    <row r="27" spans="1:4" x14ac:dyDescent="0.35">
      <c r="A27" s="462" t="s">
        <v>303</v>
      </c>
      <c r="B27" s="461">
        <v>18.38</v>
      </c>
      <c r="C27" s="461">
        <v>37.35</v>
      </c>
      <c r="D27" s="461">
        <v>55.730000000000004</v>
      </c>
    </row>
    <row r="28" spans="1:4" x14ac:dyDescent="0.35">
      <c r="A28" s="1000" t="s">
        <v>1005</v>
      </c>
      <c r="B28" s="461">
        <v>421.34</v>
      </c>
      <c r="C28" s="461">
        <v>365.95000000000005</v>
      </c>
      <c r="D28" s="461">
        <v>787.29</v>
      </c>
    </row>
    <row r="29" spans="1:4" x14ac:dyDescent="0.35">
      <c r="A29" s="1000" t="s">
        <v>301</v>
      </c>
      <c r="B29" s="461"/>
      <c r="C29" s="461"/>
      <c r="D29" s="461"/>
    </row>
    <row r="30" spans="1:4" x14ac:dyDescent="0.35">
      <c r="A30" s="462" t="s">
        <v>18</v>
      </c>
      <c r="B30" s="461"/>
      <c r="C30" s="461">
        <v>35</v>
      </c>
      <c r="D30" s="461"/>
    </row>
    <row r="31" spans="1:4" x14ac:dyDescent="0.35">
      <c r="A31" s="462" t="s">
        <v>198</v>
      </c>
      <c r="B31" s="461"/>
      <c r="C31" s="461">
        <v>5</v>
      </c>
      <c r="D31" s="461"/>
    </row>
    <row r="32" spans="1:4" x14ac:dyDescent="0.35">
      <c r="A32" s="462" t="s">
        <v>22</v>
      </c>
      <c r="B32" s="461">
        <v>29</v>
      </c>
      <c r="C32" s="461">
        <v>658</v>
      </c>
      <c r="D32" s="461">
        <v>687</v>
      </c>
    </row>
    <row r="33" spans="1:4" x14ac:dyDescent="0.35">
      <c r="A33" s="462" t="s">
        <v>23</v>
      </c>
      <c r="B33" s="461">
        <v>148.43</v>
      </c>
      <c r="C33" s="461">
        <v>1869</v>
      </c>
      <c r="D33" s="461">
        <v>2017.43</v>
      </c>
    </row>
    <row r="34" spans="1:4" x14ac:dyDescent="0.35">
      <c r="A34" s="462" t="s">
        <v>19</v>
      </c>
      <c r="B34" s="461">
        <v>2</v>
      </c>
      <c r="C34" s="461">
        <v>79</v>
      </c>
      <c r="D34" s="461">
        <v>81</v>
      </c>
    </row>
    <row r="35" spans="1:4" x14ac:dyDescent="0.35">
      <c r="A35" s="462" t="s">
        <v>20</v>
      </c>
      <c r="B35" s="461">
        <v>7</v>
      </c>
      <c r="C35" s="461">
        <v>145</v>
      </c>
      <c r="D35" s="461">
        <v>152</v>
      </c>
    </row>
    <row r="36" spans="1:4" x14ac:dyDescent="0.35">
      <c r="A36" s="462" t="s">
        <v>21</v>
      </c>
      <c r="B36" s="461">
        <v>31</v>
      </c>
      <c r="C36" s="461">
        <v>573</v>
      </c>
      <c r="D36" s="461">
        <v>604</v>
      </c>
    </row>
    <row r="37" spans="1:4" x14ac:dyDescent="0.35">
      <c r="A37" s="1000" t="s">
        <v>1007</v>
      </c>
      <c r="B37" s="461">
        <v>217.43</v>
      </c>
      <c r="C37" s="461">
        <v>3364</v>
      </c>
      <c r="D37" s="461">
        <v>3541.4300000000003</v>
      </c>
    </row>
    <row r="38" spans="1:4" x14ac:dyDescent="0.35">
      <c r="A38" s="1000" t="s">
        <v>239</v>
      </c>
      <c r="B38" s="461">
        <v>963.48</v>
      </c>
      <c r="C38" s="461">
        <v>6117.7800000000007</v>
      </c>
      <c r="D38" s="461">
        <v>7040.26</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61"/>
  <sheetViews>
    <sheetView topLeftCell="A61" workbookViewId="0">
      <selection activeCell="C13" sqref="C13"/>
    </sheetView>
  </sheetViews>
  <sheetFormatPr defaultRowHeight="14.5" x14ac:dyDescent="0.35"/>
  <cols>
    <col min="1" max="1" width="7.453125" bestFit="1" customWidth="1"/>
    <col min="2" max="2" width="11.1796875" bestFit="1" customWidth="1"/>
    <col min="3" max="3" width="16.7265625" bestFit="1" customWidth="1"/>
    <col min="4" max="6" width="11.81640625" bestFit="1" customWidth="1"/>
  </cols>
  <sheetData>
    <row r="1" spans="1:6" x14ac:dyDescent="0.35">
      <c r="A1" s="461" t="s">
        <v>1</v>
      </c>
      <c r="B1" s="461" t="s">
        <v>1000</v>
      </c>
      <c r="C1" s="461" t="s">
        <v>1001</v>
      </c>
      <c r="D1" s="461" t="s">
        <v>26</v>
      </c>
      <c r="E1" s="461" t="s">
        <v>85</v>
      </c>
      <c r="F1" s="461" t="s">
        <v>86</v>
      </c>
    </row>
    <row r="2" spans="1:6" x14ac:dyDescent="0.35">
      <c r="A2" s="461" t="s">
        <v>194</v>
      </c>
      <c r="B2" s="461" t="s">
        <v>2</v>
      </c>
      <c r="C2" s="461" t="s">
        <v>22</v>
      </c>
      <c r="D2" s="461">
        <v>51.01</v>
      </c>
      <c r="E2" s="461">
        <v>45.01</v>
      </c>
      <c r="F2" s="461">
        <v>6</v>
      </c>
    </row>
    <row r="3" spans="1:6" x14ac:dyDescent="0.35">
      <c r="A3" s="461" t="s">
        <v>194</v>
      </c>
      <c r="B3" s="461" t="s">
        <v>2</v>
      </c>
      <c r="C3" s="461" t="s">
        <v>23</v>
      </c>
      <c r="D3" s="461">
        <v>94.39</v>
      </c>
      <c r="E3" s="461">
        <v>85.39</v>
      </c>
      <c r="F3" s="461">
        <v>9</v>
      </c>
    </row>
    <row r="4" spans="1:6" x14ac:dyDescent="0.35">
      <c r="A4" s="461" t="s">
        <v>194</v>
      </c>
      <c r="B4" s="461" t="s">
        <v>2</v>
      </c>
      <c r="C4" s="461" t="s">
        <v>19</v>
      </c>
      <c r="D4" s="461">
        <v>5</v>
      </c>
      <c r="E4" s="461">
        <v>4</v>
      </c>
      <c r="F4" s="461">
        <v>1</v>
      </c>
    </row>
    <row r="5" spans="1:6" x14ac:dyDescent="0.35">
      <c r="A5" s="461" t="s">
        <v>194</v>
      </c>
      <c r="B5" s="461" t="s">
        <v>2</v>
      </c>
      <c r="C5" s="461" t="s">
        <v>20</v>
      </c>
      <c r="D5" s="461">
        <v>11</v>
      </c>
      <c r="E5" s="461">
        <v>9</v>
      </c>
      <c r="F5" s="461">
        <v>2</v>
      </c>
    </row>
    <row r="6" spans="1:6" x14ac:dyDescent="0.35">
      <c r="A6" s="461" t="s">
        <v>194</v>
      </c>
      <c r="B6" s="461" t="s">
        <v>2</v>
      </c>
      <c r="C6" s="461" t="s">
        <v>21</v>
      </c>
      <c r="D6" s="461">
        <v>51.56</v>
      </c>
      <c r="E6" s="461">
        <v>45.56</v>
      </c>
      <c r="F6" s="461">
        <v>6</v>
      </c>
    </row>
    <row r="7" spans="1:6" x14ac:dyDescent="0.35">
      <c r="A7" s="461" t="s">
        <v>194</v>
      </c>
      <c r="B7" s="461" t="s">
        <v>9</v>
      </c>
      <c r="C7" s="461" t="s">
        <v>22</v>
      </c>
      <c r="D7" s="461">
        <v>489.46</v>
      </c>
      <c r="E7" s="461">
        <v>17.760000000000002</v>
      </c>
      <c r="F7" s="461">
        <v>471.7</v>
      </c>
    </row>
    <row r="8" spans="1:6" x14ac:dyDescent="0.35">
      <c r="A8" s="461" t="s">
        <v>194</v>
      </c>
      <c r="B8" s="461" t="s">
        <v>9</v>
      </c>
      <c r="C8" s="461" t="s">
        <v>23</v>
      </c>
      <c r="D8" s="461">
        <v>1913.5500000000002</v>
      </c>
      <c r="E8" s="461">
        <v>132.88999999999999</v>
      </c>
      <c r="F8" s="461">
        <v>1780.66</v>
      </c>
    </row>
    <row r="9" spans="1:6" x14ac:dyDescent="0.35">
      <c r="A9" s="461" t="s">
        <v>194</v>
      </c>
      <c r="B9" s="461" t="s">
        <v>9</v>
      </c>
      <c r="C9" s="461" t="s">
        <v>21</v>
      </c>
      <c r="D9" s="461">
        <v>262.12</v>
      </c>
      <c r="E9" s="461">
        <v>10</v>
      </c>
      <c r="F9" s="461">
        <v>252.12000000000003</v>
      </c>
    </row>
    <row r="10" spans="1:6" x14ac:dyDescent="0.35">
      <c r="A10" s="461" t="s">
        <v>194</v>
      </c>
      <c r="B10" s="461" t="s">
        <v>3</v>
      </c>
      <c r="C10" s="461" t="s">
        <v>91</v>
      </c>
      <c r="D10" s="461">
        <v>223.6</v>
      </c>
      <c r="E10" s="461">
        <v>197.5</v>
      </c>
      <c r="F10" s="461">
        <v>26.1</v>
      </c>
    </row>
    <row r="11" spans="1:6" x14ac:dyDescent="0.35">
      <c r="A11" s="461" t="s">
        <v>194</v>
      </c>
      <c r="B11" s="461" t="s">
        <v>3</v>
      </c>
      <c r="C11" s="461" t="s">
        <v>199</v>
      </c>
      <c r="D11" s="461"/>
      <c r="E11" s="461"/>
      <c r="F11" s="461"/>
    </row>
    <row r="12" spans="1:6" x14ac:dyDescent="0.35">
      <c r="A12" s="461" t="s">
        <v>194</v>
      </c>
      <c r="B12" s="461" t="s">
        <v>3</v>
      </c>
      <c r="C12" s="461" t="s">
        <v>78</v>
      </c>
      <c r="D12" s="461">
        <v>42.3</v>
      </c>
      <c r="E12" s="461">
        <v>25.7</v>
      </c>
      <c r="F12" s="461">
        <v>16.600000000000001</v>
      </c>
    </row>
    <row r="13" spans="1:6" x14ac:dyDescent="0.35">
      <c r="A13" s="461" t="s">
        <v>194</v>
      </c>
      <c r="B13" s="461" t="s">
        <v>3</v>
      </c>
      <c r="C13" s="461" t="s">
        <v>77</v>
      </c>
      <c r="D13" s="461">
        <v>69.7</v>
      </c>
      <c r="E13" s="461">
        <v>31.7</v>
      </c>
      <c r="F13" s="461">
        <v>38</v>
      </c>
    </row>
    <row r="14" spans="1:6" x14ac:dyDescent="0.35">
      <c r="A14" s="461" t="s">
        <v>194</v>
      </c>
      <c r="B14" s="461" t="s">
        <v>3</v>
      </c>
      <c r="C14" s="461" t="s">
        <v>302</v>
      </c>
      <c r="D14" s="461">
        <v>256.39999999999998</v>
      </c>
      <c r="E14" s="461">
        <v>39.199999999999996</v>
      </c>
      <c r="F14" s="461">
        <v>217.2</v>
      </c>
    </row>
    <row r="15" spans="1:6" x14ac:dyDescent="0.35">
      <c r="A15" s="461" t="s">
        <v>194</v>
      </c>
      <c r="B15" s="461" t="s">
        <v>3</v>
      </c>
      <c r="C15" s="461" t="s">
        <v>80</v>
      </c>
      <c r="D15" s="461">
        <v>19.8</v>
      </c>
      <c r="E15" s="461">
        <v>6.8</v>
      </c>
      <c r="F15" s="461">
        <v>13</v>
      </c>
    </row>
    <row r="16" spans="1:6" x14ac:dyDescent="0.35">
      <c r="A16" s="461" t="s">
        <v>194</v>
      </c>
      <c r="B16" s="461" t="s">
        <v>3</v>
      </c>
      <c r="C16" s="461" t="s">
        <v>303</v>
      </c>
      <c r="D16" s="461">
        <v>199.5</v>
      </c>
      <c r="E16" s="461">
        <v>119.8</v>
      </c>
      <c r="F16" s="461">
        <v>79.7</v>
      </c>
    </row>
    <row r="17" spans="1:6" x14ac:dyDescent="0.35">
      <c r="A17" s="461" t="s">
        <v>194</v>
      </c>
      <c r="B17" s="461" t="s">
        <v>301</v>
      </c>
      <c r="C17" s="461" t="s">
        <v>18</v>
      </c>
      <c r="D17" s="461">
        <v>28</v>
      </c>
      <c r="E17" s="461"/>
      <c r="F17" s="461">
        <v>28</v>
      </c>
    </row>
    <row r="18" spans="1:6" x14ac:dyDescent="0.35">
      <c r="A18" s="461" t="s">
        <v>194</v>
      </c>
      <c r="B18" s="461" t="s">
        <v>301</v>
      </c>
      <c r="C18" s="461" t="s">
        <v>198</v>
      </c>
      <c r="D18" s="461">
        <v>9</v>
      </c>
      <c r="E18" s="461"/>
      <c r="F18" s="461">
        <v>9</v>
      </c>
    </row>
    <row r="19" spans="1:6" x14ac:dyDescent="0.35">
      <c r="A19" s="461" t="s">
        <v>194</v>
      </c>
      <c r="B19" s="461" t="s">
        <v>301</v>
      </c>
      <c r="C19" s="461" t="s">
        <v>22</v>
      </c>
      <c r="D19" s="461">
        <v>660</v>
      </c>
      <c r="E19" s="461">
        <v>26</v>
      </c>
      <c r="F19" s="461">
        <v>634</v>
      </c>
    </row>
    <row r="20" spans="1:6" x14ac:dyDescent="0.35">
      <c r="A20" s="461" t="s">
        <v>194</v>
      </c>
      <c r="B20" s="461" t="s">
        <v>301</v>
      </c>
      <c r="C20" s="461" t="s">
        <v>23</v>
      </c>
      <c r="D20" s="461">
        <v>2373.7600000000002</v>
      </c>
      <c r="E20" s="461">
        <v>106</v>
      </c>
      <c r="F20" s="461">
        <v>2267.7600000000002</v>
      </c>
    </row>
    <row r="21" spans="1:6" x14ac:dyDescent="0.35">
      <c r="A21" s="461" t="s">
        <v>194</v>
      </c>
      <c r="B21" s="461" t="s">
        <v>301</v>
      </c>
      <c r="C21" s="461" t="s">
        <v>19</v>
      </c>
      <c r="D21" s="461">
        <v>115</v>
      </c>
      <c r="E21" s="461">
        <v>3</v>
      </c>
      <c r="F21" s="461">
        <v>112</v>
      </c>
    </row>
    <row r="22" spans="1:6" x14ac:dyDescent="0.35">
      <c r="A22" s="461" t="s">
        <v>194</v>
      </c>
      <c r="B22" s="461" t="s">
        <v>301</v>
      </c>
      <c r="C22" s="461" t="s">
        <v>20</v>
      </c>
      <c r="D22" s="461">
        <v>136</v>
      </c>
      <c r="E22" s="461">
        <v>2</v>
      </c>
      <c r="F22" s="461">
        <v>134</v>
      </c>
    </row>
    <row r="23" spans="1:6" x14ac:dyDescent="0.35">
      <c r="A23" s="461" t="s">
        <v>194</v>
      </c>
      <c r="B23" s="461" t="s">
        <v>301</v>
      </c>
      <c r="C23" s="461" t="s">
        <v>21</v>
      </c>
      <c r="D23" s="461">
        <v>679</v>
      </c>
      <c r="E23" s="461">
        <v>22</v>
      </c>
      <c r="F23" s="461">
        <v>657</v>
      </c>
    </row>
    <row r="24" spans="1:6" x14ac:dyDescent="0.35">
      <c r="A24" s="461" t="s">
        <v>193</v>
      </c>
      <c r="B24" s="461" t="s">
        <v>2</v>
      </c>
      <c r="C24" s="461" t="s">
        <v>22</v>
      </c>
      <c r="D24" s="461">
        <v>50.79</v>
      </c>
      <c r="E24" s="461">
        <v>42.79</v>
      </c>
      <c r="F24" s="461">
        <v>8</v>
      </c>
    </row>
    <row r="25" spans="1:6" x14ac:dyDescent="0.35">
      <c r="A25" s="461" t="s">
        <v>193</v>
      </c>
      <c r="B25" s="461" t="s">
        <v>2</v>
      </c>
      <c r="C25" s="461" t="s">
        <v>23</v>
      </c>
      <c r="D25" s="461">
        <v>102.69</v>
      </c>
      <c r="E25" s="461">
        <v>81.69</v>
      </c>
      <c r="F25" s="461">
        <v>21</v>
      </c>
    </row>
    <row r="26" spans="1:6" x14ac:dyDescent="0.35">
      <c r="A26" s="461" t="s">
        <v>193</v>
      </c>
      <c r="B26" s="461" t="s">
        <v>2</v>
      </c>
      <c r="C26" s="461" t="s">
        <v>19</v>
      </c>
      <c r="D26" s="461">
        <v>5</v>
      </c>
      <c r="E26" s="461">
        <v>4</v>
      </c>
      <c r="F26" s="461">
        <v>1</v>
      </c>
    </row>
    <row r="27" spans="1:6" x14ac:dyDescent="0.35">
      <c r="A27" s="461" t="s">
        <v>193</v>
      </c>
      <c r="B27" s="461" t="s">
        <v>2</v>
      </c>
      <c r="C27" s="461" t="s">
        <v>20</v>
      </c>
      <c r="D27" s="461">
        <v>12.85</v>
      </c>
      <c r="E27" s="461">
        <v>10.85</v>
      </c>
      <c r="F27" s="461">
        <v>2</v>
      </c>
    </row>
    <row r="28" spans="1:6" x14ac:dyDescent="0.35">
      <c r="A28" s="461" t="s">
        <v>193</v>
      </c>
      <c r="B28" s="461" t="s">
        <v>2</v>
      </c>
      <c r="C28" s="461" t="s">
        <v>21</v>
      </c>
      <c r="D28" s="461">
        <v>49.46</v>
      </c>
      <c r="E28" s="461">
        <v>43.46</v>
      </c>
      <c r="F28" s="461">
        <v>6</v>
      </c>
    </row>
    <row r="29" spans="1:6" x14ac:dyDescent="0.35">
      <c r="A29" s="461" t="s">
        <v>193</v>
      </c>
      <c r="B29" s="461" t="s">
        <v>9</v>
      </c>
      <c r="C29" s="461" t="s">
        <v>22</v>
      </c>
      <c r="D29" s="461">
        <v>498</v>
      </c>
      <c r="E29" s="461">
        <v>16.5</v>
      </c>
      <c r="F29" s="461">
        <v>481.5</v>
      </c>
    </row>
    <row r="30" spans="1:6" x14ac:dyDescent="0.35">
      <c r="A30" s="461" t="s">
        <v>193</v>
      </c>
      <c r="B30" s="461" t="s">
        <v>9</v>
      </c>
      <c r="C30" s="461" t="s">
        <v>23</v>
      </c>
      <c r="D30" s="461">
        <v>1906.75</v>
      </c>
      <c r="E30" s="461">
        <v>128.25</v>
      </c>
      <c r="F30" s="461">
        <v>1778.5</v>
      </c>
    </row>
    <row r="31" spans="1:6" x14ac:dyDescent="0.35">
      <c r="A31" s="461" t="s">
        <v>193</v>
      </c>
      <c r="B31" s="461" t="s">
        <v>9</v>
      </c>
      <c r="C31" s="461" t="s">
        <v>21</v>
      </c>
      <c r="D31" s="461">
        <v>263.75</v>
      </c>
      <c r="E31" s="461">
        <v>12</v>
      </c>
      <c r="F31" s="461">
        <v>251.75</v>
      </c>
    </row>
    <row r="32" spans="1:6" x14ac:dyDescent="0.35">
      <c r="A32" s="461" t="s">
        <v>193</v>
      </c>
      <c r="B32" s="461" t="s">
        <v>3</v>
      </c>
      <c r="C32" s="461" t="s">
        <v>91</v>
      </c>
      <c r="D32" s="461">
        <v>151.38999999999999</v>
      </c>
      <c r="E32" s="461">
        <v>135.17999999999998</v>
      </c>
      <c r="F32" s="461">
        <v>16.21</v>
      </c>
    </row>
    <row r="33" spans="1:6" x14ac:dyDescent="0.35">
      <c r="A33" s="461" t="s">
        <v>193</v>
      </c>
      <c r="B33" s="461" t="s">
        <v>3</v>
      </c>
      <c r="C33" s="461" t="s">
        <v>199</v>
      </c>
      <c r="D33" s="461">
        <v>2</v>
      </c>
      <c r="E33" s="461">
        <v>2</v>
      </c>
      <c r="F33" s="461">
        <v>0</v>
      </c>
    </row>
    <row r="34" spans="1:6" x14ac:dyDescent="0.35">
      <c r="A34" s="461" t="s">
        <v>193</v>
      </c>
      <c r="B34" s="461" t="s">
        <v>3</v>
      </c>
      <c r="C34" s="461" t="s">
        <v>78</v>
      </c>
      <c r="D34">
        <v>55.470000000000006</v>
      </c>
      <c r="E34">
        <v>36.870000000000005</v>
      </c>
      <c r="F34">
        <v>18.600000000000001</v>
      </c>
    </row>
    <row r="35" spans="1:6" x14ac:dyDescent="0.35">
      <c r="A35" s="461" t="s">
        <v>193</v>
      </c>
      <c r="B35" s="461" t="s">
        <v>3</v>
      </c>
      <c r="C35" s="461" t="s">
        <v>77</v>
      </c>
      <c r="D35">
        <v>45.99</v>
      </c>
      <c r="E35">
        <v>22.990000000000002</v>
      </c>
      <c r="F35">
        <v>23</v>
      </c>
    </row>
    <row r="36" spans="1:6" x14ac:dyDescent="0.35">
      <c r="A36" s="461" t="s">
        <v>193</v>
      </c>
      <c r="B36" s="461" t="s">
        <v>3</v>
      </c>
      <c r="C36" s="461" t="s">
        <v>302</v>
      </c>
      <c r="D36">
        <v>325.23</v>
      </c>
      <c r="E36">
        <v>94.63</v>
      </c>
      <c r="F36">
        <v>230.60000000000002</v>
      </c>
    </row>
    <row r="37" spans="1:6" x14ac:dyDescent="0.35">
      <c r="A37" s="461" t="s">
        <v>193</v>
      </c>
      <c r="B37" s="461" t="s">
        <v>3</v>
      </c>
      <c r="C37" s="461" t="s">
        <v>80</v>
      </c>
      <c r="D37">
        <v>36.9</v>
      </c>
      <c r="E37">
        <v>19.899999999999999</v>
      </c>
      <c r="F37">
        <v>17</v>
      </c>
    </row>
    <row r="38" spans="1:6" x14ac:dyDescent="0.35">
      <c r="A38" s="461" t="s">
        <v>193</v>
      </c>
      <c r="B38" s="461" t="s">
        <v>3</v>
      </c>
      <c r="C38" s="461" t="s">
        <v>303</v>
      </c>
      <c r="D38">
        <v>128.98000000000002</v>
      </c>
      <c r="E38">
        <v>65.05000000000004</v>
      </c>
      <c r="F38">
        <v>63.929999999999993</v>
      </c>
    </row>
    <row r="39" spans="1:6" x14ac:dyDescent="0.35">
      <c r="A39" s="461" t="s">
        <v>193</v>
      </c>
      <c r="B39" s="461" t="s">
        <v>301</v>
      </c>
      <c r="C39" s="461" t="s">
        <v>18</v>
      </c>
      <c r="D39">
        <v>33</v>
      </c>
      <c r="F39">
        <v>33</v>
      </c>
    </row>
    <row r="40" spans="1:6" x14ac:dyDescent="0.35">
      <c r="A40" s="461" t="s">
        <v>193</v>
      </c>
      <c r="B40" s="461" t="s">
        <v>301</v>
      </c>
      <c r="C40" s="461" t="s">
        <v>198</v>
      </c>
      <c r="D40">
        <v>7</v>
      </c>
      <c r="F40">
        <v>7</v>
      </c>
    </row>
    <row r="41" spans="1:6" x14ac:dyDescent="0.35">
      <c r="A41" s="461" t="s">
        <v>193</v>
      </c>
      <c r="B41" s="461" t="s">
        <v>301</v>
      </c>
      <c r="C41" s="461" t="s">
        <v>22</v>
      </c>
      <c r="D41">
        <v>634</v>
      </c>
      <c r="E41">
        <v>24</v>
      </c>
      <c r="F41">
        <v>610</v>
      </c>
    </row>
    <row r="42" spans="1:6" x14ac:dyDescent="0.35">
      <c r="A42" s="461" t="s">
        <v>193</v>
      </c>
      <c r="B42" s="461" t="s">
        <v>301</v>
      </c>
      <c r="C42" s="461" t="s">
        <v>23</v>
      </c>
      <c r="D42">
        <v>2285</v>
      </c>
      <c r="E42">
        <v>109</v>
      </c>
      <c r="F42">
        <v>2176</v>
      </c>
    </row>
    <row r="43" spans="1:6" x14ac:dyDescent="0.35">
      <c r="A43" s="461" t="s">
        <v>193</v>
      </c>
      <c r="B43" s="461" t="s">
        <v>301</v>
      </c>
      <c r="C43" s="461" t="s">
        <v>19</v>
      </c>
      <c r="D43">
        <v>103</v>
      </c>
      <c r="E43">
        <v>3</v>
      </c>
      <c r="F43">
        <v>100</v>
      </c>
    </row>
    <row r="44" spans="1:6" x14ac:dyDescent="0.35">
      <c r="A44" s="461" t="s">
        <v>193</v>
      </c>
      <c r="B44" s="461" t="s">
        <v>301</v>
      </c>
      <c r="C44" s="461" t="s">
        <v>20</v>
      </c>
      <c r="D44">
        <v>130</v>
      </c>
      <c r="E44">
        <v>1</v>
      </c>
      <c r="F44">
        <v>129</v>
      </c>
    </row>
    <row r="45" spans="1:6" x14ac:dyDescent="0.35">
      <c r="A45" s="461" t="s">
        <v>193</v>
      </c>
      <c r="B45" s="461" t="s">
        <v>301</v>
      </c>
      <c r="C45" s="461" t="s">
        <v>21</v>
      </c>
      <c r="D45">
        <v>664</v>
      </c>
      <c r="E45">
        <v>27</v>
      </c>
      <c r="F45">
        <v>637</v>
      </c>
    </row>
    <row r="46" spans="1:6" x14ac:dyDescent="0.35">
      <c r="A46" s="461" t="s">
        <v>192</v>
      </c>
      <c r="B46" s="461" t="s">
        <v>2</v>
      </c>
      <c r="C46" s="461" t="s">
        <v>22</v>
      </c>
      <c r="D46">
        <v>43</v>
      </c>
      <c r="E46">
        <v>38</v>
      </c>
      <c r="F46">
        <v>5</v>
      </c>
    </row>
    <row r="47" spans="1:6" x14ac:dyDescent="0.35">
      <c r="A47" s="461" t="s">
        <v>192</v>
      </c>
      <c r="B47" s="461" t="s">
        <v>2</v>
      </c>
      <c r="C47" s="461" t="s">
        <v>23</v>
      </c>
      <c r="D47">
        <v>89.021904761904764</v>
      </c>
      <c r="E47">
        <v>71.021904761904764</v>
      </c>
      <c r="F47">
        <v>18</v>
      </c>
    </row>
    <row r="48" spans="1:6" x14ac:dyDescent="0.35">
      <c r="A48" s="461" t="s">
        <v>192</v>
      </c>
      <c r="B48" s="461" t="s">
        <v>2</v>
      </c>
      <c r="C48" s="461" t="s">
        <v>19</v>
      </c>
      <c r="D48">
        <v>6</v>
      </c>
      <c r="E48">
        <v>4</v>
      </c>
      <c r="F48">
        <v>2</v>
      </c>
    </row>
    <row r="49" spans="1:6" x14ac:dyDescent="0.35">
      <c r="A49" s="461" t="s">
        <v>192</v>
      </c>
      <c r="B49" s="461" t="s">
        <v>2</v>
      </c>
      <c r="C49" s="461" t="s">
        <v>20</v>
      </c>
      <c r="D49">
        <v>6.8333333333333339</v>
      </c>
      <c r="E49">
        <v>6.8333333333333339</v>
      </c>
    </row>
    <row r="50" spans="1:6" x14ac:dyDescent="0.35">
      <c r="A50" s="461" t="s">
        <v>192</v>
      </c>
      <c r="B50" s="461" t="s">
        <v>2</v>
      </c>
      <c r="C50" s="461" t="s">
        <v>21</v>
      </c>
      <c r="D50">
        <v>50.314285714285717</v>
      </c>
      <c r="E50">
        <v>43.314285714285717</v>
      </c>
      <c r="F50">
        <v>7</v>
      </c>
    </row>
    <row r="51" spans="1:6" x14ac:dyDescent="0.35">
      <c r="A51" s="461" t="s">
        <v>192</v>
      </c>
      <c r="B51" s="461" t="s">
        <v>9</v>
      </c>
      <c r="C51" s="461" t="s">
        <v>22</v>
      </c>
      <c r="D51">
        <v>486.17999999999995</v>
      </c>
      <c r="E51">
        <v>16.75</v>
      </c>
      <c r="F51">
        <v>469.42999999999995</v>
      </c>
    </row>
    <row r="52" spans="1:6" x14ac:dyDescent="0.35">
      <c r="A52" s="461" t="s">
        <v>192</v>
      </c>
      <c r="B52" s="461" t="s">
        <v>9</v>
      </c>
      <c r="C52" s="461" t="s">
        <v>23</v>
      </c>
      <c r="D52">
        <v>1792.8328571428574</v>
      </c>
      <c r="E52">
        <v>116.4</v>
      </c>
      <c r="F52">
        <v>1676.4328571428573</v>
      </c>
    </row>
    <row r="53" spans="1:6" x14ac:dyDescent="0.35">
      <c r="A53" s="461" t="s">
        <v>192</v>
      </c>
      <c r="B53" s="461" t="s">
        <v>9</v>
      </c>
      <c r="C53" s="461" t="s">
        <v>21</v>
      </c>
      <c r="D53">
        <v>247.75</v>
      </c>
      <c r="E53">
        <v>14</v>
      </c>
      <c r="F53">
        <v>233.75</v>
      </c>
    </row>
    <row r="54" spans="1:6" x14ac:dyDescent="0.35">
      <c r="A54" s="461" t="s">
        <v>192</v>
      </c>
      <c r="B54" s="461" t="s">
        <v>3</v>
      </c>
      <c r="C54" s="461" t="s">
        <v>91</v>
      </c>
      <c r="D54">
        <v>145.72971428571435</v>
      </c>
      <c r="E54">
        <v>128.96057142857148</v>
      </c>
      <c r="F54">
        <v>16.769142857142857</v>
      </c>
    </row>
    <row r="55" spans="1:6" x14ac:dyDescent="0.35">
      <c r="A55" s="461" t="s">
        <v>192</v>
      </c>
      <c r="B55" s="461" t="s">
        <v>3</v>
      </c>
      <c r="C55" s="461" t="s">
        <v>199</v>
      </c>
      <c r="D55">
        <v>3</v>
      </c>
      <c r="E55">
        <v>2</v>
      </c>
      <c r="F55">
        <v>1</v>
      </c>
    </row>
    <row r="56" spans="1:6" x14ac:dyDescent="0.35">
      <c r="A56" s="461" t="s">
        <v>192</v>
      </c>
      <c r="B56" s="461" t="s">
        <v>3</v>
      </c>
      <c r="C56" s="461" t="s">
        <v>78</v>
      </c>
      <c r="D56">
        <v>70.714285714285694</v>
      </c>
      <c r="E56">
        <v>53.714285714285701</v>
      </c>
      <c r="F56">
        <v>17</v>
      </c>
    </row>
    <row r="57" spans="1:6" x14ac:dyDescent="0.35">
      <c r="A57" s="461" t="s">
        <v>192</v>
      </c>
      <c r="B57" s="461" t="s">
        <v>3</v>
      </c>
      <c r="C57" s="461" t="s">
        <v>77</v>
      </c>
      <c r="D57">
        <v>40</v>
      </c>
      <c r="E57">
        <v>15</v>
      </c>
      <c r="F57">
        <v>25</v>
      </c>
    </row>
    <row r="58" spans="1:6" x14ac:dyDescent="0.35">
      <c r="A58" s="461" t="s">
        <v>192</v>
      </c>
      <c r="B58" s="461" t="s">
        <v>3</v>
      </c>
      <c r="C58" s="461" t="s">
        <v>302</v>
      </c>
      <c r="D58">
        <v>303.60857142857139</v>
      </c>
      <c r="E58">
        <v>95.918571428571425</v>
      </c>
      <c r="F58">
        <v>207.69</v>
      </c>
    </row>
    <row r="59" spans="1:6" x14ac:dyDescent="0.35">
      <c r="A59" s="461" t="s">
        <v>192</v>
      </c>
      <c r="B59" s="461" t="s">
        <v>3</v>
      </c>
      <c r="C59" s="461" t="s">
        <v>80</v>
      </c>
      <c r="D59">
        <v>33.309428571428569</v>
      </c>
      <c r="E59">
        <v>17.309428571428572</v>
      </c>
      <c r="F59">
        <v>16</v>
      </c>
    </row>
    <row r="60" spans="1:6" x14ac:dyDescent="0.35">
      <c r="A60" s="461" t="s">
        <v>192</v>
      </c>
      <c r="B60" s="461" t="s">
        <v>3</v>
      </c>
      <c r="C60" s="461" t="s">
        <v>303</v>
      </c>
      <c r="D60">
        <v>122.20028571428573</v>
      </c>
      <c r="E60">
        <v>57.195428571428593</v>
      </c>
      <c r="F60">
        <v>65.004857142857134</v>
      </c>
    </row>
    <row r="61" spans="1:6" x14ac:dyDescent="0.35">
      <c r="A61" s="461" t="s">
        <v>192</v>
      </c>
      <c r="B61" s="461" t="s">
        <v>301</v>
      </c>
      <c r="C61" s="461" t="s">
        <v>18</v>
      </c>
      <c r="D61">
        <v>35</v>
      </c>
      <c r="E61">
        <v>0</v>
      </c>
      <c r="F61">
        <v>35</v>
      </c>
    </row>
    <row r="62" spans="1:6" x14ac:dyDescent="0.35">
      <c r="A62" s="461" t="s">
        <v>192</v>
      </c>
      <c r="B62" s="461" t="s">
        <v>301</v>
      </c>
      <c r="C62" s="461" t="s">
        <v>198</v>
      </c>
      <c r="D62">
        <v>4</v>
      </c>
      <c r="E62">
        <v>0</v>
      </c>
      <c r="F62">
        <v>4</v>
      </c>
    </row>
    <row r="63" spans="1:6" x14ac:dyDescent="0.35">
      <c r="A63" s="461" t="s">
        <v>192</v>
      </c>
      <c r="B63" s="461" t="s">
        <v>301</v>
      </c>
      <c r="C63" s="461" t="s">
        <v>22</v>
      </c>
      <c r="D63">
        <v>598.34523809523807</v>
      </c>
      <c r="E63">
        <v>27</v>
      </c>
      <c r="F63">
        <v>571.34523809523807</v>
      </c>
    </row>
    <row r="64" spans="1:6" x14ac:dyDescent="0.35">
      <c r="A64" s="461" t="s">
        <v>192</v>
      </c>
      <c r="B64" s="461" t="s">
        <v>301</v>
      </c>
      <c r="C64" s="461" t="s">
        <v>23</v>
      </c>
      <c r="D64">
        <v>2250.7857142857101</v>
      </c>
      <c r="E64">
        <v>112.88571428571429</v>
      </c>
      <c r="F64">
        <v>2137.9</v>
      </c>
    </row>
    <row r="65" spans="1:6" x14ac:dyDescent="0.35">
      <c r="A65" s="461" t="s">
        <v>192</v>
      </c>
      <c r="B65" s="461" t="s">
        <v>301</v>
      </c>
      <c r="C65" s="461" t="s">
        <v>19</v>
      </c>
      <c r="D65">
        <v>90</v>
      </c>
      <c r="E65">
        <v>3</v>
      </c>
      <c r="F65">
        <v>87</v>
      </c>
    </row>
    <row r="66" spans="1:6" x14ac:dyDescent="0.35">
      <c r="A66" s="461" t="s">
        <v>192</v>
      </c>
      <c r="B66" s="461" t="s">
        <v>301</v>
      </c>
      <c r="C66" s="461" t="s">
        <v>20</v>
      </c>
      <c r="D66">
        <v>126</v>
      </c>
      <c r="E66">
        <v>2</v>
      </c>
      <c r="F66">
        <v>124</v>
      </c>
    </row>
    <row r="67" spans="1:6" x14ac:dyDescent="0.35">
      <c r="A67" s="461" t="s">
        <v>192</v>
      </c>
      <c r="B67" s="461" t="s">
        <v>301</v>
      </c>
      <c r="C67" s="461" t="s">
        <v>21</v>
      </c>
      <c r="D67">
        <v>585.31904761904764</v>
      </c>
      <c r="E67">
        <v>22</v>
      </c>
      <c r="F67">
        <v>563.31904761904764</v>
      </c>
    </row>
    <row r="68" spans="1:6" x14ac:dyDescent="0.35">
      <c r="A68" s="461" t="s">
        <v>242</v>
      </c>
      <c r="B68" s="461" t="s">
        <v>2</v>
      </c>
      <c r="C68" s="461" t="s">
        <v>22</v>
      </c>
      <c r="D68">
        <v>26.79</v>
      </c>
      <c r="E68">
        <v>22.79</v>
      </c>
      <c r="F68">
        <v>4</v>
      </c>
    </row>
    <row r="69" spans="1:6" x14ac:dyDescent="0.35">
      <c r="A69" s="461" t="s">
        <v>242</v>
      </c>
      <c r="B69" s="461" t="s">
        <v>2</v>
      </c>
      <c r="C69" s="461" t="s">
        <v>23</v>
      </c>
      <c r="D69">
        <v>100.83</v>
      </c>
      <c r="E69">
        <v>83.33</v>
      </c>
      <c r="F69">
        <v>17.5</v>
      </c>
    </row>
    <row r="70" spans="1:6" x14ac:dyDescent="0.35">
      <c r="A70" s="461" t="s">
        <v>242</v>
      </c>
      <c r="B70" s="461" t="s">
        <v>2</v>
      </c>
      <c r="C70" s="461" t="s">
        <v>19</v>
      </c>
      <c r="D70">
        <v>5</v>
      </c>
      <c r="E70">
        <v>4</v>
      </c>
      <c r="F70">
        <v>1</v>
      </c>
    </row>
    <row r="71" spans="1:6" x14ac:dyDescent="0.35">
      <c r="A71" s="461" t="s">
        <v>242</v>
      </c>
      <c r="B71" s="461" t="s">
        <v>2</v>
      </c>
      <c r="C71" s="461" t="s">
        <v>20</v>
      </c>
      <c r="D71">
        <v>8</v>
      </c>
      <c r="E71">
        <v>7</v>
      </c>
      <c r="F71">
        <v>1</v>
      </c>
    </row>
    <row r="72" spans="1:6" x14ac:dyDescent="0.35">
      <c r="A72" s="461" t="s">
        <v>242</v>
      </c>
      <c r="B72" s="461" t="s">
        <v>2</v>
      </c>
      <c r="C72" s="461" t="s">
        <v>21</v>
      </c>
      <c r="D72">
        <v>43</v>
      </c>
      <c r="E72">
        <v>36</v>
      </c>
      <c r="F72">
        <v>7</v>
      </c>
    </row>
    <row r="73" spans="1:6" x14ac:dyDescent="0.35">
      <c r="A73" s="461" t="s">
        <v>242</v>
      </c>
      <c r="B73" s="461" t="s">
        <v>9</v>
      </c>
      <c r="C73" s="461" t="s">
        <v>22</v>
      </c>
      <c r="D73">
        <v>477.18</v>
      </c>
      <c r="E73">
        <v>18.25</v>
      </c>
      <c r="F73">
        <v>458.93</v>
      </c>
    </row>
    <row r="74" spans="1:6" x14ac:dyDescent="0.35">
      <c r="A74" s="461" t="s">
        <v>242</v>
      </c>
      <c r="B74" s="461" t="s">
        <v>9</v>
      </c>
      <c r="C74" s="461" t="s">
        <v>23</v>
      </c>
      <c r="D74">
        <v>1821.55</v>
      </c>
      <c r="E74">
        <v>121.65</v>
      </c>
      <c r="F74">
        <v>1699.9</v>
      </c>
    </row>
    <row r="75" spans="1:6" x14ac:dyDescent="0.35">
      <c r="A75" s="461" t="s">
        <v>242</v>
      </c>
      <c r="B75" s="461" t="s">
        <v>9</v>
      </c>
      <c r="C75" s="461" t="s">
        <v>21</v>
      </c>
      <c r="D75">
        <v>246.25</v>
      </c>
      <c r="E75">
        <v>13.75</v>
      </c>
      <c r="F75">
        <v>232.5</v>
      </c>
    </row>
    <row r="76" spans="1:6" x14ac:dyDescent="0.35">
      <c r="A76" s="461" t="s">
        <v>242</v>
      </c>
      <c r="B76" s="461" t="s">
        <v>3</v>
      </c>
      <c r="C76" s="461" t="s">
        <v>91</v>
      </c>
      <c r="D76">
        <v>135.37</v>
      </c>
      <c r="E76">
        <v>126.82</v>
      </c>
      <c r="F76">
        <v>8.5500000000000007</v>
      </c>
    </row>
    <row r="77" spans="1:6" x14ac:dyDescent="0.35">
      <c r="A77" s="461" t="s">
        <v>242</v>
      </c>
      <c r="B77" s="461" t="s">
        <v>3</v>
      </c>
      <c r="C77" s="461" t="s">
        <v>199</v>
      </c>
      <c r="D77">
        <v>2</v>
      </c>
      <c r="E77">
        <v>1</v>
      </c>
      <c r="F77">
        <v>1</v>
      </c>
    </row>
    <row r="78" spans="1:6" x14ac:dyDescent="0.35">
      <c r="A78" s="461" t="s">
        <v>242</v>
      </c>
      <c r="B78" s="461" t="s">
        <v>3</v>
      </c>
      <c r="C78" s="461" t="s">
        <v>78</v>
      </c>
      <c r="D78">
        <v>75.81</v>
      </c>
      <c r="E78">
        <v>53.98</v>
      </c>
      <c r="F78">
        <v>21.83</v>
      </c>
    </row>
    <row r="79" spans="1:6" x14ac:dyDescent="0.35">
      <c r="A79" s="461" t="s">
        <v>242</v>
      </c>
      <c r="B79" s="461" t="s">
        <v>3</v>
      </c>
      <c r="C79" s="461" t="s">
        <v>77</v>
      </c>
      <c r="D79">
        <v>49.71</v>
      </c>
      <c r="E79">
        <v>16.71</v>
      </c>
      <c r="F79">
        <v>33</v>
      </c>
    </row>
    <row r="80" spans="1:6" x14ac:dyDescent="0.35">
      <c r="A80" s="461" t="s">
        <v>242</v>
      </c>
      <c r="B80" s="461" t="s">
        <v>3</v>
      </c>
      <c r="C80" s="461" t="s">
        <v>302</v>
      </c>
      <c r="D80">
        <v>354.57</v>
      </c>
      <c r="E80">
        <v>133.04</v>
      </c>
      <c r="F80">
        <v>221.53</v>
      </c>
    </row>
    <row r="81" spans="1:6" x14ac:dyDescent="0.35">
      <c r="A81" s="461" t="s">
        <v>242</v>
      </c>
      <c r="B81" s="461" t="s">
        <v>3</v>
      </c>
      <c r="C81" s="461" t="s">
        <v>80</v>
      </c>
      <c r="D81">
        <v>30.86</v>
      </c>
      <c r="E81">
        <v>18.36</v>
      </c>
      <c r="F81">
        <v>12.5</v>
      </c>
    </row>
    <row r="82" spans="1:6" x14ac:dyDescent="0.35">
      <c r="A82" s="461" t="s">
        <v>242</v>
      </c>
      <c r="B82" s="461" t="s">
        <v>3</v>
      </c>
      <c r="C82" s="461" t="s">
        <v>303</v>
      </c>
      <c r="D82">
        <v>110.41</v>
      </c>
      <c r="E82">
        <v>52.13</v>
      </c>
      <c r="F82">
        <v>58.28</v>
      </c>
    </row>
    <row r="83" spans="1:6" x14ac:dyDescent="0.35">
      <c r="A83" s="461" t="s">
        <v>242</v>
      </c>
      <c r="B83" s="461" t="s">
        <v>301</v>
      </c>
      <c r="C83" s="461" t="s">
        <v>18</v>
      </c>
      <c r="D83">
        <v>34</v>
      </c>
      <c r="F83">
        <v>34</v>
      </c>
    </row>
    <row r="84" spans="1:6" x14ac:dyDescent="0.35">
      <c r="A84" s="461" t="s">
        <v>242</v>
      </c>
      <c r="B84" s="461" t="s">
        <v>301</v>
      </c>
      <c r="C84" s="461" t="s">
        <v>198</v>
      </c>
      <c r="D84">
        <v>4</v>
      </c>
      <c r="F84">
        <v>4</v>
      </c>
    </row>
    <row r="85" spans="1:6" x14ac:dyDescent="0.35">
      <c r="A85" s="461" t="s">
        <v>242</v>
      </c>
      <c r="B85" s="461" t="s">
        <v>301</v>
      </c>
      <c r="C85" s="461" t="s">
        <v>22</v>
      </c>
      <c r="D85">
        <v>689</v>
      </c>
      <c r="E85">
        <v>26</v>
      </c>
      <c r="F85">
        <v>663</v>
      </c>
    </row>
    <row r="86" spans="1:6" x14ac:dyDescent="0.35">
      <c r="A86" s="461" t="s">
        <v>242</v>
      </c>
      <c r="B86" s="461" t="s">
        <v>301</v>
      </c>
      <c r="C86" s="461" t="s">
        <v>23</v>
      </c>
      <c r="D86">
        <v>1988.43</v>
      </c>
      <c r="E86">
        <v>113.43</v>
      </c>
      <c r="F86">
        <v>1875</v>
      </c>
    </row>
    <row r="87" spans="1:6" x14ac:dyDescent="0.35">
      <c r="A87" s="461" t="s">
        <v>242</v>
      </c>
      <c r="B87" s="461" t="s">
        <v>301</v>
      </c>
      <c r="C87" s="461" t="s">
        <v>19</v>
      </c>
      <c r="D87">
        <v>74</v>
      </c>
      <c r="E87">
        <v>2</v>
      </c>
      <c r="F87">
        <v>72</v>
      </c>
    </row>
    <row r="88" spans="1:6" x14ac:dyDescent="0.35">
      <c r="A88" s="461" t="s">
        <v>242</v>
      </c>
      <c r="B88" s="461" t="s">
        <v>301</v>
      </c>
      <c r="C88" s="461" t="s">
        <v>20</v>
      </c>
      <c r="D88">
        <v>153</v>
      </c>
      <c r="E88">
        <v>2</v>
      </c>
      <c r="F88">
        <v>151</v>
      </c>
    </row>
    <row r="89" spans="1:6" x14ac:dyDescent="0.35">
      <c r="A89" s="461" t="s">
        <v>242</v>
      </c>
      <c r="B89" s="461" t="s">
        <v>301</v>
      </c>
      <c r="C89" s="461" t="s">
        <v>21</v>
      </c>
      <c r="D89">
        <v>602</v>
      </c>
      <c r="E89">
        <v>31</v>
      </c>
      <c r="F89">
        <v>571</v>
      </c>
    </row>
    <row r="90" spans="1:6" x14ac:dyDescent="0.35">
      <c r="A90" s="461" t="s">
        <v>241</v>
      </c>
      <c r="B90" s="461" t="s">
        <v>2</v>
      </c>
      <c r="C90" s="461" t="s">
        <v>18</v>
      </c>
      <c r="E90">
        <v>1</v>
      </c>
    </row>
    <row r="91" spans="1:6" x14ac:dyDescent="0.35">
      <c r="A91" s="461" t="s">
        <v>241</v>
      </c>
      <c r="B91" s="461" t="s">
        <v>2</v>
      </c>
      <c r="C91" s="461" t="s">
        <v>22</v>
      </c>
      <c r="D91">
        <v>27</v>
      </c>
      <c r="E91">
        <v>21</v>
      </c>
      <c r="F91">
        <v>6</v>
      </c>
    </row>
    <row r="92" spans="1:6" x14ac:dyDescent="0.35">
      <c r="A92" s="461" t="s">
        <v>241</v>
      </c>
      <c r="B92" s="461" t="s">
        <v>2</v>
      </c>
      <c r="C92" s="461" t="s">
        <v>23</v>
      </c>
      <c r="D92">
        <v>119.33000000000001</v>
      </c>
      <c r="E92">
        <v>98.330000000000013</v>
      </c>
      <c r="F92">
        <v>21</v>
      </c>
    </row>
    <row r="93" spans="1:6" x14ac:dyDescent="0.35">
      <c r="A93" s="461" t="s">
        <v>241</v>
      </c>
      <c r="B93" s="461" t="s">
        <v>2</v>
      </c>
      <c r="C93" s="461" t="s">
        <v>19</v>
      </c>
      <c r="D93">
        <v>4</v>
      </c>
      <c r="E93">
        <v>3</v>
      </c>
      <c r="F93">
        <v>1</v>
      </c>
    </row>
    <row r="94" spans="1:6" x14ac:dyDescent="0.35">
      <c r="A94" s="461" t="s">
        <v>241</v>
      </c>
      <c r="B94" s="461" t="s">
        <v>2</v>
      </c>
      <c r="C94" s="461" t="s">
        <v>20</v>
      </c>
      <c r="D94">
        <v>9</v>
      </c>
      <c r="E94">
        <v>8</v>
      </c>
      <c r="F94">
        <v>1</v>
      </c>
    </row>
    <row r="95" spans="1:6" x14ac:dyDescent="0.35">
      <c r="A95" s="461" t="s">
        <v>241</v>
      </c>
      <c r="B95" s="461" t="s">
        <v>2</v>
      </c>
      <c r="C95" s="461" t="s">
        <v>21</v>
      </c>
      <c r="D95">
        <v>42</v>
      </c>
      <c r="E95">
        <v>36</v>
      </c>
      <c r="F95">
        <v>6</v>
      </c>
    </row>
    <row r="96" spans="1:6" x14ac:dyDescent="0.35">
      <c r="A96" s="461" t="s">
        <v>241</v>
      </c>
      <c r="B96" s="461" t="s">
        <v>9</v>
      </c>
      <c r="C96" s="461" t="s">
        <v>22</v>
      </c>
      <c r="D96">
        <v>478.93</v>
      </c>
      <c r="E96">
        <v>19</v>
      </c>
      <c r="F96">
        <v>459.93</v>
      </c>
    </row>
    <row r="97" spans="1:6" x14ac:dyDescent="0.35">
      <c r="A97" s="461" t="s">
        <v>241</v>
      </c>
      <c r="B97" s="461" t="s">
        <v>9</v>
      </c>
      <c r="C97" s="461" t="s">
        <v>23</v>
      </c>
      <c r="D97">
        <v>1863.8</v>
      </c>
      <c r="E97">
        <v>148.4</v>
      </c>
      <c r="F97">
        <v>1715.3999999999999</v>
      </c>
    </row>
    <row r="98" spans="1:6" x14ac:dyDescent="0.35">
      <c r="A98" s="461" t="s">
        <v>241</v>
      </c>
      <c r="B98" s="461" t="s">
        <v>9</v>
      </c>
      <c r="C98" s="461" t="s">
        <v>21</v>
      </c>
      <c r="D98">
        <v>241.25</v>
      </c>
      <c r="E98">
        <v>12.5</v>
      </c>
      <c r="F98">
        <v>228.75</v>
      </c>
    </row>
    <row r="99" spans="1:6" x14ac:dyDescent="0.35">
      <c r="A99" s="461" t="s">
        <v>241</v>
      </c>
      <c r="B99" s="461" t="s">
        <v>774</v>
      </c>
      <c r="C99" s="461" t="s">
        <v>17423</v>
      </c>
      <c r="D99">
        <v>18</v>
      </c>
      <c r="E99">
        <v>1</v>
      </c>
      <c r="F99">
        <v>17</v>
      </c>
    </row>
    <row r="100" spans="1:6" x14ac:dyDescent="0.35">
      <c r="A100" s="461" t="s">
        <v>241</v>
      </c>
      <c r="B100" s="461" t="s">
        <v>3</v>
      </c>
      <c r="C100" s="461" t="s">
        <v>91</v>
      </c>
      <c r="D100">
        <v>144.99</v>
      </c>
      <c r="E100">
        <v>134.44</v>
      </c>
      <c r="F100">
        <v>10.549999999999999</v>
      </c>
    </row>
    <row r="101" spans="1:6" x14ac:dyDescent="0.35">
      <c r="A101" s="461" t="s">
        <v>241</v>
      </c>
      <c r="B101" s="461" t="s">
        <v>3</v>
      </c>
      <c r="C101" s="461" t="s">
        <v>199</v>
      </c>
      <c r="D101">
        <v>3</v>
      </c>
      <c r="E101">
        <v>2</v>
      </c>
      <c r="F101">
        <v>1</v>
      </c>
    </row>
    <row r="102" spans="1:6" x14ac:dyDescent="0.35">
      <c r="A102" s="461" t="s">
        <v>241</v>
      </c>
      <c r="B102" s="461" t="s">
        <v>3</v>
      </c>
      <c r="C102" s="461" t="s">
        <v>78</v>
      </c>
      <c r="D102">
        <v>80.400000000000006</v>
      </c>
      <c r="E102">
        <v>55.4</v>
      </c>
      <c r="F102">
        <v>25</v>
      </c>
    </row>
    <row r="103" spans="1:6" x14ac:dyDescent="0.35">
      <c r="A103" s="461" t="s">
        <v>241</v>
      </c>
      <c r="B103" s="461" t="s">
        <v>3</v>
      </c>
      <c r="C103" s="461" t="s">
        <v>77</v>
      </c>
      <c r="D103">
        <v>49</v>
      </c>
      <c r="E103">
        <v>15</v>
      </c>
      <c r="F103">
        <v>34</v>
      </c>
    </row>
    <row r="104" spans="1:6" x14ac:dyDescent="0.35">
      <c r="A104" s="461" t="s">
        <v>241</v>
      </c>
      <c r="B104" s="461" t="s">
        <v>3</v>
      </c>
      <c r="C104" s="461" t="s">
        <v>302</v>
      </c>
      <c r="D104">
        <v>375.56</v>
      </c>
      <c r="E104">
        <v>139.56</v>
      </c>
      <c r="F104">
        <v>236</v>
      </c>
    </row>
    <row r="105" spans="1:6" x14ac:dyDescent="0.35">
      <c r="A105" s="461" t="s">
        <v>241</v>
      </c>
      <c r="B105" s="461" t="s">
        <v>3</v>
      </c>
      <c r="C105" s="461" t="s">
        <v>80</v>
      </c>
      <c r="D105">
        <v>34</v>
      </c>
      <c r="E105">
        <v>21</v>
      </c>
      <c r="F105">
        <v>13</v>
      </c>
    </row>
    <row r="106" spans="1:6" x14ac:dyDescent="0.35">
      <c r="A106" s="461" t="s">
        <v>241</v>
      </c>
      <c r="B106" s="461" t="s">
        <v>3</v>
      </c>
      <c r="C106" s="461" t="s">
        <v>303</v>
      </c>
      <c r="D106">
        <v>58.61</v>
      </c>
      <c r="E106">
        <v>21.26</v>
      </c>
      <c r="F106">
        <v>37.35</v>
      </c>
    </row>
    <row r="107" spans="1:6" x14ac:dyDescent="0.35">
      <c r="A107" s="461" t="s">
        <v>241</v>
      </c>
      <c r="B107" s="461" t="s">
        <v>301</v>
      </c>
      <c r="C107" s="461" t="s">
        <v>18</v>
      </c>
      <c r="F107">
        <v>33</v>
      </c>
    </row>
    <row r="108" spans="1:6" x14ac:dyDescent="0.35">
      <c r="A108" s="461" t="s">
        <v>241</v>
      </c>
      <c r="B108" s="461" t="s">
        <v>301</v>
      </c>
      <c r="C108" s="461" t="s">
        <v>198</v>
      </c>
      <c r="F108">
        <v>4</v>
      </c>
    </row>
    <row r="109" spans="1:6" x14ac:dyDescent="0.35">
      <c r="A109" s="461" t="s">
        <v>241</v>
      </c>
      <c r="B109" s="461" t="s">
        <v>301</v>
      </c>
      <c r="C109" s="461" t="s">
        <v>22</v>
      </c>
      <c r="D109">
        <v>687</v>
      </c>
      <c r="E109">
        <v>27</v>
      </c>
      <c r="F109">
        <v>660</v>
      </c>
    </row>
    <row r="110" spans="1:6" x14ac:dyDescent="0.35">
      <c r="A110" s="461" t="s">
        <v>241</v>
      </c>
      <c r="B110" s="461" t="s">
        <v>301</v>
      </c>
      <c r="C110" s="461" t="s">
        <v>23</v>
      </c>
      <c r="D110">
        <v>2073.9299999999998</v>
      </c>
      <c r="E110">
        <v>130.93</v>
      </c>
      <c r="F110">
        <v>1943</v>
      </c>
    </row>
    <row r="111" spans="1:6" x14ac:dyDescent="0.35">
      <c r="A111" s="461" t="s">
        <v>241</v>
      </c>
      <c r="B111" s="461" t="s">
        <v>301</v>
      </c>
      <c r="C111" s="461" t="s">
        <v>19</v>
      </c>
      <c r="D111">
        <v>80</v>
      </c>
      <c r="E111">
        <v>2</v>
      </c>
      <c r="F111">
        <v>78</v>
      </c>
    </row>
    <row r="112" spans="1:6" x14ac:dyDescent="0.35">
      <c r="A112" s="461" t="s">
        <v>241</v>
      </c>
      <c r="B112" s="461" t="s">
        <v>301</v>
      </c>
      <c r="C112" s="461" t="s">
        <v>20</v>
      </c>
      <c r="D112">
        <v>147</v>
      </c>
      <c r="E112">
        <v>2</v>
      </c>
      <c r="F112">
        <v>145</v>
      </c>
    </row>
    <row r="113" spans="1:6" x14ac:dyDescent="0.35">
      <c r="A113" s="461" t="s">
        <v>241</v>
      </c>
      <c r="B113" s="461" t="s">
        <v>301</v>
      </c>
      <c r="C113" s="461" t="s">
        <v>21</v>
      </c>
      <c r="D113">
        <v>611</v>
      </c>
      <c r="E113">
        <v>33</v>
      </c>
      <c r="F113">
        <v>578</v>
      </c>
    </row>
    <row r="114" spans="1:6" x14ac:dyDescent="0.35">
      <c r="A114" s="461" t="s">
        <v>773</v>
      </c>
      <c r="B114" s="461" t="s">
        <v>2</v>
      </c>
      <c r="C114" s="461" t="s">
        <v>18</v>
      </c>
      <c r="E114">
        <v>1</v>
      </c>
    </row>
    <row r="115" spans="1:6" x14ac:dyDescent="0.35">
      <c r="A115" s="461" t="s">
        <v>773</v>
      </c>
      <c r="B115" s="461" t="s">
        <v>2</v>
      </c>
      <c r="C115" s="461" t="s">
        <v>22</v>
      </c>
      <c r="D115">
        <v>26</v>
      </c>
      <c r="E115">
        <v>21</v>
      </c>
      <c r="F115">
        <v>5</v>
      </c>
    </row>
    <row r="116" spans="1:6" x14ac:dyDescent="0.35">
      <c r="A116" s="461" t="s">
        <v>773</v>
      </c>
      <c r="B116" s="461" t="s">
        <v>2</v>
      </c>
      <c r="C116" s="461" t="s">
        <v>23</v>
      </c>
      <c r="D116">
        <v>99.83</v>
      </c>
      <c r="E116">
        <v>81.83</v>
      </c>
      <c r="F116">
        <v>18</v>
      </c>
    </row>
    <row r="117" spans="1:6" x14ac:dyDescent="0.35">
      <c r="A117" s="461" t="s">
        <v>773</v>
      </c>
      <c r="B117" s="461" t="s">
        <v>2</v>
      </c>
      <c r="C117" s="461" t="s">
        <v>19</v>
      </c>
      <c r="D117">
        <v>4</v>
      </c>
      <c r="E117">
        <v>3</v>
      </c>
      <c r="F117">
        <v>1</v>
      </c>
    </row>
    <row r="118" spans="1:6" x14ac:dyDescent="0.35">
      <c r="A118" s="461" t="s">
        <v>773</v>
      </c>
      <c r="B118" s="461" t="s">
        <v>2</v>
      </c>
      <c r="C118" s="461" t="s">
        <v>20</v>
      </c>
      <c r="D118">
        <v>8</v>
      </c>
      <c r="E118">
        <v>7</v>
      </c>
      <c r="F118">
        <v>1</v>
      </c>
    </row>
    <row r="119" spans="1:6" x14ac:dyDescent="0.35">
      <c r="A119" s="461" t="s">
        <v>773</v>
      </c>
      <c r="B119" s="461" t="s">
        <v>2</v>
      </c>
      <c r="C119" s="461" t="s">
        <v>21</v>
      </c>
      <c r="D119">
        <v>45</v>
      </c>
      <c r="E119">
        <v>38</v>
      </c>
      <c r="F119">
        <v>7</v>
      </c>
    </row>
    <row r="120" spans="1:6" x14ac:dyDescent="0.35">
      <c r="A120" s="461" t="s">
        <v>773</v>
      </c>
      <c r="B120" s="461" t="s">
        <v>9</v>
      </c>
      <c r="C120" s="461" t="s">
        <v>22</v>
      </c>
      <c r="D120">
        <v>459.93</v>
      </c>
      <c r="E120">
        <v>17</v>
      </c>
      <c r="F120">
        <v>442.93</v>
      </c>
    </row>
    <row r="121" spans="1:6" x14ac:dyDescent="0.35">
      <c r="A121" s="461" t="s">
        <v>773</v>
      </c>
      <c r="B121" s="461" t="s">
        <v>9</v>
      </c>
      <c r="C121" s="461" t="s">
        <v>23</v>
      </c>
      <c r="D121">
        <v>1855.3</v>
      </c>
      <c r="E121">
        <v>153.15</v>
      </c>
      <c r="F121">
        <v>1702.1499999999999</v>
      </c>
    </row>
    <row r="122" spans="1:6" x14ac:dyDescent="0.35">
      <c r="A122" s="461" t="s">
        <v>773</v>
      </c>
      <c r="B122" s="461" t="s">
        <v>9</v>
      </c>
      <c r="C122" s="461" t="s">
        <v>21</v>
      </c>
      <c r="D122">
        <v>236.5</v>
      </c>
      <c r="E122">
        <v>11.75</v>
      </c>
      <c r="F122">
        <v>224.75</v>
      </c>
    </row>
    <row r="123" spans="1:6" x14ac:dyDescent="0.35">
      <c r="A123" s="461" t="s">
        <v>773</v>
      </c>
      <c r="B123" s="461" t="s">
        <v>774</v>
      </c>
      <c r="C123" s="461" t="s">
        <v>21</v>
      </c>
      <c r="D123">
        <v>36</v>
      </c>
      <c r="E123">
        <v>7</v>
      </c>
      <c r="F123">
        <v>29</v>
      </c>
    </row>
    <row r="124" spans="1:6" x14ac:dyDescent="0.35">
      <c r="A124" s="461" t="s">
        <v>773</v>
      </c>
      <c r="B124" s="461" t="s">
        <v>3</v>
      </c>
      <c r="C124" s="461" t="s">
        <v>91</v>
      </c>
      <c r="D124">
        <v>154.34</v>
      </c>
      <c r="E124">
        <v>144.79</v>
      </c>
      <c r="F124">
        <v>9.5499999999999989</v>
      </c>
    </row>
    <row r="125" spans="1:6" x14ac:dyDescent="0.35">
      <c r="A125" s="461" t="s">
        <v>773</v>
      </c>
      <c r="B125" s="461" t="s">
        <v>3</v>
      </c>
      <c r="C125" s="461" t="s">
        <v>199</v>
      </c>
      <c r="D125">
        <v>3</v>
      </c>
      <c r="E125">
        <v>2</v>
      </c>
      <c r="F125">
        <v>1</v>
      </c>
    </row>
    <row r="126" spans="1:6" x14ac:dyDescent="0.35">
      <c r="A126" s="461" t="s">
        <v>773</v>
      </c>
      <c r="B126" s="461" t="s">
        <v>3</v>
      </c>
      <c r="C126" s="461" t="s">
        <v>78</v>
      </c>
      <c r="D126">
        <v>88.61</v>
      </c>
      <c r="E126">
        <v>59.61</v>
      </c>
      <c r="F126">
        <v>29</v>
      </c>
    </row>
    <row r="127" spans="1:6" x14ac:dyDescent="0.35">
      <c r="A127" s="461" t="s">
        <v>773</v>
      </c>
      <c r="B127" s="461" t="s">
        <v>3</v>
      </c>
      <c r="C127" s="461" t="s">
        <v>77</v>
      </c>
      <c r="D127">
        <v>47</v>
      </c>
      <c r="E127">
        <v>14</v>
      </c>
      <c r="F127">
        <v>33</v>
      </c>
    </row>
    <row r="128" spans="1:6" x14ac:dyDescent="0.35">
      <c r="A128" s="461" t="s">
        <v>773</v>
      </c>
      <c r="B128" s="461" t="s">
        <v>3</v>
      </c>
      <c r="C128" s="461" t="s">
        <v>302</v>
      </c>
      <c r="D128">
        <v>382.5</v>
      </c>
      <c r="E128">
        <v>142.84</v>
      </c>
      <c r="F128">
        <v>239.66000000000003</v>
      </c>
    </row>
    <row r="129" spans="1:6" x14ac:dyDescent="0.35">
      <c r="A129" s="461" t="s">
        <v>773</v>
      </c>
      <c r="B129" s="461" t="s">
        <v>3</v>
      </c>
      <c r="C129" s="461" t="s">
        <v>80</v>
      </c>
      <c r="D129">
        <v>32</v>
      </c>
      <c r="E129">
        <v>20</v>
      </c>
      <c r="F129">
        <v>12</v>
      </c>
    </row>
    <row r="130" spans="1:6" x14ac:dyDescent="0.35">
      <c r="A130" s="461" t="s">
        <v>773</v>
      </c>
      <c r="B130" s="461" t="s">
        <v>3</v>
      </c>
      <c r="C130" s="461" t="s">
        <v>303</v>
      </c>
      <c r="D130">
        <v>56.95</v>
      </c>
      <c r="E130">
        <v>20.599999999999998</v>
      </c>
      <c r="F130">
        <v>36.35</v>
      </c>
    </row>
    <row r="131" spans="1:6" x14ac:dyDescent="0.35">
      <c r="A131" s="461" t="s">
        <v>773</v>
      </c>
      <c r="B131" s="461" t="s">
        <v>301</v>
      </c>
      <c r="C131" s="461" t="s">
        <v>18</v>
      </c>
      <c r="F131">
        <v>31</v>
      </c>
    </row>
    <row r="132" spans="1:6" x14ac:dyDescent="0.35">
      <c r="A132" s="461" t="s">
        <v>773</v>
      </c>
      <c r="B132" s="461" t="s">
        <v>301</v>
      </c>
      <c r="C132" s="461" t="s">
        <v>198</v>
      </c>
      <c r="F132">
        <v>6</v>
      </c>
    </row>
    <row r="133" spans="1:6" x14ac:dyDescent="0.35">
      <c r="A133" s="461" t="s">
        <v>773</v>
      </c>
      <c r="B133" s="461" t="s">
        <v>301</v>
      </c>
      <c r="C133" s="461" t="s">
        <v>22</v>
      </c>
      <c r="D133">
        <v>688</v>
      </c>
      <c r="E133">
        <v>31</v>
      </c>
      <c r="F133">
        <v>657</v>
      </c>
    </row>
    <row r="134" spans="1:6" x14ac:dyDescent="0.35">
      <c r="A134" s="461" t="s">
        <v>773</v>
      </c>
      <c r="B134" s="461" t="s">
        <v>301</v>
      </c>
      <c r="C134" s="461" t="s">
        <v>23</v>
      </c>
      <c r="D134">
        <v>2067.9299999999998</v>
      </c>
      <c r="E134">
        <v>152.92999999999998</v>
      </c>
      <c r="F134">
        <v>1915</v>
      </c>
    </row>
    <row r="135" spans="1:6" x14ac:dyDescent="0.35">
      <c r="A135" s="461" t="s">
        <v>773</v>
      </c>
      <c r="B135" s="461" t="s">
        <v>301</v>
      </c>
      <c r="C135" s="461" t="s">
        <v>19</v>
      </c>
      <c r="D135">
        <v>80</v>
      </c>
      <c r="E135">
        <v>2</v>
      </c>
      <c r="F135">
        <v>78</v>
      </c>
    </row>
    <row r="136" spans="1:6" x14ac:dyDescent="0.35">
      <c r="A136" s="461" t="s">
        <v>773</v>
      </c>
      <c r="B136" s="461" t="s">
        <v>301</v>
      </c>
      <c r="C136" s="461" t="s">
        <v>20</v>
      </c>
      <c r="D136">
        <v>153</v>
      </c>
      <c r="E136">
        <v>5</v>
      </c>
      <c r="F136">
        <v>148</v>
      </c>
    </row>
    <row r="137" spans="1:6" x14ac:dyDescent="0.35">
      <c r="A137" s="461" t="s">
        <v>773</v>
      </c>
      <c r="B137" s="461" t="s">
        <v>301</v>
      </c>
      <c r="C137" s="461" t="s">
        <v>21</v>
      </c>
      <c r="D137">
        <v>608</v>
      </c>
      <c r="E137">
        <v>30</v>
      </c>
      <c r="F137">
        <v>578</v>
      </c>
    </row>
    <row r="138" spans="1:6" x14ac:dyDescent="0.35">
      <c r="A138" s="461" t="s">
        <v>951</v>
      </c>
      <c r="B138" s="461" t="s">
        <v>2</v>
      </c>
      <c r="C138" s="461" t="s">
        <v>18</v>
      </c>
      <c r="E138">
        <v>1</v>
      </c>
    </row>
    <row r="139" spans="1:6" x14ac:dyDescent="0.35">
      <c r="A139" s="461" t="s">
        <v>951</v>
      </c>
      <c r="B139" s="461" t="s">
        <v>2</v>
      </c>
      <c r="C139" s="461" t="s">
        <v>22</v>
      </c>
      <c r="D139">
        <v>30</v>
      </c>
      <c r="E139">
        <v>23</v>
      </c>
      <c r="F139">
        <v>7</v>
      </c>
    </row>
    <row r="140" spans="1:6" x14ac:dyDescent="0.35">
      <c r="A140" s="461" t="s">
        <v>951</v>
      </c>
      <c r="B140" s="461" t="s">
        <v>2</v>
      </c>
      <c r="C140" s="461" t="s">
        <v>23</v>
      </c>
      <c r="D140">
        <v>90.06</v>
      </c>
      <c r="E140">
        <v>74.06</v>
      </c>
      <c r="F140">
        <v>16</v>
      </c>
    </row>
    <row r="141" spans="1:6" x14ac:dyDescent="0.35">
      <c r="A141" s="461" t="s">
        <v>951</v>
      </c>
      <c r="B141" s="461" t="s">
        <v>2</v>
      </c>
      <c r="C141" s="461" t="s">
        <v>19</v>
      </c>
      <c r="D141">
        <v>4</v>
      </c>
      <c r="E141">
        <v>3</v>
      </c>
      <c r="F141">
        <v>1</v>
      </c>
    </row>
    <row r="142" spans="1:6" x14ac:dyDescent="0.35">
      <c r="A142" s="461" t="s">
        <v>951</v>
      </c>
      <c r="B142" s="461" t="s">
        <v>2</v>
      </c>
      <c r="C142" s="461" t="s">
        <v>20</v>
      </c>
      <c r="D142">
        <v>10</v>
      </c>
      <c r="E142">
        <v>9</v>
      </c>
      <c r="F142">
        <v>1</v>
      </c>
    </row>
    <row r="143" spans="1:6" x14ac:dyDescent="0.35">
      <c r="A143" s="461" t="s">
        <v>951</v>
      </c>
      <c r="B143" s="461" t="s">
        <v>2</v>
      </c>
      <c r="C143" s="461" t="s">
        <v>21</v>
      </c>
      <c r="D143">
        <v>41</v>
      </c>
      <c r="E143">
        <v>35</v>
      </c>
      <c r="F143">
        <v>6</v>
      </c>
    </row>
    <row r="144" spans="1:6" x14ac:dyDescent="0.35">
      <c r="A144" s="461" t="s">
        <v>951</v>
      </c>
      <c r="B144" s="461" t="s">
        <v>9</v>
      </c>
      <c r="C144" s="461" t="s">
        <v>22</v>
      </c>
      <c r="D144">
        <v>461.93</v>
      </c>
      <c r="E144">
        <v>14</v>
      </c>
      <c r="F144">
        <v>447.93</v>
      </c>
    </row>
    <row r="145" spans="1:6" x14ac:dyDescent="0.35">
      <c r="A145" s="461" t="s">
        <v>951</v>
      </c>
      <c r="B145" s="461" t="s">
        <v>9</v>
      </c>
      <c r="C145" s="461" t="s">
        <v>23</v>
      </c>
      <c r="D145">
        <v>1784.5500000000002</v>
      </c>
      <c r="E145">
        <v>143.4</v>
      </c>
      <c r="F145">
        <v>1641.15</v>
      </c>
    </row>
    <row r="146" spans="1:6" x14ac:dyDescent="0.35">
      <c r="A146" s="461" t="s">
        <v>951</v>
      </c>
      <c r="B146" s="461" t="s">
        <v>9</v>
      </c>
      <c r="C146" s="461" t="s">
        <v>21</v>
      </c>
      <c r="D146">
        <v>236</v>
      </c>
      <c r="E146">
        <v>11.25</v>
      </c>
      <c r="F146">
        <v>224.75</v>
      </c>
    </row>
    <row r="147" spans="1:6" x14ac:dyDescent="0.35">
      <c r="A147" s="461" t="s">
        <v>951</v>
      </c>
      <c r="B147" s="461" t="s">
        <v>774</v>
      </c>
      <c r="C147" s="461" t="s">
        <v>21</v>
      </c>
      <c r="D147">
        <v>54</v>
      </c>
      <c r="E147">
        <v>11</v>
      </c>
      <c r="F147">
        <v>43</v>
      </c>
    </row>
    <row r="148" spans="1:6" x14ac:dyDescent="0.35">
      <c r="A148" s="461" t="s">
        <v>951</v>
      </c>
      <c r="B148" s="461" t="s">
        <v>3</v>
      </c>
      <c r="C148" s="461" t="s">
        <v>91</v>
      </c>
      <c r="D148">
        <v>160.44999999999999</v>
      </c>
      <c r="E148">
        <v>151.58999999999997</v>
      </c>
      <c r="F148">
        <v>8.86</v>
      </c>
    </row>
    <row r="149" spans="1:6" x14ac:dyDescent="0.35">
      <c r="A149" s="461" t="s">
        <v>951</v>
      </c>
      <c r="B149" s="461" t="s">
        <v>3</v>
      </c>
      <c r="C149" s="461" t="s">
        <v>199</v>
      </c>
      <c r="D149">
        <v>3</v>
      </c>
      <c r="E149">
        <v>2</v>
      </c>
      <c r="F149">
        <v>1</v>
      </c>
    </row>
    <row r="150" spans="1:6" x14ac:dyDescent="0.35">
      <c r="A150" s="461" t="s">
        <v>951</v>
      </c>
      <c r="B150" s="461" t="s">
        <v>3</v>
      </c>
      <c r="C150" s="461" t="s">
        <v>78</v>
      </c>
      <c r="D150">
        <v>88.429999999999993</v>
      </c>
      <c r="E150">
        <v>59.429999999999993</v>
      </c>
      <c r="F150">
        <v>29</v>
      </c>
    </row>
    <row r="151" spans="1:6" x14ac:dyDescent="0.35">
      <c r="A151" s="461" t="s">
        <v>951</v>
      </c>
      <c r="B151" s="461" t="s">
        <v>3</v>
      </c>
      <c r="C151" s="461" t="s">
        <v>77</v>
      </c>
      <c r="D151">
        <v>49.8</v>
      </c>
      <c r="E151">
        <v>16.8</v>
      </c>
      <c r="F151">
        <v>33</v>
      </c>
    </row>
    <row r="152" spans="1:6" x14ac:dyDescent="0.35">
      <c r="A152" s="461" t="s">
        <v>951</v>
      </c>
      <c r="B152" s="461" t="s">
        <v>3</v>
      </c>
      <c r="C152" s="461" t="s">
        <v>302</v>
      </c>
      <c r="D152">
        <v>399.88</v>
      </c>
      <c r="E152">
        <v>154.13999999999999</v>
      </c>
      <c r="F152">
        <v>245.74</v>
      </c>
    </row>
    <row r="153" spans="1:6" x14ac:dyDescent="0.35">
      <c r="A153" s="461" t="s">
        <v>951</v>
      </c>
      <c r="B153" s="461" t="s">
        <v>3</v>
      </c>
      <c r="C153" s="461" t="s">
        <v>80</v>
      </c>
      <c r="D153">
        <v>30</v>
      </c>
      <c r="E153">
        <v>19</v>
      </c>
      <c r="F153">
        <v>11</v>
      </c>
    </row>
    <row r="154" spans="1:6" x14ac:dyDescent="0.35">
      <c r="A154" s="461" t="s">
        <v>951</v>
      </c>
      <c r="B154" s="461" t="s">
        <v>3</v>
      </c>
      <c r="C154" s="461" t="s">
        <v>303</v>
      </c>
      <c r="D154">
        <v>55.730000000000004</v>
      </c>
      <c r="E154">
        <v>18.38</v>
      </c>
      <c r="F154">
        <v>37.35</v>
      </c>
    </row>
    <row r="155" spans="1:6" x14ac:dyDescent="0.35">
      <c r="A155" s="461" t="s">
        <v>951</v>
      </c>
      <c r="B155" s="461" t="s">
        <v>301</v>
      </c>
      <c r="C155" s="461" t="s">
        <v>18</v>
      </c>
      <c r="F155">
        <v>35</v>
      </c>
    </row>
    <row r="156" spans="1:6" x14ac:dyDescent="0.35">
      <c r="A156" s="461" t="s">
        <v>951</v>
      </c>
      <c r="B156" s="461" t="s">
        <v>301</v>
      </c>
      <c r="C156" s="461" t="s">
        <v>198</v>
      </c>
      <c r="F156">
        <v>5</v>
      </c>
    </row>
    <row r="157" spans="1:6" x14ac:dyDescent="0.35">
      <c r="A157" s="461" t="s">
        <v>951</v>
      </c>
      <c r="B157" s="461" t="s">
        <v>301</v>
      </c>
      <c r="C157" s="461" t="s">
        <v>22</v>
      </c>
      <c r="D157">
        <v>687</v>
      </c>
      <c r="E157">
        <v>29</v>
      </c>
      <c r="F157">
        <v>658</v>
      </c>
    </row>
    <row r="158" spans="1:6" x14ac:dyDescent="0.35">
      <c r="A158" s="461" t="s">
        <v>951</v>
      </c>
      <c r="B158" s="461" t="s">
        <v>301</v>
      </c>
      <c r="C158" s="461" t="s">
        <v>23</v>
      </c>
      <c r="D158">
        <v>2017.43</v>
      </c>
      <c r="E158">
        <v>148.43</v>
      </c>
      <c r="F158">
        <v>1869</v>
      </c>
    </row>
    <row r="159" spans="1:6" x14ac:dyDescent="0.35">
      <c r="A159" s="461" t="s">
        <v>951</v>
      </c>
      <c r="B159" s="461" t="s">
        <v>301</v>
      </c>
      <c r="C159" s="461" t="s">
        <v>19</v>
      </c>
      <c r="D159">
        <v>81</v>
      </c>
      <c r="E159">
        <v>2</v>
      </c>
      <c r="F159">
        <v>79</v>
      </c>
    </row>
    <row r="160" spans="1:6" x14ac:dyDescent="0.35">
      <c r="A160" s="461" t="s">
        <v>951</v>
      </c>
      <c r="B160" s="461" t="s">
        <v>301</v>
      </c>
      <c r="C160" s="461" t="s">
        <v>20</v>
      </c>
      <c r="D160">
        <v>152</v>
      </c>
      <c r="E160">
        <v>7</v>
      </c>
      <c r="F160">
        <v>145</v>
      </c>
    </row>
    <row r="161" spans="1:6" x14ac:dyDescent="0.35">
      <c r="A161" s="461" t="s">
        <v>951</v>
      </c>
      <c r="B161" s="461" t="s">
        <v>301</v>
      </c>
      <c r="C161" s="461" t="s">
        <v>21</v>
      </c>
      <c r="D161">
        <v>604</v>
      </c>
      <c r="E161">
        <v>31</v>
      </c>
      <c r="F161">
        <v>573</v>
      </c>
    </row>
  </sheetData>
  <pageMargins left="0.7" right="0.7" top="0.75" bottom="0.75" header="0.3" footer="0.3"/>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39997558519241921"/>
    <pageSetUpPr fitToPage="1"/>
  </sheetPr>
  <dimension ref="A1:Q64"/>
  <sheetViews>
    <sheetView showGridLines="0" zoomScaleNormal="100" workbookViewId="0">
      <pane ySplit="2" topLeftCell="A3" activePane="bottomLeft" state="frozen"/>
      <selection pane="bottomLeft"/>
    </sheetView>
  </sheetViews>
  <sheetFormatPr defaultRowHeight="14.5" x14ac:dyDescent="0.35"/>
  <cols>
    <col min="1" max="1" width="37.26953125" bestFit="1" customWidth="1"/>
    <col min="2" max="6" width="13.453125" customWidth="1"/>
  </cols>
  <sheetData>
    <row r="1" spans="1:6" ht="15.5" x14ac:dyDescent="0.35">
      <c r="A1" s="629" t="s">
        <v>439</v>
      </c>
      <c r="B1" s="629"/>
      <c r="C1" s="629"/>
    </row>
    <row r="2" spans="1:6" x14ac:dyDescent="0.35">
      <c r="A2" s="601" t="s">
        <v>509</v>
      </c>
    </row>
    <row r="3" spans="1:6" x14ac:dyDescent="0.35">
      <c r="A3" s="28"/>
      <c r="B3" s="28"/>
      <c r="C3" s="28"/>
    </row>
    <row r="4" spans="1:6" ht="15.75" customHeight="1" x14ac:dyDescent="0.35">
      <c r="A4" s="1189" t="s">
        <v>458</v>
      </c>
      <c r="B4" s="1189"/>
      <c r="C4" s="1189"/>
      <c r="D4" s="1189"/>
      <c r="E4" s="1189"/>
      <c r="F4" s="1189"/>
    </row>
    <row r="5" spans="1:6" ht="15" customHeight="1" x14ac:dyDescent="0.35">
      <c r="A5" t="s">
        <v>320</v>
      </c>
      <c r="B5" t="s">
        <v>683</v>
      </c>
      <c r="C5" s="506"/>
      <c r="D5" s="515"/>
      <c r="E5" s="515"/>
      <c r="F5" s="515"/>
    </row>
    <row r="6" spans="1:6" ht="15" customHeight="1" x14ac:dyDescent="0.35">
      <c r="A6" t="s">
        <v>321</v>
      </c>
      <c r="B6" t="s">
        <v>323</v>
      </c>
      <c r="C6" s="506"/>
      <c r="D6" s="515"/>
      <c r="E6" s="515"/>
      <c r="F6" s="515"/>
    </row>
    <row r="7" spans="1:6" ht="15" customHeight="1" x14ac:dyDescent="0.35">
      <c r="A7" t="s">
        <v>322</v>
      </c>
      <c r="B7" t="s">
        <v>324</v>
      </c>
      <c r="C7" s="506"/>
      <c r="D7" s="515"/>
      <c r="E7" s="515"/>
      <c r="F7" s="515"/>
    </row>
    <row r="8" spans="1:6" ht="15.5" x14ac:dyDescent="0.35">
      <c r="A8" s="194"/>
      <c r="B8" s="192"/>
      <c r="C8" s="192"/>
      <c r="D8" s="198" t="s">
        <v>6</v>
      </c>
      <c r="E8" s="342"/>
      <c r="F8" s="125" t="s">
        <v>7</v>
      </c>
    </row>
    <row r="9" spans="1:6" x14ac:dyDescent="0.35">
      <c r="A9" s="354" t="s">
        <v>27</v>
      </c>
      <c r="B9" s="275" t="s">
        <v>85</v>
      </c>
      <c r="C9" s="275" t="s">
        <v>86</v>
      </c>
      <c r="D9" s="583" t="s">
        <v>26</v>
      </c>
      <c r="E9" s="356" t="s">
        <v>85</v>
      </c>
      <c r="F9" s="275" t="s">
        <v>86</v>
      </c>
    </row>
    <row r="10" spans="1:6" x14ac:dyDescent="0.35">
      <c r="A10" s="355" t="s">
        <v>856</v>
      </c>
      <c r="B10" s="940">
        <f>GETPIVOTDATA("Sum of Female",FTEGenderRolePivot!$A$3,"Type","WT","PostConv","Brigade Manager")</f>
        <v>0</v>
      </c>
      <c r="C10" s="940">
        <f>GETPIVOTDATA("Sum of Male",FTEGenderRolePivot!$A$3,"Type","WT","PostConv","Brigade Manager")</f>
        <v>5</v>
      </c>
      <c r="D10" s="941">
        <f>SUM(B10:C10)</f>
        <v>5</v>
      </c>
      <c r="E10" s="349">
        <f t="shared" ref="E10:E17" si="0">B10/(B10+C10)</f>
        <v>0</v>
      </c>
      <c r="F10" s="349">
        <f t="shared" ref="F10:F17" si="1">C10/(B10+C10)</f>
        <v>1</v>
      </c>
    </row>
    <row r="11" spans="1:6" x14ac:dyDescent="0.35">
      <c r="A11" s="131" t="s">
        <v>857</v>
      </c>
      <c r="B11" s="942">
        <f>GETPIVOTDATA("Sum of Female",FTEGenderRolePivot!$A$3,"Type","WT","PostConv","Area Manager")</f>
        <v>0</v>
      </c>
      <c r="C11" s="942">
        <f>GETPIVOTDATA("Sum of Male",FTEGenderRolePivot!$A$3,"Type","WT","PostConv","Area Manager")</f>
        <v>35</v>
      </c>
      <c r="D11" s="941">
        <f>SUM(B11:C11)</f>
        <v>35</v>
      </c>
      <c r="E11" s="134">
        <f t="shared" si="0"/>
        <v>0</v>
      </c>
      <c r="F11" s="134">
        <f t="shared" si="1"/>
        <v>1</v>
      </c>
    </row>
    <row r="12" spans="1:6" x14ac:dyDescent="0.35">
      <c r="A12" s="131" t="s">
        <v>858</v>
      </c>
      <c r="B12" s="942">
        <f>GETPIVOTDATA("Sum of Female",FTEGenderRolePivot!$A$3,"Type","WT","PostConv","Group Manager")</f>
        <v>2</v>
      </c>
      <c r="C12" s="942">
        <f>GETPIVOTDATA("Sum of Male",FTEGenderRolePivot!$A$3,"Type","WT","PostConv","Group Manager")</f>
        <v>79</v>
      </c>
      <c r="D12" s="941">
        <f t="shared" ref="D12:D16" si="2">SUM(B12:C12)</f>
        <v>81</v>
      </c>
      <c r="E12" s="134">
        <f t="shared" si="0"/>
        <v>2.4691358024691357E-2</v>
      </c>
      <c r="F12" s="134">
        <f t="shared" si="1"/>
        <v>0.97530864197530864</v>
      </c>
    </row>
    <row r="13" spans="1:6" x14ac:dyDescent="0.35">
      <c r="A13" s="131" t="s">
        <v>859</v>
      </c>
      <c r="B13" s="942">
        <f>GETPIVOTDATA("Sum of Female",FTEGenderRolePivot!$A$3,"Type","WT","PostConv","Station Manager")</f>
        <v>7</v>
      </c>
      <c r="C13" s="942">
        <f>GETPIVOTDATA("Sum of Male",FTEGenderRolePivot!$A$3,"Type","WT","PostConv","Station Manager")</f>
        <v>145</v>
      </c>
      <c r="D13" s="941">
        <f t="shared" si="2"/>
        <v>152</v>
      </c>
      <c r="E13" s="134">
        <f t="shared" si="0"/>
        <v>4.6052631578947366E-2</v>
      </c>
      <c r="F13" s="134">
        <f t="shared" si="1"/>
        <v>0.95394736842105265</v>
      </c>
    </row>
    <row r="14" spans="1:6" x14ac:dyDescent="0.35">
      <c r="A14" s="131" t="s">
        <v>860</v>
      </c>
      <c r="B14" s="942">
        <f>GETPIVOTDATA("Sum of Female",FTEGenderRolePivot!$A$3,"Type","WT","PostConv","Watch Manager")</f>
        <v>31</v>
      </c>
      <c r="C14" s="942">
        <f>GETPIVOTDATA("Sum of Male",FTEGenderRolePivot!$A$3,"Type","WT","PostConv","Watch Manager")</f>
        <v>573</v>
      </c>
      <c r="D14" s="941">
        <f t="shared" si="2"/>
        <v>604</v>
      </c>
      <c r="E14" s="134">
        <f t="shared" si="0"/>
        <v>5.1324503311258277E-2</v>
      </c>
      <c r="F14" s="134">
        <f t="shared" si="1"/>
        <v>0.94867549668874174</v>
      </c>
    </row>
    <row r="15" spans="1:6" x14ac:dyDescent="0.35">
      <c r="A15" s="131" t="s">
        <v>861</v>
      </c>
      <c r="B15" s="942">
        <f>GETPIVOTDATA("Sum of Female",FTEGenderRolePivot!$A$3,"Type","WT","PostConv","Crew Manager")</f>
        <v>29</v>
      </c>
      <c r="C15" s="942">
        <f>GETPIVOTDATA("Sum of Male",FTEGenderRolePivot!$A$3,"Type","WT","PostConv","Crew Manager")</f>
        <v>658</v>
      </c>
      <c r="D15" s="941">
        <f t="shared" si="2"/>
        <v>687</v>
      </c>
      <c r="E15" s="134">
        <f t="shared" si="0"/>
        <v>4.2212518195050945E-2</v>
      </c>
      <c r="F15" s="134">
        <f t="shared" si="1"/>
        <v>0.9577874818049491</v>
      </c>
    </row>
    <row r="16" spans="1:6" x14ac:dyDescent="0.35">
      <c r="A16" s="131" t="s">
        <v>23</v>
      </c>
      <c r="B16" s="942">
        <f>GETPIVOTDATA("Sum of Female",FTEGenderRolePivot!$A$3,"Type","WT","PostConv","Firefighter")</f>
        <v>148.43</v>
      </c>
      <c r="C16" s="942">
        <f>GETPIVOTDATA("Sum of Male",FTEGenderRolePivot!$A$3,"Type","WT","PostConv","Firefighter")</f>
        <v>1869</v>
      </c>
      <c r="D16" s="941">
        <f t="shared" si="2"/>
        <v>2017.43</v>
      </c>
      <c r="E16" s="134">
        <f t="shared" si="0"/>
        <v>7.3573804295564163E-2</v>
      </c>
      <c r="F16" s="134">
        <f t="shared" si="1"/>
        <v>0.92642619570443585</v>
      </c>
    </row>
    <row r="17" spans="1:6" ht="15" thickBot="1" x14ac:dyDescent="0.4">
      <c r="A17" s="138" t="s">
        <v>455</v>
      </c>
      <c r="B17" s="943">
        <f>SUM(B10:B16)</f>
        <v>217.43</v>
      </c>
      <c r="C17" s="943">
        <f t="shared" ref="C17:D17" si="3">SUM(C10:C16)</f>
        <v>3364</v>
      </c>
      <c r="D17" s="943">
        <f t="shared" si="3"/>
        <v>3581.4300000000003</v>
      </c>
      <c r="E17" s="140">
        <f t="shared" si="0"/>
        <v>6.071038663327219E-2</v>
      </c>
      <c r="F17" s="140">
        <f t="shared" si="1"/>
        <v>0.93928961336672789</v>
      </c>
    </row>
    <row r="18" spans="1:6" x14ac:dyDescent="0.35">
      <c r="A18" s="132"/>
      <c r="B18" s="944"/>
      <c r="C18" s="944"/>
      <c r="D18" s="945"/>
      <c r="E18" s="143"/>
      <c r="F18" s="143"/>
    </row>
    <row r="19" spans="1:6" x14ac:dyDescent="0.35">
      <c r="A19" s="354" t="s">
        <v>28</v>
      </c>
      <c r="B19" s="946"/>
      <c r="C19" s="946"/>
      <c r="D19" s="945"/>
      <c r="E19" s="350"/>
      <c r="F19" s="350"/>
    </row>
    <row r="20" spans="1:6" x14ac:dyDescent="0.35">
      <c r="A20" s="355" t="s">
        <v>860</v>
      </c>
      <c r="B20" s="947">
        <f>GETPIVOTDATA("Sum of Female",FTEGenderRolePivot!$A$3,"Type","RDS","PostConv","Watch Manager")</f>
        <v>11.25</v>
      </c>
      <c r="C20" s="947">
        <f>GETPIVOTDATA("Sum of Male",FTEGenderRolePivot!$A$3,"Type","RDS","PostConv","Watch Manager")</f>
        <v>224.75</v>
      </c>
      <c r="D20" s="948">
        <f>SUM(B20:C20)</f>
        <v>236</v>
      </c>
      <c r="E20" s="349">
        <f>B20/(B20+C20)</f>
        <v>4.7669491525423727E-2</v>
      </c>
      <c r="F20" s="349">
        <f>C20/(B20+C20)</f>
        <v>0.95233050847457623</v>
      </c>
    </row>
    <row r="21" spans="1:6" x14ac:dyDescent="0.35">
      <c r="A21" s="131" t="s">
        <v>861</v>
      </c>
      <c r="B21" s="949">
        <f>GETPIVOTDATA("Sum of Female",FTEGenderRolePivot!$A$3,"Type","RDS","PostConv","Crew Manager")</f>
        <v>14</v>
      </c>
      <c r="C21" s="949">
        <f>GETPIVOTDATA("Sum of Male",FTEGenderRolePivot!$A$3,"Type","RDS","PostConv","Crew Manager")</f>
        <v>447.93</v>
      </c>
      <c r="D21" s="950">
        <f t="shared" ref="D21:D22" si="4">SUM(B21:C21)</f>
        <v>461.93</v>
      </c>
      <c r="E21" s="134">
        <f>B21/(B21+C21)</f>
        <v>3.0307622367025305E-2</v>
      </c>
      <c r="F21" s="134">
        <f>C21/(B21+C21)</f>
        <v>0.96969237763297467</v>
      </c>
    </row>
    <row r="22" spans="1:6" x14ac:dyDescent="0.35">
      <c r="A22" s="131" t="s">
        <v>23</v>
      </c>
      <c r="B22" s="949">
        <f>GETPIVOTDATA("Sum of Female",FTEGenderRolePivot!$A$3,"Type","RDS","PostConv","Firefighter")</f>
        <v>143.4</v>
      </c>
      <c r="C22" s="949">
        <f>GETPIVOTDATA("Sum of Male",FTEGenderRolePivot!$A$3,"Type","RDS","PostConv","Firefighter")</f>
        <v>1641.15</v>
      </c>
      <c r="D22" s="951">
        <f t="shared" si="4"/>
        <v>1784.5500000000002</v>
      </c>
      <c r="E22" s="134">
        <f>B22/(B22+C22)</f>
        <v>8.0356392367823812E-2</v>
      </c>
      <c r="F22" s="134">
        <f>C22/(B22+C22)</f>
        <v>0.91964360763217612</v>
      </c>
    </row>
    <row r="23" spans="1:6" ht="15" thickBot="1" x14ac:dyDescent="0.4">
      <c r="A23" s="138" t="s">
        <v>87</v>
      </c>
      <c r="B23" s="943">
        <f>SUM(B20:B22)</f>
        <v>168.65</v>
      </c>
      <c r="C23" s="943">
        <f t="shared" ref="C23:D23" si="5">SUM(C20:C22)</f>
        <v>2313.83</v>
      </c>
      <c r="D23" s="943">
        <f t="shared" si="5"/>
        <v>2482.4800000000005</v>
      </c>
      <c r="E23" s="140">
        <f>B23/(B23+C23)</f>
        <v>6.7936096161902618E-2</v>
      </c>
      <c r="F23" s="140">
        <f>C23/(B23+C23)</f>
        <v>0.93206390383809734</v>
      </c>
    </row>
    <row r="24" spans="1:6" x14ac:dyDescent="0.35">
      <c r="A24" s="807"/>
      <c r="B24" s="1081"/>
      <c r="C24" s="1081"/>
      <c r="D24" s="1081"/>
      <c r="E24" s="808"/>
      <c r="F24" s="808"/>
    </row>
    <row r="25" spans="1:6" x14ac:dyDescent="0.35">
      <c r="A25" s="127" t="s">
        <v>849</v>
      </c>
      <c r="B25" s="1082"/>
      <c r="C25" s="1082"/>
      <c r="D25" s="1082"/>
      <c r="E25" s="1083"/>
      <c r="F25" s="1083"/>
    </row>
    <row r="26" spans="1:6" x14ac:dyDescent="0.35">
      <c r="A26" s="355" t="s">
        <v>860</v>
      </c>
      <c r="B26" s="1084">
        <f>IFERROR(GETPIVOTDATA("Sum of Female",FTEGenderRolePivot!$A$3,"Type","RDS Fulltime","PostConv","Watch Manager"), "-")</f>
        <v>11</v>
      </c>
      <c r="C26" s="1084">
        <f>IFERROR(GETPIVOTDATA("Sum of Male",FTEGenderRolePivot!$A$3,"Type","RDS Fulltime","PostConv","Watch Manager"), "-")</f>
        <v>43</v>
      </c>
      <c r="D26" s="1084">
        <f>SUM(B26:C26)</f>
        <v>54</v>
      </c>
      <c r="E26" s="134">
        <f>IFERROR(B26/(B26+C26), "-")</f>
        <v>0.20370370370370369</v>
      </c>
      <c r="F26" s="134">
        <f>IFERROR(C26/(C26+B26), "-")</f>
        <v>0.79629629629629628</v>
      </c>
    </row>
    <row r="27" spans="1:6" ht="15" thickBot="1" x14ac:dyDescent="0.4">
      <c r="A27" s="138" t="s">
        <v>17482</v>
      </c>
      <c r="B27" s="943">
        <f>B26</f>
        <v>11</v>
      </c>
      <c r="C27" s="943">
        <f t="shared" ref="C27:D27" si="6">C26</f>
        <v>43</v>
      </c>
      <c r="D27" s="943">
        <f t="shared" si="6"/>
        <v>54</v>
      </c>
      <c r="E27" s="1085">
        <f>IFERROR(B27/(B27+C27), "-")</f>
        <v>0.20370370370370369</v>
      </c>
      <c r="F27" s="1085">
        <f>IFERROR(C27/(C27+B27), "-")</f>
        <v>0.79629629629629628</v>
      </c>
    </row>
    <row r="28" spans="1:6" x14ac:dyDescent="0.35">
      <c r="A28" s="132"/>
      <c r="B28" s="944"/>
      <c r="C28" s="944"/>
      <c r="D28" s="950"/>
      <c r="E28" s="143"/>
      <c r="F28" s="143"/>
    </row>
    <row r="29" spans="1:6" x14ac:dyDescent="0.35">
      <c r="A29" s="127" t="s">
        <v>88</v>
      </c>
      <c r="B29" s="946"/>
      <c r="C29" s="946"/>
      <c r="D29" s="950"/>
      <c r="E29" s="146"/>
      <c r="F29" s="350"/>
    </row>
    <row r="30" spans="1:6" x14ac:dyDescent="0.35">
      <c r="A30" s="131" t="s">
        <v>857</v>
      </c>
      <c r="B30" s="947">
        <f>IFERROR(GETPIVOTDATA("Sum of Female",FTEGenderRolePivot!$A$3,"Type","Control","PostConv","Area Manager"), "-")</f>
        <v>1</v>
      </c>
      <c r="C30" s="947">
        <f>IFERROR(GETPIVOTDATA("Sum of Male",FTEGenderRolePivot!$A$3,"Type","Control","PostConv","Area Manager"), "-")</f>
        <v>0</v>
      </c>
      <c r="D30" s="952">
        <f>SUM(B30:C30)</f>
        <v>1</v>
      </c>
      <c r="E30" s="134">
        <f>IFERROR(B30/(B30+C30),0)</f>
        <v>1</v>
      </c>
      <c r="F30" s="349">
        <f>IFERROR(C30/(B30+C30),0)</f>
        <v>0</v>
      </c>
    </row>
    <row r="31" spans="1:6" x14ac:dyDescent="0.35">
      <c r="A31" s="131" t="s">
        <v>858</v>
      </c>
      <c r="B31" s="949">
        <f>GETPIVOTDATA("Sum of Female",FTEGenderRolePivot!$A$3,"Type","Control","PostConv","Group Manager")</f>
        <v>3</v>
      </c>
      <c r="C31" s="949">
        <f>GETPIVOTDATA("Sum of Male",FTEGenderRolePivot!$A$3,"Type","Control","PostConv","Group Manager")</f>
        <v>1</v>
      </c>
      <c r="D31" s="953">
        <f t="shared" ref="D31:D35" si="7">SUM(B31:C31)</f>
        <v>4</v>
      </c>
      <c r="E31" s="134">
        <f t="shared" ref="E31:E36" si="8">B31/(B31+C31)</f>
        <v>0.75</v>
      </c>
      <c r="F31" s="134">
        <f t="shared" ref="F31:F36" si="9">C31/(B31+C31)</f>
        <v>0.25</v>
      </c>
    </row>
    <row r="32" spans="1:6" x14ac:dyDescent="0.35">
      <c r="A32" s="131" t="s">
        <v>859</v>
      </c>
      <c r="B32" s="949">
        <f>GETPIVOTDATA("Sum of Female",FTEGenderRolePivot!$A$3,"Type","Control","PostConv","Station Manager")</f>
        <v>9</v>
      </c>
      <c r="C32" s="949">
        <f>GETPIVOTDATA("Sum of Male",FTEGenderRolePivot!$A$3,"Type","Control","PostConv","Station Manager")</f>
        <v>1</v>
      </c>
      <c r="D32" s="953">
        <f t="shared" si="7"/>
        <v>10</v>
      </c>
      <c r="E32" s="134">
        <f t="shared" si="8"/>
        <v>0.9</v>
      </c>
      <c r="F32" s="134">
        <f t="shared" si="9"/>
        <v>0.1</v>
      </c>
    </row>
    <row r="33" spans="1:9" x14ac:dyDescent="0.35">
      <c r="A33" s="131" t="s">
        <v>860</v>
      </c>
      <c r="B33" s="949">
        <f>GETPIVOTDATA("Sum of Female",FTEGenderRolePivot!$A$3,"Type","Control","PostConv","Watch Manager")</f>
        <v>35</v>
      </c>
      <c r="C33" s="949">
        <f>GETPIVOTDATA("Sum of Male",FTEGenderRolePivot!$A$3,"Type","Control","PostConv","Watch Manager")</f>
        <v>6</v>
      </c>
      <c r="D33" s="953">
        <f t="shared" si="7"/>
        <v>41</v>
      </c>
      <c r="E33" s="134">
        <f t="shared" si="8"/>
        <v>0.85365853658536583</v>
      </c>
      <c r="F33" s="134">
        <f t="shared" si="9"/>
        <v>0.14634146341463414</v>
      </c>
    </row>
    <row r="34" spans="1:9" x14ac:dyDescent="0.35">
      <c r="A34" s="131" t="s">
        <v>861</v>
      </c>
      <c r="B34" s="949">
        <f>GETPIVOTDATA("Sum of Female",FTEGenderRolePivot!$A$3,"Type","Control","PostConv","Crew Manager")</f>
        <v>23</v>
      </c>
      <c r="C34" s="949">
        <f>GETPIVOTDATA("Sum of Male",FTEGenderRolePivot!$A$3,"Type","Control","PostConv","Crew Manager")</f>
        <v>7</v>
      </c>
      <c r="D34" s="953">
        <f t="shared" si="7"/>
        <v>30</v>
      </c>
      <c r="E34" s="134">
        <f t="shared" si="8"/>
        <v>0.76666666666666672</v>
      </c>
      <c r="F34" s="134">
        <f t="shared" si="9"/>
        <v>0.23333333333333334</v>
      </c>
    </row>
    <row r="35" spans="1:9" x14ac:dyDescent="0.35">
      <c r="A35" s="131" t="s">
        <v>76</v>
      </c>
      <c r="B35" s="949">
        <f>GETPIVOTDATA("Sum of Female",FTEGenderRolePivot!$A$3,"Type","Control","PostConv","Firefighter")</f>
        <v>74.06</v>
      </c>
      <c r="C35" s="949">
        <f>GETPIVOTDATA("Sum of Male",FTEGenderRolePivot!$A$3,"Type","Control","PostConv","Firefighter")</f>
        <v>16</v>
      </c>
      <c r="D35" s="953">
        <f t="shared" si="7"/>
        <v>90.06</v>
      </c>
      <c r="E35" s="134">
        <f t="shared" si="8"/>
        <v>0.82234066178103482</v>
      </c>
      <c r="F35" s="134">
        <f t="shared" si="9"/>
        <v>0.17765933821896512</v>
      </c>
    </row>
    <row r="36" spans="1:9" ht="15" thickBot="1" x14ac:dyDescent="0.4">
      <c r="A36" s="149" t="s">
        <v>89</v>
      </c>
      <c r="B36" s="943">
        <f>SUM(B30:B35)</f>
        <v>145.06</v>
      </c>
      <c r="C36" s="943">
        <f>SUM(C30:C35)</f>
        <v>31</v>
      </c>
      <c r="D36" s="954">
        <f>SUM(B36:C36)</f>
        <v>176.06</v>
      </c>
      <c r="E36" s="140">
        <f t="shared" si="8"/>
        <v>0.82392366238782233</v>
      </c>
      <c r="F36" s="140">
        <f t="shared" si="9"/>
        <v>0.17607633761217767</v>
      </c>
    </row>
    <row r="37" spans="1:9" x14ac:dyDescent="0.35">
      <c r="A37" s="132"/>
      <c r="B37" s="944"/>
      <c r="C37" s="949"/>
      <c r="D37" s="950"/>
      <c r="E37" s="143"/>
      <c r="F37" s="143"/>
    </row>
    <row r="38" spans="1:9" x14ac:dyDescent="0.35">
      <c r="A38" s="160" t="s">
        <v>83</v>
      </c>
      <c r="B38" s="955"/>
      <c r="C38" s="949"/>
      <c r="D38" s="950"/>
      <c r="E38" s="143"/>
      <c r="F38" s="143"/>
    </row>
    <row r="39" spans="1:9" x14ac:dyDescent="0.35">
      <c r="A39" s="355" t="s">
        <v>199</v>
      </c>
      <c r="B39" s="947">
        <f>GETPIVOTDATA("Sum of Female",FTEGenderRolePivot!$A$3,"Type","Support","PostConv","Director")</f>
        <v>2</v>
      </c>
      <c r="C39" s="947">
        <f>GETPIVOTDATA("Sum of Male",FTEGenderRolePivot!$A$3,"Type","Support","PostConv","Director")</f>
        <v>1</v>
      </c>
      <c r="D39" s="948">
        <f>SUM(B39:C39)</f>
        <v>3</v>
      </c>
      <c r="E39" s="349">
        <f>IFERROR(B39/(B39+C39),0)</f>
        <v>0.66666666666666663</v>
      </c>
      <c r="F39" s="349">
        <f>IFERROR(C39/(B39+C39),0)</f>
        <v>0.33333333333333331</v>
      </c>
    </row>
    <row r="40" spans="1:9" x14ac:dyDescent="0.35">
      <c r="A40" s="131" t="s">
        <v>77</v>
      </c>
      <c r="B40" s="949">
        <f>GETPIVOTDATA("Sum of Female",FTEGenderRolePivot!$A$3,"Type","Support","PostConv","Service Manager")</f>
        <v>16.8</v>
      </c>
      <c r="C40" s="949">
        <f>GETPIVOTDATA("Sum of Male",FTEGenderRolePivot!$A$3,"Type","Support","PostConv","Service Manager")</f>
        <v>33</v>
      </c>
      <c r="D40" s="950">
        <f t="shared" ref="D40:D45" si="10">SUM(B40:C40)</f>
        <v>49.8</v>
      </c>
      <c r="E40" s="134">
        <f t="shared" ref="E40:E45" si="11">B40/(B40+C40)</f>
        <v>0.33734939759036148</v>
      </c>
      <c r="F40" s="134">
        <f t="shared" ref="F40:F45" si="12">C40/(B40+C40)</f>
        <v>0.66265060240963858</v>
      </c>
    </row>
    <row r="41" spans="1:9" x14ac:dyDescent="0.35">
      <c r="A41" s="131" t="s">
        <v>80</v>
      </c>
      <c r="B41" s="949">
        <f>GETPIVOTDATA("Sum of Female",FTEGenderRolePivot!$A$3,"Type","Support","PostConv","Team Leader")</f>
        <v>19</v>
      </c>
      <c r="C41" s="949">
        <f>GETPIVOTDATA("Sum of Male",FTEGenderRolePivot!$A$3,"Type","Support","PostConv","Team Leader")</f>
        <v>11</v>
      </c>
      <c r="D41" s="950">
        <f t="shared" si="10"/>
        <v>30</v>
      </c>
      <c r="E41" s="134">
        <f t="shared" si="11"/>
        <v>0.6333333333333333</v>
      </c>
      <c r="F41" s="134">
        <f t="shared" si="12"/>
        <v>0.36666666666666664</v>
      </c>
      <c r="I41" s="1080"/>
    </row>
    <row r="42" spans="1:9" x14ac:dyDescent="0.35">
      <c r="A42" s="131" t="s">
        <v>78</v>
      </c>
      <c r="B42" s="949">
        <f>GETPIVOTDATA("Sum of Female",FTEGenderRolePivot!$A$3,"Type","Support","PostConv","Professional")</f>
        <v>59.429999999999993</v>
      </c>
      <c r="C42" s="949">
        <f>GETPIVOTDATA("Sum of Male",FTEGenderRolePivot!$A$3,"Type","Support","PostConv","Professional")</f>
        <v>29</v>
      </c>
      <c r="D42" s="950">
        <f t="shared" si="10"/>
        <v>88.429999999999993</v>
      </c>
      <c r="E42" s="134">
        <f t="shared" si="11"/>
        <v>0.67205699423272647</v>
      </c>
      <c r="F42" s="134">
        <f t="shared" si="12"/>
        <v>0.32794300576727359</v>
      </c>
    </row>
    <row r="43" spans="1:9" x14ac:dyDescent="0.35">
      <c r="A43" s="131" t="s">
        <v>90</v>
      </c>
      <c r="B43" s="949">
        <f>GETPIVOTDATA("Sum of Female",FTEGenderRolePivot!$A$3,"Type","Support","PostConv","Specialist Technical")</f>
        <v>154.13999999999999</v>
      </c>
      <c r="C43" s="949">
        <f>GETPIVOTDATA("Sum of Male",FTEGenderRolePivot!$A$3,"Type","Support","PostConv","Specialist Technical")</f>
        <v>245.74</v>
      </c>
      <c r="D43" s="950">
        <f t="shared" si="10"/>
        <v>399.88</v>
      </c>
      <c r="E43" s="134">
        <f t="shared" si="11"/>
        <v>0.38546563969190756</v>
      </c>
      <c r="F43" s="134">
        <f t="shared" si="12"/>
        <v>0.6145343603080925</v>
      </c>
    </row>
    <row r="44" spans="1:9" x14ac:dyDescent="0.35">
      <c r="A44" s="131" t="s">
        <v>79</v>
      </c>
      <c r="B44" s="949">
        <f>GETPIVOTDATA("Sum of Female",FTEGenderRolePivot!$A$3,"Type","Support","PostConv","Tech Support")</f>
        <v>18.38</v>
      </c>
      <c r="C44" s="949">
        <f>GETPIVOTDATA("Sum of Male",FTEGenderRolePivot!$A$3,"Type","Support","PostConv","Tech Support")</f>
        <v>37.35</v>
      </c>
      <c r="D44" s="950">
        <f t="shared" si="10"/>
        <v>55.730000000000004</v>
      </c>
      <c r="E44" s="134">
        <f t="shared" si="11"/>
        <v>0.3298044141396016</v>
      </c>
      <c r="F44" s="134">
        <f t="shared" si="12"/>
        <v>0.67019558586039829</v>
      </c>
      <c r="I44" s="789"/>
    </row>
    <row r="45" spans="1:9" x14ac:dyDescent="0.35">
      <c r="A45" s="131" t="s">
        <v>91</v>
      </c>
      <c r="B45" s="949">
        <f>GETPIVOTDATA("Sum of Female",FTEGenderRolePivot!$A$3,"Type","Support","PostConv","Administration")</f>
        <v>151.58999999999997</v>
      </c>
      <c r="C45" s="949">
        <f>GETPIVOTDATA("Sum of Male",FTEGenderRolePivot!$A$3,"Type","Support","PostConv","Administration")</f>
        <v>8.86</v>
      </c>
      <c r="D45" s="950">
        <f t="shared" si="10"/>
        <v>160.44999999999999</v>
      </c>
      <c r="E45" s="134">
        <f t="shared" si="11"/>
        <v>0.94478030539108748</v>
      </c>
      <c r="F45" s="134">
        <f t="shared" si="12"/>
        <v>5.5219694608912434E-2</v>
      </c>
    </row>
    <row r="46" spans="1:9" ht="15" thickBot="1" x14ac:dyDescent="0.4">
      <c r="A46" s="149" t="s">
        <v>92</v>
      </c>
      <c r="B46" s="943">
        <f>SUM(B39:B45)</f>
        <v>421.34</v>
      </c>
      <c r="C46" s="943">
        <f t="shared" ref="C46:D46" si="13">SUM(C39:C45)</f>
        <v>365.95000000000005</v>
      </c>
      <c r="D46" s="943">
        <f t="shared" si="13"/>
        <v>787.29</v>
      </c>
      <c r="E46" s="140">
        <f>B46/(B46+C46)</f>
        <v>0.5351776346708329</v>
      </c>
      <c r="F46" s="140">
        <f>C46/(B46+C46)</f>
        <v>0.46482236532916721</v>
      </c>
    </row>
    <row r="47" spans="1:9" ht="15" thickBot="1" x14ac:dyDescent="0.4">
      <c r="A47" s="145"/>
      <c r="B47" s="946"/>
      <c r="C47" s="949"/>
      <c r="D47" s="950"/>
      <c r="E47" s="140"/>
      <c r="F47" s="140"/>
    </row>
    <row r="48" spans="1:9" ht="15" thickBot="1" x14ac:dyDescent="0.4">
      <c r="A48" s="158" t="s">
        <v>94</v>
      </c>
      <c r="B48" s="956">
        <f>IFERROR(B46+B36+B23+B17+B27, B46+B36+B23+B17)</f>
        <v>963.48</v>
      </c>
      <c r="C48" s="956">
        <f>IFERROR(C46+C36+C23+C17+C27, C46+C36+C23+C17)</f>
        <v>6117.78</v>
      </c>
      <c r="D48" s="956">
        <f>D46+D36+D23+D17+D27</f>
        <v>7081.26</v>
      </c>
      <c r="E48" s="140">
        <f t="shared" ref="E48" si="14">B48/(B48+C48)</f>
        <v>0.13606053160030843</v>
      </c>
      <c r="F48" s="140">
        <f t="shared" ref="F48" si="15">C48/(B48+C48)</f>
        <v>0.86393946839969149</v>
      </c>
    </row>
    <row r="49" spans="1:17" x14ac:dyDescent="0.35">
      <c r="A49" s="28"/>
      <c r="B49" s="28"/>
      <c r="C49" s="28"/>
      <c r="D49" s="28"/>
      <c r="E49" s="28"/>
      <c r="F49" s="28"/>
    </row>
    <row r="50" spans="1:17" x14ac:dyDescent="0.35">
      <c r="A50" s="396" t="s">
        <v>8</v>
      </c>
      <c r="B50" s="397"/>
      <c r="C50" s="397"/>
      <c r="D50" s="397"/>
      <c r="E50" s="397"/>
      <c r="F50" s="397"/>
    </row>
    <row r="51" spans="1:17" ht="45.5" customHeight="1" x14ac:dyDescent="0.35">
      <c r="A51" s="1180" t="s">
        <v>863</v>
      </c>
      <c r="B51" s="1180"/>
      <c r="C51" s="1180"/>
      <c r="D51" s="1180"/>
      <c r="E51" s="1180"/>
      <c r="F51" s="1180"/>
      <c r="G51" s="1180"/>
    </row>
    <row r="52" spans="1:17" ht="34" customHeight="1" x14ac:dyDescent="0.35">
      <c r="A52" s="1179" t="s">
        <v>216</v>
      </c>
      <c r="B52" s="1179"/>
      <c r="C52" s="1179"/>
      <c r="D52" s="1179"/>
      <c r="E52" s="1179"/>
      <c r="F52" s="1179"/>
      <c r="G52" s="1179"/>
      <c r="H52" s="1179"/>
      <c r="I52" s="1179"/>
    </row>
    <row r="53" spans="1:17" ht="16.5" customHeight="1" x14ac:dyDescent="0.35">
      <c r="A53" s="1179" t="s">
        <v>17483</v>
      </c>
      <c r="B53" s="1179"/>
      <c r="C53" s="1179"/>
      <c r="D53" s="1179"/>
      <c r="E53" s="1179"/>
      <c r="F53" s="1179"/>
      <c r="G53" s="917"/>
      <c r="H53" s="917"/>
      <c r="I53" s="917"/>
    </row>
    <row r="54" spans="1:17" x14ac:dyDescent="0.35">
      <c r="A54" s="550" t="s">
        <v>217</v>
      </c>
      <c r="H54" s="405"/>
    </row>
    <row r="55" spans="1:17" x14ac:dyDescent="0.35">
      <c r="A55" s="1192" t="s">
        <v>218</v>
      </c>
      <c r="B55" s="1192"/>
      <c r="C55" s="1192"/>
      <c r="D55" s="1192"/>
      <c r="E55" s="1192"/>
      <c r="F55" s="1192"/>
      <c r="H55" s="405"/>
    </row>
    <row r="56" spans="1:17" x14ac:dyDescent="0.35">
      <c r="A56" s="688" t="s">
        <v>732</v>
      </c>
      <c r="H56" s="405"/>
    </row>
    <row r="57" spans="1:17" ht="15" customHeight="1" x14ac:dyDescent="0.35">
      <c r="A57" s="561" t="s">
        <v>214</v>
      </c>
      <c r="H57" s="446"/>
    </row>
    <row r="58" spans="1:17" ht="15" customHeight="1" x14ac:dyDescent="0.35">
      <c r="A58" s="438" t="s">
        <v>215</v>
      </c>
      <c r="H58" s="550"/>
    </row>
    <row r="59" spans="1:17" ht="15" customHeight="1" x14ac:dyDescent="0.35">
      <c r="A59" s="591" t="s">
        <v>213</v>
      </c>
      <c r="B59" s="591"/>
      <c r="C59" s="591"/>
      <c r="D59" s="591"/>
      <c r="E59" s="591"/>
      <c r="F59" s="591"/>
      <c r="H59" s="561"/>
    </row>
    <row r="60" spans="1:17" x14ac:dyDescent="0.35">
      <c r="H60" s="438"/>
    </row>
    <row r="61" spans="1:17" ht="15" customHeight="1" x14ac:dyDescent="0.35">
      <c r="A61" s="741"/>
      <c r="B61" s="741"/>
      <c r="C61" s="741"/>
      <c r="D61" s="741"/>
      <c r="E61" s="741"/>
      <c r="F61" s="741"/>
      <c r="G61" s="741"/>
      <c r="H61" s="741"/>
      <c r="I61" s="741"/>
      <c r="J61" s="591"/>
      <c r="K61" s="591"/>
      <c r="L61" s="591"/>
      <c r="M61" s="591"/>
      <c r="N61" s="591"/>
      <c r="O61" s="591"/>
      <c r="P61" s="591"/>
      <c r="Q61" s="591"/>
    </row>
    <row r="62" spans="1:17" x14ac:dyDescent="0.35">
      <c r="A62" s="1179"/>
      <c r="B62" s="1179"/>
      <c r="C62" s="1179"/>
      <c r="D62" s="1179"/>
      <c r="E62" s="1179"/>
      <c r="F62" s="1179"/>
      <c r="G62" s="1179"/>
      <c r="H62" s="397"/>
    </row>
    <row r="63" spans="1:17" x14ac:dyDescent="0.35">
      <c r="A63" s="1191"/>
      <c r="B63" s="1191"/>
      <c r="C63" s="1191"/>
      <c r="D63" s="1191"/>
      <c r="E63" s="1191"/>
      <c r="F63" s="1191"/>
      <c r="G63" s="397"/>
    </row>
    <row r="64" spans="1:17" x14ac:dyDescent="0.35">
      <c r="G64" s="397"/>
    </row>
  </sheetData>
  <sheetProtection algorithmName="SHA-512" hashValue="60/wXkRJ25oamja34oCKI1cgnEIniJyYVCjZmob4xBhKpTbqwhCWUBQwm8v6OYc0w6SP6fKn6mjTtez0HAphbQ==" saltValue="dDj2Ylrv88b4/yu+JJkmyg==" spinCount="100000" sheet="1" scenarios="1" formatCells="0" formatColumns="0" formatRows="0" sort="0" autoFilter="0" pivotTables="0"/>
  <mergeCells count="7">
    <mergeCell ref="A4:F4"/>
    <mergeCell ref="A62:G62"/>
    <mergeCell ref="A63:F63"/>
    <mergeCell ref="A55:F55"/>
    <mergeCell ref="A52:I52"/>
    <mergeCell ref="A51:G51"/>
    <mergeCell ref="A53:F53"/>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9" orientation="portrait" r:id="rId1"/>
  <drawing r:id="rId2"/>
  <extLst>
    <ext xmlns:x14="http://schemas.microsoft.com/office/spreadsheetml/2009/9/main" uri="{A8765BA9-456A-4dab-B4F3-ACF838C121DE}">
      <x14:slicerList>
        <x14:slicer r:id="rId3"/>
      </x14:slicerList>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D12" sqref="D12"/>
    </sheetView>
  </sheetViews>
  <sheetFormatPr defaultRowHeight="14.5" x14ac:dyDescent="0.35"/>
  <cols>
    <col min="1" max="1" width="12.36328125" bestFit="1" customWidth="1"/>
    <col min="2" max="2" width="27.1796875" bestFit="1" customWidth="1"/>
    <col min="3" max="3" width="25.81640625" bestFit="1" customWidth="1"/>
    <col min="4" max="4" width="22.6328125" bestFit="1" customWidth="1"/>
    <col min="5" max="5" width="13.453125" bestFit="1" customWidth="1"/>
    <col min="6" max="6" width="18.36328125" bestFit="1" customWidth="1"/>
    <col min="7" max="7" width="15.54296875" bestFit="1" customWidth="1"/>
    <col min="8" max="8" width="32" bestFit="1" customWidth="1"/>
    <col min="9" max="9" width="30.6328125" bestFit="1" customWidth="1"/>
    <col min="10" max="10" width="27.453125" bestFit="1" customWidth="1"/>
    <col min="11" max="11" width="18.26953125" bestFit="1" customWidth="1"/>
    <col min="12" max="12" width="23.1796875" bestFit="1" customWidth="1"/>
    <col min="13" max="13" width="20.36328125" bestFit="1" customWidth="1"/>
    <col min="14" max="14" width="25.81640625" bestFit="1" customWidth="1"/>
    <col min="15" max="25" width="5.453125" bestFit="1" customWidth="1"/>
    <col min="26" max="26" width="22.6328125" bestFit="1" customWidth="1"/>
    <col min="27" max="37" width="5.453125" bestFit="1" customWidth="1"/>
    <col min="38" max="38" width="13.453125" bestFit="1" customWidth="1"/>
    <col min="39" max="49" width="5.453125" bestFit="1" customWidth="1"/>
    <col min="50" max="50" width="18.36328125" bestFit="1" customWidth="1"/>
    <col min="51" max="61" width="5.453125" bestFit="1" customWidth="1"/>
    <col min="62" max="62" width="15.54296875" bestFit="1" customWidth="1"/>
    <col min="63" max="73" width="5.453125" bestFit="1" customWidth="1"/>
    <col min="74" max="74" width="32" bestFit="1" customWidth="1"/>
    <col min="75" max="75" width="30.6328125" bestFit="1" customWidth="1"/>
    <col min="76" max="76" width="27.453125" bestFit="1" customWidth="1"/>
    <col min="77" max="77" width="18.26953125" bestFit="1" customWidth="1"/>
    <col min="78" max="78" width="23.1796875" bestFit="1" customWidth="1"/>
    <col min="79" max="79" width="20.36328125" bestFit="1" customWidth="1"/>
    <col min="80" max="80" width="14.90625" bestFit="1" customWidth="1"/>
    <col min="81" max="81" width="19.81640625" bestFit="1" customWidth="1"/>
    <col min="82" max="82" width="17.08984375" bestFit="1" customWidth="1"/>
    <col min="83" max="83" width="27.26953125" bestFit="1" customWidth="1"/>
    <col min="84" max="84" width="24.08984375" bestFit="1" customWidth="1"/>
    <col min="85" max="85" width="14.90625" bestFit="1" customWidth="1"/>
    <col min="86" max="86" width="19.81640625" bestFit="1" customWidth="1"/>
    <col min="87" max="87" width="17.08984375" bestFit="1" customWidth="1"/>
    <col min="88" max="88" width="27.26953125" bestFit="1" customWidth="1"/>
    <col min="89" max="89" width="24.08984375" bestFit="1" customWidth="1"/>
    <col min="90" max="90" width="14.90625" bestFit="1" customWidth="1"/>
    <col min="91" max="91" width="19.81640625" bestFit="1" customWidth="1"/>
    <col min="92" max="92" width="17.08984375" bestFit="1" customWidth="1"/>
    <col min="93" max="93" width="27.26953125" bestFit="1" customWidth="1"/>
    <col min="94" max="94" width="24.08984375" bestFit="1" customWidth="1"/>
    <col min="95" max="95" width="14.90625" bestFit="1" customWidth="1"/>
    <col min="96" max="96" width="19.81640625" bestFit="1" customWidth="1"/>
    <col min="97" max="97" width="17.08984375" bestFit="1" customWidth="1"/>
    <col min="98" max="98" width="27.26953125" bestFit="1" customWidth="1"/>
    <col min="99" max="99" width="24.08984375" bestFit="1" customWidth="1"/>
    <col min="100" max="100" width="14.90625" bestFit="1" customWidth="1"/>
    <col min="101" max="101" width="19.81640625" bestFit="1" customWidth="1"/>
    <col min="102" max="102" width="17.08984375" bestFit="1" customWidth="1"/>
    <col min="103" max="103" width="27.26953125" bestFit="1" customWidth="1"/>
    <col min="104" max="104" width="24.08984375" bestFit="1" customWidth="1"/>
    <col min="105" max="105" width="14.90625" bestFit="1" customWidth="1"/>
    <col min="106" max="106" width="19.81640625" bestFit="1" customWidth="1"/>
    <col min="107" max="107" width="17.08984375" bestFit="1" customWidth="1"/>
    <col min="108" max="108" width="27.26953125" bestFit="1" customWidth="1"/>
    <col min="109" max="109" width="24.08984375" bestFit="1" customWidth="1"/>
    <col min="110" max="110" width="14.90625" bestFit="1" customWidth="1"/>
    <col min="111" max="111" width="19.81640625" bestFit="1" customWidth="1"/>
    <col min="112" max="112" width="17.08984375" bestFit="1" customWidth="1"/>
    <col min="113" max="113" width="27.26953125" bestFit="1" customWidth="1"/>
    <col min="114" max="114" width="24.08984375" bestFit="1" customWidth="1"/>
    <col min="115" max="115" width="14.90625" bestFit="1" customWidth="1"/>
    <col min="116" max="116" width="19.81640625" bestFit="1" customWidth="1"/>
    <col min="117" max="117" width="17.08984375" bestFit="1" customWidth="1"/>
    <col min="118" max="118" width="27.26953125" bestFit="1" customWidth="1"/>
    <col min="119" max="119" width="24.08984375" bestFit="1" customWidth="1"/>
    <col min="120" max="120" width="14.90625" bestFit="1" customWidth="1"/>
    <col min="121" max="121" width="19.81640625" bestFit="1" customWidth="1"/>
    <col min="122" max="122" width="17.08984375" bestFit="1" customWidth="1"/>
    <col min="123" max="123" width="27.26953125" bestFit="1" customWidth="1"/>
    <col min="124" max="124" width="24.08984375" bestFit="1" customWidth="1"/>
    <col min="125" max="125" width="14.90625" bestFit="1" customWidth="1"/>
    <col min="126" max="126" width="19.81640625" bestFit="1" customWidth="1"/>
    <col min="127" max="127" width="17.08984375" bestFit="1" customWidth="1"/>
    <col min="128" max="128" width="27.26953125" bestFit="1" customWidth="1"/>
    <col min="129" max="129" width="24.08984375" bestFit="1" customWidth="1"/>
    <col min="130" max="130" width="14.90625" bestFit="1" customWidth="1"/>
    <col min="131" max="131" width="19.81640625" bestFit="1" customWidth="1"/>
    <col min="132" max="132" width="17.08984375" bestFit="1" customWidth="1"/>
    <col min="133" max="133" width="27.26953125" bestFit="1" customWidth="1"/>
    <col min="134" max="134" width="24.08984375" bestFit="1" customWidth="1"/>
    <col min="135" max="135" width="14.90625" bestFit="1" customWidth="1"/>
    <col min="136" max="136" width="19.81640625" bestFit="1" customWidth="1"/>
    <col min="137" max="137" width="17.08984375" bestFit="1" customWidth="1"/>
    <col min="138" max="138" width="27.26953125" bestFit="1" customWidth="1"/>
    <col min="139" max="139" width="24.08984375" bestFit="1" customWidth="1"/>
    <col min="140" max="140" width="14.90625" bestFit="1" customWidth="1"/>
    <col min="141" max="141" width="19.81640625" bestFit="1" customWidth="1"/>
    <col min="142" max="142" width="17.08984375" bestFit="1" customWidth="1"/>
    <col min="143" max="143" width="27.26953125" bestFit="1" customWidth="1"/>
    <col min="144" max="144" width="24.08984375" bestFit="1" customWidth="1"/>
    <col min="145" max="145" width="14.90625" bestFit="1" customWidth="1"/>
    <col min="146" max="146" width="19.81640625" bestFit="1" customWidth="1"/>
    <col min="147" max="147" width="17.08984375" bestFit="1" customWidth="1"/>
    <col min="148" max="148" width="27.26953125" bestFit="1" customWidth="1"/>
    <col min="149" max="149" width="24.08984375" bestFit="1" customWidth="1"/>
    <col min="150" max="150" width="14.90625" bestFit="1" customWidth="1"/>
    <col min="151" max="151" width="19.81640625" bestFit="1" customWidth="1"/>
    <col min="152" max="152" width="17.08984375" bestFit="1" customWidth="1"/>
    <col min="153" max="153" width="27.26953125" bestFit="1" customWidth="1"/>
    <col min="154" max="154" width="24.08984375" bestFit="1" customWidth="1"/>
    <col min="155" max="155" width="14.90625" bestFit="1" customWidth="1"/>
    <col min="156" max="156" width="19.81640625" bestFit="1" customWidth="1"/>
    <col min="157" max="157" width="17.08984375" bestFit="1" customWidth="1"/>
    <col min="158" max="158" width="27.26953125" bestFit="1" customWidth="1"/>
    <col min="159" max="159" width="24.08984375" bestFit="1" customWidth="1"/>
    <col min="160" max="160" width="14.90625" bestFit="1" customWidth="1"/>
    <col min="161" max="161" width="19.81640625" bestFit="1" customWidth="1"/>
    <col min="162" max="162" width="17.08984375" bestFit="1" customWidth="1"/>
    <col min="163" max="163" width="27.26953125" bestFit="1" customWidth="1"/>
    <col min="164" max="164" width="24.08984375" bestFit="1" customWidth="1"/>
    <col min="165" max="165" width="14.90625" bestFit="1" customWidth="1"/>
    <col min="166" max="166" width="19.81640625" bestFit="1" customWidth="1"/>
    <col min="167" max="167" width="17.08984375" bestFit="1" customWidth="1"/>
    <col min="168" max="168" width="27.26953125" bestFit="1" customWidth="1"/>
    <col min="169" max="169" width="24.08984375" bestFit="1" customWidth="1"/>
    <col min="170" max="170" width="14.90625" bestFit="1" customWidth="1"/>
    <col min="171" max="171" width="19.81640625" bestFit="1" customWidth="1"/>
    <col min="172" max="172" width="17.08984375" bestFit="1" customWidth="1"/>
    <col min="173" max="173" width="27.26953125" bestFit="1" customWidth="1"/>
    <col min="174" max="174" width="24.08984375" bestFit="1" customWidth="1"/>
    <col min="175" max="175" width="14.90625" bestFit="1" customWidth="1"/>
    <col min="176" max="176" width="19.81640625" bestFit="1" customWidth="1"/>
    <col min="177" max="177" width="17.08984375" bestFit="1" customWidth="1"/>
    <col min="178" max="178" width="27.26953125" bestFit="1" customWidth="1"/>
    <col min="179" max="179" width="24.08984375" bestFit="1" customWidth="1"/>
    <col min="180" max="180" width="14.90625" bestFit="1" customWidth="1"/>
    <col min="181" max="181" width="19.81640625" bestFit="1" customWidth="1"/>
    <col min="182" max="182" width="17.08984375" bestFit="1" customWidth="1"/>
    <col min="183" max="183" width="27.26953125" bestFit="1" customWidth="1"/>
    <col min="184" max="184" width="24.08984375" bestFit="1" customWidth="1"/>
    <col min="185" max="185" width="14.90625" bestFit="1" customWidth="1"/>
    <col min="186" max="186" width="19.81640625" bestFit="1" customWidth="1"/>
    <col min="187" max="187" width="17.08984375" bestFit="1" customWidth="1"/>
    <col min="188" max="188" width="27.26953125" bestFit="1" customWidth="1"/>
    <col min="189" max="189" width="24.08984375" bestFit="1" customWidth="1"/>
    <col min="190" max="190" width="14.90625" bestFit="1" customWidth="1"/>
    <col min="191" max="191" width="19.81640625" bestFit="1" customWidth="1"/>
    <col min="192" max="192" width="17.08984375" bestFit="1" customWidth="1"/>
    <col min="193" max="193" width="27.26953125" bestFit="1" customWidth="1"/>
    <col min="194" max="194" width="24.08984375" bestFit="1" customWidth="1"/>
    <col min="195" max="195" width="14.90625" bestFit="1" customWidth="1"/>
    <col min="196" max="196" width="19.81640625" bestFit="1" customWidth="1"/>
    <col min="197" max="197" width="17.08984375" bestFit="1" customWidth="1"/>
    <col min="198" max="198" width="27.26953125" bestFit="1" customWidth="1"/>
    <col min="199" max="199" width="24.08984375" bestFit="1" customWidth="1"/>
    <col min="200" max="200" width="14.90625" bestFit="1" customWidth="1"/>
    <col min="201" max="201" width="19.81640625" bestFit="1" customWidth="1"/>
    <col min="202" max="202" width="17.08984375" bestFit="1" customWidth="1"/>
    <col min="203" max="203" width="27.26953125" bestFit="1" customWidth="1"/>
    <col min="204" max="204" width="24.08984375" bestFit="1" customWidth="1"/>
    <col min="205" max="205" width="14.90625" bestFit="1" customWidth="1"/>
    <col min="206" max="206" width="19.81640625" bestFit="1" customWidth="1"/>
    <col min="207" max="207" width="17.08984375" bestFit="1" customWidth="1"/>
    <col min="208" max="208" width="27.26953125" bestFit="1" customWidth="1"/>
    <col min="209" max="209" width="24.08984375" bestFit="1" customWidth="1"/>
    <col min="210" max="210" width="14.90625" bestFit="1" customWidth="1"/>
    <col min="211" max="211" width="19.81640625" bestFit="1" customWidth="1"/>
    <col min="212" max="212" width="17.08984375" bestFit="1" customWidth="1"/>
    <col min="213" max="213" width="27.26953125" bestFit="1" customWidth="1"/>
    <col min="214" max="214" width="24.08984375" bestFit="1" customWidth="1"/>
    <col min="215" max="215" width="14.90625" bestFit="1" customWidth="1"/>
    <col min="216" max="216" width="19.81640625" bestFit="1" customWidth="1"/>
    <col min="217" max="217" width="17.08984375" bestFit="1" customWidth="1"/>
    <col min="218" max="218" width="27.26953125" bestFit="1" customWidth="1"/>
    <col min="219" max="219" width="24.08984375" bestFit="1" customWidth="1"/>
    <col min="220" max="220" width="14.90625" bestFit="1" customWidth="1"/>
    <col min="221" max="221" width="19.81640625" bestFit="1" customWidth="1"/>
    <col min="222" max="222" width="17.08984375" bestFit="1" customWidth="1"/>
    <col min="223" max="223" width="27.26953125" bestFit="1" customWidth="1"/>
    <col min="224" max="224" width="24.08984375" bestFit="1" customWidth="1"/>
    <col min="225" max="225" width="14.90625" bestFit="1" customWidth="1"/>
    <col min="226" max="226" width="19.81640625" bestFit="1" customWidth="1"/>
    <col min="227" max="227" width="17.08984375" bestFit="1" customWidth="1"/>
    <col min="228" max="228" width="27.26953125" bestFit="1" customWidth="1"/>
    <col min="229" max="229" width="24.08984375" bestFit="1" customWidth="1"/>
    <col min="230" max="230" width="14.90625" bestFit="1" customWidth="1"/>
    <col min="231" max="231" width="19.81640625" bestFit="1" customWidth="1"/>
    <col min="232" max="232" width="17.08984375" bestFit="1" customWidth="1"/>
    <col min="233" max="233" width="27.26953125" bestFit="1" customWidth="1"/>
    <col min="234" max="234" width="24.08984375" bestFit="1" customWidth="1"/>
    <col min="235" max="235" width="14.90625" bestFit="1" customWidth="1"/>
    <col min="236" max="236" width="19.81640625" bestFit="1" customWidth="1"/>
    <col min="237" max="237" width="17.08984375" bestFit="1" customWidth="1"/>
    <col min="238" max="238" width="27.26953125" bestFit="1" customWidth="1"/>
    <col min="239" max="239" width="24.08984375" bestFit="1" customWidth="1"/>
    <col min="240" max="240" width="14.90625" bestFit="1" customWidth="1"/>
    <col min="241" max="241" width="19.81640625" bestFit="1" customWidth="1"/>
    <col min="242" max="242" width="17.08984375" bestFit="1" customWidth="1"/>
    <col min="243" max="243" width="27.26953125" bestFit="1" customWidth="1"/>
    <col min="244" max="244" width="24.08984375" bestFit="1" customWidth="1"/>
    <col min="245" max="245" width="14.90625" bestFit="1" customWidth="1"/>
    <col min="246" max="246" width="19.81640625" bestFit="1" customWidth="1"/>
    <col min="247" max="247" width="17.08984375" bestFit="1" customWidth="1"/>
    <col min="248" max="248" width="27.26953125" bestFit="1" customWidth="1"/>
    <col min="249" max="249" width="24.08984375" bestFit="1" customWidth="1"/>
    <col min="250" max="250" width="14.90625" bestFit="1" customWidth="1"/>
    <col min="251" max="251" width="19.81640625" bestFit="1" customWidth="1"/>
    <col min="252" max="252" width="17.08984375" bestFit="1" customWidth="1"/>
    <col min="253" max="253" width="27.26953125" bestFit="1" customWidth="1"/>
    <col min="254" max="254" width="24.08984375" bestFit="1" customWidth="1"/>
    <col min="255" max="255" width="14.90625" bestFit="1" customWidth="1"/>
    <col min="256" max="256" width="19.81640625" bestFit="1" customWidth="1"/>
    <col min="257" max="257" width="17.08984375" bestFit="1" customWidth="1"/>
    <col min="258" max="258" width="27.26953125" bestFit="1" customWidth="1"/>
    <col min="259" max="259" width="24.08984375" bestFit="1" customWidth="1"/>
    <col min="260" max="260" width="14.90625" bestFit="1" customWidth="1"/>
    <col min="261" max="261" width="19.81640625" bestFit="1" customWidth="1"/>
    <col min="262" max="262" width="17.08984375" bestFit="1" customWidth="1"/>
    <col min="263" max="263" width="27.26953125" bestFit="1" customWidth="1"/>
    <col min="264" max="264" width="24.08984375" bestFit="1" customWidth="1"/>
    <col min="265" max="265" width="14.90625" bestFit="1" customWidth="1"/>
    <col min="266" max="266" width="19.81640625" bestFit="1" customWidth="1"/>
    <col min="267" max="267" width="17.08984375" bestFit="1" customWidth="1"/>
    <col min="268" max="268" width="27.26953125" bestFit="1" customWidth="1"/>
    <col min="269" max="269" width="24.08984375" bestFit="1" customWidth="1"/>
    <col min="270" max="270" width="14.90625" bestFit="1" customWidth="1"/>
    <col min="271" max="271" width="19.81640625" bestFit="1" customWidth="1"/>
    <col min="272" max="272" width="17.08984375" bestFit="1" customWidth="1"/>
    <col min="273" max="273" width="27.26953125" bestFit="1" customWidth="1"/>
    <col min="274" max="274" width="24.08984375" bestFit="1" customWidth="1"/>
    <col min="275" max="275" width="14.90625" bestFit="1" customWidth="1"/>
    <col min="276" max="276" width="19.81640625" bestFit="1" customWidth="1"/>
    <col min="277" max="277" width="17.08984375" bestFit="1" customWidth="1"/>
    <col min="278" max="278" width="27.26953125" bestFit="1" customWidth="1"/>
    <col min="279" max="279" width="24.08984375" bestFit="1" customWidth="1"/>
    <col min="280" max="280" width="14.90625" bestFit="1" customWidth="1"/>
    <col min="281" max="281" width="19.81640625" bestFit="1" customWidth="1"/>
    <col min="282" max="282" width="17.08984375" bestFit="1" customWidth="1"/>
    <col min="283" max="283" width="27.26953125" bestFit="1" customWidth="1"/>
    <col min="284" max="284" width="24.08984375" bestFit="1" customWidth="1"/>
    <col min="285" max="285" width="14.90625" bestFit="1" customWidth="1"/>
    <col min="286" max="286" width="19.81640625" bestFit="1" customWidth="1"/>
    <col min="287" max="287" width="17.08984375" bestFit="1" customWidth="1"/>
    <col min="288" max="288" width="27.26953125" bestFit="1" customWidth="1"/>
    <col min="289" max="289" width="24.08984375" bestFit="1" customWidth="1"/>
    <col min="290" max="290" width="14.90625" bestFit="1" customWidth="1"/>
    <col min="291" max="291" width="19.81640625" bestFit="1" customWidth="1"/>
    <col min="292" max="292" width="17.08984375" bestFit="1" customWidth="1"/>
    <col min="293" max="293" width="27.26953125" bestFit="1" customWidth="1"/>
    <col min="294" max="294" width="24.08984375" bestFit="1" customWidth="1"/>
    <col min="295" max="295" width="14.90625" bestFit="1" customWidth="1"/>
    <col min="296" max="296" width="19.81640625" bestFit="1" customWidth="1"/>
    <col min="297" max="297" width="17.08984375" bestFit="1" customWidth="1"/>
    <col min="298" max="298" width="27.26953125" bestFit="1" customWidth="1"/>
    <col min="299" max="299" width="24.08984375" bestFit="1" customWidth="1"/>
    <col min="300" max="300" width="14.90625" bestFit="1" customWidth="1"/>
    <col min="301" max="301" width="19.81640625" bestFit="1" customWidth="1"/>
    <col min="302" max="302" width="17.08984375" bestFit="1" customWidth="1"/>
    <col min="303" max="303" width="27.26953125" bestFit="1" customWidth="1"/>
    <col min="304" max="304" width="24.08984375" bestFit="1" customWidth="1"/>
    <col min="305" max="305" width="14.90625" bestFit="1" customWidth="1"/>
    <col min="306" max="306" width="19.81640625" bestFit="1" customWidth="1"/>
    <col min="307" max="307" width="17.08984375" bestFit="1" customWidth="1"/>
    <col min="308" max="308" width="27.26953125" bestFit="1" customWidth="1"/>
    <col min="309" max="309" width="24.08984375" bestFit="1" customWidth="1"/>
    <col min="310" max="310" width="14.90625" bestFit="1" customWidth="1"/>
    <col min="311" max="311" width="19.81640625" bestFit="1" customWidth="1"/>
    <col min="312" max="312" width="17.08984375" bestFit="1" customWidth="1"/>
    <col min="313" max="313" width="27.26953125" bestFit="1" customWidth="1"/>
    <col min="314" max="314" width="24.08984375" bestFit="1" customWidth="1"/>
    <col min="315" max="315" width="14.90625" bestFit="1" customWidth="1"/>
    <col min="316" max="316" width="19.81640625" bestFit="1" customWidth="1"/>
    <col min="317" max="317" width="17.08984375" bestFit="1" customWidth="1"/>
    <col min="318" max="318" width="27.26953125" bestFit="1" customWidth="1"/>
    <col min="319" max="319" width="24.08984375" bestFit="1" customWidth="1"/>
    <col min="320" max="320" width="14.90625" bestFit="1" customWidth="1"/>
    <col min="321" max="321" width="19.81640625" bestFit="1" customWidth="1"/>
    <col min="322" max="322" width="21.90625" bestFit="1" customWidth="1"/>
    <col min="323" max="323" width="32.08984375" bestFit="1" customWidth="1"/>
    <col min="324" max="324" width="28.90625" bestFit="1" customWidth="1"/>
    <col min="325" max="325" width="19.7265625" bestFit="1" customWidth="1"/>
    <col min="326" max="326" width="24.6328125" bestFit="1" customWidth="1"/>
    <col min="327" max="327" width="24.08984375" bestFit="1" customWidth="1"/>
    <col min="328" max="328" width="14.90625" bestFit="1" customWidth="1"/>
    <col min="329" max="329" width="19.81640625" bestFit="1" customWidth="1"/>
    <col min="330" max="330" width="20.54296875" bestFit="1" customWidth="1"/>
    <col min="331" max="331" width="27.6328125" bestFit="1" customWidth="1"/>
    <col min="332" max="332" width="18.453125" bestFit="1" customWidth="1"/>
    <col min="333" max="333" width="23.36328125" bestFit="1" customWidth="1"/>
    <col min="334" max="334" width="17.08984375" bestFit="1" customWidth="1"/>
    <col min="335" max="335" width="24.08984375" bestFit="1" customWidth="1"/>
    <col min="336" max="336" width="14.90625" bestFit="1" customWidth="1"/>
    <col min="337" max="337" width="19.81640625" bestFit="1" customWidth="1"/>
    <col min="338" max="338" width="20.54296875" bestFit="1" customWidth="1"/>
    <col min="339" max="339" width="27.6328125" bestFit="1" customWidth="1"/>
    <col min="340" max="340" width="18.453125" bestFit="1" customWidth="1"/>
    <col min="341" max="341" width="23.36328125" bestFit="1" customWidth="1"/>
    <col min="342" max="342" width="17.08984375" bestFit="1" customWidth="1"/>
    <col min="343" max="343" width="24.08984375" bestFit="1" customWidth="1"/>
    <col min="344" max="344" width="14.90625" bestFit="1" customWidth="1"/>
    <col min="345" max="345" width="19.81640625" bestFit="1" customWidth="1"/>
    <col min="346" max="346" width="20.54296875" bestFit="1" customWidth="1"/>
    <col min="347" max="347" width="27.6328125" bestFit="1" customWidth="1"/>
    <col min="348" max="348" width="18.453125" bestFit="1" customWidth="1"/>
    <col min="349" max="349" width="23.36328125" bestFit="1" customWidth="1"/>
    <col min="350" max="350" width="17.08984375" bestFit="1" customWidth="1"/>
    <col min="351" max="351" width="24.08984375" bestFit="1" customWidth="1"/>
    <col min="352" max="352" width="14.90625" bestFit="1" customWidth="1"/>
    <col min="353" max="353" width="19.81640625" bestFit="1" customWidth="1"/>
    <col min="354" max="354" width="20.54296875" bestFit="1" customWidth="1"/>
    <col min="355" max="355" width="27.6328125" bestFit="1" customWidth="1"/>
    <col min="356" max="356" width="18.453125" bestFit="1" customWidth="1"/>
    <col min="357" max="357" width="23.36328125" bestFit="1" customWidth="1"/>
    <col min="358" max="358" width="17.08984375" bestFit="1" customWidth="1"/>
    <col min="359" max="359" width="24.08984375" bestFit="1" customWidth="1"/>
    <col min="360" max="360" width="14.90625" bestFit="1" customWidth="1"/>
    <col min="361" max="361" width="19.81640625" bestFit="1" customWidth="1"/>
    <col min="362" max="362" width="20.54296875" bestFit="1" customWidth="1"/>
    <col min="363" max="363" width="27.6328125" bestFit="1" customWidth="1"/>
    <col min="364" max="364" width="18.453125" bestFit="1" customWidth="1"/>
    <col min="365" max="365" width="23.36328125" bestFit="1" customWidth="1"/>
    <col min="366" max="366" width="17.08984375" bestFit="1" customWidth="1"/>
    <col min="367" max="367" width="24.08984375" bestFit="1" customWidth="1"/>
    <col min="368" max="368" width="14.90625" bestFit="1" customWidth="1"/>
    <col min="369" max="369" width="19.81640625" bestFit="1" customWidth="1"/>
    <col min="370" max="370" width="17.08984375" bestFit="1" customWidth="1"/>
    <col min="371" max="371" width="24.08984375" bestFit="1" customWidth="1"/>
    <col min="372" max="372" width="14.90625" bestFit="1" customWidth="1"/>
    <col min="373" max="373" width="19.81640625" bestFit="1" customWidth="1"/>
    <col min="374" max="374" width="20.54296875" bestFit="1" customWidth="1"/>
    <col min="375" max="375" width="27.6328125" bestFit="1" customWidth="1"/>
    <col min="376" max="376" width="18.453125" bestFit="1" customWidth="1"/>
    <col min="377" max="377" width="23.36328125" bestFit="1" customWidth="1"/>
    <col min="378" max="378" width="17.08984375" bestFit="1" customWidth="1"/>
    <col min="379" max="379" width="24.08984375" bestFit="1" customWidth="1"/>
    <col min="380" max="380" width="14.90625" bestFit="1" customWidth="1"/>
    <col min="381" max="381" width="19.81640625" bestFit="1" customWidth="1"/>
    <col min="382" max="382" width="20.54296875" bestFit="1" customWidth="1"/>
    <col min="383" max="383" width="27.6328125" bestFit="1" customWidth="1"/>
    <col min="384" max="384" width="18.453125" bestFit="1" customWidth="1"/>
    <col min="385" max="385" width="23.36328125" bestFit="1" customWidth="1"/>
    <col min="386" max="386" width="17.08984375" bestFit="1" customWidth="1"/>
    <col min="387" max="387" width="24.08984375" bestFit="1" customWidth="1"/>
    <col min="388" max="388" width="14.90625" bestFit="1" customWidth="1"/>
    <col min="389" max="389" width="19.81640625" bestFit="1" customWidth="1"/>
    <col min="390" max="390" width="20.54296875" bestFit="1" customWidth="1"/>
    <col min="391" max="391" width="27.6328125" bestFit="1" customWidth="1"/>
    <col min="392" max="392" width="18.453125" bestFit="1" customWidth="1"/>
    <col min="393" max="393" width="23.36328125" bestFit="1" customWidth="1"/>
    <col min="394" max="394" width="17.08984375" bestFit="1" customWidth="1"/>
    <col min="395" max="395" width="24.08984375" bestFit="1" customWidth="1"/>
    <col min="396" max="396" width="14.90625" bestFit="1" customWidth="1"/>
    <col min="397" max="397" width="19.81640625" bestFit="1" customWidth="1"/>
    <col min="398" max="398" width="20.54296875" bestFit="1" customWidth="1"/>
    <col min="399" max="399" width="27.6328125" bestFit="1" customWidth="1"/>
    <col min="400" max="400" width="18.453125" bestFit="1" customWidth="1"/>
    <col min="401" max="401" width="23.36328125" bestFit="1" customWidth="1"/>
    <col min="402" max="402" width="17.08984375" bestFit="1" customWidth="1"/>
    <col min="403" max="403" width="24.08984375" bestFit="1" customWidth="1"/>
    <col min="404" max="404" width="14.90625" bestFit="1" customWidth="1"/>
    <col min="405" max="405" width="19.81640625" bestFit="1" customWidth="1"/>
    <col min="406" max="406" width="20.54296875" bestFit="1" customWidth="1"/>
    <col min="407" max="407" width="27.6328125" bestFit="1" customWidth="1"/>
    <col min="408" max="408" width="18.453125" bestFit="1" customWidth="1"/>
    <col min="409" max="409" width="23.36328125" bestFit="1" customWidth="1"/>
    <col min="410" max="410" width="17.08984375" bestFit="1" customWidth="1"/>
    <col min="411" max="411" width="24.08984375" bestFit="1" customWidth="1"/>
    <col min="412" max="412" width="14.90625" bestFit="1" customWidth="1"/>
    <col min="413" max="413" width="19.81640625" bestFit="1" customWidth="1"/>
    <col min="414" max="414" width="20.54296875" bestFit="1" customWidth="1"/>
    <col min="415" max="415" width="27.6328125" bestFit="1" customWidth="1"/>
    <col min="416" max="416" width="18.453125" bestFit="1" customWidth="1"/>
    <col min="417" max="417" width="23.36328125" bestFit="1" customWidth="1"/>
    <col min="418" max="418" width="17.08984375" bestFit="1" customWidth="1"/>
    <col min="419" max="419" width="24.08984375" bestFit="1" customWidth="1"/>
    <col min="420" max="420" width="14.90625" bestFit="1" customWidth="1"/>
    <col min="421" max="421" width="19.81640625" bestFit="1" customWidth="1"/>
    <col min="422" max="422" width="20.54296875" bestFit="1" customWidth="1"/>
    <col min="423" max="423" width="27.6328125" bestFit="1" customWidth="1"/>
    <col min="424" max="424" width="18.453125" bestFit="1" customWidth="1"/>
    <col min="425" max="425" width="23.36328125" bestFit="1" customWidth="1"/>
    <col min="426" max="426" width="17.08984375" bestFit="1" customWidth="1"/>
    <col min="427" max="427" width="24.08984375" bestFit="1" customWidth="1"/>
    <col min="428" max="428" width="14.90625" bestFit="1" customWidth="1"/>
    <col min="429" max="429" width="19.81640625" bestFit="1" customWidth="1"/>
    <col min="430" max="430" width="20.54296875" bestFit="1" customWidth="1"/>
    <col min="431" max="431" width="27.6328125" bestFit="1" customWidth="1"/>
    <col min="432" max="432" width="18.453125" bestFit="1" customWidth="1"/>
    <col min="433" max="433" width="23.36328125" bestFit="1" customWidth="1"/>
    <col min="434" max="434" width="17.08984375" bestFit="1" customWidth="1"/>
    <col min="435" max="435" width="24.08984375" bestFit="1" customWidth="1"/>
    <col min="436" max="436" width="14.90625" bestFit="1" customWidth="1"/>
    <col min="437" max="437" width="19.81640625" bestFit="1" customWidth="1"/>
    <col min="438" max="438" width="20.54296875" bestFit="1" customWidth="1"/>
    <col min="439" max="439" width="27.6328125" bestFit="1" customWidth="1"/>
    <col min="440" max="440" width="18.453125" bestFit="1" customWidth="1"/>
    <col min="441" max="441" width="23.36328125" bestFit="1" customWidth="1"/>
    <col min="442" max="442" width="17.08984375" bestFit="1" customWidth="1"/>
    <col min="443" max="443" width="24.08984375" bestFit="1" customWidth="1"/>
    <col min="444" max="444" width="14.90625" bestFit="1" customWidth="1"/>
    <col min="445" max="445" width="19.81640625" bestFit="1" customWidth="1"/>
    <col min="446" max="446" width="20.54296875" bestFit="1" customWidth="1"/>
    <col min="447" max="447" width="27.6328125" bestFit="1" customWidth="1"/>
    <col min="448" max="448" width="18.453125" bestFit="1" customWidth="1"/>
    <col min="449" max="449" width="23.36328125" bestFit="1" customWidth="1"/>
    <col min="450" max="450" width="17.08984375" bestFit="1" customWidth="1"/>
    <col min="451" max="451" width="24.08984375" bestFit="1" customWidth="1"/>
    <col min="452" max="452" width="14.90625" bestFit="1" customWidth="1"/>
    <col min="453" max="453" width="19.81640625" bestFit="1" customWidth="1"/>
    <col min="454" max="454" width="20.54296875" bestFit="1" customWidth="1"/>
    <col min="455" max="455" width="27.6328125" bestFit="1" customWidth="1"/>
    <col min="456" max="456" width="18.453125" bestFit="1" customWidth="1"/>
    <col min="457" max="457" width="23.36328125" bestFit="1" customWidth="1"/>
    <col min="458" max="458" width="17.08984375" bestFit="1" customWidth="1"/>
    <col min="459" max="459" width="24.08984375" bestFit="1" customWidth="1"/>
    <col min="460" max="460" width="14.90625" bestFit="1" customWidth="1"/>
    <col min="461" max="461" width="19.81640625" bestFit="1" customWidth="1"/>
    <col min="462" max="462" width="20.54296875" bestFit="1" customWidth="1"/>
    <col min="463" max="463" width="27.6328125" bestFit="1" customWidth="1"/>
    <col min="464" max="464" width="18.453125" bestFit="1" customWidth="1"/>
    <col min="465" max="465" width="23.36328125" bestFit="1" customWidth="1"/>
    <col min="466" max="466" width="17.08984375" bestFit="1" customWidth="1"/>
    <col min="467" max="467" width="24.08984375" bestFit="1" customWidth="1"/>
    <col min="468" max="468" width="14.90625" bestFit="1" customWidth="1"/>
    <col min="469" max="469" width="19.81640625" bestFit="1" customWidth="1"/>
    <col min="470" max="470" width="17.08984375" bestFit="1" customWidth="1"/>
    <col min="471" max="471" width="24.08984375" bestFit="1" customWidth="1"/>
    <col min="472" max="472" width="14.90625" bestFit="1" customWidth="1"/>
    <col min="473" max="473" width="19.81640625" bestFit="1" customWidth="1"/>
    <col min="474" max="474" width="20.54296875" bestFit="1" customWidth="1"/>
    <col min="475" max="475" width="27.6328125" bestFit="1" customWidth="1"/>
    <col min="476" max="476" width="18.453125" bestFit="1" customWidth="1"/>
    <col min="477" max="477" width="23.36328125" bestFit="1" customWidth="1"/>
    <col min="478" max="478" width="17.08984375" bestFit="1" customWidth="1"/>
    <col min="479" max="479" width="24.08984375" bestFit="1" customWidth="1"/>
    <col min="480" max="480" width="14.90625" bestFit="1" customWidth="1"/>
    <col min="481" max="481" width="19.81640625" bestFit="1" customWidth="1"/>
    <col min="482" max="482" width="20.54296875" bestFit="1" customWidth="1"/>
    <col min="483" max="483" width="27.6328125" bestFit="1" customWidth="1"/>
    <col min="484" max="484" width="18.453125" bestFit="1" customWidth="1"/>
    <col min="485" max="485" width="23.36328125" bestFit="1" customWidth="1"/>
    <col min="486" max="486" width="17.08984375" bestFit="1" customWidth="1"/>
    <col min="487" max="487" width="24.08984375" bestFit="1" customWidth="1"/>
    <col min="488" max="488" width="14.90625" bestFit="1" customWidth="1"/>
    <col min="489" max="489" width="19.81640625" bestFit="1" customWidth="1"/>
    <col min="490" max="490" width="20.54296875" bestFit="1" customWidth="1"/>
    <col min="491" max="491" width="27.6328125" bestFit="1" customWidth="1"/>
    <col min="492" max="492" width="18.453125" bestFit="1" customWidth="1"/>
    <col min="493" max="493" width="23.36328125" bestFit="1" customWidth="1"/>
    <col min="494" max="494" width="17.08984375" bestFit="1" customWidth="1"/>
    <col min="495" max="495" width="24.08984375" bestFit="1" customWidth="1"/>
    <col min="496" max="496" width="14.90625" bestFit="1" customWidth="1"/>
    <col min="497" max="497" width="19.81640625" bestFit="1" customWidth="1"/>
    <col min="498" max="498" width="20.54296875" bestFit="1" customWidth="1"/>
    <col min="499" max="499" width="27.6328125" bestFit="1" customWidth="1"/>
    <col min="500" max="500" width="18.453125" bestFit="1" customWidth="1"/>
    <col min="501" max="501" width="23.36328125" bestFit="1" customWidth="1"/>
    <col min="502" max="502" width="17.08984375" bestFit="1" customWidth="1"/>
    <col min="503" max="503" width="24.08984375" bestFit="1" customWidth="1"/>
    <col min="504" max="504" width="14.90625" bestFit="1" customWidth="1"/>
    <col min="505" max="505" width="19.81640625" bestFit="1" customWidth="1"/>
    <col min="506" max="506" width="20.54296875" bestFit="1" customWidth="1"/>
    <col min="507" max="507" width="27.6328125" bestFit="1" customWidth="1"/>
    <col min="508" max="508" width="18.453125" bestFit="1" customWidth="1"/>
    <col min="509" max="509" width="23.36328125" bestFit="1" customWidth="1"/>
    <col min="510" max="510" width="17.08984375" bestFit="1" customWidth="1"/>
    <col min="511" max="511" width="24.08984375" bestFit="1" customWidth="1"/>
    <col min="512" max="512" width="14.90625" bestFit="1" customWidth="1"/>
    <col min="513" max="513" width="19.81640625" bestFit="1" customWidth="1"/>
    <col min="514" max="514" width="20.54296875" bestFit="1" customWidth="1"/>
    <col min="515" max="515" width="27.6328125" bestFit="1" customWidth="1"/>
    <col min="516" max="516" width="18.453125" bestFit="1" customWidth="1"/>
    <col min="517" max="517" width="23.36328125" bestFit="1" customWidth="1"/>
    <col min="518" max="518" width="17.08984375" bestFit="1" customWidth="1"/>
    <col min="519" max="519" width="24.08984375" bestFit="1" customWidth="1"/>
    <col min="520" max="520" width="14.90625" bestFit="1" customWidth="1"/>
    <col min="521" max="521" width="19.81640625" bestFit="1" customWidth="1"/>
    <col min="522" max="522" width="20.54296875" bestFit="1" customWidth="1"/>
    <col min="523" max="523" width="27.6328125" bestFit="1" customWidth="1"/>
    <col min="524" max="524" width="18.453125" bestFit="1" customWidth="1"/>
    <col min="525" max="525" width="23.36328125" bestFit="1" customWidth="1"/>
    <col min="526" max="526" width="17.08984375" bestFit="1" customWidth="1"/>
    <col min="527" max="527" width="24.08984375" bestFit="1" customWidth="1"/>
    <col min="528" max="528" width="14.90625" bestFit="1" customWidth="1"/>
    <col min="529" max="529" width="19.81640625" bestFit="1" customWidth="1"/>
    <col min="530" max="530" width="21.6328125" bestFit="1" customWidth="1"/>
    <col min="531" max="531" width="28.6328125" bestFit="1" customWidth="1"/>
    <col min="532" max="532" width="19.453125" bestFit="1" customWidth="1"/>
    <col min="533" max="533" width="24.36328125" bestFit="1" customWidth="1"/>
    <col min="534" max="534" width="17.08984375" bestFit="1" customWidth="1"/>
    <col min="535" max="535" width="24.08984375" bestFit="1" customWidth="1"/>
    <col min="536" max="536" width="14.90625" bestFit="1" customWidth="1"/>
    <col min="537" max="537" width="19.81640625" bestFit="1" customWidth="1"/>
    <col min="538" max="538" width="21.6328125" bestFit="1" customWidth="1"/>
    <col min="539" max="539" width="28.6328125" bestFit="1" customWidth="1"/>
    <col min="540" max="540" width="19.453125" bestFit="1" customWidth="1"/>
    <col min="541" max="541" width="24.36328125" bestFit="1" customWidth="1"/>
    <col min="542" max="542" width="17.08984375" bestFit="1" customWidth="1"/>
    <col min="543" max="543" width="24.08984375" bestFit="1" customWidth="1"/>
    <col min="544" max="544" width="14.90625" bestFit="1" customWidth="1"/>
    <col min="545" max="545" width="19.81640625" bestFit="1" customWidth="1"/>
    <col min="546" max="546" width="21.6328125" bestFit="1" customWidth="1"/>
    <col min="547" max="547" width="28.6328125" bestFit="1" customWidth="1"/>
    <col min="548" max="548" width="19.453125" bestFit="1" customWidth="1"/>
    <col min="549" max="549" width="24.36328125" bestFit="1" customWidth="1"/>
    <col min="550" max="550" width="17.08984375" bestFit="1" customWidth="1"/>
    <col min="551" max="551" width="24.08984375" bestFit="1" customWidth="1"/>
    <col min="552" max="552" width="14.90625" bestFit="1" customWidth="1"/>
    <col min="553" max="553" width="19.81640625" bestFit="1" customWidth="1"/>
    <col min="554" max="554" width="17.08984375" bestFit="1" customWidth="1"/>
    <col min="555" max="555" width="24.08984375" bestFit="1" customWidth="1"/>
    <col min="556" max="556" width="14.90625" bestFit="1" customWidth="1"/>
    <col min="557" max="557" width="19.81640625" bestFit="1" customWidth="1"/>
    <col min="558" max="558" width="17.08984375" bestFit="1" customWidth="1"/>
    <col min="559" max="559" width="24.08984375" bestFit="1" customWidth="1"/>
    <col min="560" max="560" width="14.90625" bestFit="1" customWidth="1"/>
    <col min="561" max="561" width="19.81640625" bestFit="1" customWidth="1"/>
    <col min="562" max="562" width="17.08984375" bestFit="1" customWidth="1"/>
    <col min="563" max="563" width="24.08984375" bestFit="1" customWidth="1"/>
    <col min="564" max="564" width="14.90625" bestFit="1" customWidth="1"/>
    <col min="565" max="565" width="19.81640625" bestFit="1" customWidth="1"/>
    <col min="566" max="566" width="17.08984375" bestFit="1" customWidth="1"/>
    <col min="567" max="567" width="24.08984375" bestFit="1" customWidth="1"/>
    <col min="568" max="568" width="14.90625" bestFit="1" customWidth="1"/>
    <col min="569" max="569" width="19.81640625" bestFit="1" customWidth="1"/>
    <col min="570" max="570" width="17.08984375" bestFit="1" customWidth="1"/>
    <col min="571" max="571" width="24.08984375" bestFit="1" customWidth="1"/>
    <col min="572" max="572" width="14.90625" bestFit="1" customWidth="1"/>
    <col min="573" max="573" width="19.81640625" bestFit="1" customWidth="1"/>
    <col min="574" max="574" width="17.08984375" bestFit="1" customWidth="1"/>
    <col min="575" max="575" width="24.08984375" bestFit="1" customWidth="1"/>
    <col min="576" max="576" width="14.90625" bestFit="1" customWidth="1"/>
    <col min="577" max="577" width="19.81640625" bestFit="1" customWidth="1"/>
    <col min="578" max="578" width="17.08984375" bestFit="1" customWidth="1"/>
    <col min="579" max="579" width="24.08984375" bestFit="1" customWidth="1"/>
    <col min="580" max="580" width="14.90625" bestFit="1" customWidth="1"/>
    <col min="581" max="581" width="19.81640625" bestFit="1" customWidth="1"/>
    <col min="582" max="582" width="17.08984375" bestFit="1" customWidth="1"/>
    <col min="583" max="583" width="24.08984375" bestFit="1" customWidth="1"/>
    <col min="584" max="584" width="14.90625" bestFit="1" customWidth="1"/>
    <col min="585" max="585" width="19.81640625" bestFit="1" customWidth="1"/>
    <col min="586" max="586" width="17.08984375" bestFit="1" customWidth="1"/>
    <col min="587" max="587" width="24.08984375" bestFit="1" customWidth="1"/>
    <col min="588" max="588" width="14.90625" bestFit="1" customWidth="1"/>
    <col min="589" max="589" width="19.81640625" bestFit="1" customWidth="1"/>
    <col min="590" max="590" width="23.54296875" bestFit="1" customWidth="1"/>
    <col min="591" max="591" width="30.6328125" bestFit="1" customWidth="1"/>
    <col min="592" max="592" width="21.453125" bestFit="1" customWidth="1"/>
    <col min="593" max="593" width="26.36328125" bestFit="1" customWidth="1"/>
    <col min="594" max="594" width="21.90625" bestFit="1" customWidth="1"/>
    <col min="595" max="595" width="28.90625" bestFit="1" customWidth="1"/>
    <col min="596" max="596" width="19.7265625" bestFit="1" customWidth="1"/>
    <col min="597" max="597" width="24.6328125" bestFit="1" customWidth="1"/>
    <col min="598" max="598" width="23.36328125" bestFit="1" customWidth="1"/>
    <col min="599" max="599" width="17.08984375" bestFit="1" customWidth="1"/>
    <col min="600" max="600" width="14.90625" bestFit="1" customWidth="1"/>
    <col min="601" max="601" width="19.81640625" bestFit="1" customWidth="1"/>
    <col min="602" max="602" width="20.54296875" bestFit="1" customWidth="1"/>
    <col min="603" max="603" width="18.453125" bestFit="1" customWidth="1"/>
    <col min="604" max="604" width="23.36328125" bestFit="1" customWidth="1"/>
    <col min="605" max="605" width="20.54296875" bestFit="1" customWidth="1"/>
    <col min="606" max="606" width="18.453125" bestFit="1" customWidth="1"/>
    <col min="607" max="607" width="23.36328125" bestFit="1" customWidth="1"/>
    <col min="608" max="608" width="17.08984375" bestFit="1" customWidth="1"/>
    <col min="609" max="609" width="14.90625" bestFit="1" customWidth="1"/>
    <col min="610" max="610" width="19.81640625" bestFit="1" customWidth="1"/>
    <col min="611" max="611" width="20.54296875" bestFit="1" customWidth="1"/>
    <col min="612" max="612" width="18.453125" bestFit="1" customWidth="1"/>
    <col min="613" max="613" width="23.36328125" bestFit="1" customWidth="1"/>
    <col min="614" max="614" width="21.6328125" bestFit="1" customWidth="1"/>
    <col min="615" max="615" width="19.453125" bestFit="1" customWidth="1"/>
    <col min="616" max="616" width="24.36328125" bestFit="1" customWidth="1"/>
    <col min="617" max="617" width="17.08984375" bestFit="1" customWidth="1"/>
    <col min="618" max="618" width="14.90625" bestFit="1" customWidth="1"/>
    <col min="619" max="619" width="19.81640625" bestFit="1" customWidth="1"/>
    <col min="620" max="620" width="20.54296875" bestFit="1" customWidth="1"/>
    <col min="621" max="621" width="18.453125" bestFit="1" customWidth="1"/>
    <col min="622" max="622" width="23.36328125" bestFit="1" customWidth="1"/>
    <col min="623" max="623" width="21.6328125" bestFit="1" customWidth="1"/>
    <col min="624" max="624" width="19.453125" bestFit="1" customWidth="1"/>
    <col min="625" max="625" width="24.36328125" bestFit="1" customWidth="1"/>
    <col min="626" max="626" width="17.08984375" bestFit="1" customWidth="1"/>
    <col min="627" max="627" width="14.90625" bestFit="1" customWidth="1"/>
    <col min="628" max="628" width="19.81640625" bestFit="1" customWidth="1"/>
    <col min="629" max="629" width="20.54296875" bestFit="1" customWidth="1"/>
    <col min="630" max="630" width="18.453125" bestFit="1" customWidth="1"/>
    <col min="631" max="631" width="23.36328125" bestFit="1" customWidth="1"/>
    <col min="632" max="632" width="21.6328125" bestFit="1" customWidth="1"/>
    <col min="633" max="633" width="19.453125" bestFit="1" customWidth="1"/>
    <col min="634" max="634" width="24.36328125" bestFit="1" customWidth="1"/>
    <col min="635" max="635" width="17.08984375" bestFit="1" customWidth="1"/>
    <col min="636" max="636" width="14.90625" bestFit="1" customWidth="1"/>
    <col min="637" max="637" width="19.81640625" bestFit="1" customWidth="1"/>
    <col min="638" max="638" width="18.54296875" bestFit="1" customWidth="1"/>
    <col min="639" max="639" width="16.36328125" bestFit="1" customWidth="1"/>
    <col min="640" max="640" width="21.36328125" bestFit="1" customWidth="1"/>
    <col min="641" max="641" width="17.08984375" bestFit="1" customWidth="1"/>
    <col min="642" max="642" width="14.90625" bestFit="1" customWidth="1"/>
    <col min="643" max="643" width="19.81640625" bestFit="1" customWidth="1"/>
    <col min="644" max="644" width="18.54296875" bestFit="1" customWidth="1"/>
    <col min="645" max="645" width="16.36328125" bestFit="1" customWidth="1"/>
    <col min="646" max="646" width="21.36328125" bestFit="1" customWidth="1"/>
    <col min="647" max="647" width="17.08984375" bestFit="1" customWidth="1"/>
    <col min="648" max="648" width="14.90625" bestFit="1" customWidth="1"/>
    <col min="649" max="649" width="19.81640625" bestFit="1" customWidth="1"/>
    <col min="650" max="650" width="18.54296875" bestFit="1" customWidth="1"/>
    <col min="651" max="651" width="16.36328125" bestFit="1" customWidth="1"/>
    <col min="652" max="652" width="21.36328125" bestFit="1" customWidth="1"/>
    <col min="653" max="653" width="17.08984375" bestFit="1" customWidth="1"/>
    <col min="654" max="654" width="14.90625" bestFit="1" customWidth="1"/>
    <col min="655" max="655" width="19.81640625" bestFit="1" customWidth="1"/>
    <col min="656" max="656" width="18.54296875" bestFit="1" customWidth="1"/>
    <col min="657" max="657" width="16.36328125" bestFit="1" customWidth="1"/>
    <col min="658" max="658" width="21.36328125" bestFit="1" customWidth="1"/>
    <col min="659" max="659" width="17.08984375" bestFit="1" customWidth="1"/>
    <col min="660" max="660" width="14.90625" bestFit="1" customWidth="1"/>
    <col min="661" max="661" width="19.81640625" bestFit="1" customWidth="1"/>
    <col min="662" max="662" width="18.54296875" bestFit="1" customWidth="1"/>
    <col min="663" max="663" width="16.36328125" bestFit="1" customWidth="1"/>
    <col min="664" max="664" width="21.36328125" bestFit="1" customWidth="1"/>
    <col min="665" max="665" width="17.08984375" bestFit="1" customWidth="1"/>
    <col min="666" max="666" width="14.90625" bestFit="1" customWidth="1"/>
    <col min="667" max="667" width="19.81640625" bestFit="1" customWidth="1"/>
    <col min="668" max="668" width="18.54296875" bestFit="1" customWidth="1"/>
    <col min="669" max="669" width="16.36328125" bestFit="1" customWidth="1"/>
    <col min="670" max="670" width="21.36328125" bestFit="1" customWidth="1"/>
    <col min="671" max="671" width="17.08984375" bestFit="1" customWidth="1"/>
    <col min="672" max="672" width="14.90625" bestFit="1" customWidth="1"/>
    <col min="673" max="673" width="19.81640625" bestFit="1" customWidth="1"/>
    <col min="674" max="674" width="18.54296875" bestFit="1" customWidth="1"/>
    <col min="675" max="675" width="16.36328125" bestFit="1" customWidth="1"/>
    <col min="676" max="676" width="21.36328125" bestFit="1" customWidth="1"/>
    <col min="677" max="677" width="17.08984375" bestFit="1" customWidth="1"/>
    <col min="678" max="678" width="14.90625" bestFit="1" customWidth="1"/>
    <col min="679" max="679" width="19.81640625" bestFit="1" customWidth="1"/>
    <col min="680" max="680" width="19.54296875" bestFit="1" customWidth="1"/>
    <col min="681" max="681" width="17.453125" bestFit="1" customWidth="1"/>
    <col min="682" max="682" width="22.36328125" bestFit="1" customWidth="1"/>
    <col min="683" max="683" width="17.08984375" bestFit="1" customWidth="1"/>
    <col min="684" max="684" width="14.90625" bestFit="1" customWidth="1"/>
    <col min="685" max="685" width="19.81640625" bestFit="1" customWidth="1"/>
    <col min="686" max="686" width="19.54296875" bestFit="1" customWidth="1"/>
    <col min="687" max="687" width="17.453125" bestFit="1" customWidth="1"/>
    <col min="688" max="688" width="22.36328125" bestFit="1" customWidth="1"/>
    <col min="689" max="689" width="17.08984375" bestFit="1" customWidth="1"/>
    <col min="690" max="690" width="14.90625" bestFit="1" customWidth="1"/>
    <col min="691" max="691" width="19.81640625" bestFit="1" customWidth="1"/>
    <col min="692" max="692" width="23.54296875" bestFit="1" customWidth="1"/>
    <col min="693" max="693" width="21.453125" bestFit="1" customWidth="1"/>
    <col min="694" max="694" width="26.36328125" bestFit="1" customWidth="1"/>
    <col min="695" max="695" width="23.54296875" bestFit="1" customWidth="1"/>
    <col min="696" max="696" width="21.453125" bestFit="1" customWidth="1"/>
    <col min="697" max="697" width="26.36328125" bestFit="1" customWidth="1"/>
    <col min="698" max="698" width="21.90625" bestFit="1" customWidth="1"/>
    <col min="699" max="699" width="19.7265625" bestFit="1" customWidth="1"/>
    <col min="700" max="700" width="24.6328125" bestFit="1" customWidth="1"/>
  </cols>
  <sheetData>
    <row r="1" spans="1:7" x14ac:dyDescent="0.35">
      <c r="A1" s="459" t="s">
        <v>1</v>
      </c>
      <c r="B1" t="s">
        <v>951</v>
      </c>
    </row>
    <row r="3" spans="1:7" x14ac:dyDescent="0.35">
      <c r="A3" s="459" t="s">
        <v>234</v>
      </c>
      <c r="B3" t="s">
        <v>1028</v>
      </c>
      <c r="C3" t="s">
        <v>1029</v>
      </c>
      <c r="D3" t="s">
        <v>1030</v>
      </c>
      <c r="E3" t="s">
        <v>248</v>
      </c>
      <c r="F3" t="s">
        <v>1031</v>
      </c>
      <c r="G3" t="s">
        <v>315</v>
      </c>
    </row>
    <row r="4" spans="1:7" x14ac:dyDescent="0.35">
      <c r="A4" s="1000" t="s">
        <v>517</v>
      </c>
      <c r="B4" s="461"/>
      <c r="C4" s="461">
        <v>1</v>
      </c>
      <c r="D4" s="461"/>
      <c r="E4" s="461"/>
      <c r="F4" s="461">
        <v>4</v>
      </c>
      <c r="G4" s="461"/>
    </row>
    <row r="5" spans="1:7" x14ac:dyDescent="0.35">
      <c r="A5" s="1000" t="s">
        <v>98</v>
      </c>
      <c r="B5" s="461">
        <v>37</v>
      </c>
      <c r="C5" s="461">
        <v>134</v>
      </c>
      <c r="D5" s="461"/>
      <c r="E5" s="461">
        <v>6</v>
      </c>
      <c r="F5" s="461">
        <v>20</v>
      </c>
      <c r="G5" s="461">
        <v>13</v>
      </c>
    </row>
    <row r="6" spans="1:7" x14ac:dyDescent="0.35">
      <c r="A6" s="1000" t="s">
        <v>99</v>
      </c>
      <c r="B6" s="461">
        <v>243</v>
      </c>
      <c r="C6" s="461">
        <v>308</v>
      </c>
      <c r="D6" s="461">
        <v>3</v>
      </c>
      <c r="E6" s="461">
        <v>20</v>
      </c>
      <c r="F6" s="461">
        <v>47</v>
      </c>
      <c r="G6" s="461">
        <v>16</v>
      </c>
    </row>
    <row r="7" spans="1:7" x14ac:dyDescent="0.35">
      <c r="A7" s="1000" t="s">
        <v>100</v>
      </c>
      <c r="B7" s="461">
        <v>388</v>
      </c>
      <c r="C7" s="461">
        <v>371</v>
      </c>
      <c r="D7" s="461">
        <v>4</v>
      </c>
      <c r="E7" s="461">
        <v>35</v>
      </c>
      <c r="F7" s="461">
        <v>67</v>
      </c>
      <c r="G7" s="461">
        <v>20</v>
      </c>
    </row>
    <row r="8" spans="1:7" x14ac:dyDescent="0.35">
      <c r="A8" s="1000" t="s">
        <v>101</v>
      </c>
      <c r="B8" s="461">
        <v>529</v>
      </c>
      <c r="C8" s="461">
        <v>402</v>
      </c>
      <c r="D8" s="461">
        <v>8</v>
      </c>
      <c r="E8" s="461">
        <v>19</v>
      </c>
      <c r="F8" s="461">
        <v>80</v>
      </c>
      <c r="G8" s="461">
        <v>36</v>
      </c>
    </row>
    <row r="9" spans="1:7" x14ac:dyDescent="0.35">
      <c r="A9" s="1000" t="s">
        <v>102</v>
      </c>
      <c r="B9" s="461">
        <v>703</v>
      </c>
      <c r="C9" s="461">
        <v>367</v>
      </c>
      <c r="D9" s="461">
        <v>5</v>
      </c>
      <c r="E9" s="461">
        <v>22</v>
      </c>
      <c r="F9" s="461">
        <v>79</v>
      </c>
      <c r="G9" s="461">
        <v>29</v>
      </c>
    </row>
    <row r="10" spans="1:7" x14ac:dyDescent="0.35">
      <c r="A10" s="1000" t="s">
        <v>103</v>
      </c>
      <c r="B10" s="461">
        <v>727</v>
      </c>
      <c r="C10" s="461">
        <v>383</v>
      </c>
      <c r="D10" s="461">
        <v>3</v>
      </c>
      <c r="E10" s="461">
        <v>20</v>
      </c>
      <c r="F10" s="461">
        <v>114</v>
      </c>
      <c r="G10" s="461">
        <v>44</v>
      </c>
    </row>
    <row r="11" spans="1:7" x14ac:dyDescent="0.35">
      <c r="A11" s="1000" t="s">
        <v>104</v>
      </c>
      <c r="B11" s="461">
        <v>751</v>
      </c>
      <c r="C11" s="461">
        <v>457</v>
      </c>
      <c r="D11" s="461">
        <v>19</v>
      </c>
      <c r="E11" s="461">
        <v>27</v>
      </c>
      <c r="F11" s="461">
        <v>152</v>
      </c>
      <c r="G11" s="461">
        <v>65</v>
      </c>
    </row>
    <row r="12" spans="1:7" x14ac:dyDescent="0.35">
      <c r="A12" s="1000" t="s">
        <v>105</v>
      </c>
      <c r="B12" s="461">
        <v>185</v>
      </c>
      <c r="C12" s="461">
        <v>330</v>
      </c>
      <c r="D12" s="461">
        <v>11</v>
      </c>
      <c r="E12" s="461">
        <v>28</v>
      </c>
      <c r="F12" s="461">
        <v>137</v>
      </c>
      <c r="G12" s="461">
        <v>45</v>
      </c>
    </row>
    <row r="13" spans="1:7" x14ac:dyDescent="0.35">
      <c r="A13" s="1000" t="s">
        <v>106</v>
      </c>
      <c r="B13" s="461">
        <v>20</v>
      </c>
      <c r="C13" s="461">
        <v>90</v>
      </c>
      <c r="D13" s="461">
        <v>1</v>
      </c>
      <c r="E13" s="461">
        <v>4</v>
      </c>
      <c r="F13" s="461">
        <v>96</v>
      </c>
      <c r="G13" s="461">
        <v>23</v>
      </c>
    </row>
    <row r="14" spans="1:7" x14ac:dyDescent="0.35">
      <c r="A14" s="1000" t="s">
        <v>107</v>
      </c>
      <c r="B14" s="461">
        <v>1</v>
      </c>
      <c r="C14" s="461">
        <v>28</v>
      </c>
      <c r="D14" s="461"/>
      <c r="E14" s="461">
        <v>1</v>
      </c>
      <c r="F14" s="461">
        <v>38</v>
      </c>
      <c r="G14" s="461">
        <v>11</v>
      </c>
    </row>
    <row r="15" spans="1:7" x14ac:dyDescent="0.35">
      <c r="A15" s="1000" t="s">
        <v>108</v>
      </c>
      <c r="B15" s="461"/>
      <c r="C15" s="461">
        <v>1</v>
      </c>
      <c r="D15" s="461"/>
      <c r="E15" s="461"/>
      <c r="F15" s="461">
        <v>2</v>
      </c>
      <c r="G15" s="461">
        <v>1</v>
      </c>
    </row>
    <row r="16" spans="1:7" x14ac:dyDescent="0.35">
      <c r="A16" s="1000" t="s">
        <v>239</v>
      </c>
      <c r="B16" s="461">
        <v>3584</v>
      </c>
      <c r="C16" s="461">
        <v>2872</v>
      </c>
      <c r="D16" s="461">
        <v>54</v>
      </c>
      <c r="E16" s="461">
        <v>182</v>
      </c>
      <c r="F16" s="461">
        <v>836</v>
      </c>
      <c r="G16" s="461">
        <v>303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4"/>
  <sheetViews>
    <sheetView workbookViewId="0">
      <selection activeCell="B50" sqref="B50"/>
    </sheetView>
  </sheetViews>
  <sheetFormatPr defaultRowHeight="14.5" x14ac:dyDescent="0.35"/>
  <cols>
    <col min="1" max="1" width="7.453125" bestFit="1" customWidth="1"/>
    <col min="2" max="2" width="23" bestFit="1" customWidth="1"/>
    <col min="3" max="3" width="21.6328125" bestFit="1" customWidth="1"/>
    <col min="4" max="4" width="18.453125" bestFit="1" customWidth="1"/>
    <col min="5" max="5" width="9.36328125" bestFit="1" customWidth="1"/>
    <col min="6" max="6" width="14.1796875" bestFit="1" customWidth="1"/>
    <col min="7" max="7" width="11.453125" bestFit="1" customWidth="1"/>
    <col min="8" max="8" width="10.81640625" bestFit="1" customWidth="1"/>
    <col min="9" max="9" width="12.1796875" bestFit="1" customWidth="1"/>
  </cols>
  <sheetData>
    <row r="1" spans="1:9" x14ac:dyDescent="0.35">
      <c r="A1" s="461" t="s">
        <v>1</v>
      </c>
      <c r="B1" s="461" t="s">
        <v>27</v>
      </c>
      <c r="C1" s="461" t="s">
        <v>28</v>
      </c>
      <c r="D1" s="461" t="s">
        <v>849</v>
      </c>
      <c r="E1" s="461" t="s">
        <v>2</v>
      </c>
      <c r="F1" s="461" t="s">
        <v>83</v>
      </c>
      <c r="G1" s="461" t="s">
        <v>29</v>
      </c>
      <c r="H1" s="461" t="s">
        <v>1025</v>
      </c>
      <c r="I1" s="461" t="s">
        <v>1026</v>
      </c>
    </row>
    <row r="2" spans="1:9" hidden="1" x14ac:dyDescent="0.35">
      <c r="A2" s="461" t="s">
        <v>194</v>
      </c>
      <c r="B2" s="461">
        <v>302</v>
      </c>
      <c r="C2" s="461">
        <v>438</v>
      </c>
      <c r="D2" s="461"/>
      <c r="E2" s="461">
        <v>12</v>
      </c>
      <c r="F2" s="461">
        <v>69</v>
      </c>
      <c r="G2" s="461">
        <v>32</v>
      </c>
      <c r="H2" s="461" t="s">
        <v>200</v>
      </c>
      <c r="I2" s="461" t="s">
        <v>1021</v>
      </c>
    </row>
    <row r="3" spans="1:9" hidden="1" x14ac:dyDescent="0.35">
      <c r="A3" s="461" t="s">
        <v>194</v>
      </c>
      <c r="B3" s="461">
        <v>1254</v>
      </c>
      <c r="C3" s="461">
        <v>691</v>
      </c>
      <c r="D3" s="461"/>
      <c r="E3" s="461">
        <v>46</v>
      </c>
      <c r="F3" s="461">
        <v>174</v>
      </c>
      <c r="G3" s="461">
        <v>58</v>
      </c>
      <c r="H3" s="461" t="s">
        <v>200</v>
      </c>
      <c r="I3" s="461" t="s">
        <v>1022</v>
      </c>
    </row>
    <row r="4" spans="1:9" hidden="1" x14ac:dyDescent="0.35">
      <c r="A4" s="461" t="s">
        <v>194</v>
      </c>
      <c r="B4" s="461">
        <v>888</v>
      </c>
      <c r="C4" s="461">
        <v>540</v>
      </c>
      <c r="D4" s="461"/>
      <c r="E4" s="461">
        <v>34</v>
      </c>
      <c r="F4" s="461">
        <v>142</v>
      </c>
      <c r="G4" s="461">
        <v>63</v>
      </c>
      <c r="H4" s="461" t="s">
        <v>200</v>
      </c>
      <c r="I4" s="461" t="s">
        <v>102</v>
      </c>
    </row>
    <row r="5" spans="1:9" hidden="1" x14ac:dyDescent="0.35">
      <c r="A5" s="461" t="s">
        <v>194</v>
      </c>
      <c r="B5" s="461">
        <v>1024</v>
      </c>
      <c r="C5" s="461">
        <v>635</v>
      </c>
      <c r="D5" s="461"/>
      <c r="E5" s="461">
        <v>42</v>
      </c>
      <c r="F5" s="461">
        <v>153</v>
      </c>
      <c r="G5" s="461">
        <v>89</v>
      </c>
      <c r="H5" s="461" t="s">
        <v>200</v>
      </c>
      <c r="I5" s="461" t="s">
        <v>103</v>
      </c>
    </row>
    <row r="6" spans="1:9" hidden="1" x14ac:dyDescent="0.35">
      <c r="A6" s="461" t="s">
        <v>194</v>
      </c>
      <c r="B6" s="461">
        <v>486</v>
      </c>
      <c r="C6" s="461">
        <v>370</v>
      </c>
      <c r="D6" s="461"/>
      <c r="E6" s="461">
        <v>52</v>
      </c>
      <c r="F6" s="461">
        <v>160</v>
      </c>
      <c r="G6" s="461">
        <v>48</v>
      </c>
      <c r="H6" s="461" t="s">
        <v>200</v>
      </c>
      <c r="I6" s="461" t="s">
        <v>104</v>
      </c>
    </row>
    <row r="7" spans="1:9" hidden="1" x14ac:dyDescent="0.35">
      <c r="A7" s="461" t="s">
        <v>194</v>
      </c>
      <c r="B7" s="461">
        <v>47</v>
      </c>
      <c r="C7" s="461">
        <v>253</v>
      </c>
      <c r="D7" s="461"/>
      <c r="E7" s="461">
        <v>37</v>
      </c>
      <c r="F7" s="461">
        <v>248</v>
      </c>
      <c r="G7" s="461">
        <v>38</v>
      </c>
      <c r="H7" s="461" t="s">
        <v>200</v>
      </c>
      <c r="I7" s="461" t="s">
        <v>1023</v>
      </c>
    </row>
    <row r="8" spans="1:9" hidden="1" x14ac:dyDescent="0.35">
      <c r="A8" s="461" t="s">
        <v>194</v>
      </c>
      <c r="B8" s="461"/>
      <c r="C8" s="461"/>
      <c r="D8" s="461"/>
      <c r="E8" s="461"/>
      <c r="F8" s="461">
        <v>15</v>
      </c>
      <c r="G8" s="461">
        <v>2</v>
      </c>
      <c r="H8" s="461" t="s">
        <v>200</v>
      </c>
      <c r="I8" s="461" t="s">
        <v>1027</v>
      </c>
    </row>
    <row r="9" spans="1:9" hidden="1" x14ac:dyDescent="0.35">
      <c r="A9" s="461" t="s">
        <v>194</v>
      </c>
      <c r="B9" s="461"/>
      <c r="C9" s="461">
        <v>13</v>
      </c>
      <c r="D9" s="461"/>
      <c r="E9" s="461"/>
      <c r="F9" s="461"/>
      <c r="G9" s="461">
        <v>29</v>
      </c>
      <c r="H9" s="461" t="s">
        <v>200</v>
      </c>
      <c r="I9" s="461" t="s">
        <v>517</v>
      </c>
    </row>
    <row r="10" spans="1:9" hidden="1" x14ac:dyDescent="0.35">
      <c r="A10" s="461" t="s">
        <v>193</v>
      </c>
      <c r="B10" s="461">
        <v>47</v>
      </c>
      <c r="C10" s="461">
        <v>159</v>
      </c>
      <c r="D10" s="461"/>
      <c r="E10" s="461">
        <v>9</v>
      </c>
      <c r="F10" s="461">
        <v>17</v>
      </c>
      <c r="G10" s="461">
        <v>20</v>
      </c>
      <c r="H10" s="461" t="s">
        <v>200</v>
      </c>
      <c r="I10" s="461" t="s">
        <v>98</v>
      </c>
    </row>
    <row r="11" spans="1:9" hidden="1" x14ac:dyDescent="0.35">
      <c r="A11" s="461" t="s">
        <v>193</v>
      </c>
      <c r="B11" s="461">
        <v>179</v>
      </c>
      <c r="C11" s="461">
        <v>287</v>
      </c>
      <c r="D11" s="461"/>
      <c r="E11" s="461">
        <v>17</v>
      </c>
      <c r="F11" s="461">
        <v>41</v>
      </c>
      <c r="G11" s="461">
        <v>23</v>
      </c>
      <c r="H11" s="461" t="s">
        <v>200</v>
      </c>
      <c r="I11" s="461" t="s">
        <v>99</v>
      </c>
    </row>
    <row r="12" spans="1:9" hidden="1" x14ac:dyDescent="0.35">
      <c r="A12" s="461" t="s">
        <v>193</v>
      </c>
      <c r="B12" s="461">
        <v>529</v>
      </c>
      <c r="C12" s="461">
        <v>337</v>
      </c>
      <c r="D12" s="461"/>
      <c r="E12" s="461">
        <v>18</v>
      </c>
      <c r="F12" s="461">
        <v>52</v>
      </c>
      <c r="G12" s="461">
        <v>34</v>
      </c>
      <c r="H12" s="461" t="s">
        <v>200</v>
      </c>
      <c r="I12" s="461" t="s">
        <v>100</v>
      </c>
    </row>
    <row r="13" spans="1:9" hidden="1" x14ac:dyDescent="0.35">
      <c r="A13" s="461" t="s">
        <v>193</v>
      </c>
      <c r="B13" s="461">
        <v>668</v>
      </c>
      <c r="C13" s="461">
        <v>350</v>
      </c>
      <c r="D13" s="461"/>
      <c r="E13" s="461">
        <v>27</v>
      </c>
      <c r="F13" s="461">
        <v>94</v>
      </c>
      <c r="G13" s="461">
        <v>30</v>
      </c>
      <c r="H13" s="461" t="s">
        <v>200</v>
      </c>
      <c r="I13" s="461" t="s">
        <v>101</v>
      </c>
    </row>
    <row r="14" spans="1:9" hidden="1" x14ac:dyDescent="0.35">
      <c r="A14" s="461" t="s">
        <v>193</v>
      </c>
      <c r="B14" s="461">
        <v>822</v>
      </c>
      <c r="C14" s="461">
        <v>510</v>
      </c>
      <c r="D14" s="461"/>
      <c r="E14" s="461">
        <v>35</v>
      </c>
      <c r="F14" s="461">
        <v>118</v>
      </c>
      <c r="G14" s="461">
        <v>65</v>
      </c>
      <c r="H14" s="461" t="s">
        <v>200</v>
      </c>
      <c r="I14" s="461" t="s">
        <v>102</v>
      </c>
    </row>
    <row r="15" spans="1:9" hidden="1" x14ac:dyDescent="0.35">
      <c r="A15" s="461" t="s">
        <v>193</v>
      </c>
      <c r="B15" s="461">
        <v>1006</v>
      </c>
      <c r="C15" s="461">
        <v>627</v>
      </c>
      <c r="D15" s="461"/>
      <c r="E15" s="461">
        <v>41</v>
      </c>
      <c r="F15" s="461">
        <v>149</v>
      </c>
      <c r="G15" s="461">
        <v>89</v>
      </c>
      <c r="H15" s="461" t="s">
        <v>200</v>
      </c>
      <c r="I15" s="461" t="s">
        <v>103</v>
      </c>
    </row>
    <row r="16" spans="1:9" hidden="1" x14ac:dyDescent="0.35">
      <c r="A16" s="461" t="s">
        <v>193</v>
      </c>
      <c r="B16" s="461">
        <v>554</v>
      </c>
      <c r="C16" s="461">
        <v>398</v>
      </c>
      <c r="D16" s="461"/>
      <c r="E16" s="461">
        <v>48</v>
      </c>
      <c r="F16" s="461">
        <v>148</v>
      </c>
      <c r="G16" s="461">
        <v>53</v>
      </c>
      <c r="H16" s="461" t="s">
        <v>200</v>
      </c>
      <c r="I16" s="461" t="s">
        <v>104</v>
      </c>
    </row>
    <row r="17" spans="1:9" hidden="1" x14ac:dyDescent="0.35">
      <c r="A17" s="461" t="s">
        <v>193</v>
      </c>
      <c r="B17" s="461">
        <v>50</v>
      </c>
      <c r="C17" s="461">
        <v>202</v>
      </c>
      <c r="D17" s="461"/>
      <c r="E17" s="461">
        <v>31</v>
      </c>
      <c r="F17" s="461">
        <v>132</v>
      </c>
      <c r="G17" s="461">
        <v>33</v>
      </c>
      <c r="H17" s="461" t="s">
        <v>200</v>
      </c>
      <c r="I17" s="461" t="s">
        <v>105</v>
      </c>
    </row>
    <row r="18" spans="1:9" hidden="1" x14ac:dyDescent="0.35">
      <c r="A18" s="461" t="s">
        <v>193</v>
      </c>
      <c r="B18" s="461">
        <v>1</v>
      </c>
      <c r="C18" s="461">
        <v>71</v>
      </c>
      <c r="D18" s="461"/>
      <c r="E18" s="461">
        <v>4</v>
      </c>
      <c r="F18" s="461">
        <v>93</v>
      </c>
      <c r="G18" s="461">
        <v>9</v>
      </c>
      <c r="H18" s="461" t="s">
        <v>200</v>
      </c>
      <c r="I18" s="461" t="s">
        <v>106</v>
      </c>
    </row>
    <row r="19" spans="1:9" hidden="1" x14ac:dyDescent="0.35">
      <c r="A19" s="461" t="s">
        <v>193</v>
      </c>
      <c r="B19" s="461"/>
      <c r="C19" s="461">
        <v>2</v>
      </c>
      <c r="D19" s="461"/>
      <c r="E19" s="461"/>
      <c r="F19" s="461">
        <v>17</v>
      </c>
      <c r="G19" s="461">
        <v>1</v>
      </c>
      <c r="H19" s="461" t="s">
        <v>200</v>
      </c>
      <c r="I19" s="461" t="s">
        <v>107</v>
      </c>
    </row>
    <row r="20" spans="1:9" hidden="1" x14ac:dyDescent="0.35">
      <c r="A20" s="461" t="s">
        <v>193</v>
      </c>
      <c r="B20" s="461"/>
      <c r="C20" s="461"/>
      <c r="D20" s="461"/>
      <c r="E20" s="461"/>
      <c r="F20" s="461">
        <v>6</v>
      </c>
      <c r="G20" s="461"/>
      <c r="H20" s="461" t="s">
        <v>200</v>
      </c>
      <c r="I20" s="461" t="s">
        <v>108</v>
      </c>
    </row>
    <row r="21" spans="1:9" hidden="1" x14ac:dyDescent="0.35">
      <c r="A21" s="461" t="s">
        <v>193</v>
      </c>
      <c r="B21" s="461"/>
      <c r="C21" s="461">
        <v>7</v>
      </c>
      <c r="D21" s="461"/>
      <c r="E21" s="461"/>
      <c r="F21" s="461"/>
      <c r="G21" s="461">
        <v>21</v>
      </c>
      <c r="H21" s="461" t="s">
        <v>200</v>
      </c>
      <c r="I21" s="461" t="s">
        <v>517</v>
      </c>
    </row>
    <row r="22" spans="1:9" hidden="1" x14ac:dyDescent="0.35">
      <c r="A22" s="461" t="s">
        <v>192</v>
      </c>
      <c r="B22" s="461">
        <v>38</v>
      </c>
      <c r="C22" s="461">
        <v>180</v>
      </c>
      <c r="D22" s="461"/>
      <c r="E22" s="461">
        <v>5</v>
      </c>
      <c r="F22" s="461">
        <v>20</v>
      </c>
      <c r="G22" s="461">
        <v>15</v>
      </c>
      <c r="H22" s="461" t="s">
        <v>200</v>
      </c>
      <c r="I22" s="461" t="s">
        <v>98</v>
      </c>
    </row>
    <row r="23" spans="1:9" hidden="1" x14ac:dyDescent="0.35">
      <c r="A23" s="461" t="s">
        <v>192</v>
      </c>
      <c r="B23">
        <v>145</v>
      </c>
      <c r="C23">
        <v>283</v>
      </c>
      <c r="E23">
        <v>14</v>
      </c>
      <c r="F23">
        <v>45</v>
      </c>
      <c r="G23">
        <v>20</v>
      </c>
      <c r="H23" s="461" t="s">
        <v>200</v>
      </c>
      <c r="I23" s="461" t="s">
        <v>99</v>
      </c>
    </row>
    <row r="24" spans="1:9" hidden="1" x14ac:dyDescent="0.35">
      <c r="A24" s="461" t="s">
        <v>192</v>
      </c>
      <c r="B24">
        <v>438</v>
      </c>
      <c r="C24">
        <v>335</v>
      </c>
      <c r="E24">
        <v>15</v>
      </c>
      <c r="F24">
        <v>64</v>
      </c>
      <c r="G24">
        <v>27</v>
      </c>
      <c r="H24" s="461" t="s">
        <v>200</v>
      </c>
      <c r="I24" s="461" t="s">
        <v>100</v>
      </c>
    </row>
    <row r="25" spans="1:9" hidden="1" x14ac:dyDescent="0.35">
      <c r="A25" s="461" t="s">
        <v>192</v>
      </c>
      <c r="B25">
        <v>667</v>
      </c>
      <c r="C25">
        <v>352</v>
      </c>
      <c r="E25">
        <v>23</v>
      </c>
      <c r="F25">
        <v>73</v>
      </c>
      <c r="G25">
        <v>30</v>
      </c>
      <c r="H25" s="461" t="s">
        <v>200</v>
      </c>
      <c r="I25" s="461" t="s">
        <v>101</v>
      </c>
    </row>
    <row r="26" spans="1:9" hidden="1" x14ac:dyDescent="0.35">
      <c r="A26" s="461" t="s">
        <v>192</v>
      </c>
      <c r="B26">
        <v>752</v>
      </c>
      <c r="C26">
        <v>456</v>
      </c>
      <c r="E26">
        <v>29</v>
      </c>
      <c r="F26">
        <v>102</v>
      </c>
      <c r="G26">
        <v>48</v>
      </c>
      <c r="H26" s="461" t="s">
        <v>200</v>
      </c>
      <c r="I26" s="461" t="s">
        <v>102</v>
      </c>
    </row>
    <row r="27" spans="1:9" hidden="1" x14ac:dyDescent="0.35">
      <c r="A27" s="461" t="s">
        <v>192</v>
      </c>
      <c r="B27">
        <v>978</v>
      </c>
      <c r="C27">
        <v>576</v>
      </c>
      <c r="E27">
        <v>39</v>
      </c>
      <c r="F27">
        <v>144</v>
      </c>
      <c r="G27">
        <v>76</v>
      </c>
      <c r="H27" s="461" t="s">
        <v>200</v>
      </c>
      <c r="I27" s="461" t="s">
        <v>103</v>
      </c>
    </row>
    <row r="28" spans="1:9" hidden="1" x14ac:dyDescent="0.35">
      <c r="A28" s="461" t="s">
        <v>192</v>
      </c>
      <c r="B28">
        <v>618</v>
      </c>
      <c r="C28">
        <v>432</v>
      </c>
      <c r="E28">
        <v>42</v>
      </c>
      <c r="F28">
        <v>139</v>
      </c>
      <c r="G28">
        <v>56</v>
      </c>
      <c r="H28" s="461" t="s">
        <v>200</v>
      </c>
      <c r="I28" s="461" t="s">
        <v>104</v>
      </c>
    </row>
    <row r="29" spans="1:9" hidden="1" x14ac:dyDescent="0.35">
      <c r="A29" s="461" t="s">
        <v>192</v>
      </c>
      <c r="B29">
        <v>51</v>
      </c>
      <c r="C29">
        <v>181</v>
      </c>
      <c r="E29">
        <v>34</v>
      </c>
      <c r="F29">
        <v>124</v>
      </c>
      <c r="G29">
        <v>36</v>
      </c>
      <c r="H29" s="461" t="s">
        <v>200</v>
      </c>
      <c r="I29" s="461" t="s">
        <v>105</v>
      </c>
    </row>
    <row r="30" spans="1:9" hidden="1" x14ac:dyDescent="0.35">
      <c r="A30" s="461" t="s">
        <v>192</v>
      </c>
      <c r="B30">
        <v>2</v>
      </c>
      <c r="C30">
        <v>62</v>
      </c>
      <c r="E30">
        <v>2</v>
      </c>
      <c r="F30">
        <v>99</v>
      </c>
      <c r="G30">
        <v>14</v>
      </c>
      <c r="H30" s="461" t="s">
        <v>200</v>
      </c>
      <c r="I30" s="461" t="s">
        <v>106</v>
      </c>
    </row>
    <row r="31" spans="1:9" hidden="1" x14ac:dyDescent="0.35">
      <c r="A31" s="461" t="s">
        <v>192</v>
      </c>
      <c r="C31">
        <v>5</v>
      </c>
      <c r="F31">
        <v>12</v>
      </c>
      <c r="G31">
        <v>2</v>
      </c>
      <c r="H31" s="461" t="s">
        <v>200</v>
      </c>
      <c r="I31" s="461" t="s">
        <v>107</v>
      </c>
    </row>
    <row r="32" spans="1:9" hidden="1" x14ac:dyDescent="0.35">
      <c r="A32" s="461" t="s">
        <v>192</v>
      </c>
      <c r="F32">
        <v>6</v>
      </c>
      <c r="H32" s="461" t="s">
        <v>200</v>
      </c>
      <c r="I32" s="461" t="s">
        <v>108</v>
      </c>
    </row>
    <row r="33" spans="1:9" hidden="1" x14ac:dyDescent="0.35">
      <c r="A33" s="461" t="s">
        <v>192</v>
      </c>
      <c r="G33">
        <v>12</v>
      </c>
      <c r="H33" s="461" t="s">
        <v>200</v>
      </c>
      <c r="I33" s="461" t="s">
        <v>1024</v>
      </c>
    </row>
    <row r="34" spans="1:9" hidden="1" x14ac:dyDescent="0.35">
      <c r="A34" s="461" t="s">
        <v>192</v>
      </c>
      <c r="B34">
        <v>1</v>
      </c>
      <c r="C34">
        <v>8</v>
      </c>
      <c r="G34">
        <v>6</v>
      </c>
      <c r="H34" s="461" t="s">
        <v>200</v>
      </c>
      <c r="I34" s="461" t="s">
        <v>517</v>
      </c>
    </row>
    <row r="35" spans="1:9" hidden="1" x14ac:dyDescent="0.35">
      <c r="A35" s="461" t="s">
        <v>258</v>
      </c>
      <c r="B35">
        <v>51</v>
      </c>
      <c r="C35">
        <v>174</v>
      </c>
      <c r="E35">
        <v>1</v>
      </c>
      <c r="F35">
        <v>17</v>
      </c>
      <c r="G35">
        <v>10</v>
      </c>
      <c r="H35" s="461" t="s">
        <v>200</v>
      </c>
      <c r="I35" s="461" t="s">
        <v>98</v>
      </c>
    </row>
    <row r="36" spans="1:9" hidden="1" x14ac:dyDescent="0.35">
      <c r="A36" s="461" t="s">
        <v>258</v>
      </c>
      <c r="B36">
        <v>144</v>
      </c>
      <c r="C36">
        <v>295</v>
      </c>
      <c r="E36">
        <v>16</v>
      </c>
      <c r="F36">
        <v>41</v>
      </c>
      <c r="G36">
        <v>20</v>
      </c>
      <c r="H36" s="461" t="s">
        <v>200</v>
      </c>
      <c r="I36" s="461" t="s">
        <v>99</v>
      </c>
    </row>
    <row r="37" spans="1:9" hidden="1" x14ac:dyDescent="0.35">
      <c r="A37" s="461" t="s">
        <v>258</v>
      </c>
      <c r="B37">
        <v>398</v>
      </c>
      <c r="C37">
        <v>337</v>
      </c>
      <c r="E37">
        <v>13</v>
      </c>
      <c r="F37">
        <v>71</v>
      </c>
      <c r="G37">
        <v>26</v>
      </c>
      <c r="H37" s="461" t="s">
        <v>200</v>
      </c>
      <c r="I37" s="461" t="s">
        <v>100</v>
      </c>
    </row>
    <row r="38" spans="1:9" hidden="1" x14ac:dyDescent="0.35">
      <c r="A38" s="461" t="s">
        <v>258</v>
      </c>
      <c r="B38">
        <v>661</v>
      </c>
      <c r="C38">
        <v>387</v>
      </c>
      <c r="E38">
        <v>21</v>
      </c>
      <c r="F38">
        <v>73</v>
      </c>
      <c r="G38">
        <v>35</v>
      </c>
      <c r="H38" s="461" t="s">
        <v>200</v>
      </c>
      <c r="I38" s="461" t="s">
        <v>101</v>
      </c>
    </row>
    <row r="39" spans="1:9" hidden="1" x14ac:dyDescent="0.35">
      <c r="A39" s="461" t="s">
        <v>258</v>
      </c>
      <c r="B39">
        <v>689</v>
      </c>
      <c r="C39">
        <v>392</v>
      </c>
      <c r="E39">
        <v>20</v>
      </c>
      <c r="F39">
        <v>111</v>
      </c>
      <c r="G39">
        <v>35</v>
      </c>
      <c r="H39" s="461" t="s">
        <v>200</v>
      </c>
      <c r="I39" s="461" t="s">
        <v>102</v>
      </c>
    </row>
    <row r="40" spans="1:9" hidden="1" x14ac:dyDescent="0.35">
      <c r="A40" s="461" t="s">
        <v>258</v>
      </c>
      <c r="B40">
        <v>968</v>
      </c>
      <c r="C40">
        <v>555</v>
      </c>
      <c r="E40">
        <v>29</v>
      </c>
      <c r="F40">
        <v>144</v>
      </c>
      <c r="G40">
        <v>70</v>
      </c>
      <c r="H40" s="461" t="s">
        <v>200</v>
      </c>
      <c r="I40" s="461" t="s">
        <v>103</v>
      </c>
    </row>
    <row r="41" spans="1:9" hidden="1" x14ac:dyDescent="0.35">
      <c r="A41" s="461" t="s">
        <v>258</v>
      </c>
      <c r="B41">
        <v>658</v>
      </c>
      <c r="C41">
        <v>460</v>
      </c>
      <c r="E41">
        <v>36</v>
      </c>
      <c r="F41">
        <v>135</v>
      </c>
      <c r="G41">
        <v>65</v>
      </c>
      <c r="H41" s="461" t="s">
        <v>200</v>
      </c>
      <c r="I41" s="461" t="s">
        <v>104</v>
      </c>
    </row>
    <row r="42" spans="1:9" hidden="1" x14ac:dyDescent="0.35">
      <c r="A42" s="461" t="s">
        <v>258</v>
      </c>
      <c r="B42">
        <v>73</v>
      </c>
      <c r="C42">
        <v>178</v>
      </c>
      <c r="E42">
        <v>25</v>
      </c>
      <c r="F42">
        <v>133</v>
      </c>
      <c r="G42">
        <v>35</v>
      </c>
      <c r="H42" s="461" t="s">
        <v>200</v>
      </c>
      <c r="I42" s="461" t="s">
        <v>105</v>
      </c>
    </row>
    <row r="43" spans="1:9" hidden="1" x14ac:dyDescent="0.35">
      <c r="A43" s="461" t="s">
        <v>258</v>
      </c>
      <c r="B43">
        <v>3</v>
      </c>
      <c r="C43">
        <v>73</v>
      </c>
      <c r="E43">
        <v>4</v>
      </c>
      <c r="F43">
        <v>91</v>
      </c>
      <c r="G43">
        <v>17</v>
      </c>
      <c r="H43" s="461" t="s">
        <v>200</v>
      </c>
      <c r="I43" s="461" t="s">
        <v>106</v>
      </c>
    </row>
    <row r="44" spans="1:9" hidden="1" x14ac:dyDescent="0.35">
      <c r="A44" s="461" t="s">
        <v>258</v>
      </c>
      <c r="C44">
        <v>3</v>
      </c>
      <c r="F44">
        <v>16</v>
      </c>
      <c r="G44">
        <v>1</v>
      </c>
      <c r="H44" s="461" t="s">
        <v>200</v>
      </c>
      <c r="I44" s="461" t="s">
        <v>107</v>
      </c>
    </row>
    <row r="45" spans="1:9" hidden="1" x14ac:dyDescent="0.35">
      <c r="A45" s="461" t="s">
        <v>258</v>
      </c>
      <c r="F45">
        <v>5</v>
      </c>
      <c r="G45">
        <v>1</v>
      </c>
      <c r="H45" s="461" t="s">
        <v>200</v>
      </c>
      <c r="I45" s="461" t="s">
        <v>108</v>
      </c>
    </row>
    <row r="46" spans="1:9" hidden="1" x14ac:dyDescent="0.35">
      <c r="A46" s="461" t="s">
        <v>258</v>
      </c>
      <c r="C46">
        <v>16</v>
      </c>
      <c r="F46">
        <v>1</v>
      </c>
      <c r="G46">
        <v>1</v>
      </c>
      <c r="H46" s="461" t="s">
        <v>200</v>
      </c>
      <c r="I46" s="461" t="s">
        <v>517</v>
      </c>
    </row>
    <row r="47" spans="1:9" x14ac:dyDescent="0.35">
      <c r="A47" s="461" t="s">
        <v>242</v>
      </c>
      <c r="B47">
        <v>24</v>
      </c>
      <c r="C47">
        <v>135</v>
      </c>
      <c r="E47">
        <v>5</v>
      </c>
      <c r="F47">
        <v>14</v>
      </c>
      <c r="G47">
        <v>10</v>
      </c>
      <c r="H47" s="461" t="s">
        <v>200</v>
      </c>
      <c r="I47" s="461" t="s">
        <v>98</v>
      </c>
    </row>
    <row r="48" spans="1:9" x14ac:dyDescent="0.35">
      <c r="A48" s="461" t="s">
        <v>242</v>
      </c>
      <c r="B48">
        <v>149</v>
      </c>
      <c r="C48">
        <v>298</v>
      </c>
      <c r="E48">
        <v>23</v>
      </c>
      <c r="F48">
        <v>35</v>
      </c>
      <c r="G48">
        <v>19</v>
      </c>
      <c r="H48" s="461" t="s">
        <v>200</v>
      </c>
      <c r="I48" s="461" t="s">
        <v>99</v>
      </c>
    </row>
    <row r="49" spans="1:9" x14ac:dyDescent="0.35">
      <c r="A49" s="461" t="s">
        <v>242</v>
      </c>
      <c r="B49">
        <v>320</v>
      </c>
      <c r="C49">
        <v>366</v>
      </c>
      <c r="E49">
        <v>26</v>
      </c>
      <c r="F49">
        <v>71</v>
      </c>
      <c r="G49">
        <v>32</v>
      </c>
      <c r="H49" s="461" t="s">
        <v>200</v>
      </c>
      <c r="I49" s="461" t="s">
        <v>100</v>
      </c>
    </row>
    <row r="50" spans="1:9" x14ac:dyDescent="0.35">
      <c r="A50" s="461" t="s">
        <v>242</v>
      </c>
      <c r="B50">
        <v>605</v>
      </c>
      <c r="C50">
        <v>375</v>
      </c>
      <c r="E50">
        <v>22</v>
      </c>
      <c r="F50">
        <v>70</v>
      </c>
      <c r="G50">
        <v>35</v>
      </c>
      <c r="H50" s="461" t="s">
        <v>200</v>
      </c>
      <c r="I50" s="461" t="s">
        <v>101</v>
      </c>
    </row>
    <row r="51" spans="1:9" x14ac:dyDescent="0.35">
      <c r="A51" s="461" t="s">
        <v>242</v>
      </c>
      <c r="B51">
        <v>661</v>
      </c>
      <c r="C51">
        <v>359</v>
      </c>
      <c r="E51">
        <v>21</v>
      </c>
      <c r="F51">
        <v>103</v>
      </c>
      <c r="G51">
        <v>36</v>
      </c>
      <c r="H51" s="461" t="s">
        <v>200</v>
      </c>
      <c r="I51" s="461" t="s">
        <v>102</v>
      </c>
    </row>
    <row r="52" spans="1:9" x14ac:dyDescent="0.35">
      <c r="A52" s="461" t="s">
        <v>242</v>
      </c>
      <c r="B52">
        <v>880</v>
      </c>
      <c r="C52">
        <v>494</v>
      </c>
      <c r="E52">
        <v>27</v>
      </c>
      <c r="F52">
        <v>139</v>
      </c>
      <c r="G52">
        <v>62</v>
      </c>
      <c r="H52" s="461" t="s">
        <v>200</v>
      </c>
      <c r="I52" s="461" t="s">
        <v>103</v>
      </c>
    </row>
    <row r="53" spans="1:9" x14ac:dyDescent="0.35">
      <c r="A53" s="461" t="s">
        <v>242</v>
      </c>
      <c r="B53">
        <v>775</v>
      </c>
      <c r="C53">
        <v>499</v>
      </c>
      <c r="E53">
        <v>33</v>
      </c>
      <c r="F53">
        <v>140</v>
      </c>
      <c r="G53">
        <v>80</v>
      </c>
      <c r="H53" s="461" t="s">
        <v>200</v>
      </c>
      <c r="I53" s="461" t="s">
        <v>104</v>
      </c>
    </row>
    <row r="54" spans="1:9" x14ac:dyDescent="0.35">
      <c r="A54" s="461" t="s">
        <v>242</v>
      </c>
      <c r="B54">
        <v>124</v>
      </c>
      <c r="C54">
        <v>237</v>
      </c>
      <c r="E54">
        <v>29</v>
      </c>
      <c r="F54">
        <v>141</v>
      </c>
      <c r="G54">
        <v>31</v>
      </c>
      <c r="H54" s="461" t="s">
        <v>200</v>
      </c>
      <c r="I54" s="461" t="s">
        <v>105</v>
      </c>
    </row>
    <row r="55" spans="1:9" x14ac:dyDescent="0.35">
      <c r="A55" s="461" t="s">
        <v>242</v>
      </c>
      <c r="B55">
        <v>7</v>
      </c>
      <c r="C55">
        <v>84</v>
      </c>
      <c r="E55">
        <v>3</v>
      </c>
      <c r="F55">
        <v>93</v>
      </c>
      <c r="G55">
        <v>20</v>
      </c>
      <c r="H55" s="461" t="s">
        <v>200</v>
      </c>
      <c r="I55" s="461" t="s">
        <v>106</v>
      </c>
    </row>
    <row r="56" spans="1:9" x14ac:dyDescent="0.35">
      <c r="A56" s="461" t="s">
        <v>242</v>
      </c>
      <c r="B56">
        <v>1</v>
      </c>
      <c r="C56">
        <v>12</v>
      </c>
      <c r="F56">
        <v>32</v>
      </c>
      <c r="G56">
        <v>5</v>
      </c>
      <c r="H56" s="461" t="s">
        <v>200</v>
      </c>
      <c r="I56" s="461" t="s">
        <v>107</v>
      </c>
    </row>
    <row r="57" spans="1:9" x14ac:dyDescent="0.35">
      <c r="A57" s="461" t="s">
        <v>242</v>
      </c>
      <c r="C57">
        <v>1</v>
      </c>
      <c r="F57">
        <v>8</v>
      </c>
      <c r="H57" s="461" t="s">
        <v>200</v>
      </c>
      <c r="I57" s="461" t="s">
        <v>108</v>
      </c>
    </row>
    <row r="58" spans="1:9" x14ac:dyDescent="0.35">
      <c r="A58" s="461" t="s">
        <v>242</v>
      </c>
      <c r="C58">
        <v>3</v>
      </c>
      <c r="G58">
        <v>2</v>
      </c>
      <c r="H58" s="461" t="s">
        <v>200</v>
      </c>
      <c r="I58" s="461" t="s">
        <v>517</v>
      </c>
    </row>
    <row r="59" spans="1:9" hidden="1" x14ac:dyDescent="0.35">
      <c r="A59" s="461" t="s">
        <v>241</v>
      </c>
      <c r="B59">
        <v>47</v>
      </c>
      <c r="C59">
        <v>140</v>
      </c>
      <c r="E59">
        <v>12</v>
      </c>
      <c r="F59">
        <v>18</v>
      </c>
      <c r="G59">
        <v>13</v>
      </c>
      <c r="H59" s="461" t="s">
        <v>200</v>
      </c>
      <c r="I59" s="461" t="s">
        <v>98</v>
      </c>
    </row>
    <row r="60" spans="1:9" hidden="1" x14ac:dyDescent="0.35">
      <c r="A60" s="461" t="s">
        <v>241</v>
      </c>
      <c r="B60">
        <v>214</v>
      </c>
      <c r="C60">
        <v>308</v>
      </c>
      <c r="D60">
        <v>1</v>
      </c>
      <c r="E60">
        <v>25</v>
      </c>
      <c r="F60">
        <v>40</v>
      </c>
      <c r="G60">
        <v>19</v>
      </c>
      <c r="H60" s="461" t="s">
        <v>200</v>
      </c>
      <c r="I60" s="461" t="s">
        <v>99</v>
      </c>
    </row>
    <row r="61" spans="1:9" hidden="1" x14ac:dyDescent="0.35">
      <c r="A61" s="461" t="s">
        <v>241</v>
      </c>
      <c r="B61">
        <v>339</v>
      </c>
      <c r="C61">
        <v>373</v>
      </c>
      <c r="D61">
        <v>1</v>
      </c>
      <c r="E61">
        <v>36</v>
      </c>
      <c r="F61">
        <v>61</v>
      </c>
      <c r="G61">
        <v>28</v>
      </c>
      <c r="H61" s="461" t="s">
        <v>200</v>
      </c>
      <c r="I61" s="461" t="s">
        <v>100</v>
      </c>
    </row>
    <row r="62" spans="1:9" hidden="1" x14ac:dyDescent="0.35">
      <c r="A62" s="461" t="s">
        <v>241</v>
      </c>
      <c r="B62">
        <v>595</v>
      </c>
      <c r="C62">
        <v>383</v>
      </c>
      <c r="D62">
        <v>2</v>
      </c>
      <c r="E62">
        <v>24</v>
      </c>
      <c r="F62">
        <v>71</v>
      </c>
      <c r="G62">
        <v>29</v>
      </c>
      <c r="H62" s="461" t="s">
        <v>200</v>
      </c>
      <c r="I62" s="461" t="s">
        <v>101</v>
      </c>
    </row>
    <row r="63" spans="1:9" hidden="1" x14ac:dyDescent="0.35">
      <c r="A63" s="461" t="s">
        <v>241</v>
      </c>
      <c r="B63">
        <v>687</v>
      </c>
      <c r="C63">
        <v>374</v>
      </c>
      <c r="D63">
        <v>2</v>
      </c>
      <c r="E63">
        <v>20</v>
      </c>
      <c r="F63">
        <v>91</v>
      </c>
      <c r="G63">
        <v>33</v>
      </c>
      <c r="H63" s="461" t="s">
        <v>200</v>
      </c>
      <c r="I63" s="461" t="s">
        <v>102</v>
      </c>
    </row>
    <row r="64" spans="1:9" hidden="1" x14ac:dyDescent="0.35">
      <c r="A64" s="461" t="s">
        <v>241</v>
      </c>
      <c r="B64">
        <v>828</v>
      </c>
      <c r="C64">
        <v>466</v>
      </c>
      <c r="D64">
        <v>2</v>
      </c>
      <c r="E64">
        <v>27</v>
      </c>
      <c r="F64">
        <v>134</v>
      </c>
      <c r="G64">
        <v>57</v>
      </c>
      <c r="H64" s="461" t="s">
        <v>200</v>
      </c>
      <c r="I64" s="461" t="s">
        <v>103</v>
      </c>
    </row>
    <row r="65" spans="1:9" hidden="1" x14ac:dyDescent="0.35">
      <c r="A65" s="461" t="s">
        <v>241</v>
      </c>
      <c r="B65">
        <v>749</v>
      </c>
      <c r="C65">
        <v>508</v>
      </c>
      <c r="D65">
        <v>6</v>
      </c>
      <c r="E65">
        <v>28</v>
      </c>
      <c r="F65">
        <v>132</v>
      </c>
      <c r="G65">
        <v>73</v>
      </c>
      <c r="H65" s="461" t="s">
        <v>200</v>
      </c>
      <c r="I65" s="461" t="s">
        <v>104</v>
      </c>
    </row>
    <row r="66" spans="1:9" hidden="1" x14ac:dyDescent="0.35">
      <c r="A66" s="461" t="s">
        <v>241</v>
      </c>
      <c r="B66">
        <v>168</v>
      </c>
      <c r="C66">
        <v>264</v>
      </c>
      <c r="D66">
        <v>4</v>
      </c>
      <c r="E66">
        <v>30</v>
      </c>
      <c r="F66">
        <v>126</v>
      </c>
      <c r="G66">
        <v>39</v>
      </c>
      <c r="H66" s="461" t="s">
        <v>200</v>
      </c>
      <c r="I66" s="461" t="s">
        <v>105</v>
      </c>
    </row>
    <row r="67" spans="1:9" hidden="1" x14ac:dyDescent="0.35">
      <c r="A67" s="461" t="s">
        <v>241</v>
      </c>
      <c r="B67">
        <v>9</v>
      </c>
      <c r="C67">
        <v>95</v>
      </c>
      <c r="E67">
        <v>5</v>
      </c>
      <c r="F67">
        <v>89</v>
      </c>
      <c r="G67">
        <v>20</v>
      </c>
      <c r="H67" s="461" t="s">
        <v>200</v>
      </c>
      <c r="I67" s="461" t="s">
        <v>106</v>
      </c>
    </row>
    <row r="68" spans="1:9" hidden="1" x14ac:dyDescent="0.35">
      <c r="A68" s="461" t="s">
        <v>241</v>
      </c>
      <c r="B68">
        <v>1</v>
      </c>
      <c r="C68">
        <v>20</v>
      </c>
      <c r="F68">
        <v>26</v>
      </c>
      <c r="G68">
        <v>6</v>
      </c>
      <c r="H68" s="461" t="s">
        <v>200</v>
      </c>
      <c r="I68" s="461" t="s">
        <v>107</v>
      </c>
    </row>
    <row r="69" spans="1:9" hidden="1" x14ac:dyDescent="0.35">
      <c r="A69" s="461" t="s">
        <v>241</v>
      </c>
      <c r="F69">
        <v>2</v>
      </c>
      <c r="H69" s="461" t="s">
        <v>200</v>
      </c>
      <c r="I69" s="461" t="s">
        <v>108</v>
      </c>
    </row>
    <row r="70" spans="1:9" hidden="1" x14ac:dyDescent="0.35">
      <c r="A70" s="461" t="s">
        <v>241</v>
      </c>
      <c r="C70">
        <v>4</v>
      </c>
      <c r="F70">
        <v>2</v>
      </c>
      <c r="H70" s="461" t="s">
        <v>200</v>
      </c>
      <c r="I70" s="461" t="s">
        <v>517</v>
      </c>
    </row>
    <row r="71" spans="1:9" hidden="1" x14ac:dyDescent="0.35">
      <c r="A71" s="461" t="s">
        <v>773</v>
      </c>
      <c r="B71">
        <v>46</v>
      </c>
      <c r="C71">
        <v>152</v>
      </c>
      <c r="E71">
        <v>7</v>
      </c>
      <c r="F71">
        <v>18</v>
      </c>
      <c r="G71">
        <v>18</v>
      </c>
      <c r="H71" s="461" t="s">
        <v>200</v>
      </c>
      <c r="I71" s="461" t="s">
        <v>98</v>
      </c>
    </row>
    <row r="72" spans="1:9" hidden="1" x14ac:dyDescent="0.35">
      <c r="A72" s="461" t="s">
        <v>773</v>
      </c>
      <c r="B72">
        <v>246</v>
      </c>
      <c r="C72">
        <v>313</v>
      </c>
      <c r="D72">
        <v>3</v>
      </c>
      <c r="E72">
        <v>21</v>
      </c>
      <c r="F72">
        <v>51</v>
      </c>
      <c r="G72">
        <v>15</v>
      </c>
      <c r="H72" s="461" t="s">
        <v>200</v>
      </c>
      <c r="I72" s="461" t="s">
        <v>99</v>
      </c>
    </row>
    <row r="73" spans="1:9" hidden="1" x14ac:dyDescent="0.35">
      <c r="A73" s="461" t="s">
        <v>773</v>
      </c>
      <c r="B73">
        <v>360</v>
      </c>
      <c r="C73">
        <v>366</v>
      </c>
      <c r="D73">
        <v>4</v>
      </c>
      <c r="E73">
        <v>38</v>
      </c>
      <c r="F73">
        <v>61</v>
      </c>
      <c r="G73">
        <v>26</v>
      </c>
      <c r="H73" s="461" t="s">
        <v>200</v>
      </c>
      <c r="I73" s="461" t="s">
        <v>100</v>
      </c>
    </row>
    <row r="74" spans="1:9" hidden="1" x14ac:dyDescent="0.35">
      <c r="A74" s="461" t="s">
        <v>773</v>
      </c>
      <c r="B74">
        <v>567</v>
      </c>
      <c r="C74">
        <v>405</v>
      </c>
      <c r="D74">
        <v>5</v>
      </c>
      <c r="E74">
        <v>20</v>
      </c>
      <c r="F74">
        <v>72</v>
      </c>
      <c r="G74">
        <v>32</v>
      </c>
      <c r="H74" s="461" t="s">
        <v>200</v>
      </c>
      <c r="I74" s="461" t="s">
        <v>101</v>
      </c>
    </row>
    <row r="75" spans="1:9" hidden="1" x14ac:dyDescent="0.35">
      <c r="A75" s="461" t="s">
        <v>773</v>
      </c>
      <c r="B75">
        <v>701</v>
      </c>
      <c r="C75">
        <v>357</v>
      </c>
      <c r="D75">
        <v>4</v>
      </c>
      <c r="E75">
        <v>19</v>
      </c>
      <c r="F75">
        <v>87</v>
      </c>
      <c r="G75">
        <v>28</v>
      </c>
      <c r="H75" s="461" t="s">
        <v>200</v>
      </c>
      <c r="I75" s="461" t="s">
        <v>102</v>
      </c>
    </row>
    <row r="76" spans="1:9" hidden="1" x14ac:dyDescent="0.35">
      <c r="A76" s="461" t="s">
        <v>773</v>
      </c>
      <c r="B76">
        <v>775</v>
      </c>
      <c r="C76">
        <v>421</v>
      </c>
      <c r="D76">
        <v>3</v>
      </c>
      <c r="E76">
        <v>22</v>
      </c>
      <c r="F76">
        <v>114</v>
      </c>
      <c r="G76">
        <v>53</v>
      </c>
      <c r="H76" s="461" t="s">
        <v>200</v>
      </c>
      <c r="I76" s="461" t="s">
        <v>103</v>
      </c>
    </row>
    <row r="77" spans="1:9" hidden="1" x14ac:dyDescent="0.35">
      <c r="A77" s="461" t="s">
        <v>773</v>
      </c>
      <c r="B77">
        <v>740</v>
      </c>
      <c r="C77">
        <v>495</v>
      </c>
      <c r="D77">
        <v>10</v>
      </c>
      <c r="E77">
        <v>27</v>
      </c>
      <c r="F77">
        <v>151</v>
      </c>
      <c r="G77">
        <v>72</v>
      </c>
      <c r="H77" s="461" t="s">
        <v>200</v>
      </c>
      <c r="I77" s="461" t="s">
        <v>104</v>
      </c>
    </row>
    <row r="78" spans="1:9" hidden="1" x14ac:dyDescent="0.35">
      <c r="A78" s="461" t="s">
        <v>773</v>
      </c>
      <c r="B78">
        <v>188</v>
      </c>
      <c r="C78">
        <v>298</v>
      </c>
      <c r="D78">
        <v>7</v>
      </c>
      <c r="E78">
        <v>27</v>
      </c>
      <c r="F78">
        <v>128</v>
      </c>
      <c r="G78">
        <v>40</v>
      </c>
      <c r="H78" s="461" t="s">
        <v>200</v>
      </c>
      <c r="I78" s="461" t="s">
        <v>105</v>
      </c>
    </row>
    <row r="79" spans="1:9" hidden="1" x14ac:dyDescent="0.35">
      <c r="A79" s="461" t="s">
        <v>773</v>
      </c>
      <c r="B79">
        <v>12</v>
      </c>
      <c r="C79">
        <v>96</v>
      </c>
      <c r="E79">
        <v>6</v>
      </c>
      <c r="F79">
        <v>92</v>
      </c>
      <c r="G79">
        <v>23</v>
      </c>
      <c r="H79" s="461" t="s">
        <v>200</v>
      </c>
      <c r="I79" s="461" t="s">
        <v>106</v>
      </c>
    </row>
    <row r="80" spans="1:9" hidden="1" x14ac:dyDescent="0.35">
      <c r="A80" s="461" t="s">
        <v>773</v>
      </c>
      <c r="B80">
        <v>1</v>
      </c>
      <c r="C80">
        <v>26</v>
      </c>
      <c r="E80">
        <v>1</v>
      </c>
      <c r="F80">
        <v>36</v>
      </c>
      <c r="G80">
        <v>8</v>
      </c>
      <c r="H80" s="461" t="s">
        <v>200</v>
      </c>
      <c r="I80" s="461" t="s">
        <v>107</v>
      </c>
    </row>
    <row r="81" spans="1:9" hidden="1" x14ac:dyDescent="0.35">
      <c r="A81" s="461" t="s">
        <v>773</v>
      </c>
      <c r="F81">
        <v>2</v>
      </c>
      <c r="H81" s="461" t="s">
        <v>200</v>
      </c>
      <c r="I81" s="461" t="s">
        <v>108</v>
      </c>
    </row>
    <row r="82" spans="1:9" hidden="1" x14ac:dyDescent="0.35">
      <c r="A82" s="461" t="s">
        <v>773</v>
      </c>
      <c r="C82">
        <v>8</v>
      </c>
      <c r="F82">
        <v>5</v>
      </c>
      <c r="H82" s="461" t="s">
        <v>200</v>
      </c>
      <c r="I82" s="461" t="s">
        <v>517</v>
      </c>
    </row>
    <row r="83" spans="1:9" x14ac:dyDescent="0.35">
      <c r="A83" s="461" t="s">
        <v>951</v>
      </c>
      <c r="B83">
        <v>37</v>
      </c>
      <c r="C83">
        <v>134</v>
      </c>
      <c r="E83">
        <v>6</v>
      </c>
      <c r="F83">
        <v>20</v>
      </c>
      <c r="G83">
        <v>13</v>
      </c>
      <c r="H83" s="461" t="s">
        <v>200</v>
      </c>
      <c r="I83" s="461" t="s">
        <v>98</v>
      </c>
    </row>
    <row r="84" spans="1:9" x14ac:dyDescent="0.35">
      <c r="A84" s="461" t="s">
        <v>951</v>
      </c>
      <c r="B84">
        <v>243</v>
      </c>
      <c r="C84">
        <v>308</v>
      </c>
      <c r="D84">
        <v>3</v>
      </c>
      <c r="E84">
        <v>20</v>
      </c>
      <c r="F84">
        <v>47</v>
      </c>
      <c r="G84">
        <v>16</v>
      </c>
      <c r="H84" s="461" t="s">
        <v>200</v>
      </c>
      <c r="I84" s="461" t="s">
        <v>99</v>
      </c>
    </row>
    <row r="85" spans="1:9" x14ac:dyDescent="0.35">
      <c r="A85" s="461" t="s">
        <v>951</v>
      </c>
      <c r="B85">
        <v>388</v>
      </c>
      <c r="C85">
        <v>371</v>
      </c>
      <c r="D85">
        <v>4</v>
      </c>
      <c r="E85">
        <v>35</v>
      </c>
      <c r="F85">
        <v>67</v>
      </c>
      <c r="G85">
        <v>20</v>
      </c>
      <c r="H85" s="461" t="s">
        <v>200</v>
      </c>
      <c r="I85" s="461" t="s">
        <v>100</v>
      </c>
    </row>
    <row r="86" spans="1:9" x14ac:dyDescent="0.35">
      <c r="A86" s="461" t="s">
        <v>951</v>
      </c>
      <c r="B86">
        <v>529</v>
      </c>
      <c r="C86">
        <v>402</v>
      </c>
      <c r="D86">
        <v>8</v>
      </c>
      <c r="E86">
        <v>19</v>
      </c>
      <c r="F86">
        <v>80</v>
      </c>
      <c r="G86">
        <v>36</v>
      </c>
      <c r="H86" s="461" t="s">
        <v>200</v>
      </c>
      <c r="I86" s="461" t="s">
        <v>101</v>
      </c>
    </row>
    <row r="87" spans="1:9" x14ac:dyDescent="0.35">
      <c r="A87" s="461" t="s">
        <v>951</v>
      </c>
      <c r="B87">
        <v>703</v>
      </c>
      <c r="C87">
        <v>367</v>
      </c>
      <c r="D87">
        <v>5</v>
      </c>
      <c r="E87">
        <v>22</v>
      </c>
      <c r="F87">
        <v>79</v>
      </c>
      <c r="G87">
        <v>29</v>
      </c>
      <c r="H87" s="461" t="s">
        <v>200</v>
      </c>
      <c r="I87" s="461" t="s">
        <v>102</v>
      </c>
    </row>
    <row r="88" spans="1:9" x14ac:dyDescent="0.35">
      <c r="A88" s="461" t="s">
        <v>951</v>
      </c>
      <c r="B88">
        <v>727</v>
      </c>
      <c r="C88">
        <v>383</v>
      </c>
      <c r="D88">
        <v>3</v>
      </c>
      <c r="E88">
        <v>20</v>
      </c>
      <c r="F88">
        <v>114</v>
      </c>
      <c r="G88">
        <v>44</v>
      </c>
      <c r="H88" s="461" t="s">
        <v>200</v>
      </c>
      <c r="I88" s="461" t="s">
        <v>103</v>
      </c>
    </row>
    <row r="89" spans="1:9" x14ac:dyDescent="0.35">
      <c r="A89" s="461" t="s">
        <v>951</v>
      </c>
      <c r="B89">
        <v>751</v>
      </c>
      <c r="C89">
        <v>457</v>
      </c>
      <c r="D89">
        <v>19</v>
      </c>
      <c r="E89">
        <v>27</v>
      </c>
      <c r="F89">
        <v>152</v>
      </c>
      <c r="G89">
        <v>65</v>
      </c>
      <c r="H89" s="461" t="s">
        <v>200</v>
      </c>
      <c r="I89" s="461" t="s">
        <v>104</v>
      </c>
    </row>
    <row r="90" spans="1:9" x14ac:dyDescent="0.35">
      <c r="A90" s="461" t="s">
        <v>951</v>
      </c>
      <c r="B90">
        <v>185</v>
      </c>
      <c r="C90">
        <v>330</v>
      </c>
      <c r="D90">
        <v>11</v>
      </c>
      <c r="E90">
        <v>28</v>
      </c>
      <c r="F90">
        <v>137</v>
      </c>
      <c r="G90">
        <v>45</v>
      </c>
      <c r="H90" s="461" t="s">
        <v>200</v>
      </c>
      <c r="I90" s="461" t="s">
        <v>105</v>
      </c>
    </row>
    <row r="91" spans="1:9" x14ac:dyDescent="0.35">
      <c r="A91" s="461" t="s">
        <v>951</v>
      </c>
      <c r="B91">
        <v>20</v>
      </c>
      <c r="C91">
        <v>90</v>
      </c>
      <c r="D91">
        <v>1</v>
      </c>
      <c r="E91">
        <v>4</v>
      </c>
      <c r="F91">
        <v>96</v>
      </c>
      <c r="G91">
        <v>23</v>
      </c>
      <c r="H91" s="461" t="s">
        <v>200</v>
      </c>
      <c r="I91" s="461" t="s">
        <v>106</v>
      </c>
    </row>
    <row r="92" spans="1:9" x14ac:dyDescent="0.35">
      <c r="A92" s="461" t="s">
        <v>951</v>
      </c>
      <c r="B92">
        <v>1</v>
      </c>
      <c r="C92">
        <v>28</v>
      </c>
      <c r="E92">
        <v>1</v>
      </c>
      <c r="F92">
        <v>38</v>
      </c>
      <c r="G92">
        <v>11</v>
      </c>
      <c r="H92" s="461" t="s">
        <v>200</v>
      </c>
      <c r="I92" s="461" t="s">
        <v>107</v>
      </c>
    </row>
    <row r="93" spans="1:9" x14ac:dyDescent="0.35">
      <c r="A93" s="461" t="s">
        <v>951</v>
      </c>
      <c r="C93">
        <v>1</v>
      </c>
      <c r="F93">
        <v>2</v>
      </c>
      <c r="G93">
        <v>1</v>
      </c>
      <c r="H93" s="461" t="s">
        <v>200</v>
      </c>
      <c r="I93" s="461" t="s">
        <v>108</v>
      </c>
    </row>
    <row r="94" spans="1:9" x14ac:dyDescent="0.35">
      <c r="A94" s="461" t="s">
        <v>951</v>
      </c>
      <c r="C94">
        <v>1</v>
      </c>
      <c r="F94">
        <v>4</v>
      </c>
      <c r="H94" s="461" t="s">
        <v>200</v>
      </c>
      <c r="I94" s="461" t="s">
        <v>517</v>
      </c>
    </row>
  </sheetData>
  <pageMargins left="0.7" right="0.7" top="0.75" bottom="0.75" header="0.3" footer="0.3"/>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39997558519241921"/>
    <pageSetUpPr fitToPage="1"/>
  </sheetPr>
  <dimension ref="A1:J50"/>
  <sheetViews>
    <sheetView showGridLines="0" workbookViewId="0">
      <pane ySplit="2" topLeftCell="A3" activePane="bottomLeft" state="frozen"/>
      <selection pane="bottomLeft" sqref="A1:C1"/>
    </sheetView>
  </sheetViews>
  <sheetFormatPr defaultRowHeight="14.5" x14ac:dyDescent="0.35"/>
  <cols>
    <col min="1" max="1" width="18.7265625" customWidth="1"/>
    <col min="2" max="3" width="13" customWidth="1"/>
    <col min="4" max="4" width="12.54296875" customWidth="1"/>
    <col min="5" max="9" width="13" customWidth="1"/>
  </cols>
  <sheetData>
    <row r="1" spans="1:9" ht="15.5" x14ac:dyDescent="0.35">
      <c r="A1" s="1160" t="s">
        <v>439</v>
      </c>
      <c r="B1" s="1160"/>
      <c r="C1" s="1160"/>
      <c r="D1" s="693"/>
      <c r="E1" s="177"/>
      <c r="F1" s="177"/>
      <c r="G1" s="177"/>
      <c r="H1" s="28"/>
      <c r="I1" s="28"/>
    </row>
    <row r="2" spans="1:9" x14ac:dyDescent="0.35">
      <c r="A2" s="601" t="s">
        <v>509</v>
      </c>
      <c r="E2" s="177"/>
      <c r="F2" s="177"/>
      <c r="G2" s="177"/>
      <c r="H2" s="28"/>
      <c r="I2" s="28"/>
    </row>
    <row r="3" spans="1:9" x14ac:dyDescent="0.35">
      <c r="A3" s="28"/>
      <c r="B3" s="28"/>
      <c r="C3" s="28"/>
      <c r="D3" s="28"/>
      <c r="E3" s="177"/>
      <c r="F3" s="177"/>
      <c r="G3" s="177"/>
      <c r="H3" s="28"/>
      <c r="I3" s="28"/>
    </row>
    <row r="4" spans="1:9" ht="18.75" customHeight="1" x14ac:dyDescent="0.35">
      <c r="A4" s="1178" t="s">
        <v>459</v>
      </c>
      <c r="B4" s="1178"/>
      <c r="C4" s="1178"/>
      <c r="D4" s="1178"/>
      <c r="E4" s="1178"/>
      <c r="F4" s="1178"/>
      <c r="G4" s="1178"/>
      <c r="H4" s="1178"/>
      <c r="I4" s="1178"/>
    </row>
    <row r="5" spans="1:9" ht="15" customHeight="1" x14ac:dyDescent="0.35">
      <c r="A5" t="s">
        <v>320</v>
      </c>
      <c r="B5" t="s">
        <v>684</v>
      </c>
      <c r="C5" s="509"/>
      <c r="D5" s="695"/>
      <c r="E5" s="509"/>
      <c r="F5" s="509"/>
      <c r="G5" s="509"/>
      <c r="H5" s="509"/>
      <c r="I5" s="509"/>
    </row>
    <row r="6" spans="1:9" ht="15" customHeight="1" x14ac:dyDescent="0.35">
      <c r="A6" t="s">
        <v>321</v>
      </c>
      <c r="B6" t="s">
        <v>323</v>
      </c>
      <c r="C6" s="509"/>
      <c r="D6" s="695"/>
      <c r="E6" s="509"/>
      <c r="F6" s="509"/>
      <c r="G6" s="509"/>
      <c r="H6" s="509"/>
      <c r="I6" s="509"/>
    </row>
    <row r="7" spans="1:9" ht="15" customHeight="1" x14ac:dyDescent="0.35">
      <c r="A7" t="s">
        <v>322</v>
      </c>
      <c r="B7" t="s">
        <v>324</v>
      </c>
      <c r="C7" s="509"/>
      <c r="D7" s="695"/>
      <c r="E7" s="509"/>
      <c r="F7" s="509"/>
      <c r="G7" s="509"/>
      <c r="H7" s="509"/>
      <c r="I7" s="509"/>
    </row>
    <row r="8" spans="1:9" ht="39.5" x14ac:dyDescent="0.35">
      <c r="A8" s="17" t="s">
        <v>200</v>
      </c>
      <c r="B8" s="3" t="s">
        <v>82</v>
      </c>
      <c r="C8" s="178" t="s">
        <v>28</v>
      </c>
      <c r="D8" s="178" t="s">
        <v>849</v>
      </c>
      <c r="E8" s="3" t="s">
        <v>2</v>
      </c>
      <c r="F8" s="3" t="s">
        <v>3</v>
      </c>
      <c r="G8" s="178" t="s">
        <v>29</v>
      </c>
      <c r="H8" s="3" t="s">
        <v>97</v>
      </c>
      <c r="I8" s="3" t="s">
        <v>95</v>
      </c>
    </row>
    <row r="9" spans="1:9" x14ac:dyDescent="0.35">
      <c r="A9" s="179" t="s">
        <v>517</v>
      </c>
      <c r="B9" s="789">
        <f>GETPIVOTDATA("Sum of Wholetime Operational",agepivot!$A$3,"Value","&lt;20")</f>
        <v>0</v>
      </c>
      <c r="C9" s="789">
        <f>GETPIVOTDATA("Sum of Retained Duty System",agepivot!$A$3,"Value","&lt;20")</f>
        <v>1</v>
      </c>
      <c r="D9" s="789">
        <f>GETPIVOTDATA("Sum of Retained Full-time",agepivot!$A$3,"Value","&lt;20")</f>
        <v>0</v>
      </c>
      <c r="E9" s="789">
        <f>GETPIVOTDATA("Sum of Control",agepivot!$A$3,"Value","&lt;20")</f>
        <v>0</v>
      </c>
      <c r="F9" s="789">
        <f>GETPIVOTDATA("Sum of Support Staff",agepivot!$A$3,"Value","&lt;20")</f>
        <v>4</v>
      </c>
      <c r="G9" s="789">
        <f>GETPIVOTDATA("Sum of Volunteer",agepivot!$A$3,"Value","&lt;20")</f>
        <v>0</v>
      </c>
      <c r="H9" s="930">
        <f>SUM(B9:G9)</f>
        <v>5</v>
      </c>
      <c r="I9" s="930">
        <f>H9-G9</f>
        <v>5</v>
      </c>
    </row>
    <row r="10" spans="1:9" x14ac:dyDescent="0.35">
      <c r="A10" s="180" t="str">
        <f>IF(agepivot!B1="2013-14", "20-29", "20-24")</f>
        <v>20-24</v>
      </c>
      <c r="B10" s="789">
        <f>IF(agepivot!$B$1="2013-14",GETPIVOTDATA("Sum of Wholetime Operational",agepivot!$A$3,"Value","20-29"),GETPIVOTDATA("Sum of Wholetime Operational",agepivot!$A$3,"Value","20-24"))</f>
        <v>37</v>
      </c>
      <c r="C10" s="789">
        <f>IF(agepivot!$B$1="2013-14",GETPIVOTDATA("Sum of Retained Duty System",agepivot!$A$3,"Value","20-29"),GETPIVOTDATA("Sum of Retained Duty System",agepivot!$A$3,"Value","20-24"))</f>
        <v>134</v>
      </c>
      <c r="D10" s="789">
        <f>IF(agepivot!$B$1="2013-14",GETPIVOTDATA("Sum of Retained Full-time",agepivot!$A$3,"Value","20-29"),GETPIVOTDATA("Sum of Retained Full-time",agepivot!$A$3,"Value","20-24"))</f>
        <v>0</v>
      </c>
      <c r="E10" s="789">
        <f>IF(agepivot!$B$1="2013-14",GETPIVOTDATA("Sum of Control",agepivot!$A$3,"Value","20-29"),GETPIVOTDATA("Sum of Control",agepivot!$A$3,"Value","20-24"))</f>
        <v>6</v>
      </c>
      <c r="F10" s="789">
        <f>IF(agepivot!$B$1="2013-14",GETPIVOTDATA("Sum of Support Staff",agepivot!$A$3,"Value","20-29"),GETPIVOTDATA("Sum of Support Staff",agepivot!$A$3,"Value","20-24"))</f>
        <v>20</v>
      </c>
      <c r="G10" s="789">
        <f>IF(agepivot!$B$1="2013-14",GETPIVOTDATA("Sum of Volunteer",agepivot!$A$3,"Value","20-29"),GETPIVOTDATA("Sum of Volunteer",agepivot!$A$3,"Value","20-24"))</f>
        <v>13</v>
      </c>
      <c r="H10" s="930">
        <f>SUM(B10:G10)</f>
        <v>210</v>
      </c>
      <c r="I10" s="930">
        <f t="shared" ref="I10:I21" si="0">H10-G10</f>
        <v>197</v>
      </c>
    </row>
    <row r="11" spans="1:9" x14ac:dyDescent="0.35">
      <c r="A11" s="180" t="str">
        <f>IF(agepivot!B1="2013-14", "30-39", "25-29")</f>
        <v>25-29</v>
      </c>
      <c r="B11" s="789">
        <f>IF(agepivot!$B$1="2013-14",GETPIVOTDATA("Sum of Wholetime Operational",agepivot!$A$3,"Value","30-39"),GETPIVOTDATA("Sum of Wholetime Operational",agepivot!$A$3,"Value","25-29"))</f>
        <v>243</v>
      </c>
      <c r="C11" s="789">
        <f>IF(agepivot!$B$1="2013-14",GETPIVOTDATA("Sum of Retained Duty System",agepivot!$A$3,"Value","30-39"),GETPIVOTDATA("Sum of Retained Duty System",agepivot!$A$3,"Value","25-29"))</f>
        <v>308</v>
      </c>
      <c r="D11" s="789">
        <f>IF(agepivot!$B$1="2013-14",GETPIVOTDATA("Sum of Retained Full-time",agepivot!$A$3,"Value","30-39"),GETPIVOTDATA("Sum of Retained Full-time",agepivot!$A$3,"Value","25-29"))</f>
        <v>3</v>
      </c>
      <c r="E11" s="789">
        <f>IF(agepivot!$B$1="2013-14",GETPIVOTDATA("Sum of Control",agepivot!$A$3,"Value","30-39"),GETPIVOTDATA("Sum of Control",agepivot!$A$3,"Value","25-29"))</f>
        <v>20</v>
      </c>
      <c r="F11" s="789">
        <f>IF(agepivot!$B$1="2013-14",GETPIVOTDATA("Sum of Support Staff",agepivot!$A$3,"Value","30-39"),GETPIVOTDATA("Sum of Support Staff",agepivot!$A$3,"Value","25-29"))</f>
        <v>47</v>
      </c>
      <c r="G11" s="789">
        <f>IF(agepivot!$B$1="2013-14",GETPIVOTDATA("Sum of Volunteer",agepivot!$A$3,"Value","30-39"),GETPIVOTDATA("Sum of Volunteer",agepivot!$A$3,"Value","25-29"))</f>
        <v>16</v>
      </c>
      <c r="H11" s="930">
        <f t="shared" ref="H11:H21" si="1">SUM(B11:G11)</f>
        <v>637</v>
      </c>
      <c r="I11" s="930">
        <f t="shared" si="0"/>
        <v>621</v>
      </c>
    </row>
    <row r="12" spans="1:9" x14ac:dyDescent="0.35">
      <c r="A12" s="180" t="str">
        <f>IF(agepivot!B1="2013-14", "40-44", "30-34")</f>
        <v>30-34</v>
      </c>
      <c r="B12" s="789">
        <f>IF(agepivot!$B$1="2013-14",GETPIVOTDATA("Sum of Wholetime Operational",agepivot!$A$3,"Value","40-44"),GETPIVOTDATA("Sum of Wholetime Operational",agepivot!$A$3,"Value","30-34"))</f>
        <v>388</v>
      </c>
      <c r="C12" s="789">
        <f>IF(agepivot!$B$1="2013-14",GETPIVOTDATA("Sum of Retained Duty System",agepivot!$A$3,"Value","40-44"),GETPIVOTDATA("Sum of Retained Duty System",agepivot!$A$3,"Value","30-34"))</f>
        <v>371</v>
      </c>
      <c r="D12" s="789">
        <f>IF(agepivot!$B$1="2013-14",GETPIVOTDATA("Sum of Retained Full-time",agepivot!$A$3,"Value","40-44"),GETPIVOTDATA("Sum of Retained Full-time",agepivot!$A$3,"Value","30-34"))</f>
        <v>4</v>
      </c>
      <c r="E12" s="789">
        <f>IF(agepivot!$B$1="2013-14",GETPIVOTDATA("Sum of Control",agepivot!$A$3,"Value","40-44"),GETPIVOTDATA("Sum of Control",agepivot!$A$3,"Value","30-34"))</f>
        <v>35</v>
      </c>
      <c r="F12" s="789">
        <f>IF(agepivot!$B$1="2013-14",GETPIVOTDATA("Sum of Support Staff",agepivot!$A$3,"Value","40-44"),GETPIVOTDATA("Sum of Support Staff",agepivot!$A$3,"Value","30-34"))</f>
        <v>67</v>
      </c>
      <c r="G12" s="789">
        <f>IF(agepivot!$B$1="2013-14",GETPIVOTDATA("Sum of Volunteer",agepivot!$A$3,"Value","40-44"),GETPIVOTDATA("Sum of Volunteer",agepivot!$A$3,"Value","30-34"))</f>
        <v>20</v>
      </c>
      <c r="H12" s="930">
        <f t="shared" si="1"/>
        <v>885</v>
      </c>
      <c r="I12" s="930">
        <f t="shared" si="0"/>
        <v>865</v>
      </c>
    </row>
    <row r="13" spans="1:9" x14ac:dyDescent="0.35">
      <c r="A13" s="180" t="str">
        <f>IF(agepivot!B1="2013-14", "45-49", "35-39")</f>
        <v>35-39</v>
      </c>
      <c r="B13" s="789">
        <f>IF(agepivot!$B$1="2013-14",GETPIVOTDATA("Sum of Wholetime Operational",agepivot!$A$3,"Value","45-49"),GETPIVOTDATA("Sum of Wholetime Operational",agepivot!$A$3,"Value","35-39"))</f>
        <v>529</v>
      </c>
      <c r="C13" s="789">
        <f>IF(agepivot!$B$1="2013-14",GETPIVOTDATA("Sum of Retained Duty System",agepivot!$A$3,"Value","45-49"),GETPIVOTDATA("Sum of Retained Duty System",agepivot!$A$3,"Value","35-39"))</f>
        <v>402</v>
      </c>
      <c r="D13" s="789">
        <f>IF(agepivot!$B$1="2013-14",GETPIVOTDATA("Sum of Retained Full-time",agepivot!$A$3,"Value","45-49"),GETPIVOTDATA("Sum of Retained Full-time",agepivot!$A$3,"Value","35-39"))</f>
        <v>8</v>
      </c>
      <c r="E13" s="789">
        <f>IF(agepivot!$B$1="2013-14",GETPIVOTDATA("Sum of Control",agepivot!$A$3,"Value","45-49"),GETPIVOTDATA("Sum of Control",agepivot!$A$3,"Value","35-39"))</f>
        <v>19</v>
      </c>
      <c r="F13" s="789">
        <f>IF(agepivot!$B$1="2013-14",GETPIVOTDATA("Sum of Support Staff",agepivot!$A$3,"Value","45-49"),GETPIVOTDATA("Sum of Support Staff",agepivot!$A$3,"Value","35-39"))</f>
        <v>80</v>
      </c>
      <c r="G13" s="789">
        <f>IF(agepivot!$B$1="2013-14",GETPIVOTDATA("Sum of Volunteer",agepivot!$A$3,"Value","45-49"),GETPIVOTDATA("Sum of Volunteer",agepivot!$A$3,"Value","35-39"))</f>
        <v>36</v>
      </c>
      <c r="H13" s="930">
        <f t="shared" si="1"/>
        <v>1074</v>
      </c>
      <c r="I13" s="930">
        <f t="shared" si="0"/>
        <v>1038</v>
      </c>
    </row>
    <row r="14" spans="1:9" x14ac:dyDescent="0.35">
      <c r="A14" s="180" t="str">
        <f>IF(agepivot!B1="2013-14", "50-54", "40-44")</f>
        <v>40-44</v>
      </c>
      <c r="B14" s="789">
        <f>IF(agepivot!$B$1="2013-14",GETPIVOTDATA("Sum of Wholetime Operational",agepivot!$A$3,"Value","50-54"),GETPIVOTDATA("Sum of Wholetime Operational",agepivot!$A$3,"Value","40-44"))</f>
        <v>703</v>
      </c>
      <c r="C14" s="789">
        <f>IF(agepivot!$B$1="2013-14",GETPIVOTDATA("Sum of Retained Duty System",agepivot!$A$3,"Value","50-54"),GETPIVOTDATA("Sum of Retained Duty System",agepivot!$A$3,"Value","40-44"))</f>
        <v>367</v>
      </c>
      <c r="D14" s="789">
        <f>IF(agepivot!$B$1="2013-14",GETPIVOTDATA("Sum of Retained Full-time",agepivot!$A$3,"Value","50-54"),GETPIVOTDATA("Sum of Retained Full-time",agepivot!$A$3,"Value","40-44"))</f>
        <v>5</v>
      </c>
      <c r="E14" s="789">
        <f>IF(agepivot!$B$1="2013-14",GETPIVOTDATA("Sum of Control",agepivot!$A$3,"Value","50-54"),GETPIVOTDATA("Sum of Control",agepivot!$A$3,"Value","40-44"))</f>
        <v>22</v>
      </c>
      <c r="F14" s="789">
        <f>IF(agepivot!$B$1="2013-14",GETPIVOTDATA("Sum of Support Staff",agepivot!$A$3,"Value","50-54"),GETPIVOTDATA("Sum of Support Staff",agepivot!$A$3,"Value","40-44"))</f>
        <v>79</v>
      </c>
      <c r="G14" s="789">
        <f>IF(agepivot!$B$1="2013-14",GETPIVOTDATA("Sum of Volunteer",agepivot!$A$3,"Value","50-54"),GETPIVOTDATA("Sum of Volunteer",agepivot!$A$3,"Value","40-44"))</f>
        <v>29</v>
      </c>
      <c r="H14" s="930">
        <f t="shared" si="1"/>
        <v>1205</v>
      </c>
      <c r="I14" s="930">
        <f t="shared" si="0"/>
        <v>1176</v>
      </c>
    </row>
    <row r="15" spans="1:9" x14ac:dyDescent="0.35">
      <c r="A15" s="180" t="str">
        <f>IF(agepivot!B1="2013-14", "55-65", "45-49")</f>
        <v>45-49</v>
      </c>
      <c r="B15" s="789">
        <f>IF(agepivot!$B$1="2013-14",GETPIVOTDATA("Sum of Wholetime Operational",agepivot!$A$3,"Value","55-65"),GETPIVOTDATA("Sum of Wholetime Operational",agepivot!$A$3,"Value","45-49"))</f>
        <v>727</v>
      </c>
      <c r="C15" s="789">
        <f>IF(agepivot!$B$1="2013-14",GETPIVOTDATA("Sum of Retained Duty System",agepivot!$A$3,"Value","55-65"),GETPIVOTDATA("Sum of Retained Duty System",agepivot!$A$3,"Value","45-49"))</f>
        <v>383</v>
      </c>
      <c r="D15" s="789">
        <f>IF(agepivot!$B$1="2013-14",GETPIVOTDATA("Sum of Retained Full-time",agepivot!$A$3,"Value","55-65"),GETPIVOTDATA("Sum of Retained Full-time",agepivot!$A$3,"Value","45-49"))</f>
        <v>3</v>
      </c>
      <c r="E15" s="789">
        <f>IF(agepivot!$B$1="2013-14",GETPIVOTDATA("Sum of Control",agepivot!$A$3,"Value","55-65"),GETPIVOTDATA("Sum of Control",agepivot!$A$3,"Value","45-49"))</f>
        <v>20</v>
      </c>
      <c r="F15" s="789">
        <f>IF(agepivot!$B$1="2013-14",GETPIVOTDATA("Sum of Support Staff",agepivot!$A$3,"Value","55-65"),GETPIVOTDATA("Sum of Support Staff",agepivot!$A$3,"Value","45-49"))</f>
        <v>114</v>
      </c>
      <c r="G15" s="789">
        <f>IF(agepivot!$B$1="2013-14",GETPIVOTDATA("Sum of Volunteer",agepivot!$A$3,"Value","55-65"),GETPIVOTDATA("Sum of Volunteer",agepivot!$A$3,"Value","45-49"))</f>
        <v>44</v>
      </c>
      <c r="H15" s="930">
        <f t="shared" si="1"/>
        <v>1291</v>
      </c>
      <c r="I15" s="930">
        <f t="shared" si="0"/>
        <v>1247</v>
      </c>
    </row>
    <row r="16" spans="1:9" x14ac:dyDescent="0.35">
      <c r="A16" s="180" t="str">
        <f>IF(agepivot!B1="2013-14", "66 and over", "50-54")</f>
        <v>50-54</v>
      </c>
      <c r="B16" s="958">
        <f>IF(agepivot!$B$1="2013-14",GETPIVOTDATA("Sum of Wholetime Operational",agepivot!$A$3,"Value","&gt;66"),GETPIVOTDATA("Sum of Wholetime Operational",agepivot!$A$3,"Value","50-54"))</f>
        <v>751</v>
      </c>
      <c r="C16" s="958">
        <f>IF(agepivot!$B$1="2013-14",GETPIVOTDATA("Sum of Retained Duty System",agepivot!$A$3,"Value","&gt;66"),GETPIVOTDATA("Sum of Retained Duty System",agepivot!$A$3,"Value","50-54"))</f>
        <v>457</v>
      </c>
      <c r="D16" s="958">
        <f>IF(agepivot!$B$1="2013-14",GETPIVOTDATA("Sum of Retained Full-time",agepivot!$A$3,"Value","&gt;66"),GETPIVOTDATA("Sum of Retained Full-time",agepivot!$A$3,"Value","50-54"))</f>
        <v>19</v>
      </c>
      <c r="E16" s="958">
        <f>IF(agepivot!$B$1="2013-14",GETPIVOTDATA("Sum of Control",agepivot!$A$3,"Value","&gt;66"),GETPIVOTDATA("Sum of Control",agepivot!$A$3,"Value","50-54"))</f>
        <v>27</v>
      </c>
      <c r="F16" s="958">
        <f>IF(agepivot!$B$1="2013-14",GETPIVOTDATA("Sum of Support Staff",agepivot!$A$3,"Value","&gt;66"),GETPIVOTDATA("Sum of Support Staff",agepivot!$A$3,"Value","50-54"))</f>
        <v>152</v>
      </c>
      <c r="G16" s="958">
        <f>IF(agepivot!$B$1="2013-14",GETPIVOTDATA("Sum of Volunteer",agepivot!$A$3,"Value","&gt;66"),GETPIVOTDATA("Sum of Volunteer",agepivot!$A$3,"Value","50-54"))</f>
        <v>65</v>
      </c>
      <c r="H16" s="959">
        <f t="shared" si="1"/>
        <v>1471</v>
      </c>
      <c r="I16" s="959">
        <f t="shared" si="0"/>
        <v>1406</v>
      </c>
    </row>
    <row r="17" spans="1:9" x14ac:dyDescent="0.35">
      <c r="A17" s="180" t="str">
        <f>IF(agepivot!B1="2013-14", "-", "55-59")</f>
        <v>55-59</v>
      </c>
      <c r="B17" s="958">
        <f>IF(agepivot!$B$1="2013-14","-",GETPIVOTDATA("Sum of Wholetime Operational",agepivot!$A$3,"Value","55-59"))</f>
        <v>185</v>
      </c>
      <c r="C17" s="958">
        <f>IF(agepivot!$B$1="2013-14","-",GETPIVOTDATA("Sum of Retained Duty System",agepivot!$A$3,"Value","55-59"))</f>
        <v>330</v>
      </c>
      <c r="D17" s="958">
        <f>IF(agepivot!$B$1="2013-14","-",GETPIVOTDATA("Sum of Retained Full-time",agepivot!$A$3,"Value","55-59"))</f>
        <v>11</v>
      </c>
      <c r="E17" s="958">
        <f>IF(agepivot!$B$1="2013-14","-",GETPIVOTDATA("Sum of Control",agepivot!$A$3,"Value","55-59"))</f>
        <v>28</v>
      </c>
      <c r="F17" s="958">
        <f>IF(agepivot!$B$1="2013-14","-",GETPIVOTDATA("Sum of Support Staff",agepivot!$A$3,"Value","55-59"))</f>
        <v>137</v>
      </c>
      <c r="G17" s="958">
        <f>IF(agepivot!$B$1="2013-14","-",GETPIVOTDATA("Sum of Volunteer",agepivot!$A$3,"Value","55-59"))</f>
        <v>45</v>
      </c>
      <c r="H17" s="959">
        <f t="shared" si="1"/>
        <v>736</v>
      </c>
      <c r="I17" s="959">
        <f>IFERROR(H17-G17, "-")</f>
        <v>691</v>
      </c>
    </row>
    <row r="18" spans="1:9" x14ac:dyDescent="0.35">
      <c r="A18" s="180" t="str">
        <f>IF(agepivot!B1="2013-14", "-", "60-64")</f>
        <v>60-64</v>
      </c>
      <c r="B18" s="958">
        <f>IF(agepivot!$B$1="2013-14","-",GETPIVOTDATA("Sum of Wholetime Operational",agepivot!$A$3,"Value","60-64"))</f>
        <v>20</v>
      </c>
      <c r="C18" s="958">
        <f>IF(agepivot!$B$1="2013-14","-",GETPIVOTDATA("Sum of Retained Duty System",agepivot!$A$3,"Value","60-64"))</f>
        <v>90</v>
      </c>
      <c r="D18" s="958" t="str">
        <f>IFERROR(IF(agepivot!$B$1="2013-14","-",GETPIVOTDATA("Sum of Retained Fulltime",agepivot!$A$3,"Value","60-64")), "-")</f>
        <v>-</v>
      </c>
      <c r="E18" s="958">
        <f>IF(agepivot!$B$1="2013-14","-",GETPIVOTDATA("Sum of Control",agepivot!$A$3,"Value","60-64"))</f>
        <v>4</v>
      </c>
      <c r="F18" s="958">
        <f>IF(agepivot!$B$1="2013-14","-",GETPIVOTDATA("Sum of Support Staff",agepivot!$A$3,"Value","60-64"))</f>
        <v>96</v>
      </c>
      <c r="G18" s="958">
        <f>IF(agepivot!$B$1="2013-14","-",GETPIVOTDATA("Sum of Volunteer",agepivot!$A$3,"Value","60-64"))</f>
        <v>23</v>
      </c>
      <c r="H18" s="959">
        <f t="shared" si="1"/>
        <v>233</v>
      </c>
      <c r="I18" s="959">
        <f t="shared" ref="I18:I20" si="2">IFERROR(H18-G18, "-")</f>
        <v>210</v>
      </c>
    </row>
    <row r="19" spans="1:9" x14ac:dyDescent="0.35">
      <c r="A19" s="180" t="str">
        <f>IF(agepivot!B1="2013-14", "-", "65-69")</f>
        <v>65-69</v>
      </c>
      <c r="B19" s="958">
        <f>IF(agepivot!$B$1="2013-14","-",GETPIVOTDATA("Sum of Wholetime Operational",agepivot!$A$3,"Value","65-69"))</f>
        <v>1</v>
      </c>
      <c r="C19" s="958">
        <f>IF(agepivot!$B$1="2013-14","-",GETPIVOTDATA("Sum of Retained Duty System",agepivot!$A$3,"Value","65-69"))</f>
        <v>28</v>
      </c>
      <c r="D19" s="958" t="str">
        <f>IFERROR(IF(agepivot!$B$1="2013-14","-",GETPIVOTDATA("Sum of Retained Fulltime",agepivot!$A$3,"Value","65-69")), "-")</f>
        <v>-</v>
      </c>
      <c r="E19" s="958">
        <f>IF(agepivot!$B$1="2013-14","-",GETPIVOTDATA("Sum of Control",agepivot!$A$3,"Value","65-69"))</f>
        <v>1</v>
      </c>
      <c r="F19" s="958">
        <f>IF(agepivot!$B$1="2013-14","-",GETPIVOTDATA("Sum of Support Staff",agepivot!$A$3,"Value","65-69"))</f>
        <v>38</v>
      </c>
      <c r="G19" s="958">
        <f>IF(agepivot!$B$1="2013-14","-",GETPIVOTDATA("Sum of Volunteer",agepivot!$A$3,"Value","65-69"))</f>
        <v>11</v>
      </c>
      <c r="H19" s="959">
        <f t="shared" si="1"/>
        <v>79</v>
      </c>
      <c r="I19" s="959">
        <f t="shared" si="2"/>
        <v>68</v>
      </c>
    </row>
    <row r="20" spans="1:9" x14ac:dyDescent="0.35">
      <c r="A20" s="180" t="str">
        <f>IF(agepivot!B1="2013-14", "-", "70-74")</f>
        <v>70-74</v>
      </c>
      <c r="B20" s="958">
        <f>IF(agepivot!$B$1="2013-14","-",GETPIVOTDATA("Sum of Wholetime Operational",agepivot!$A$3,"Value","70-74"))</f>
        <v>0</v>
      </c>
      <c r="C20" s="958">
        <f>IF(agepivot!$B$1="2013-14","-",GETPIVOTDATA("Sum of Retained Duty System",agepivot!$A$3,"Value","70-74"))</f>
        <v>1</v>
      </c>
      <c r="D20" s="958" t="str">
        <f>IFERROR(IF(agepivot!$B$1="2013-14","-",GETPIVOTDATA("Sum of Retained Fulltime",agepivot!$A$3,"Value","70-74")), "-")</f>
        <v>-</v>
      </c>
      <c r="E20" s="958">
        <f>IF(agepivot!$B$1="2013-14","-",GETPIVOTDATA("Sum of Control",agepivot!$A$3,"Value","70-74"))</f>
        <v>0</v>
      </c>
      <c r="F20" s="958">
        <f>IF(agepivot!$B$1="2013-14","-",GETPIVOTDATA("Sum of Support Staff",agepivot!$A$3,"Value","70-74"))</f>
        <v>2</v>
      </c>
      <c r="G20" s="958">
        <f>IF(agepivot!$B$1="2013-14","-",GETPIVOTDATA("Sum of Volunteer",agepivot!$A$3,"Value","70-74"))</f>
        <v>1</v>
      </c>
      <c r="H20" s="959">
        <f t="shared" si="1"/>
        <v>4</v>
      </c>
      <c r="I20" s="959">
        <f t="shared" si="2"/>
        <v>3</v>
      </c>
    </row>
    <row r="21" spans="1:9" ht="15" thickBot="1" x14ac:dyDescent="0.4">
      <c r="A21" s="181" t="s">
        <v>734</v>
      </c>
      <c r="B21" s="957">
        <f>SUM(B9:B20)</f>
        <v>3584</v>
      </c>
      <c r="C21" s="957">
        <f t="shared" ref="C21:G21" si="3">SUM(C9:C20)</f>
        <v>2872</v>
      </c>
      <c r="D21" s="957">
        <f t="shared" si="3"/>
        <v>53</v>
      </c>
      <c r="E21" s="957">
        <f t="shared" si="3"/>
        <v>182</v>
      </c>
      <c r="F21" s="957">
        <f t="shared" si="3"/>
        <v>836</v>
      </c>
      <c r="G21" s="957">
        <f t="shared" si="3"/>
        <v>303</v>
      </c>
      <c r="H21" s="957">
        <f t="shared" si="1"/>
        <v>7830</v>
      </c>
      <c r="I21" s="957">
        <f t="shared" si="0"/>
        <v>7527</v>
      </c>
    </row>
    <row r="22" spans="1:9" x14ac:dyDescent="0.35">
      <c r="A22" s="6"/>
      <c r="B22" s="48"/>
      <c r="C22" s="48"/>
      <c r="D22" s="48"/>
      <c r="E22" s="48"/>
      <c r="F22" s="48"/>
      <c r="G22" s="48"/>
      <c r="H22" s="48"/>
      <c r="I22" s="48"/>
    </row>
    <row r="23" spans="1:9" x14ac:dyDescent="0.35">
      <c r="A23" s="392" t="s">
        <v>8</v>
      </c>
      <c r="B23" s="393"/>
      <c r="C23" s="393"/>
      <c r="D23" s="393"/>
      <c r="E23" s="393"/>
      <c r="F23" s="393"/>
      <c r="G23" s="393"/>
      <c r="H23" s="394"/>
      <c r="I23" s="394"/>
    </row>
    <row r="24" spans="1:9" ht="15" customHeight="1" x14ac:dyDescent="0.35">
      <c r="A24" s="554" t="s">
        <v>946</v>
      </c>
      <c r="B24" s="554"/>
      <c r="C24" s="554"/>
      <c r="D24" s="554"/>
      <c r="E24" s="554"/>
      <c r="F24" s="554"/>
      <c r="G24" s="554"/>
      <c r="H24" s="394"/>
      <c r="I24" s="394"/>
    </row>
    <row r="25" spans="1:9" x14ac:dyDescent="0.35">
      <c r="A25" t="s">
        <v>222</v>
      </c>
      <c r="B25" s="393"/>
      <c r="C25" s="393"/>
      <c r="D25" s="393"/>
      <c r="E25" s="393"/>
      <c r="F25" s="393"/>
      <c r="G25" s="393"/>
      <c r="H25" s="394"/>
      <c r="I25" s="394"/>
    </row>
    <row r="26" spans="1:9" x14ac:dyDescent="0.35">
      <c r="A26" t="s">
        <v>733</v>
      </c>
      <c r="B26" s="183"/>
      <c r="C26" s="183"/>
      <c r="D26" s="183"/>
      <c r="E26" s="183"/>
      <c r="F26" s="183"/>
      <c r="G26" s="183"/>
      <c r="H26" s="24"/>
      <c r="I26" s="24"/>
    </row>
    <row r="27" spans="1:9" x14ac:dyDescent="0.35">
      <c r="A27" s="105"/>
      <c r="B27" s="183"/>
      <c r="C27" s="183"/>
      <c r="D27" s="183"/>
      <c r="E27" s="183"/>
      <c r="F27" s="183"/>
      <c r="G27" s="183"/>
      <c r="H27" s="24"/>
      <c r="I27" s="24"/>
    </row>
    <row r="28" spans="1:9" ht="15.75" customHeight="1" x14ac:dyDescent="0.35">
      <c r="A28" s="1178" t="s">
        <v>460</v>
      </c>
      <c r="B28" s="1178"/>
      <c r="C28" s="1178"/>
      <c r="D28" s="1178"/>
      <c r="E28" s="1178"/>
      <c r="F28" s="1178"/>
      <c r="G28" s="1178"/>
      <c r="H28" s="1178"/>
      <c r="I28" s="1178"/>
    </row>
    <row r="29" spans="1:9" ht="15.75" customHeight="1" x14ac:dyDescent="0.35">
      <c r="A29" t="s">
        <v>320</v>
      </c>
      <c r="B29" t="s">
        <v>685</v>
      </c>
      <c r="C29" s="509"/>
      <c r="D29" s="695"/>
      <c r="E29" s="509"/>
      <c r="F29" s="509"/>
      <c r="G29" s="509"/>
      <c r="H29" s="509"/>
      <c r="I29" s="509"/>
    </row>
    <row r="30" spans="1:9" ht="15.75" customHeight="1" x14ac:dyDescent="0.35">
      <c r="A30" t="s">
        <v>321</v>
      </c>
      <c r="B30" t="s">
        <v>323</v>
      </c>
      <c r="C30" s="509"/>
      <c r="D30" s="695"/>
      <c r="E30" s="509"/>
      <c r="F30" s="509"/>
      <c r="G30" s="509"/>
      <c r="H30" s="509"/>
      <c r="I30" s="509"/>
    </row>
    <row r="31" spans="1:9" ht="15.75" customHeight="1" x14ac:dyDescent="0.35">
      <c r="A31" t="s">
        <v>322</v>
      </c>
      <c r="B31" t="s">
        <v>324</v>
      </c>
      <c r="C31" s="509"/>
      <c r="D31" s="695"/>
      <c r="E31" s="509"/>
      <c r="F31" s="509"/>
      <c r="G31" s="509"/>
      <c r="H31" s="509"/>
      <c r="I31" s="509"/>
    </row>
    <row r="32" spans="1:9" ht="39.5" x14ac:dyDescent="0.35">
      <c r="A32" s="17" t="s">
        <v>201</v>
      </c>
      <c r="B32" s="184" t="s">
        <v>82</v>
      </c>
      <c r="C32" s="184" t="s">
        <v>28</v>
      </c>
      <c r="D32" s="178" t="s">
        <v>849</v>
      </c>
      <c r="E32" s="184" t="s">
        <v>2</v>
      </c>
      <c r="F32" s="184" t="s">
        <v>83</v>
      </c>
      <c r="G32" s="178" t="s">
        <v>29</v>
      </c>
      <c r="H32" s="184" t="s">
        <v>97</v>
      </c>
      <c r="I32" s="184" t="s">
        <v>95</v>
      </c>
    </row>
    <row r="33" spans="1:10" x14ac:dyDescent="0.35">
      <c r="A33" s="185" t="str">
        <f t="shared" ref="A33:A44" si="4">A9</f>
        <v>&lt;20</v>
      </c>
      <c r="B33" s="186">
        <f>B9/B$21</f>
        <v>0</v>
      </c>
      <c r="C33" s="186">
        <f>C9/C$21</f>
        <v>3.4818941504178273E-4</v>
      </c>
      <c r="D33" s="910">
        <f>IFERROR(D9/D$21, "-")</f>
        <v>0</v>
      </c>
      <c r="E33" s="186">
        <f t="shared" ref="E33:I33" si="5">E9/E$21</f>
        <v>0</v>
      </c>
      <c r="F33" s="186">
        <f t="shared" si="5"/>
        <v>4.7846889952153108E-3</v>
      </c>
      <c r="G33" s="186">
        <f t="shared" si="5"/>
        <v>0</v>
      </c>
      <c r="H33" s="186">
        <f t="shared" si="5"/>
        <v>6.3856960408684551E-4</v>
      </c>
      <c r="I33" s="186">
        <f t="shared" si="5"/>
        <v>6.6427527567423938E-4</v>
      </c>
    </row>
    <row r="34" spans="1:10" x14ac:dyDescent="0.35">
      <c r="A34" s="187" t="str">
        <f t="shared" si="4"/>
        <v>20-24</v>
      </c>
      <c r="B34" s="186">
        <f t="shared" ref="B34:I44" si="6">B10/B$21</f>
        <v>1.0323660714285714E-2</v>
      </c>
      <c r="C34" s="186">
        <f t="shared" si="6"/>
        <v>4.6657381615598889E-2</v>
      </c>
      <c r="D34" s="910">
        <f t="shared" ref="D34:D45" si="7">IFERROR(D10/D$21, "-")</f>
        <v>0</v>
      </c>
      <c r="E34" s="186">
        <f t="shared" si="6"/>
        <v>3.2967032967032968E-2</v>
      </c>
      <c r="F34" s="186">
        <f t="shared" si="6"/>
        <v>2.3923444976076555E-2</v>
      </c>
      <c r="G34" s="186">
        <f t="shared" si="6"/>
        <v>4.2904290429042903E-2</v>
      </c>
      <c r="H34" s="186">
        <f t="shared" si="6"/>
        <v>2.681992337164751E-2</v>
      </c>
      <c r="I34" s="186">
        <f t="shared" si="6"/>
        <v>2.6172445861565034E-2</v>
      </c>
    </row>
    <row r="35" spans="1:10" x14ac:dyDescent="0.35">
      <c r="A35" s="187" t="str">
        <f t="shared" si="4"/>
        <v>25-29</v>
      </c>
      <c r="B35" s="186">
        <f t="shared" si="6"/>
        <v>6.7801339285714288E-2</v>
      </c>
      <c r="C35" s="186">
        <f t="shared" si="6"/>
        <v>0.10724233983286909</v>
      </c>
      <c r="D35" s="910">
        <f t="shared" si="7"/>
        <v>5.6603773584905662E-2</v>
      </c>
      <c r="E35" s="186">
        <f t="shared" si="6"/>
        <v>0.10989010989010989</v>
      </c>
      <c r="F35" s="186">
        <f t="shared" si="6"/>
        <v>5.6220095693779906E-2</v>
      </c>
      <c r="G35" s="186">
        <f t="shared" si="6"/>
        <v>5.2805280528052806E-2</v>
      </c>
      <c r="H35" s="186">
        <f t="shared" si="6"/>
        <v>8.1353767560664106E-2</v>
      </c>
      <c r="I35" s="186">
        <f t="shared" si="6"/>
        <v>8.250298923874054E-2</v>
      </c>
    </row>
    <row r="36" spans="1:10" x14ac:dyDescent="0.35">
      <c r="A36" s="187" t="str">
        <f t="shared" si="4"/>
        <v>30-34</v>
      </c>
      <c r="B36" s="186">
        <f t="shared" si="6"/>
        <v>0.10825892857142858</v>
      </c>
      <c r="C36" s="186">
        <f t="shared" si="6"/>
        <v>0.12917827298050139</v>
      </c>
      <c r="D36" s="910">
        <f t="shared" si="7"/>
        <v>7.5471698113207544E-2</v>
      </c>
      <c r="E36" s="186">
        <f t="shared" si="6"/>
        <v>0.19230769230769232</v>
      </c>
      <c r="F36" s="186">
        <f t="shared" si="6"/>
        <v>8.0143540669856461E-2</v>
      </c>
      <c r="G36" s="186">
        <f t="shared" si="6"/>
        <v>6.6006600660066E-2</v>
      </c>
      <c r="H36" s="186">
        <f t="shared" si="6"/>
        <v>0.11302681992337164</v>
      </c>
      <c r="I36" s="186">
        <f t="shared" si="6"/>
        <v>0.11491962269164342</v>
      </c>
    </row>
    <row r="37" spans="1:10" x14ac:dyDescent="0.35">
      <c r="A37" s="187" t="str">
        <f t="shared" si="4"/>
        <v>35-39</v>
      </c>
      <c r="B37" s="186">
        <f t="shared" si="6"/>
        <v>0.14760044642857142</v>
      </c>
      <c r="C37" s="186">
        <f t="shared" si="6"/>
        <v>0.13997214484679665</v>
      </c>
      <c r="D37" s="910">
        <f t="shared" si="7"/>
        <v>0.15094339622641509</v>
      </c>
      <c r="E37" s="186">
        <f t="shared" si="6"/>
        <v>0.1043956043956044</v>
      </c>
      <c r="F37" s="186">
        <f t="shared" si="6"/>
        <v>9.569377990430622E-2</v>
      </c>
      <c r="G37" s="186">
        <f t="shared" si="6"/>
        <v>0.11881188118811881</v>
      </c>
      <c r="H37" s="186">
        <f t="shared" si="6"/>
        <v>0.13716475095785441</v>
      </c>
      <c r="I37" s="186">
        <f t="shared" si="6"/>
        <v>0.13790354722997211</v>
      </c>
    </row>
    <row r="38" spans="1:10" x14ac:dyDescent="0.35">
      <c r="A38" s="187" t="str">
        <f t="shared" si="4"/>
        <v>40-44</v>
      </c>
      <c r="B38" s="186">
        <f t="shared" si="6"/>
        <v>0.19614955357142858</v>
      </c>
      <c r="C38" s="186">
        <f t="shared" si="6"/>
        <v>0.12778551532033428</v>
      </c>
      <c r="D38" s="910">
        <f t="shared" si="7"/>
        <v>9.4339622641509441E-2</v>
      </c>
      <c r="E38" s="186">
        <f t="shared" si="6"/>
        <v>0.12087912087912088</v>
      </c>
      <c r="F38" s="186">
        <f t="shared" si="6"/>
        <v>9.4497607655502386E-2</v>
      </c>
      <c r="G38" s="186">
        <f t="shared" si="6"/>
        <v>9.5709570957095716E-2</v>
      </c>
      <c r="H38" s="186">
        <f t="shared" si="6"/>
        <v>0.15389527458492977</v>
      </c>
      <c r="I38" s="186">
        <f t="shared" si="6"/>
        <v>0.1562375448385811</v>
      </c>
    </row>
    <row r="39" spans="1:10" x14ac:dyDescent="0.35">
      <c r="A39" s="187" t="str">
        <f t="shared" si="4"/>
        <v>45-49</v>
      </c>
      <c r="B39" s="186">
        <f t="shared" si="6"/>
        <v>0.20284598214285715</v>
      </c>
      <c r="C39" s="186">
        <f t="shared" si="6"/>
        <v>0.1333565459610028</v>
      </c>
      <c r="D39" s="910">
        <f t="shared" si="7"/>
        <v>5.6603773584905662E-2</v>
      </c>
      <c r="E39" s="186">
        <f t="shared" si="6"/>
        <v>0.10989010989010989</v>
      </c>
      <c r="F39" s="186">
        <f t="shared" si="6"/>
        <v>0.13636363636363635</v>
      </c>
      <c r="G39" s="186">
        <f t="shared" si="6"/>
        <v>0.14521452145214522</v>
      </c>
      <c r="H39" s="186">
        <f t="shared" si="6"/>
        <v>0.1648786717752235</v>
      </c>
      <c r="I39" s="186">
        <f t="shared" si="6"/>
        <v>0.16567025375315531</v>
      </c>
    </row>
    <row r="40" spans="1:10" x14ac:dyDescent="0.35">
      <c r="A40" s="187" t="str">
        <f t="shared" si="4"/>
        <v>50-54</v>
      </c>
      <c r="B40" s="186">
        <f t="shared" si="6"/>
        <v>0.20954241071428573</v>
      </c>
      <c r="C40" s="186">
        <f t="shared" si="6"/>
        <v>0.15912256267409472</v>
      </c>
      <c r="D40" s="910">
        <f t="shared" si="7"/>
        <v>0.35849056603773582</v>
      </c>
      <c r="E40" s="186">
        <f t="shared" si="6"/>
        <v>0.14835164835164835</v>
      </c>
      <c r="F40" s="186">
        <f t="shared" si="6"/>
        <v>0.18181818181818182</v>
      </c>
      <c r="G40" s="186">
        <f t="shared" si="6"/>
        <v>0.21452145214521451</v>
      </c>
      <c r="H40" s="186">
        <f t="shared" si="6"/>
        <v>0.18786717752234994</v>
      </c>
      <c r="I40" s="186">
        <f t="shared" si="6"/>
        <v>0.18679420751959613</v>
      </c>
      <c r="J40" s="503"/>
    </row>
    <row r="41" spans="1:10" x14ac:dyDescent="0.35">
      <c r="A41" s="187" t="str">
        <f t="shared" si="4"/>
        <v>55-59</v>
      </c>
      <c r="B41" s="186">
        <f t="shared" si="6"/>
        <v>5.1618303571428568E-2</v>
      </c>
      <c r="C41" s="186">
        <f t="shared" si="6"/>
        <v>0.1149025069637883</v>
      </c>
      <c r="D41" s="910">
        <f t="shared" si="7"/>
        <v>0.20754716981132076</v>
      </c>
      <c r="E41" s="186">
        <f t="shared" si="6"/>
        <v>0.15384615384615385</v>
      </c>
      <c r="F41" s="186">
        <f t="shared" si="6"/>
        <v>0.1638755980861244</v>
      </c>
      <c r="G41" s="186">
        <f t="shared" si="6"/>
        <v>0.14851485148514851</v>
      </c>
      <c r="H41" s="186">
        <f t="shared" si="6"/>
        <v>9.3997445721583653E-2</v>
      </c>
      <c r="I41" s="186">
        <f t="shared" si="6"/>
        <v>9.180284309817989E-2</v>
      </c>
    </row>
    <row r="42" spans="1:10" x14ac:dyDescent="0.35">
      <c r="A42" s="187" t="str">
        <f t="shared" si="4"/>
        <v>60-64</v>
      </c>
      <c r="B42" s="186">
        <f t="shared" si="6"/>
        <v>5.580357142857143E-3</v>
      </c>
      <c r="C42" s="186">
        <f t="shared" si="6"/>
        <v>3.1337047353760444E-2</v>
      </c>
      <c r="D42" s="910" t="str">
        <f t="shared" si="7"/>
        <v>-</v>
      </c>
      <c r="E42" s="186">
        <f t="shared" si="6"/>
        <v>2.197802197802198E-2</v>
      </c>
      <c r="F42" s="186">
        <f t="shared" si="6"/>
        <v>0.11483253588516747</v>
      </c>
      <c r="G42" s="186">
        <f t="shared" si="6"/>
        <v>7.590759075907591E-2</v>
      </c>
      <c r="H42" s="186">
        <f t="shared" si="6"/>
        <v>2.9757343550446999E-2</v>
      </c>
      <c r="I42" s="186">
        <f t="shared" si="6"/>
        <v>2.7899561578318056E-2</v>
      </c>
      <c r="J42" s="503"/>
    </row>
    <row r="43" spans="1:10" x14ac:dyDescent="0.35">
      <c r="A43" s="185" t="str">
        <f t="shared" si="4"/>
        <v>65-69</v>
      </c>
      <c r="B43" s="186">
        <f t="shared" si="6"/>
        <v>2.7901785714285713E-4</v>
      </c>
      <c r="C43" s="186">
        <f t="shared" si="6"/>
        <v>9.7493036211699167E-3</v>
      </c>
      <c r="D43" s="910" t="str">
        <f t="shared" si="7"/>
        <v>-</v>
      </c>
      <c r="E43" s="186">
        <f t="shared" si="6"/>
        <v>5.4945054945054949E-3</v>
      </c>
      <c r="F43" s="186">
        <f t="shared" si="6"/>
        <v>4.5454545454545456E-2</v>
      </c>
      <c r="G43" s="186">
        <f t="shared" si="6"/>
        <v>3.6303630363036306E-2</v>
      </c>
      <c r="H43" s="186">
        <f t="shared" si="6"/>
        <v>1.0089399744572158E-2</v>
      </c>
      <c r="I43" s="186">
        <f t="shared" si="6"/>
        <v>9.0341437491696566E-3</v>
      </c>
    </row>
    <row r="44" spans="1:10" x14ac:dyDescent="0.35">
      <c r="A44" s="185" t="str">
        <f t="shared" si="4"/>
        <v>70-74</v>
      </c>
      <c r="B44" s="186">
        <f t="shared" si="6"/>
        <v>0</v>
      </c>
      <c r="C44" s="186">
        <f t="shared" si="6"/>
        <v>3.4818941504178273E-4</v>
      </c>
      <c r="D44" s="910" t="str">
        <f t="shared" si="7"/>
        <v>-</v>
      </c>
      <c r="E44" s="186">
        <f t="shared" si="6"/>
        <v>0</v>
      </c>
      <c r="F44" s="186">
        <f t="shared" si="6"/>
        <v>2.3923444976076554E-3</v>
      </c>
      <c r="G44" s="186">
        <f t="shared" si="6"/>
        <v>3.3003300330033004E-3</v>
      </c>
      <c r="H44" s="186">
        <f t="shared" si="6"/>
        <v>5.1085568326947643E-4</v>
      </c>
      <c r="I44" s="186">
        <f t="shared" si="6"/>
        <v>3.9856516540454366E-4</v>
      </c>
    </row>
    <row r="45" spans="1:10" ht="15" thickBot="1" x14ac:dyDescent="0.4">
      <c r="A45" s="188" t="s">
        <v>734</v>
      </c>
      <c r="B45" s="189">
        <f t="shared" ref="B45:I45" si="8">SUM(B33:B44)</f>
        <v>1</v>
      </c>
      <c r="C45" s="189">
        <f t="shared" si="8"/>
        <v>1</v>
      </c>
      <c r="D45" s="911">
        <f t="shared" si="7"/>
        <v>1</v>
      </c>
      <c r="E45" s="189">
        <f t="shared" si="8"/>
        <v>1.0000000000000002</v>
      </c>
      <c r="F45" s="189">
        <f t="shared" si="8"/>
        <v>1</v>
      </c>
      <c r="G45" s="189">
        <f t="shared" si="8"/>
        <v>1</v>
      </c>
      <c r="H45" s="189">
        <f t="shared" si="8"/>
        <v>1</v>
      </c>
      <c r="I45" s="189">
        <f t="shared" si="8"/>
        <v>1</v>
      </c>
    </row>
    <row r="46" spans="1:10" x14ac:dyDescent="0.35">
      <c r="A46" s="185"/>
      <c r="B46" s="190"/>
      <c r="C46" s="190"/>
      <c r="D46" s="190"/>
      <c r="E46" s="190"/>
      <c r="F46" s="190"/>
      <c r="G46" s="190"/>
      <c r="H46" s="191"/>
      <c r="I46" s="191"/>
    </row>
    <row r="47" spans="1:10" x14ac:dyDescent="0.35">
      <c r="A47" s="392" t="s">
        <v>8</v>
      </c>
      <c r="B47" s="393"/>
      <c r="C47" s="393"/>
      <c r="D47" s="393"/>
      <c r="E47" s="393"/>
      <c r="F47" s="393"/>
      <c r="G47" s="393"/>
      <c r="H47" s="394"/>
      <c r="I47" s="394"/>
    </row>
    <row r="48" spans="1:10" x14ac:dyDescent="0.35">
      <c r="A48" s="395" t="s">
        <v>222</v>
      </c>
      <c r="B48" s="393"/>
      <c r="C48" s="393"/>
      <c r="D48" s="393"/>
      <c r="E48" s="393"/>
      <c r="F48" s="393"/>
      <c r="G48" s="393"/>
      <c r="H48" s="394"/>
      <c r="I48" s="394"/>
    </row>
    <row r="49" spans="1:9" x14ac:dyDescent="0.35">
      <c r="A49" t="s">
        <v>733</v>
      </c>
      <c r="B49" s="183"/>
      <c r="C49" s="183"/>
      <c r="D49" s="183"/>
      <c r="E49" s="183"/>
      <c r="F49" s="183"/>
      <c r="G49" s="183"/>
      <c r="H49" s="24"/>
      <c r="I49" s="24"/>
    </row>
    <row r="50" spans="1:9" x14ac:dyDescent="0.35">
      <c r="A50" s="105"/>
      <c r="B50" s="183"/>
      <c r="C50" s="183"/>
      <c r="D50" s="183"/>
      <c r="E50" s="183"/>
      <c r="F50" s="183"/>
      <c r="G50" s="183"/>
      <c r="H50" s="24"/>
      <c r="I50" s="24"/>
    </row>
  </sheetData>
  <sheetProtection algorithmName="SHA-512" hashValue="wkAeZ9QasA/fMlmuoV6zUrmKGGlK8a+/SzcRLCOqpqC9XpjgG8pK8g4PAYptJZvMb8FVRatAc37oQNEdssms/g==" saltValue="9RBNpwlv+ERYEkm+qa/foA==" spinCount="100000" sheet="1" scenarios="1" formatCells="0" formatColumns="0" formatRows="0" sort="0" autoFilter="0" pivotTables="0"/>
  <mergeCells count="3">
    <mergeCell ref="A4:I4"/>
    <mergeCell ref="A28:I28"/>
    <mergeCell ref="A1:C1"/>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81" orientation="portrait" r:id="rId1"/>
  <drawing r:id="rId2"/>
  <extLst>
    <ext xmlns:x14="http://schemas.microsoft.com/office/spreadsheetml/2009/9/main" uri="{A8765BA9-456A-4dab-B4F3-ACF838C121DE}">
      <x14:slicerList>
        <x14:slicer r:id="rId3"/>
      </x14:slicerList>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3"/>
  <sheetViews>
    <sheetView workbookViewId="0">
      <selection activeCell="D9" sqref="D9"/>
    </sheetView>
  </sheetViews>
  <sheetFormatPr defaultRowHeight="14.5" x14ac:dyDescent="0.35"/>
  <cols>
    <col min="1" max="1" width="12.36328125" bestFit="1" customWidth="1"/>
    <col min="2" max="2" width="27.1796875" bestFit="1" customWidth="1"/>
    <col min="3" max="3" width="25.81640625" bestFit="1" customWidth="1"/>
    <col min="4" max="4" width="22.6328125" bestFit="1" customWidth="1"/>
    <col min="5" max="5" width="13.453125" bestFit="1" customWidth="1"/>
    <col min="6" max="6" width="15.54296875" bestFit="1" customWidth="1"/>
  </cols>
  <sheetData>
    <row r="1" spans="1:6" x14ac:dyDescent="0.35">
      <c r="A1" s="459" t="s">
        <v>1</v>
      </c>
      <c r="B1" t="s">
        <v>951</v>
      </c>
    </row>
    <row r="3" spans="1:6" x14ac:dyDescent="0.35">
      <c r="A3" s="459" t="s">
        <v>234</v>
      </c>
      <c r="B3" t="s">
        <v>1028</v>
      </c>
      <c r="C3" t="s">
        <v>1029</v>
      </c>
      <c r="D3" t="s">
        <v>1030</v>
      </c>
      <c r="E3" t="s">
        <v>248</v>
      </c>
      <c r="F3" t="s">
        <v>315</v>
      </c>
    </row>
    <row r="4" spans="1:6" x14ac:dyDescent="0.35">
      <c r="A4" s="1000" t="s">
        <v>176</v>
      </c>
      <c r="B4" s="461">
        <v>652</v>
      </c>
      <c r="C4" s="461">
        <v>413</v>
      </c>
      <c r="D4" s="461">
        <v>13</v>
      </c>
      <c r="E4" s="461">
        <v>22</v>
      </c>
      <c r="F4" s="461">
        <v>35</v>
      </c>
    </row>
    <row r="5" spans="1:6" x14ac:dyDescent="0.35">
      <c r="A5" s="1000" t="s">
        <v>177</v>
      </c>
      <c r="B5" s="461">
        <v>807</v>
      </c>
      <c r="C5" s="461">
        <v>376</v>
      </c>
      <c r="D5" s="461">
        <v>10</v>
      </c>
      <c r="E5" s="461">
        <v>23</v>
      </c>
      <c r="F5" s="461">
        <v>49</v>
      </c>
    </row>
    <row r="6" spans="1:6" x14ac:dyDescent="0.35">
      <c r="A6" s="1000" t="s">
        <v>98</v>
      </c>
      <c r="B6" s="461">
        <v>656</v>
      </c>
      <c r="C6" s="461">
        <v>300</v>
      </c>
      <c r="D6" s="461">
        <v>5</v>
      </c>
      <c r="E6" s="461">
        <v>9</v>
      </c>
      <c r="F6" s="461">
        <v>36</v>
      </c>
    </row>
    <row r="7" spans="1:6" x14ac:dyDescent="0.35">
      <c r="A7" s="1000" t="s">
        <v>99</v>
      </c>
      <c r="B7" s="461">
        <v>501</v>
      </c>
      <c r="C7" s="461">
        <v>212</v>
      </c>
      <c r="D7" s="461">
        <v>6</v>
      </c>
      <c r="E7" s="461">
        <v>16</v>
      </c>
      <c r="F7" s="461">
        <v>23</v>
      </c>
    </row>
    <row r="8" spans="1:6" x14ac:dyDescent="0.35">
      <c r="A8" s="1000" t="s">
        <v>100</v>
      </c>
      <c r="B8" s="461">
        <v>82</v>
      </c>
      <c r="C8" s="461">
        <v>155</v>
      </c>
      <c r="D8" s="461">
        <v>7</v>
      </c>
      <c r="E8" s="461">
        <v>21</v>
      </c>
      <c r="F8" s="461">
        <v>14</v>
      </c>
    </row>
    <row r="9" spans="1:6" x14ac:dyDescent="0.35">
      <c r="A9" s="1000" t="s">
        <v>101</v>
      </c>
      <c r="B9" s="461">
        <v>2</v>
      </c>
      <c r="C9" s="461">
        <v>66</v>
      </c>
      <c r="D9" s="461">
        <v>4</v>
      </c>
      <c r="E9" s="461">
        <v>5</v>
      </c>
      <c r="F9" s="461">
        <v>3</v>
      </c>
    </row>
    <row r="10" spans="1:6" x14ac:dyDescent="0.35">
      <c r="A10" s="1000" t="s">
        <v>175</v>
      </c>
      <c r="B10" s="461">
        <v>287</v>
      </c>
      <c r="C10" s="461">
        <v>532</v>
      </c>
      <c r="D10" s="461">
        <v>6</v>
      </c>
      <c r="E10" s="461">
        <v>39</v>
      </c>
      <c r="F10" s="461">
        <v>60</v>
      </c>
    </row>
    <row r="11" spans="1:6" x14ac:dyDescent="0.35">
      <c r="A11" s="1000" t="s">
        <v>178</v>
      </c>
      <c r="B11" s="461">
        <v>2</v>
      </c>
      <c r="C11" s="461">
        <v>27</v>
      </c>
      <c r="D11" s="461"/>
      <c r="E11" s="461">
        <v>3</v>
      </c>
      <c r="F11" s="461">
        <v>5</v>
      </c>
    </row>
    <row r="12" spans="1:6" x14ac:dyDescent="0.35">
      <c r="A12" s="1000" t="s">
        <v>174</v>
      </c>
      <c r="B12" s="461">
        <v>595</v>
      </c>
      <c r="C12" s="461">
        <v>791</v>
      </c>
      <c r="D12" s="461">
        <v>3</v>
      </c>
      <c r="E12" s="461">
        <v>44</v>
      </c>
      <c r="F12" s="461">
        <v>78</v>
      </c>
    </row>
    <row r="13" spans="1:6" x14ac:dyDescent="0.35">
      <c r="A13" s="1000" t="s">
        <v>239</v>
      </c>
      <c r="B13" s="461">
        <v>3584</v>
      </c>
      <c r="C13" s="461">
        <v>2872</v>
      </c>
      <c r="D13" s="461">
        <v>54</v>
      </c>
      <c r="E13" s="461">
        <v>182</v>
      </c>
      <c r="F13" s="461">
        <v>303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37"/>
  <sheetViews>
    <sheetView workbookViewId="0">
      <selection activeCell="C5" sqref="C5"/>
    </sheetView>
  </sheetViews>
  <sheetFormatPr defaultRowHeight="14.5" x14ac:dyDescent="0.35"/>
  <cols>
    <col min="1" max="1" width="7.453125" bestFit="1" customWidth="1"/>
    <col min="2" max="2" width="21.453125" bestFit="1" customWidth="1"/>
    <col min="3" max="3" width="23" bestFit="1" customWidth="1"/>
    <col min="4" max="4" width="21.6328125" bestFit="1" customWidth="1"/>
    <col min="5" max="5" width="18.453125" bestFit="1" customWidth="1"/>
    <col min="6" max="6" width="9.36328125" bestFit="1" customWidth="1"/>
    <col min="7" max="7" width="11.453125" bestFit="1" customWidth="1"/>
  </cols>
  <sheetData>
    <row r="1" spans="1:7" x14ac:dyDescent="0.35">
      <c r="A1" s="461" t="s">
        <v>1</v>
      </c>
      <c r="B1" s="461" t="s">
        <v>179</v>
      </c>
      <c r="C1" s="461" t="s">
        <v>27</v>
      </c>
      <c r="D1" s="461" t="s">
        <v>28</v>
      </c>
      <c r="E1" s="461" t="s">
        <v>849</v>
      </c>
      <c r="F1" s="461" t="s">
        <v>2</v>
      </c>
      <c r="G1" s="461" t="s">
        <v>29</v>
      </c>
    </row>
    <row r="2" spans="1:7" x14ac:dyDescent="0.35">
      <c r="A2" s="461" t="s">
        <v>242</v>
      </c>
      <c r="B2" s="461" t="s">
        <v>176</v>
      </c>
      <c r="C2" s="461">
        <v>814</v>
      </c>
      <c r="D2" s="461">
        <v>434</v>
      </c>
      <c r="E2" s="461"/>
      <c r="F2" s="461">
        <v>26</v>
      </c>
      <c r="G2" s="461">
        <v>51</v>
      </c>
    </row>
    <row r="3" spans="1:7" x14ac:dyDescent="0.35">
      <c r="A3" s="461" t="s">
        <v>242</v>
      </c>
      <c r="B3" s="461" t="s">
        <v>100</v>
      </c>
      <c r="C3" s="461">
        <v>109</v>
      </c>
      <c r="D3" s="461">
        <v>134</v>
      </c>
      <c r="E3" s="461"/>
      <c r="F3" s="461">
        <v>16</v>
      </c>
      <c r="G3" s="461">
        <v>12</v>
      </c>
    </row>
    <row r="4" spans="1:7" x14ac:dyDescent="0.35">
      <c r="A4" s="461" t="s">
        <v>242</v>
      </c>
      <c r="B4" s="461" t="s">
        <v>177</v>
      </c>
      <c r="C4" s="461">
        <v>789</v>
      </c>
      <c r="D4" s="461">
        <v>429</v>
      </c>
      <c r="E4" s="461"/>
      <c r="F4" s="461">
        <v>22</v>
      </c>
      <c r="G4" s="461">
        <v>54</v>
      </c>
    </row>
    <row r="5" spans="1:7" x14ac:dyDescent="0.35">
      <c r="A5" s="461" t="s">
        <v>242</v>
      </c>
      <c r="B5" s="461" t="s">
        <v>175</v>
      </c>
      <c r="C5" s="461">
        <v>446</v>
      </c>
      <c r="D5" s="461">
        <v>572</v>
      </c>
      <c r="E5" s="461"/>
      <c r="F5" s="461">
        <v>17</v>
      </c>
      <c r="G5" s="461">
        <v>64</v>
      </c>
    </row>
    <row r="6" spans="1:7" x14ac:dyDescent="0.35">
      <c r="A6" s="461" t="s">
        <v>242</v>
      </c>
      <c r="B6" s="461" t="s">
        <v>178</v>
      </c>
      <c r="C6" s="461">
        <v>1</v>
      </c>
      <c r="D6" s="461">
        <v>22</v>
      </c>
      <c r="E6" s="461"/>
      <c r="F6" s="461">
        <v>5</v>
      </c>
      <c r="G6" s="461">
        <v>2</v>
      </c>
    </row>
    <row r="7" spans="1:7" x14ac:dyDescent="0.35">
      <c r="A7" s="461" t="s">
        <v>242</v>
      </c>
      <c r="B7" s="461" t="s">
        <v>99</v>
      </c>
      <c r="C7" s="461">
        <v>585</v>
      </c>
      <c r="D7" s="461">
        <v>262</v>
      </c>
      <c r="E7" s="461"/>
      <c r="F7" s="461">
        <v>21</v>
      </c>
      <c r="G7" s="461">
        <v>25</v>
      </c>
    </row>
    <row r="8" spans="1:7" x14ac:dyDescent="0.35">
      <c r="A8" s="461" t="s">
        <v>242</v>
      </c>
      <c r="B8" s="461" t="s">
        <v>98</v>
      </c>
      <c r="C8" s="461">
        <v>581</v>
      </c>
      <c r="D8" s="461">
        <v>272</v>
      </c>
      <c r="E8" s="461"/>
      <c r="F8" s="461">
        <v>15</v>
      </c>
      <c r="G8" s="461">
        <v>23</v>
      </c>
    </row>
    <row r="9" spans="1:7" x14ac:dyDescent="0.35">
      <c r="A9" s="461" t="s">
        <v>242</v>
      </c>
      <c r="B9" s="461" t="s">
        <v>101</v>
      </c>
      <c r="C9" s="461">
        <v>7</v>
      </c>
      <c r="D9" s="461">
        <v>47</v>
      </c>
      <c r="E9" s="461"/>
      <c r="F9" s="461">
        <v>11</v>
      </c>
      <c r="G9" s="461">
        <v>4</v>
      </c>
    </row>
    <row r="10" spans="1:7" x14ac:dyDescent="0.35">
      <c r="A10" s="461" t="s">
        <v>242</v>
      </c>
      <c r="B10" s="461" t="s">
        <v>174</v>
      </c>
      <c r="C10" s="461">
        <v>213</v>
      </c>
      <c r="D10" s="461">
        <v>691</v>
      </c>
      <c r="E10" s="461"/>
      <c r="F10" s="461">
        <v>56</v>
      </c>
      <c r="G10" s="461">
        <v>97</v>
      </c>
    </row>
    <row r="11" spans="1:7" x14ac:dyDescent="0.35">
      <c r="A11" s="461" t="s">
        <v>241</v>
      </c>
      <c r="B11" s="461" t="s">
        <v>176</v>
      </c>
      <c r="C11" s="461">
        <v>879</v>
      </c>
      <c r="D11" s="461">
        <v>439</v>
      </c>
      <c r="E11" s="461">
        <v>3</v>
      </c>
      <c r="F11" s="461">
        <v>30</v>
      </c>
      <c r="G11" s="461">
        <v>47</v>
      </c>
    </row>
    <row r="12" spans="1:7" x14ac:dyDescent="0.35">
      <c r="A12" s="461" t="s">
        <v>241</v>
      </c>
      <c r="B12" s="461" t="s">
        <v>100</v>
      </c>
      <c r="C12" s="461">
        <v>99</v>
      </c>
      <c r="D12" s="461">
        <v>155</v>
      </c>
      <c r="E12" s="461">
        <v>3</v>
      </c>
      <c r="F12" s="461">
        <v>19</v>
      </c>
      <c r="G12" s="461">
        <v>15</v>
      </c>
    </row>
    <row r="13" spans="1:7" x14ac:dyDescent="0.35">
      <c r="A13" s="461" t="s">
        <v>241</v>
      </c>
      <c r="B13" s="461" t="s">
        <v>101</v>
      </c>
      <c r="C13" s="461">
        <v>4</v>
      </c>
      <c r="D13" s="461">
        <v>52</v>
      </c>
      <c r="E13" s="461">
        <v>1</v>
      </c>
      <c r="F13" s="461">
        <v>9</v>
      </c>
      <c r="G13" s="461">
        <v>1</v>
      </c>
    </row>
    <row r="14" spans="1:7" x14ac:dyDescent="0.35">
      <c r="A14" s="461" t="s">
        <v>241</v>
      </c>
      <c r="B14" s="461" t="s">
        <v>178</v>
      </c>
      <c r="C14" s="461">
        <v>3</v>
      </c>
      <c r="D14" s="461">
        <v>23</v>
      </c>
      <c r="E14" s="461"/>
      <c r="F14" s="461">
        <v>4</v>
      </c>
      <c r="G14" s="461">
        <v>4</v>
      </c>
    </row>
    <row r="15" spans="1:7" x14ac:dyDescent="0.35">
      <c r="A15" s="461" t="s">
        <v>241</v>
      </c>
      <c r="B15" s="461" t="s">
        <v>177</v>
      </c>
      <c r="C15" s="461">
        <v>781</v>
      </c>
      <c r="D15" s="461">
        <v>401</v>
      </c>
      <c r="E15" s="461">
        <v>4</v>
      </c>
      <c r="F15" s="461">
        <v>19</v>
      </c>
      <c r="G15" s="461">
        <v>54</v>
      </c>
    </row>
    <row r="16" spans="1:7" x14ac:dyDescent="0.35">
      <c r="A16" s="461" t="s">
        <v>241</v>
      </c>
      <c r="B16" s="461" t="s">
        <v>99</v>
      </c>
      <c r="C16" s="461">
        <v>551</v>
      </c>
      <c r="D16" s="461">
        <v>246</v>
      </c>
      <c r="E16" s="461">
        <v>2</v>
      </c>
      <c r="F16" s="461">
        <v>19</v>
      </c>
      <c r="G16" s="461">
        <v>22</v>
      </c>
    </row>
    <row r="17" spans="1:7" x14ac:dyDescent="0.35">
      <c r="A17" s="461" t="s">
        <v>241</v>
      </c>
      <c r="B17" s="461" t="s">
        <v>98</v>
      </c>
      <c r="C17" s="461">
        <v>589</v>
      </c>
      <c r="D17" s="461">
        <v>291</v>
      </c>
      <c r="E17" s="461">
        <v>3</v>
      </c>
      <c r="F17" s="461">
        <v>18</v>
      </c>
      <c r="G17" s="461">
        <v>25</v>
      </c>
    </row>
    <row r="18" spans="1:7" x14ac:dyDescent="0.35">
      <c r="A18" s="461" t="s">
        <v>241</v>
      </c>
      <c r="B18" s="461" t="s">
        <v>175</v>
      </c>
      <c r="C18" s="461">
        <v>325</v>
      </c>
      <c r="D18" s="461">
        <v>580</v>
      </c>
      <c r="E18" s="461">
        <v>1</v>
      </c>
      <c r="F18" s="461">
        <v>27</v>
      </c>
      <c r="G18" s="461">
        <v>53</v>
      </c>
    </row>
    <row r="19" spans="1:7" x14ac:dyDescent="0.35">
      <c r="A19" s="461" t="s">
        <v>241</v>
      </c>
      <c r="B19" s="461" t="s">
        <v>174</v>
      </c>
      <c r="C19" s="461">
        <v>406</v>
      </c>
      <c r="D19" s="461">
        <v>748</v>
      </c>
      <c r="E19" s="461">
        <v>1</v>
      </c>
      <c r="F19" s="461">
        <v>62</v>
      </c>
      <c r="G19" s="461">
        <v>96</v>
      </c>
    </row>
    <row r="20" spans="1:7" x14ac:dyDescent="0.35">
      <c r="A20" s="461" t="s">
        <v>773</v>
      </c>
      <c r="B20" s="461" t="s">
        <v>178</v>
      </c>
      <c r="C20" s="461">
        <v>4</v>
      </c>
      <c r="D20" s="461">
        <v>28</v>
      </c>
      <c r="E20" s="461"/>
      <c r="F20" s="461">
        <v>7</v>
      </c>
      <c r="G20" s="461">
        <v>4</v>
      </c>
    </row>
    <row r="21" spans="1:7" x14ac:dyDescent="0.35">
      <c r="A21" s="461" t="s">
        <v>773</v>
      </c>
      <c r="B21" s="461" t="s">
        <v>100</v>
      </c>
      <c r="C21" s="461">
        <v>78</v>
      </c>
      <c r="D21" s="461">
        <v>156</v>
      </c>
      <c r="E21" s="461">
        <v>4</v>
      </c>
      <c r="F21" s="461">
        <v>20</v>
      </c>
      <c r="G21" s="461">
        <v>16</v>
      </c>
    </row>
    <row r="22" spans="1:7" x14ac:dyDescent="0.35">
      <c r="A22" s="461" t="s">
        <v>773</v>
      </c>
      <c r="B22" s="461" t="s">
        <v>177</v>
      </c>
      <c r="C22" s="461">
        <v>784</v>
      </c>
      <c r="D22" s="461">
        <v>395</v>
      </c>
      <c r="E22" s="461">
        <v>5</v>
      </c>
      <c r="F22" s="461">
        <v>23</v>
      </c>
      <c r="G22" s="461">
        <v>43</v>
      </c>
    </row>
    <row r="23" spans="1:7" x14ac:dyDescent="0.35">
      <c r="A23" s="461" t="s">
        <v>773</v>
      </c>
      <c r="B23" s="461" t="s">
        <v>174</v>
      </c>
      <c r="C23" s="461">
        <v>536</v>
      </c>
      <c r="D23" s="461">
        <v>801</v>
      </c>
      <c r="E23" s="461">
        <v>1</v>
      </c>
      <c r="F23" s="461">
        <v>54</v>
      </c>
      <c r="G23" s="461">
        <v>97</v>
      </c>
    </row>
    <row r="24" spans="1:7" x14ac:dyDescent="0.35">
      <c r="A24" s="461" t="s">
        <v>773</v>
      </c>
      <c r="B24" s="461" t="s">
        <v>98</v>
      </c>
      <c r="C24" s="461">
        <v>641</v>
      </c>
      <c r="D24" s="461">
        <v>289</v>
      </c>
      <c r="E24" s="461">
        <v>5</v>
      </c>
      <c r="F24" s="461">
        <v>15</v>
      </c>
      <c r="G24" s="461">
        <v>36</v>
      </c>
    </row>
    <row r="25" spans="1:7" x14ac:dyDescent="0.35">
      <c r="A25" s="461" t="s">
        <v>773</v>
      </c>
      <c r="B25" s="461" t="s">
        <v>175</v>
      </c>
      <c r="C25" s="461">
        <v>330</v>
      </c>
      <c r="D25" s="461">
        <v>556</v>
      </c>
      <c r="E25" s="461">
        <v>5</v>
      </c>
      <c r="F25" s="461">
        <v>26</v>
      </c>
      <c r="G25" s="461">
        <v>55</v>
      </c>
    </row>
    <row r="26" spans="1:7" x14ac:dyDescent="0.35">
      <c r="A26" s="461" t="s">
        <v>773</v>
      </c>
      <c r="B26" s="461" t="s">
        <v>176</v>
      </c>
      <c r="C26" s="461">
        <v>742</v>
      </c>
      <c r="D26" s="461">
        <v>432</v>
      </c>
      <c r="E26" s="461">
        <v>10</v>
      </c>
      <c r="F26" s="461">
        <v>25</v>
      </c>
      <c r="G26" s="461">
        <v>41</v>
      </c>
    </row>
    <row r="27" spans="1:7" x14ac:dyDescent="0.35">
      <c r="A27" s="461" t="s">
        <v>773</v>
      </c>
      <c r="B27" s="461" t="s">
        <v>99</v>
      </c>
      <c r="C27" s="461">
        <v>516</v>
      </c>
      <c r="D27" s="461">
        <v>223</v>
      </c>
      <c r="E27" s="461">
        <v>3</v>
      </c>
      <c r="F27" s="461">
        <v>15</v>
      </c>
      <c r="G27" s="461">
        <v>21</v>
      </c>
    </row>
    <row r="28" spans="1:7" x14ac:dyDescent="0.35">
      <c r="A28" s="461" t="s">
        <v>773</v>
      </c>
      <c r="B28" s="461" t="s">
        <v>101</v>
      </c>
      <c r="C28" s="461">
        <v>5</v>
      </c>
      <c r="D28" s="461">
        <v>57</v>
      </c>
      <c r="E28" s="461">
        <v>3</v>
      </c>
      <c r="F28" s="461">
        <v>3</v>
      </c>
      <c r="G28" s="461">
        <v>2</v>
      </c>
    </row>
    <row r="29" spans="1:7" x14ac:dyDescent="0.35">
      <c r="A29" s="461" t="s">
        <v>951</v>
      </c>
      <c r="B29" s="461" t="s">
        <v>100</v>
      </c>
      <c r="C29" s="461">
        <v>82</v>
      </c>
      <c r="D29" s="461">
        <v>155</v>
      </c>
      <c r="E29" s="461">
        <v>7</v>
      </c>
      <c r="F29" s="461">
        <v>21</v>
      </c>
      <c r="G29" s="461">
        <v>14</v>
      </c>
    </row>
    <row r="30" spans="1:7" x14ac:dyDescent="0.35">
      <c r="A30" s="461" t="s">
        <v>951</v>
      </c>
      <c r="B30" s="461" t="s">
        <v>98</v>
      </c>
      <c r="C30" s="461">
        <v>656</v>
      </c>
      <c r="D30" s="461">
        <v>300</v>
      </c>
      <c r="E30" s="461">
        <v>5</v>
      </c>
      <c r="F30" s="461">
        <v>9</v>
      </c>
      <c r="G30" s="461">
        <v>36</v>
      </c>
    </row>
    <row r="31" spans="1:7" x14ac:dyDescent="0.35">
      <c r="A31" s="461" t="s">
        <v>951</v>
      </c>
      <c r="B31" s="461" t="s">
        <v>175</v>
      </c>
      <c r="C31" s="461">
        <v>287</v>
      </c>
      <c r="D31" s="461">
        <v>532</v>
      </c>
      <c r="E31" s="461">
        <v>6</v>
      </c>
      <c r="F31" s="461">
        <v>39</v>
      </c>
      <c r="G31" s="461">
        <v>60</v>
      </c>
    </row>
    <row r="32" spans="1:7" x14ac:dyDescent="0.35">
      <c r="A32" s="461" t="s">
        <v>951</v>
      </c>
      <c r="B32" s="461" t="s">
        <v>99</v>
      </c>
      <c r="C32" s="461">
        <v>501</v>
      </c>
      <c r="D32" s="461">
        <v>212</v>
      </c>
      <c r="E32" s="461">
        <v>6</v>
      </c>
      <c r="F32" s="461">
        <v>16</v>
      </c>
      <c r="G32" s="461">
        <v>23</v>
      </c>
    </row>
    <row r="33" spans="1:7" x14ac:dyDescent="0.35">
      <c r="A33" s="461" t="s">
        <v>951</v>
      </c>
      <c r="B33" s="461" t="s">
        <v>178</v>
      </c>
      <c r="C33" s="461">
        <v>2</v>
      </c>
      <c r="D33" s="461">
        <v>27</v>
      </c>
      <c r="E33" s="461"/>
      <c r="F33" s="461">
        <v>3</v>
      </c>
      <c r="G33" s="461">
        <v>5</v>
      </c>
    </row>
    <row r="34" spans="1:7" x14ac:dyDescent="0.35">
      <c r="A34" s="461" t="s">
        <v>951</v>
      </c>
      <c r="B34" s="461" t="s">
        <v>174</v>
      </c>
      <c r="C34" s="461">
        <v>595</v>
      </c>
      <c r="D34" s="461">
        <v>791</v>
      </c>
      <c r="E34" s="461">
        <v>3</v>
      </c>
      <c r="F34" s="461">
        <v>44</v>
      </c>
      <c r="G34" s="461">
        <v>78</v>
      </c>
    </row>
    <row r="35" spans="1:7" x14ac:dyDescent="0.35">
      <c r="A35" s="461" t="s">
        <v>951</v>
      </c>
      <c r="B35" s="461" t="s">
        <v>176</v>
      </c>
      <c r="C35" s="461">
        <v>652</v>
      </c>
      <c r="D35" s="461">
        <v>413</v>
      </c>
      <c r="E35" s="461">
        <v>13</v>
      </c>
      <c r="F35" s="461">
        <v>22</v>
      </c>
      <c r="G35" s="461">
        <v>35</v>
      </c>
    </row>
    <row r="36" spans="1:7" x14ac:dyDescent="0.35">
      <c r="A36" s="461" t="s">
        <v>951</v>
      </c>
      <c r="B36" s="461" t="s">
        <v>177</v>
      </c>
      <c r="C36" s="461">
        <v>807</v>
      </c>
      <c r="D36" s="461">
        <v>376</v>
      </c>
      <c r="E36" s="461">
        <v>10</v>
      </c>
      <c r="F36" s="461">
        <v>23</v>
      </c>
      <c r="G36" s="461">
        <v>49</v>
      </c>
    </row>
    <row r="37" spans="1:7" x14ac:dyDescent="0.35">
      <c r="A37" s="461" t="s">
        <v>951</v>
      </c>
      <c r="B37" s="461" t="s">
        <v>101</v>
      </c>
      <c r="C37" s="461">
        <v>2</v>
      </c>
      <c r="D37" s="461">
        <v>66</v>
      </c>
      <c r="E37" s="461">
        <v>4</v>
      </c>
      <c r="F37" s="461">
        <v>5</v>
      </c>
      <c r="G37" s="461">
        <v>3</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46"/>
  <sheetViews>
    <sheetView showGridLines="0" workbookViewId="0">
      <pane ySplit="2" topLeftCell="A3" activePane="bottomLeft" state="frozen"/>
      <selection pane="bottomLeft" sqref="A1:C1"/>
    </sheetView>
  </sheetViews>
  <sheetFormatPr defaultRowHeight="14.5" x14ac:dyDescent="0.35"/>
  <cols>
    <col min="1" max="1" width="23.54296875" customWidth="1"/>
    <col min="2" max="3" width="14.1796875" customWidth="1"/>
    <col min="4" max="4" width="12.54296875" customWidth="1"/>
    <col min="5" max="5" width="14.1796875" customWidth="1"/>
    <col min="6" max="7" width="14.1796875" style="542" customWidth="1"/>
  </cols>
  <sheetData>
    <row r="1" spans="1:7" ht="15.5" x14ac:dyDescent="0.35">
      <c r="A1" s="1160" t="s">
        <v>439</v>
      </c>
      <c r="B1" s="1160"/>
      <c r="C1" s="1160"/>
      <c r="D1" s="693"/>
    </row>
    <row r="2" spans="1:7" x14ac:dyDescent="0.35">
      <c r="A2" s="601" t="s">
        <v>509</v>
      </c>
    </row>
    <row r="3" spans="1:7" x14ac:dyDescent="0.35">
      <c r="A3" s="28"/>
      <c r="B3" s="28"/>
      <c r="C3" s="28"/>
      <c r="D3" s="28"/>
      <c r="E3" s="177"/>
    </row>
    <row r="4" spans="1:7" ht="18.75" customHeight="1" x14ac:dyDescent="0.35">
      <c r="A4" s="1178" t="s">
        <v>476</v>
      </c>
      <c r="B4" s="1178"/>
      <c r="C4" s="1178"/>
      <c r="D4" s="1178"/>
      <c r="E4" s="1178"/>
      <c r="F4" s="1178"/>
      <c r="G4" s="1178"/>
    </row>
    <row r="5" spans="1:7" ht="18.75" customHeight="1" x14ac:dyDescent="0.35">
      <c r="A5" t="s">
        <v>474</v>
      </c>
      <c r="B5" s="509"/>
      <c r="C5" s="509"/>
      <c r="D5" s="695"/>
      <c r="E5" s="509"/>
      <c r="F5" s="509"/>
      <c r="G5" s="509"/>
    </row>
    <row r="6" spans="1:7" ht="15" customHeight="1" x14ac:dyDescent="0.35">
      <c r="A6" t="s">
        <v>320</v>
      </c>
      <c r="B6" t="s">
        <v>686</v>
      </c>
      <c r="C6" s="509"/>
      <c r="D6" s="695"/>
      <c r="E6" s="509"/>
      <c r="F6" s="509"/>
      <c r="G6" s="509"/>
    </row>
    <row r="7" spans="1:7" ht="15" customHeight="1" x14ac:dyDescent="0.35">
      <c r="A7" t="s">
        <v>321</v>
      </c>
      <c r="B7" t="s">
        <v>323</v>
      </c>
      <c r="C7" s="509"/>
      <c r="D7" s="695"/>
      <c r="E7" s="509"/>
      <c r="F7" s="509"/>
      <c r="G7" s="509"/>
    </row>
    <row r="8" spans="1:7" ht="15" customHeight="1" x14ac:dyDescent="0.35">
      <c r="A8" t="s">
        <v>322</v>
      </c>
      <c r="B8" t="s">
        <v>324</v>
      </c>
      <c r="C8" s="509"/>
      <c r="D8" s="695"/>
      <c r="E8" s="509"/>
      <c r="F8" s="509"/>
      <c r="G8" s="509"/>
    </row>
    <row r="9" spans="1:7" ht="36" customHeight="1" x14ac:dyDescent="0.35">
      <c r="A9" s="17" t="s">
        <v>179</v>
      </c>
      <c r="B9" s="3" t="s">
        <v>82</v>
      </c>
      <c r="C9" s="178" t="s">
        <v>28</v>
      </c>
      <c r="D9" s="178" t="s">
        <v>849</v>
      </c>
      <c r="E9" s="3" t="s">
        <v>2</v>
      </c>
      <c r="F9" s="3" t="s">
        <v>29</v>
      </c>
      <c r="G9" s="3" t="s">
        <v>356</v>
      </c>
    </row>
    <row r="10" spans="1:7" x14ac:dyDescent="0.35">
      <c r="A10" s="179" t="s">
        <v>174</v>
      </c>
      <c r="B10" s="789">
        <f>servicepivot!B12</f>
        <v>595</v>
      </c>
      <c r="C10" s="789">
        <f>servicepivot!C12</f>
        <v>791</v>
      </c>
      <c r="D10" s="789">
        <f>servicepivot!D12</f>
        <v>3</v>
      </c>
      <c r="E10" s="789">
        <f>servicepivot!E12</f>
        <v>44</v>
      </c>
      <c r="F10" s="789">
        <f>servicepivot!F12</f>
        <v>78</v>
      </c>
      <c r="G10" s="1091">
        <f>SUM(B10:F10)</f>
        <v>1511</v>
      </c>
    </row>
    <row r="11" spans="1:7" x14ac:dyDescent="0.35">
      <c r="A11" s="367" t="s">
        <v>175</v>
      </c>
      <c r="B11" s="789">
        <f>servicepivot!B10</f>
        <v>287</v>
      </c>
      <c r="C11" s="789">
        <f>servicepivot!C10</f>
        <v>532</v>
      </c>
      <c r="D11" s="789">
        <f>servicepivot!D10</f>
        <v>6</v>
      </c>
      <c r="E11" s="789">
        <f>servicepivot!E10</f>
        <v>39</v>
      </c>
      <c r="F11" s="789">
        <f>servicepivot!F10</f>
        <v>60</v>
      </c>
      <c r="G11" s="1091">
        <f t="shared" ref="G11:G18" si="0">SUM(B11:F11)</f>
        <v>924</v>
      </c>
    </row>
    <row r="12" spans="1:7" x14ac:dyDescent="0.35">
      <c r="A12" s="367" t="s">
        <v>176</v>
      </c>
      <c r="B12" s="789">
        <f>servicepivot!B4</f>
        <v>652</v>
      </c>
      <c r="C12" s="789">
        <f>servicepivot!C4</f>
        <v>413</v>
      </c>
      <c r="D12" s="789">
        <f>servicepivot!D4</f>
        <v>13</v>
      </c>
      <c r="E12" s="789">
        <f>servicepivot!E4</f>
        <v>22</v>
      </c>
      <c r="F12" s="789">
        <f>servicepivot!F4</f>
        <v>35</v>
      </c>
      <c r="G12" s="1091">
        <f t="shared" si="0"/>
        <v>1135</v>
      </c>
    </row>
    <row r="13" spans="1:7" x14ac:dyDescent="0.35">
      <c r="A13" s="367" t="s">
        <v>177</v>
      </c>
      <c r="B13" s="789">
        <f>servicepivot!B5</f>
        <v>807</v>
      </c>
      <c r="C13" s="789">
        <f>servicepivot!C5</f>
        <v>376</v>
      </c>
      <c r="D13" s="789">
        <f>servicepivot!D5</f>
        <v>10</v>
      </c>
      <c r="E13" s="789">
        <f>servicepivot!E5</f>
        <v>23</v>
      </c>
      <c r="F13" s="789">
        <f>servicepivot!F5</f>
        <v>49</v>
      </c>
      <c r="G13" s="1091">
        <f t="shared" si="0"/>
        <v>1265</v>
      </c>
    </row>
    <row r="14" spans="1:7" x14ac:dyDescent="0.35">
      <c r="A14" s="367" t="s">
        <v>98</v>
      </c>
      <c r="B14" s="789">
        <f>servicepivot!B6</f>
        <v>656</v>
      </c>
      <c r="C14" s="789">
        <f>servicepivot!C6</f>
        <v>300</v>
      </c>
      <c r="D14" s="789">
        <f>servicepivot!D6</f>
        <v>5</v>
      </c>
      <c r="E14" s="789">
        <f>servicepivot!E6</f>
        <v>9</v>
      </c>
      <c r="F14" s="789">
        <f>servicepivot!F6</f>
        <v>36</v>
      </c>
      <c r="G14" s="1091">
        <f t="shared" si="0"/>
        <v>1006</v>
      </c>
    </row>
    <row r="15" spans="1:7" x14ac:dyDescent="0.35">
      <c r="A15" s="367" t="s">
        <v>99</v>
      </c>
      <c r="B15" s="789">
        <f>servicepivot!B7</f>
        <v>501</v>
      </c>
      <c r="C15" s="789">
        <f>servicepivot!C7</f>
        <v>212</v>
      </c>
      <c r="D15" s="789">
        <f>servicepivot!D7</f>
        <v>6</v>
      </c>
      <c r="E15" s="789">
        <f>servicepivot!E7</f>
        <v>16</v>
      </c>
      <c r="F15" s="789">
        <f>servicepivot!F7</f>
        <v>23</v>
      </c>
      <c r="G15" s="1091">
        <f t="shared" si="0"/>
        <v>758</v>
      </c>
    </row>
    <row r="16" spans="1:7" x14ac:dyDescent="0.35">
      <c r="A16" s="367" t="s">
        <v>100</v>
      </c>
      <c r="B16" s="789">
        <f>servicepivot!B8</f>
        <v>82</v>
      </c>
      <c r="C16" s="789">
        <f>servicepivot!C8</f>
        <v>155</v>
      </c>
      <c r="D16" s="789">
        <f>servicepivot!D8</f>
        <v>7</v>
      </c>
      <c r="E16" s="789">
        <f>servicepivot!E8</f>
        <v>21</v>
      </c>
      <c r="F16" s="789">
        <f>servicepivot!F8</f>
        <v>14</v>
      </c>
      <c r="G16" s="1091">
        <f t="shared" si="0"/>
        <v>279</v>
      </c>
    </row>
    <row r="17" spans="1:7" x14ac:dyDescent="0.35">
      <c r="A17" s="367" t="s">
        <v>101</v>
      </c>
      <c r="B17" s="789">
        <f>servicepivot!B9</f>
        <v>2</v>
      </c>
      <c r="C17" s="789">
        <f>servicepivot!C9</f>
        <v>66</v>
      </c>
      <c r="D17" s="789">
        <f>servicepivot!D9</f>
        <v>4</v>
      </c>
      <c r="E17" s="789">
        <f>servicepivot!E9</f>
        <v>5</v>
      </c>
      <c r="F17" s="789">
        <f>servicepivot!F9</f>
        <v>3</v>
      </c>
      <c r="G17" s="1091">
        <f t="shared" si="0"/>
        <v>80</v>
      </c>
    </row>
    <row r="18" spans="1:7" x14ac:dyDescent="0.35">
      <c r="A18" s="367" t="s">
        <v>178</v>
      </c>
      <c r="B18" s="789">
        <f>servicepivot!B11</f>
        <v>2</v>
      </c>
      <c r="C18" s="789">
        <f>servicepivot!C11</f>
        <v>27</v>
      </c>
      <c r="D18" s="789">
        <f>servicepivot!D11</f>
        <v>0</v>
      </c>
      <c r="E18" s="789">
        <f>servicepivot!E11</f>
        <v>3</v>
      </c>
      <c r="F18" s="789">
        <f>servicepivot!F11</f>
        <v>5</v>
      </c>
      <c r="G18" s="1091">
        <f t="shared" si="0"/>
        <v>37</v>
      </c>
    </row>
    <row r="19" spans="1:7" ht="15" thickBot="1" x14ac:dyDescent="0.4">
      <c r="A19" s="181" t="s">
        <v>17</v>
      </c>
      <c r="B19" s="182">
        <f t="shared" ref="B19:G19" si="1">SUM(B10:B18)</f>
        <v>3584</v>
      </c>
      <c r="C19" s="182">
        <f t="shared" si="1"/>
        <v>2872</v>
      </c>
      <c r="D19" s="182">
        <f t="shared" si="1"/>
        <v>54</v>
      </c>
      <c r="E19" s="182">
        <f t="shared" si="1"/>
        <v>182</v>
      </c>
      <c r="F19" s="182">
        <f t="shared" si="1"/>
        <v>303</v>
      </c>
      <c r="G19" s="182">
        <f t="shared" si="1"/>
        <v>6995</v>
      </c>
    </row>
    <row r="21" spans="1:7" ht="15" customHeight="1" x14ac:dyDescent="0.35">
      <c r="A21" s="368" t="s">
        <v>8</v>
      </c>
    </row>
    <row r="22" spans="1:7" ht="30" customHeight="1" x14ac:dyDescent="0.35">
      <c r="A22" s="1159" t="s">
        <v>223</v>
      </c>
      <c r="B22" s="1159"/>
      <c r="C22" s="1159"/>
      <c r="D22" s="1159"/>
      <c r="E22" s="1159"/>
      <c r="F22" s="1159"/>
      <c r="G22" s="1159"/>
    </row>
    <row r="23" spans="1:7" x14ac:dyDescent="0.35">
      <c r="A23" t="s">
        <v>222</v>
      </c>
    </row>
    <row r="24" spans="1:7" x14ac:dyDescent="0.35">
      <c r="A24" t="s">
        <v>477</v>
      </c>
    </row>
    <row r="26" spans="1:7" ht="17.25" customHeight="1" x14ac:dyDescent="0.35">
      <c r="A26" s="1178" t="s">
        <v>475</v>
      </c>
      <c r="B26" s="1178"/>
      <c r="C26" s="1178"/>
      <c r="D26" s="1178"/>
      <c r="E26" s="1178"/>
      <c r="F26" s="1178"/>
      <c r="G26" s="1178"/>
    </row>
    <row r="27" spans="1:7" ht="15" customHeight="1" x14ac:dyDescent="0.35">
      <c r="A27" t="s">
        <v>474</v>
      </c>
      <c r="B27" s="509"/>
      <c r="C27" s="509"/>
      <c r="D27" s="695"/>
      <c r="E27" s="509"/>
      <c r="F27" s="509"/>
      <c r="G27" s="509"/>
    </row>
    <row r="28" spans="1:7" ht="15" customHeight="1" x14ac:dyDescent="0.35">
      <c r="A28" t="s">
        <v>320</v>
      </c>
      <c r="B28" t="s">
        <v>687</v>
      </c>
      <c r="C28" s="509"/>
      <c r="D28" s="695"/>
      <c r="E28" s="509"/>
      <c r="F28" s="509"/>
      <c r="G28" s="509"/>
    </row>
    <row r="29" spans="1:7" ht="15" customHeight="1" x14ac:dyDescent="0.35">
      <c r="A29" t="s">
        <v>321</v>
      </c>
      <c r="B29" t="s">
        <v>323</v>
      </c>
      <c r="C29" s="509"/>
      <c r="D29" s="695"/>
      <c r="E29" s="509"/>
      <c r="F29" s="509"/>
      <c r="G29" s="509"/>
    </row>
    <row r="30" spans="1:7" ht="15" customHeight="1" x14ac:dyDescent="0.35">
      <c r="A30" t="s">
        <v>322</v>
      </c>
      <c r="B30" t="s">
        <v>324</v>
      </c>
      <c r="C30" s="509"/>
      <c r="D30" s="695"/>
      <c r="E30" s="509"/>
      <c r="F30" s="509"/>
      <c r="G30" s="509"/>
    </row>
    <row r="31" spans="1:7" ht="36.75" customHeight="1" x14ac:dyDescent="0.35">
      <c r="A31" s="17" t="s">
        <v>179</v>
      </c>
      <c r="B31" s="184" t="s">
        <v>82</v>
      </c>
      <c r="C31" s="184" t="s">
        <v>28</v>
      </c>
      <c r="D31" s="178" t="s">
        <v>849</v>
      </c>
      <c r="E31" s="184" t="s">
        <v>2</v>
      </c>
      <c r="F31" s="184" t="s">
        <v>29</v>
      </c>
      <c r="G31" s="3" t="s">
        <v>356</v>
      </c>
    </row>
    <row r="32" spans="1:7" x14ac:dyDescent="0.35">
      <c r="A32" s="179" t="s">
        <v>174</v>
      </c>
      <c r="B32" s="960">
        <f t="shared" ref="B32:G40" si="2">B10/B$19</f>
        <v>0.166015625</v>
      </c>
      <c r="C32" s="960">
        <f t="shared" si="2"/>
        <v>0.27541782729805014</v>
      </c>
      <c r="D32" s="960">
        <f t="shared" si="2"/>
        <v>5.5555555555555552E-2</v>
      </c>
      <c r="E32" s="960">
        <f t="shared" si="2"/>
        <v>0.24175824175824176</v>
      </c>
      <c r="F32" s="960">
        <f t="shared" si="2"/>
        <v>0.25742574257425743</v>
      </c>
      <c r="G32" s="961">
        <f t="shared" si="2"/>
        <v>0.21601143674052894</v>
      </c>
    </row>
    <row r="33" spans="1:7" x14ac:dyDescent="0.35">
      <c r="A33" s="367" t="s">
        <v>175</v>
      </c>
      <c r="B33" s="960">
        <f t="shared" si="2"/>
        <v>8.0078125E-2</v>
      </c>
      <c r="C33" s="960">
        <f t="shared" si="2"/>
        <v>0.18523676880222842</v>
      </c>
      <c r="D33" s="960">
        <f t="shared" si="2"/>
        <v>0.1111111111111111</v>
      </c>
      <c r="E33" s="960">
        <f t="shared" si="2"/>
        <v>0.21428571428571427</v>
      </c>
      <c r="F33" s="960">
        <f t="shared" si="2"/>
        <v>0.19801980198019803</v>
      </c>
      <c r="G33" s="961">
        <f t="shared" si="2"/>
        <v>0.13209435310936382</v>
      </c>
    </row>
    <row r="34" spans="1:7" x14ac:dyDescent="0.35">
      <c r="A34" s="367" t="s">
        <v>176</v>
      </c>
      <c r="B34" s="960">
        <f t="shared" si="2"/>
        <v>0.18191964285714285</v>
      </c>
      <c r="C34" s="960">
        <f t="shared" si="2"/>
        <v>0.14380222841225626</v>
      </c>
      <c r="D34" s="960">
        <f t="shared" si="2"/>
        <v>0.24074074074074073</v>
      </c>
      <c r="E34" s="960">
        <f t="shared" si="2"/>
        <v>0.12087912087912088</v>
      </c>
      <c r="F34" s="960">
        <f t="shared" si="2"/>
        <v>0.11551155115511551</v>
      </c>
      <c r="G34" s="961">
        <f t="shared" si="2"/>
        <v>0.16225875625446748</v>
      </c>
    </row>
    <row r="35" spans="1:7" x14ac:dyDescent="0.35">
      <c r="A35" s="367" t="s">
        <v>177</v>
      </c>
      <c r="B35" s="960">
        <f t="shared" si="2"/>
        <v>0.22516741071428573</v>
      </c>
      <c r="C35" s="960">
        <f t="shared" si="2"/>
        <v>0.1309192200557103</v>
      </c>
      <c r="D35" s="960">
        <f t="shared" si="2"/>
        <v>0.18518518518518517</v>
      </c>
      <c r="E35" s="960">
        <f t="shared" si="2"/>
        <v>0.12637362637362637</v>
      </c>
      <c r="F35" s="960">
        <f t="shared" si="2"/>
        <v>0.1617161716171617</v>
      </c>
      <c r="G35" s="961">
        <f t="shared" si="2"/>
        <v>0.18084345961400999</v>
      </c>
    </row>
    <row r="36" spans="1:7" x14ac:dyDescent="0.35">
      <c r="A36" s="367" t="s">
        <v>98</v>
      </c>
      <c r="B36" s="960">
        <f t="shared" si="2"/>
        <v>0.18303571428571427</v>
      </c>
      <c r="C36" s="960">
        <f t="shared" si="2"/>
        <v>0.10445682451253482</v>
      </c>
      <c r="D36" s="960">
        <f t="shared" si="2"/>
        <v>9.2592592592592587E-2</v>
      </c>
      <c r="E36" s="960">
        <f t="shared" si="2"/>
        <v>4.9450549450549448E-2</v>
      </c>
      <c r="F36" s="960">
        <f t="shared" si="2"/>
        <v>0.11881188118811881</v>
      </c>
      <c r="G36" s="961">
        <f t="shared" si="2"/>
        <v>0.1438170121515368</v>
      </c>
    </row>
    <row r="37" spans="1:7" x14ac:dyDescent="0.35">
      <c r="A37" s="367" t="s">
        <v>99</v>
      </c>
      <c r="B37" s="960">
        <f t="shared" si="2"/>
        <v>0.13978794642857142</v>
      </c>
      <c r="C37" s="960">
        <f t="shared" si="2"/>
        <v>7.3816155988857934E-2</v>
      </c>
      <c r="D37" s="960">
        <f t="shared" si="2"/>
        <v>0.1111111111111111</v>
      </c>
      <c r="E37" s="960">
        <f t="shared" si="2"/>
        <v>8.7912087912087919E-2</v>
      </c>
      <c r="F37" s="960">
        <f t="shared" si="2"/>
        <v>7.590759075907591E-2</v>
      </c>
      <c r="G37" s="961">
        <f t="shared" si="2"/>
        <v>0.10836311651179414</v>
      </c>
    </row>
    <row r="38" spans="1:7" x14ac:dyDescent="0.35">
      <c r="A38" s="367" t="s">
        <v>100</v>
      </c>
      <c r="B38" s="960">
        <f t="shared" si="2"/>
        <v>2.2879464285714284E-2</v>
      </c>
      <c r="C38" s="960">
        <f t="shared" si="2"/>
        <v>5.396935933147632E-2</v>
      </c>
      <c r="D38" s="960">
        <f t="shared" si="2"/>
        <v>0.12962962962962962</v>
      </c>
      <c r="E38" s="960">
        <f t="shared" si="2"/>
        <v>0.11538461538461539</v>
      </c>
      <c r="F38" s="960">
        <f t="shared" si="2"/>
        <v>4.6204620462046202E-2</v>
      </c>
      <c r="G38" s="961">
        <f t="shared" si="2"/>
        <v>3.9885632594710507E-2</v>
      </c>
    </row>
    <row r="39" spans="1:7" x14ac:dyDescent="0.35">
      <c r="A39" s="367" t="s">
        <v>101</v>
      </c>
      <c r="B39" s="960">
        <f t="shared" si="2"/>
        <v>5.5803571428571425E-4</v>
      </c>
      <c r="C39" s="960">
        <f t="shared" si="2"/>
        <v>2.298050139275766E-2</v>
      </c>
      <c r="D39" s="960">
        <f t="shared" si="2"/>
        <v>7.407407407407407E-2</v>
      </c>
      <c r="E39" s="960">
        <f t="shared" si="2"/>
        <v>2.7472527472527472E-2</v>
      </c>
      <c r="F39" s="960">
        <f t="shared" si="2"/>
        <v>9.9009900990099011E-3</v>
      </c>
      <c r="G39" s="961">
        <f t="shared" si="2"/>
        <v>1.143674052894925E-2</v>
      </c>
    </row>
    <row r="40" spans="1:7" x14ac:dyDescent="0.35">
      <c r="A40" s="367" t="s">
        <v>178</v>
      </c>
      <c r="B40" s="960">
        <f t="shared" si="2"/>
        <v>5.5803571428571425E-4</v>
      </c>
      <c r="C40" s="960">
        <f t="shared" si="2"/>
        <v>9.401114206128134E-3</v>
      </c>
      <c r="D40" s="960">
        <f t="shared" si="2"/>
        <v>0</v>
      </c>
      <c r="E40" s="960">
        <f t="shared" si="2"/>
        <v>1.6483516483516484E-2</v>
      </c>
      <c r="F40" s="960">
        <f t="shared" si="2"/>
        <v>1.65016501650165E-2</v>
      </c>
      <c r="G40" s="961">
        <f t="shared" si="2"/>
        <v>5.2894924946390275E-3</v>
      </c>
    </row>
    <row r="41" spans="1:7" ht="15" thickBot="1" x14ac:dyDescent="0.4">
      <c r="A41" s="181" t="s">
        <v>17</v>
      </c>
      <c r="B41" s="962">
        <f t="shared" ref="B41:G41" si="3">SUM(B32:B40)</f>
        <v>1</v>
      </c>
      <c r="C41" s="962">
        <f t="shared" si="3"/>
        <v>0.99999999999999989</v>
      </c>
      <c r="D41" s="962">
        <f t="shared" si="3"/>
        <v>1</v>
      </c>
      <c r="E41" s="962">
        <f t="shared" si="3"/>
        <v>1</v>
      </c>
      <c r="F41" s="962">
        <f t="shared" si="3"/>
        <v>1</v>
      </c>
      <c r="G41" s="962">
        <f t="shared" si="3"/>
        <v>1</v>
      </c>
    </row>
    <row r="42" spans="1:7" x14ac:dyDescent="0.35">
      <c r="A42" s="185"/>
      <c r="B42" s="190"/>
      <c r="C42" s="190"/>
      <c r="D42" s="190"/>
      <c r="E42" s="190"/>
    </row>
    <row r="43" spans="1:7" x14ac:dyDescent="0.35">
      <c r="A43" s="368" t="s">
        <v>8</v>
      </c>
      <c r="B43" s="41"/>
      <c r="C43" s="41"/>
      <c r="D43" s="41"/>
      <c r="E43" s="41"/>
    </row>
    <row r="44" spans="1:7" ht="30" customHeight="1" x14ac:dyDescent="0.35">
      <c r="A44" s="1159" t="s">
        <v>223</v>
      </c>
      <c r="B44" s="1159"/>
      <c r="C44" s="1159"/>
      <c r="D44" s="1159"/>
      <c r="E44" s="1159"/>
      <c r="F44" s="1159"/>
      <c r="G44" s="1159"/>
    </row>
    <row r="45" spans="1:7" x14ac:dyDescent="0.35">
      <c r="A45" s="395" t="s">
        <v>222</v>
      </c>
      <c r="B45" s="183"/>
      <c r="C45" s="183"/>
      <c r="D45" s="183"/>
      <c r="E45" s="183"/>
      <c r="F45" s="592"/>
      <c r="G45" s="39"/>
    </row>
    <row r="46" spans="1:7" x14ac:dyDescent="0.35">
      <c r="A46" t="s">
        <v>477</v>
      </c>
      <c r="B46" s="183"/>
      <c r="C46" s="183"/>
      <c r="D46" s="183"/>
      <c r="E46" s="183"/>
      <c r="F46" s="592"/>
      <c r="G46" s="39"/>
    </row>
  </sheetData>
  <sheetProtection algorithmName="SHA-512" hashValue="R9Mu0PRaMy8wqCVorAemmUXfY+yXHid43o8o0DNqL9VlxdL7bepq7d1lBy0HCcVJDPMKJXxs/qOuPnDMZ63RRA==" saltValue="ctJ9QRSFA58qJvDdMg214g==" spinCount="100000" sheet="1" scenarios="1" formatCells="0" formatColumns="0" formatRows="0" sort="0" autoFilter="0" pivotTables="0"/>
  <mergeCells count="5">
    <mergeCell ref="A1:C1"/>
    <mergeCell ref="A44:G44"/>
    <mergeCell ref="A4:G4"/>
    <mergeCell ref="A26:G26"/>
    <mergeCell ref="A22:G22"/>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7" orientation="portrait" r:id="rId1"/>
  <drawing r:id="rId2"/>
  <extLst>
    <ext xmlns:x14="http://schemas.microsoft.com/office/spreadsheetml/2009/9/main" uri="{A8765BA9-456A-4dab-B4F3-ACF838C121DE}">
      <x14:slicerList>
        <x14:slicer r:id="rId3"/>
      </x14:slicerList>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
  <sheetViews>
    <sheetView workbookViewId="0">
      <selection sqref="A1:E80"/>
    </sheetView>
  </sheetViews>
  <sheetFormatPr defaultRowHeight="14.5" x14ac:dyDescent="0.35"/>
  <cols>
    <col min="1" max="1" width="7.453125" bestFit="1" customWidth="1"/>
    <col min="2" max="2" width="11.7265625" bestFit="1" customWidth="1"/>
    <col min="3" max="3" width="11.81640625" bestFit="1" customWidth="1"/>
    <col min="4" max="4" width="16" bestFit="1" customWidth="1"/>
    <col min="5" max="5" width="12.08984375" bestFit="1" customWidth="1"/>
  </cols>
  <sheetData>
    <row r="1" spans="1:5" x14ac:dyDescent="0.35">
      <c r="A1" s="461" t="s">
        <v>312</v>
      </c>
      <c r="B1" s="461" t="s">
        <v>1000</v>
      </c>
      <c r="C1" s="461" t="s">
        <v>110</v>
      </c>
      <c r="D1" s="461" t="s">
        <v>111</v>
      </c>
      <c r="E1" s="461" t="s">
        <v>340</v>
      </c>
    </row>
    <row r="2" spans="1:5" x14ac:dyDescent="0.35">
      <c r="A2" s="461" t="s">
        <v>308</v>
      </c>
      <c r="B2" s="461" t="s">
        <v>2</v>
      </c>
      <c r="C2" s="461">
        <v>84.6</v>
      </c>
      <c r="D2" s="461">
        <v>0.4</v>
      </c>
      <c r="E2" s="461">
        <v>15</v>
      </c>
    </row>
    <row r="3" spans="1:5" x14ac:dyDescent="0.35">
      <c r="A3" s="461" t="s">
        <v>308</v>
      </c>
      <c r="B3" s="461" t="s">
        <v>9</v>
      </c>
      <c r="C3" s="461">
        <v>81.8</v>
      </c>
      <c r="D3" s="461">
        <v>0.2</v>
      </c>
      <c r="E3" s="461">
        <v>18</v>
      </c>
    </row>
    <row r="4" spans="1:5" x14ac:dyDescent="0.35">
      <c r="A4" s="461" t="s">
        <v>308</v>
      </c>
      <c r="B4" s="461" t="s">
        <v>3</v>
      </c>
      <c r="C4" s="461">
        <v>65.5</v>
      </c>
      <c r="D4" s="461">
        <v>1</v>
      </c>
      <c r="E4" s="461">
        <v>33.5</v>
      </c>
    </row>
    <row r="5" spans="1:5" x14ac:dyDescent="0.35">
      <c r="A5" s="461" t="s">
        <v>308</v>
      </c>
      <c r="B5" s="461" t="s">
        <v>26</v>
      </c>
      <c r="C5" s="461">
        <v>74.400000000000006</v>
      </c>
      <c r="D5" s="461">
        <v>0.6</v>
      </c>
      <c r="E5" s="461">
        <v>25</v>
      </c>
    </row>
    <row r="6" spans="1:5" x14ac:dyDescent="0.35">
      <c r="A6" s="461" t="s">
        <v>308</v>
      </c>
      <c r="B6" s="461" t="s">
        <v>307</v>
      </c>
      <c r="C6" s="461">
        <v>75</v>
      </c>
      <c r="D6" s="461">
        <v>0.6</v>
      </c>
      <c r="E6" s="461">
        <v>24.4</v>
      </c>
    </row>
    <row r="7" spans="1:5" x14ac:dyDescent="0.35">
      <c r="A7" s="461" t="s">
        <v>308</v>
      </c>
      <c r="B7" s="461" t="s">
        <v>300</v>
      </c>
      <c r="C7" s="461">
        <v>62.7</v>
      </c>
      <c r="D7" s="461">
        <v>0.2</v>
      </c>
      <c r="E7" s="461">
        <v>37</v>
      </c>
    </row>
    <row r="8" spans="1:5" x14ac:dyDescent="0.35">
      <c r="A8" s="461" t="s">
        <v>308</v>
      </c>
      <c r="B8" s="461" t="s">
        <v>301</v>
      </c>
      <c r="C8" s="461">
        <v>72.2</v>
      </c>
      <c r="D8" s="461">
        <v>0.8</v>
      </c>
      <c r="E8" s="461">
        <v>27.1</v>
      </c>
    </row>
    <row r="9" spans="1:5" x14ac:dyDescent="0.35">
      <c r="A9" s="461" t="s">
        <v>195</v>
      </c>
      <c r="B9" s="461" t="s">
        <v>2</v>
      </c>
      <c r="C9" s="461">
        <v>89.7</v>
      </c>
      <c r="D9" s="461">
        <v>0.4</v>
      </c>
      <c r="E9" s="461">
        <v>9.8000000000000007</v>
      </c>
    </row>
    <row r="10" spans="1:5" x14ac:dyDescent="0.35">
      <c r="A10" s="461" t="s">
        <v>195</v>
      </c>
      <c r="B10" s="461" t="s">
        <v>9</v>
      </c>
      <c r="C10" s="461">
        <v>80.900000000000006</v>
      </c>
      <c r="D10" s="461">
        <v>0.2</v>
      </c>
      <c r="E10" s="461">
        <v>18.899999999999999</v>
      </c>
    </row>
    <row r="11" spans="1:5" x14ac:dyDescent="0.35">
      <c r="A11" s="461" t="s">
        <v>195</v>
      </c>
      <c r="B11" s="461" t="s">
        <v>3</v>
      </c>
      <c r="C11" s="461">
        <v>78.400000000000006</v>
      </c>
      <c r="D11" s="461">
        <v>1</v>
      </c>
      <c r="E11" s="461">
        <v>20.6</v>
      </c>
    </row>
    <row r="12" spans="1:5" x14ac:dyDescent="0.35">
      <c r="A12" s="461" t="s">
        <v>195</v>
      </c>
      <c r="B12" s="461" t="s">
        <v>26</v>
      </c>
      <c r="C12" s="461">
        <v>80.099999999999994</v>
      </c>
      <c r="D12" s="461">
        <v>0.6</v>
      </c>
      <c r="E12" s="461">
        <v>19.3</v>
      </c>
    </row>
    <row r="13" spans="1:5" x14ac:dyDescent="0.35">
      <c r="A13" s="461" t="s">
        <v>195</v>
      </c>
      <c r="B13" s="461" t="s">
        <v>307</v>
      </c>
      <c r="C13" s="461">
        <v>81</v>
      </c>
      <c r="D13" s="461">
        <v>0.6</v>
      </c>
      <c r="E13" s="461">
        <v>18.399999999999999</v>
      </c>
    </row>
    <row r="14" spans="1:5" x14ac:dyDescent="0.35">
      <c r="A14" s="461" t="s">
        <v>195</v>
      </c>
      <c r="B14" s="461" t="s">
        <v>300</v>
      </c>
      <c r="C14" s="461">
        <v>61.4</v>
      </c>
      <c r="D14" s="461">
        <v>0.5</v>
      </c>
      <c r="E14" s="461">
        <v>38.1</v>
      </c>
    </row>
    <row r="15" spans="1:5" x14ac:dyDescent="0.35">
      <c r="A15" s="461" t="s">
        <v>195</v>
      </c>
      <c r="B15" s="461" t="s">
        <v>301</v>
      </c>
      <c r="C15" s="461">
        <v>81.2</v>
      </c>
      <c r="D15" s="461">
        <v>0.7</v>
      </c>
      <c r="E15" s="461">
        <v>18</v>
      </c>
    </row>
    <row r="16" spans="1:5" x14ac:dyDescent="0.35">
      <c r="A16" s="461" t="s">
        <v>194</v>
      </c>
      <c r="B16" s="461" t="s">
        <v>2</v>
      </c>
      <c r="C16" s="461">
        <v>49.3</v>
      </c>
      <c r="D16" s="461"/>
      <c r="E16" s="461">
        <v>50.7</v>
      </c>
    </row>
    <row r="17" spans="1:5" x14ac:dyDescent="0.35">
      <c r="A17" s="461" t="s">
        <v>194</v>
      </c>
      <c r="B17" s="461" t="s">
        <v>9</v>
      </c>
      <c r="C17" s="461">
        <v>69.599999999999994</v>
      </c>
      <c r="D17" s="461">
        <v>1.1000000000000001</v>
      </c>
      <c r="E17" s="461">
        <v>29.3</v>
      </c>
    </row>
    <row r="18" spans="1:5" x14ac:dyDescent="0.35">
      <c r="A18" s="461" t="s">
        <v>194</v>
      </c>
      <c r="B18" s="461" t="s">
        <v>3</v>
      </c>
      <c r="C18" s="461">
        <v>55.2</v>
      </c>
      <c r="D18" s="461">
        <v>1</v>
      </c>
      <c r="E18" s="461">
        <v>43.8</v>
      </c>
    </row>
    <row r="19" spans="1:5" x14ac:dyDescent="0.35">
      <c r="A19" s="461" t="s">
        <v>194</v>
      </c>
      <c r="B19" s="461" t="s">
        <v>26</v>
      </c>
      <c r="C19" s="461">
        <v>61.1</v>
      </c>
      <c r="D19" s="461">
        <v>0.8</v>
      </c>
      <c r="E19" s="461">
        <v>38.1</v>
      </c>
    </row>
    <row r="20" spans="1:5" x14ac:dyDescent="0.35">
      <c r="A20" s="461" t="s">
        <v>194</v>
      </c>
      <c r="B20" s="461" t="s">
        <v>307</v>
      </c>
      <c r="C20" s="461">
        <v>62.5</v>
      </c>
      <c r="D20" s="461">
        <v>0.8</v>
      </c>
      <c r="E20" s="461">
        <v>36.700000000000003</v>
      </c>
    </row>
    <row r="21" spans="1:5" x14ac:dyDescent="0.35">
      <c r="A21" s="461" t="s">
        <v>194</v>
      </c>
      <c r="B21" s="461" t="s">
        <v>300</v>
      </c>
      <c r="C21" s="461">
        <v>30.1</v>
      </c>
      <c r="D21" s="461">
        <v>0.6</v>
      </c>
      <c r="E21" s="461">
        <v>69.400000000000006</v>
      </c>
    </row>
    <row r="22" spans="1:5" x14ac:dyDescent="0.35">
      <c r="A22" s="461" t="s">
        <v>194</v>
      </c>
      <c r="B22" s="461" t="s">
        <v>301</v>
      </c>
      <c r="C22" s="461">
        <v>59.8</v>
      </c>
      <c r="D22" s="461">
        <v>0.6</v>
      </c>
      <c r="E22" s="461">
        <v>39.6</v>
      </c>
    </row>
    <row r="23" spans="1:5" x14ac:dyDescent="0.35">
      <c r="A23" s="461" t="s">
        <v>193</v>
      </c>
      <c r="B23" s="461" t="s">
        <v>2</v>
      </c>
      <c r="C23" s="461">
        <v>63</v>
      </c>
      <c r="D23" s="461">
        <v>0.4</v>
      </c>
      <c r="E23" s="461">
        <v>36.5</v>
      </c>
    </row>
    <row r="24" spans="1:5" x14ac:dyDescent="0.35">
      <c r="A24" s="461" t="s">
        <v>193</v>
      </c>
      <c r="B24" s="461" t="s">
        <v>9</v>
      </c>
      <c r="C24" s="461">
        <v>67</v>
      </c>
      <c r="D24" s="461">
        <v>0.1</v>
      </c>
      <c r="E24" s="461">
        <v>32.799999999999997</v>
      </c>
    </row>
    <row r="25" spans="1:5" x14ac:dyDescent="0.35">
      <c r="A25" s="461" t="s">
        <v>193</v>
      </c>
      <c r="B25" s="461" t="s">
        <v>3</v>
      </c>
      <c r="C25" s="461">
        <v>53.7</v>
      </c>
      <c r="D25" s="461">
        <v>1.2</v>
      </c>
      <c r="E25" s="461">
        <v>45.1</v>
      </c>
    </row>
    <row r="26" spans="1:5" x14ac:dyDescent="0.35">
      <c r="A26" s="461" t="s">
        <v>193</v>
      </c>
      <c r="B26" s="461" t="s">
        <v>26</v>
      </c>
      <c r="C26" s="461">
        <v>60.2</v>
      </c>
      <c r="D26" s="461">
        <v>0.5</v>
      </c>
      <c r="E26" s="461">
        <v>39.299999999999997</v>
      </c>
    </row>
    <row r="27" spans="1:5" x14ac:dyDescent="0.35">
      <c r="A27" s="461" t="s">
        <v>193</v>
      </c>
      <c r="B27" s="461" t="s">
        <v>307</v>
      </c>
      <c r="C27" s="461">
        <v>61.8</v>
      </c>
      <c r="D27" s="461">
        <v>0.5</v>
      </c>
      <c r="E27" s="461">
        <v>37.700000000000003</v>
      </c>
    </row>
    <row r="28" spans="1:5" x14ac:dyDescent="0.35">
      <c r="A28" s="461" t="s">
        <v>193</v>
      </c>
      <c r="B28" s="461" t="s">
        <v>300</v>
      </c>
      <c r="C28" s="461">
        <v>26.7</v>
      </c>
      <c r="D28" s="461">
        <v>0.5</v>
      </c>
      <c r="E28" s="461">
        <v>72.8</v>
      </c>
    </row>
    <row r="29" spans="1:5" x14ac:dyDescent="0.35">
      <c r="A29" s="461" t="s">
        <v>193</v>
      </c>
      <c r="B29" s="461" t="s">
        <v>301</v>
      </c>
      <c r="C29" s="461">
        <v>59.5</v>
      </c>
      <c r="D29" s="461">
        <v>0.6</v>
      </c>
      <c r="E29" s="461">
        <v>39.9</v>
      </c>
    </row>
    <row r="30" spans="1:5" x14ac:dyDescent="0.35">
      <c r="A30" s="461" t="s">
        <v>192</v>
      </c>
      <c r="B30" s="461" t="s">
        <v>2</v>
      </c>
      <c r="C30" s="461">
        <v>64</v>
      </c>
      <c r="D30" s="461">
        <v>0.5</v>
      </c>
      <c r="E30" s="461">
        <v>35.5</v>
      </c>
    </row>
    <row r="31" spans="1:5" x14ac:dyDescent="0.35">
      <c r="A31" s="461" t="s">
        <v>192</v>
      </c>
      <c r="B31" s="461" t="s">
        <v>9</v>
      </c>
      <c r="C31" s="461">
        <v>60</v>
      </c>
      <c r="D31" s="461">
        <v>0.6</v>
      </c>
      <c r="E31" s="461">
        <v>39.4</v>
      </c>
    </row>
    <row r="32" spans="1:5" x14ac:dyDescent="0.35">
      <c r="A32" s="461" t="s">
        <v>192</v>
      </c>
      <c r="B32" s="461" t="s">
        <v>3</v>
      </c>
      <c r="C32" s="461">
        <v>53.4</v>
      </c>
      <c r="D32" s="461">
        <v>0.8</v>
      </c>
      <c r="E32" s="461">
        <v>45.8</v>
      </c>
    </row>
    <row r="33" spans="1:5" x14ac:dyDescent="0.35">
      <c r="A33" s="461" t="s">
        <v>192</v>
      </c>
      <c r="B33" s="461" t="s">
        <v>26</v>
      </c>
      <c r="C33" s="461">
        <v>55.3</v>
      </c>
      <c r="D33" s="461">
        <v>0.6</v>
      </c>
      <c r="E33" s="461">
        <v>44.1</v>
      </c>
    </row>
    <row r="34" spans="1:5" x14ac:dyDescent="0.35">
      <c r="A34" s="461" t="s">
        <v>192</v>
      </c>
      <c r="B34" s="461" t="s">
        <v>307</v>
      </c>
      <c r="C34" s="461">
        <v>56.3</v>
      </c>
      <c r="D34" s="461">
        <v>0.6</v>
      </c>
      <c r="E34" s="461">
        <v>43.1</v>
      </c>
    </row>
    <row r="35" spans="1:5" x14ac:dyDescent="0.35">
      <c r="A35" s="461" t="s">
        <v>192</v>
      </c>
      <c r="B35" s="461" t="s">
        <v>300</v>
      </c>
      <c r="C35" s="461">
        <v>32.5</v>
      </c>
      <c r="D35" s="461">
        <v>0.9</v>
      </c>
      <c r="E35" s="461">
        <v>66.7</v>
      </c>
    </row>
    <row r="36" spans="1:5" x14ac:dyDescent="0.35">
      <c r="A36" s="461" t="s">
        <v>192</v>
      </c>
      <c r="B36" s="461" t="s">
        <v>301</v>
      </c>
      <c r="C36" s="461">
        <v>53.7</v>
      </c>
      <c r="D36" s="461">
        <v>0.5</v>
      </c>
      <c r="E36" s="461">
        <v>45.7</v>
      </c>
    </row>
    <row r="37" spans="1:5" x14ac:dyDescent="0.35">
      <c r="A37" s="461" t="s">
        <v>258</v>
      </c>
      <c r="B37" s="461" t="s">
        <v>2</v>
      </c>
      <c r="C37" s="461">
        <v>55.8</v>
      </c>
      <c r="D37" s="461">
        <v>0.6</v>
      </c>
      <c r="E37" s="461">
        <v>43.6</v>
      </c>
    </row>
    <row r="38" spans="1:5" x14ac:dyDescent="0.35">
      <c r="A38" s="461" t="s">
        <v>258</v>
      </c>
      <c r="B38" s="461" t="s">
        <v>9</v>
      </c>
      <c r="C38" s="461">
        <v>58</v>
      </c>
      <c r="D38" s="461">
        <v>0.6</v>
      </c>
      <c r="E38" s="461">
        <v>41.4</v>
      </c>
    </row>
    <row r="39" spans="1:5" x14ac:dyDescent="0.35">
      <c r="A39" s="461" t="s">
        <v>258</v>
      </c>
      <c r="B39" s="461" t="s">
        <v>3</v>
      </c>
      <c r="C39" s="461">
        <v>53.9</v>
      </c>
      <c r="D39" s="461">
        <v>0.6</v>
      </c>
      <c r="E39" s="461">
        <v>45.5</v>
      </c>
    </row>
    <row r="40" spans="1:5" x14ac:dyDescent="0.35">
      <c r="A40" s="461" t="s">
        <v>258</v>
      </c>
      <c r="B40" s="461" t="s">
        <v>26</v>
      </c>
      <c r="C40" s="461">
        <v>53.7</v>
      </c>
      <c r="D40" s="461">
        <v>0.6</v>
      </c>
      <c r="E40" s="461">
        <v>45.7</v>
      </c>
    </row>
    <row r="41" spans="1:5" x14ac:dyDescent="0.35">
      <c r="A41" s="461" t="s">
        <v>258</v>
      </c>
      <c r="B41" s="461" t="s">
        <v>307</v>
      </c>
      <c r="C41">
        <v>54.2</v>
      </c>
      <c r="D41">
        <v>0.6</v>
      </c>
      <c r="E41">
        <v>45.2</v>
      </c>
    </row>
    <row r="42" spans="1:5" x14ac:dyDescent="0.35">
      <c r="A42" s="461" t="s">
        <v>258</v>
      </c>
      <c r="B42" s="461" t="s">
        <v>300</v>
      </c>
      <c r="C42">
        <v>42.7</v>
      </c>
      <c r="D42">
        <v>0.3</v>
      </c>
      <c r="E42">
        <v>57</v>
      </c>
    </row>
    <row r="43" spans="1:5" x14ac:dyDescent="0.35">
      <c r="A43" s="461" t="s">
        <v>258</v>
      </c>
      <c r="B43" s="461" t="s">
        <v>301</v>
      </c>
      <c r="C43">
        <v>51.2</v>
      </c>
      <c r="D43">
        <v>0.5</v>
      </c>
      <c r="E43">
        <v>48.3</v>
      </c>
    </row>
    <row r="44" spans="1:5" x14ac:dyDescent="0.35">
      <c r="A44" s="461" t="s">
        <v>242</v>
      </c>
      <c r="B44" s="461" t="s">
        <v>2</v>
      </c>
      <c r="C44">
        <v>52.910052910052904</v>
      </c>
      <c r="D44">
        <v>0.52910052910052907</v>
      </c>
      <c r="E44">
        <v>46.560846560846556</v>
      </c>
    </row>
    <row r="45" spans="1:5" x14ac:dyDescent="0.35">
      <c r="A45" s="461" t="s">
        <v>242</v>
      </c>
      <c r="B45" s="461" t="s">
        <v>9</v>
      </c>
      <c r="C45">
        <v>65.874956339504024</v>
      </c>
      <c r="D45">
        <v>1.1875654907439748</v>
      </c>
      <c r="E45">
        <v>32.937478169752012</v>
      </c>
    </row>
    <row r="46" spans="1:5" x14ac:dyDescent="0.35">
      <c r="A46" s="461" t="s">
        <v>242</v>
      </c>
      <c r="B46" s="461" t="s">
        <v>3</v>
      </c>
      <c r="C46">
        <v>61.229314420803782</v>
      </c>
      <c r="D46">
        <v>1.4184397163120568</v>
      </c>
      <c r="E46">
        <v>37.35224586288416</v>
      </c>
    </row>
    <row r="47" spans="1:5" x14ac:dyDescent="0.35">
      <c r="A47" s="461" t="s">
        <v>242</v>
      </c>
      <c r="B47" s="461" t="s">
        <v>26</v>
      </c>
      <c r="C47">
        <v>59.194958847736622</v>
      </c>
      <c r="D47">
        <v>1.1702674897119343</v>
      </c>
      <c r="E47">
        <v>39.634773662551446</v>
      </c>
    </row>
    <row r="48" spans="1:5" x14ac:dyDescent="0.35">
      <c r="A48" s="461" t="s">
        <v>242</v>
      </c>
      <c r="B48" s="461" t="s">
        <v>307</v>
      </c>
      <c r="C48">
        <v>60.169263836646969</v>
      </c>
      <c r="D48">
        <v>1.1955937667920473</v>
      </c>
      <c r="E48">
        <v>38.635142396560987</v>
      </c>
    </row>
    <row r="49" spans="1:5" x14ac:dyDescent="0.35">
      <c r="A49" s="461" t="s">
        <v>242</v>
      </c>
      <c r="B49" s="461" t="s">
        <v>300</v>
      </c>
      <c r="C49">
        <v>37.349397590361441</v>
      </c>
      <c r="D49">
        <v>0.60240963855421692</v>
      </c>
      <c r="E49">
        <v>62.048192771084345</v>
      </c>
    </row>
    <row r="50" spans="1:5" x14ac:dyDescent="0.35">
      <c r="A50" s="461" t="s">
        <v>242</v>
      </c>
      <c r="B50" s="461" t="s">
        <v>301</v>
      </c>
      <c r="C50">
        <v>55.696559503666101</v>
      </c>
      <c r="D50">
        <v>1.1844331641285957</v>
      </c>
      <c r="E50">
        <v>43.1190073322053</v>
      </c>
    </row>
    <row r="51" spans="1:5" x14ac:dyDescent="0.35">
      <c r="A51" s="461" t="s">
        <v>241</v>
      </c>
      <c r="B51" s="461" t="s">
        <v>2</v>
      </c>
      <c r="C51">
        <v>53.623188405797109</v>
      </c>
      <c r="D51">
        <v>0.96618357487922701</v>
      </c>
      <c r="E51">
        <v>45.410628019323674</v>
      </c>
    </row>
    <row r="52" spans="1:5" x14ac:dyDescent="0.35">
      <c r="A52" s="461" t="s">
        <v>241</v>
      </c>
      <c r="B52" s="461" t="s">
        <v>9</v>
      </c>
      <c r="C52">
        <v>67.558415171012527</v>
      </c>
      <c r="D52">
        <v>1.1175076193701321</v>
      </c>
      <c r="E52">
        <v>31.324077209617339</v>
      </c>
    </row>
    <row r="53" spans="1:5" x14ac:dyDescent="0.35">
      <c r="A53" s="461" t="s">
        <v>241</v>
      </c>
      <c r="B53" s="461" t="s">
        <v>3</v>
      </c>
      <c r="C53">
        <v>68.055555555555557</v>
      </c>
      <c r="D53">
        <v>1.7676767676767675</v>
      </c>
      <c r="E53">
        <v>30.176767676767675</v>
      </c>
    </row>
    <row r="54" spans="1:5" x14ac:dyDescent="0.35">
      <c r="A54" s="461" t="s">
        <v>241</v>
      </c>
      <c r="B54" s="461" t="s">
        <v>26</v>
      </c>
      <c r="C54">
        <v>62.699215785479382</v>
      </c>
      <c r="D54">
        <v>1.2142676448267138</v>
      </c>
      <c r="E54">
        <v>36.086516569693906</v>
      </c>
    </row>
    <row r="55" spans="1:5" x14ac:dyDescent="0.35">
      <c r="A55" s="461" t="s">
        <v>241</v>
      </c>
      <c r="B55" s="461" t="s">
        <v>307</v>
      </c>
      <c r="C55">
        <v>63.802872578732369</v>
      </c>
      <c r="D55">
        <v>1.2386348662537885</v>
      </c>
      <c r="E55">
        <v>34.958492555013834</v>
      </c>
    </row>
    <row r="56" spans="1:5" x14ac:dyDescent="0.35">
      <c r="A56" s="461" t="s">
        <v>241</v>
      </c>
      <c r="B56" s="461" t="s">
        <v>300</v>
      </c>
      <c r="C56">
        <v>36.277602523659311</v>
      </c>
      <c r="D56">
        <v>0.63091482649842268</v>
      </c>
      <c r="E56">
        <v>63.09148264984227</v>
      </c>
    </row>
    <row r="57" spans="1:5" x14ac:dyDescent="0.35">
      <c r="A57" s="461" t="s">
        <v>241</v>
      </c>
      <c r="B57" s="461" t="s">
        <v>301</v>
      </c>
      <c r="C57">
        <v>60.406928787462199</v>
      </c>
      <c r="D57">
        <v>1.2372834753918065</v>
      </c>
      <c r="E57">
        <v>38.355787737146002</v>
      </c>
    </row>
    <row r="58" spans="1:5" x14ac:dyDescent="0.35">
      <c r="A58" s="461" t="s">
        <v>773</v>
      </c>
      <c r="B58" s="461" t="s">
        <v>2</v>
      </c>
      <c r="C58">
        <v>53.191489361702125</v>
      </c>
      <c r="D58">
        <v>1.0638297872340425</v>
      </c>
      <c r="E58">
        <v>45.744680851063826</v>
      </c>
    </row>
    <row r="59" spans="1:5" x14ac:dyDescent="0.35">
      <c r="A59" s="461" t="s">
        <v>773</v>
      </c>
      <c r="B59" s="461" t="s">
        <v>9</v>
      </c>
      <c r="C59">
        <v>63.534218590398361</v>
      </c>
      <c r="D59">
        <v>1.0554988083077972</v>
      </c>
      <c r="E59">
        <v>35.410282601293837</v>
      </c>
    </row>
    <row r="60" spans="1:5" x14ac:dyDescent="0.35">
      <c r="A60" s="461" t="s">
        <v>773</v>
      </c>
      <c r="B60" s="461" t="s">
        <v>774</v>
      </c>
      <c r="C60">
        <v>86.111111111111114</v>
      </c>
      <c r="E60">
        <v>13.888888888888889</v>
      </c>
    </row>
    <row r="61" spans="1:5" x14ac:dyDescent="0.35">
      <c r="A61" s="461" t="s">
        <v>773</v>
      </c>
      <c r="B61" s="461" t="s">
        <v>3</v>
      </c>
      <c r="C61">
        <v>66.992665036674808</v>
      </c>
      <c r="D61">
        <v>1.5892420537897312</v>
      </c>
      <c r="E61">
        <v>31.418092909535449</v>
      </c>
    </row>
    <row r="62" spans="1:5" x14ac:dyDescent="0.35">
      <c r="A62" s="461" t="s">
        <v>773</v>
      </c>
      <c r="B62" s="461" t="s">
        <v>26</v>
      </c>
      <c r="C62">
        <v>61.197982345523329</v>
      </c>
      <c r="D62">
        <v>1.1727616645649432</v>
      </c>
      <c r="E62">
        <v>37.629255989911726</v>
      </c>
    </row>
    <row r="63" spans="1:5" x14ac:dyDescent="0.35">
      <c r="A63" s="461" t="s">
        <v>773</v>
      </c>
      <c r="B63" s="461" t="s">
        <v>307</v>
      </c>
      <c r="C63">
        <v>62.298095863427449</v>
      </c>
      <c r="D63">
        <v>1.1950098489822718</v>
      </c>
      <c r="E63">
        <v>36.506894287590278</v>
      </c>
    </row>
    <row r="64" spans="1:5" x14ac:dyDescent="0.35">
      <c r="A64" s="461" t="s">
        <v>773</v>
      </c>
      <c r="B64" s="461" t="s">
        <v>300</v>
      </c>
      <c r="C64">
        <v>34.603174603174601</v>
      </c>
      <c r="D64">
        <v>0.63492063492063489</v>
      </c>
      <c r="E64">
        <v>64.761904761904759</v>
      </c>
    </row>
    <row r="65" spans="1:5" x14ac:dyDescent="0.35">
      <c r="A65" s="461" t="s">
        <v>773</v>
      </c>
      <c r="B65" s="461" t="s">
        <v>301</v>
      </c>
      <c r="C65">
        <v>60.478547854785482</v>
      </c>
      <c r="D65">
        <v>1.2376237623762376</v>
      </c>
      <c r="E65">
        <v>38.283828382838287</v>
      </c>
    </row>
    <row r="66" spans="1:5" x14ac:dyDescent="0.35">
      <c r="A66" s="461" t="s">
        <v>951</v>
      </c>
      <c r="B66" s="461" t="s">
        <v>2</v>
      </c>
      <c r="C66">
        <v>56.593406593406591</v>
      </c>
      <c r="D66">
        <v>1.098901098901099</v>
      </c>
      <c r="E66">
        <v>42.307692307692307</v>
      </c>
    </row>
    <row r="67" spans="1:5" x14ac:dyDescent="0.35">
      <c r="A67" s="461" t="s">
        <v>951</v>
      </c>
      <c r="B67" s="461" t="s">
        <v>9</v>
      </c>
      <c r="C67">
        <v>61.142061281337043</v>
      </c>
      <c r="D67">
        <v>0.94011142061281339</v>
      </c>
      <c r="E67">
        <v>37.917827298050142</v>
      </c>
    </row>
    <row r="68" spans="1:5" x14ac:dyDescent="0.35">
      <c r="A68" s="461" t="s">
        <v>951</v>
      </c>
      <c r="B68" s="461" t="s">
        <v>774</v>
      </c>
      <c r="C68">
        <v>87.037037037037038</v>
      </c>
      <c r="D68">
        <v>1.8518518518518516</v>
      </c>
      <c r="E68">
        <v>11.111111111111111</v>
      </c>
    </row>
    <row r="69" spans="1:5" x14ac:dyDescent="0.35">
      <c r="A69" s="461" t="s">
        <v>951</v>
      </c>
      <c r="B69" s="461" t="s">
        <v>3</v>
      </c>
      <c r="C69">
        <v>66.746411483253581</v>
      </c>
      <c r="D69">
        <v>1.7942583732057416</v>
      </c>
      <c r="E69">
        <v>31.459330143540669</v>
      </c>
    </row>
    <row r="70" spans="1:5" x14ac:dyDescent="0.35">
      <c r="A70" s="461" t="s">
        <v>951</v>
      </c>
      <c r="B70" s="461" t="s">
        <v>26</v>
      </c>
      <c r="C70">
        <v>60.094496232920449</v>
      </c>
      <c r="D70">
        <v>1.2131273145192185</v>
      </c>
      <c r="E70">
        <v>38.692376452560339</v>
      </c>
    </row>
    <row r="71" spans="1:5" x14ac:dyDescent="0.35">
      <c r="A71" s="461" t="s">
        <v>951</v>
      </c>
      <c r="B71" s="461" t="s">
        <v>307</v>
      </c>
      <c r="C71">
        <v>61.091923485653567</v>
      </c>
      <c r="D71">
        <v>1.2353878852284803</v>
      </c>
      <c r="E71">
        <v>37.672688629117964</v>
      </c>
    </row>
    <row r="72" spans="1:5" x14ac:dyDescent="0.35">
      <c r="A72" s="461" t="s">
        <v>951</v>
      </c>
      <c r="B72" s="461" t="s">
        <v>300</v>
      </c>
      <c r="C72">
        <v>35.313531353135311</v>
      </c>
      <c r="D72">
        <v>0.66006600660066006</v>
      </c>
      <c r="E72">
        <v>64.026402640264024</v>
      </c>
    </row>
    <row r="73" spans="1:5" x14ac:dyDescent="0.35">
      <c r="A73" s="461" t="s">
        <v>951</v>
      </c>
      <c r="B73" s="461" t="s">
        <v>301</v>
      </c>
      <c r="C73">
        <v>59.5703125</v>
      </c>
      <c r="D73">
        <v>1.3392857142857142</v>
      </c>
      <c r="E73">
        <v>39.090401785714285</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H97"/>
  <sheetViews>
    <sheetView workbookViewId="0">
      <selection sqref="A1:H97"/>
    </sheetView>
  </sheetViews>
  <sheetFormatPr defaultRowHeight="14.5" x14ac:dyDescent="0.35"/>
  <cols>
    <col min="2" max="2" width="20.36328125" bestFit="1" customWidth="1"/>
    <col min="3" max="3" width="16.453125" bestFit="1" customWidth="1"/>
    <col min="4" max="4" width="28.26953125" bestFit="1" customWidth="1"/>
    <col min="5" max="5" width="23.90625" bestFit="1" customWidth="1"/>
    <col min="6" max="6" width="15.54296875" bestFit="1" customWidth="1"/>
    <col min="7" max="7" width="14.6328125" bestFit="1" customWidth="1"/>
  </cols>
  <sheetData>
    <row r="1" spans="1:8" x14ac:dyDescent="0.35">
      <c r="A1" t="s">
        <v>1</v>
      </c>
      <c r="B1" t="s">
        <v>17443</v>
      </c>
      <c r="C1" s="850" t="s">
        <v>112</v>
      </c>
      <c r="D1" s="850" t="s">
        <v>341</v>
      </c>
      <c r="E1" s="850" t="s">
        <v>342</v>
      </c>
      <c r="F1" s="850" t="s">
        <v>29</v>
      </c>
      <c r="G1" s="850" t="s">
        <v>185</v>
      </c>
      <c r="H1" s="359" t="s">
        <v>26</v>
      </c>
    </row>
    <row r="2" spans="1:8" x14ac:dyDescent="0.35">
      <c r="A2" t="s">
        <v>241</v>
      </c>
      <c r="B2" s="846" t="s">
        <v>31</v>
      </c>
      <c r="C2" s="461">
        <v>3</v>
      </c>
      <c r="D2" s="461"/>
      <c r="E2" s="461"/>
      <c r="F2" s="461"/>
      <c r="G2" s="461">
        <v>1</v>
      </c>
      <c r="H2">
        <f>SUM(C2:G2)</f>
        <v>4</v>
      </c>
    </row>
    <row r="3" spans="1:8" x14ac:dyDescent="0.35">
      <c r="A3" t="s">
        <v>241</v>
      </c>
      <c r="B3" s="846" t="s">
        <v>32</v>
      </c>
      <c r="C3" s="461"/>
      <c r="D3" s="461">
        <v>1</v>
      </c>
      <c r="E3" s="461"/>
      <c r="F3" s="461"/>
      <c r="G3" s="461">
        <v>23</v>
      </c>
      <c r="H3">
        <f t="shared" ref="H3:H66" si="0">SUM(C3:G3)</f>
        <v>24</v>
      </c>
    </row>
    <row r="4" spans="1:8" x14ac:dyDescent="0.35">
      <c r="A4" t="s">
        <v>241</v>
      </c>
      <c r="B4" s="846" t="s">
        <v>33</v>
      </c>
      <c r="C4" s="461"/>
      <c r="D4" s="461">
        <v>1</v>
      </c>
      <c r="E4" s="461"/>
      <c r="F4" s="461"/>
      <c r="G4" s="461">
        <v>5</v>
      </c>
      <c r="H4">
        <f t="shared" si="0"/>
        <v>6</v>
      </c>
    </row>
    <row r="5" spans="1:8" x14ac:dyDescent="0.35">
      <c r="A5" t="s">
        <v>241</v>
      </c>
      <c r="B5" s="846" t="s">
        <v>34</v>
      </c>
      <c r="C5" s="461"/>
      <c r="D5" s="461">
        <v>2</v>
      </c>
      <c r="E5" s="461"/>
      <c r="F5" s="461">
        <v>25</v>
      </c>
      <c r="G5" s="461">
        <v>12</v>
      </c>
      <c r="H5">
        <f t="shared" si="0"/>
        <v>39</v>
      </c>
    </row>
    <row r="6" spans="1:8" x14ac:dyDescent="0.35">
      <c r="A6" t="s">
        <v>241</v>
      </c>
      <c r="B6" s="846" t="s">
        <v>245</v>
      </c>
      <c r="C6" s="461">
        <v>7</v>
      </c>
      <c r="D6" s="461"/>
      <c r="E6" s="461"/>
      <c r="F6" s="461"/>
      <c r="G6" s="461">
        <v>1</v>
      </c>
      <c r="H6">
        <f t="shared" si="0"/>
        <v>8</v>
      </c>
    </row>
    <row r="7" spans="1:8" x14ac:dyDescent="0.35">
      <c r="A7" t="s">
        <v>241</v>
      </c>
      <c r="B7" s="846" t="s">
        <v>35</v>
      </c>
      <c r="C7" s="461"/>
      <c r="D7" s="461">
        <v>1</v>
      </c>
      <c r="E7" s="461"/>
      <c r="F7" s="461"/>
      <c r="G7" s="461">
        <v>1</v>
      </c>
      <c r="H7">
        <f t="shared" si="0"/>
        <v>2</v>
      </c>
    </row>
    <row r="8" spans="1:8" x14ac:dyDescent="0.35">
      <c r="A8" t="s">
        <v>241</v>
      </c>
      <c r="B8" s="846" t="s">
        <v>36</v>
      </c>
      <c r="C8" s="461"/>
      <c r="D8" s="461">
        <v>1</v>
      </c>
      <c r="E8" s="461"/>
      <c r="F8" s="461">
        <v>1</v>
      </c>
      <c r="G8" s="461">
        <v>15</v>
      </c>
      <c r="H8">
        <f t="shared" si="0"/>
        <v>17</v>
      </c>
    </row>
    <row r="9" spans="1:8" x14ac:dyDescent="0.35">
      <c r="A9" t="s">
        <v>241</v>
      </c>
      <c r="B9" s="846" t="s">
        <v>37</v>
      </c>
      <c r="C9" s="461">
        <v>3</v>
      </c>
      <c r="D9" s="461">
        <v>1</v>
      </c>
      <c r="E9" s="461"/>
      <c r="F9" s="461"/>
      <c r="G9" s="461"/>
      <c r="H9">
        <f t="shared" si="0"/>
        <v>4</v>
      </c>
    </row>
    <row r="10" spans="1:8" x14ac:dyDescent="0.35">
      <c r="A10" t="s">
        <v>241</v>
      </c>
      <c r="B10" s="846" t="s">
        <v>38</v>
      </c>
      <c r="C10" s="461">
        <v>1</v>
      </c>
      <c r="D10" s="461"/>
      <c r="E10" s="461"/>
      <c r="F10" s="461"/>
      <c r="G10" s="461">
        <v>7</v>
      </c>
      <c r="H10">
        <f t="shared" si="0"/>
        <v>8</v>
      </c>
    </row>
    <row r="11" spans="1:8" x14ac:dyDescent="0.35">
      <c r="A11" t="s">
        <v>241</v>
      </c>
      <c r="B11" s="846" t="s">
        <v>39</v>
      </c>
      <c r="C11" s="461">
        <v>3</v>
      </c>
      <c r="D11" s="461"/>
      <c r="E11" s="461"/>
      <c r="F11" s="461"/>
      <c r="G11" s="461"/>
      <c r="H11">
        <f t="shared" si="0"/>
        <v>3</v>
      </c>
    </row>
    <row r="12" spans="1:8" x14ac:dyDescent="0.35">
      <c r="A12" t="s">
        <v>241</v>
      </c>
      <c r="B12" s="846" t="s">
        <v>40</v>
      </c>
      <c r="C12" s="461">
        <v>1</v>
      </c>
      <c r="D12" s="461"/>
      <c r="E12" s="461"/>
      <c r="F12" s="461"/>
      <c r="G12" s="461">
        <v>5</v>
      </c>
      <c r="H12">
        <f t="shared" si="0"/>
        <v>6</v>
      </c>
    </row>
    <row r="13" spans="1:8" x14ac:dyDescent="0.35">
      <c r="A13" t="s">
        <v>241</v>
      </c>
      <c r="B13" s="846" t="s">
        <v>41</v>
      </c>
      <c r="C13" s="461">
        <v>2</v>
      </c>
      <c r="D13" s="461"/>
      <c r="E13" s="461"/>
      <c r="F13" s="461"/>
      <c r="G13" s="461"/>
      <c r="H13">
        <f t="shared" si="0"/>
        <v>2</v>
      </c>
    </row>
    <row r="14" spans="1:8" x14ac:dyDescent="0.35">
      <c r="A14" t="s">
        <v>241</v>
      </c>
      <c r="B14" s="846" t="s">
        <v>42</v>
      </c>
      <c r="C14" s="461"/>
      <c r="D14" s="461">
        <v>3</v>
      </c>
      <c r="E14" s="461"/>
      <c r="F14" s="461"/>
      <c r="G14" s="461">
        <v>2</v>
      </c>
      <c r="H14">
        <f t="shared" si="0"/>
        <v>5</v>
      </c>
    </row>
    <row r="15" spans="1:8" x14ac:dyDescent="0.35">
      <c r="A15" t="s">
        <v>241</v>
      </c>
      <c r="B15" s="846" t="s">
        <v>43</v>
      </c>
      <c r="C15" s="461">
        <v>5</v>
      </c>
      <c r="D15" s="461"/>
      <c r="E15" s="461"/>
      <c r="F15" s="461"/>
      <c r="G15" s="461">
        <v>8</v>
      </c>
      <c r="H15">
        <f t="shared" si="0"/>
        <v>13</v>
      </c>
    </row>
    <row r="16" spans="1:8" x14ac:dyDescent="0.35">
      <c r="A16" t="s">
        <v>241</v>
      </c>
      <c r="B16" s="846" t="s">
        <v>114</v>
      </c>
      <c r="C16" s="461">
        <v>11</v>
      </c>
      <c r="D16" s="461"/>
      <c r="E16" s="461"/>
      <c r="F16" s="461"/>
      <c r="G16" s="461"/>
      <c r="H16">
        <f t="shared" si="0"/>
        <v>11</v>
      </c>
    </row>
    <row r="17" spans="1:8" x14ac:dyDescent="0.35">
      <c r="A17" t="s">
        <v>241</v>
      </c>
      <c r="B17" s="846" t="s">
        <v>44</v>
      </c>
      <c r="C17" s="461"/>
      <c r="D17" s="461">
        <v>1</v>
      </c>
      <c r="E17" s="461"/>
      <c r="F17" s="461">
        <v>9</v>
      </c>
      <c r="G17" s="461">
        <v>51</v>
      </c>
      <c r="H17">
        <f t="shared" si="0"/>
        <v>61</v>
      </c>
    </row>
    <row r="18" spans="1:8" x14ac:dyDescent="0.35">
      <c r="A18" t="s">
        <v>241</v>
      </c>
      <c r="B18" s="846" t="s">
        <v>45</v>
      </c>
      <c r="C18" s="461"/>
      <c r="D18" s="461">
        <v>2</v>
      </c>
      <c r="E18" s="461"/>
      <c r="F18" s="461"/>
      <c r="G18" s="461">
        <v>1</v>
      </c>
      <c r="H18">
        <f t="shared" si="0"/>
        <v>3</v>
      </c>
    </row>
    <row r="19" spans="1:8" x14ac:dyDescent="0.35">
      <c r="A19" t="s">
        <v>241</v>
      </c>
      <c r="B19" s="846" t="s">
        <v>46</v>
      </c>
      <c r="C19" s="461">
        <v>1</v>
      </c>
      <c r="D19" s="461"/>
      <c r="E19" s="461"/>
      <c r="F19" s="461"/>
      <c r="G19" s="461">
        <v>1</v>
      </c>
      <c r="H19">
        <f t="shared" si="0"/>
        <v>2</v>
      </c>
    </row>
    <row r="20" spans="1:8" x14ac:dyDescent="0.35">
      <c r="A20" t="s">
        <v>241</v>
      </c>
      <c r="B20" s="846" t="s">
        <v>47</v>
      </c>
      <c r="C20" s="461"/>
      <c r="D20" s="461">
        <v>1</v>
      </c>
      <c r="E20" s="461"/>
      <c r="F20" s="461">
        <v>1</v>
      </c>
      <c r="G20" s="461">
        <v>10</v>
      </c>
      <c r="H20">
        <f t="shared" si="0"/>
        <v>12</v>
      </c>
    </row>
    <row r="21" spans="1:8" x14ac:dyDescent="0.35">
      <c r="A21" t="s">
        <v>241</v>
      </c>
      <c r="B21" s="846" t="s">
        <v>48</v>
      </c>
      <c r="C21" s="461"/>
      <c r="D21" s="461"/>
      <c r="E21" s="461"/>
      <c r="F21" s="461"/>
      <c r="G21" s="461">
        <v>14</v>
      </c>
      <c r="H21">
        <f t="shared" si="0"/>
        <v>14</v>
      </c>
    </row>
    <row r="22" spans="1:8" x14ac:dyDescent="0.35">
      <c r="A22" t="s">
        <v>241</v>
      </c>
      <c r="B22" s="846" t="s">
        <v>49</v>
      </c>
      <c r="C22" s="461">
        <v>1</v>
      </c>
      <c r="D22" s="461">
        <v>2</v>
      </c>
      <c r="E22" s="461"/>
      <c r="F22" s="461">
        <v>3</v>
      </c>
      <c r="G22" s="461">
        <v>8</v>
      </c>
      <c r="H22">
        <f t="shared" si="0"/>
        <v>14</v>
      </c>
    </row>
    <row r="23" spans="1:8" x14ac:dyDescent="0.35">
      <c r="A23" t="s">
        <v>241</v>
      </c>
      <c r="B23" s="846" t="s">
        <v>50</v>
      </c>
      <c r="C23" s="461">
        <v>4</v>
      </c>
      <c r="D23" s="461"/>
      <c r="E23" s="461"/>
      <c r="F23" s="461"/>
      <c r="G23" s="461">
        <v>3</v>
      </c>
      <c r="H23">
        <f t="shared" si="0"/>
        <v>7</v>
      </c>
    </row>
    <row r="24" spans="1:8" x14ac:dyDescent="0.35">
      <c r="A24" t="s">
        <v>241</v>
      </c>
      <c r="B24" s="846" t="s">
        <v>51</v>
      </c>
      <c r="C24" s="461"/>
      <c r="D24" s="461"/>
      <c r="E24" s="461"/>
      <c r="F24" s="461"/>
      <c r="G24" s="461">
        <v>12</v>
      </c>
      <c r="H24">
        <f t="shared" si="0"/>
        <v>12</v>
      </c>
    </row>
    <row r="25" spans="1:8" x14ac:dyDescent="0.35">
      <c r="A25" t="s">
        <v>241</v>
      </c>
      <c r="B25" s="846" t="s">
        <v>52</v>
      </c>
      <c r="C25" s="461">
        <v>1</v>
      </c>
      <c r="D25" s="461"/>
      <c r="E25" s="461"/>
      <c r="F25" s="461">
        <v>3</v>
      </c>
      <c r="G25" s="461">
        <v>10</v>
      </c>
      <c r="H25">
        <f t="shared" si="0"/>
        <v>14</v>
      </c>
    </row>
    <row r="26" spans="1:8" x14ac:dyDescent="0.35">
      <c r="A26" t="s">
        <v>241</v>
      </c>
      <c r="B26" s="846" t="s">
        <v>53</v>
      </c>
      <c r="C26" s="461">
        <v>2</v>
      </c>
      <c r="D26" s="461">
        <v>1</v>
      </c>
      <c r="E26" s="461"/>
      <c r="F26" s="461"/>
      <c r="G26" s="461"/>
      <c r="H26">
        <f t="shared" si="0"/>
        <v>3</v>
      </c>
    </row>
    <row r="27" spans="1:8" x14ac:dyDescent="0.35">
      <c r="A27" t="s">
        <v>241</v>
      </c>
      <c r="B27" s="846" t="s">
        <v>54</v>
      </c>
      <c r="C27" s="461"/>
      <c r="D27" s="461">
        <v>2</v>
      </c>
      <c r="E27" s="461"/>
      <c r="F27" s="461"/>
      <c r="G27" s="461">
        <v>11</v>
      </c>
      <c r="H27">
        <f t="shared" si="0"/>
        <v>13</v>
      </c>
    </row>
    <row r="28" spans="1:8" x14ac:dyDescent="0.35">
      <c r="A28" t="s">
        <v>241</v>
      </c>
      <c r="B28" s="846" t="s">
        <v>55</v>
      </c>
      <c r="C28" s="461"/>
      <c r="D28" s="461"/>
      <c r="E28" s="461"/>
      <c r="F28" s="461"/>
      <c r="G28" s="461">
        <v>14</v>
      </c>
      <c r="H28">
        <f t="shared" si="0"/>
        <v>14</v>
      </c>
    </row>
    <row r="29" spans="1:8" x14ac:dyDescent="0.35">
      <c r="A29" t="s">
        <v>241</v>
      </c>
      <c r="B29" s="846" t="s">
        <v>56</v>
      </c>
      <c r="C29" s="461"/>
      <c r="D29" s="461">
        <v>1</v>
      </c>
      <c r="E29" s="461"/>
      <c r="F29" s="461"/>
      <c r="G29" s="461">
        <v>4</v>
      </c>
      <c r="H29">
        <f t="shared" si="0"/>
        <v>5</v>
      </c>
    </row>
    <row r="30" spans="1:8" x14ac:dyDescent="0.35">
      <c r="A30" t="s">
        <v>241</v>
      </c>
      <c r="B30" s="846" t="s">
        <v>57</v>
      </c>
      <c r="C30" s="461">
        <v>3</v>
      </c>
      <c r="D30" s="461">
        <v>1</v>
      </c>
      <c r="E30" s="461"/>
      <c r="F30" s="461">
        <v>1</v>
      </c>
      <c r="G30" s="461">
        <v>7</v>
      </c>
      <c r="H30">
        <f t="shared" si="0"/>
        <v>12</v>
      </c>
    </row>
    <row r="31" spans="1:8" x14ac:dyDescent="0.35">
      <c r="A31" t="s">
        <v>241</v>
      </c>
      <c r="B31" s="846" t="s">
        <v>58</v>
      </c>
      <c r="C31" s="461">
        <v>1</v>
      </c>
      <c r="D31" s="461"/>
      <c r="E31" s="461"/>
      <c r="F31" s="461"/>
      <c r="G31" s="461">
        <v>9</v>
      </c>
      <c r="H31">
        <f t="shared" si="0"/>
        <v>10</v>
      </c>
    </row>
    <row r="32" spans="1:8" x14ac:dyDescent="0.35">
      <c r="A32" t="s">
        <v>241</v>
      </c>
      <c r="B32" s="846" t="s">
        <v>59</v>
      </c>
      <c r="C32" s="461">
        <v>1</v>
      </c>
      <c r="D32" s="461">
        <v>1</v>
      </c>
      <c r="E32" s="461"/>
      <c r="F32" s="461"/>
      <c r="G32" s="461">
        <v>1</v>
      </c>
      <c r="H32">
        <f t="shared" si="0"/>
        <v>3</v>
      </c>
    </row>
    <row r="33" spans="1:8" x14ac:dyDescent="0.35">
      <c r="A33" t="s">
        <v>241</v>
      </c>
      <c r="B33" s="846" t="s">
        <v>60</v>
      </c>
      <c r="C33" s="461"/>
      <c r="D33" s="461">
        <v>1</v>
      </c>
      <c r="E33" s="461">
        <v>1</v>
      </c>
      <c r="F33" s="461"/>
      <c r="G33" s="461">
        <v>4</v>
      </c>
      <c r="H33">
        <f t="shared" si="0"/>
        <v>6</v>
      </c>
    </row>
    <row r="34" spans="1:8" x14ac:dyDescent="0.35">
      <c r="A34" t="s">
        <v>773</v>
      </c>
      <c r="B34" s="846" t="s">
        <v>31</v>
      </c>
      <c r="C34" s="461">
        <v>3</v>
      </c>
      <c r="D34" s="461"/>
      <c r="E34" s="461"/>
      <c r="F34" s="461"/>
      <c r="G34" s="461">
        <v>1</v>
      </c>
      <c r="H34">
        <f t="shared" si="0"/>
        <v>4</v>
      </c>
    </row>
    <row r="35" spans="1:8" x14ac:dyDescent="0.35">
      <c r="A35" t="s">
        <v>773</v>
      </c>
      <c r="B35" s="846" t="s">
        <v>32</v>
      </c>
      <c r="C35" s="461"/>
      <c r="D35" s="461">
        <v>1</v>
      </c>
      <c r="E35" s="461"/>
      <c r="F35" s="461"/>
      <c r="G35" s="461">
        <v>23</v>
      </c>
      <c r="H35">
        <f t="shared" si="0"/>
        <v>24</v>
      </c>
    </row>
    <row r="36" spans="1:8" x14ac:dyDescent="0.35">
      <c r="A36" t="s">
        <v>773</v>
      </c>
      <c r="B36" s="846" t="s">
        <v>33</v>
      </c>
      <c r="C36" s="461"/>
      <c r="D36" s="461">
        <v>1</v>
      </c>
      <c r="E36" s="461"/>
      <c r="F36" s="461"/>
      <c r="G36" s="461">
        <v>5</v>
      </c>
      <c r="H36">
        <f t="shared" si="0"/>
        <v>6</v>
      </c>
    </row>
    <row r="37" spans="1:8" x14ac:dyDescent="0.35">
      <c r="A37" t="s">
        <v>773</v>
      </c>
      <c r="B37" s="846" t="s">
        <v>34</v>
      </c>
      <c r="C37" s="461"/>
      <c r="D37" s="461">
        <v>2</v>
      </c>
      <c r="E37" s="461"/>
      <c r="F37" s="461">
        <v>25</v>
      </c>
      <c r="G37" s="461">
        <v>12</v>
      </c>
      <c r="H37">
        <f t="shared" si="0"/>
        <v>39</v>
      </c>
    </row>
    <row r="38" spans="1:8" x14ac:dyDescent="0.35">
      <c r="A38" t="s">
        <v>773</v>
      </c>
      <c r="B38" s="846" t="s">
        <v>245</v>
      </c>
      <c r="C38" s="461">
        <v>7</v>
      </c>
      <c r="D38" s="461"/>
      <c r="E38" s="461"/>
      <c r="F38" s="461"/>
      <c r="G38" s="461">
        <v>1</v>
      </c>
      <c r="H38">
        <f t="shared" si="0"/>
        <v>8</v>
      </c>
    </row>
    <row r="39" spans="1:8" x14ac:dyDescent="0.35">
      <c r="A39" t="s">
        <v>773</v>
      </c>
      <c r="B39" s="846" t="s">
        <v>35</v>
      </c>
      <c r="C39" s="461"/>
      <c r="D39" s="461">
        <v>1</v>
      </c>
      <c r="E39" s="461"/>
      <c r="F39" s="461"/>
      <c r="G39" s="461">
        <v>1</v>
      </c>
      <c r="H39">
        <f t="shared" si="0"/>
        <v>2</v>
      </c>
    </row>
    <row r="40" spans="1:8" x14ac:dyDescent="0.35">
      <c r="A40" t="s">
        <v>773</v>
      </c>
      <c r="B40" s="846" t="s">
        <v>36</v>
      </c>
      <c r="C40" s="461"/>
      <c r="D40" s="461">
        <v>1</v>
      </c>
      <c r="E40" s="461"/>
      <c r="F40" s="461">
        <v>1</v>
      </c>
      <c r="G40" s="461">
        <v>15</v>
      </c>
      <c r="H40">
        <f t="shared" si="0"/>
        <v>17</v>
      </c>
    </row>
    <row r="41" spans="1:8" x14ac:dyDescent="0.35">
      <c r="A41" t="s">
        <v>773</v>
      </c>
      <c r="B41" s="846" t="s">
        <v>37</v>
      </c>
      <c r="C41" s="461">
        <v>3</v>
      </c>
      <c r="D41" s="461">
        <v>1</v>
      </c>
      <c r="E41" s="461"/>
      <c r="F41" s="461"/>
      <c r="G41" s="461"/>
      <c r="H41">
        <f t="shared" si="0"/>
        <v>4</v>
      </c>
    </row>
    <row r="42" spans="1:8" x14ac:dyDescent="0.35">
      <c r="A42" t="s">
        <v>773</v>
      </c>
      <c r="B42" s="846" t="s">
        <v>38</v>
      </c>
      <c r="C42" s="461">
        <v>1</v>
      </c>
      <c r="D42" s="461"/>
      <c r="E42" s="461"/>
      <c r="F42" s="461"/>
      <c r="G42" s="461">
        <v>7</v>
      </c>
      <c r="H42">
        <f t="shared" si="0"/>
        <v>8</v>
      </c>
    </row>
    <row r="43" spans="1:8" x14ac:dyDescent="0.35">
      <c r="A43" t="s">
        <v>773</v>
      </c>
      <c r="B43" s="846" t="s">
        <v>39</v>
      </c>
      <c r="C43" s="461">
        <v>3</v>
      </c>
      <c r="D43" s="461"/>
      <c r="E43" s="461"/>
      <c r="F43" s="461"/>
      <c r="G43" s="461"/>
      <c r="H43">
        <f t="shared" si="0"/>
        <v>3</v>
      </c>
    </row>
    <row r="44" spans="1:8" x14ac:dyDescent="0.35">
      <c r="A44" t="s">
        <v>773</v>
      </c>
      <c r="B44" s="846" t="s">
        <v>40</v>
      </c>
      <c r="C44" s="461">
        <v>1</v>
      </c>
      <c r="D44" s="461"/>
      <c r="E44" s="461"/>
      <c r="F44" s="461"/>
      <c r="G44" s="461">
        <v>5</v>
      </c>
      <c r="H44">
        <f t="shared" si="0"/>
        <v>6</v>
      </c>
    </row>
    <row r="45" spans="1:8" x14ac:dyDescent="0.35">
      <c r="A45" t="s">
        <v>773</v>
      </c>
      <c r="B45" s="846" t="s">
        <v>41</v>
      </c>
      <c r="C45" s="461">
        <v>2</v>
      </c>
      <c r="D45" s="461"/>
      <c r="E45" s="461"/>
      <c r="F45" s="461"/>
      <c r="G45" s="461"/>
      <c r="H45">
        <f t="shared" si="0"/>
        <v>2</v>
      </c>
    </row>
    <row r="46" spans="1:8" x14ac:dyDescent="0.35">
      <c r="A46" t="s">
        <v>773</v>
      </c>
      <c r="B46" s="846" t="s">
        <v>42</v>
      </c>
      <c r="C46" s="461"/>
      <c r="D46" s="461">
        <v>3</v>
      </c>
      <c r="E46" s="461"/>
      <c r="F46" s="461"/>
      <c r="G46" s="461">
        <v>2</v>
      </c>
      <c r="H46">
        <f t="shared" si="0"/>
        <v>5</v>
      </c>
    </row>
    <row r="47" spans="1:8" x14ac:dyDescent="0.35">
      <c r="A47" t="s">
        <v>773</v>
      </c>
      <c r="B47" s="846" t="s">
        <v>43</v>
      </c>
      <c r="C47" s="461">
        <v>5</v>
      </c>
      <c r="D47" s="461"/>
      <c r="E47" s="461"/>
      <c r="F47" s="461"/>
      <c r="G47" s="461">
        <v>8</v>
      </c>
      <c r="H47">
        <f t="shared" si="0"/>
        <v>13</v>
      </c>
    </row>
    <row r="48" spans="1:8" x14ac:dyDescent="0.35">
      <c r="A48" t="s">
        <v>773</v>
      </c>
      <c r="B48" s="846" t="s">
        <v>114</v>
      </c>
      <c r="C48" s="461">
        <v>11</v>
      </c>
      <c r="D48" s="461"/>
      <c r="E48" s="461"/>
      <c r="F48" s="461"/>
      <c r="G48" s="461"/>
      <c r="H48">
        <f t="shared" si="0"/>
        <v>11</v>
      </c>
    </row>
    <row r="49" spans="1:8" x14ac:dyDescent="0.35">
      <c r="A49" t="s">
        <v>773</v>
      </c>
      <c r="B49" s="846" t="s">
        <v>44</v>
      </c>
      <c r="C49" s="461"/>
      <c r="D49" s="461">
        <v>1</v>
      </c>
      <c r="E49" s="461"/>
      <c r="F49" s="461">
        <v>9</v>
      </c>
      <c r="G49" s="461">
        <v>51</v>
      </c>
      <c r="H49">
        <f t="shared" si="0"/>
        <v>61</v>
      </c>
    </row>
    <row r="50" spans="1:8" x14ac:dyDescent="0.35">
      <c r="A50" t="s">
        <v>773</v>
      </c>
      <c r="B50" s="846" t="s">
        <v>45</v>
      </c>
      <c r="C50" s="461"/>
      <c r="D50" s="461">
        <v>2</v>
      </c>
      <c r="E50" s="461"/>
      <c r="F50" s="461"/>
      <c r="G50" s="461">
        <v>1</v>
      </c>
      <c r="H50">
        <f t="shared" si="0"/>
        <v>3</v>
      </c>
    </row>
    <row r="51" spans="1:8" x14ac:dyDescent="0.35">
      <c r="A51" t="s">
        <v>773</v>
      </c>
      <c r="B51" s="846" t="s">
        <v>46</v>
      </c>
      <c r="C51" s="461">
        <v>1</v>
      </c>
      <c r="D51" s="461"/>
      <c r="E51" s="461"/>
      <c r="F51" s="461"/>
      <c r="G51" s="461">
        <v>1</v>
      </c>
      <c r="H51">
        <f t="shared" si="0"/>
        <v>2</v>
      </c>
    </row>
    <row r="52" spans="1:8" x14ac:dyDescent="0.35">
      <c r="A52" t="s">
        <v>773</v>
      </c>
      <c r="B52" s="846" t="s">
        <v>47</v>
      </c>
      <c r="C52" s="461"/>
      <c r="D52" s="461">
        <v>1</v>
      </c>
      <c r="E52" s="461"/>
      <c r="F52" s="461">
        <v>1</v>
      </c>
      <c r="G52" s="461">
        <v>10</v>
      </c>
      <c r="H52">
        <f t="shared" si="0"/>
        <v>12</v>
      </c>
    </row>
    <row r="53" spans="1:8" x14ac:dyDescent="0.35">
      <c r="A53" t="s">
        <v>773</v>
      </c>
      <c r="B53" s="846" t="s">
        <v>48</v>
      </c>
      <c r="C53" s="461"/>
      <c r="D53" s="461"/>
      <c r="E53" s="461"/>
      <c r="F53" s="461"/>
      <c r="G53" s="461">
        <v>14</v>
      </c>
      <c r="H53">
        <f t="shared" si="0"/>
        <v>14</v>
      </c>
    </row>
    <row r="54" spans="1:8" x14ac:dyDescent="0.35">
      <c r="A54" t="s">
        <v>773</v>
      </c>
      <c r="B54" s="846" t="s">
        <v>49</v>
      </c>
      <c r="C54" s="461">
        <v>1</v>
      </c>
      <c r="D54" s="461">
        <v>2</v>
      </c>
      <c r="E54" s="461"/>
      <c r="F54" s="461">
        <v>3</v>
      </c>
      <c r="G54" s="461">
        <v>8</v>
      </c>
      <c r="H54">
        <f t="shared" si="0"/>
        <v>14</v>
      </c>
    </row>
    <row r="55" spans="1:8" x14ac:dyDescent="0.35">
      <c r="A55" t="s">
        <v>773</v>
      </c>
      <c r="B55" s="846" t="s">
        <v>50</v>
      </c>
      <c r="C55" s="461">
        <v>4</v>
      </c>
      <c r="D55" s="461"/>
      <c r="E55" s="461"/>
      <c r="F55" s="461"/>
      <c r="G55" s="461">
        <v>3</v>
      </c>
      <c r="H55">
        <f t="shared" si="0"/>
        <v>7</v>
      </c>
    </row>
    <row r="56" spans="1:8" x14ac:dyDescent="0.35">
      <c r="A56" t="s">
        <v>773</v>
      </c>
      <c r="B56" s="846" t="s">
        <v>51</v>
      </c>
      <c r="C56" s="461"/>
      <c r="D56" s="461"/>
      <c r="E56" s="461"/>
      <c r="F56" s="461"/>
      <c r="G56" s="461">
        <v>12</v>
      </c>
      <c r="H56">
        <f t="shared" si="0"/>
        <v>12</v>
      </c>
    </row>
    <row r="57" spans="1:8" x14ac:dyDescent="0.35">
      <c r="A57" t="s">
        <v>773</v>
      </c>
      <c r="B57" s="846" t="s">
        <v>52</v>
      </c>
      <c r="C57" s="461">
        <v>1</v>
      </c>
      <c r="D57" s="461"/>
      <c r="E57" s="461"/>
      <c r="F57" s="461">
        <v>3</v>
      </c>
      <c r="G57" s="461">
        <v>10</v>
      </c>
      <c r="H57">
        <f t="shared" si="0"/>
        <v>14</v>
      </c>
    </row>
    <row r="58" spans="1:8" x14ac:dyDescent="0.35">
      <c r="A58" t="s">
        <v>773</v>
      </c>
      <c r="B58" s="846" t="s">
        <v>53</v>
      </c>
      <c r="C58" s="461">
        <v>2</v>
      </c>
      <c r="D58" s="461">
        <v>1</v>
      </c>
      <c r="E58" s="461"/>
      <c r="F58" s="461"/>
      <c r="G58" s="461"/>
      <c r="H58">
        <f t="shared" si="0"/>
        <v>3</v>
      </c>
    </row>
    <row r="59" spans="1:8" x14ac:dyDescent="0.35">
      <c r="A59" t="s">
        <v>773</v>
      </c>
      <c r="B59" s="846" t="s">
        <v>54</v>
      </c>
      <c r="C59" s="461"/>
      <c r="D59" s="461">
        <v>2</v>
      </c>
      <c r="E59" s="461"/>
      <c r="F59" s="461"/>
      <c r="G59" s="461">
        <v>11</v>
      </c>
      <c r="H59">
        <f t="shared" si="0"/>
        <v>13</v>
      </c>
    </row>
    <row r="60" spans="1:8" x14ac:dyDescent="0.35">
      <c r="A60" t="s">
        <v>773</v>
      </c>
      <c r="B60" s="846" t="s">
        <v>55</v>
      </c>
      <c r="C60" s="461"/>
      <c r="D60" s="461"/>
      <c r="E60" s="461"/>
      <c r="F60" s="461"/>
      <c r="G60" s="461">
        <v>14</v>
      </c>
      <c r="H60">
        <f t="shared" si="0"/>
        <v>14</v>
      </c>
    </row>
    <row r="61" spans="1:8" x14ac:dyDescent="0.35">
      <c r="A61" t="s">
        <v>773</v>
      </c>
      <c r="B61" s="846" t="s">
        <v>56</v>
      </c>
      <c r="C61" s="461"/>
      <c r="D61" s="461">
        <v>1</v>
      </c>
      <c r="E61" s="461"/>
      <c r="F61" s="461"/>
      <c r="G61" s="461">
        <v>4</v>
      </c>
      <c r="H61">
        <f t="shared" si="0"/>
        <v>5</v>
      </c>
    </row>
    <row r="62" spans="1:8" x14ac:dyDescent="0.35">
      <c r="A62" t="s">
        <v>773</v>
      </c>
      <c r="B62" s="846" t="s">
        <v>57</v>
      </c>
      <c r="C62" s="461">
        <v>3</v>
      </c>
      <c r="D62" s="461">
        <v>1</v>
      </c>
      <c r="E62" s="461"/>
      <c r="F62" s="461">
        <v>1</v>
      </c>
      <c r="G62" s="461">
        <v>7</v>
      </c>
      <c r="H62">
        <f t="shared" si="0"/>
        <v>12</v>
      </c>
    </row>
    <row r="63" spans="1:8" x14ac:dyDescent="0.35">
      <c r="A63" t="s">
        <v>773</v>
      </c>
      <c r="B63" s="846" t="s">
        <v>58</v>
      </c>
      <c r="C63" s="461">
        <v>1</v>
      </c>
      <c r="D63" s="461"/>
      <c r="E63" s="461"/>
      <c r="F63" s="461"/>
      <c r="G63" s="461">
        <v>9</v>
      </c>
      <c r="H63">
        <f t="shared" si="0"/>
        <v>10</v>
      </c>
    </row>
    <row r="64" spans="1:8" x14ac:dyDescent="0.35">
      <c r="A64" t="s">
        <v>773</v>
      </c>
      <c r="B64" s="846" t="s">
        <v>59</v>
      </c>
      <c r="C64" s="461">
        <v>1</v>
      </c>
      <c r="D64" s="461">
        <v>1</v>
      </c>
      <c r="E64" s="461"/>
      <c r="F64" s="461"/>
      <c r="G64" s="461">
        <v>1</v>
      </c>
      <c r="H64">
        <f t="shared" si="0"/>
        <v>3</v>
      </c>
    </row>
    <row r="65" spans="1:8" x14ac:dyDescent="0.35">
      <c r="A65" t="s">
        <v>773</v>
      </c>
      <c r="B65" s="846" t="s">
        <v>60</v>
      </c>
      <c r="C65" s="461"/>
      <c r="D65" s="461">
        <v>1</v>
      </c>
      <c r="E65" s="461">
        <v>1</v>
      </c>
      <c r="F65" s="461"/>
      <c r="G65" s="461">
        <v>4</v>
      </c>
      <c r="H65">
        <f t="shared" si="0"/>
        <v>6</v>
      </c>
    </row>
    <row r="66" spans="1:8" x14ac:dyDescent="0.35">
      <c r="A66" t="s">
        <v>951</v>
      </c>
      <c r="B66" s="846" t="s">
        <v>31</v>
      </c>
      <c r="C66" s="461">
        <v>3</v>
      </c>
      <c r="D66" s="461"/>
      <c r="E66" s="461"/>
      <c r="F66" s="461"/>
      <c r="G66" s="461">
        <v>1</v>
      </c>
      <c r="H66">
        <f t="shared" si="0"/>
        <v>4</v>
      </c>
    </row>
    <row r="67" spans="1:8" x14ac:dyDescent="0.35">
      <c r="A67" t="s">
        <v>951</v>
      </c>
      <c r="B67" s="846" t="s">
        <v>32</v>
      </c>
      <c r="C67" s="461"/>
      <c r="D67" s="461">
        <v>1</v>
      </c>
      <c r="E67" s="461"/>
      <c r="F67" s="461"/>
      <c r="G67" s="461">
        <v>23</v>
      </c>
      <c r="H67">
        <f t="shared" ref="H67:H97" si="1">SUM(C67:G67)</f>
        <v>24</v>
      </c>
    </row>
    <row r="68" spans="1:8" x14ac:dyDescent="0.35">
      <c r="A68" t="s">
        <v>951</v>
      </c>
      <c r="B68" s="846" t="s">
        <v>33</v>
      </c>
      <c r="C68" s="461"/>
      <c r="D68" s="461">
        <v>1</v>
      </c>
      <c r="E68" s="461"/>
      <c r="F68" s="461"/>
      <c r="G68" s="461">
        <v>5</v>
      </c>
      <c r="H68">
        <f t="shared" si="1"/>
        <v>6</v>
      </c>
    </row>
    <row r="69" spans="1:8" x14ac:dyDescent="0.35">
      <c r="A69" t="s">
        <v>951</v>
      </c>
      <c r="B69" s="846" t="s">
        <v>34</v>
      </c>
      <c r="C69" s="461"/>
      <c r="D69" s="461">
        <v>2</v>
      </c>
      <c r="E69" s="461"/>
      <c r="F69" s="461">
        <v>25</v>
      </c>
      <c r="G69" s="461">
        <v>12</v>
      </c>
      <c r="H69">
        <f t="shared" si="1"/>
        <v>39</v>
      </c>
    </row>
    <row r="70" spans="1:8" x14ac:dyDescent="0.35">
      <c r="A70" t="s">
        <v>951</v>
      </c>
      <c r="B70" s="846" t="s">
        <v>245</v>
      </c>
      <c r="C70" s="461">
        <v>7</v>
      </c>
      <c r="D70" s="461"/>
      <c r="E70" s="461"/>
      <c r="F70" s="461"/>
      <c r="G70" s="461">
        <v>1</v>
      </c>
      <c r="H70">
        <f t="shared" si="1"/>
        <v>8</v>
      </c>
    </row>
    <row r="71" spans="1:8" x14ac:dyDescent="0.35">
      <c r="A71" t="s">
        <v>951</v>
      </c>
      <c r="B71" s="846" t="s">
        <v>35</v>
      </c>
      <c r="C71" s="461"/>
      <c r="D71" s="461">
        <v>1</v>
      </c>
      <c r="E71" s="461"/>
      <c r="F71" s="461"/>
      <c r="G71" s="461">
        <v>1</v>
      </c>
      <c r="H71">
        <f t="shared" si="1"/>
        <v>2</v>
      </c>
    </row>
    <row r="72" spans="1:8" x14ac:dyDescent="0.35">
      <c r="A72" t="s">
        <v>951</v>
      </c>
      <c r="B72" s="846" t="s">
        <v>36</v>
      </c>
      <c r="C72" s="461"/>
      <c r="D72" s="461">
        <v>1</v>
      </c>
      <c r="E72" s="461"/>
      <c r="F72" s="461">
        <v>1</v>
      </c>
      <c r="G72" s="461">
        <v>15</v>
      </c>
      <c r="H72">
        <f t="shared" si="1"/>
        <v>17</v>
      </c>
    </row>
    <row r="73" spans="1:8" x14ac:dyDescent="0.35">
      <c r="A73" t="s">
        <v>951</v>
      </c>
      <c r="B73" s="846" t="s">
        <v>37</v>
      </c>
      <c r="C73" s="461">
        <v>3</v>
      </c>
      <c r="D73" s="461">
        <v>1</v>
      </c>
      <c r="E73" s="461"/>
      <c r="F73" s="461"/>
      <c r="G73" s="461"/>
      <c r="H73">
        <f t="shared" si="1"/>
        <v>4</v>
      </c>
    </row>
    <row r="74" spans="1:8" x14ac:dyDescent="0.35">
      <c r="A74" t="s">
        <v>951</v>
      </c>
      <c r="B74" s="846" t="s">
        <v>38</v>
      </c>
      <c r="C74" s="461">
        <v>1</v>
      </c>
      <c r="D74" s="461"/>
      <c r="E74" s="461"/>
      <c r="F74" s="461"/>
      <c r="G74" s="461">
        <v>7</v>
      </c>
      <c r="H74">
        <f t="shared" si="1"/>
        <v>8</v>
      </c>
    </row>
    <row r="75" spans="1:8" x14ac:dyDescent="0.35">
      <c r="A75" t="s">
        <v>951</v>
      </c>
      <c r="B75" s="846" t="s">
        <v>39</v>
      </c>
      <c r="C75" s="461">
        <v>3</v>
      </c>
      <c r="D75" s="461"/>
      <c r="E75" s="461"/>
      <c r="F75" s="461"/>
      <c r="G75" s="461"/>
      <c r="H75">
        <f t="shared" si="1"/>
        <v>3</v>
      </c>
    </row>
    <row r="76" spans="1:8" x14ac:dyDescent="0.35">
      <c r="A76" t="s">
        <v>951</v>
      </c>
      <c r="B76" s="846" t="s">
        <v>40</v>
      </c>
      <c r="C76" s="461">
        <v>1</v>
      </c>
      <c r="D76" s="461"/>
      <c r="E76" s="461"/>
      <c r="F76" s="461"/>
      <c r="G76" s="461">
        <v>5</v>
      </c>
      <c r="H76">
        <f t="shared" si="1"/>
        <v>6</v>
      </c>
    </row>
    <row r="77" spans="1:8" x14ac:dyDescent="0.35">
      <c r="A77" t="s">
        <v>951</v>
      </c>
      <c r="B77" s="846" t="s">
        <v>41</v>
      </c>
      <c r="C77" s="461">
        <v>2</v>
      </c>
      <c r="D77" s="461"/>
      <c r="E77" s="461"/>
      <c r="F77" s="461"/>
      <c r="G77" s="461"/>
      <c r="H77">
        <f t="shared" si="1"/>
        <v>2</v>
      </c>
    </row>
    <row r="78" spans="1:8" x14ac:dyDescent="0.35">
      <c r="A78" t="s">
        <v>951</v>
      </c>
      <c r="B78" s="846" t="s">
        <v>42</v>
      </c>
      <c r="C78" s="461"/>
      <c r="D78" s="461">
        <v>3</v>
      </c>
      <c r="E78" s="461"/>
      <c r="F78" s="461"/>
      <c r="G78" s="461">
        <v>2</v>
      </c>
      <c r="H78">
        <f t="shared" si="1"/>
        <v>5</v>
      </c>
    </row>
    <row r="79" spans="1:8" x14ac:dyDescent="0.35">
      <c r="A79" t="s">
        <v>951</v>
      </c>
      <c r="B79" s="846" t="s">
        <v>43</v>
      </c>
      <c r="C79" s="461">
        <v>5</v>
      </c>
      <c r="D79" s="461"/>
      <c r="E79" s="461"/>
      <c r="F79" s="461"/>
      <c r="G79" s="461">
        <v>8</v>
      </c>
      <c r="H79">
        <f t="shared" si="1"/>
        <v>13</v>
      </c>
    </row>
    <row r="80" spans="1:8" x14ac:dyDescent="0.35">
      <c r="A80" t="s">
        <v>951</v>
      </c>
      <c r="B80" s="846" t="s">
        <v>114</v>
      </c>
      <c r="C80" s="461">
        <v>11</v>
      </c>
      <c r="D80" s="461"/>
      <c r="E80" s="461"/>
      <c r="F80" s="461"/>
      <c r="G80" s="461"/>
      <c r="H80">
        <f t="shared" si="1"/>
        <v>11</v>
      </c>
    </row>
    <row r="81" spans="1:8" x14ac:dyDescent="0.35">
      <c r="A81" t="s">
        <v>951</v>
      </c>
      <c r="B81" s="846" t="s">
        <v>44</v>
      </c>
      <c r="C81" s="461"/>
      <c r="D81" s="461">
        <v>1</v>
      </c>
      <c r="E81" s="461"/>
      <c r="F81" s="461">
        <v>9</v>
      </c>
      <c r="G81" s="461">
        <v>51</v>
      </c>
      <c r="H81">
        <f t="shared" si="1"/>
        <v>61</v>
      </c>
    </row>
    <row r="82" spans="1:8" x14ac:dyDescent="0.35">
      <c r="A82" t="s">
        <v>951</v>
      </c>
      <c r="B82" s="846" t="s">
        <v>45</v>
      </c>
      <c r="C82" s="461"/>
      <c r="D82" s="461">
        <v>2</v>
      </c>
      <c r="E82" s="461"/>
      <c r="F82" s="461"/>
      <c r="G82" s="461">
        <v>1</v>
      </c>
      <c r="H82">
        <f t="shared" si="1"/>
        <v>3</v>
      </c>
    </row>
    <row r="83" spans="1:8" x14ac:dyDescent="0.35">
      <c r="A83" t="s">
        <v>951</v>
      </c>
      <c r="B83" s="846" t="s">
        <v>46</v>
      </c>
      <c r="C83" s="461">
        <v>1</v>
      </c>
      <c r="D83" s="461"/>
      <c r="E83" s="461"/>
      <c r="F83" s="461"/>
      <c r="G83" s="461">
        <v>1</v>
      </c>
      <c r="H83">
        <f t="shared" si="1"/>
        <v>2</v>
      </c>
    </row>
    <row r="84" spans="1:8" x14ac:dyDescent="0.35">
      <c r="A84" t="s">
        <v>951</v>
      </c>
      <c r="B84" s="846" t="s">
        <v>47</v>
      </c>
      <c r="C84" s="461"/>
      <c r="D84" s="461">
        <v>1</v>
      </c>
      <c r="E84" s="461"/>
      <c r="F84" s="461">
        <v>1</v>
      </c>
      <c r="G84" s="461">
        <v>10</v>
      </c>
      <c r="H84">
        <f t="shared" si="1"/>
        <v>12</v>
      </c>
    </row>
    <row r="85" spans="1:8" x14ac:dyDescent="0.35">
      <c r="A85" t="s">
        <v>951</v>
      </c>
      <c r="B85" s="846" t="s">
        <v>48</v>
      </c>
      <c r="C85" s="461"/>
      <c r="D85" s="461"/>
      <c r="E85" s="461"/>
      <c r="F85" s="461"/>
      <c r="G85" s="461">
        <v>14</v>
      </c>
      <c r="H85">
        <f t="shared" si="1"/>
        <v>14</v>
      </c>
    </row>
    <row r="86" spans="1:8" x14ac:dyDescent="0.35">
      <c r="A86" t="s">
        <v>951</v>
      </c>
      <c r="B86" s="846" t="s">
        <v>49</v>
      </c>
      <c r="C86" s="461">
        <v>1</v>
      </c>
      <c r="D86" s="461">
        <v>2</v>
      </c>
      <c r="E86" s="461"/>
      <c r="F86" s="461">
        <v>3</v>
      </c>
      <c r="G86" s="461">
        <v>8</v>
      </c>
      <c r="H86">
        <f t="shared" si="1"/>
        <v>14</v>
      </c>
    </row>
    <row r="87" spans="1:8" x14ac:dyDescent="0.35">
      <c r="A87" t="s">
        <v>951</v>
      </c>
      <c r="B87" s="846" t="s">
        <v>50</v>
      </c>
      <c r="C87" s="461">
        <v>4</v>
      </c>
      <c r="D87" s="461"/>
      <c r="E87" s="461"/>
      <c r="F87" s="461"/>
      <c r="G87" s="461">
        <v>3</v>
      </c>
      <c r="H87">
        <f t="shared" si="1"/>
        <v>7</v>
      </c>
    </row>
    <row r="88" spans="1:8" x14ac:dyDescent="0.35">
      <c r="A88" t="s">
        <v>951</v>
      </c>
      <c r="B88" s="846" t="s">
        <v>51</v>
      </c>
      <c r="C88" s="461"/>
      <c r="D88" s="461"/>
      <c r="E88" s="461"/>
      <c r="F88" s="461"/>
      <c r="G88" s="461">
        <v>12</v>
      </c>
      <c r="H88">
        <f t="shared" si="1"/>
        <v>12</v>
      </c>
    </row>
    <row r="89" spans="1:8" x14ac:dyDescent="0.35">
      <c r="A89" t="s">
        <v>951</v>
      </c>
      <c r="B89" s="846" t="s">
        <v>52</v>
      </c>
      <c r="C89" s="461">
        <v>1</v>
      </c>
      <c r="D89" s="461"/>
      <c r="E89" s="461"/>
      <c r="F89" s="461">
        <v>3</v>
      </c>
      <c r="G89" s="461">
        <v>10</v>
      </c>
      <c r="H89">
        <f t="shared" si="1"/>
        <v>14</v>
      </c>
    </row>
    <row r="90" spans="1:8" x14ac:dyDescent="0.35">
      <c r="A90" t="s">
        <v>951</v>
      </c>
      <c r="B90" s="846" t="s">
        <v>53</v>
      </c>
      <c r="C90" s="461">
        <v>2</v>
      </c>
      <c r="D90" s="461">
        <v>1</v>
      </c>
      <c r="E90" s="461"/>
      <c r="F90" s="461"/>
      <c r="G90" s="461"/>
      <c r="H90">
        <f t="shared" si="1"/>
        <v>3</v>
      </c>
    </row>
    <row r="91" spans="1:8" x14ac:dyDescent="0.35">
      <c r="A91" t="s">
        <v>951</v>
      </c>
      <c r="B91" s="846" t="s">
        <v>54</v>
      </c>
      <c r="C91" s="461"/>
      <c r="D91" s="461">
        <v>2</v>
      </c>
      <c r="E91" s="461"/>
      <c r="F91" s="461"/>
      <c r="G91" s="461">
        <v>11</v>
      </c>
      <c r="H91">
        <f t="shared" si="1"/>
        <v>13</v>
      </c>
    </row>
    <row r="92" spans="1:8" x14ac:dyDescent="0.35">
      <c r="A92" t="s">
        <v>951</v>
      </c>
      <c r="B92" s="846" t="s">
        <v>55</v>
      </c>
      <c r="C92" s="461"/>
      <c r="D92" s="461"/>
      <c r="E92" s="461"/>
      <c r="F92" s="461"/>
      <c r="G92" s="461">
        <v>14</v>
      </c>
      <c r="H92">
        <f t="shared" si="1"/>
        <v>14</v>
      </c>
    </row>
    <row r="93" spans="1:8" x14ac:dyDescent="0.35">
      <c r="A93" t="s">
        <v>951</v>
      </c>
      <c r="B93" s="846" t="s">
        <v>56</v>
      </c>
      <c r="C93" s="461"/>
      <c r="D93" s="461">
        <v>1</v>
      </c>
      <c r="E93" s="461"/>
      <c r="F93" s="461"/>
      <c r="G93" s="461">
        <v>4</v>
      </c>
      <c r="H93">
        <f t="shared" si="1"/>
        <v>5</v>
      </c>
    </row>
    <row r="94" spans="1:8" x14ac:dyDescent="0.35">
      <c r="A94" t="s">
        <v>951</v>
      </c>
      <c r="B94" s="846" t="s">
        <v>57</v>
      </c>
      <c r="C94" s="461">
        <v>3</v>
      </c>
      <c r="D94" s="461">
        <v>1</v>
      </c>
      <c r="E94" s="461"/>
      <c r="F94" s="461">
        <v>1</v>
      </c>
      <c r="G94" s="461">
        <v>7</v>
      </c>
      <c r="H94">
        <f t="shared" si="1"/>
        <v>12</v>
      </c>
    </row>
    <row r="95" spans="1:8" x14ac:dyDescent="0.35">
      <c r="A95" t="s">
        <v>951</v>
      </c>
      <c r="B95" s="846" t="s">
        <v>58</v>
      </c>
      <c r="C95" s="461">
        <v>1</v>
      </c>
      <c r="D95" s="461"/>
      <c r="E95" s="461"/>
      <c r="F95" s="461"/>
      <c r="G95" s="461">
        <v>9</v>
      </c>
      <c r="H95">
        <f t="shared" si="1"/>
        <v>10</v>
      </c>
    </row>
    <row r="96" spans="1:8" x14ac:dyDescent="0.35">
      <c r="A96" t="s">
        <v>951</v>
      </c>
      <c r="B96" s="846" t="s">
        <v>59</v>
      </c>
      <c r="C96" s="461">
        <v>1</v>
      </c>
      <c r="D96" s="461">
        <v>1</v>
      </c>
      <c r="E96" s="461"/>
      <c r="F96" s="461"/>
      <c r="G96" s="461">
        <v>1</v>
      </c>
      <c r="H96">
        <f t="shared" si="1"/>
        <v>3</v>
      </c>
    </row>
    <row r="97" spans="1:8" x14ac:dyDescent="0.35">
      <c r="A97" t="s">
        <v>951</v>
      </c>
      <c r="B97" s="846" t="s">
        <v>60</v>
      </c>
      <c r="C97" s="461"/>
      <c r="D97" s="461">
        <v>1</v>
      </c>
      <c r="E97" s="461">
        <v>1</v>
      </c>
      <c r="F97" s="461"/>
      <c r="G97" s="461">
        <v>4</v>
      </c>
      <c r="H97">
        <f t="shared" si="1"/>
        <v>6</v>
      </c>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17"/>
  <sheetViews>
    <sheetView topLeftCell="K1" workbookViewId="0">
      <selection activeCell="Q6" sqref="Q6"/>
    </sheetView>
  </sheetViews>
  <sheetFormatPr defaultRowHeight="14.5" x14ac:dyDescent="0.35"/>
  <cols>
    <col min="1" max="1" width="12.36328125" bestFit="1" customWidth="1"/>
    <col min="2" max="2" width="15.26953125" bestFit="1" customWidth="1"/>
    <col min="3" max="3" width="20.08984375" bestFit="1" customWidth="1"/>
    <col min="4" max="4" width="16.1796875" bestFit="1" customWidth="1"/>
    <col min="5" max="5" width="12.1796875" bestFit="1" customWidth="1"/>
    <col min="6" max="6" width="20.08984375" bestFit="1" customWidth="1"/>
    <col min="7" max="7" width="16.1796875" bestFit="1" customWidth="1"/>
    <col min="8" max="8" width="12.1796875" bestFit="1" customWidth="1"/>
    <col min="9" max="9" width="20.08984375" bestFit="1" customWidth="1"/>
    <col min="10" max="10" width="16.1796875" bestFit="1" customWidth="1"/>
    <col min="11" max="11" width="12.1796875" bestFit="1" customWidth="1"/>
    <col min="12" max="12" width="20.08984375" bestFit="1" customWidth="1"/>
    <col min="13" max="13" width="16.1796875" bestFit="1" customWidth="1"/>
    <col min="14" max="14" width="12.1796875" bestFit="1" customWidth="1"/>
    <col min="15" max="15" width="20.08984375" bestFit="1" customWidth="1"/>
    <col min="16" max="16" width="16.1796875" bestFit="1" customWidth="1"/>
    <col min="17" max="17" width="12.1796875" bestFit="1" customWidth="1"/>
    <col min="18" max="18" width="20.08984375" bestFit="1" customWidth="1"/>
    <col min="19" max="19" width="16.1796875" bestFit="1" customWidth="1"/>
    <col min="20" max="20" width="12.1796875" bestFit="1" customWidth="1"/>
    <col min="21" max="21" width="20.08984375" bestFit="1" customWidth="1"/>
    <col min="22" max="22" width="16.1796875" bestFit="1" customWidth="1"/>
    <col min="23" max="23" width="12.1796875" bestFit="1" customWidth="1"/>
    <col min="24" max="24" width="20.08984375" bestFit="1" customWidth="1"/>
    <col min="25" max="25" width="16.1796875" bestFit="1" customWidth="1"/>
    <col min="26" max="26" width="12.1796875" bestFit="1" customWidth="1"/>
    <col min="27" max="27" width="20.08984375" bestFit="1" customWidth="1"/>
    <col min="28" max="28" width="16.1796875" bestFit="1" customWidth="1"/>
    <col min="29" max="29" width="17.08984375" bestFit="1" customWidth="1"/>
    <col min="30" max="30" width="24.90625" bestFit="1" customWidth="1"/>
    <col min="31" max="31" width="21.08984375" bestFit="1" customWidth="1"/>
  </cols>
  <sheetData>
    <row r="3" spans="1:31" x14ac:dyDescent="0.35">
      <c r="B3" s="459" t="s">
        <v>256</v>
      </c>
    </row>
    <row r="4" spans="1:31" x14ac:dyDescent="0.35">
      <c r="B4" t="s">
        <v>2</v>
      </c>
      <c r="E4" t="s">
        <v>9</v>
      </c>
      <c r="H4" t="s">
        <v>774</v>
      </c>
      <c r="K4" t="s">
        <v>3</v>
      </c>
      <c r="N4" t="s">
        <v>26</v>
      </c>
      <c r="Q4" t="s">
        <v>307</v>
      </c>
      <c r="T4" t="s">
        <v>300</v>
      </c>
      <c r="W4" t="s">
        <v>301</v>
      </c>
      <c r="Z4" t="s">
        <v>299</v>
      </c>
      <c r="AC4" t="s">
        <v>17431</v>
      </c>
      <c r="AD4" t="s">
        <v>17432</v>
      </c>
      <c r="AE4" t="s">
        <v>17433</v>
      </c>
    </row>
    <row r="5" spans="1:31" x14ac:dyDescent="0.35">
      <c r="A5" s="459" t="s">
        <v>234</v>
      </c>
      <c r="B5" t="s">
        <v>309</v>
      </c>
      <c r="C5" t="s">
        <v>311</v>
      </c>
      <c r="D5" t="s">
        <v>310</v>
      </c>
      <c r="E5" t="s">
        <v>309</v>
      </c>
      <c r="F5" t="s">
        <v>311</v>
      </c>
      <c r="G5" t="s">
        <v>310</v>
      </c>
      <c r="H5" t="s">
        <v>309</v>
      </c>
      <c r="I5" t="s">
        <v>311</v>
      </c>
      <c r="J5" t="s">
        <v>310</v>
      </c>
      <c r="K5" t="s">
        <v>309</v>
      </c>
      <c r="L5" t="s">
        <v>311</v>
      </c>
      <c r="M5" t="s">
        <v>310</v>
      </c>
      <c r="N5" t="s">
        <v>309</v>
      </c>
      <c r="O5" t="s">
        <v>311</v>
      </c>
      <c r="P5" t="s">
        <v>310</v>
      </c>
      <c r="Q5" t="s">
        <v>309</v>
      </c>
      <c r="R5" t="s">
        <v>311</v>
      </c>
      <c r="S5" t="s">
        <v>310</v>
      </c>
      <c r="T5" t="s">
        <v>309</v>
      </c>
      <c r="U5" t="s">
        <v>311</v>
      </c>
      <c r="V5" t="s">
        <v>310</v>
      </c>
      <c r="W5" t="s">
        <v>309</v>
      </c>
      <c r="X5" t="s">
        <v>311</v>
      </c>
      <c r="Y5" t="s">
        <v>310</v>
      </c>
      <c r="Z5" t="s">
        <v>309</v>
      </c>
      <c r="AA5" t="s">
        <v>311</v>
      </c>
      <c r="AB5" t="s">
        <v>310</v>
      </c>
    </row>
    <row r="6" spans="1:31" x14ac:dyDescent="0.35">
      <c r="A6" s="822" t="s">
        <v>308</v>
      </c>
      <c r="B6" s="461">
        <v>84.6</v>
      </c>
      <c r="C6" s="461">
        <v>0.4</v>
      </c>
      <c r="D6" s="461">
        <v>15</v>
      </c>
      <c r="E6" s="461">
        <v>81.8</v>
      </c>
      <c r="F6" s="461">
        <v>0.2</v>
      </c>
      <c r="G6" s="461">
        <v>18</v>
      </c>
      <c r="H6" s="461"/>
      <c r="I6" s="461"/>
      <c r="J6" s="461"/>
      <c r="K6" s="461">
        <v>65.5</v>
      </c>
      <c r="L6" s="461">
        <v>1</v>
      </c>
      <c r="M6" s="461">
        <v>33.5</v>
      </c>
      <c r="N6" s="461">
        <v>74.400000000000006</v>
      </c>
      <c r="O6" s="461">
        <v>0.6</v>
      </c>
      <c r="P6" s="461">
        <v>25</v>
      </c>
      <c r="Q6" s="461">
        <v>75</v>
      </c>
      <c r="R6" s="461">
        <v>0.6</v>
      </c>
      <c r="S6" s="461">
        <v>24.4</v>
      </c>
      <c r="T6" s="461">
        <v>62.7</v>
      </c>
      <c r="U6" s="461">
        <v>0.2</v>
      </c>
      <c r="V6" s="461">
        <v>37</v>
      </c>
      <c r="W6" s="461">
        <v>72.2</v>
      </c>
      <c r="X6" s="461">
        <v>0.8</v>
      </c>
      <c r="Y6" s="461">
        <v>27.1</v>
      </c>
      <c r="Z6" s="461"/>
      <c r="AA6" s="461"/>
      <c r="AB6" s="461"/>
      <c r="AC6" s="461">
        <v>516.19999999999993</v>
      </c>
      <c r="AD6" s="461">
        <v>3.8000000000000007</v>
      </c>
      <c r="AE6" s="461">
        <v>180</v>
      </c>
    </row>
    <row r="7" spans="1:31" x14ac:dyDescent="0.35">
      <c r="A7" s="822" t="s">
        <v>195</v>
      </c>
      <c r="B7" s="461">
        <v>89.7</v>
      </c>
      <c r="C7" s="461">
        <v>0.4</v>
      </c>
      <c r="D7" s="461">
        <v>9.8000000000000007</v>
      </c>
      <c r="E7" s="461">
        <v>80.900000000000006</v>
      </c>
      <c r="F7" s="461">
        <v>0.2</v>
      </c>
      <c r="G7" s="461">
        <v>18.899999999999999</v>
      </c>
      <c r="H7" s="461"/>
      <c r="I7" s="461"/>
      <c r="J7" s="461"/>
      <c r="K7" s="461">
        <v>78.400000000000006</v>
      </c>
      <c r="L7" s="461">
        <v>1</v>
      </c>
      <c r="M7" s="461">
        <v>20.6</v>
      </c>
      <c r="N7" s="461">
        <v>80.099999999999994</v>
      </c>
      <c r="O7" s="461">
        <v>0.6</v>
      </c>
      <c r="P7" s="461">
        <v>19.3</v>
      </c>
      <c r="Q7" s="461">
        <v>81</v>
      </c>
      <c r="R7" s="461">
        <v>0.6</v>
      </c>
      <c r="S7" s="461">
        <v>18.399999999999999</v>
      </c>
      <c r="T7" s="461">
        <v>61.4</v>
      </c>
      <c r="U7" s="461">
        <v>0.5</v>
      </c>
      <c r="V7" s="461">
        <v>38.1</v>
      </c>
      <c r="W7" s="461">
        <v>81.2</v>
      </c>
      <c r="X7" s="461">
        <v>0.7</v>
      </c>
      <c r="Y7" s="461">
        <v>18</v>
      </c>
      <c r="Z7" s="461"/>
      <c r="AA7" s="461"/>
      <c r="AB7" s="461"/>
      <c r="AC7" s="461">
        <v>552.70000000000005</v>
      </c>
      <c r="AD7" s="461">
        <v>4</v>
      </c>
      <c r="AE7" s="461">
        <v>143.1</v>
      </c>
    </row>
    <row r="8" spans="1:31" x14ac:dyDescent="0.35">
      <c r="A8" s="822" t="s">
        <v>194</v>
      </c>
      <c r="B8" s="461">
        <v>49.3</v>
      </c>
      <c r="C8" s="461"/>
      <c r="D8" s="461">
        <v>50.7</v>
      </c>
      <c r="E8" s="461">
        <v>69.599999999999994</v>
      </c>
      <c r="F8" s="461">
        <v>1.1000000000000001</v>
      </c>
      <c r="G8" s="461">
        <v>29.3</v>
      </c>
      <c r="H8" s="461"/>
      <c r="I8" s="461"/>
      <c r="J8" s="461"/>
      <c r="K8" s="461">
        <v>55.2</v>
      </c>
      <c r="L8" s="461">
        <v>1</v>
      </c>
      <c r="M8" s="461">
        <v>43.8</v>
      </c>
      <c r="N8" s="461">
        <v>61.1</v>
      </c>
      <c r="O8" s="461">
        <v>0.8</v>
      </c>
      <c r="P8" s="461">
        <v>38.1</v>
      </c>
      <c r="Q8" s="461">
        <v>62.5</v>
      </c>
      <c r="R8" s="461">
        <v>0.8</v>
      </c>
      <c r="S8" s="461">
        <v>36.700000000000003</v>
      </c>
      <c r="T8" s="461">
        <v>30.1</v>
      </c>
      <c r="U8" s="461">
        <v>0.6</v>
      </c>
      <c r="V8" s="461">
        <v>69.400000000000006</v>
      </c>
      <c r="W8" s="461">
        <v>59.8</v>
      </c>
      <c r="X8" s="461">
        <v>0.6</v>
      </c>
      <c r="Y8" s="461">
        <v>39.6</v>
      </c>
      <c r="Z8" s="461"/>
      <c r="AA8" s="461"/>
      <c r="AB8" s="461"/>
      <c r="AC8" s="461">
        <v>387.6</v>
      </c>
      <c r="AD8" s="461">
        <v>4.8999999999999995</v>
      </c>
      <c r="AE8" s="461">
        <v>307.60000000000002</v>
      </c>
    </row>
    <row r="9" spans="1:31" x14ac:dyDescent="0.35">
      <c r="A9" s="822" t="s">
        <v>193</v>
      </c>
      <c r="B9" s="461">
        <v>63</v>
      </c>
      <c r="C9" s="461">
        <v>0.4</v>
      </c>
      <c r="D9" s="461">
        <v>36.5</v>
      </c>
      <c r="E9" s="461">
        <v>67</v>
      </c>
      <c r="F9" s="461">
        <v>0.1</v>
      </c>
      <c r="G9" s="461">
        <v>32.799999999999997</v>
      </c>
      <c r="H9" s="461"/>
      <c r="I9" s="461"/>
      <c r="J9" s="461"/>
      <c r="K9" s="461">
        <v>53.7</v>
      </c>
      <c r="L9" s="461">
        <v>1.2</v>
      </c>
      <c r="M9" s="461">
        <v>45.1</v>
      </c>
      <c r="N9" s="461">
        <v>60.2</v>
      </c>
      <c r="O9" s="461">
        <v>0.5</v>
      </c>
      <c r="P9" s="461">
        <v>39.299999999999997</v>
      </c>
      <c r="Q9" s="461">
        <v>61.8</v>
      </c>
      <c r="R9" s="461">
        <v>0.5</v>
      </c>
      <c r="S9" s="461">
        <v>37.700000000000003</v>
      </c>
      <c r="T9" s="461">
        <v>26.7</v>
      </c>
      <c r="U9" s="461">
        <v>0.5</v>
      </c>
      <c r="V9" s="461">
        <v>72.8</v>
      </c>
      <c r="W9" s="461">
        <v>59.5</v>
      </c>
      <c r="X9" s="461">
        <v>0.6</v>
      </c>
      <c r="Y9" s="461">
        <v>39.9</v>
      </c>
      <c r="Z9" s="461"/>
      <c r="AA9" s="461"/>
      <c r="AB9" s="461"/>
      <c r="AC9" s="461">
        <v>391.9</v>
      </c>
      <c r="AD9" s="461">
        <v>3.8000000000000003</v>
      </c>
      <c r="AE9" s="461">
        <v>304.09999999999997</v>
      </c>
    </row>
    <row r="10" spans="1:31" x14ac:dyDescent="0.35">
      <c r="A10" s="822" t="s">
        <v>192</v>
      </c>
      <c r="B10" s="461">
        <v>64</v>
      </c>
      <c r="C10" s="461">
        <v>0.5</v>
      </c>
      <c r="D10" s="461">
        <v>35.5</v>
      </c>
      <c r="E10" s="461">
        <v>60</v>
      </c>
      <c r="F10" s="461">
        <v>0.6</v>
      </c>
      <c r="G10" s="461">
        <v>39.4</v>
      </c>
      <c r="H10" s="461"/>
      <c r="I10" s="461"/>
      <c r="J10" s="461"/>
      <c r="K10" s="461">
        <v>53.4</v>
      </c>
      <c r="L10" s="461">
        <v>0.8</v>
      </c>
      <c r="M10" s="461">
        <v>45.8</v>
      </c>
      <c r="N10" s="461">
        <v>55.3</v>
      </c>
      <c r="O10" s="461">
        <v>0.6</v>
      </c>
      <c r="P10" s="461">
        <v>44.1</v>
      </c>
      <c r="Q10" s="461">
        <v>56.3</v>
      </c>
      <c r="R10" s="461">
        <v>0.6</v>
      </c>
      <c r="S10" s="461">
        <v>43.1</v>
      </c>
      <c r="T10" s="461">
        <v>32.5</v>
      </c>
      <c r="U10" s="461">
        <v>0.9</v>
      </c>
      <c r="V10" s="461">
        <v>66.7</v>
      </c>
      <c r="W10" s="461">
        <v>53.7</v>
      </c>
      <c r="X10" s="461">
        <v>0.5</v>
      </c>
      <c r="Y10" s="461">
        <v>45.7</v>
      </c>
      <c r="Z10" s="461"/>
      <c r="AA10" s="461"/>
      <c r="AB10" s="461"/>
      <c r="AC10" s="461">
        <v>375.2</v>
      </c>
      <c r="AD10" s="461">
        <v>4.5</v>
      </c>
      <c r="AE10" s="461">
        <v>320.3</v>
      </c>
    </row>
    <row r="11" spans="1:31" x14ac:dyDescent="0.35">
      <c r="A11" s="822" t="s">
        <v>258</v>
      </c>
      <c r="B11" s="461">
        <v>55.8</v>
      </c>
      <c r="C11" s="461">
        <v>0.6</v>
      </c>
      <c r="D11" s="461">
        <v>43.6</v>
      </c>
      <c r="E11" s="461">
        <v>58</v>
      </c>
      <c r="F11" s="461">
        <v>0.6</v>
      </c>
      <c r="G11" s="461">
        <v>41.4</v>
      </c>
      <c r="H11" s="461"/>
      <c r="I11" s="461"/>
      <c r="J11" s="461"/>
      <c r="K11" s="461">
        <v>53.9</v>
      </c>
      <c r="L11" s="461">
        <v>0.6</v>
      </c>
      <c r="M11" s="461">
        <v>45.5</v>
      </c>
      <c r="N11" s="461">
        <v>53.7</v>
      </c>
      <c r="O11" s="461">
        <v>0.6</v>
      </c>
      <c r="P11" s="461">
        <v>45.7</v>
      </c>
      <c r="Q11" s="461">
        <v>54.2</v>
      </c>
      <c r="R11" s="461">
        <v>0.6</v>
      </c>
      <c r="S11" s="461">
        <v>45.2</v>
      </c>
      <c r="T11" s="461">
        <v>42.7</v>
      </c>
      <c r="U11" s="461">
        <v>0.3</v>
      </c>
      <c r="V11" s="461">
        <v>57</v>
      </c>
      <c r="W11" s="461">
        <v>51.2</v>
      </c>
      <c r="X11" s="461">
        <v>0.5</v>
      </c>
      <c r="Y11" s="461">
        <v>48.3</v>
      </c>
      <c r="Z11" s="461"/>
      <c r="AA11" s="461"/>
      <c r="AB11" s="461"/>
      <c r="AC11" s="461">
        <v>369.49999999999994</v>
      </c>
      <c r="AD11" s="461">
        <v>3.8</v>
      </c>
      <c r="AE11" s="461">
        <v>326.7</v>
      </c>
    </row>
    <row r="12" spans="1:31" x14ac:dyDescent="0.35">
      <c r="A12" s="822" t="s">
        <v>242</v>
      </c>
      <c r="B12" s="461">
        <v>52.910052910052904</v>
      </c>
      <c r="C12" s="461">
        <v>0.52910052910052907</v>
      </c>
      <c r="D12" s="461">
        <v>46.560846560846556</v>
      </c>
      <c r="E12" s="461">
        <v>65.874956339504024</v>
      </c>
      <c r="F12" s="461">
        <v>1.1875654907439748</v>
      </c>
      <c r="G12" s="461">
        <v>32.937478169752012</v>
      </c>
      <c r="H12" s="461"/>
      <c r="I12" s="461"/>
      <c r="J12" s="461"/>
      <c r="K12" s="461">
        <v>61.229314420803782</v>
      </c>
      <c r="L12" s="461">
        <v>1.4184397163120568</v>
      </c>
      <c r="M12" s="461">
        <v>37.35224586288416</v>
      </c>
      <c r="N12" s="461">
        <v>59.194958847736622</v>
      </c>
      <c r="O12" s="461">
        <v>1.1702674897119343</v>
      </c>
      <c r="P12" s="461">
        <v>39.634773662551446</v>
      </c>
      <c r="Q12" s="461">
        <v>60.169263836646969</v>
      </c>
      <c r="R12" s="461">
        <v>1.1955937667920473</v>
      </c>
      <c r="S12" s="461">
        <v>38.635142396560987</v>
      </c>
      <c r="T12" s="461">
        <v>37.349397590361441</v>
      </c>
      <c r="U12" s="461">
        <v>0.60240963855421692</v>
      </c>
      <c r="V12" s="461">
        <v>62.048192771084345</v>
      </c>
      <c r="W12" s="461">
        <v>55.696559503666101</v>
      </c>
      <c r="X12" s="461">
        <v>1.1844331641285957</v>
      </c>
      <c r="Y12" s="461">
        <v>43.1190073322053</v>
      </c>
      <c r="Z12" s="461"/>
      <c r="AA12" s="461"/>
      <c r="AB12" s="461"/>
      <c r="AC12" s="461">
        <v>392.42450344877182</v>
      </c>
      <c r="AD12" s="461">
        <v>7.2878097953433549</v>
      </c>
      <c r="AE12" s="461">
        <v>300.28768675588481</v>
      </c>
    </row>
    <row r="13" spans="1:31" x14ac:dyDescent="0.35">
      <c r="A13" s="822" t="s">
        <v>241</v>
      </c>
      <c r="B13" s="461">
        <v>53.623188405797109</v>
      </c>
      <c r="C13" s="461">
        <v>0.96618357487922701</v>
      </c>
      <c r="D13" s="461">
        <v>45.410628019323674</v>
      </c>
      <c r="E13" s="461">
        <v>67.558415171012527</v>
      </c>
      <c r="F13" s="461">
        <v>1.1175076193701321</v>
      </c>
      <c r="G13" s="461">
        <v>31.324077209617339</v>
      </c>
      <c r="H13" s="461"/>
      <c r="I13" s="461"/>
      <c r="J13" s="461"/>
      <c r="K13" s="461">
        <v>68.055555555555557</v>
      </c>
      <c r="L13" s="461">
        <v>1.7676767676767675</v>
      </c>
      <c r="M13" s="461">
        <v>30.176767676767675</v>
      </c>
      <c r="N13" s="461">
        <v>62.699215785479382</v>
      </c>
      <c r="O13" s="461">
        <v>1.2142676448267138</v>
      </c>
      <c r="P13" s="461">
        <v>36.086516569693906</v>
      </c>
      <c r="Q13" s="461">
        <v>63.802872578732369</v>
      </c>
      <c r="R13" s="461">
        <v>1.2386348662537885</v>
      </c>
      <c r="S13" s="461">
        <v>34.958492555013834</v>
      </c>
      <c r="T13" s="461">
        <v>36.277602523659311</v>
      </c>
      <c r="U13" s="461">
        <v>0.63091482649842268</v>
      </c>
      <c r="V13" s="461">
        <v>63.09148264984227</v>
      </c>
      <c r="W13" s="461">
        <v>60.406928787462199</v>
      </c>
      <c r="X13" s="461">
        <v>1.2372834753918065</v>
      </c>
      <c r="Y13" s="461">
        <v>38.355787737146002</v>
      </c>
      <c r="Z13" s="461"/>
      <c r="AA13" s="461"/>
      <c r="AB13" s="461"/>
      <c r="AC13" s="461">
        <v>412.42377880769851</v>
      </c>
      <c r="AD13" s="461">
        <v>8.1724687748968563</v>
      </c>
      <c r="AE13" s="461">
        <v>279.40375241740469</v>
      </c>
    </row>
    <row r="14" spans="1:31" x14ac:dyDescent="0.35">
      <c r="A14" s="822" t="s">
        <v>773</v>
      </c>
      <c r="B14" s="461">
        <v>53.191489361702125</v>
      </c>
      <c r="C14" s="461">
        <v>1.0638297872340425</v>
      </c>
      <c r="D14" s="461">
        <v>45.744680851063826</v>
      </c>
      <c r="E14" s="461">
        <v>63.534218590398361</v>
      </c>
      <c r="F14" s="461">
        <v>1.0554988083077972</v>
      </c>
      <c r="G14" s="461">
        <v>35.410282601293837</v>
      </c>
      <c r="H14" s="461">
        <v>86.111111111111114</v>
      </c>
      <c r="I14" s="461"/>
      <c r="J14" s="461">
        <v>13.888888888888889</v>
      </c>
      <c r="K14" s="461">
        <v>66.992665036674808</v>
      </c>
      <c r="L14" s="461">
        <v>1.5892420537897312</v>
      </c>
      <c r="M14" s="461">
        <v>31.418092909535449</v>
      </c>
      <c r="N14" s="461">
        <v>61.197982345523329</v>
      </c>
      <c r="O14" s="461">
        <v>1.1727616645649432</v>
      </c>
      <c r="P14" s="461">
        <v>37.629255989911726</v>
      </c>
      <c r="Q14" s="461">
        <v>62.298095863427449</v>
      </c>
      <c r="R14" s="461">
        <v>1.1950098489822718</v>
      </c>
      <c r="S14" s="461">
        <v>36.506894287590278</v>
      </c>
      <c r="T14" s="461">
        <v>34.603174603174601</v>
      </c>
      <c r="U14" s="461">
        <v>0.63492063492063489</v>
      </c>
      <c r="V14" s="461">
        <v>64.761904761904759</v>
      </c>
      <c r="W14" s="461">
        <v>60.478547854785482</v>
      </c>
      <c r="X14" s="461">
        <v>1.2376237623762376</v>
      </c>
      <c r="Y14" s="461">
        <v>38.283828382838287</v>
      </c>
      <c r="Z14" s="461"/>
      <c r="AA14" s="461"/>
      <c r="AB14" s="461"/>
      <c r="AC14" s="461">
        <v>488.40728476679726</v>
      </c>
      <c r="AD14" s="461">
        <v>7.9488865601756586</v>
      </c>
      <c r="AE14" s="461">
        <v>303.64382867302703</v>
      </c>
    </row>
    <row r="15" spans="1:31" x14ac:dyDescent="0.35">
      <c r="A15" s="822" t="s">
        <v>951</v>
      </c>
      <c r="B15" s="461">
        <v>56.593406593406591</v>
      </c>
      <c r="C15" s="461">
        <v>1.098901098901099</v>
      </c>
      <c r="D15" s="461">
        <v>42.307692307692307</v>
      </c>
      <c r="E15" s="461">
        <v>61.142061281337043</v>
      </c>
      <c r="F15" s="461">
        <v>0.94011142061281339</v>
      </c>
      <c r="G15" s="461">
        <v>37.917827298050142</v>
      </c>
      <c r="H15" s="461">
        <v>87.037037037037038</v>
      </c>
      <c r="I15" s="461">
        <v>1.8518518518518516</v>
      </c>
      <c r="J15" s="461">
        <v>11.111111111111111</v>
      </c>
      <c r="K15" s="461">
        <v>66.746411483253581</v>
      </c>
      <c r="L15" s="461">
        <v>1.7942583732057416</v>
      </c>
      <c r="M15" s="461">
        <v>31.459330143540669</v>
      </c>
      <c r="N15" s="461">
        <v>60.094496232920449</v>
      </c>
      <c r="O15" s="461">
        <v>1.2131273145192185</v>
      </c>
      <c r="P15" s="461">
        <v>38.692376452560339</v>
      </c>
      <c r="Q15" s="461">
        <v>61.091923485653567</v>
      </c>
      <c r="R15" s="461">
        <v>1.2353878852284803</v>
      </c>
      <c r="S15" s="461">
        <v>37.672688629117964</v>
      </c>
      <c r="T15" s="461">
        <v>35.313531353135311</v>
      </c>
      <c r="U15" s="461">
        <v>0.66006600660066006</v>
      </c>
      <c r="V15" s="461">
        <v>64.026402640264024</v>
      </c>
      <c r="W15" s="461">
        <v>59.5703125</v>
      </c>
      <c r="X15" s="461">
        <v>1.3392857142857142</v>
      </c>
      <c r="Y15" s="461">
        <v>39.090401785714285</v>
      </c>
      <c r="Z15" s="461"/>
      <c r="AA15" s="461"/>
      <c r="AB15" s="461"/>
      <c r="AC15" s="461">
        <v>487.58917996674359</v>
      </c>
      <c r="AD15" s="461">
        <v>10.132989665205578</v>
      </c>
      <c r="AE15" s="461">
        <v>302.27783036805084</v>
      </c>
    </row>
    <row r="16" spans="1:31" x14ac:dyDescent="0.35">
      <c r="A16" s="822" t="s">
        <v>299</v>
      </c>
      <c r="B16" s="461"/>
      <c r="C16" s="461"/>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row>
    <row r="17" spans="1:31" x14ac:dyDescent="0.35">
      <c r="A17" s="822" t="s">
        <v>239</v>
      </c>
      <c r="B17" s="461">
        <v>622.71813727095878</v>
      </c>
      <c r="C17" s="461">
        <v>5.9580149901148971</v>
      </c>
      <c r="D17" s="461">
        <v>371.12384773892637</v>
      </c>
      <c r="E17" s="461">
        <v>675.40965138225192</v>
      </c>
      <c r="F17" s="461">
        <v>7.1006833390347186</v>
      </c>
      <c r="G17" s="461">
        <v>317.38966527871338</v>
      </c>
      <c r="H17" s="461">
        <v>173.14814814814815</v>
      </c>
      <c r="I17" s="461">
        <v>1.8518518518518516</v>
      </c>
      <c r="J17" s="461">
        <v>25</v>
      </c>
      <c r="K17" s="461">
        <v>623.12394649628777</v>
      </c>
      <c r="L17" s="461">
        <v>12.169616910984296</v>
      </c>
      <c r="M17" s="461">
        <v>364.70643659272798</v>
      </c>
      <c r="N17" s="461">
        <v>627.98665321165981</v>
      </c>
      <c r="O17" s="461">
        <v>8.4704241136228084</v>
      </c>
      <c r="P17" s="461">
        <v>363.54292267471737</v>
      </c>
      <c r="Q17" s="461">
        <v>638.16215576446029</v>
      </c>
      <c r="R17" s="461">
        <v>8.5646263672565883</v>
      </c>
      <c r="S17" s="461">
        <v>353.27321786828304</v>
      </c>
      <c r="T17" s="461">
        <v>399.64370607033061</v>
      </c>
      <c r="U17" s="461">
        <v>5.5283111065739341</v>
      </c>
      <c r="V17" s="461">
        <v>594.92798282309536</v>
      </c>
      <c r="W17" s="461">
        <v>613.7523486459138</v>
      </c>
      <c r="X17" s="461">
        <v>8.6986261161823535</v>
      </c>
      <c r="Y17" s="461">
        <v>377.44902523790387</v>
      </c>
      <c r="Z17" s="461"/>
      <c r="AA17" s="461"/>
      <c r="AB17" s="461"/>
      <c r="AC17" s="461">
        <v>4373.9447469900106</v>
      </c>
      <c r="AD17" s="461">
        <v>58.342154795621447</v>
      </c>
      <c r="AE17" s="461">
        <v>2767.4130982143674</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39997558519241921"/>
    <pageSetUpPr fitToPage="1"/>
  </sheetPr>
  <dimension ref="A1:AE24"/>
  <sheetViews>
    <sheetView showGridLines="0" workbookViewId="0">
      <pane ySplit="2" topLeftCell="A3" activePane="bottomLeft" state="frozen"/>
      <selection pane="bottomLeft" sqref="A1:C1"/>
    </sheetView>
  </sheetViews>
  <sheetFormatPr defaultColWidth="9.1796875" defaultRowHeight="14" x14ac:dyDescent="0.3"/>
  <cols>
    <col min="1" max="1" width="17.1796875" style="389" customWidth="1"/>
    <col min="2" max="25" width="8.81640625" style="389" customWidth="1"/>
    <col min="26" max="16384" width="9.1796875" style="389"/>
  </cols>
  <sheetData>
    <row r="1" spans="1:31" ht="15.5" x14ac:dyDescent="0.3">
      <c r="A1" s="1160" t="s">
        <v>439</v>
      </c>
      <c r="B1" s="1160"/>
      <c r="C1" s="1160"/>
    </row>
    <row r="2" spans="1:31" ht="14.5" x14ac:dyDescent="0.35">
      <c r="A2" s="601" t="s">
        <v>509</v>
      </c>
      <c r="B2"/>
      <c r="C2"/>
    </row>
    <row r="4" spans="1:31" ht="30" customHeight="1" x14ac:dyDescent="0.3">
      <c r="A4" s="1194" t="s">
        <v>478</v>
      </c>
      <c r="B4" s="1194"/>
      <c r="C4" s="1194"/>
      <c r="D4" s="1194"/>
      <c r="E4" s="1194"/>
      <c r="F4" s="1194"/>
      <c r="G4" s="1194"/>
      <c r="H4" s="1194"/>
      <c r="I4" s="1194"/>
      <c r="J4" s="1194"/>
      <c r="K4" s="1194"/>
      <c r="L4" s="1194"/>
      <c r="M4" s="1194"/>
      <c r="N4" s="1194"/>
      <c r="O4" s="1194"/>
      <c r="P4" s="1194"/>
      <c r="Q4" s="1194"/>
      <c r="R4" s="1194"/>
      <c r="S4" s="1194"/>
      <c r="T4" s="1194"/>
      <c r="U4" s="1194"/>
      <c r="V4" s="1194"/>
      <c r="W4" s="1194"/>
      <c r="X4" s="1194"/>
      <c r="Y4" s="1194"/>
    </row>
    <row r="5" spans="1:31" ht="15" customHeight="1" x14ac:dyDescent="0.35">
      <c r="A5" t="s">
        <v>320</v>
      </c>
      <c r="B5" t="s">
        <v>688</v>
      </c>
      <c r="C5" s="516"/>
      <c r="D5" s="516"/>
      <c r="E5" s="516"/>
      <c r="F5" s="516"/>
      <c r="G5" s="516"/>
      <c r="H5" s="697"/>
      <c r="I5" s="697"/>
      <c r="J5" s="697"/>
      <c r="K5" s="516"/>
      <c r="L5" s="516"/>
      <c r="M5" s="516"/>
      <c r="N5" s="516"/>
      <c r="O5" s="516"/>
      <c r="P5" s="516"/>
      <c r="Q5" s="516"/>
      <c r="R5" s="516"/>
      <c r="S5" s="516"/>
      <c r="T5" s="516"/>
      <c r="U5" s="516"/>
      <c r="V5" s="516"/>
      <c r="W5" s="516"/>
      <c r="X5" s="516"/>
      <c r="Y5" s="516"/>
    </row>
    <row r="6" spans="1:31" ht="15" customHeight="1" x14ac:dyDescent="0.35">
      <c r="A6" t="s">
        <v>321</v>
      </c>
      <c r="B6" t="s">
        <v>323</v>
      </c>
      <c r="C6" s="516"/>
      <c r="D6" s="516"/>
      <c r="E6" s="516"/>
      <c r="F6" s="516"/>
      <c r="G6" s="516"/>
      <c r="H6" s="697"/>
      <c r="I6" s="697"/>
      <c r="J6" s="697"/>
      <c r="K6" s="516"/>
      <c r="L6" s="516"/>
      <c r="M6" s="516"/>
      <c r="N6" s="516"/>
      <c r="O6" s="516"/>
      <c r="P6" s="516"/>
      <c r="Q6" s="516"/>
      <c r="R6" s="516"/>
      <c r="S6" s="516"/>
      <c r="T6" s="516"/>
      <c r="U6" s="516"/>
      <c r="V6" s="516"/>
      <c r="W6" s="516"/>
      <c r="X6" s="516"/>
      <c r="Y6" s="516"/>
    </row>
    <row r="7" spans="1:31" ht="15" customHeight="1" x14ac:dyDescent="0.35">
      <c r="A7" t="s">
        <v>322</v>
      </c>
      <c r="B7" t="s">
        <v>324</v>
      </c>
      <c r="C7" s="516"/>
      <c r="D7" s="516"/>
      <c r="E7" s="516"/>
      <c r="F7" s="516"/>
      <c r="G7" s="516"/>
      <c r="H7" s="697"/>
      <c r="I7" s="697"/>
      <c r="J7" s="697"/>
      <c r="K7" s="516"/>
      <c r="L7" s="516"/>
      <c r="M7" s="516"/>
      <c r="N7" s="516"/>
      <c r="O7" s="516"/>
      <c r="P7" s="516"/>
      <c r="Q7" s="516"/>
      <c r="R7" s="516"/>
      <c r="S7" s="516"/>
      <c r="T7" s="516"/>
      <c r="U7" s="516"/>
      <c r="V7" s="516"/>
      <c r="W7" s="516"/>
      <c r="X7" s="516"/>
      <c r="Y7" s="516"/>
    </row>
    <row r="8" spans="1:31" ht="15" customHeight="1" x14ac:dyDescent="0.35">
      <c r="A8"/>
      <c r="B8"/>
      <c r="C8" s="682"/>
      <c r="D8" s="682"/>
      <c r="E8" s="682"/>
      <c r="F8" s="682"/>
      <c r="G8" s="682"/>
      <c r="H8" s="697"/>
      <c r="I8" s="697"/>
      <c r="J8" s="697"/>
      <c r="K8" s="682"/>
      <c r="L8" s="682"/>
      <c r="M8" s="682"/>
      <c r="N8" s="682"/>
      <c r="O8" s="682"/>
      <c r="P8" s="682"/>
      <c r="Q8" s="682"/>
      <c r="R8" s="682"/>
      <c r="S8" s="682"/>
      <c r="T8" s="682"/>
      <c r="U8" s="682"/>
      <c r="V8" s="682"/>
      <c r="W8" s="682"/>
      <c r="X8" s="682"/>
      <c r="Y8" s="682"/>
    </row>
    <row r="9" spans="1:31" ht="27" customHeight="1" x14ac:dyDescent="0.3">
      <c r="A9" s="195"/>
      <c r="B9" s="1195" t="s">
        <v>27</v>
      </c>
      <c r="C9" s="1195"/>
      <c r="D9" s="1195"/>
      <c r="E9" s="1195" t="s">
        <v>28</v>
      </c>
      <c r="F9" s="1195"/>
      <c r="G9" s="1195"/>
      <c r="H9" s="1196" t="s">
        <v>849</v>
      </c>
      <c r="I9" s="1196"/>
      <c r="J9" s="1196"/>
      <c r="K9" s="1195" t="s">
        <v>2</v>
      </c>
      <c r="L9" s="1195"/>
      <c r="M9" s="1195"/>
      <c r="N9" s="1195" t="s">
        <v>83</v>
      </c>
      <c r="O9" s="1195"/>
      <c r="P9" s="1195"/>
      <c r="Q9" s="1195" t="s">
        <v>29</v>
      </c>
      <c r="R9" s="1195"/>
      <c r="S9" s="1195"/>
      <c r="T9" s="1195" t="s">
        <v>26</v>
      </c>
      <c r="U9" s="1195"/>
      <c r="V9" s="1195"/>
      <c r="W9" s="1195" t="s">
        <v>109</v>
      </c>
      <c r="X9" s="1195"/>
      <c r="Y9" s="1195"/>
    </row>
    <row r="10" spans="1:31" ht="26" x14ac:dyDescent="0.3">
      <c r="A10" s="518" t="s">
        <v>1</v>
      </c>
      <c r="B10" s="840" t="s">
        <v>110</v>
      </c>
      <c r="C10" s="841" t="s">
        <v>111</v>
      </c>
      <c r="D10" s="842" t="s">
        <v>340</v>
      </c>
      <c r="E10" s="840" t="s">
        <v>110</v>
      </c>
      <c r="F10" s="841" t="s">
        <v>111</v>
      </c>
      <c r="G10" s="842" t="s">
        <v>340</v>
      </c>
      <c r="H10" s="593" t="s">
        <v>110</v>
      </c>
      <c r="I10" s="197" t="s">
        <v>111</v>
      </c>
      <c r="J10" s="594" t="s">
        <v>340</v>
      </c>
      <c r="K10" s="840" t="s">
        <v>110</v>
      </c>
      <c r="L10" s="841" t="s">
        <v>111</v>
      </c>
      <c r="M10" s="842" t="s">
        <v>340</v>
      </c>
      <c r="N10" s="840" t="s">
        <v>110</v>
      </c>
      <c r="O10" s="841" t="s">
        <v>111</v>
      </c>
      <c r="P10" s="842" t="s">
        <v>340</v>
      </c>
      <c r="Q10" s="840" t="s">
        <v>110</v>
      </c>
      <c r="R10" s="841" t="s">
        <v>111</v>
      </c>
      <c r="S10" s="842" t="s">
        <v>340</v>
      </c>
      <c r="T10" s="593" t="s">
        <v>110</v>
      </c>
      <c r="U10" s="197" t="s">
        <v>111</v>
      </c>
      <c r="V10" s="594" t="s">
        <v>340</v>
      </c>
      <c r="W10" s="593" t="s">
        <v>110</v>
      </c>
      <c r="X10" s="197" t="s">
        <v>111</v>
      </c>
      <c r="Y10" s="594" t="s">
        <v>340</v>
      </c>
    </row>
    <row r="11" spans="1:31" ht="15.5" customHeight="1" x14ac:dyDescent="0.35">
      <c r="A11" s="242" t="s">
        <v>308</v>
      </c>
      <c r="B11" s="985">
        <f>EthnicityPivot!W6/100</f>
        <v>0.72199999999999998</v>
      </c>
      <c r="C11" s="963">
        <f>EthnicityPivot!X6/100</f>
        <v>8.0000000000000002E-3</v>
      </c>
      <c r="D11" s="963">
        <f>EthnicityPivot!Y6/100</f>
        <v>0.27100000000000002</v>
      </c>
      <c r="E11" s="987">
        <f>EthnicityPivot!E6/100</f>
        <v>0.81799999999999995</v>
      </c>
      <c r="F11" s="964">
        <f>EthnicityPivot!F6/100</f>
        <v>2E-3</v>
      </c>
      <c r="G11" s="964">
        <f>EthnicityPivot!G6/100</f>
        <v>0.18</v>
      </c>
      <c r="H11" s="994"/>
      <c r="I11"/>
      <c r="J11"/>
      <c r="K11" s="989">
        <f>EthnicityPivot!B6/100</f>
        <v>0.84599999999999997</v>
      </c>
      <c r="L11" s="965">
        <f>EthnicityPivot!C6/100</f>
        <v>4.0000000000000001E-3</v>
      </c>
      <c r="M11" s="965">
        <f>EthnicityPivot!D6/100</f>
        <v>0.15</v>
      </c>
      <c r="N11" s="989">
        <f>EthnicityPivot!K6/100</f>
        <v>0.65500000000000003</v>
      </c>
      <c r="O11" s="965">
        <f>EthnicityPivot!L6/100</f>
        <v>0.01</v>
      </c>
      <c r="P11" s="965">
        <f>EthnicityPivot!M6/100</f>
        <v>0.33500000000000002</v>
      </c>
      <c r="Q11" s="989">
        <f>EthnicityPivot!T6/100</f>
        <v>0.627</v>
      </c>
      <c r="R11" s="965">
        <f>EthnicityPivot!U6/100</f>
        <v>2E-3</v>
      </c>
      <c r="S11" s="965">
        <f>EthnicityPivot!V6/100</f>
        <v>0.37</v>
      </c>
      <c r="T11" s="966">
        <f>EthnicityPivot!N6/100</f>
        <v>0.74400000000000011</v>
      </c>
      <c r="U11" s="967">
        <f>EthnicityPivot!O6/100</f>
        <v>6.0000000000000001E-3</v>
      </c>
      <c r="V11" s="967">
        <f>EthnicityPivot!P6/100</f>
        <v>0.25</v>
      </c>
      <c r="W11" s="968">
        <f>EthnicityPivot!Q6/100</f>
        <v>0.75</v>
      </c>
      <c r="X11" s="969">
        <f>EthnicityPivot!R6/100</f>
        <v>6.0000000000000001E-3</v>
      </c>
      <c r="Y11" s="970">
        <f>EthnicityPivot!S6/100</f>
        <v>0.24399999999999999</v>
      </c>
    </row>
    <row r="12" spans="1:31" ht="15" customHeight="1" x14ac:dyDescent="0.35">
      <c r="A12" s="914" t="s">
        <v>195</v>
      </c>
      <c r="B12" s="986">
        <f>EthnicityPivot!W7/100</f>
        <v>0.81200000000000006</v>
      </c>
      <c r="C12" s="971">
        <f>EthnicityPivot!X7/100</f>
        <v>6.9999999999999993E-3</v>
      </c>
      <c r="D12" s="971">
        <f>EthnicityPivot!Y7/100</f>
        <v>0.18</v>
      </c>
      <c r="E12" s="988">
        <f>EthnicityPivot!E7/100</f>
        <v>0.80900000000000005</v>
      </c>
      <c r="F12" s="972">
        <f>EthnicityPivot!F7/100</f>
        <v>2E-3</v>
      </c>
      <c r="G12" s="972">
        <f>EthnicityPivot!G7/100</f>
        <v>0.18899999999999997</v>
      </c>
      <c r="H12" s="717"/>
      <c r="I12"/>
      <c r="J12"/>
      <c r="K12" s="990">
        <f>EthnicityPivot!B7/100</f>
        <v>0.89700000000000002</v>
      </c>
      <c r="L12" s="973">
        <f>EthnicityPivot!C7/100</f>
        <v>4.0000000000000001E-3</v>
      </c>
      <c r="M12" s="973">
        <f>EthnicityPivot!D7/100</f>
        <v>9.8000000000000004E-2</v>
      </c>
      <c r="N12" s="990">
        <f>EthnicityPivot!K7/100</f>
        <v>0.78400000000000003</v>
      </c>
      <c r="O12" s="973">
        <f>EthnicityPivot!L7/100</f>
        <v>0.01</v>
      </c>
      <c r="P12" s="973">
        <f>EthnicityPivot!M7/100</f>
        <v>0.20600000000000002</v>
      </c>
      <c r="Q12" s="990">
        <f>EthnicityPivot!T7/100</f>
        <v>0.61399999999999999</v>
      </c>
      <c r="R12" s="973">
        <f>EthnicityPivot!U7/100</f>
        <v>5.0000000000000001E-3</v>
      </c>
      <c r="S12" s="973">
        <f>EthnicityPivot!V7/100</f>
        <v>0.38100000000000001</v>
      </c>
      <c r="T12" s="974">
        <f>EthnicityPivot!N7/100</f>
        <v>0.80099999999999993</v>
      </c>
      <c r="U12" s="967">
        <f>EthnicityPivot!O7/100</f>
        <v>6.0000000000000001E-3</v>
      </c>
      <c r="V12" s="967">
        <f>EthnicityPivot!P7/100</f>
        <v>0.193</v>
      </c>
      <c r="W12" s="975">
        <f>EthnicityPivot!Q7/100</f>
        <v>0.81</v>
      </c>
      <c r="X12" s="969">
        <f>EthnicityPivot!R7/100</f>
        <v>6.0000000000000001E-3</v>
      </c>
      <c r="Y12" s="976">
        <f>EthnicityPivot!S7/100</f>
        <v>0.184</v>
      </c>
      <c r="Z12" s="843"/>
      <c r="AA12" s="843"/>
      <c r="AB12" s="843"/>
      <c r="AC12" s="843"/>
      <c r="AD12" s="843"/>
      <c r="AE12" s="843"/>
    </row>
    <row r="13" spans="1:31" ht="15" customHeight="1" x14ac:dyDescent="0.35">
      <c r="A13" s="914" t="s">
        <v>194</v>
      </c>
      <c r="B13" s="986">
        <f>EthnicityPivot!W8/100</f>
        <v>0.59799999999999998</v>
      </c>
      <c r="C13" s="971">
        <f>EthnicityPivot!X8/100</f>
        <v>6.0000000000000001E-3</v>
      </c>
      <c r="D13" s="971">
        <f>EthnicityPivot!Y8/100</f>
        <v>0.39600000000000002</v>
      </c>
      <c r="E13" s="988">
        <f>EthnicityPivot!E8/100</f>
        <v>0.69599999999999995</v>
      </c>
      <c r="F13" s="972">
        <f>EthnicityPivot!F8/100</f>
        <v>1.1000000000000001E-2</v>
      </c>
      <c r="G13" s="972">
        <f>EthnicityPivot!G8/100</f>
        <v>0.29299999999999998</v>
      </c>
      <c r="H13" s="717"/>
      <c r="I13"/>
      <c r="J13"/>
      <c r="K13" s="990">
        <f>EthnicityPivot!B8/100</f>
        <v>0.49299999999999999</v>
      </c>
      <c r="L13" s="973">
        <f>EthnicityPivot!C8/100</f>
        <v>0</v>
      </c>
      <c r="M13" s="973">
        <f>EthnicityPivot!D8/100</f>
        <v>0.50700000000000001</v>
      </c>
      <c r="N13" s="990">
        <f>EthnicityPivot!K8/100</f>
        <v>0.55200000000000005</v>
      </c>
      <c r="O13" s="973">
        <f>EthnicityPivot!L8/100</f>
        <v>0.01</v>
      </c>
      <c r="P13" s="973">
        <f>EthnicityPivot!M8/100</f>
        <v>0.43799999999999994</v>
      </c>
      <c r="Q13" s="990">
        <f>EthnicityPivot!T8/100</f>
        <v>0.30099999999999999</v>
      </c>
      <c r="R13" s="973">
        <f>EthnicityPivot!U8/100</f>
        <v>6.0000000000000001E-3</v>
      </c>
      <c r="S13" s="973">
        <f>EthnicityPivot!V8/100</f>
        <v>0.69400000000000006</v>
      </c>
      <c r="T13" s="974">
        <f>EthnicityPivot!N8/100</f>
        <v>0.61099999999999999</v>
      </c>
      <c r="U13" s="967">
        <f>EthnicityPivot!O8/100</f>
        <v>8.0000000000000002E-3</v>
      </c>
      <c r="V13" s="967">
        <f>EthnicityPivot!P8/100</f>
        <v>0.38100000000000001</v>
      </c>
      <c r="W13" s="975">
        <f>EthnicityPivot!Q8/100</f>
        <v>0.625</v>
      </c>
      <c r="X13" s="969">
        <f>EthnicityPivot!R8/100</f>
        <v>8.0000000000000002E-3</v>
      </c>
      <c r="Y13" s="976">
        <f>EthnicityPivot!S8/100</f>
        <v>0.36700000000000005</v>
      </c>
      <c r="Z13" s="843"/>
      <c r="AA13" s="843"/>
      <c r="AB13" s="843"/>
      <c r="AC13" s="843"/>
      <c r="AD13" s="843"/>
      <c r="AE13" s="843"/>
    </row>
    <row r="14" spans="1:31" ht="15" customHeight="1" x14ac:dyDescent="0.35">
      <c r="A14" s="914" t="s">
        <v>193</v>
      </c>
      <c r="B14" s="986">
        <f>EthnicityPivot!W9/100</f>
        <v>0.59499999999999997</v>
      </c>
      <c r="C14" s="971">
        <f>EthnicityPivot!X9/100</f>
        <v>6.0000000000000001E-3</v>
      </c>
      <c r="D14" s="971">
        <f>EthnicityPivot!Y9/100</f>
        <v>0.39899999999999997</v>
      </c>
      <c r="E14" s="988">
        <f>EthnicityPivot!E9/100</f>
        <v>0.67</v>
      </c>
      <c r="F14" s="972">
        <f>EthnicityPivot!F9/100</f>
        <v>1E-3</v>
      </c>
      <c r="G14" s="972">
        <f>EthnicityPivot!G9/100</f>
        <v>0.32799999999999996</v>
      </c>
      <c r="H14" s="717"/>
      <c r="I14"/>
      <c r="J14"/>
      <c r="K14" s="990">
        <f>EthnicityPivot!B9/100</f>
        <v>0.63</v>
      </c>
      <c r="L14" s="973">
        <f>EthnicityPivot!C9/100</f>
        <v>4.0000000000000001E-3</v>
      </c>
      <c r="M14" s="973">
        <f>EthnicityPivot!D9/100</f>
        <v>0.36499999999999999</v>
      </c>
      <c r="N14" s="990">
        <f>EthnicityPivot!K9/100</f>
        <v>0.53700000000000003</v>
      </c>
      <c r="O14" s="973">
        <f>EthnicityPivot!L9/100</f>
        <v>1.2E-2</v>
      </c>
      <c r="P14" s="973">
        <f>EthnicityPivot!M9/100</f>
        <v>0.45100000000000001</v>
      </c>
      <c r="Q14" s="990">
        <f>EthnicityPivot!T9/100</f>
        <v>0.26700000000000002</v>
      </c>
      <c r="R14" s="973">
        <f>EthnicityPivot!U9/100</f>
        <v>5.0000000000000001E-3</v>
      </c>
      <c r="S14" s="973">
        <f>EthnicityPivot!V9/100</f>
        <v>0.72799999999999998</v>
      </c>
      <c r="T14" s="974">
        <f>EthnicityPivot!N9/100</f>
        <v>0.60199999999999998</v>
      </c>
      <c r="U14" s="967">
        <f>EthnicityPivot!O9/100</f>
        <v>5.0000000000000001E-3</v>
      </c>
      <c r="V14" s="967">
        <f>EthnicityPivot!P9/100</f>
        <v>0.39299999999999996</v>
      </c>
      <c r="W14" s="975">
        <f>EthnicityPivot!Q9/100</f>
        <v>0.61799999999999999</v>
      </c>
      <c r="X14" s="969">
        <f>EthnicityPivot!R9/100</f>
        <v>5.0000000000000001E-3</v>
      </c>
      <c r="Y14" s="976">
        <f>EthnicityPivot!S9/100</f>
        <v>0.377</v>
      </c>
      <c r="Z14" s="843"/>
      <c r="AA14" s="843"/>
      <c r="AB14" s="843"/>
      <c r="AC14" s="843"/>
      <c r="AD14" s="843"/>
      <c r="AE14" s="843"/>
    </row>
    <row r="15" spans="1:31" ht="15" customHeight="1" x14ac:dyDescent="0.35">
      <c r="A15" s="914" t="s">
        <v>192</v>
      </c>
      <c r="B15" s="986">
        <f>EthnicityPivot!W10/100</f>
        <v>0.53700000000000003</v>
      </c>
      <c r="C15" s="971">
        <f>EthnicityPivot!X10/100</f>
        <v>5.0000000000000001E-3</v>
      </c>
      <c r="D15" s="971">
        <f>EthnicityPivot!Y10/100</f>
        <v>0.45700000000000002</v>
      </c>
      <c r="E15" s="988">
        <f>EthnicityPivot!E10/100</f>
        <v>0.6</v>
      </c>
      <c r="F15" s="972">
        <f>EthnicityPivot!F10/100</f>
        <v>6.0000000000000001E-3</v>
      </c>
      <c r="G15" s="972">
        <f>EthnicityPivot!G10/100</f>
        <v>0.39399999999999996</v>
      </c>
      <c r="H15" s="717"/>
      <c r="I15"/>
      <c r="J15"/>
      <c r="K15" s="990">
        <f>EthnicityPivot!B10/100</f>
        <v>0.64</v>
      </c>
      <c r="L15" s="973">
        <f>EthnicityPivot!C10/100</f>
        <v>5.0000000000000001E-3</v>
      </c>
      <c r="M15" s="973">
        <f>EthnicityPivot!D10/100</f>
        <v>0.35499999999999998</v>
      </c>
      <c r="N15" s="990">
        <f>EthnicityPivot!K10/100</f>
        <v>0.53400000000000003</v>
      </c>
      <c r="O15" s="973">
        <f>EthnicityPivot!L10/100</f>
        <v>8.0000000000000002E-3</v>
      </c>
      <c r="P15" s="973">
        <f>EthnicityPivot!M10/100</f>
        <v>0.45799999999999996</v>
      </c>
      <c r="Q15" s="990">
        <f>EthnicityPivot!T10/100</f>
        <v>0.32500000000000001</v>
      </c>
      <c r="R15" s="973">
        <f>EthnicityPivot!U10/100</f>
        <v>9.0000000000000011E-3</v>
      </c>
      <c r="S15" s="973">
        <f>EthnicityPivot!V10/100</f>
        <v>0.66700000000000004</v>
      </c>
      <c r="T15" s="974">
        <f>EthnicityPivot!N10/100</f>
        <v>0.55299999999999994</v>
      </c>
      <c r="U15" s="967">
        <f>EthnicityPivot!O10/100</f>
        <v>6.0000000000000001E-3</v>
      </c>
      <c r="V15" s="967">
        <f>EthnicityPivot!P10/100</f>
        <v>0.441</v>
      </c>
      <c r="W15" s="975">
        <f>EthnicityPivot!Q10/100</f>
        <v>0.56299999999999994</v>
      </c>
      <c r="X15" s="969">
        <f>EthnicityPivot!R10/100</f>
        <v>6.0000000000000001E-3</v>
      </c>
      <c r="Y15" s="976">
        <f>EthnicityPivot!S10/100</f>
        <v>0.43099999999999999</v>
      </c>
      <c r="Z15" s="843"/>
      <c r="AA15" s="843"/>
      <c r="AB15" s="843"/>
      <c r="AC15" s="843"/>
      <c r="AD15" s="843"/>
      <c r="AE15" s="843"/>
    </row>
    <row r="16" spans="1:31" ht="15" customHeight="1" x14ac:dyDescent="0.35">
      <c r="A16" s="914" t="s">
        <v>258</v>
      </c>
      <c r="B16" s="986">
        <f>EthnicityPivot!W11/100</f>
        <v>0.51200000000000001</v>
      </c>
      <c r="C16" s="971">
        <f>EthnicityPivot!X11/100</f>
        <v>5.0000000000000001E-3</v>
      </c>
      <c r="D16" s="971">
        <f>EthnicityPivot!Y11/100</f>
        <v>0.48299999999999998</v>
      </c>
      <c r="E16" s="988">
        <f>EthnicityPivot!E11/100</f>
        <v>0.57999999999999996</v>
      </c>
      <c r="F16" s="972">
        <f>EthnicityPivot!F11/100</f>
        <v>6.0000000000000001E-3</v>
      </c>
      <c r="G16" s="972">
        <f>EthnicityPivot!G11/100</f>
        <v>0.41399999999999998</v>
      </c>
      <c r="H16" s="717"/>
      <c r="I16"/>
      <c r="J16"/>
      <c r="K16" s="990">
        <f>EthnicityPivot!B11/100</f>
        <v>0.55799999999999994</v>
      </c>
      <c r="L16" s="973">
        <f>EthnicityPivot!C11/100</f>
        <v>6.0000000000000001E-3</v>
      </c>
      <c r="M16" s="973">
        <f>EthnicityPivot!D11/100</f>
        <v>0.436</v>
      </c>
      <c r="N16" s="990">
        <f>EthnicityPivot!K11/100</f>
        <v>0.53900000000000003</v>
      </c>
      <c r="O16" s="973">
        <f>EthnicityPivot!L11/100</f>
        <v>6.0000000000000001E-3</v>
      </c>
      <c r="P16" s="973">
        <f>EthnicityPivot!M11/100</f>
        <v>0.45500000000000002</v>
      </c>
      <c r="Q16" s="990">
        <f>EthnicityPivot!T11/100</f>
        <v>0.42700000000000005</v>
      </c>
      <c r="R16" s="973">
        <f>EthnicityPivot!U11/100</f>
        <v>3.0000000000000001E-3</v>
      </c>
      <c r="S16" s="973">
        <f>EthnicityPivot!V11/100</f>
        <v>0.56999999999999995</v>
      </c>
      <c r="T16" s="974">
        <f>EthnicityPivot!N11/100</f>
        <v>0.53700000000000003</v>
      </c>
      <c r="U16" s="967">
        <f>EthnicityPivot!O11/100</f>
        <v>6.0000000000000001E-3</v>
      </c>
      <c r="V16" s="967">
        <f>EthnicityPivot!P11/100</f>
        <v>0.45700000000000002</v>
      </c>
      <c r="W16" s="975">
        <f>EthnicityPivot!Q11/100</f>
        <v>0.54200000000000004</v>
      </c>
      <c r="X16" s="969">
        <f>EthnicityPivot!R11/100</f>
        <v>6.0000000000000001E-3</v>
      </c>
      <c r="Y16" s="976">
        <f>EthnicityPivot!S11/100</f>
        <v>0.45200000000000001</v>
      </c>
      <c r="Z16" s="843"/>
      <c r="AA16" s="843"/>
      <c r="AB16" s="843"/>
      <c r="AC16" s="843"/>
      <c r="AD16" s="843"/>
      <c r="AE16" s="843"/>
    </row>
    <row r="17" spans="1:31" ht="15" customHeight="1" x14ac:dyDescent="0.35">
      <c r="A17" s="914" t="s">
        <v>242</v>
      </c>
      <c r="B17" s="986">
        <f>EthnicityPivot!W12/100</f>
        <v>0.55696559503666099</v>
      </c>
      <c r="C17" s="971">
        <f>EthnicityPivot!X12/100</f>
        <v>1.1844331641285956E-2</v>
      </c>
      <c r="D17" s="971">
        <f>EthnicityPivot!Y12/100</f>
        <v>0.431190073322053</v>
      </c>
      <c r="E17" s="988">
        <f>EthnicityPivot!E12/100</f>
        <v>0.65874956339504021</v>
      </c>
      <c r="F17" s="972">
        <f>EthnicityPivot!F12/100</f>
        <v>1.1875654907439748E-2</v>
      </c>
      <c r="G17" s="972">
        <f>EthnicityPivot!G12/100</f>
        <v>0.3293747816975201</v>
      </c>
      <c r="H17" s="717"/>
      <c r="I17"/>
      <c r="J17"/>
      <c r="K17" s="990">
        <f>EthnicityPivot!B12/100</f>
        <v>0.52910052910052907</v>
      </c>
      <c r="L17" s="973">
        <f>EthnicityPivot!C12/100</f>
        <v>5.2910052910052907E-3</v>
      </c>
      <c r="M17" s="973">
        <f>EthnicityPivot!D12/100</f>
        <v>0.46560846560846558</v>
      </c>
      <c r="N17" s="990">
        <f>EthnicityPivot!K12/100</f>
        <v>0.61229314420803782</v>
      </c>
      <c r="O17" s="973">
        <f>EthnicityPivot!L12/100</f>
        <v>1.4184397163120567E-2</v>
      </c>
      <c r="P17" s="973">
        <f>EthnicityPivot!M12/100</f>
        <v>0.37352245862884159</v>
      </c>
      <c r="Q17" s="990">
        <f>EthnicityPivot!T12/100</f>
        <v>0.37349397590361444</v>
      </c>
      <c r="R17" s="973">
        <f>EthnicityPivot!U12/100</f>
        <v>6.024096385542169E-3</v>
      </c>
      <c r="S17" s="973">
        <f>EthnicityPivot!V12/100</f>
        <v>0.62048192771084343</v>
      </c>
      <c r="T17" s="974">
        <f>EthnicityPivot!N12/100</f>
        <v>0.59194958847736623</v>
      </c>
      <c r="U17" s="967">
        <f>EthnicityPivot!O12/100</f>
        <v>1.1702674897119342E-2</v>
      </c>
      <c r="V17" s="967">
        <f>EthnicityPivot!P12/100</f>
        <v>0.39634773662551448</v>
      </c>
      <c r="W17" s="975">
        <f>EthnicityPivot!Q12/100</f>
        <v>0.60169263836646969</v>
      </c>
      <c r="X17" s="969">
        <f>EthnicityPivot!R12/100</f>
        <v>1.1955937667920474E-2</v>
      </c>
      <c r="Y17" s="976">
        <f>EthnicityPivot!S12/100</f>
        <v>0.38635142396560984</v>
      </c>
      <c r="Z17" s="843"/>
      <c r="AA17" s="843"/>
      <c r="AB17" s="843"/>
      <c r="AC17" s="843"/>
      <c r="AD17" s="843"/>
      <c r="AE17" s="843"/>
    </row>
    <row r="18" spans="1:31" ht="15" customHeight="1" x14ac:dyDescent="0.35">
      <c r="A18" s="914" t="s">
        <v>241</v>
      </c>
      <c r="B18" s="986">
        <f>EthnicityPivot!W13/100</f>
        <v>0.604069287874622</v>
      </c>
      <c r="C18" s="971">
        <f>EthnicityPivot!X13/100</f>
        <v>1.2372834753918064E-2</v>
      </c>
      <c r="D18" s="971">
        <f>EthnicityPivot!Y13/100</f>
        <v>0.38355787737146002</v>
      </c>
      <c r="E18" s="988">
        <f>EthnicityPivot!E13/100</f>
        <v>0.67558415171012531</v>
      </c>
      <c r="F18" s="972">
        <f>EthnicityPivot!F13/100</f>
        <v>1.1175076193701321E-2</v>
      </c>
      <c r="G18" s="972">
        <f>EthnicityPivot!G13/100</f>
        <v>0.3132407720961734</v>
      </c>
      <c r="H18" s="717"/>
      <c r="I18"/>
      <c r="J18"/>
      <c r="K18" s="990">
        <f>EthnicityPivot!B13/100</f>
        <v>0.53623188405797106</v>
      </c>
      <c r="L18" s="973">
        <f>EthnicityPivot!C13/100</f>
        <v>9.6618357487922701E-3</v>
      </c>
      <c r="M18" s="973">
        <f>EthnicityPivot!D13/100</f>
        <v>0.45410628019323673</v>
      </c>
      <c r="N18" s="990">
        <f>EthnicityPivot!K13/100</f>
        <v>0.68055555555555558</v>
      </c>
      <c r="O18" s="973">
        <f>EthnicityPivot!L13/100</f>
        <v>1.7676767676767676E-2</v>
      </c>
      <c r="P18" s="973">
        <f>EthnicityPivot!M13/100</f>
        <v>0.30176767676767674</v>
      </c>
      <c r="Q18" s="990">
        <f>EthnicityPivot!T13/100</f>
        <v>0.36277602523659314</v>
      </c>
      <c r="R18" s="973">
        <f>EthnicityPivot!U13/100</f>
        <v>6.3091482649842269E-3</v>
      </c>
      <c r="S18" s="973">
        <f>EthnicityPivot!V13/100</f>
        <v>0.63091482649842268</v>
      </c>
      <c r="T18" s="974">
        <f>EthnicityPivot!N13/100</f>
        <v>0.62699215785479379</v>
      </c>
      <c r="U18" s="967">
        <f>EthnicityPivot!O13/100</f>
        <v>1.2142676448267139E-2</v>
      </c>
      <c r="V18" s="967">
        <f>EthnicityPivot!P13/100</f>
        <v>0.36086516569693905</v>
      </c>
      <c r="W18" s="975">
        <f>EthnicityPivot!Q13/100</f>
        <v>0.63802872578732372</v>
      </c>
      <c r="X18" s="969">
        <f>EthnicityPivot!R13/100</f>
        <v>1.2386348662537884E-2</v>
      </c>
      <c r="Y18" s="976">
        <f>EthnicityPivot!S13/100</f>
        <v>0.34958492555013831</v>
      </c>
      <c r="Z18" s="843"/>
      <c r="AA18" s="843"/>
      <c r="AB18" s="843"/>
      <c r="AC18" s="843"/>
      <c r="AD18" s="843"/>
      <c r="AE18" s="843"/>
    </row>
    <row r="19" spans="1:31" x14ac:dyDescent="0.3">
      <c r="A19" s="914" t="s">
        <v>773</v>
      </c>
      <c r="B19" s="986">
        <f>EthnicityPivot!W14/100</f>
        <v>0.6047854785478548</v>
      </c>
      <c r="C19" s="971">
        <f>EthnicityPivot!X14/100</f>
        <v>1.2376237623762377E-2</v>
      </c>
      <c r="D19" s="971">
        <f>EthnicityPivot!Y14/100</f>
        <v>0.38283828382838286</v>
      </c>
      <c r="E19" s="988">
        <f>EthnicityPivot!E14/100</f>
        <v>0.63534218590398361</v>
      </c>
      <c r="F19" s="972">
        <f>EthnicityPivot!F14/100</f>
        <v>1.0554988083077971E-2</v>
      </c>
      <c r="G19" s="972">
        <f>EthnicityPivot!G14/100</f>
        <v>0.35410282601293835</v>
      </c>
      <c r="H19" s="988">
        <f>EthnicityPivot!H14/100</f>
        <v>0.86111111111111116</v>
      </c>
      <c r="I19" s="972">
        <f>EthnicityPivot!I14/100</f>
        <v>0</v>
      </c>
      <c r="J19" s="972">
        <f>EthnicityPivot!J14/100</f>
        <v>0.1388888888888889</v>
      </c>
      <c r="K19" s="990">
        <f>EthnicityPivot!B14/100</f>
        <v>0.53191489361702127</v>
      </c>
      <c r="L19" s="973">
        <f>EthnicityPivot!C14/100</f>
        <v>1.0638297872340425E-2</v>
      </c>
      <c r="M19" s="973">
        <f>EthnicityPivot!D14/100</f>
        <v>0.45744680851063824</v>
      </c>
      <c r="N19" s="990">
        <f>EthnicityPivot!K14/100</f>
        <v>0.66992665036674803</v>
      </c>
      <c r="O19" s="973">
        <f>EthnicityPivot!L14/100</f>
        <v>1.5892420537897311E-2</v>
      </c>
      <c r="P19" s="973">
        <f>EthnicityPivot!M14/100</f>
        <v>0.3141809290953545</v>
      </c>
      <c r="Q19" s="990">
        <f>EthnicityPivot!T14/100</f>
        <v>0.34603174603174602</v>
      </c>
      <c r="R19" s="973">
        <f>EthnicityPivot!U14/100</f>
        <v>6.3492063492063492E-3</v>
      </c>
      <c r="S19" s="973">
        <f>EthnicityPivot!V14/100</f>
        <v>0.64761904761904754</v>
      </c>
      <c r="T19" s="974">
        <f>EthnicityPivot!N14/100</f>
        <v>0.61197982345523327</v>
      </c>
      <c r="U19" s="967">
        <f>EthnicityPivot!O14/100</f>
        <v>1.1727616645649433E-2</v>
      </c>
      <c r="V19" s="967">
        <f>EthnicityPivot!P14/100</f>
        <v>0.37629255989911725</v>
      </c>
      <c r="W19" s="975">
        <f>EthnicityPivot!Q14/100</f>
        <v>0.6229809586342745</v>
      </c>
      <c r="X19" s="969">
        <f>EthnicityPivot!R14/100</f>
        <v>1.1950098489822718E-2</v>
      </c>
      <c r="Y19" s="976">
        <f>EthnicityPivot!S14/100</f>
        <v>0.3650689428759028</v>
      </c>
      <c r="Z19" s="843"/>
      <c r="AA19" s="843"/>
      <c r="AB19" s="843"/>
      <c r="AC19" s="843"/>
      <c r="AD19" s="843"/>
      <c r="AE19" s="843"/>
    </row>
    <row r="20" spans="1:31" ht="15" customHeight="1" x14ac:dyDescent="0.3">
      <c r="A20" s="205" t="s">
        <v>951</v>
      </c>
      <c r="B20" s="991">
        <f>EthnicityPivot!W15/100</f>
        <v>0.595703125</v>
      </c>
      <c r="C20" s="977">
        <f>EthnicityPivot!X15/100</f>
        <v>1.3392857142857142E-2</v>
      </c>
      <c r="D20" s="977">
        <f>EthnicityPivot!Y15/100</f>
        <v>0.39090401785714285</v>
      </c>
      <c r="E20" s="992">
        <f>EthnicityPivot!E15/100</f>
        <v>0.61142061281337046</v>
      </c>
      <c r="F20" s="978">
        <f>EthnicityPivot!F15/100</f>
        <v>9.401114206128134E-3</v>
      </c>
      <c r="G20" s="978">
        <f>EthnicityPivot!G15/100</f>
        <v>0.37917827298050144</v>
      </c>
      <c r="H20" s="992">
        <f>EthnicityPivot!H15/100</f>
        <v>0.87037037037037035</v>
      </c>
      <c r="I20" s="978">
        <f>EthnicityPivot!I15/100</f>
        <v>1.8518518518518517E-2</v>
      </c>
      <c r="J20" s="978">
        <f>EthnicityPivot!J15/100</f>
        <v>0.1111111111111111</v>
      </c>
      <c r="K20" s="993">
        <f>EthnicityPivot!B15/100</f>
        <v>0.56593406593406592</v>
      </c>
      <c r="L20" s="979">
        <f>EthnicityPivot!C15/100</f>
        <v>1.098901098901099E-2</v>
      </c>
      <c r="M20" s="979">
        <f>EthnicityPivot!D15/100</f>
        <v>0.42307692307692307</v>
      </c>
      <c r="N20" s="993">
        <f>EthnicityPivot!K15/100</f>
        <v>0.66746411483253576</v>
      </c>
      <c r="O20" s="979">
        <f>EthnicityPivot!L15/100</f>
        <v>1.7942583732057416E-2</v>
      </c>
      <c r="P20" s="979">
        <f>EthnicityPivot!M15/100</f>
        <v>0.3145933014354067</v>
      </c>
      <c r="Q20" s="993">
        <f>EthnicityPivot!T15/100</f>
        <v>0.35313531353135308</v>
      </c>
      <c r="R20" s="979">
        <f>EthnicityPivot!U15/100</f>
        <v>6.6006600660066007E-3</v>
      </c>
      <c r="S20" s="979">
        <f>EthnicityPivot!V15/100</f>
        <v>0.64026402640264024</v>
      </c>
      <c r="T20" s="980">
        <f>EthnicityPivot!N15/100</f>
        <v>0.60094496232920447</v>
      </c>
      <c r="U20" s="981">
        <f>EthnicityPivot!O15/100</f>
        <v>1.2131273145192184E-2</v>
      </c>
      <c r="V20" s="981">
        <f>EthnicityPivot!P15/100</f>
        <v>0.3869237645256034</v>
      </c>
      <c r="W20" s="982">
        <f>EthnicityPivot!Q15/100</f>
        <v>0.61091923485653565</v>
      </c>
      <c r="X20" s="983">
        <f>EthnicityPivot!R15/100</f>
        <v>1.2353878852284804E-2</v>
      </c>
      <c r="Y20" s="984">
        <f>EthnicityPivot!S15/100</f>
        <v>0.37672688629117962</v>
      </c>
    </row>
    <row r="21" spans="1:31" ht="14.5" x14ac:dyDescent="0.35">
      <c r="A21" s="390" t="s">
        <v>8</v>
      </c>
      <c r="B21" s="163"/>
      <c r="C21" s="202"/>
      <c r="D21" s="202"/>
      <c r="E21" s="202"/>
      <c r="F21" s="202"/>
      <c r="G21" s="28"/>
      <c r="H21" s="28"/>
      <c r="I21" s="28"/>
      <c r="J21" s="28"/>
      <c r="K21" s="28"/>
      <c r="L21" s="28"/>
      <c r="M21" s="28"/>
      <c r="N21" s="28"/>
      <c r="O21" s="28"/>
      <c r="P21" s="28"/>
      <c r="Q21" s="28"/>
      <c r="R21" s="28"/>
      <c r="S21" s="75"/>
      <c r="T21" s="75"/>
      <c r="U21" s="28"/>
      <c r="V21" s="28"/>
      <c r="W21" s="28"/>
      <c r="X21" s="28"/>
      <c r="Y21" s="28"/>
    </row>
    <row r="22" spans="1:31" ht="14.5" x14ac:dyDescent="0.35">
      <c r="A22" s="397" t="s">
        <v>224</v>
      </c>
      <c r="B22" s="28"/>
      <c r="C22" s="28"/>
      <c r="D22" s="28"/>
      <c r="E22" s="28"/>
      <c r="F22" s="28"/>
      <c r="G22" s="28"/>
      <c r="H22" s="28"/>
      <c r="I22" s="28"/>
      <c r="J22" s="28"/>
      <c r="K22" s="28"/>
      <c r="L22" s="28"/>
      <c r="M22" s="28"/>
      <c r="N22" s="28"/>
      <c r="O22" s="28"/>
      <c r="P22" s="28"/>
      <c r="Q22" s="28"/>
      <c r="R22" s="28"/>
      <c r="S22" s="28"/>
      <c r="T22" s="28"/>
      <c r="U22" s="28"/>
      <c r="V22" s="28"/>
      <c r="W22" s="28"/>
      <c r="X22" s="28"/>
      <c r="Y22" s="28"/>
    </row>
    <row r="23" spans="1:31" ht="14.5" x14ac:dyDescent="0.35">
      <c r="A23" s="397" t="s">
        <v>871</v>
      </c>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31" ht="30" customHeight="1" x14ac:dyDescent="0.35">
      <c r="A24" s="1193" t="s">
        <v>231</v>
      </c>
      <c r="B24" s="1193"/>
      <c r="C24" s="1193"/>
      <c r="D24" s="1193"/>
      <c r="E24" s="1193"/>
      <c r="F24" s="1193"/>
      <c r="G24" s="1193"/>
      <c r="H24" s="1193"/>
      <c r="I24" s="1193"/>
      <c r="J24" s="1193"/>
      <c r="K24" s="1193"/>
      <c r="L24" s="1193"/>
      <c r="M24" s="1193"/>
      <c r="N24" s="1193"/>
      <c r="O24" s="1193"/>
      <c r="P24" s="1193"/>
      <c r="Q24" s="1193"/>
      <c r="R24" s="1193"/>
      <c r="S24" s="1193"/>
      <c r="T24" s="1193"/>
      <c r="U24" s="1193"/>
      <c r="V24" s="1193"/>
      <c r="W24" s="1193"/>
      <c r="X24" s="1193"/>
      <c r="Y24" s="1193"/>
    </row>
  </sheetData>
  <sheetProtection algorithmName="SHA-512" hashValue="DZLuq3L79Bj6wtBlltQ1F3jGxRtkrenY5K3M2P7nDr+gziIzA3MdQtSF1l2kd0nAs3mUIxxjEFbE5CaEMNRbMQ==" saltValue="CrGUs3Cxrl3AoJZlvLqUqw==" spinCount="100000" sheet="1" scenarios="1" formatCells="0" formatColumns="0" formatRows="0" sort="0" autoFilter="0" pivotTables="0"/>
  <mergeCells count="11">
    <mergeCell ref="A1:C1"/>
    <mergeCell ref="A24:Y24"/>
    <mergeCell ref="A4:Y4"/>
    <mergeCell ref="B9:D9"/>
    <mergeCell ref="E9:G9"/>
    <mergeCell ref="K9:M9"/>
    <mergeCell ref="N9:P9"/>
    <mergeCell ref="Q9:S9"/>
    <mergeCell ref="T9:V9"/>
    <mergeCell ref="W9:Y9"/>
    <mergeCell ref="H9:J9"/>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7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39997558519241921"/>
    <pageSetUpPr fitToPage="1"/>
  </sheetPr>
  <dimension ref="A1:L41"/>
  <sheetViews>
    <sheetView showGridLines="0" workbookViewId="0">
      <pane ySplit="2" topLeftCell="A3" activePane="bottomLeft" state="frozen"/>
      <selection pane="bottomLeft" sqref="A1:C1"/>
    </sheetView>
  </sheetViews>
  <sheetFormatPr defaultRowHeight="14.5" x14ac:dyDescent="0.35"/>
  <cols>
    <col min="1" max="1" width="20.453125" customWidth="1"/>
    <col min="2" max="2" width="17.1796875" customWidth="1"/>
    <col min="3" max="3" width="18" customWidth="1"/>
    <col min="4" max="4" width="15.54296875" customWidth="1"/>
    <col min="5" max="5" width="12.26953125" customWidth="1"/>
    <col min="6" max="6" width="12.36328125" customWidth="1"/>
    <col min="7" max="7" width="14.7265625" customWidth="1"/>
    <col min="8" max="8" width="15.08984375" customWidth="1"/>
    <col min="9" max="9" width="14.1796875" bestFit="1" customWidth="1"/>
  </cols>
  <sheetData>
    <row r="1" spans="1:12" ht="15.5" x14ac:dyDescent="0.35">
      <c r="A1" s="1160" t="s">
        <v>439</v>
      </c>
      <c r="B1" s="1160"/>
      <c r="C1" s="1160"/>
      <c r="D1" s="693"/>
    </row>
    <row r="2" spans="1:12" x14ac:dyDescent="0.35">
      <c r="A2" s="601" t="s">
        <v>509</v>
      </c>
    </row>
    <row r="3" spans="1:12" x14ac:dyDescent="0.35">
      <c r="A3" s="28"/>
      <c r="B3" s="28"/>
      <c r="C3" s="28"/>
      <c r="D3" s="28"/>
      <c r="E3" s="28"/>
      <c r="F3" s="28"/>
      <c r="G3" s="28"/>
      <c r="H3" s="28"/>
      <c r="I3" s="28"/>
    </row>
    <row r="4" spans="1:12" ht="15.75" customHeight="1" x14ac:dyDescent="0.35">
      <c r="A4" s="1170" t="s">
        <v>479</v>
      </c>
      <c r="B4" s="1170"/>
      <c r="C4" s="1170"/>
      <c r="D4" s="1170"/>
      <c r="E4" s="1170"/>
      <c r="F4" s="1170"/>
      <c r="G4" s="1170"/>
      <c r="H4" s="1170"/>
      <c r="I4" s="1170"/>
    </row>
    <row r="5" spans="1:12" ht="15.75" customHeight="1" x14ac:dyDescent="0.35">
      <c r="A5" t="s">
        <v>320</v>
      </c>
      <c r="B5" t="s">
        <v>689</v>
      </c>
      <c r="C5" s="520"/>
      <c r="D5" s="694"/>
      <c r="E5" s="520"/>
      <c r="F5" s="520"/>
      <c r="G5" s="520"/>
      <c r="H5" s="520"/>
      <c r="I5" s="520"/>
    </row>
    <row r="6" spans="1:12" ht="15.75" customHeight="1" x14ac:dyDescent="0.35">
      <c r="A6" t="s">
        <v>321</v>
      </c>
      <c r="B6" t="s">
        <v>323</v>
      </c>
      <c r="C6" s="520"/>
      <c r="D6" s="28"/>
      <c r="E6" s="28"/>
      <c r="F6" s="28"/>
      <c r="G6" s="28"/>
      <c r="H6" s="28"/>
      <c r="I6" s="28"/>
      <c r="J6" s="28"/>
      <c r="K6" s="28"/>
      <c r="L6" s="28"/>
    </row>
    <row r="7" spans="1:12" ht="15.75" customHeight="1" x14ac:dyDescent="0.35">
      <c r="A7" t="s">
        <v>322</v>
      </c>
      <c r="B7" t="s">
        <v>324</v>
      </c>
      <c r="C7" s="520"/>
      <c r="D7" s="694"/>
      <c r="E7" s="520"/>
      <c r="F7" s="520"/>
      <c r="G7" s="520"/>
      <c r="H7" s="520"/>
      <c r="I7" s="520"/>
    </row>
    <row r="8" spans="1:12" ht="15.5" x14ac:dyDescent="0.35">
      <c r="A8" s="272"/>
      <c r="B8" s="203"/>
      <c r="C8" s="203"/>
      <c r="D8" s="203"/>
      <c r="E8" s="203"/>
      <c r="F8" s="203"/>
      <c r="G8" s="203"/>
      <c r="H8" s="203"/>
      <c r="I8" s="204" t="s">
        <v>7</v>
      </c>
    </row>
    <row r="9" spans="1:12" ht="29" x14ac:dyDescent="0.35">
      <c r="A9" s="847" t="s">
        <v>1</v>
      </c>
      <c r="B9" s="848" t="s">
        <v>27</v>
      </c>
      <c r="C9" s="848" t="s">
        <v>28</v>
      </c>
      <c r="D9" s="848" t="s">
        <v>849</v>
      </c>
      <c r="E9" s="848" t="s">
        <v>2</v>
      </c>
      <c r="F9" s="848" t="s">
        <v>3</v>
      </c>
      <c r="G9" s="848" t="s">
        <v>29</v>
      </c>
      <c r="H9" s="848" t="s">
        <v>26</v>
      </c>
      <c r="I9" s="848" t="s">
        <v>17442</v>
      </c>
    </row>
    <row r="10" spans="1:12" x14ac:dyDescent="0.35">
      <c r="A10" s="783" t="s">
        <v>308</v>
      </c>
      <c r="B10" s="995">
        <v>4.0000000000000001E-3</v>
      </c>
      <c r="C10" s="995">
        <v>3.0000000000000001E-3</v>
      </c>
      <c r="D10" s="1103" t="s">
        <v>563</v>
      </c>
      <c r="E10" s="995">
        <v>2.1000000000000001E-2</v>
      </c>
      <c r="F10" s="995">
        <v>1.3999999999999999E-2</v>
      </c>
      <c r="G10" s="995">
        <v>4.0000000000000001E-3</v>
      </c>
      <c r="H10" s="1050">
        <v>6.0000000000000001E-3</v>
      </c>
      <c r="I10" s="1050">
        <v>6.0000000000000001E-3</v>
      </c>
    </row>
    <row r="11" spans="1:12" x14ac:dyDescent="0.35">
      <c r="A11" s="783" t="s">
        <v>195</v>
      </c>
      <c r="B11" s="995">
        <v>5.0000000000000001E-3</v>
      </c>
      <c r="C11" s="995">
        <v>3.0000000000000001E-3</v>
      </c>
      <c r="D11" s="1103" t="s">
        <v>563</v>
      </c>
      <c r="E11" s="995">
        <v>2.1000000000000001E-2</v>
      </c>
      <c r="F11" s="995">
        <v>1.4999999999999999E-2</v>
      </c>
      <c r="G11" s="995">
        <v>5.0000000000000001E-3</v>
      </c>
      <c r="H11" s="1050">
        <v>6.0000000000000001E-3</v>
      </c>
      <c r="I11" s="1050">
        <v>6.0000000000000001E-3</v>
      </c>
    </row>
    <row r="12" spans="1:12" x14ac:dyDescent="0.35">
      <c r="A12" s="783" t="s">
        <v>194</v>
      </c>
      <c r="B12" s="995">
        <v>2E-3</v>
      </c>
      <c r="C12" s="995">
        <v>2E-3</v>
      </c>
      <c r="D12" s="1103" t="s">
        <v>563</v>
      </c>
      <c r="E12" s="995">
        <v>1.8000000000000002E-2</v>
      </c>
      <c r="F12" s="995">
        <v>6.9999999999999993E-3</v>
      </c>
      <c r="G12" s="995">
        <v>0</v>
      </c>
      <c r="H12" s="1050">
        <v>3.0000000000000001E-3</v>
      </c>
      <c r="I12" s="1050">
        <v>3.0000000000000001E-3</v>
      </c>
    </row>
    <row r="13" spans="1:12" x14ac:dyDescent="0.35">
      <c r="A13" s="783" t="s">
        <v>193</v>
      </c>
      <c r="B13" s="995">
        <v>2E-3</v>
      </c>
      <c r="C13" s="995">
        <v>2E-3</v>
      </c>
      <c r="D13" s="1103" t="s">
        <v>563</v>
      </c>
      <c r="E13" s="995">
        <v>2.2000000000000002E-2</v>
      </c>
      <c r="F13" s="995">
        <v>8.0000000000000002E-3</v>
      </c>
      <c r="G13" s="995">
        <v>0</v>
      </c>
      <c r="H13" s="1050">
        <v>3.0000000000000001E-3</v>
      </c>
      <c r="I13" s="1050">
        <v>3.0000000000000001E-3</v>
      </c>
    </row>
    <row r="14" spans="1:12" x14ac:dyDescent="0.35">
      <c r="A14" s="783" t="s">
        <v>192</v>
      </c>
      <c r="B14" s="995">
        <v>0</v>
      </c>
      <c r="C14" s="995">
        <v>1E-3</v>
      </c>
      <c r="D14" s="1103" t="s">
        <v>563</v>
      </c>
      <c r="E14" s="995">
        <v>0</v>
      </c>
      <c r="F14" s="995">
        <v>5.0000000000000001E-3</v>
      </c>
      <c r="G14" s="995">
        <v>3.0000000000000001E-3</v>
      </c>
      <c r="H14" s="1050">
        <v>1E-3</v>
      </c>
      <c r="I14" s="1050">
        <v>1E-3</v>
      </c>
    </row>
    <row r="15" spans="1:12" x14ac:dyDescent="0.35">
      <c r="A15" s="783" t="s">
        <v>258</v>
      </c>
      <c r="B15" s="995">
        <v>0</v>
      </c>
      <c r="C15" s="995">
        <v>1E-3</v>
      </c>
      <c r="D15" s="1103" t="s">
        <v>563</v>
      </c>
      <c r="E15" s="995">
        <v>0</v>
      </c>
      <c r="F15" s="995">
        <v>4.0000000000000001E-3</v>
      </c>
      <c r="G15" s="995">
        <v>3.0000000000000001E-3</v>
      </c>
      <c r="H15" s="1050">
        <v>1E-3</v>
      </c>
      <c r="I15" s="1050">
        <v>1E-3</v>
      </c>
    </row>
    <row r="16" spans="1:12" x14ac:dyDescent="0.35">
      <c r="A16" s="783" t="s">
        <v>242</v>
      </c>
      <c r="B16" s="995">
        <v>3.0000000000000001E-3</v>
      </c>
      <c r="C16" s="995">
        <v>3.0000000000000001E-3</v>
      </c>
      <c r="D16" s="1103" t="s">
        <v>563</v>
      </c>
      <c r="E16" s="995">
        <v>0</v>
      </c>
      <c r="F16" s="995">
        <v>1.2E-2</v>
      </c>
      <c r="G16" s="995">
        <v>3.0000000000000001E-3</v>
      </c>
      <c r="H16" s="1050">
        <v>4.0000000000000001E-3</v>
      </c>
      <c r="I16" s="1050">
        <v>4.0000000000000001E-3</v>
      </c>
    </row>
    <row r="17" spans="1:9" x14ac:dyDescent="0.35">
      <c r="A17" s="783" t="s">
        <v>241</v>
      </c>
      <c r="B17" s="995">
        <v>6.8737970855100358E-3</v>
      </c>
      <c r="C17" s="995">
        <v>4.4023027429732475E-3</v>
      </c>
      <c r="D17" s="995">
        <v>0</v>
      </c>
      <c r="E17" s="995">
        <v>4.830917874396135E-3</v>
      </c>
      <c r="F17" s="995">
        <v>2.1464646464646461E-2</v>
      </c>
      <c r="G17" s="995">
        <v>3.1545741324921135E-3</v>
      </c>
      <c r="H17" s="1050">
        <v>7.2097141411586133E-3</v>
      </c>
      <c r="I17" s="1050">
        <v>7.3791013308736331E-3</v>
      </c>
    </row>
    <row r="18" spans="1:9" x14ac:dyDescent="0.35">
      <c r="A18" s="783" t="s">
        <v>773</v>
      </c>
      <c r="B18" s="995">
        <v>7.4257425742574254E-3</v>
      </c>
      <c r="C18" s="995">
        <v>4.0858018386108275E-3</v>
      </c>
      <c r="D18" s="995">
        <v>0</v>
      </c>
      <c r="E18" s="995">
        <v>5.3191489361702126E-3</v>
      </c>
      <c r="F18" s="995">
        <v>2.3227383863080684E-2</v>
      </c>
      <c r="G18" s="995">
        <v>3.1746031746031746E-3</v>
      </c>
      <c r="H18" s="1050">
        <v>7.5662042875157629E-3</v>
      </c>
      <c r="I18" s="1050">
        <v>7.7478660538411034E-3</v>
      </c>
    </row>
    <row r="19" spans="1:9" x14ac:dyDescent="0.35">
      <c r="A19" s="784" t="s">
        <v>951</v>
      </c>
      <c r="B19" s="997">
        <v>7.8125E-3</v>
      </c>
      <c r="C19" s="997">
        <v>4.5264623955431757E-3</v>
      </c>
      <c r="D19" s="997">
        <v>0</v>
      </c>
      <c r="E19" s="997">
        <v>1.098901098901099E-2</v>
      </c>
      <c r="F19" s="997">
        <v>3.1100478468899521E-2</v>
      </c>
      <c r="G19" s="997">
        <v>3.3003300330033004E-3</v>
      </c>
      <c r="H19" s="1148">
        <v>8.9388328438258207E-3</v>
      </c>
      <c r="I19" s="1148">
        <v>9.1657810839532415E-3</v>
      </c>
    </row>
    <row r="20" spans="1:9" x14ac:dyDescent="0.35">
      <c r="A20" s="28"/>
      <c r="B20" s="28"/>
      <c r="C20" s="28"/>
      <c r="D20" s="28"/>
      <c r="E20" s="28"/>
      <c r="F20" s="28"/>
      <c r="G20" s="28"/>
      <c r="H20" s="28"/>
      <c r="I20" s="28"/>
    </row>
    <row r="21" spans="1:9" x14ac:dyDescent="0.35">
      <c r="A21" s="390" t="s">
        <v>8</v>
      </c>
      <c r="B21" s="28"/>
      <c r="C21" s="28"/>
      <c r="D21" s="28"/>
      <c r="E21" s="28"/>
      <c r="F21" s="28"/>
      <c r="G21" s="28"/>
      <c r="H21" s="28"/>
      <c r="I21" s="28"/>
    </row>
    <row r="22" spans="1:9" ht="15" customHeight="1" x14ac:dyDescent="0.35">
      <c r="A22" s="1197" t="s">
        <v>735</v>
      </c>
      <c r="B22" s="1197"/>
      <c r="C22" s="1197"/>
      <c r="D22" s="1197"/>
      <c r="E22" s="1197"/>
      <c r="F22" s="1197"/>
      <c r="G22" s="1197"/>
      <c r="H22" s="1197"/>
      <c r="I22" s="1197"/>
    </row>
    <row r="23" spans="1:9" ht="15" customHeight="1" x14ac:dyDescent="0.35">
      <c r="A23" s="397" t="s">
        <v>872</v>
      </c>
      <c r="B23" s="706"/>
      <c r="C23" s="706"/>
      <c r="D23" s="706"/>
      <c r="E23" s="706"/>
      <c r="F23" s="706"/>
      <c r="G23" s="706"/>
      <c r="H23" s="706"/>
      <c r="I23" s="706"/>
    </row>
    <row r="24" spans="1:9" x14ac:dyDescent="0.35">
      <c r="A24" s="439"/>
      <c r="B24" s="28"/>
      <c r="C24" s="28"/>
      <c r="D24" s="28"/>
      <c r="E24" s="28"/>
      <c r="F24" s="28"/>
      <c r="G24" s="28"/>
      <c r="H24" s="28"/>
      <c r="I24" s="28"/>
    </row>
    <row r="25" spans="1:9" ht="15.75" customHeight="1" x14ac:dyDescent="0.35">
      <c r="A25" s="1198" t="s">
        <v>480</v>
      </c>
      <c r="B25" s="1198"/>
      <c r="C25" s="1198"/>
      <c r="D25" s="1198"/>
      <c r="E25" s="1198"/>
      <c r="F25" s="1198"/>
      <c r="G25" s="1198"/>
      <c r="H25" s="1198"/>
      <c r="I25" s="1198"/>
    </row>
    <row r="26" spans="1:9" ht="15.75" customHeight="1" x14ac:dyDescent="0.35">
      <c r="A26" t="s">
        <v>320</v>
      </c>
      <c r="B26" t="s">
        <v>690</v>
      </c>
      <c r="C26" s="521"/>
      <c r="D26" s="698"/>
      <c r="E26" s="521"/>
      <c r="F26" s="521"/>
      <c r="G26" s="521"/>
      <c r="H26" s="521"/>
      <c r="I26" s="521"/>
    </row>
    <row r="27" spans="1:9" ht="15.75" customHeight="1" x14ac:dyDescent="0.35">
      <c r="A27" t="s">
        <v>321</v>
      </c>
      <c r="B27" t="s">
        <v>323</v>
      </c>
      <c r="C27" s="521"/>
      <c r="D27" s="698"/>
      <c r="E27" s="521"/>
      <c r="F27" s="521"/>
      <c r="G27" s="521"/>
      <c r="H27" s="521"/>
      <c r="I27" s="521"/>
    </row>
    <row r="28" spans="1:9" ht="15.75" customHeight="1" x14ac:dyDescent="0.35">
      <c r="A28" t="s">
        <v>322</v>
      </c>
      <c r="B28" t="s">
        <v>324</v>
      </c>
      <c r="C28" s="638"/>
      <c r="D28" s="698"/>
      <c r="E28" s="638"/>
      <c r="F28" s="638"/>
      <c r="G28" s="638"/>
      <c r="H28" s="638"/>
      <c r="I28" s="638"/>
    </row>
    <row r="29" spans="1:9" ht="15.5" x14ac:dyDescent="0.35">
      <c r="C29" s="203"/>
      <c r="D29" s="203"/>
      <c r="E29" s="203"/>
      <c r="F29" s="203"/>
      <c r="G29" s="203"/>
      <c r="H29" s="203"/>
      <c r="I29" s="204" t="s">
        <v>7</v>
      </c>
    </row>
    <row r="30" spans="1:9" ht="29" x14ac:dyDescent="0.35">
      <c r="A30" s="847" t="s">
        <v>1</v>
      </c>
      <c r="B30" s="849" t="s">
        <v>27</v>
      </c>
      <c r="C30" s="848" t="s">
        <v>28</v>
      </c>
      <c r="D30" s="848" t="s">
        <v>849</v>
      </c>
      <c r="E30" s="848" t="s">
        <v>2</v>
      </c>
      <c r="F30" s="848" t="s">
        <v>3</v>
      </c>
      <c r="G30" s="848" t="s">
        <v>29</v>
      </c>
      <c r="H30" s="848" t="s">
        <v>26</v>
      </c>
      <c r="I30" s="848" t="s">
        <v>17442</v>
      </c>
    </row>
    <row r="31" spans="1:9" x14ac:dyDescent="0.35">
      <c r="A31" s="783" t="s">
        <v>193</v>
      </c>
      <c r="B31" s="995">
        <v>0.80799999999999994</v>
      </c>
      <c r="C31" s="995">
        <v>0.96900000000000008</v>
      </c>
      <c r="D31" s="1103" t="s">
        <v>563</v>
      </c>
      <c r="E31" s="995">
        <v>0.60399999999999998</v>
      </c>
      <c r="F31" s="995">
        <v>0.77900000000000003</v>
      </c>
      <c r="G31" s="995">
        <v>0.47399999999999998</v>
      </c>
      <c r="H31" s="1050">
        <v>0.84099999999999997</v>
      </c>
      <c r="I31" s="1050">
        <v>0.8590000000000001</v>
      </c>
    </row>
    <row r="32" spans="1:9" x14ac:dyDescent="0.35">
      <c r="A32" s="783" t="s">
        <v>192</v>
      </c>
      <c r="B32" s="995">
        <v>1</v>
      </c>
      <c r="C32" s="995">
        <v>0.98</v>
      </c>
      <c r="D32" s="1103" t="s">
        <v>563</v>
      </c>
      <c r="E32" s="995">
        <v>1</v>
      </c>
      <c r="F32" s="995">
        <v>0.95</v>
      </c>
      <c r="G32" s="995">
        <v>0.94</v>
      </c>
      <c r="H32" s="1050">
        <v>0.99</v>
      </c>
      <c r="I32" s="1050">
        <v>0.99</v>
      </c>
    </row>
    <row r="33" spans="1:9" x14ac:dyDescent="0.35">
      <c r="A33" s="783" t="s">
        <v>258</v>
      </c>
      <c r="B33" s="995">
        <v>0.995</v>
      </c>
      <c r="C33" s="995">
        <v>0.95200000000000007</v>
      </c>
      <c r="D33" s="1103" t="s">
        <v>563</v>
      </c>
      <c r="E33" s="995">
        <v>0.99400000000000011</v>
      </c>
      <c r="F33" s="995">
        <v>0.90900000000000003</v>
      </c>
      <c r="G33" s="995">
        <v>0.96200000000000008</v>
      </c>
      <c r="H33" s="1050">
        <v>0.96799999999999997</v>
      </c>
      <c r="I33" s="1050">
        <v>0.96900000000000008</v>
      </c>
    </row>
    <row r="34" spans="1:9" x14ac:dyDescent="0.35">
      <c r="A34" s="783" t="s">
        <v>242</v>
      </c>
      <c r="B34" s="995">
        <v>0.91400000000000003</v>
      </c>
      <c r="C34" s="995">
        <v>0.80599999999999994</v>
      </c>
      <c r="D34" s="1103" t="s">
        <v>563</v>
      </c>
      <c r="E34" s="995">
        <v>0.873</v>
      </c>
      <c r="F34" s="995">
        <v>0.75099999999999989</v>
      </c>
      <c r="G34" s="995">
        <v>0.96400000000000008</v>
      </c>
      <c r="H34" s="1050">
        <v>0.85799999999999998</v>
      </c>
      <c r="I34" s="1050">
        <v>0.85299999999999998</v>
      </c>
    </row>
    <row r="35" spans="1:9" x14ac:dyDescent="0.35">
      <c r="A35" s="783" t="s">
        <v>241</v>
      </c>
      <c r="B35" s="995">
        <v>0.78828704976629094</v>
      </c>
      <c r="C35" s="995">
        <v>0.73789366745682361</v>
      </c>
      <c r="D35" s="1103" t="s">
        <v>563</v>
      </c>
      <c r="E35" s="995">
        <v>0.78260869565217395</v>
      </c>
      <c r="F35" s="995">
        <v>0.60101010101010099</v>
      </c>
      <c r="G35" s="995">
        <v>0.95899053627760256</v>
      </c>
      <c r="H35" s="1050">
        <v>0.75739944346066279</v>
      </c>
      <c r="I35" s="1050">
        <v>0.74897878508367366</v>
      </c>
    </row>
    <row r="36" spans="1:9" x14ac:dyDescent="0.35">
      <c r="A36" s="783" t="s">
        <v>773</v>
      </c>
      <c r="B36" s="995">
        <v>0.75880088008800883</v>
      </c>
      <c r="C36" s="995">
        <v>0.74089206673476338</v>
      </c>
      <c r="D36" s="995">
        <v>0.55555555555555558</v>
      </c>
      <c r="E36" s="995">
        <v>0.78723404255319152</v>
      </c>
      <c r="F36" s="995">
        <v>0.59290953545232272</v>
      </c>
      <c r="G36" s="995">
        <v>0.94920634920634905</v>
      </c>
      <c r="H36" s="1050">
        <v>0.74237074401008829</v>
      </c>
      <c r="I36" s="1050">
        <v>0.7338148391332896</v>
      </c>
    </row>
    <row r="37" spans="1:9" x14ac:dyDescent="0.35">
      <c r="A37" s="784" t="s">
        <v>951</v>
      </c>
      <c r="B37" s="997">
        <v>0.7446986607142857</v>
      </c>
      <c r="C37" s="997">
        <v>0.73850974930362112</v>
      </c>
      <c r="D37" s="997">
        <v>0.59259259259259256</v>
      </c>
      <c r="E37" s="997">
        <v>0.7142857142857143</v>
      </c>
      <c r="F37" s="997">
        <v>0.57416267942583732</v>
      </c>
      <c r="G37" s="997">
        <v>0.94389438943894388</v>
      </c>
      <c r="H37" s="1148">
        <v>0.73017494572851471</v>
      </c>
      <c r="I37" s="1148">
        <v>0.72157279489904358</v>
      </c>
    </row>
    <row r="38" spans="1:9" x14ac:dyDescent="0.35">
      <c r="A38" s="207"/>
      <c r="B38" s="208"/>
      <c r="C38" s="208"/>
      <c r="D38" s="208"/>
      <c r="E38" s="208"/>
      <c r="F38" s="208"/>
      <c r="G38" s="208"/>
      <c r="H38" s="208"/>
      <c r="I38" s="208"/>
    </row>
    <row r="39" spans="1:9" x14ac:dyDescent="0.35">
      <c r="A39" s="391" t="s">
        <v>8</v>
      </c>
      <c r="B39" s="208"/>
      <c r="C39" s="208"/>
      <c r="D39" s="208"/>
      <c r="E39" s="208"/>
      <c r="F39" s="208"/>
      <c r="G39" s="208"/>
      <c r="H39" s="208"/>
      <c r="I39" s="208"/>
    </row>
    <row r="40" spans="1:9" ht="26.25" customHeight="1" x14ac:dyDescent="0.35">
      <c r="A40" s="1197" t="s">
        <v>736</v>
      </c>
      <c r="B40" s="1197"/>
      <c r="C40" s="1197"/>
      <c r="D40" s="1197"/>
      <c r="E40" s="1197"/>
      <c r="F40" s="1197"/>
      <c r="G40" s="1197"/>
      <c r="H40" s="1197"/>
      <c r="I40" s="1197"/>
    </row>
    <row r="41" spans="1:9" ht="15" customHeight="1" x14ac:dyDescent="0.35">
      <c r="A41" s="1197" t="s">
        <v>872</v>
      </c>
      <c r="B41" s="1197"/>
      <c r="C41" s="1197"/>
      <c r="D41" s="1197"/>
      <c r="E41" s="1197"/>
      <c r="F41" s="1197"/>
      <c r="G41" s="1197"/>
      <c r="H41" s="1197"/>
      <c r="I41" s="1197"/>
    </row>
  </sheetData>
  <sheetProtection algorithmName="SHA-512" hashValue="4xWIfU/69OU6loeDqJ+1Jvy32OrylQdTlSwsfPt24mwqe0seuSMqkuYO64N3Cs4aEH65GkaQoLlLpgiJ596u3w==" saltValue="gbdjWuhJLy/GNcdPaQsgTA==" spinCount="100000" sheet="1" scenarios="1" formatCells="0" formatColumns="0" formatRows="0" sort="0" autoFilter="0" pivotTables="0"/>
  <mergeCells count="6">
    <mergeCell ref="A1:C1"/>
    <mergeCell ref="A41:I41"/>
    <mergeCell ref="A4:I4"/>
    <mergeCell ref="A25:I25"/>
    <mergeCell ref="A22:I22"/>
    <mergeCell ref="A40:I40"/>
  </mergeCells>
  <hyperlinks>
    <hyperlink ref="A2" location="'Table of Contents'!A1" display="Back to Table of Contents"/>
  </hyperlinks>
  <pageMargins left="0.70866141732283472" right="0.70866141732283472" top="0.74803149606299213" bottom="0.74803149606299213" header="0.31496062992125984" footer="0.31496062992125984"/>
  <pageSetup scale="83" orientation="portrait" r:id="rId1"/>
  <tableParts count="2">
    <tablePart r:id="rId2"/>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Z76"/>
  <sheetViews>
    <sheetView showGridLines="0" zoomScale="99" workbookViewId="0">
      <pane ySplit="2" topLeftCell="A3" activePane="bottomLeft" state="frozen"/>
      <selection pane="bottomLeft" activeCell="B54" sqref="B54"/>
    </sheetView>
  </sheetViews>
  <sheetFormatPr defaultRowHeight="14.5" x14ac:dyDescent="0.35"/>
  <cols>
    <col min="1" max="1" width="31" bestFit="1" customWidth="1"/>
    <col min="2" max="9" width="12.54296875" customWidth="1"/>
    <col min="10" max="10" width="14.54296875" bestFit="1" customWidth="1"/>
    <col min="11" max="11" width="12.453125" bestFit="1" customWidth="1"/>
  </cols>
  <sheetData>
    <row r="1" spans="1:8" ht="15.5" x14ac:dyDescent="0.35">
      <c r="A1" s="1160" t="s">
        <v>439</v>
      </c>
      <c r="B1" s="1160"/>
      <c r="C1" s="1160"/>
    </row>
    <row r="2" spans="1:8" x14ac:dyDescent="0.35">
      <c r="A2" s="601" t="s">
        <v>509</v>
      </c>
    </row>
    <row r="3" spans="1:8" x14ac:dyDescent="0.35">
      <c r="A3" s="28"/>
      <c r="B3" s="28"/>
      <c r="C3" s="28"/>
      <c r="D3" s="28"/>
      <c r="E3" s="28"/>
      <c r="F3" s="28"/>
      <c r="G3" s="28"/>
      <c r="H3" s="28"/>
    </row>
    <row r="4" spans="1:8" ht="15.5" x14ac:dyDescent="0.35">
      <c r="A4" s="1170" t="s">
        <v>485</v>
      </c>
      <c r="B4" s="1170"/>
      <c r="C4" s="1170"/>
      <c r="D4" s="1170"/>
      <c r="E4" s="1170"/>
      <c r="F4" s="1170"/>
      <c r="G4" s="1170"/>
      <c r="H4" s="1170"/>
    </row>
    <row r="5" spans="1:8" ht="15.5" x14ac:dyDescent="0.35">
      <c r="A5" t="s">
        <v>445</v>
      </c>
      <c r="B5" s="520"/>
      <c r="C5" s="520"/>
      <c r="D5" s="520"/>
      <c r="E5" s="520"/>
      <c r="F5" s="520"/>
      <c r="G5" s="520"/>
      <c r="H5" s="520"/>
    </row>
    <row r="6" spans="1:8" ht="15.5" x14ac:dyDescent="0.35">
      <c r="A6" t="s">
        <v>320</v>
      </c>
      <c r="B6" t="s">
        <v>691</v>
      </c>
      <c r="C6" s="520"/>
      <c r="D6" s="520"/>
      <c r="E6" s="520"/>
      <c r="F6" s="520"/>
      <c r="G6" s="520"/>
      <c r="H6" s="520"/>
    </row>
    <row r="7" spans="1:8" ht="15.5" x14ac:dyDescent="0.35">
      <c r="A7" t="s">
        <v>321</v>
      </c>
      <c r="B7" t="s">
        <v>323</v>
      </c>
      <c r="C7" s="520"/>
      <c r="D7" s="520"/>
      <c r="E7" s="520"/>
      <c r="F7" s="520"/>
      <c r="G7" s="520"/>
      <c r="H7" s="520"/>
    </row>
    <row r="8" spans="1:8" x14ac:dyDescent="0.35">
      <c r="A8" t="s">
        <v>322</v>
      </c>
      <c r="B8" t="s">
        <v>324</v>
      </c>
    </row>
    <row r="10" spans="1:8" x14ac:dyDescent="0.35">
      <c r="A10" s="359" t="s">
        <v>1</v>
      </c>
    </row>
    <row r="11" spans="1:8" x14ac:dyDescent="0.35">
      <c r="A11" t="str">
        <f>hentrant!D43</f>
        <v>2019-20</v>
      </c>
    </row>
    <row r="12" spans="1:8" s="563" customFormat="1" ht="30" customHeight="1" x14ac:dyDescent="0.35">
      <c r="A12" s="598" t="s">
        <v>200</v>
      </c>
      <c r="B12" s="616" t="s">
        <v>27</v>
      </c>
      <c r="C12" s="616" t="s">
        <v>28</v>
      </c>
      <c r="D12" s="616" t="s">
        <v>2</v>
      </c>
      <c r="E12" s="616" t="s">
        <v>3</v>
      </c>
      <c r="F12" s="616" t="s">
        <v>29</v>
      </c>
      <c r="G12" s="616" t="s">
        <v>10</v>
      </c>
    </row>
    <row r="13" spans="1:8" x14ac:dyDescent="0.35">
      <c r="A13" s="359" t="s">
        <v>306</v>
      </c>
      <c r="B13" s="302">
        <f>GETPIVOTDATA("Total Of PositionRef",hentrant!$A$45,"AgeRange",A13,"StaffType","WT")</f>
        <v>0</v>
      </c>
      <c r="C13" s="302">
        <f>GETPIVOTDATA("Total Of PositionRef",hentrant!$A$45,"AgeRange",A13,"StaffType","RDS")</f>
        <v>8</v>
      </c>
      <c r="D13" s="302">
        <f>IFERROR(GETPIVOTDATA("Total Of PositionRef",hentrant!$A$45,"AgeRange",A13,"StaffType","Control"),0)</f>
        <v>0</v>
      </c>
      <c r="E13" s="302">
        <f>GETPIVOTDATA("Total Of PositionRef",hentrant!$A$45,"AgeRange",A13,"StaffType","Support")</f>
        <v>3</v>
      </c>
      <c r="F13" s="302">
        <f>GETPIVOTDATA("Total Of PositionRef",hentrant!$A$45,"AgeRange",A13,"StaffType","Vol")</f>
        <v>0</v>
      </c>
      <c r="G13" s="750">
        <f>SUM(B13:F13)</f>
        <v>11</v>
      </c>
    </row>
    <row r="14" spans="1:8" x14ac:dyDescent="0.35">
      <c r="A14" s="359" t="s">
        <v>98</v>
      </c>
      <c r="B14" s="302">
        <f>GETPIVOTDATA("Total Of PositionRef",hentrant!$A$45,"AgeRange",A14,"StaffType","WT")</f>
        <v>7</v>
      </c>
      <c r="C14" s="302">
        <f>GETPIVOTDATA("Total Of PositionRef",hentrant!$A$45,"AgeRange",A14,"StaffType","RDS")</f>
        <v>52</v>
      </c>
      <c r="D14" s="302">
        <f>IFERROR(GETPIVOTDATA("Total Of PositionRef",hentrant!$A$45,"AgeRange",A14,"StaffType","Control"),0)</f>
        <v>0</v>
      </c>
      <c r="E14" s="302">
        <f>GETPIVOTDATA("Total Of PositionRef",hentrant!$A$45,"AgeRange",A14,"StaffType","Support")</f>
        <v>6</v>
      </c>
      <c r="F14" s="302">
        <f>GETPIVOTDATA("Total Of PositionRef",hentrant!$A$45,"AgeRange",A14,"StaffType","Vol")</f>
        <v>4</v>
      </c>
      <c r="G14" s="750">
        <f t="shared" ref="G14:G23" si="0">SUM(B14:F14)</f>
        <v>69</v>
      </c>
    </row>
    <row r="15" spans="1:8" x14ac:dyDescent="0.35">
      <c r="A15" s="359" t="s">
        <v>99</v>
      </c>
      <c r="B15" s="302">
        <f>GETPIVOTDATA("Total Of PositionRef",hentrant!$A$45,"AgeRange",A15,"StaffType","WT")</f>
        <v>41</v>
      </c>
      <c r="C15" s="302">
        <f>GETPIVOTDATA("Total Of PositionRef",hentrant!$A$45,"AgeRange",A15,"StaffType","RDS")</f>
        <v>43</v>
      </c>
      <c r="D15" s="302">
        <f>IFERROR(GETPIVOTDATA("Total Of PositionRef",hentrant!$A$45,"AgeRange",A15,"StaffType","Control"),0)</f>
        <v>0</v>
      </c>
      <c r="E15" s="302">
        <f>GETPIVOTDATA("Total Of PositionRef",hentrant!$A$45,"AgeRange",A15,"StaffType","Support")</f>
        <v>14</v>
      </c>
      <c r="F15" s="302">
        <f>GETPIVOTDATA("Total Of PositionRef",hentrant!$A$45,"AgeRange",A15,"StaffType","Vol")</f>
        <v>2</v>
      </c>
      <c r="G15" s="750">
        <f t="shared" si="0"/>
        <v>100</v>
      </c>
    </row>
    <row r="16" spans="1:8" x14ac:dyDescent="0.35">
      <c r="A16" s="359" t="s">
        <v>100</v>
      </c>
      <c r="B16" s="302">
        <f>GETPIVOTDATA("Total Of PositionRef",hentrant!$A$45,"AgeRange",A16,"StaffType","WT")</f>
        <v>43</v>
      </c>
      <c r="C16" s="302">
        <f>GETPIVOTDATA("Total Of PositionRef",hentrant!$A$45,"AgeRange",A16,"StaffType","RDS")</f>
        <v>42</v>
      </c>
      <c r="D16" s="302">
        <f>IFERROR(GETPIVOTDATA("Total Of PositionRef",hentrant!$A$45,"AgeRange",A16,"StaffType","Control"),0)</f>
        <v>0</v>
      </c>
      <c r="E16" s="302">
        <f>GETPIVOTDATA("Total Of PositionRef",hentrant!$A$45,"AgeRange",A16,"StaffType","Support")</f>
        <v>5</v>
      </c>
      <c r="F16" s="302">
        <f>GETPIVOTDATA("Total Of PositionRef",hentrant!$A$45,"AgeRange",A16,"StaffType","Vol")</f>
        <v>6</v>
      </c>
      <c r="G16" s="750">
        <f t="shared" si="0"/>
        <v>96</v>
      </c>
    </row>
    <row r="17" spans="1:8" x14ac:dyDescent="0.35">
      <c r="A17" s="359" t="s">
        <v>101</v>
      </c>
      <c r="B17" s="302">
        <f>GETPIVOTDATA("Total Of PositionRef",hentrant!$A$45,"AgeRange",A17,"StaffType","WT")</f>
        <v>14</v>
      </c>
      <c r="C17" s="302">
        <f>GETPIVOTDATA("Total Of PositionRef",hentrant!$A$45,"AgeRange",A17,"StaffType","RDS")</f>
        <v>40</v>
      </c>
      <c r="D17" s="302">
        <f>IFERROR(GETPIVOTDATA("Total Of PositionRef",hentrant!$A$45,"AgeRange",A17,"StaffType","Control"),0)</f>
        <v>0</v>
      </c>
      <c r="E17" s="302">
        <f>GETPIVOTDATA("Total Of PositionRef",hentrant!$A$45,"AgeRange",A17,"StaffType","Support")</f>
        <v>10</v>
      </c>
      <c r="F17" s="302">
        <f>GETPIVOTDATA("Total Of PositionRef",hentrant!$A$45,"AgeRange",A17,"StaffType","Vol")</f>
        <v>2</v>
      </c>
      <c r="G17" s="750">
        <f t="shared" si="0"/>
        <v>66</v>
      </c>
    </row>
    <row r="18" spans="1:8" x14ac:dyDescent="0.35">
      <c r="A18" s="359" t="s">
        <v>102</v>
      </c>
      <c r="B18" s="302">
        <f>GETPIVOTDATA("Total Of PositionRef",hentrant!$A$45,"AgeRange",A18,"StaffType","WT")</f>
        <v>9</v>
      </c>
      <c r="C18" s="302">
        <f>GETPIVOTDATA("Total Of PositionRef",hentrant!$A$45,"AgeRange",A18,"StaffType","RDS")</f>
        <v>11</v>
      </c>
      <c r="D18" s="302">
        <f>IFERROR(GETPIVOTDATA("Total Of PositionRef",hentrant!$A$45,"AgeRange",A18,"StaffType","Control"),0)</f>
        <v>0</v>
      </c>
      <c r="E18" s="302">
        <f>GETPIVOTDATA("Total Of PositionRef",hentrant!$A$45,"AgeRange",A18,"StaffType","Support")</f>
        <v>10</v>
      </c>
      <c r="F18" s="302">
        <f>GETPIVOTDATA("Total Of PositionRef",hentrant!$A$45,"AgeRange",A18,"StaffType","Vol")</f>
        <v>1</v>
      </c>
      <c r="G18" s="750">
        <f t="shared" si="0"/>
        <v>31</v>
      </c>
    </row>
    <row r="19" spans="1:8" x14ac:dyDescent="0.35">
      <c r="A19" s="359" t="s">
        <v>103</v>
      </c>
      <c r="B19" s="302">
        <f>GETPIVOTDATA("Total Of PositionRef",hentrant!$A$45,"AgeRange",A19,"StaffType","WT")</f>
        <v>3</v>
      </c>
      <c r="C19" s="302">
        <f>GETPIVOTDATA("Total Of PositionRef",hentrant!$A$45,"AgeRange",A19,"StaffType","RDS")</f>
        <v>16</v>
      </c>
      <c r="D19" s="302">
        <f>IFERROR(GETPIVOTDATA("Total Of PositionRef",hentrant!$A$45,"AgeRange",A19,"StaffType","Control"),0)</f>
        <v>0</v>
      </c>
      <c r="E19" s="302">
        <f>GETPIVOTDATA("Total Of PositionRef",hentrant!$A$45,"AgeRange",A19,"StaffType","Support")</f>
        <v>5</v>
      </c>
      <c r="F19" s="302">
        <f>GETPIVOTDATA("Total Of PositionRef",hentrant!$A$45,"AgeRange",A19,"StaffType","Vol")</f>
        <v>3</v>
      </c>
      <c r="G19" s="750">
        <f t="shared" si="0"/>
        <v>27</v>
      </c>
    </row>
    <row r="20" spans="1:8" x14ac:dyDescent="0.35">
      <c r="A20" s="359" t="s">
        <v>104</v>
      </c>
      <c r="B20" s="302">
        <f>GETPIVOTDATA("Total Of PositionRef",hentrant!$A$45,"AgeRange",A20,"StaffType","WT")</f>
        <v>1</v>
      </c>
      <c r="C20" s="302">
        <f>GETPIVOTDATA("Total Of PositionRef",hentrant!$A$45,"AgeRange",A20,"StaffType","RDS")</f>
        <v>8</v>
      </c>
      <c r="D20" s="302">
        <f>IFERROR(GETPIVOTDATA("Total Of PositionRef",hentrant!$A$45,"AgeRange",A20,"StaffType","Control"),0)</f>
        <v>0</v>
      </c>
      <c r="E20" s="302">
        <f>GETPIVOTDATA("Total Of PositionRef",hentrant!$A$45,"AgeRange",A20,"StaffType","Support")</f>
        <v>7</v>
      </c>
      <c r="F20" s="302">
        <f>GETPIVOTDATA("Total Of PositionRef",hentrant!$A$45,"AgeRange",A20,"StaffType","Vol")</f>
        <v>3</v>
      </c>
      <c r="G20" s="750">
        <f t="shared" si="0"/>
        <v>19</v>
      </c>
    </row>
    <row r="21" spans="1:8" x14ac:dyDescent="0.35">
      <c r="A21" s="359" t="s">
        <v>105</v>
      </c>
      <c r="B21" s="302">
        <f>GETPIVOTDATA("Total Of PositionRef",hentrant!$A$45,"AgeRange",A21,"StaffType","WT")</f>
        <v>1</v>
      </c>
      <c r="C21" s="302">
        <f>GETPIVOTDATA("Total Of PositionRef",hentrant!$A$45,"AgeRange",A21,"StaffType","RDS")</f>
        <v>3</v>
      </c>
      <c r="D21" s="302">
        <f>IFERROR(GETPIVOTDATA("Total Of PositionRef",hentrant!$A$45,"AgeRange",A21,"StaffType","Control"),0)</f>
        <v>0</v>
      </c>
      <c r="E21" s="302">
        <f>GETPIVOTDATA("Total Of PositionRef",hentrant!$A$45,"AgeRange",A21,"StaffType","Support")</f>
        <v>6</v>
      </c>
      <c r="F21" s="302">
        <f>GETPIVOTDATA("Total Of PositionRef",hentrant!$A$45,"AgeRange",A21,"StaffType","Vol")</f>
        <v>0</v>
      </c>
      <c r="G21" s="750">
        <f t="shared" si="0"/>
        <v>10</v>
      </c>
    </row>
    <row r="22" spans="1:8" x14ac:dyDescent="0.35">
      <c r="A22" s="359" t="s">
        <v>106</v>
      </c>
      <c r="B22" s="302">
        <f>GETPIVOTDATA("Total Of PositionRef",hentrant!$A$45,"AgeRange",A22,"StaffType","WT")</f>
        <v>0</v>
      </c>
      <c r="C22" s="302">
        <f>GETPIVOTDATA("Total Of PositionRef",hentrant!$A$45,"AgeRange",A22,"StaffType","RDS")</f>
        <v>0</v>
      </c>
      <c r="D22" s="302">
        <f>IFERROR(GETPIVOTDATA("Total Of PositionRef",hentrant!$A$45,"AgeRange",A22,"StaffType","Control"),0)</f>
        <v>0</v>
      </c>
      <c r="E22" s="302">
        <f>GETPIVOTDATA("Total Of PositionRef",hentrant!$A$45,"AgeRange",A22,"StaffType","Support")</f>
        <v>1</v>
      </c>
      <c r="F22" s="302">
        <f>GETPIVOTDATA("Total Of PositionRef",hentrant!$A$45,"AgeRange",A22,"StaffType","Vol")</f>
        <v>0</v>
      </c>
      <c r="G22" s="750">
        <f t="shared" si="0"/>
        <v>1</v>
      </c>
    </row>
    <row r="23" spans="1:8" x14ac:dyDescent="0.35">
      <c r="A23" s="359" t="s">
        <v>107</v>
      </c>
      <c r="B23" s="302">
        <f>IFERROR(GETPIVOTDATA("Total Of PositionRef",hentrant!$A$45,"AgeRange",A23,"StaffType","WT"),0)</f>
        <v>0</v>
      </c>
      <c r="C23" s="302">
        <f>IFERROR(GETPIVOTDATA("Total Of PositionRef",hentrant!$A$45,"AgeRange",A23,"StaffType","RDS"),0)</f>
        <v>0</v>
      </c>
      <c r="D23" s="302">
        <f>IFERROR(GETPIVOTDATA("Total Of PositionRef",hentrant!$A$45,"AgeRange",A23,"StaffType","Control"),0)</f>
        <v>0</v>
      </c>
      <c r="E23" s="302">
        <f>IFERROR(GETPIVOTDATA("Total Of PositionRef",hentrant!$A$45,"AgeRange",A23,"StaffType","Support"),0)</f>
        <v>0</v>
      </c>
      <c r="F23" s="302">
        <f>IFERROR(GETPIVOTDATA("Total Of PositionRef",hentrant!$A$45,"AgeRange",A23,"StaffType","Vol"),0)</f>
        <v>0</v>
      </c>
      <c r="G23" s="750">
        <f t="shared" si="0"/>
        <v>0</v>
      </c>
    </row>
    <row r="24" spans="1:8" ht="15" thickBot="1" x14ac:dyDescent="0.4">
      <c r="A24" s="596" t="s">
        <v>357</v>
      </c>
      <c r="B24" s="751">
        <f>SUM(B13:B23)</f>
        <v>119</v>
      </c>
      <c r="C24" s="751">
        <f t="shared" ref="C24:G24" si="1">SUM(C13:C23)</f>
        <v>223</v>
      </c>
      <c r="D24" s="751">
        <f t="shared" si="1"/>
        <v>0</v>
      </c>
      <c r="E24" s="751">
        <f t="shared" si="1"/>
        <v>67</v>
      </c>
      <c r="F24" s="751">
        <f t="shared" si="1"/>
        <v>21</v>
      </c>
      <c r="G24" s="751">
        <f t="shared" si="1"/>
        <v>430</v>
      </c>
    </row>
    <row r="25" spans="1:8" x14ac:dyDescent="0.35">
      <c r="A25" s="597"/>
      <c r="B25" s="597"/>
      <c r="C25" s="597"/>
      <c r="D25" s="597"/>
      <c r="E25" s="597"/>
      <c r="F25" s="597"/>
      <c r="G25" s="597"/>
    </row>
    <row r="26" spans="1:8" x14ac:dyDescent="0.35">
      <c r="A26" s="390" t="s">
        <v>8</v>
      </c>
      <c r="B26" s="597"/>
      <c r="C26" s="597"/>
      <c r="D26" s="597"/>
      <c r="E26" s="597"/>
      <c r="F26" s="597"/>
      <c r="G26" s="597"/>
    </row>
    <row r="27" spans="1:8" ht="44.25" customHeight="1" x14ac:dyDescent="0.35">
      <c r="A27" s="1163" t="s">
        <v>737</v>
      </c>
      <c r="B27" s="1163"/>
      <c r="C27" s="1163"/>
      <c r="D27" s="1163"/>
      <c r="E27" s="1163"/>
      <c r="F27" s="1163"/>
      <c r="G27" s="1163"/>
      <c r="H27" s="1163"/>
    </row>
    <row r="29" spans="1:8" ht="15.75" customHeight="1" x14ac:dyDescent="0.35">
      <c r="A29" s="1170" t="s">
        <v>486</v>
      </c>
      <c r="B29" s="1170"/>
      <c r="C29" s="1170"/>
      <c r="D29" s="1170"/>
      <c r="E29" s="1170"/>
      <c r="F29" s="1170"/>
      <c r="G29" s="1170"/>
      <c r="H29" s="1170"/>
    </row>
    <row r="30" spans="1:8" ht="15.5" x14ac:dyDescent="0.35">
      <c r="A30" t="s">
        <v>445</v>
      </c>
      <c r="B30" s="520"/>
      <c r="C30" s="520"/>
      <c r="D30" s="520"/>
      <c r="E30" s="520"/>
      <c r="F30" s="520"/>
      <c r="G30" s="520"/>
      <c r="H30" s="520"/>
    </row>
    <row r="31" spans="1:8" ht="15.5" x14ac:dyDescent="0.35">
      <c r="A31" t="s">
        <v>320</v>
      </c>
      <c r="B31" t="s">
        <v>692</v>
      </c>
      <c r="C31" s="520"/>
      <c r="D31" s="520"/>
      <c r="E31" s="520"/>
      <c r="F31" s="520"/>
      <c r="G31" s="520"/>
      <c r="H31" s="520"/>
    </row>
    <row r="32" spans="1:8" ht="15.5" x14ac:dyDescent="0.35">
      <c r="A32" t="s">
        <v>321</v>
      </c>
      <c r="B32" t="s">
        <v>323</v>
      </c>
      <c r="C32" s="520"/>
      <c r="D32" s="520"/>
      <c r="E32" s="520"/>
      <c r="F32" s="520"/>
      <c r="G32" s="520"/>
      <c r="H32" s="520"/>
    </row>
    <row r="33" spans="1:8" x14ac:dyDescent="0.35">
      <c r="A33" t="s">
        <v>322</v>
      </c>
      <c r="B33" t="s">
        <v>324</v>
      </c>
    </row>
    <row r="35" spans="1:8" x14ac:dyDescent="0.35">
      <c r="A35" s="359" t="s">
        <v>1</v>
      </c>
    </row>
    <row r="36" spans="1:8" x14ac:dyDescent="0.35">
      <c r="A36" t="str">
        <f>hentrant!D23</f>
        <v>2019-20</v>
      </c>
      <c r="B36" s="617"/>
      <c r="C36" s="617"/>
      <c r="D36" s="617"/>
      <c r="E36" s="617"/>
      <c r="F36" s="617"/>
      <c r="G36" s="617"/>
    </row>
    <row r="37" spans="1:8" s="563" customFormat="1" ht="30" customHeight="1" x14ac:dyDescent="0.35">
      <c r="A37" s="598" t="str">
        <f>hentrant!A23</f>
        <v>FisYr</v>
      </c>
      <c r="B37" s="616" t="s">
        <v>27</v>
      </c>
      <c r="C37" s="616" t="s">
        <v>28</v>
      </c>
      <c r="D37" s="616" t="s">
        <v>2</v>
      </c>
      <c r="E37" s="616" t="s">
        <v>3</v>
      </c>
      <c r="F37" s="616" t="s">
        <v>481</v>
      </c>
      <c r="G37" s="616" t="s">
        <v>10</v>
      </c>
    </row>
    <row r="38" spans="1:8" x14ac:dyDescent="0.35">
      <c r="A38" s="359" t="str">
        <f>hentrant!A27</f>
        <v>Female</v>
      </c>
      <c r="B38">
        <f>GETPIVOTDATA("Total Of PositionRef",hentrant!$A$25,"Gender","Female","StaffType","WT")</f>
        <v>21</v>
      </c>
      <c r="C38">
        <f>GETPIVOTDATA("Total Of PositionRef",hentrant!$A$25,"Gender","Female","StaffType","RDS")</f>
        <v>23</v>
      </c>
      <c r="D38">
        <f>IFERROR(GETPIVOTDATA("Total Of PositionRef",hentrant!$A$25,"Gender","Female","StaffType","Control"),0)</f>
        <v>0</v>
      </c>
      <c r="E38">
        <f>GETPIVOTDATA("Total Of PositionRef",hentrant!$A$25,"Gender","Female","StaffType","Support")</f>
        <v>38</v>
      </c>
      <c r="F38">
        <f>GETPIVOTDATA("Total Of PositionRef",hentrant!$A$25,"Gender","Female","StaffType","Vol")</f>
        <v>6</v>
      </c>
      <c r="G38">
        <f>SUM(B38:F38)</f>
        <v>88</v>
      </c>
    </row>
    <row r="39" spans="1:8" x14ac:dyDescent="0.35">
      <c r="A39" s="359" t="str">
        <f>hentrant!A28</f>
        <v>Male</v>
      </c>
      <c r="B39">
        <f>GETPIVOTDATA("Total Of PositionRef",hentrant!$A$25,"Gender","Male","StaffType","WT")</f>
        <v>98</v>
      </c>
      <c r="C39">
        <f>GETPIVOTDATA("Total Of PositionRef",hentrant!$A$25,"Gender","Male","StaffType","RDS")</f>
        <v>200</v>
      </c>
      <c r="D39">
        <f>IFERROR(GETPIVOTDATA("Total Of PositionRef",hentrant!$A$25,"Gender","Male","StaffType","Control"),0)</f>
        <v>0</v>
      </c>
      <c r="E39">
        <f>GETPIVOTDATA("Total Of PositionRef",hentrant!$A$25,"Gender","Male","StaffType","Support")</f>
        <v>29</v>
      </c>
      <c r="F39">
        <f>GETPIVOTDATA("Total Of PositionRef",hentrant!$A$25,"Gender","Male","StaffType","Vol")</f>
        <v>15</v>
      </c>
      <c r="G39">
        <f>SUM(B39:F39)</f>
        <v>342</v>
      </c>
    </row>
    <row r="40" spans="1:8" ht="15" thickBot="1" x14ac:dyDescent="0.4">
      <c r="A40" s="596" t="s">
        <v>357</v>
      </c>
      <c r="B40" s="596">
        <f t="shared" ref="B40:G40" si="2">SUM(B38:B39)</f>
        <v>119</v>
      </c>
      <c r="C40" s="596">
        <f t="shared" si="2"/>
        <v>223</v>
      </c>
      <c r="D40" s="596">
        <f t="shared" si="2"/>
        <v>0</v>
      </c>
      <c r="E40" s="596">
        <f>SUM(E38:E39)</f>
        <v>67</v>
      </c>
      <c r="F40" s="596">
        <f>SUM(F38:F39)</f>
        <v>21</v>
      </c>
      <c r="G40" s="596">
        <f t="shared" si="2"/>
        <v>430</v>
      </c>
    </row>
    <row r="41" spans="1:8" x14ac:dyDescent="0.35">
      <c r="A41" s="597"/>
      <c r="B41" s="597"/>
      <c r="C41" s="597"/>
      <c r="D41" s="597"/>
      <c r="E41" s="597"/>
      <c r="F41" s="597"/>
      <c r="G41" s="597"/>
    </row>
    <row r="42" spans="1:8" x14ac:dyDescent="0.35">
      <c r="A42" s="390" t="s">
        <v>8</v>
      </c>
      <c r="B42" s="597"/>
      <c r="C42" s="597"/>
      <c r="D42" s="597"/>
      <c r="E42" s="597"/>
      <c r="F42" s="597"/>
      <c r="G42" s="597"/>
    </row>
    <row r="43" spans="1:8" ht="45" customHeight="1" x14ac:dyDescent="0.35">
      <c r="A43" s="1163" t="s">
        <v>737</v>
      </c>
      <c r="B43" s="1163"/>
      <c r="C43" s="1163"/>
      <c r="D43" s="1163"/>
      <c r="E43" s="1163"/>
      <c r="F43" s="1163"/>
      <c r="G43" s="1163"/>
      <c r="H43" s="1163"/>
    </row>
    <row r="44" spans="1:8" x14ac:dyDescent="0.35">
      <c r="A44" s="390"/>
    </row>
    <row r="45" spans="1:8" ht="15.5" x14ac:dyDescent="0.35">
      <c r="A45" s="1170" t="s">
        <v>487</v>
      </c>
      <c r="B45" s="1170"/>
      <c r="C45" s="1170"/>
      <c r="D45" s="1170"/>
      <c r="E45" s="1170"/>
      <c r="F45" s="1170"/>
      <c r="G45" s="1170"/>
      <c r="H45" s="1170"/>
    </row>
    <row r="46" spans="1:8" ht="15.5" x14ac:dyDescent="0.35">
      <c r="A46" t="s">
        <v>445</v>
      </c>
      <c r="B46" s="520"/>
      <c r="C46" s="520"/>
      <c r="D46" s="520"/>
      <c r="E46" s="520"/>
      <c r="F46" s="520"/>
      <c r="G46" s="520"/>
      <c r="H46" s="520"/>
    </row>
    <row r="47" spans="1:8" ht="15.5" x14ac:dyDescent="0.35">
      <c r="A47" t="s">
        <v>320</v>
      </c>
      <c r="B47" t="s">
        <v>693</v>
      </c>
      <c r="C47" s="520"/>
      <c r="D47" s="520"/>
      <c r="E47" s="520"/>
      <c r="F47" s="520"/>
      <c r="G47" s="520"/>
      <c r="H47" s="520"/>
    </row>
    <row r="48" spans="1:8" ht="15.5" x14ac:dyDescent="0.35">
      <c r="A48" t="s">
        <v>321</v>
      </c>
      <c r="B48" t="s">
        <v>323</v>
      </c>
      <c r="C48" s="520"/>
      <c r="D48" s="520"/>
      <c r="E48" s="520"/>
      <c r="F48" s="520"/>
      <c r="G48" s="520"/>
    </row>
    <row r="49" spans="1:8" ht="15.75" customHeight="1" x14ac:dyDescent="0.35">
      <c r="A49" t="s">
        <v>322</v>
      </c>
      <c r="B49" t="s">
        <v>324</v>
      </c>
    </row>
    <row r="50" spans="1:8" ht="15.75" customHeight="1" x14ac:dyDescent="0.35"/>
    <row r="51" spans="1:8" ht="15.75" customHeight="1" x14ac:dyDescent="0.35">
      <c r="A51" s="359" t="s">
        <v>1</v>
      </c>
    </row>
    <row r="52" spans="1:8" ht="15.75" customHeight="1" x14ac:dyDescent="0.35">
      <c r="A52" t="str">
        <f>hentrant!D13</f>
        <v>2018-19</v>
      </c>
      <c r="H52" s="599" t="s">
        <v>7</v>
      </c>
    </row>
    <row r="53" spans="1:8" ht="45" customHeight="1" x14ac:dyDescent="0.35">
      <c r="A53" s="166" t="s">
        <v>484</v>
      </c>
      <c r="B53" s="618" t="s">
        <v>27</v>
      </c>
      <c r="C53" s="618" t="s">
        <v>28</v>
      </c>
      <c r="D53" s="618" t="s">
        <v>2</v>
      </c>
      <c r="E53" s="618" t="s">
        <v>83</v>
      </c>
      <c r="F53" s="618" t="s">
        <v>29</v>
      </c>
      <c r="G53" s="517" t="s">
        <v>10</v>
      </c>
      <c r="H53" s="517" t="s">
        <v>483</v>
      </c>
    </row>
    <row r="54" spans="1:8" x14ac:dyDescent="0.35">
      <c r="A54" s="242" t="s">
        <v>111</v>
      </c>
      <c r="B54" s="357">
        <f>GETPIVOTDATA("Per",hentrant!$A$15,"Type","WT","Eth","Ethnic Minority")</f>
        <v>0</v>
      </c>
      <c r="C54" s="357">
        <f>GETPIVOTDATA("Per",hentrant!$A$15,"Type","RDS","Eth","Ethnic Minority")</f>
        <v>1.6</v>
      </c>
      <c r="D54" s="357">
        <f>IFERROR(GETPIVOTDATA("Per",hentrant!$A$15,"Type","Control","Eth","Ethnic Minority"),"")</f>
        <v>0</v>
      </c>
      <c r="E54" s="357">
        <f>GETPIVOTDATA("Per",hentrant!$A$15,"Type","Support","Eth","Ethnic Minority")</f>
        <v>2.2000000000000002</v>
      </c>
      <c r="F54" s="357">
        <f>GETPIVOTDATA("Per",hentrant!$A$15,"Type","Vol","Eth","Ethnic Minority")</f>
        <v>0</v>
      </c>
      <c r="G54" s="358">
        <f>GETPIVOTDATA("Per",hentrant!$A$15,"Type","Total","Eth","Ethnic Minority")</f>
        <v>1</v>
      </c>
      <c r="H54" s="358">
        <f>GETPIVOTDATA("Per",hentrant!$A$15,"Type","Total (ex Vol)","Eth","Ethnic Minority")</f>
        <v>1.1000000000000001</v>
      </c>
    </row>
    <row r="55" spans="1:8" x14ac:dyDescent="0.35">
      <c r="A55" s="199" t="s">
        <v>110</v>
      </c>
      <c r="B55">
        <f>GETPIVOTDATA("Per",hentrant!$A$15,"Type","WT","Eth","White")</f>
        <v>40.700000000000003</v>
      </c>
      <c r="C55" s="200">
        <f>GETPIVOTDATA("Per",hentrant!$A$15,"Type","RDS","Eth","White")</f>
        <v>53.8</v>
      </c>
      <c r="D55" s="200">
        <f>IFERROR(GETPIVOTDATA("Per",hentrant!$A$15,"Type","Control","Eth","White"),"")</f>
        <v>37.9</v>
      </c>
      <c r="E55" s="200">
        <f>GETPIVOTDATA("Per",hentrant!$A$15,"Type","Support","Eth","White")</f>
        <v>54.3</v>
      </c>
      <c r="F55" s="200">
        <f>GETPIVOTDATA("Per",hentrant!$A$15,"Type","Vol","Eth","White")</f>
        <v>0</v>
      </c>
      <c r="G55" s="201">
        <f>GETPIVOTDATA("Per",hentrant!$A$15,"Type","Total","Eth","White")</f>
        <v>46.6</v>
      </c>
      <c r="H55" s="201">
        <f>GETPIVOTDATA("Per",hentrant!$A$15,"Type","Total (ex Vol)","Eth","White")</f>
        <v>48.6</v>
      </c>
    </row>
    <row r="56" spans="1:8" x14ac:dyDescent="0.35">
      <c r="A56" s="475" t="s">
        <v>340</v>
      </c>
      <c r="B56" s="600">
        <f>GETPIVOTDATA("Per",hentrant!$A$15,"Type","WT","Eth","Not Stated")</f>
        <v>59.3</v>
      </c>
      <c r="C56" s="600">
        <f>GETPIVOTDATA("Per",hentrant!$A$15,"Type","RDS","Eth","Not Stated")</f>
        <v>44.5</v>
      </c>
      <c r="D56" s="600">
        <f>IFERROR(GETPIVOTDATA("Per",hentrant!$A$15,"Type","Control","Eth","Not Stated"),"")</f>
        <v>62.1</v>
      </c>
      <c r="E56" s="600">
        <f>GETPIVOTDATA("Per",hentrant!$A$15,"Type","Support","Eth","Not Stated")</f>
        <v>43.5</v>
      </c>
      <c r="F56" s="600">
        <f>GETPIVOTDATA("Per",hentrant!$A$15,"Type","Vol","Eth","Not Stated")</f>
        <v>100</v>
      </c>
      <c r="G56" s="595">
        <f>GETPIVOTDATA("Per",hentrant!$A$15,"Type","Total","Eth","Not Stated")</f>
        <v>52.4</v>
      </c>
      <c r="H56" s="595">
        <f>GETPIVOTDATA("Per",hentrant!$A$15,"Type","Total (ex Vol)","Eth","Not Stated")</f>
        <v>50.4</v>
      </c>
    </row>
    <row r="58" spans="1:8" x14ac:dyDescent="0.35">
      <c r="A58" s="390" t="s">
        <v>8</v>
      </c>
      <c r="B58" s="28"/>
      <c r="C58" s="28"/>
      <c r="D58" s="28"/>
      <c r="E58" s="28"/>
      <c r="F58" s="28"/>
      <c r="G58" s="28"/>
      <c r="H58" s="28"/>
    </row>
    <row r="59" spans="1:8" ht="15" customHeight="1" x14ac:dyDescent="0.35">
      <c r="A59" s="1197" t="s">
        <v>490</v>
      </c>
      <c r="B59" s="1197"/>
      <c r="C59" s="1197"/>
      <c r="D59" s="1197"/>
      <c r="E59" s="1197"/>
      <c r="F59" s="1197"/>
      <c r="G59" s="1197"/>
      <c r="H59" s="1197"/>
    </row>
    <row r="60" spans="1:8" ht="30" customHeight="1" x14ac:dyDescent="0.35">
      <c r="A60" s="1197" t="s">
        <v>738</v>
      </c>
      <c r="B60" s="1197"/>
      <c r="C60" s="1197"/>
      <c r="D60" s="1197"/>
      <c r="E60" s="1197"/>
      <c r="F60" s="1197"/>
      <c r="G60" s="1197"/>
      <c r="H60" s="1197"/>
    </row>
    <row r="61" spans="1:8" ht="15" customHeight="1" x14ac:dyDescent="0.35">
      <c r="A61" s="519"/>
      <c r="B61" s="519"/>
      <c r="C61" s="519"/>
      <c r="D61" s="519"/>
      <c r="E61" s="519"/>
      <c r="F61" s="519"/>
      <c r="G61" s="519"/>
      <c r="H61" s="519"/>
    </row>
    <row r="62" spans="1:8" ht="15.5" x14ac:dyDescent="0.35">
      <c r="A62" s="1170" t="s">
        <v>488</v>
      </c>
      <c r="B62" s="1170"/>
      <c r="C62" s="1170"/>
      <c r="D62" s="1170"/>
      <c r="E62" s="1170"/>
      <c r="F62" s="1170"/>
      <c r="G62" s="1170"/>
      <c r="H62" s="1170"/>
    </row>
    <row r="63" spans="1:8" ht="15.5" x14ac:dyDescent="0.35">
      <c r="A63" t="s">
        <v>445</v>
      </c>
      <c r="B63" s="520"/>
      <c r="C63" s="520"/>
      <c r="D63" s="520"/>
      <c r="E63" s="520"/>
      <c r="F63" s="520"/>
      <c r="G63" s="520"/>
      <c r="H63" s="520"/>
    </row>
    <row r="64" spans="1:8" ht="15.5" x14ac:dyDescent="0.35">
      <c r="A64" t="s">
        <v>320</v>
      </c>
      <c r="B64" t="s">
        <v>694</v>
      </c>
      <c r="C64" s="520"/>
      <c r="D64" s="744"/>
      <c r="F64" s="520"/>
      <c r="G64" s="520"/>
      <c r="H64" s="520"/>
    </row>
    <row r="65" spans="1:26" ht="15.5" x14ac:dyDescent="0.35">
      <c r="A65" t="s">
        <v>321</v>
      </c>
      <c r="B65" t="s">
        <v>323</v>
      </c>
      <c r="C65" s="520"/>
      <c r="D65" s="520"/>
      <c r="E65" s="520"/>
      <c r="F65" s="520"/>
      <c r="G65" s="520"/>
    </row>
    <row r="66" spans="1:26" x14ac:dyDescent="0.35">
      <c r="A66" t="s">
        <v>322</v>
      </c>
      <c r="B66" t="s">
        <v>324</v>
      </c>
    </row>
    <row r="68" spans="1:26" x14ac:dyDescent="0.35">
      <c r="A68" t="s">
        <v>1</v>
      </c>
      <c r="H68" s="599" t="s">
        <v>7</v>
      </c>
    </row>
    <row r="69" spans="1:26" ht="45" customHeight="1" x14ac:dyDescent="0.35">
      <c r="A69" s="166" t="str">
        <f>hentrant!$D$1</f>
        <v>2019-20</v>
      </c>
      <c r="B69" s="618" t="s">
        <v>27</v>
      </c>
      <c r="C69" s="618" t="s">
        <v>28</v>
      </c>
      <c r="D69" s="618" t="s">
        <v>2</v>
      </c>
      <c r="E69" s="618" t="s">
        <v>83</v>
      </c>
      <c r="F69" s="618" t="s">
        <v>29</v>
      </c>
      <c r="G69" s="517" t="s">
        <v>10</v>
      </c>
      <c r="H69" s="517" t="s">
        <v>483</v>
      </c>
    </row>
    <row r="70" spans="1:26" x14ac:dyDescent="0.35">
      <c r="A70" s="242" t="str">
        <f>hentrant!A6</f>
        <v>Not Disabled</v>
      </c>
      <c r="B70" s="752">
        <f>GETPIVOTDATA("Total",hentrant!$A$3,"DisStat","Disabled","Type","WT")</f>
        <v>0.8</v>
      </c>
      <c r="C70" s="752">
        <f>GETPIVOTDATA("Total",hentrant!$A$3,"DisStat","Disabled","Type","RDS")</f>
        <v>0.4</v>
      </c>
      <c r="D70" s="752" t="str">
        <f>IFERROR(GETPIVOTDATA("Total",hentrant!$A$3,"DisStat","Disabled","Type","Control"),"")</f>
        <v/>
      </c>
      <c r="E70" s="752">
        <f>GETPIVOTDATA("Total",hentrant!$A$3,"DisStat","Disabled","Type","Support")</f>
        <v>4.5</v>
      </c>
      <c r="F70" s="752">
        <f>GETPIVOTDATA("Total",hentrant!$A$3,"DisStat","Disabled","Type","Vol")</f>
        <v>0</v>
      </c>
      <c r="G70" s="753">
        <f>GETPIVOTDATA("Total",hentrant!$A$3,"DisStat","Disabled","Type","Total")</f>
        <v>1.2</v>
      </c>
      <c r="H70" s="753">
        <f>GETPIVOTDATA("Total",hentrant!$A$3,"DisStat","Disabled","Type","TotalExVol")</f>
        <v>1.2</v>
      </c>
    </row>
    <row r="71" spans="1:26" x14ac:dyDescent="0.35">
      <c r="A71" s="199" t="str">
        <f>hentrant!A7</f>
        <v>Not Known</v>
      </c>
      <c r="B71" s="754">
        <f>GETPIVOTDATA("Total",hentrant!$A$3,"DisStat","Not Disabled","Type","WT")</f>
        <v>9.1999999999999993</v>
      </c>
      <c r="C71" s="754">
        <f>GETPIVOTDATA("Total",hentrant!$A$3,"DisStat","Not Disabled","Type","RDS")</f>
        <v>8.5</v>
      </c>
      <c r="D71" s="754" t="str">
        <f>IFERROR(GETPIVOTDATA("Total",hentrant!$A$3,"DisStat","Not Disabled","Type","Control"),"")</f>
        <v/>
      </c>
      <c r="E71" s="754">
        <f>GETPIVOTDATA("Total",hentrant!$A$3,"DisStat","Not Disabled","Type","Support")</f>
        <v>23.9</v>
      </c>
      <c r="F71" s="754">
        <f>GETPIVOTDATA("Total",hentrant!$A$3,"DisStat","Not Disabled","Type","Vol")</f>
        <v>0</v>
      </c>
      <c r="G71" s="755">
        <f>GETPIVOTDATA("Total",hentrant!$A$3,"DisStat","Not Disabled","Type","Total")</f>
        <v>10.7</v>
      </c>
      <c r="H71" s="755">
        <f>GETPIVOTDATA("Total",hentrant!$A$3,"DisStat","Not Disabled","Type","TotalExVol")</f>
        <v>11.2</v>
      </c>
    </row>
    <row r="72" spans="1:26" x14ac:dyDescent="0.35">
      <c r="A72" s="475" t="str">
        <f>hentrant!A8</f>
        <v>Grand Total</v>
      </c>
      <c r="B72" s="756">
        <f>GETPIVOTDATA("Total",hentrant!$A$3,"DisStat","Not Known","Type","WT")</f>
        <v>89.9</v>
      </c>
      <c r="C72" s="756">
        <f>GETPIVOTDATA("Total",hentrant!$A$3,"DisStat","Not Known","Type","RDS")</f>
        <v>91</v>
      </c>
      <c r="D72" s="756" t="str">
        <f>IFERROR(GETPIVOTDATA("Total",hentrant!$A$3,"DisStat","Not Known","Type","Control"),"")</f>
        <v/>
      </c>
      <c r="E72" s="756">
        <f>GETPIVOTDATA("Total",hentrant!$A$3,"DisStat","Not Known","Type","Support")</f>
        <v>71.599999999999994</v>
      </c>
      <c r="F72" s="756">
        <f>GETPIVOTDATA("Total",hentrant!$A$3,"DisStat","Not Known","Type","Vol")</f>
        <v>100</v>
      </c>
      <c r="G72" s="757">
        <f>GETPIVOTDATA("Total",hentrant!$A$3,"DisStat","Not Known","Type","Total")</f>
        <v>88.1</v>
      </c>
      <c r="H72" s="757">
        <f>GETPIVOTDATA("Total",hentrant!$A$3,"DisStat","Not Known","Type","TotalExVol")</f>
        <v>87.5</v>
      </c>
      <c r="Z72" t="s">
        <v>429</v>
      </c>
    </row>
    <row r="74" spans="1:26" x14ac:dyDescent="0.35">
      <c r="A74" s="390" t="s">
        <v>8</v>
      </c>
      <c r="B74" s="28"/>
      <c r="C74" s="28"/>
      <c r="D74" s="28"/>
      <c r="E74" s="28"/>
      <c r="F74" s="28"/>
      <c r="G74" s="28"/>
      <c r="H74" s="28"/>
    </row>
    <row r="75" spans="1:26" ht="15.75" customHeight="1" x14ac:dyDescent="0.35">
      <c r="A75" s="1197" t="s">
        <v>490</v>
      </c>
      <c r="B75" s="1197"/>
      <c r="C75" s="1197"/>
      <c r="D75" s="1197"/>
      <c r="E75" s="1197"/>
      <c r="F75" s="1197"/>
      <c r="G75" s="1197"/>
      <c r="H75" s="1197"/>
    </row>
    <row r="76" spans="1:26" ht="30.75" customHeight="1" x14ac:dyDescent="0.35">
      <c r="A76" s="1197" t="s">
        <v>738</v>
      </c>
      <c r="B76" s="1197"/>
      <c r="C76" s="1197"/>
      <c r="D76" s="1197"/>
      <c r="E76" s="1197"/>
      <c r="F76" s="1197"/>
      <c r="G76" s="1197"/>
      <c r="H76" s="1197"/>
    </row>
  </sheetData>
  <mergeCells count="11">
    <mergeCell ref="A76:H76"/>
    <mergeCell ref="A62:H62"/>
    <mergeCell ref="A59:H59"/>
    <mergeCell ref="A75:H75"/>
    <mergeCell ref="A1:C1"/>
    <mergeCell ref="A4:H4"/>
    <mergeCell ref="A29:H29"/>
    <mergeCell ref="A45:H45"/>
    <mergeCell ref="A27:H27"/>
    <mergeCell ref="A43:H43"/>
    <mergeCell ref="A60:H60"/>
  </mergeCells>
  <hyperlinks>
    <hyperlink ref="A2" location="'Table of Contents'!A1" display="Back to Table of Contents"/>
  </hyperlink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57"/>
  <sheetViews>
    <sheetView topLeftCell="A7" workbookViewId="0">
      <selection activeCell="C17" sqref="C17"/>
    </sheetView>
  </sheetViews>
  <sheetFormatPr defaultRowHeight="14.5" x14ac:dyDescent="0.35"/>
  <cols>
    <col min="1" max="1" width="12.36328125" bestFit="1" customWidth="1"/>
    <col min="2" max="2" width="15.26953125" bestFit="1" customWidth="1"/>
    <col min="3" max="3" width="7.54296875" bestFit="1" customWidth="1"/>
    <col min="4" max="4" width="7.453125" bestFit="1" customWidth="1"/>
    <col min="5" max="5" width="4.81640625" bestFit="1" customWidth="1"/>
    <col min="6" max="6" width="5.08984375" bestFit="1" customWidth="1"/>
    <col min="7" max="7" width="9.7265625" bestFit="1" customWidth="1"/>
    <col min="8" max="9" width="10.7265625" bestFit="1" customWidth="1"/>
    <col min="10" max="10" width="12" bestFit="1" customWidth="1"/>
    <col min="11" max="11" width="19.453125" bestFit="1" customWidth="1"/>
    <col min="12" max="12" width="17" bestFit="1" customWidth="1"/>
    <col min="13" max="13" width="24.453125" bestFit="1" customWidth="1"/>
    <col min="14" max="18" width="21.54296875" bestFit="1" customWidth="1"/>
    <col min="19" max="19" width="18.26953125" bestFit="1" customWidth="1"/>
    <col min="20" max="20" width="26.54296875" bestFit="1" customWidth="1"/>
    <col min="21" max="21" width="22.26953125" bestFit="1" customWidth="1"/>
    <col min="22" max="22" width="18.26953125" bestFit="1" customWidth="1"/>
    <col min="23" max="23" width="26.54296875" bestFit="1" customWidth="1"/>
    <col min="24" max="24" width="22.26953125" bestFit="1" customWidth="1"/>
  </cols>
  <sheetData>
    <row r="1" spans="1:9" x14ac:dyDescent="0.35">
      <c r="A1" s="459" t="s">
        <v>233</v>
      </c>
      <c r="B1" t="s">
        <v>773</v>
      </c>
      <c r="D1" t="str">
        <f>B1</f>
        <v>2019-20</v>
      </c>
    </row>
    <row r="3" spans="1:9" x14ac:dyDescent="0.35">
      <c r="A3" s="459" t="s">
        <v>240</v>
      </c>
      <c r="B3" s="459" t="s">
        <v>256</v>
      </c>
    </row>
    <row r="4" spans="1:9" x14ac:dyDescent="0.35">
      <c r="A4" s="459" t="s">
        <v>234</v>
      </c>
      <c r="B4" t="s">
        <v>9</v>
      </c>
      <c r="C4" t="s">
        <v>3</v>
      </c>
      <c r="D4" t="s">
        <v>300</v>
      </c>
      <c r="E4" t="s">
        <v>301</v>
      </c>
      <c r="F4" t="s">
        <v>26</v>
      </c>
      <c r="G4" t="s">
        <v>947</v>
      </c>
      <c r="H4" t="s">
        <v>239</v>
      </c>
    </row>
    <row r="5" spans="1:9" x14ac:dyDescent="0.35">
      <c r="A5" s="460" t="s">
        <v>873</v>
      </c>
      <c r="B5" s="461">
        <v>0.4</v>
      </c>
      <c r="C5" s="461">
        <v>4.5</v>
      </c>
      <c r="D5" s="461"/>
      <c r="E5" s="461">
        <v>0.8</v>
      </c>
      <c r="F5" s="461">
        <v>1.2</v>
      </c>
      <c r="G5" s="461">
        <v>1.2</v>
      </c>
      <c r="H5" s="461">
        <v>8.1</v>
      </c>
    </row>
    <row r="6" spans="1:9" x14ac:dyDescent="0.35">
      <c r="A6" s="460" t="s">
        <v>874</v>
      </c>
      <c r="B6" s="461">
        <v>8.5</v>
      </c>
      <c r="C6" s="461">
        <v>23.9</v>
      </c>
      <c r="D6" s="461"/>
      <c r="E6" s="461">
        <v>9.1999999999999993</v>
      </c>
      <c r="F6" s="461">
        <v>10.7</v>
      </c>
      <c r="G6" s="461">
        <v>11.2</v>
      </c>
      <c r="H6" s="461">
        <v>63.5</v>
      </c>
    </row>
    <row r="7" spans="1:9" x14ac:dyDescent="0.35">
      <c r="A7" s="460" t="s">
        <v>788</v>
      </c>
      <c r="B7" s="461">
        <v>91</v>
      </c>
      <c r="C7" s="461">
        <v>71.599999999999994</v>
      </c>
      <c r="D7" s="461">
        <v>100</v>
      </c>
      <c r="E7" s="461">
        <v>89.9</v>
      </c>
      <c r="F7" s="461">
        <v>88.1</v>
      </c>
      <c r="G7" s="461">
        <v>87.5</v>
      </c>
      <c r="H7" s="461">
        <v>528.1</v>
      </c>
    </row>
    <row r="8" spans="1:9" x14ac:dyDescent="0.35">
      <c r="A8" s="460" t="s">
        <v>239</v>
      </c>
      <c r="B8" s="461">
        <v>99.9</v>
      </c>
      <c r="C8" s="461">
        <v>100</v>
      </c>
      <c r="D8" s="461">
        <v>100</v>
      </c>
      <c r="E8" s="461">
        <v>99.9</v>
      </c>
      <c r="F8" s="461">
        <v>100</v>
      </c>
      <c r="G8" s="461">
        <v>99.9</v>
      </c>
      <c r="H8" s="461">
        <v>599.70000000000005</v>
      </c>
    </row>
    <row r="13" spans="1:9" x14ac:dyDescent="0.35">
      <c r="A13" s="459" t="s">
        <v>233</v>
      </c>
      <c r="B13" t="s">
        <v>241</v>
      </c>
      <c r="D13" t="str">
        <f>B13</f>
        <v>2018-19</v>
      </c>
    </row>
    <row r="15" spans="1:9" x14ac:dyDescent="0.35">
      <c r="A15" s="459" t="s">
        <v>912</v>
      </c>
      <c r="B15" s="459" t="s">
        <v>256</v>
      </c>
    </row>
    <row r="16" spans="1:9" x14ac:dyDescent="0.35">
      <c r="A16" s="459" t="s">
        <v>234</v>
      </c>
      <c r="B16" t="s">
        <v>2</v>
      </c>
      <c r="C16" t="s">
        <v>9</v>
      </c>
      <c r="D16" t="s">
        <v>3</v>
      </c>
      <c r="E16" t="s">
        <v>26</v>
      </c>
      <c r="F16" t="s">
        <v>307</v>
      </c>
      <c r="G16" t="s">
        <v>300</v>
      </c>
      <c r="H16" t="s">
        <v>301</v>
      </c>
      <c r="I16" t="s">
        <v>239</v>
      </c>
    </row>
    <row r="17" spans="1:9" x14ac:dyDescent="0.35">
      <c r="A17" s="460" t="s">
        <v>111</v>
      </c>
      <c r="B17" s="461"/>
      <c r="C17" s="461">
        <v>1.6</v>
      </c>
      <c r="D17" s="461">
        <v>2.2000000000000002</v>
      </c>
      <c r="E17" s="461">
        <v>1</v>
      </c>
      <c r="F17" s="461">
        <v>1.1000000000000001</v>
      </c>
      <c r="G17" s="461"/>
      <c r="H17" s="461"/>
      <c r="I17" s="461">
        <v>5.9</v>
      </c>
    </row>
    <row r="18" spans="1:9" x14ac:dyDescent="0.35">
      <c r="A18" s="460" t="s">
        <v>340</v>
      </c>
      <c r="B18" s="461">
        <v>62.1</v>
      </c>
      <c r="C18" s="461">
        <v>44.5</v>
      </c>
      <c r="D18" s="461">
        <v>43.5</v>
      </c>
      <c r="E18" s="461">
        <v>52.4</v>
      </c>
      <c r="F18" s="461">
        <v>50.4</v>
      </c>
      <c r="G18" s="461">
        <v>100</v>
      </c>
      <c r="H18" s="461">
        <v>59.3</v>
      </c>
      <c r="I18" s="461">
        <v>412.2</v>
      </c>
    </row>
    <row r="19" spans="1:9" x14ac:dyDescent="0.35">
      <c r="A19" s="460" t="s">
        <v>110</v>
      </c>
      <c r="B19" s="461">
        <v>37.9</v>
      </c>
      <c r="C19" s="461">
        <v>53.8</v>
      </c>
      <c r="D19" s="461">
        <v>54.3</v>
      </c>
      <c r="E19" s="461">
        <v>46.6</v>
      </c>
      <c r="F19" s="461">
        <v>48.6</v>
      </c>
      <c r="G19" s="461"/>
      <c r="H19" s="461">
        <v>40.700000000000003</v>
      </c>
      <c r="I19" s="461">
        <v>281.89999999999998</v>
      </c>
    </row>
    <row r="20" spans="1:9" x14ac:dyDescent="0.35">
      <c r="A20" s="460" t="s">
        <v>239</v>
      </c>
      <c r="B20" s="461">
        <v>100</v>
      </c>
      <c r="C20" s="461">
        <v>99.9</v>
      </c>
      <c r="D20" s="461">
        <v>100</v>
      </c>
      <c r="E20" s="461">
        <v>100</v>
      </c>
      <c r="F20" s="461">
        <v>100.1</v>
      </c>
      <c r="G20" s="461">
        <v>100</v>
      </c>
      <c r="H20" s="461">
        <v>100</v>
      </c>
      <c r="I20" s="461">
        <v>700</v>
      </c>
    </row>
    <row r="23" spans="1:9" x14ac:dyDescent="0.35">
      <c r="A23" s="459" t="s">
        <v>312</v>
      </c>
      <c r="B23" t="s">
        <v>773</v>
      </c>
      <c r="D23" t="str">
        <f>B23</f>
        <v>2019-20</v>
      </c>
    </row>
    <row r="25" spans="1:9" x14ac:dyDescent="0.35">
      <c r="A25" s="459" t="s">
        <v>913</v>
      </c>
      <c r="B25" s="459" t="s">
        <v>256</v>
      </c>
    </row>
    <row r="26" spans="1:9" x14ac:dyDescent="0.35">
      <c r="A26" s="459" t="s">
        <v>234</v>
      </c>
      <c r="B26" t="s">
        <v>9</v>
      </c>
      <c r="C26" t="s">
        <v>3</v>
      </c>
      <c r="D26" t="s">
        <v>300</v>
      </c>
      <c r="E26" t="s">
        <v>301</v>
      </c>
      <c r="F26" t="s">
        <v>239</v>
      </c>
    </row>
    <row r="27" spans="1:9" x14ac:dyDescent="0.35">
      <c r="A27" s="460" t="s">
        <v>85</v>
      </c>
      <c r="B27" s="461">
        <v>23</v>
      </c>
      <c r="C27" s="461">
        <v>38</v>
      </c>
      <c r="D27" s="461">
        <v>6</v>
      </c>
      <c r="E27" s="461">
        <v>21</v>
      </c>
      <c r="F27" s="461">
        <v>88</v>
      </c>
    </row>
    <row r="28" spans="1:9" x14ac:dyDescent="0.35">
      <c r="A28" s="460" t="s">
        <v>86</v>
      </c>
      <c r="B28" s="461">
        <v>200</v>
      </c>
      <c r="C28" s="461">
        <v>29</v>
      </c>
      <c r="D28" s="461">
        <v>15</v>
      </c>
      <c r="E28" s="461">
        <v>98</v>
      </c>
      <c r="F28" s="461">
        <v>342</v>
      </c>
    </row>
    <row r="29" spans="1:9" x14ac:dyDescent="0.35">
      <c r="A29" s="460" t="s">
        <v>239</v>
      </c>
      <c r="B29" s="461">
        <v>223</v>
      </c>
      <c r="C29" s="461">
        <v>67</v>
      </c>
      <c r="D29" s="461">
        <v>21</v>
      </c>
      <c r="E29" s="461">
        <v>119</v>
      </c>
      <c r="F29" s="461">
        <v>430</v>
      </c>
    </row>
    <row r="43" spans="1:6" x14ac:dyDescent="0.35">
      <c r="A43" s="459" t="s">
        <v>312</v>
      </c>
      <c r="B43" t="s">
        <v>773</v>
      </c>
      <c r="D43" t="str">
        <f>B43</f>
        <v>2019-20</v>
      </c>
    </row>
    <row r="45" spans="1:6" x14ac:dyDescent="0.35">
      <c r="A45" s="459" t="s">
        <v>913</v>
      </c>
      <c r="B45" s="459" t="s">
        <v>256</v>
      </c>
    </row>
    <row r="46" spans="1:6" x14ac:dyDescent="0.35">
      <c r="A46" s="459" t="s">
        <v>234</v>
      </c>
      <c r="B46" t="s">
        <v>9</v>
      </c>
      <c r="C46" t="s">
        <v>3</v>
      </c>
      <c r="D46" t="s">
        <v>300</v>
      </c>
      <c r="E46" t="s">
        <v>301</v>
      </c>
      <c r="F46" t="s">
        <v>239</v>
      </c>
    </row>
    <row r="47" spans="1:6" x14ac:dyDescent="0.35">
      <c r="A47" s="460" t="s">
        <v>98</v>
      </c>
      <c r="B47" s="461">
        <v>52</v>
      </c>
      <c r="C47" s="461">
        <v>6</v>
      </c>
      <c r="D47" s="461">
        <v>4</v>
      </c>
      <c r="E47" s="461">
        <v>7</v>
      </c>
      <c r="F47" s="461">
        <v>69</v>
      </c>
    </row>
    <row r="48" spans="1:6" x14ac:dyDescent="0.35">
      <c r="A48" s="460" t="s">
        <v>99</v>
      </c>
      <c r="B48" s="461">
        <v>43</v>
      </c>
      <c r="C48" s="461">
        <v>14</v>
      </c>
      <c r="D48" s="461">
        <v>2</v>
      </c>
      <c r="E48" s="461">
        <v>41</v>
      </c>
      <c r="F48" s="461">
        <v>100</v>
      </c>
    </row>
    <row r="49" spans="1:6" x14ac:dyDescent="0.35">
      <c r="A49" s="460" t="s">
        <v>100</v>
      </c>
      <c r="B49" s="461">
        <v>42</v>
      </c>
      <c r="C49" s="461">
        <v>5</v>
      </c>
      <c r="D49" s="461">
        <v>6</v>
      </c>
      <c r="E49" s="461">
        <v>43</v>
      </c>
      <c r="F49" s="461">
        <v>96</v>
      </c>
    </row>
    <row r="50" spans="1:6" x14ac:dyDescent="0.35">
      <c r="A50" s="460" t="s">
        <v>101</v>
      </c>
      <c r="B50" s="461">
        <v>40</v>
      </c>
      <c r="C50" s="461">
        <v>10</v>
      </c>
      <c r="D50" s="461">
        <v>2</v>
      </c>
      <c r="E50" s="461">
        <v>14</v>
      </c>
      <c r="F50" s="461">
        <v>66</v>
      </c>
    </row>
    <row r="51" spans="1:6" x14ac:dyDescent="0.35">
      <c r="A51" s="460" t="s">
        <v>102</v>
      </c>
      <c r="B51" s="461">
        <v>11</v>
      </c>
      <c r="C51" s="461">
        <v>10</v>
      </c>
      <c r="D51" s="461">
        <v>1</v>
      </c>
      <c r="E51" s="461">
        <v>9</v>
      </c>
      <c r="F51" s="461">
        <v>31</v>
      </c>
    </row>
    <row r="52" spans="1:6" x14ac:dyDescent="0.35">
      <c r="A52" s="460" t="s">
        <v>103</v>
      </c>
      <c r="B52" s="461">
        <v>16</v>
      </c>
      <c r="C52" s="461">
        <v>5</v>
      </c>
      <c r="D52" s="461">
        <v>3</v>
      </c>
      <c r="E52" s="461">
        <v>3</v>
      </c>
      <c r="F52" s="461">
        <v>27</v>
      </c>
    </row>
    <row r="53" spans="1:6" x14ac:dyDescent="0.35">
      <c r="A53" s="460" t="s">
        <v>104</v>
      </c>
      <c r="B53" s="461">
        <v>8</v>
      </c>
      <c r="C53" s="461">
        <v>7</v>
      </c>
      <c r="D53" s="461">
        <v>3</v>
      </c>
      <c r="E53" s="461">
        <v>1</v>
      </c>
      <c r="F53" s="461">
        <v>19</v>
      </c>
    </row>
    <row r="54" spans="1:6" x14ac:dyDescent="0.35">
      <c r="A54" s="460" t="s">
        <v>105</v>
      </c>
      <c r="B54" s="461">
        <v>3</v>
      </c>
      <c r="C54" s="461">
        <v>6</v>
      </c>
      <c r="D54" s="461"/>
      <c r="E54" s="461">
        <v>1</v>
      </c>
      <c r="F54" s="461">
        <v>10</v>
      </c>
    </row>
    <row r="55" spans="1:6" x14ac:dyDescent="0.35">
      <c r="A55" s="460" t="s">
        <v>106</v>
      </c>
      <c r="B55" s="461"/>
      <c r="C55" s="461">
        <v>1</v>
      </c>
      <c r="D55" s="461"/>
      <c r="E55" s="461"/>
      <c r="F55" s="461">
        <v>1</v>
      </c>
    </row>
    <row r="56" spans="1:6" x14ac:dyDescent="0.35">
      <c r="A56" s="460" t="s">
        <v>306</v>
      </c>
      <c r="B56" s="461">
        <v>8</v>
      </c>
      <c r="C56" s="461">
        <v>3</v>
      </c>
      <c r="D56" s="461"/>
      <c r="E56" s="461"/>
      <c r="F56" s="461">
        <v>11</v>
      </c>
    </row>
    <row r="57" spans="1:6" x14ac:dyDescent="0.35">
      <c r="A57" s="460" t="s">
        <v>239</v>
      </c>
      <c r="B57" s="461">
        <v>223</v>
      </c>
      <c r="C57" s="461">
        <v>67</v>
      </c>
      <c r="D57" s="461">
        <v>21</v>
      </c>
      <c r="E57" s="461">
        <v>119</v>
      </c>
      <c r="F57" s="461">
        <v>430</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15"/>
  <sheetViews>
    <sheetView workbookViewId="0">
      <selection activeCell="B4" sqref="B4"/>
    </sheetView>
  </sheetViews>
  <sheetFormatPr defaultRowHeight="14.5" x14ac:dyDescent="0.35"/>
  <cols>
    <col min="1" max="1" width="29" bestFit="1" customWidth="1"/>
    <col min="2" max="2" width="27.1796875" bestFit="1" customWidth="1"/>
    <col min="3" max="3" width="25.81640625" bestFit="1" customWidth="1"/>
    <col min="4" max="4" width="13.453125" bestFit="1" customWidth="1"/>
    <col min="5" max="5" width="13.90625" bestFit="1" customWidth="1"/>
    <col min="6" max="6" width="16.36328125" bestFit="1" customWidth="1"/>
  </cols>
  <sheetData>
    <row r="1" spans="1:6" x14ac:dyDescent="0.35">
      <c r="A1" s="459" t="s">
        <v>1</v>
      </c>
      <c r="B1" t="s">
        <v>951</v>
      </c>
    </row>
    <row r="3" spans="1:6" x14ac:dyDescent="0.35">
      <c r="A3" s="459" t="s">
        <v>234</v>
      </c>
      <c r="B3" t="s">
        <v>1028</v>
      </c>
      <c r="C3" t="s">
        <v>1029</v>
      </c>
      <c r="D3" t="s">
        <v>248</v>
      </c>
      <c r="E3" t="s">
        <v>249</v>
      </c>
      <c r="F3" t="s">
        <v>1038</v>
      </c>
    </row>
    <row r="4" spans="1:6" x14ac:dyDescent="0.35">
      <c r="A4" s="915" t="s">
        <v>875</v>
      </c>
      <c r="B4" s="461">
        <v>3</v>
      </c>
      <c r="C4" s="461">
        <v>6</v>
      </c>
      <c r="D4" s="461">
        <v>2</v>
      </c>
      <c r="E4" s="461">
        <v>1</v>
      </c>
      <c r="F4" s="461">
        <v>0</v>
      </c>
    </row>
    <row r="5" spans="1:6" x14ac:dyDescent="0.35">
      <c r="A5" s="915" t="s">
        <v>876</v>
      </c>
      <c r="B5" s="461">
        <v>0</v>
      </c>
      <c r="C5" s="461">
        <v>0</v>
      </c>
      <c r="D5" s="461">
        <v>2</v>
      </c>
      <c r="E5" s="461">
        <v>7</v>
      </c>
      <c r="F5" s="461">
        <v>0</v>
      </c>
    </row>
    <row r="6" spans="1:6" x14ac:dyDescent="0.35">
      <c r="A6" s="915" t="s">
        <v>190</v>
      </c>
      <c r="B6" s="461">
        <v>2</v>
      </c>
      <c r="C6" s="461">
        <v>3</v>
      </c>
      <c r="D6" s="461">
        <v>0</v>
      </c>
      <c r="E6" s="461">
        <v>2</v>
      </c>
      <c r="F6" s="461">
        <v>0</v>
      </c>
    </row>
    <row r="7" spans="1:6" x14ac:dyDescent="0.35">
      <c r="A7" s="915" t="s">
        <v>877</v>
      </c>
      <c r="B7" s="461">
        <v>8</v>
      </c>
      <c r="C7" s="461">
        <v>130</v>
      </c>
      <c r="D7" s="461">
        <v>0</v>
      </c>
      <c r="E7" s="461">
        <v>20</v>
      </c>
      <c r="F7" s="461">
        <v>17</v>
      </c>
    </row>
    <row r="8" spans="1:6" x14ac:dyDescent="0.35">
      <c r="A8" s="915" t="s">
        <v>878</v>
      </c>
      <c r="B8" s="461"/>
      <c r="C8" s="461"/>
      <c r="D8" s="461"/>
      <c r="E8" s="461"/>
      <c r="F8" s="461"/>
    </row>
    <row r="9" spans="1:6" x14ac:dyDescent="0.35">
      <c r="A9" s="915" t="s">
        <v>879</v>
      </c>
      <c r="B9" s="461">
        <v>175</v>
      </c>
      <c r="C9" s="461">
        <v>44</v>
      </c>
      <c r="D9" s="461">
        <v>5</v>
      </c>
      <c r="E9" s="461">
        <v>13</v>
      </c>
      <c r="F9" s="461">
        <v>2</v>
      </c>
    </row>
    <row r="10" spans="1:6" x14ac:dyDescent="0.35">
      <c r="A10" s="915" t="s">
        <v>880</v>
      </c>
      <c r="B10" s="461">
        <v>0</v>
      </c>
      <c r="C10" s="461">
        <v>1</v>
      </c>
      <c r="D10" s="461">
        <v>0</v>
      </c>
      <c r="E10" s="461">
        <v>0</v>
      </c>
      <c r="F10" s="461">
        <v>1</v>
      </c>
    </row>
    <row r="11" spans="1:6" x14ac:dyDescent="0.35">
      <c r="A11" s="915" t="s">
        <v>881</v>
      </c>
      <c r="B11" s="461">
        <v>5</v>
      </c>
      <c r="C11" s="461">
        <v>5</v>
      </c>
      <c r="D11" s="461">
        <v>1</v>
      </c>
      <c r="E11" s="461">
        <v>1</v>
      </c>
      <c r="F11" s="461">
        <v>0</v>
      </c>
    </row>
    <row r="12" spans="1:6" x14ac:dyDescent="0.35">
      <c r="A12" s="915" t="s">
        <v>882</v>
      </c>
      <c r="B12" s="461"/>
      <c r="C12" s="461"/>
      <c r="D12" s="461"/>
      <c r="E12" s="461"/>
      <c r="F12" s="461"/>
    </row>
    <row r="13" spans="1:6" x14ac:dyDescent="0.35">
      <c r="A13" s="915" t="s">
        <v>883</v>
      </c>
      <c r="B13" s="461"/>
      <c r="C13" s="461"/>
      <c r="D13" s="461"/>
      <c r="E13" s="461"/>
      <c r="F13" s="461"/>
    </row>
    <row r="14" spans="1:6" x14ac:dyDescent="0.35">
      <c r="A14" s="915" t="s">
        <v>884</v>
      </c>
      <c r="B14" s="461"/>
      <c r="C14" s="461"/>
      <c r="D14" s="461"/>
      <c r="E14" s="461"/>
      <c r="F14" s="461"/>
    </row>
    <row r="15" spans="1:6" x14ac:dyDescent="0.35">
      <c r="A15" s="915" t="s">
        <v>239</v>
      </c>
      <c r="B15" s="461">
        <v>193</v>
      </c>
      <c r="C15" s="461">
        <v>189</v>
      </c>
      <c r="D15" s="461">
        <v>10</v>
      </c>
      <c r="E15" s="461">
        <v>44</v>
      </c>
      <c r="F15" s="461">
        <v>20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FD35"/>
  <sheetViews>
    <sheetView workbookViewId="0">
      <selection activeCell="B32" sqref="B32"/>
    </sheetView>
  </sheetViews>
  <sheetFormatPr defaultRowHeight="14.5" x14ac:dyDescent="0.35"/>
  <cols>
    <col min="1" max="1" width="7.453125" bestFit="1" customWidth="1"/>
    <col min="2" max="2" width="29" bestFit="1" customWidth="1"/>
    <col min="3" max="3" width="23" bestFit="1" customWidth="1"/>
    <col min="4" max="4" width="21.6328125" bestFit="1" customWidth="1"/>
    <col min="5" max="5" width="9.36328125" bestFit="1" customWidth="1"/>
    <col min="6" max="6" width="9.81640625" bestFit="1" customWidth="1"/>
    <col min="7" max="7" width="12.26953125" bestFit="1" customWidth="1"/>
    <col min="8" max="8" width="7.36328125" bestFit="1" customWidth="1"/>
  </cols>
  <sheetData>
    <row r="1" spans="1:16384" x14ac:dyDescent="0.35">
      <c r="A1" s="461" t="s">
        <v>1</v>
      </c>
      <c r="B1" s="461" t="s">
        <v>482</v>
      </c>
      <c r="C1" s="461" t="s">
        <v>27</v>
      </c>
      <c r="D1" s="461" t="s">
        <v>28</v>
      </c>
      <c r="E1" s="461" t="s">
        <v>2</v>
      </c>
      <c r="F1" s="461" t="s">
        <v>3</v>
      </c>
      <c r="G1" s="461" t="s">
        <v>481</v>
      </c>
      <c r="H1" s="461" t="s">
        <v>26</v>
      </c>
      <c r="I1" t="s">
        <v>791</v>
      </c>
      <c r="J1" t="s">
        <v>1032</v>
      </c>
      <c r="K1" t="s">
        <v>1033</v>
      </c>
      <c r="L1" t="s">
        <v>1034</v>
      </c>
      <c r="M1" t="s">
        <v>1035</v>
      </c>
      <c r="N1" t="s">
        <v>1036</v>
      </c>
      <c r="O1" t="s">
        <v>1037</v>
      </c>
      <c r="P1" t="s">
        <v>1040</v>
      </c>
      <c r="Q1" t="s">
        <v>1041</v>
      </c>
      <c r="R1" t="s">
        <v>1042</v>
      </c>
      <c r="S1" t="s">
        <v>1043</v>
      </c>
      <c r="T1" t="s">
        <v>1044</v>
      </c>
      <c r="U1" t="s">
        <v>1045</v>
      </c>
      <c r="V1" t="s">
        <v>1046</v>
      </c>
      <c r="W1" t="s">
        <v>1047</v>
      </c>
      <c r="X1" t="s">
        <v>1048</v>
      </c>
      <c r="Y1" t="s">
        <v>1049</v>
      </c>
      <c r="Z1" t="s">
        <v>1050</v>
      </c>
      <c r="AA1" t="s">
        <v>1051</v>
      </c>
      <c r="AB1" t="s">
        <v>1052</v>
      </c>
      <c r="AC1" t="s">
        <v>1053</v>
      </c>
      <c r="AD1" t="s">
        <v>1054</v>
      </c>
      <c r="AE1" t="s">
        <v>1055</v>
      </c>
      <c r="AF1" t="s">
        <v>1056</v>
      </c>
      <c r="AG1" t="s">
        <v>1057</v>
      </c>
      <c r="AH1" t="s">
        <v>1058</v>
      </c>
      <c r="AI1" t="s">
        <v>1059</v>
      </c>
      <c r="AJ1" t="s">
        <v>1060</v>
      </c>
      <c r="AK1" t="s">
        <v>1061</v>
      </c>
      <c r="AL1" t="s">
        <v>1062</v>
      </c>
      <c r="AM1" t="s">
        <v>1063</v>
      </c>
      <c r="AN1" t="s">
        <v>1064</v>
      </c>
      <c r="AO1" t="s">
        <v>1065</v>
      </c>
      <c r="AP1" t="s">
        <v>1066</v>
      </c>
      <c r="AQ1" t="s">
        <v>1067</v>
      </c>
      <c r="AR1" t="s">
        <v>1068</v>
      </c>
      <c r="AS1" t="s">
        <v>1069</v>
      </c>
      <c r="AT1" t="s">
        <v>1070</v>
      </c>
      <c r="AU1" t="s">
        <v>1071</v>
      </c>
      <c r="AV1" t="s">
        <v>1072</v>
      </c>
      <c r="AW1" t="s">
        <v>1073</v>
      </c>
      <c r="AX1" t="s">
        <v>1074</v>
      </c>
      <c r="AY1" t="s">
        <v>1075</v>
      </c>
      <c r="AZ1" t="s">
        <v>1076</v>
      </c>
      <c r="BA1" t="s">
        <v>1077</v>
      </c>
      <c r="BB1" t="s">
        <v>1078</v>
      </c>
      <c r="BC1" t="s">
        <v>1079</v>
      </c>
      <c r="BD1" t="s">
        <v>1080</v>
      </c>
      <c r="BE1" t="s">
        <v>1081</v>
      </c>
      <c r="BF1" t="s">
        <v>1082</v>
      </c>
      <c r="BG1" t="s">
        <v>1083</v>
      </c>
      <c r="BH1" t="s">
        <v>1084</v>
      </c>
      <c r="BI1" t="s">
        <v>1085</v>
      </c>
      <c r="BJ1" t="s">
        <v>1086</v>
      </c>
      <c r="BK1" t="s">
        <v>1087</v>
      </c>
      <c r="BL1" t="s">
        <v>1088</v>
      </c>
      <c r="BM1" t="s">
        <v>1089</v>
      </c>
      <c r="BN1" t="s">
        <v>1090</v>
      </c>
      <c r="BO1" t="s">
        <v>1091</v>
      </c>
      <c r="BP1" t="s">
        <v>1092</v>
      </c>
      <c r="BQ1" t="s">
        <v>1093</v>
      </c>
      <c r="BR1" t="s">
        <v>1094</v>
      </c>
      <c r="BS1" t="s">
        <v>1095</v>
      </c>
      <c r="BT1" t="s">
        <v>1096</v>
      </c>
      <c r="BU1" t="s">
        <v>1097</v>
      </c>
      <c r="BV1" t="s">
        <v>1098</v>
      </c>
      <c r="BW1" t="s">
        <v>1099</v>
      </c>
      <c r="BX1" t="s">
        <v>1100</v>
      </c>
      <c r="BY1" t="s">
        <v>1101</v>
      </c>
      <c r="BZ1" t="s">
        <v>1102</v>
      </c>
      <c r="CA1" t="s">
        <v>1103</v>
      </c>
      <c r="CB1" t="s">
        <v>1104</v>
      </c>
      <c r="CC1" t="s">
        <v>1105</v>
      </c>
      <c r="CD1" t="s">
        <v>1106</v>
      </c>
      <c r="CE1" t="s">
        <v>1107</v>
      </c>
      <c r="CF1" t="s">
        <v>1108</v>
      </c>
      <c r="CG1" t="s">
        <v>1109</v>
      </c>
      <c r="CH1" t="s">
        <v>1110</v>
      </c>
      <c r="CI1" t="s">
        <v>1111</v>
      </c>
      <c r="CJ1" t="s">
        <v>1112</v>
      </c>
      <c r="CK1" t="s">
        <v>1113</v>
      </c>
      <c r="CL1" t="s">
        <v>1114</v>
      </c>
      <c r="CM1" t="s">
        <v>1115</v>
      </c>
      <c r="CN1" t="s">
        <v>1116</v>
      </c>
      <c r="CO1" t="s">
        <v>1117</v>
      </c>
      <c r="CP1" t="s">
        <v>1118</v>
      </c>
      <c r="CQ1" t="s">
        <v>1119</v>
      </c>
      <c r="CR1" t="s">
        <v>1120</v>
      </c>
      <c r="CS1" t="s">
        <v>1121</v>
      </c>
      <c r="CT1" t="s">
        <v>1122</v>
      </c>
      <c r="CU1" t="s">
        <v>1123</v>
      </c>
      <c r="CV1" t="s">
        <v>1124</v>
      </c>
      <c r="CW1" t="s">
        <v>1125</v>
      </c>
      <c r="CX1" t="s">
        <v>1126</v>
      </c>
      <c r="CY1" t="s">
        <v>1127</v>
      </c>
      <c r="CZ1" t="s">
        <v>1128</v>
      </c>
      <c r="DA1" t="s">
        <v>1129</v>
      </c>
      <c r="DB1" t="s">
        <v>1130</v>
      </c>
      <c r="DC1" t="s">
        <v>1131</v>
      </c>
      <c r="DD1" t="s">
        <v>1132</v>
      </c>
      <c r="DE1" t="s">
        <v>1133</v>
      </c>
      <c r="DF1" t="s">
        <v>1134</v>
      </c>
      <c r="DG1" t="s">
        <v>1135</v>
      </c>
      <c r="DH1" t="s">
        <v>1136</v>
      </c>
      <c r="DI1" t="s">
        <v>1137</v>
      </c>
      <c r="DJ1" t="s">
        <v>1138</v>
      </c>
      <c r="DK1" t="s">
        <v>1139</v>
      </c>
      <c r="DL1" t="s">
        <v>1140</v>
      </c>
      <c r="DM1" t="s">
        <v>1141</v>
      </c>
      <c r="DN1" t="s">
        <v>1142</v>
      </c>
      <c r="DO1" t="s">
        <v>1143</v>
      </c>
      <c r="DP1" t="s">
        <v>1144</v>
      </c>
      <c r="DQ1" t="s">
        <v>1145</v>
      </c>
      <c r="DR1" t="s">
        <v>1146</v>
      </c>
      <c r="DS1" t="s">
        <v>1147</v>
      </c>
      <c r="DT1" t="s">
        <v>1148</v>
      </c>
      <c r="DU1" t="s">
        <v>1149</v>
      </c>
      <c r="DV1" t="s">
        <v>1150</v>
      </c>
      <c r="DW1" t="s">
        <v>1151</v>
      </c>
      <c r="DX1" t="s">
        <v>1152</v>
      </c>
      <c r="DY1" t="s">
        <v>1153</v>
      </c>
      <c r="DZ1" t="s">
        <v>1154</v>
      </c>
      <c r="EA1" t="s">
        <v>1155</v>
      </c>
      <c r="EB1" t="s">
        <v>1156</v>
      </c>
      <c r="EC1" t="s">
        <v>1157</v>
      </c>
      <c r="ED1" t="s">
        <v>1158</v>
      </c>
      <c r="EE1" t="s">
        <v>1159</v>
      </c>
      <c r="EF1" t="s">
        <v>1160</v>
      </c>
      <c r="EG1" t="s">
        <v>1161</v>
      </c>
      <c r="EH1" t="s">
        <v>1162</v>
      </c>
      <c r="EI1" t="s">
        <v>1163</v>
      </c>
      <c r="EJ1" t="s">
        <v>1164</v>
      </c>
      <c r="EK1" t="s">
        <v>1165</v>
      </c>
      <c r="EL1" t="s">
        <v>1166</v>
      </c>
      <c r="EM1" t="s">
        <v>1167</v>
      </c>
      <c r="EN1" t="s">
        <v>1168</v>
      </c>
      <c r="EO1" t="s">
        <v>1169</v>
      </c>
      <c r="EP1" t="s">
        <v>1170</v>
      </c>
      <c r="EQ1" t="s">
        <v>1171</v>
      </c>
      <c r="ER1" t="s">
        <v>1172</v>
      </c>
      <c r="ES1" t="s">
        <v>1173</v>
      </c>
      <c r="ET1" t="s">
        <v>1174</v>
      </c>
      <c r="EU1" t="s">
        <v>1175</v>
      </c>
      <c r="EV1" t="s">
        <v>1176</v>
      </c>
      <c r="EW1" t="s">
        <v>1177</v>
      </c>
      <c r="EX1" t="s">
        <v>1178</v>
      </c>
      <c r="EY1" t="s">
        <v>1179</v>
      </c>
      <c r="EZ1" t="s">
        <v>1180</v>
      </c>
      <c r="FA1" t="s">
        <v>1181</v>
      </c>
      <c r="FB1" t="s">
        <v>1182</v>
      </c>
      <c r="FC1" t="s">
        <v>1183</v>
      </c>
      <c r="FD1" t="s">
        <v>1184</v>
      </c>
      <c r="FE1" t="s">
        <v>1185</v>
      </c>
      <c r="FF1" t="s">
        <v>1186</v>
      </c>
      <c r="FG1" t="s">
        <v>1187</v>
      </c>
      <c r="FH1" t="s">
        <v>1188</v>
      </c>
      <c r="FI1" t="s">
        <v>1189</v>
      </c>
      <c r="FJ1" t="s">
        <v>1190</v>
      </c>
      <c r="FK1" t="s">
        <v>1191</v>
      </c>
      <c r="FL1" t="s">
        <v>1192</v>
      </c>
      <c r="FM1" t="s">
        <v>1193</v>
      </c>
      <c r="FN1" t="s">
        <v>1194</v>
      </c>
      <c r="FO1" t="s">
        <v>1195</v>
      </c>
      <c r="FP1" t="s">
        <v>1196</v>
      </c>
      <c r="FQ1" t="s">
        <v>1197</v>
      </c>
      <c r="FR1" t="s">
        <v>1198</v>
      </c>
      <c r="FS1" t="s">
        <v>1199</v>
      </c>
      <c r="FT1" t="s">
        <v>1200</v>
      </c>
      <c r="FU1" t="s">
        <v>1201</v>
      </c>
      <c r="FV1" t="s">
        <v>1202</v>
      </c>
      <c r="FW1" t="s">
        <v>1203</v>
      </c>
      <c r="FX1" t="s">
        <v>1204</v>
      </c>
      <c r="FY1" t="s">
        <v>1205</v>
      </c>
      <c r="FZ1" t="s">
        <v>1206</v>
      </c>
      <c r="GA1" t="s">
        <v>1207</v>
      </c>
      <c r="GB1" t="s">
        <v>1208</v>
      </c>
      <c r="GC1" t="s">
        <v>1209</v>
      </c>
      <c r="GD1" t="s">
        <v>1210</v>
      </c>
      <c r="GE1" t="s">
        <v>1211</v>
      </c>
      <c r="GF1" t="s">
        <v>1212</v>
      </c>
      <c r="GG1" t="s">
        <v>1213</v>
      </c>
      <c r="GH1" t="s">
        <v>1214</v>
      </c>
      <c r="GI1" t="s">
        <v>1215</v>
      </c>
      <c r="GJ1" t="s">
        <v>1216</v>
      </c>
      <c r="GK1" t="s">
        <v>1217</v>
      </c>
      <c r="GL1" t="s">
        <v>1218</v>
      </c>
      <c r="GM1" t="s">
        <v>1219</v>
      </c>
      <c r="GN1" t="s">
        <v>1220</v>
      </c>
      <c r="GO1" t="s">
        <v>1221</v>
      </c>
      <c r="GP1" t="s">
        <v>1222</v>
      </c>
      <c r="GQ1" t="s">
        <v>1223</v>
      </c>
      <c r="GR1" t="s">
        <v>1224</v>
      </c>
      <c r="GS1" t="s">
        <v>1225</v>
      </c>
      <c r="GT1" t="s">
        <v>1226</v>
      </c>
      <c r="GU1" t="s">
        <v>1227</v>
      </c>
      <c r="GV1" t="s">
        <v>1228</v>
      </c>
      <c r="GW1" t="s">
        <v>1229</v>
      </c>
      <c r="GX1" t="s">
        <v>1230</v>
      </c>
      <c r="GY1" t="s">
        <v>1231</v>
      </c>
      <c r="GZ1" t="s">
        <v>1232</v>
      </c>
      <c r="HA1" t="s">
        <v>1233</v>
      </c>
      <c r="HB1" t="s">
        <v>1234</v>
      </c>
      <c r="HC1" t="s">
        <v>1235</v>
      </c>
      <c r="HD1" t="s">
        <v>1236</v>
      </c>
      <c r="HE1" t="s">
        <v>1237</v>
      </c>
      <c r="HF1" t="s">
        <v>1238</v>
      </c>
      <c r="HG1" t="s">
        <v>1239</v>
      </c>
      <c r="HH1" t="s">
        <v>1240</v>
      </c>
      <c r="HI1" t="s">
        <v>1241</v>
      </c>
      <c r="HJ1" t="s">
        <v>1242</v>
      </c>
      <c r="HK1" t="s">
        <v>1243</v>
      </c>
      <c r="HL1" t="s">
        <v>1244</v>
      </c>
      <c r="HM1" t="s">
        <v>1245</v>
      </c>
      <c r="HN1" t="s">
        <v>1246</v>
      </c>
      <c r="HO1" t="s">
        <v>1247</v>
      </c>
      <c r="HP1" t="s">
        <v>1248</v>
      </c>
      <c r="HQ1" t="s">
        <v>1249</v>
      </c>
      <c r="HR1" t="s">
        <v>1250</v>
      </c>
      <c r="HS1" t="s">
        <v>1251</v>
      </c>
      <c r="HT1" t="s">
        <v>1252</v>
      </c>
      <c r="HU1" t="s">
        <v>1253</v>
      </c>
      <c r="HV1" t="s">
        <v>1254</v>
      </c>
      <c r="HW1" t="s">
        <v>1255</v>
      </c>
      <c r="HX1" t="s">
        <v>1256</v>
      </c>
      <c r="HY1" t="s">
        <v>1257</v>
      </c>
      <c r="HZ1" t="s">
        <v>1258</v>
      </c>
      <c r="IA1" t="s">
        <v>1259</v>
      </c>
      <c r="IB1" t="s">
        <v>1260</v>
      </c>
      <c r="IC1" t="s">
        <v>1261</v>
      </c>
      <c r="ID1" t="s">
        <v>1262</v>
      </c>
      <c r="IE1" t="s">
        <v>1263</v>
      </c>
      <c r="IF1" t="s">
        <v>1264</v>
      </c>
      <c r="IG1" t="s">
        <v>1265</v>
      </c>
      <c r="IH1" t="s">
        <v>1266</v>
      </c>
      <c r="II1" t="s">
        <v>1267</v>
      </c>
      <c r="IJ1" t="s">
        <v>1268</v>
      </c>
      <c r="IK1" t="s">
        <v>1269</v>
      </c>
      <c r="IL1" t="s">
        <v>1270</v>
      </c>
      <c r="IM1" t="s">
        <v>1271</v>
      </c>
      <c r="IN1" t="s">
        <v>1272</v>
      </c>
      <c r="IO1" t="s">
        <v>1273</v>
      </c>
      <c r="IP1" t="s">
        <v>1274</v>
      </c>
      <c r="IQ1" t="s">
        <v>1275</v>
      </c>
      <c r="IR1" t="s">
        <v>1276</v>
      </c>
      <c r="IS1" t="s">
        <v>1277</v>
      </c>
      <c r="IT1" t="s">
        <v>1278</v>
      </c>
      <c r="IU1" t="s">
        <v>1279</v>
      </c>
      <c r="IV1" t="s">
        <v>1280</v>
      </c>
      <c r="IW1" t="s">
        <v>1281</v>
      </c>
      <c r="IX1" t="s">
        <v>1282</v>
      </c>
      <c r="IY1" t="s">
        <v>1283</v>
      </c>
      <c r="IZ1" t="s">
        <v>1284</v>
      </c>
      <c r="JA1" t="s">
        <v>1285</v>
      </c>
      <c r="JB1" t="s">
        <v>1286</v>
      </c>
      <c r="JC1" t="s">
        <v>1287</v>
      </c>
      <c r="JD1" t="s">
        <v>1288</v>
      </c>
      <c r="JE1" t="s">
        <v>1289</v>
      </c>
      <c r="JF1" t="s">
        <v>1290</v>
      </c>
      <c r="JG1" t="s">
        <v>1291</v>
      </c>
      <c r="JH1" t="s">
        <v>1292</v>
      </c>
      <c r="JI1" t="s">
        <v>1293</v>
      </c>
      <c r="JJ1" t="s">
        <v>1294</v>
      </c>
      <c r="JK1" t="s">
        <v>1295</v>
      </c>
      <c r="JL1" t="s">
        <v>1296</v>
      </c>
      <c r="JM1" t="s">
        <v>1297</v>
      </c>
      <c r="JN1" t="s">
        <v>1298</v>
      </c>
      <c r="JO1" t="s">
        <v>1299</v>
      </c>
      <c r="JP1" t="s">
        <v>1300</v>
      </c>
      <c r="JQ1" t="s">
        <v>1301</v>
      </c>
      <c r="JR1" t="s">
        <v>1302</v>
      </c>
      <c r="JS1" t="s">
        <v>1303</v>
      </c>
      <c r="JT1" t="s">
        <v>1304</v>
      </c>
      <c r="JU1" t="s">
        <v>1305</v>
      </c>
      <c r="JV1" t="s">
        <v>1306</v>
      </c>
      <c r="JW1" t="s">
        <v>1307</v>
      </c>
      <c r="JX1" t="s">
        <v>1308</v>
      </c>
      <c r="JY1" t="s">
        <v>1309</v>
      </c>
      <c r="JZ1" t="s">
        <v>1310</v>
      </c>
      <c r="KA1" t="s">
        <v>1311</v>
      </c>
      <c r="KB1" t="s">
        <v>1312</v>
      </c>
      <c r="KC1" t="s">
        <v>1313</v>
      </c>
      <c r="KD1" t="s">
        <v>1314</v>
      </c>
      <c r="KE1" t="s">
        <v>1315</v>
      </c>
      <c r="KF1" t="s">
        <v>1316</v>
      </c>
      <c r="KG1" t="s">
        <v>1317</v>
      </c>
      <c r="KH1" t="s">
        <v>1318</v>
      </c>
      <c r="KI1" t="s">
        <v>1319</v>
      </c>
      <c r="KJ1" t="s">
        <v>1320</v>
      </c>
      <c r="KK1" t="s">
        <v>1321</v>
      </c>
      <c r="KL1" t="s">
        <v>1322</v>
      </c>
      <c r="KM1" t="s">
        <v>1323</v>
      </c>
      <c r="KN1" t="s">
        <v>1324</v>
      </c>
      <c r="KO1" t="s">
        <v>1325</v>
      </c>
      <c r="KP1" t="s">
        <v>1326</v>
      </c>
      <c r="KQ1" t="s">
        <v>1327</v>
      </c>
      <c r="KR1" t="s">
        <v>1328</v>
      </c>
      <c r="KS1" t="s">
        <v>1329</v>
      </c>
      <c r="KT1" t="s">
        <v>1330</v>
      </c>
      <c r="KU1" t="s">
        <v>1331</v>
      </c>
      <c r="KV1" t="s">
        <v>1332</v>
      </c>
      <c r="KW1" t="s">
        <v>1333</v>
      </c>
      <c r="KX1" t="s">
        <v>1334</v>
      </c>
      <c r="KY1" t="s">
        <v>1335</v>
      </c>
      <c r="KZ1" t="s">
        <v>1336</v>
      </c>
      <c r="LA1" t="s">
        <v>1337</v>
      </c>
      <c r="LB1" t="s">
        <v>1338</v>
      </c>
      <c r="LC1" t="s">
        <v>1339</v>
      </c>
      <c r="LD1" t="s">
        <v>1340</v>
      </c>
      <c r="LE1" t="s">
        <v>1341</v>
      </c>
      <c r="LF1" t="s">
        <v>1342</v>
      </c>
      <c r="LG1" t="s">
        <v>1343</v>
      </c>
      <c r="LH1" t="s">
        <v>1344</v>
      </c>
      <c r="LI1" t="s">
        <v>1345</v>
      </c>
      <c r="LJ1" t="s">
        <v>1346</v>
      </c>
      <c r="LK1" t="s">
        <v>1347</v>
      </c>
      <c r="LL1" t="s">
        <v>1348</v>
      </c>
      <c r="LM1" t="s">
        <v>1349</v>
      </c>
      <c r="LN1" t="s">
        <v>1350</v>
      </c>
      <c r="LO1" t="s">
        <v>1351</v>
      </c>
      <c r="LP1" t="s">
        <v>1352</v>
      </c>
      <c r="LQ1" t="s">
        <v>1353</v>
      </c>
      <c r="LR1" t="s">
        <v>1354</v>
      </c>
      <c r="LS1" t="s">
        <v>1355</v>
      </c>
      <c r="LT1" t="s">
        <v>1356</v>
      </c>
      <c r="LU1" t="s">
        <v>1357</v>
      </c>
      <c r="LV1" t="s">
        <v>1358</v>
      </c>
      <c r="LW1" t="s">
        <v>1359</v>
      </c>
      <c r="LX1" t="s">
        <v>1360</v>
      </c>
      <c r="LY1" t="s">
        <v>1361</v>
      </c>
      <c r="LZ1" t="s">
        <v>1362</v>
      </c>
      <c r="MA1" t="s">
        <v>1363</v>
      </c>
      <c r="MB1" t="s">
        <v>1364</v>
      </c>
      <c r="MC1" t="s">
        <v>1365</v>
      </c>
      <c r="MD1" t="s">
        <v>1366</v>
      </c>
      <c r="ME1" t="s">
        <v>1367</v>
      </c>
      <c r="MF1" t="s">
        <v>1368</v>
      </c>
      <c r="MG1" t="s">
        <v>1369</v>
      </c>
      <c r="MH1" t="s">
        <v>1370</v>
      </c>
      <c r="MI1" t="s">
        <v>1371</v>
      </c>
      <c r="MJ1" t="s">
        <v>1372</v>
      </c>
      <c r="MK1" t="s">
        <v>1373</v>
      </c>
      <c r="ML1" t="s">
        <v>1374</v>
      </c>
      <c r="MM1" t="s">
        <v>1375</v>
      </c>
      <c r="MN1" t="s">
        <v>1376</v>
      </c>
      <c r="MO1" t="s">
        <v>1377</v>
      </c>
      <c r="MP1" t="s">
        <v>1378</v>
      </c>
      <c r="MQ1" t="s">
        <v>1379</v>
      </c>
      <c r="MR1" t="s">
        <v>1380</v>
      </c>
      <c r="MS1" t="s">
        <v>1381</v>
      </c>
      <c r="MT1" t="s">
        <v>1382</v>
      </c>
      <c r="MU1" t="s">
        <v>1383</v>
      </c>
      <c r="MV1" t="s">
        <v>1384</v>
      </c>
      <c r="MW1" t="s">
        <v>1385</v>
      </c>
      <c r="MX1" t="s">
        <v>1386</v>
      </c>
      <c r="MY1" t="s">
        <v>1387</v>
      </c>
      <c r="MZ1" t="s">
        <v>1388</v>
      </c>
      <c r="NA1" t="s">
        <v>1389</v>
      </c>
      <c r="NB1" t="s">
        <v>1390</v>
      </c>
      <c r="NC1" t="s">
        <v>1391</v>
      </c>
      <c r="ND1" t="s">
        <v>1392</v>
      </c>
      <c r="NE1" t="s">
        <v>1393</v>
      </c>
      <c r="NF1" t="s">
        <v>1394</v>
      </c>
      <c r="NG1" t="s">
        <v>1395</v>
      </c>
      <c r="NH1" t="s">
        <v>1396</v>
      </c>
      <c r="NI1" t="s">
        <v>1397</v>
      </c>
      <c r="NJ1" t="s">
        <v>1398</v>
      </c>
      <c r="NK1" t="s">
        <v>1399</v>
      </c>
      <c r="NL1" t="s">
        <v>1400</v>
      </c>
      <c r="NM1" t="s">
        <v>1401</v>
      </c>
      <c r="NN1" t="s">
        <v>1402</v>
      </c>
      <c r="NO1" t="s">
        <v>1403</v>
      </c>
      <c r="NP1" t="s">
        <v>1404</v>
      </c>
      <c r="NQ1" t="s">
        <v>1405</v>
      </c>
      <c r="NR1" t="s">
        <v>1406</v>
      </c>
      <c r="NS1" t="s">
        <v>1407</v>
      </c>
      <c r="NT1" t="s">
        <v>1408</v>
      </c>
      <c r="NU1" t="s">
        <v>1409</v>
      </c>
      <c r="NV1" t="s">
        <v>1410</v>
      </c>
      <c r="NW1" t="s">
        <v>1411</v>
      </c>
      <c r="NX1" t="s">
        <v>1412</v>
      </c>
      <c r="NY1" t="s">
        <v>1413</v>
      </c>
      <c r="NZ1" t="s">
        <v>1414</v>
      </c>
      <c r="OA1" t="s">
        <v>1415</v>
      </c>
      <c r="OB1" t="s">
        <v>1416</v>
      </c>
      <c r="OC1" t="s">
        <v>1417</v>
      </c>
      <c r="OD1" t="s">
        <v>1418</v>
      </c>
      <c r="OE1" t="s">
        <v>1419</v>
      </c>
      <c r="OF1" t="s">
        <v>1420</v>
      </c>
      <c r="OG1" t="s">
        <v>1421</v>
      </c>
      <c r="OH1" t="s">
        <v>1422</v>
      </c>
      <c r="OI1" t="s">
        <v>1423</v>
      </c>
      <c r="OJ1" t="s">
        <v>1424</v>
      </c>
      <c r="OK1" t="s">
        <v>1425</v>
      </c>
      <c r="OL1" t="s">
        <v>1426</v>
      </c>
      <c r="OM1" t="s">
        <v>1427</v>
      </c>
      <c r="ON1" t="s">
        <v>1428</v>
      </c>
      <c r="OO1" t="s">
        <v>1429</v>
      </c>
      <c r="OP1" t="s">
        <v>1430</v>
      </c>
      <c r="OQ1" t="s">
        <v>1431</v>
      </c>
      <c r="OR1" t="s">
        <v>1432</v>
      </c>
      <c r="OS1" t="s">
        <v>1433</v>
      </c>
      <c r="OT1" t="s">
        <v>1434</v>
      </c>
      <c r="OU1" t="s">
        <v>1435</v>
      </c>
      <c r="OV1" t="s">
        <v>1436</v>
      </c>
      <c r="OW1" t="s">
        <v>1437</v>
      </c>
      <c r="OX1" t="s">
        <v>1438</v>
      </c>
      <c r="OY1" t="s">
        <v>1439</v>
      </c>
      <c r="OZ1" t="s">
        <v>1440</v>
      </c>
      <c r="PA1" t="s">
        <v>1441</v>
      </c>
      <c r="PB1" t="s">
        <v>1442</v>
      </c>
      <c r="PC1" t="s">
        <v>1443</v>
      </c>
      <c r="PD1" t="s">
        <v>1444</v>
      </c>
      <c r="PE1" t="s">
        <v>1445</v>
      </c>
      <c r="PF1" t="s">
        <v>1446</v>
      </c>
      <c r="PG1" t="s">
        <v>1447</v>
      </c>
      <c r="PH1" t="s">
        <v>1448</v>
      </c>
      <c r="PI1" t="s">
        <v>1449</v>
      </c>
      <c r="PJ1" t="s">
        <v>1450</v>
      </c>
      <c r="PK1" t="s">
        <v>1451</v>
      </c>
      <c r="PL1" t="s">
        <v>1452</v>
      </c>
      <c r="PM1" t="s">
        <v>1453</v>
      </c>
      <c r="PN1" t="s">
        <v>1454</v>
      </c>
      <c r="PO1" t="s">
        <v>1455</v>
      </c>
      <c r="PP1" t="s">
        <v>1456</v>
      </c>
      <c r="PQ1" t="s">
        <v>1457</v>
      </c>
      <c r="PR1" t="s">
        <v>1458</v>
      </c>
      <c r="PS1" t="s">
        <v>1459</v>
      </c>
      <c r="PT1" t="s">
        <v>1460</v>
      </c>
      <c r="PU1" t="s">
        <v>1461</v>
      </c>
      <c r="PV1" t="s">
        <v>1462</v>
      </c>
      <c r="PW1" t="s">
        <v>1463</v>
      </c>
      <c r="PX1" t="s">
        <v>1464</v>
      </c>
      <c r="PY1" t="s">
        <v>1465</v>
      </c>
      <c r="PZ1" t="s">
        <v>1466</v>
      </c>
      <c r="QA1" t="s">
        <v>1467</v>
      </c>
      <c r="QB1" t="s">
        <v>1468</v>
      </c>
      <c r="QC1" t="s">
        <v>1469</v>
      </c>
      <c r="QD1" t="s">
        <v>1470</v>
      </c>
      <c r="QE1" t="s">
        <v>1471</v>
      </c>
      <c r="QF1" t="s">
        <v>1472</v>
      </c>
      <c r="QG1" t="s">
        <v>1473</v>
      </c>
      <c r="QH1" t="s">
        <v>1474</v>
      </c>
      <c r="QI1" t="s">
        <v>1475</v>
      </c>
      <c r="QJ1" t="s">
        <v>1476</v>
      </c>
      <c r="QK1" t="s">
        <v>1477</v>
      </c>
      <c r="QL1" t="s">
        <v>1478</v>
      </c>
      <c r="QM1" t="s">
        <v>1479</v>
      </c>
      <c r="QN1" t="s">
        <v>1480</v>
      </c>
      <c r="QO1" t="s">
        <v>1481</v>
      </c>
      <c r="QP1" t="s">
        <v>1482</v>
      </c>
      <c r="QQ1" t="s">
        <v>1483</v>
      </c>
      <c r="QR1" t="s">
        <v>1484</v>
      </c>
      <c r="QS1" t="s">
        <v>1485</v>
      </c>
      <c r="QT1" t="s">
        <v>1486</v>
      </c>
      <c r="QU1" t="s">
        <v>1487</v>
      </c>
      <c r="QV1" t="s">
        <v>1488</v>
      </c>
      <c r="QW1" t="s">
        <v>1489</v>
      </c>
      <c r="QX1" t="s">
        <v>1490</v>
      </c>
      <c r="QY1" t="s">
        <v>1491</v>
      </c>
      <c r="QZ1" t="s">
        <v>1492</v>
      </c>
      <c r="RA1" t="s">
        <v>1493</v>
      </c>
      <c r="RB1" t="s">
        <v>1494</v>
      </c>
      <c r="RC1" t="s">
        <v>1495</v>
      </c>
      <c r="RD1" t="s">
        <v>1496</v>
      </c>
      <c r="RE1" t="s">
        <v>1497</v>
      </c>
      <c r="RF1" t="s">
        <v>1498</v>
      </c>
      <c r="RG1" t="s">
        <v>1499</v>
      </c>
      <c r="RH1" t="s">
        <v>1500</v>
      </c>
      <c r="RI1" t="s">
        <v>1501</v>
      </c>
      <c r="RJ1" t="s">
        <v>1502</v>
      </c>
      <c r="RK1" t="s">
        <v>1503</v>
      </c>
      <c r="RL1" t="s">
        <v>1504</v>
      </c>
      <c r="RM1" t="s">
        <v>1505</v>
      </c>
      <c r="RN1" t="s">
        <v>1506</v>
      </c>
      <c r="RO1" t="s">
        <v>1507</v>
      </c>
      <c r="RP1" t="s">
        <v>1508</v>
      </c>
      <c r="RQ1" t="s">
        <v>1509</v>
      </c>
      <c r="RR1" t="s">
        <v>1510</v>
      </c>
      <c r="RS1" t="s">
        <v>1511</v>
      </c>
      <c r="RT1" t="s">
        <v>1512</v>
      </c>
      <c r="RU1" t="s">
        <v>1513</v>
      </c>
      <c r="RV1" t="s">
        <v>1514</v>
      </c>
      <c r="RW1" t="s">
        <v>1515</v>
      </c>
      <c r="RX1" t="s">
        <v>1516</v>
      </c>
      <c r="RY1" t="s">
        <v>1517</v>
      </c>
      <c r="RZ1" t="s">
        <v>1518</v>
      </c>
      <c r="SA1" t="s">
        <v>1519</v>
      </c>
      <c r="SB1" t="s">
        <v>1520</v>
      </c>
      <c r="SC1" t="s">
        <v>1521</v>
      </c>
      <c r="SD1" t="s">
        <v>1522</v>
      </c>
      <c r="SE1" t="s">
        <v>1523</v>
      </c>
      <c r="SF1" t="s">
        <v>1524</v>
      </c>
      <c r="SG1" t="s">
        <v>1525</v>
      </c>
      <c r="SH1" t="s">
        <v>1526</v>
      </c>
      <c r="SI1" t="s">
        <v>1527</v>
      </c>
      <c r="SJ1" t="s">
        <v>1528</v>
      </c>
      <c r="SK1" t="s">
        <v>1529</v>
      </c>
      <c r="SL1" t="s">
        <v>1530</v>
      </c>
      <c r="SM1" t="s">
        <v>1531</v>
      </c>
      <c r="SN1" t="s">
        <v>1532</v>
      </c>
      <c r="SO1" t="s">
        <v>1533</v>
      </c>
      <c r="SP1" t="s">
        <v>1534</v>
      </c>
      <c r="SQ1" t="s">
        <v>1535</v>
      </c>
      <c r="SR1" t="s">
        <v>1536</v>
      </c>
      <c r="SS1" t="s">
        <v>1537</v>
      </c>
      <c r="ST1" t="s">
        <v>1538</v>
      </c>
      <c r="SU1" t="s">
        <v>1539</v>
      </c>
      <c r="SV1" t="s">
        <v>1540</v>
      </c>
      <c r="SW1" t="s">
        <v>1541</v>
      </c>
      <c r="SX1" t="s">
        <v>1542</v>
      </c>
      <c r="SY1" t="s">
        <v>1543</v>
      </c>
      <c r="SZ1" t="s">
        <v>1544</v>
      </c>
      <c r="TA1" t="s">
        <v>1545</v>
      </c>
      <c r="TB1" t="s">
        <v>1546</v>
      </c>
      <c r="TC1" t="s">
        <v>1547</v>
      </c>
      <c r="TD1" t="s">
        <v>1548</v>
      </c>
      <c r="TE1" t="s">
        <v>1549</v>
      </c>
      <c r="TF1" t="s">
        <v>1550</v>
      </c>
      <c r="TG1" t="s">
        <v>1551</v>
      </c>
      <c r="TH1" t="s">
        <v>1552</v>
      </c>
      <c r="TI1" t="s">
        <v>1553</v>
      </c>
      <c r="TJ1" t="s">
        <v>1554</v>
      </c>
      <c r="TK1" t="s">
        <v>1555</v>
      </c>
      <c r="TL1" t="s">
        <v>1556</v>
      </c>
      <c r="TM1" t="s">
        <v>1557</v>
      </c>
      <c r="TN1" t="s">
        <v>1558</v>
      </c>
      <c r="TO1" t="s">
        <v>1559</v>
      </c>
      <c r="TP1" t="s">
        <v>1560</v>
      </c>
      <c r="TQ1" t="s">
        <v>1561</v>
      </c>
      <c r="TR1" t="s">
        <v>1562</v>
      </c>
      <c r="TS1" t="s">
        <v>1563</v>
      </c>
      <c r="TT1" t="s">
        <v>1564</v>
      </c>
      <c r="TU1" t="s">
        <v>1565</v>
      </c>
      <c r="TV1" t="s">
        <v>1566</v>
      </c>
      <c r="TW1" t="s">
        <v>1567</v>
      </c>
      <c r="TX1" t="s">
        <v>1568</v>
      </c>
      <c r="TY1" t="s">
        <v>1569</v>
      </c>
      <c r="TZ1" t="s">
        <v>1570</v>
      </c>
      <c r="UA1" t="s">
        <v>1571</v>
      </c>
      <c r="UB1" t="s">
        <v>1572</v>
      </c>
      <c r="UC1" t="s">
        <v>1573</v>
      </c>
      <c r="UD1" t="s">
        <v>1574</v>
      </c>
      <c r="UE1" t="s">
        <v>1575</v>
      </c>
      <c r="UF1" t="s">
        <v>1576</v>
      </c>
      <c r="UG1" t="s">
        <v>1577</v>
      </c>
      <c r="UH1" t="s">
        <v>1578</v>
      </c>
      <c r="UI1" t="s">
        <v>1579</v>
      </c>
      <c r="UJ1" t="s">
        <v>1580</v>
      </c>
      <c r="UK1" t="s">
        <v>1581</v>
      </c>
      <c r="UL1" t="s">
        <v>1582</v>
      </c>
      <c r="UM1" t="s">
        <v>1583</v>
      </c>
      <c r="UN1" t="s">
        <v>1584</v>
      </c>
      <c r="UO1" t="s">
        <v>1585</v>
      </c>
      <c r="UP1" t="s">
        <v>1586</v>
      </c>
      <c r="UQ1" t="s">
        <v>1587</v>
      </c>
      <c r="UR1" t="s">
        <v>1588</v>
      </c>
      <c r="US1" t="s">
        <v>1589</v>
      </c>
      <c r="UT1" t="s">
        <v>1590</v>
      </c>
      <c r="UU1" t="s">
        <v>1591</v>
      </c>
      <c r="UV1" t="s">
        <v>1592</v>
      </c>
      <c r="UW1" t="s">
        <v>1593</v>
      </c>
      <c r="UX1" t="s">
        <v>1594</v>
      </c>
      <c r="UY1" t="s">
        <v>1595</v>
      </c>
      <c r="UZ1" t="s">
        <v>1596</v>
      </c>
      <c r="VA1" t="s">
        <v>1597</v>
      </c>
      <c r="VB1" t="s">
        <v>1598</v>
      </c>
      <c r="VC1" t="s">
        <v>1599</v>
      </c>
      <c r="VD1" t="s">
        <v>1600</v>
      </c>
      <c r="VE1" t="s">
        <v>1601</v>
      </c>
      <c r="VF1" t="s">
        <v>1602</v>
      </c>
      <c r="VG1" t="s">
        <v>1603</v>
      </c>
      <c r="VH1" t="s">
        <v>1604</v>
      </c>
      <c r="VI1" t="s">
        <v>1605</v>
      </c>
      <c r="VJ1" t="s">
        <v>1606</v>
      </c>
      <c r="VK1" t="s">
        <v>1607</v>
      </c>
      <c r="VL1" t="s">
        <v>1608</v>
      </c>
      <c r="VM1" t="s">
        <v>1609</v>
      </c>
      <c r="VN1" t="s">
        <v>1610</v>
      </c>
      <c r="VO1" t="s">
        <v>1611</v>
      </c>
      <c r="VP1" t="s">
        <v>1612</v>
      </c>
      <c r="VQ1" t="s">
        <v>1613</v>
      </c>
      <c r="VR1" t="s">
        <v>1614</v>
      </c>
      <c r="VS1" t="s">
        <v>1615</v>
      </c>
      <c r="VT1" t="s">
        <v>1616</v>
      </c>
      <c r="VU1" t="s">
        <v>1617</v>
      </c>
      <c r="VV1" t="s">
        <v>1618</v>
      </c>
      <c r="VW1" t="s">
        <v>1619</v>
      </c>
      <c r="VX1" t="s">
        <v>1620</v>
      </c>
      <c r="VY1" t="s">
        <v>1621</v>
      </c>
      <c r="VZ1" t="s">
        <v>1622</v>
      </c>
      <c r="WA1" t="s">
        <v>1623</v>
      </c>
      <c r="WB1" t="s">
        <v>1624</v>
      </c>
      <c r="WC1" t="s">
        <v>1625</v>
      </c>
      <c r="WD1" t="s">
        <v>1626</v>
      </c>
      <c r="WE1" t="s">
        <v>1627</v>
      </c>
      <c r="WF1" t="s">
        <v>1628</v>
      </c>
      <c r="WG1" t="s">
        <v>1629</v>
      </c>
      <c r="WH1" t="s">
        <v>1630</v>
      </c>
      <c r="WI1" t="s">
        <v>1631</v>
      </c>
      <c r="WJ1" t="s">
        <v>1632</v>
      </c>
      <c r="WK1" t="s">
        <v>1633</v>
      </c>
      <c r="WL1" t="s">
        <v>1634</v>
      </c>
      <c r="WM1" t="s">
        <v>1635</v>
      </c>
      <c r="WN1" t="s">
        <v>1636</v>
      </c>
      <c r="WO1" t="s">
        <v>1637</v>
      </c>
      <c r="WP1" t="s">
        <v>1638</v>
      </c>
      <c r="WQ1" t="s">
        <v>1639</v>
      </c>
      <c r="WR1" t="s">
        <v>1640</v>
      </c>
      <c r="WS1" t="s">
        <v>1641</v>
      </c>
      <c r="WT1" t="s">
        <v>1642</v>
      </c>
      <c r="WU1" t="s">
        <v>1643</v>
      </c>
      <c r="WV1" t="s">
        <v>1644</v>
      </c>
      <c r="WW1" t="s">
        <v>1645</v>
      </c>
      <c r="WX1" t="s">
        <v>1646</v>
      </c>
      <c r="WY1" t="s">
        <v>1647</v>
      </c>
      <c r="WZ1" t="s">
        <v>1648</v>
      </c>
      <c r="XA1" t="s">
        <v>1649</v>
      </c>
      <c r="XB1" t="s">
        <v>1650</v>
      </c>
      <c r="XC1" t="s">
        <v>1651</v>
      </c>
      <c r="XD1" t="s">
        <v>1652</v>
      </c>
      <c r="XE1" t="s">
        <v>1653</v>
      </c>
      <c r="XF1" t="s">
        <v>1654</v>
      </c>
      <c r="XG1" t="s">
        <v>1655</v>
      </c>
      <c r="XH1" t="s">
        <v>1656</v>
      </c>
      <c r="XI1" t="s">
        <v>1657</v>
      </c>
      <c r="XJ1" t="s">
        <v>1658</v>
      </c>
      <c r="XK1" t="s">
        <v>1659</v>
      </c>
      <c r="XL1" t="s">
        <v>1660</v>
      </c>
      <c r="XM1" t="s">
        <v>1661</v>
      </c>
      <c r="XN1" t="s">
        <v>1662</v>
      </c>
      <c r="XO1" t="s">
        <v>1663</v>
      </c>
      <c r="XP1" t="s">
        <v>1664</v>
      </c>
      <c r="XQ1" t="s">
        <v>1665</v>
      </c>
      <c r="XR1" t="s">
        <v>1666</v>
      </c>
      <c r="XS1" t="s">
        <v>1667</v>
      </c>
      <c r="XT1" t="s">
        <v>1668</v>
      </c>
      <c r="XU1" t="s">
        <v>1669</v>
      </c>
      <c r="XV1" t="s">
        <v>1670</v>
      </c>
      <c r="XW1" t="s">
        <v>1671</v>
      </c>
      <c r="XX1" t="s">
        <v>1672</v>
      </c>
      <c r="XY1" t="s">
        <v>1673</v>
      </c>
      <c r="XZ1" t="s">
        <v>1674</v>
      </c>
      <c r="YA1" t="s">
        <v>1675</v>
      </c>
      <c r="YB1" t="s">
        <v>1676</v>
      </c>
      <c r="YC1" t="s">
        <v>1677</v>
      </c>
      <c r="YD1" t="s">
        <v>1678</v>
      </c>
      <c r="YE1" t="s">
        <v>1679</v>
      </c>
      <c r="YF1" t="s">
        <v>1680</v>
      </c>
      <c r="YG1" t="s">
        <v>1681</v>
      </c>
      <c r="YH1" t="s">
        <v>1682</v>
      </c>
      <c r="YI1" t="s">
        <v>1683</v>
      </c>
      <c r="YJ1" t="s">
        <v>1684</v>
      </c>
      <c r="YK1" t="s">
        <v>1685</v>
      </c>
      <c r="YL1" t="s">
        <v>1686</v>
      </c>
      <c r="YM1" t="s">
        <v>1687</v>
      </c>
      <c r="YN1" t="s">
        <v>1688</v>
      </c>
      <c r="YO1" t="s">
        <v>1689</v>
      </c>
      <c r="YP1" t="s">
        <v>1690</v>
      </c>
      <c r="YQ1" t="s">
        <v>1691</v>
      </c>
      <c r="YR1" t="s">
        <v>1692</v>
      </c>
      <c r="YS1" t="s">
        <v>1693</v>
      </c>
      <c r="YT1" t="s">
        <v>1694</v>
      </c>
      <c r="YU1" t="s">
        <v>1695</v>
      </c>
      <c r="YV1" t="s">
        <v>1696</v>
      </c>
      <c r="YW1" t="s">
        <v>1697</v>
      </c>
      <c r="YX1" t="s">
        <v>1698</v>
      </c>
      <c r="YY1" t="s">
        <v>1699</v>
      </c>
      <c r="YZ1" t="s">
        <v>1700</v>
      </c>
      <c r="ZA1" t="s">
        <v>1701</v>
      </c>
      <c r="ZB1" t="s">
        <v>1702</v>
      </c>
      <c r="ZC1" t="s">
        <v>1703</v>
      </c>
      <c r="ZD1" t="s">
        <v>1704</v>
      </c>
      <c r="ZE1" t="s">
        <v>1705</v>
      </c>
      <c r="ZF1" t="s">
        <v>1706</v>
      </c>
      <c r="ZG1" t="s">
        <v>1707</v>
      </c>
      <c r="ZH1" t="s">
        <v>1708</v>
      </c>
      <c r="ZI1" t="s">
        <v>1709</v>
      </c>
      <c r="ZJ1" t="s">
        <v>1710</v>
      </c>
      <c r="ZK1" t="s">
        <v>1711</v>
      </c>
      <c r="ZL1" t="s">
        <v>1712</v>
      </c>
      <c r="ZM1" t="s">
        <v>1713</v>
      </c>
      <c r="ZN1" t="s">
        <v>1714</v>
      </c>
      <c r="ZO1" t="s">
        <v>1715</v>
      </c>
      <c r="ZP1" t="s">
        <v>1716</v>
      </c>
      <c r="ZQ1" t="s">
        <v>1717</v>
      </c>
      <c r="ZR1" t="s">
        <v>1718</v>
      </c>
      <c r="ZS1" t="s">
        <v>1719</v>
      </c>
      <c r="ZT1" t="s">
        <v>1720</v>
      </c>
      <c r="ZU1" t="s">
        <v>1721</v>
      </c>
      <c r="ZV1" t="s">
        <v>1722</v>
      </c>
      <c r="ZW1" t="s">
        <v>1723</v>
      </c>
      <c r="ZX1" t="s">
        <v>1724</v>
      </c>
      <c r="ZY1" t="s">
        <v>1725</v>
      </c>
      <c r="ZZ1" t="s">
        <v>1726</v>
      </c>
      <c r="AAA1" t="s">
        <v>1727</v>
      </c>
      <c r="AAB1" t="s">
        <v>1728</v>
      </c>
      <c r="AAC1" t="s">
        <v>1729</v>
      </c>
      <c r="AAD1" t="s">
        <v>1730</v>
      </c>
      <c r="AAE1" t="s">
        <v>1731</v>
      </c>
      <c r="AAF1" t="s">
        <v>1732</v>
      </c>
      <c r="AAG1" t="s">
        <v>1733</v>
      </c>
      <c r="AAH1" t="s">
        <v>1734</v>
      </c>
      <c r="AAI1" t="s">
        <v>1735</v>
      </c>
      <c r="AAJ1" t="s">
        <v>1736</v>
      </c>
      <c r="AAK1" t="s">
        <v>1737</v>
      </c>
      <c r="AAL1" t="s">
        <v>1738</v>
      </c>
      <c r="AAM1" t="s">
        <v>1739</v>
      </c>
      <c r="AAN1" t="s">
        <v>1740</v>
      </c>
      <c r="AAO1" t="s">
        <v>1741</v>
      </c>
      <c r="AAP1" t="s">
        <v>1742</v>
      </c>
      <c r="AAQ1" t="s">
        <v>1743</v>
      </c>
      <c r="AAR1" t="s">
        <v>1744</v>
      </c>
      <c r="AAS1" t="s">
        <v>1745</v>
      </c>
      <c r="AAT1" t="s">
        <v>1746</v>
      </c>
      <c r="AAU1" t="s">
        <v>1747</v>
      </c>
      <c r="AAV1" t="s">
        <v>1748</v>
      </c>
      <c r="AAW1" t="s">
        <v>1749</v>
      </c>
      <c r="AAX1" t="s">
        <v>1750</v>
      </c>
      <c r="AAY1" t="s">
        <v>1751</v>
      </c>
      <c r="AAZ1" t="s">
        <v>1752</v>
      </c>
      <c r="ABA1" t="s">
        <v>1753</v>
      </c>
      <c r="ABB1" t="s">
        <v>1754</v>
      </c>
      <c r="ABC1" t="s">
        <v>1755</v>
      </c>
      <c r="ABD1" t="s">
        <v>1756</v>
      </c>
      <c r="ABE1" t="s">
        <v>1757</v>
      </c>
      <c r="ABF1" t="s">
        <v>1758</v>
      </c>
      <c r="ABG1" t="s">
        <v>1759</v>
      </c>
      <c r="ABH1" t="s">
        <v>1760</v>
      </c>
      <c r="ABI1" t="s">
        <v>1761</v>
      </c>
      <c r="ABJ1" t="s">
        <v>1762</v>
      </c>
      <c r="ABK1" t="s">
        <v>1763</v>
      </c>
      <c r="ABL1" t="s">
        <v>1764</v>
      </c>
      <c r="ABM1" t="s">
        <v>1765</v>
      </c>
      <c r="ABN1" t="s">
        <v>1766</v>
      </c>
      <c r="ABO1" t="s">
        <v>1767</v>
      </c>
      <c r="ABP1" t="s">
        <v>1768</v>
      </c>
      <c r="ABQ1" t="s">
        <v>1769</v>
      </c>
      <c r="ABR1" t="s">
        <v>1770</v>
      </c>
      <c r="ABS1" t="s">
        <v>1771</v>
      </c>
      <c r="ABT1" t="s">
        <v>1772</v>
      </c>
      <c r="ABU1" t="s">
        <v>1773</v>
      </c>
      <c r="ABV1" t="s">
        <v>1774</v>
      </c>
      <c r="ABW1" t="s">
        <v>1775</v>
      </c>
      <c r="ABX1" t="s">
        <v>1776</v>
      </c>
      <c r="ABY1" t="s">
        <v>1777</v>
      </c>
      <c r="ABZ1" t="s">
        <v>1778</v>
      </c>
      <c r="ACA1" t="s">
        <v>1779</v>
      </c>
      <c r="ACB1" t="s">
        <v>1780</v>
      </c>
      <c r="ACC1" t="s">
        <v>1781</v>
      </c>
      <c r="ACD1" t="s">
        <v>1782</v>
      </c>
      <c r="ACE1" t="s">
        <v>1783</v>
      </c>
      <c r="ACF1" t="s">
        <v>1784</v>
      </c>
      <c r="ACG1" t="s">
        <v>1785</v>
      </c>
      <c r="ACH1" t="s">
        <v>1786</v>
      </c>
      <c r="ACI1" t="s">
        <v>1787</v>
      </c>
      <c r="ACJ1" t="s">
        <v>1788</v>
      </c>
      <c r="ACK1" t="s">
        <v>1789</v>
      </c>
      <c r="ACL1" t="s">
        <v>1790</v>
      </c>
      <c r="ACM1" t="s">
        <v>1791</v>
      </c>
      <c r="ACN1" t="s">
        <v>1792</v>
      </c>
      <c r="ACO1" t="s">
        <v>1793</v>
      </c>
      <c r="ACP1" t="s">
        <v>1794</v>
      </c>
      <c r="ACQ1" t="s">
        <v>1795</v>
      </c>
      <c r="ACR1" t="s">
        <v>1796</v>
      </c>
      <c r="ACS1" t="s">
        <v>1797</v>
      </c>
      <c r="ACT1" t="s">
        <v>1798</v>
      </c>
      <c r="ACU1" t="s">
        <v>1799</v>
      </c>
      <c r="ACV1" t="s">
        <v>1800</v>
      </c>
      <c r="ACW1" t="s">
        <v>1801</v>
      </c>
      <c r="ACX1" t="s">
        <v>1802</v>
      </c>
      <c r="ACY1" t="s">
        <v>1803</v>
      </c>
      <c r="ACZ1" t="s">
        <v>1804</v>
      </c>
      <c r="ADA1" t="s">
        <v>1805</v>
      </c>
      <c r="ADB1" t="s">
        <v>1806</v>
      </c>
      <c r="ADC1" t="s">
        <v>1807</v>
      </c>
      <c r="ADD1" t="s">
        <v>1808</v>
      </c>
      <c r="ADE1" t="s">
        <v>1809</v>
      </c>
      <c r="ADF1" t="s">
        <v>1810</v>
      </c>
      <c r="ADG1" t="s">
        <v>1811</v>
      </c>
      <c r="ADH1" t="s">
        <v>1812</v>
      </c>
      <c r="ADI1" t="s">
        <v>1813</v>
      </c>
      <c r="ADJ1" t="s">
        <v>1814</v>
      </c>
      <c r="ADK1" t="s">
        <v>1815</v>
      </c>
      <c r="ADL1" t="s">
        <v>1816</v>
      </c>
      <c r="ADM1" t="s">
        <v>1817</v>
      </c>
      <c r="ADN1" t="s">
        <v>1818</v>
      </c>
      <c r="ADO1" t="s">
        <v>1819</v>
      </c>
      <c r="ADP1" t="s">
        <v>1820</v>
      </c>
      <c r="ADQ1" t="s">
        <v>1821</v>
      </c>
      <c r="ADR1" t="s">
        <v>1822</v>
      </c>
      <c r="ADS1" t="s">
        <v>1823</v>
      </c>
      <c r="ADT1" t="s">
        <v>1824</v>
      </c>
      <c r="ADU1" t="s">
        <v>1825</v>
      </c>
      <c r="ADV1" t="s">
        <v>1826</v>
      </c>
      <c r="ADW1" t="s">
        <v>1827</v>
      </c>
      <c r="ADX1" t="s">
        <v>1828</v>
      </c>
      <c r="ADY1" t="s">
        <v>1829</v>
      </c>
      <c r="ADZ1" t="s">
        <v>1830</v>
      </c>
      <c r="AEA1" t="s">
        <v>1831</v>
      </c>
      <c r="AEB1" t="s">
        <v>1832</v>
      </c>
      <c r="AEC1" t="s">
        <v>1833</v>
      </c>
      <c r="AED1" t="s">
        <v>1834</v>
      </c>
      <c r="AEE1" t="s">
        <v>1835</v>
      </c>
      <c r="AEF1" t="s">
        <v>1836</v>
      </c>
      <c r="AEG1" t="s">
        <v>1837</v>
      </c>
      <c r="AEH1" t="s">
        <v>1838</v>
      </c>
      <c r="AEI1" t="s">
        <v>1839</v>
      </c>
      <c r="AEJ1" t="s">
        <v>1840</v>
      </c>
      <c r="AEK1" t="s">
        <v>1841</v>
      </c>
      <c r="AEL1" t="s">
        <v>1842</v>
      </c>
      <c r="AEM1" t="s">
        <v>1843</v>
      </c>
      <c r="AEN1" t="s">
        <v>1844</v>
      </c>
      <c r="AEO1" t="s">
        <v>1845</v>
      </c>
      <c r="AEP1" t="s">
        <v>1846</v>
      </c>
      <c r="AEQ1" t="s">
        <v>1847</v>
      </c>
      <c r="AER1" t="s">
        <v>1848</v>
      </c>
      <c r="AES1" t="s">
        <v>1849</v>
      </c>
      <c r="AET1" t="s">
        <v>1850</v>
      </c>
      <c r="AEU1" t="s">
        <v>1851</v>
      </c>
      <c r="AEV1" t="s">
        <v>1852</v>
      </c>
      <c r="AEW1" t="s">
        <v>1853</v>
      </c>
      <c r="AEX1" t="s">
        <v>1854</v>
      </c>
      <c r="AEY1" t="s">
        <v>1855</v>
      </c>
      <c r="AEZ1" t="s">
        <v>1856</v>
      </c>
      <c r="AFA1" t="s">
        <v>1857</v>
      </c>
      <c r="AFB1" t="s">
        <v>1858</v>
      </c>
      <c r="AFC1" t="s">
        <v>1859</v>
      </c>
      <c r="AFD1" t="s">
        <v>1860</v>
      </c>
      <c r="AFE1" t="s">
        <v>1861</v>
      </c>
      <c r="AFF1" t="s">
        <v>1862</v>
      </c>
      <c r="AFG1" t="s">
        <v>1863</v>
      </c>
      <c r="AFH1" t="s">
        <v>1864</v>
      </c>
      <c r="AFI1" t="s">
        <v>1865</v>
      </c>
      <c r="AFJ1" t="s">
        <v>1866</v>
      </c>
      <c r="AFK1" t="s">
        <v>1867</v>
      </c>
      <c r="AFL1" t="s">
        <v>1868</v>
      </c>
      <c r="AFM1" t="s">
        <v>1869</v>
      </c>
      <c r="AFN1" t="s">
        <v>1870</v>
      </c>
      <c r="AFO1" t="s">
        <v>1871</v>
      </c>
      <c r="AFP1" t="s">
        <v>1872</v>
      </c>
      <c r="AFQ1" t="s">
        <v>1873</v>
      </c>
      <c r="AFR1" t="s">
        <v>1874</v>
      </c>
      <c r="AFS1" t="s">
        <v>1875</v>
      </c>
      <c r="AFT1" t="s">
        <v>1876</v>
      </c>
      <c r="AFU1" t="s">
        <v>1877</v>
      </c>
      <c r="AFV1" t="s">
        <v>1878</v>
      </c>
      <c r="AFW1" t="s">
        <v>1879</v>
      </c>
      <c r="AFX1" t="s">
        <v>1880</v>
      </c>
      <c r="AFY1" t="s">
        <v>1881</v>
      </c>
      <c r="AFZ1" t="s">
        <v>1882</v>
      </c>
      <c r="AGA1" t="s">
        <v>1883</v>
      </c>
      <c r="AGB1" t="s">
        <v>1884</v>
      </c>
      <c r="AGC1" t="s">
        <v>1885</v>
      </c>
      <c r="AGD1" t="s">
        <v>1886</v>
      </c>
      <c r="AGE1" t="s">
        <v>1887</v>
      </c>
      <c r="AGF1" t="s">
        <v>1888</v>
      </c>
      <c r="AGG1" t="s">
        <v>1889</v>
      </c>
      <c r="AGH1" t="s">
        <v>1890</v>
      </c>
      <c r="AGI1" t="s">
        <v>1891</v>
      </c>
      <c r="AGJ1" t="s">
        <v>1892</v>
      </c>
      <c r="AGK1" t="s">
        <v>1893</v>
      </c>
      <c r="AGL1" t="s">
        <v>1894</v>
      </c>
      <c r="AGM1" t="s">
        <v>1895</v>
      </c>
      <c r="AGN1" t="s">
        <v>1896</v>
      </c>
      <c r="AGO1" t="s">
        <v>1897</v>
      </c>
      <c r="AGP1" t="s">
        <v>1898</v>
      </c>
      <c r="AGQ1" t="s">
        <v>1899</v>
      </c>
      <c r="AGR1" t="s">
        <v>1900</v>
      </c>
      <c r="AGS1" t="s">
        <v>1901</v>
      </c>
      <c r="AGT1" t="s">
        <v>1902</v>
      </c>
      <c r="AGU1" t="s">
        <v>1903</v>
      </c>
      <c r="AGV1" t="s">
        <v>1904</v>
      </c>
      <c r="AGW1" t="s">
        <v>1905</v>
      </c>
      <c r="AGX1" t="s">
        <v>1906</v>
      </c>
      <c r="AGY1" t="s">
        <v>1907</v>
      </c>
      <c r="AGZ1" t="s">
        <v>1908</v>
      </c>
      <c r="AHA1" t="s">
        <v>1909</v>
      </c>
      <c r="AHB1" t="s">
        <v>1910</v>
      </c>
      <c r="AHC1" t="s">
        <v>1911</v>
      </c>
      <c r="AHD1" t="s">
        <v>1912</v>
      </c>
      <c r="AHE1" t="s">
        <v>1913</v>
      </c>
      <c r="AHF1" t="s">
        <v>1914</v>
      </c>
      <c r="AHG1" t="s">
        <v>1915</v>
      </c>
      <c r="AHH1" t="s">
        <v>1916</v>
      </c>
      <c r="AHI1" t="s">
        <v>1917</v>
      </c>
      <c r="AHJ1" t="s">
        <v>1918</v>
      </c>
      <c r="AHK1" t="s">
        <v>1919</v>
      </c>
      <c r="AHL1" t="s">
        <v>1920</v>
      </c>
      <c r="AHM1" t="s">
        <v>1921</v>
      </c>
      <c r="AHN1" t="s">
        <v>1922</v>
      </c>
      <c r="AHO1" t="s">
        <v>1923</v>
      </c>
      <c r="AHP1" t="s">
        <v>1924</v>
      </c>
      <c r="AHQ1" t="s">
        <v>1925</v>
      </c>
      <c r="AHR1" t="s">
        <v>1926</v>
      </c>
      <c r="AHS1" t="s">
        <v>1927</v>
      </c>
      <c r="AHT1" t="s">
        <v>1928</v>
      </c>
      <c r="AHU1" t="s">
        <v>1929</v>
      </c>
      <c r="AHV1" t="s">
        <v>1930</v>
      </c>
      <c r="AHW1" t="s">
        <v>1931</v>
      </c>
      <c r="AHX1" t="s">
        <v>1932</v>
      </c>
      <c r="AHY1" t="s">
        <v>1933</v>
      </c>
      <c r="AHZ1" t="s">
        <v>1934</v>
      </c>
      <c r="AIA1" t="s">
        <v>1935</v>
      </c>
      <c r="AIB1" t="s">
        <v>1936</v>
      </c>
      <c r="AIC1" t="s">
        <v>1937</v>
      </c>
      <c r="AID1" t="s">
        <v>1938</v>
      </c>
      <c r="AIE1" t="s">
        <v>1939</v>
      </c>
      <c r="AIF1" t="s">
        <v>1940</v>
      </c>
      <c r="AIG1" t="s">
        <v>1941</v>
      </c>
      <c r="AIH1" t="s">
        <v>1942</v>
      </c>
      <c r="AII1" t="s">
        <v>1943</v>
      </c>
      <c r="AIJ1" t="s">
        <v>1944</v>
      </c>
      <c r="AIK1" t="s">
        <v>1945</v>
      </c>
      <c r="AIL1" t="s">
        <v>1946</v>
      </c>
      <c r="AIM1" t="s">
        <v>1947</v>
      </c>
      <c r="AIN1" t="s">
        <v>1948</v>
      </c>
      <c r="AIO1" t="s">
        <v>1949</v>
      </c>
      <c r="AIP1" t="s">
        <v>1950</v>
      </c>
      <c r="AIQ1" t="s">
        <v>1951</v>
      </c>
      <c r="AIR1" t="s">
        <v>1952</v>
      </c>
      <c r="AIS1" t="s">
        <v>1953</v>
      </c>
      <c r="AIT1" t="s">
        <v>1954</v>
      </c>
      <c r="AIU1" t="s">
        <v>1955</v>
      </c>
      <c r="AIV1" t="s">
        <v>1956</v>
      </c>
      <c r="AIW1" t="s">
        <v>1957</v>
      </c>
      <c r="AIX1" t="s">
        <v>1958</v>
      </c>
      <c r="AIY1" t="s">
        <v>1959</v>
      </c>
      <c r="AIZ1" t="s">
        <v>1960</v>
      </c>
      <c r="AJA1" t="s">
        <v>1961</v>
      </c>
      <c r="AJB1" t="s">
        <v>1962</v>
      </c>
      <c r="AJC1" t="s">
        <v>1963</v>
      </c>
      <c r="AJD1" t="s">
        <v>1964</v>
      </c>
      <c r="AJE1" t="s">
        <v>1965</v>
      </c>
      <c r="AJF1" t="s">
        <v>1966</v>
      </c>
      <c r="AJG1" t="s">
        <v>1967</v>
      </c>
      <c r="AJH1" t="s">
        <v>1968</v>
      </c>
      <c r="AJI1" t="s">
        <v>1969</v>
      </c>
      <c r="AJJ1" t="s">
        <v>1970</v>
      </c>
      <c r="AJK1" t="s">
        <v>1971</v>
      </c>
      <c r="AJL1" t="s">
        <v>1972</v>
      </c>
      <c r="AJM1" t="s">
        <v>1973</v>
      </c>
      <c r="AJN1" t="s">
        <v>1974</v>
      </c>
      <c r="AJO1" t="s">
        <v>1975</v>
      </c>
      <c r="AJP1" t="s">
        <v>1976</v>
      </c>
      <c r="AJQ1" t="s">
        <v>1977</v>
      </c>
      <c r="AJR1" t="s">
        <v>1978</v>
      </c>
      <c r="AJS1" t="s">
        <v>1979</v>
      </c>
      <c r="AJT1" t="s">
        <v>1980</v>
      </c>
      <c r="AJU1" t="s">
        <v>1981</v>
      </c>
      <c r="AJV1" t="s">
        <v>1982</v>
      </c>
      <c r="AJW1" t="s">
        <v>1983</v>
      </c>
      <c r="AJX1" t="s">
        <v>1984</v>
      </c>
      <c r="AJY1" t="s">
        <v>1985</v>
      </c>
      <c r="AJZ1" t="s">
        <v>1986</v>
      </c>
      <c r="AKA1" t="s">
        <v>1987</v>
      </c>
      <c r="AKB1" t="s">
        <v>1988</v>
      </c>
      <c r="AKC1" t="s">
        <v>1989</v>
      </c>
      <c r="AKD1" t="s">
        <v>1990</v>
      </c>
      <c r="AKE1" t="s">
        <v>1991</v>
      </c>
      <c r="AKF1" t="s">
        <v>1992</v>
      </c>
      <c r="AKG1" t="s">
        <v>1993</v>
      </c>
      <c r="AKH1" t="s">
        <v>1994</v>
      </c>
      <c r="AKI1" t="s">
        <v>1995</v>
      </c>
      <c r="AKJ1" t="s">
        <v>1996</v>
      </c>
      <c r="AKK1" t="s">
        <v>1997</v>
      </c>
      <c r="AKL1" t="s">
        <v>1998</v>
      </c>
      <c r="AKM1" t="s">
        <v>1999</v>
      </c>
      <c r="AKN1" t="s">
        <v>2000</v>
      </c>
      <c r="AKO1" t="s">
        <v>2001</v>
      </c>
      <c r="AKP1" t="s">
        <v>2002</v>
      </c>
      <c r="AKQ1" t="s">
        <v>2003</v>
      </c>
      <c r="AKR1" t="s">
        <v>2004</v>
      </c>
      <c r="AKS1" t="s">
        <v>2005</v>
      </c>
      <c r="AKT1" t="s">
        <v>2006</v>
      </c>
      <c r="AKU1" t="s">
        <v>2007</v>
      </c>
      <c r="AKV1" t="s">
        <v>2008</v>
      </c>
      <c r="AKW1" t="s">
        <v>2009</v>
      </c>
      <c r="AKX1" t="s">
        <v>2010</v>
      </c>
      <c r="AKY1" t="s">
        <v>2011</v>
      </c>
      <c r="AKZ1" t="s">
        <v>2012</v>
      </c>
      <c r="ALA1" t="s">
        <v>2013</v>
      </c>
      <c r="ALB1" t="s">
        <v>2014</v>
      </c>
      <c r="ALC1" t="s">
        <v>2015</v>
      </c>
      <c r="ALD1" t="s">
        <v>2016</v>
      </c>
      <c r="ALE1" t="s">
        <v>2017</v>
      </c>
      <c r="ALF1" t="s">
        <v>2018</v>
      </c>
      <c r="ALG1" t="s">
        <v>2019</v>
      </c>
      <c r="ALH1" t="s">
        <v>2020</v>
      </c>
      <c r="ALI1" t="s">
        <v>2021</v>
      </c>
      <c r="ALJ1" t="s">
        <v>2022</v>
      </c>
      <c r="ALK1" t="s">
        <v>2023</v>
      </c>
      <c r="ALL1" t="s">
        <v>2024</v>
      </c>
      <c r="ALM1" t="s">
        <v>2025</v>
      </c>
      <c r="ALN1" t="s">
        <v>2026</v>
      </c>
      <c r="ALO1" t="s">
        <v>2027</v>
      </c>
      <c r="ALP1" t="s">
        <v>2028</v>
      </c>
      <c r="ALQ1" t="s">
        <v>2029</v>
      </c>
      <c r="ALR1" t="s">
        <v>2030</v>
      </c>
      <c r="ALS1" t="s">
        <v>2031</v>
      </c>
      <c r="ALT1" t="s">
        <v>2032</v>
      </c>
      <c r="ALU1" t="s">
        <v>2033</v>
      </c>
      <c r="ALV1" t="s">
        <v>2034</v>
      </c>
      <c r="ALW1" t="s">
        <v>2035</v>
      </c>
      <c r="ALX1" t="s">
        <v>2036</v>
      </c>
      <c r="ALY1" t="s">
        <v>2037</v>
      </c>
      <c r="ALZ1" t="s">
        <v>2038</v>
      </c>
      <c r="AMA1" t="s">
        <v>2039</v>
      </c>
      <c r="AMB1" t="s">
        <v>2040</v>
      </c>
      <c r="AMC1" t="s">
        <v>2041</v>
      </c>
      <c r="AMD1" t="s">
        <v>2042</v>
      </c>
      <c r="AME1" t="s">
        <v>2043</v>
      </c>
      <c r="AMF1" t="s">
        <v>2044</v>
      </c>
      <c r="AMG1" t="s">
        <v>2045</v>
      </c>
      <c r="AMH1" t="s">
        <v>2046</v>
      </c>
      <c r="AMI1" t="s">
        <v>2047</v>
      </c>
      <c r="AMJ1" t="s">
        <v>2048</v>
      </c>
      <c r="AMK1" t="s">
        <v>2049</v>
      </c>
      <c r="AML1" t="s">
        <v>2050</v>
      </c>
      <c r="AMM1" t="s">
        <v>2051</v>
      </c>
      <c r="AMN1" t="s">
        <v>2052</v>
      </c>
      <c r="AMO1" t="s">
        <v>2053</v>
      </c>
      <c r="AMP1" t="s">
        <v>2054</v>
      </c>
      <c r="AMQ1" t="s">
        <v>2055</v>
      </c>
      <c r="AMR1" t="s">
        <v>2056</v>
      </c>
      <c r="AMS1" t="s">
        <v>2057</v>
      </c>
      <c r="AMT1" t="s">
        <v>2058</v>
      </c>
      <c r="AMU1" t="s">
        <v>2059</v>
      </c>
      <c r="AMV1" t="s">
        <v>2060</v>
      </c>
      <c r="AMW1" t="s">
        <v>2061</v>
      </c>
      <c r="AMX1" t="s">
        <v>2062</v>
      </c>
      <c r="AMY1" t="s">
        <v>2063</v>
      </c>
      <c r="AMZ1" t="s">
        <v>2064</v>
      </c>
      <c r="ANA1" t="s">
        <v>2065</v>
      </c>
      <c r="ANB1" t="s">
        <v>2066</v>
      </c>
      <c r="ANC1" t="s">
        <v>2067</v>
      </c>
      <c r="AND1" t="s">
        <v>2068</v>
      </c>
      <c r="ANE1" t="s">
        <v>2069</v>
      </c>
      <c r="ANF1" t="s">
        <v>2070</v>
      </c>
      <c r="ANG1" t="s">
        <v>2071</v>
      </c>
      <c r="ANH1" t="s">
        <v>2072</v>
      </c>
      <c r="ANI1" t="s">
        <v>2073</v>
      </c>
      <c r="ANJ1" t="s">
        <v>2074</v>
      </c>
      <c r="ANK1" t="s">
        <v>2075</v>
      </c>
      <c r="ANL1" t="s">
        <v>2076</v>
      </c>
      <c r="ANM1" t="s">
        <v>2077</v>
      </c>
      <c r="ANN1" t="s">
        <v>2078</v>
      </c>
      <c r="ANO1" t="s">
        <v>2079</v>
      </c>
      <c r="ANP1" t="s">
        <v>2080</v>
      </c>
      <c r="ANQ1" t="s">
        <v>2081</v>
      </c>
      <c r="ANR1" t="s">
        <v>2082</v>
      </c>
      <c r="ANS1" t="s">
        <v>2083</v>
      </c>
      <c r="ANT1" t="s">
        <v>2084</v>
      </c>
      <c r="ANU1" t="s">
        <v>2085</v>
      </c>
      <c r="ANV1" t="s">
        <v>2086</v>
      </c>
      <c r="ANW1" t="s">
        <v>2087</v>
      </c>
      <c r="ANX1" t="s">
        <v>2088</v>
      </c>
      <c r="ANY1" t="s">
        <v>2089</v>
      </c>
      <c r="ANZ1" t="s">
        <v>2090</v>
      </c>
      <c r="AOA1" t="s">
        <v>2091</v>
      </c>
      <c r="AOB1" t="s">
        <v>2092</v>
      </c>
      <c r="AOC1" t="s">
        <v>2093</v>
      </c>
      <c r="AOD1" t="s">
        <v>2094</v>
      </c>
      <c r="AOE1" t="s">
        <v>2095</v>
      </c>
      <c r="AOF1" t="s">
        <v>2096</v>
      </c>
      <c r="AOG1" t="s">
        <v>2097</v>
      </c>
      <c r="AOH1" t="s">
        <v>2098</v>
      </c>
      <c r="AOI1" t="s">
        <v>2099</v>
      </c>
      <c r="AOJ1" t="s">
        <v>2100</v>
      </c>
      <c r="AOK1" t="s">
        <v>2101</v>
      </c>
      <c r="AOL1" t="s">
        <v>2102</v>
      </c>
      <c r="AOM1" t="s">
        <v>2103</v>
      </c>
      <c r="AON1" t="s">
        <v>2104</v>
      </c>
      <c r="AOO1" t="s">
        <v>2105</v>
      </c>
      <c r="AOP1" t="s">
        <v>2106</v>
      </c>
      <c r="AOQ1" t="s">
        <v>2107</v>
      </c>
      <c r="AOR1" t="s">
        <v>2108</v>
      </c>
      <c r="AOS1" t="s">
        <v>2109</v>
      </c>
      <c r="AOT1" t="s">
        <v>2110</v>
      </c>
      <c r="AOU1" t="s">
        <v>2111</v>
      </c>
      <c r="AOV1" t="s">
        <v>2112</v>
      </c>
      <c r="AOW1" t="s">
        <v>2113</v>
      </c>
      <c r="AOX1" t="s">
        <v>2114</v>
      </c>
      <c r="AOY1" t="s">
        <v>2115</v>
      </c>
      <c r="AOZ1" t="s">
        <v>2116</v>
      </c>
      <c r="APA1" t="s">
        <v>2117</v>
      </c>
      <c r="APB1" t="s">
        <v>2118</v>
      </c>
      <c r="APC1" t="s">
        <v>2119</v>
      </c>
      <c r="APD1" t="s">
        <v>2120</v>
      </c>
      <c r="APE1" t="s">
        <v>2121</v>
      </c>
      <c r="APF1" t="s">
        <v>2122</v>
      </c>
      <c r="APG1" t="s">
        <v>2123</v>
      </c>
      <c r="APH1" t="s">
        <v>2124</v>
      </c>
      <c r="API1" t="s">
        <v>2125</v>
      </c>
      <c r="APJ1" t="s">
        <v>2126</v>
      </c>
      <c r="APK1" t="s">
        <v>2127</v>
      </c>
      <c r="APL1" t="s">
        <v>2128</v>
      </c>
      <c r="APM1" t="s">
        <v>2129</v>
      </c>
      <c r="APN1" t="s">
        <v>2130</v>
      </c>
      <c r="APO1" t="s">
        <v>2131</v>
      </c>
      <c r="APP1" t="s">
        <v>2132</v>
      </c>
      <c r="APQ1" t="s">
        <v>2133</v>
      </c>
      <c r="APR1" t="s">
        <v>2134</v>
      </c>
      <c r="APS1" t="s">
        <v>2135</v>
      </c>
      <c r="APT1" t="s">
        <v>2136</v>
      </c>
      <c r="APU1" t="s">
        <v>2137</v>
      </c>
      <c r="APV1" t="s">
        <v>2138</v>
      </c>
      <c r="APW1" t="s">
        <v>2139</v>
      </c>
      <c r="APX1" t="s">
        <v>2140</v>
      </c>
      <c r="APY1" t="s">
        <v>2141</v>
      </c>
      <c r="APZ1" t="s">
        <v>2142</v>
      </c>
      <c r="AQA1" t="s">
        <v>2143</v>
      </c>
      <c r="AQB1" t="s">
        <v>2144</v>
      </c>
      <c r="AQC1" t="s">
        <v>2145</v>
      </c>
      <c r="AQD1" t="s">
        <v>2146</v>
      </c>
      <c r="AQE1" t="s">
        <v>2147</v>
      </c>
      <c r="AQF1" t="s">
        <v>2148</v>
      </c>
      <c r="AQG1" t="s">
        <v>2149</v>
      </c>
      <c r="AQH1" t="s">
        <v>2150</v>
      </c>
      <c r="AQI1" t="s">
        <v>2151</v>
      </c>
      <c r="AQJ1" t="s">
        <v>2152</v>
      </c>
      <c r="AQK1" t="s">
        <v>2153</v>
      </c>
      <c r="AQL1" t="s">
        <v>2154</v>
      </c>
      <c r="AQM1" t="s">
        <v>2155</v>
      </c>
      <c r="AQN1" t="s">
        <v>2156</v>
      </c>
      <c r="AQO1" t="s">
        <v>2157</v>
      </c>
      <c r="AQP1" t="s">
        <v>2158</v>
      </c>
      <c r="AQQ1" t="s">
        <v>2159</v>
      </c>
      <c r="AQR1" t="s">
        <v>2160</v>
      </c>
      <c r="AQS1" t="s">
        <v>2161</v>
      </c>
      <c r="AQT1" t="s">
        <v>2162</v>
      </c>
      <c r="AQU1" t="s">
        <v>2163</v>
      </c>
      <c r="AQV1" t="s">
        <v>2164</v>
      </c>
      <c r="AQW1" t="s">
        <v>2165</v>
      </c>
      <c r="AQX1" t="s">
        <v>2166</v>
      </c>
      <c r="AQY1" t="s">
        <v>2167</v>
      </c>
      <c r="AQZ1" t="s">
        <v>2168</v>
      </c>
      <c r="ARA1" t="s">
        <v>2169</v>
      </c>
      <c r="ARB1" t="s">
        <v>2170</v>
      </c>
      <c r="ARC1" t="s">
        <v>2171</v>
      </c>
      <c r="ARD1" t="s">
        <v>2172</v>
      </c>
      <c r="ARE1" t="s">
        <v>2173</v>
      </c>
      <c r="ARF1" t="s">
        <v>2174</v>
      </c>
      <c r="ARG1" t="s">
        <v>2175</v>
      </c>
      <c r="ARH1" t="s">
        <v>2176</v>
      </c>
      <c r="ARI1" t="s">
        <v>2177</v>
      </c>
      <c r="ARJ1" t="s">
        <v>2178</v>
      </c>
      <c r="ARK1" t="s">
        <v>2179</v>
      </c>
      <c r="ARL1" t="s">
        <v>2180</v>
      </c>
      <c r="ARM1" t="s">
        <v>2181</v>
      </c>
      <c r="ARN1" t="s">
        <v>2182</v>
      </c>
      <c r="ARO1" t="s">
        <v>2183</v>
      </c>
      <c r="ARP1" t="s">
        <v>2184</v>
      </c>
      <c r="ARQ1" t="s">
        <v>2185</v>
      </c>
      <c r="ARR1" t="s">
        <v>2186</v>
      </c>
      <c r="ARS1" t="s">
        <v>2187</v>
      </c>
      <c r="ART1" t="s">
        <v>2188</v>
      </c>
      <c r="ARU1" t="s">
        <v>2189</v>
      </c>
      <c r="ARV1" t="s">
        <v>2190</v>
      </c>
      <c r="ARW1" t="s">
        <v>2191</v>
      </c>
      <c r="ARX1" t="s">
        <v>2192</v>
      </c>
      <c r="ARY1" t="s">
        <v>2193</v>
      </c>
      <c r="ARZ1" t="s">
        <v>2194</v>
      </c>
      <c r="ASA1" t="s">
        <v>2195</v>
      </c>
      <c r="ASB1" t="s">
        <v>2196</v>
      </c>
      <c r="ASC1" t="s">
        <v>2197</v>
      </c>
      <c r="ASD1" t="s">
        <v>2198</v>
      </c>
      <c r="ASE1" t="s">
        <v>2199</v>
      </c>
      <c r="ASF1" t="s">
        <v>2200</v>
      </c>
      <c r="ASG1" t="s">
        <v>2201</v>
      </c>
      <c r="ASH1" t="s">
        <v>2202</v>
      </c>
      <c r="ASI1" t="s">
        <v>2203</v>
      </c>
      <c r="ASJ1" t="s">
        <v>2204</v>
      </c>
      <c r="ASK1" t="s">
        <v>2205</v>
      </c>
      <c r="ASL1" t="s">
        <v>2206</v>
      </c>
      <c r="ASM1" t="s">
        <v>2207</v>
      </c>
      <c r="ASN1" t="s">
        <v>2208</v>
      </c>
      <c r="ASO1" t="s">
        <v>2209</v>
      </c>
      <c r="ASP1" t="s">
        <v>2210</v>
      </c>
      <c r="ASQ1" t="s">
        <v>2211</v>
      </c>
      <c r="ASR1" t="s">
        <v>2212</v>
      </c>
      <c r="ASS1" t="s">
        <v>2213</v>
      </c>
      <c r="AST1" t="s">
        <v>2214</v>
      </c>
      <c r="ASU1" t="s">
        <v>2215</v>
      </c>
      <c r="ASV1" t="s">
        <v>2216</v>
      </c>
      <c r="ASW1" t="s">
        <v>2217</v>
      </c>
      <c r="ASX1" t="s">
        <v>2218</v>
      </c>
      <c r="ASY1" t="s">
        <v>2219</v>
      </c>
      <c r="ASZ1" t="s">
        <v>2220</v>
      </c>
      <c r="ATA1" t="s">
        <v>2221</v>
      </c>
      <c r="ATB1" t="s">
        <v>2222</v>
      </c>
      <c r="ATC1" t="s">
        <v>2223</v>
      </c>
      <c r="ATD1" t="s">
        <v>2224</v>
      </c>
      <c r="ATE1" t="s">
        <v>2225</v>
      </c>
      <c r="ATF1" t="s">
        <v>2226</v>
      </c>
      <c r="ATG1" t="s">
        <v>2227</v>
      </c>
      <c r="ATH1" t="s">
        <v>2228</v>
      </c>
      <c r="ATI1" t="s">
        <v>2229</v>
      </c>
      <c r="ATJ1" t="s">
        <v>2230</v>
      </c>
      <c r="ATK1" t="s">
        <v>2231</v>
      </c>
      <c r="ATL1" t="s">
        <v>2232</v>
      </c>
      <c r="ATM1" t="s">
        <v>2233</v>
      </c>
      <c r="ATN1" t="s">
        <v>2234</v>
      </c>
      <c r="ATO1" t="s">
        <v>2235</v>
      </c>
      <c r="ATP1" t="s">
        <v>2236</v>
      </c>
      <c r="ATQ1" t="s">
        <v>2237</v>
      </c>
      <c r="ATR1" t="s">
        <v>2238</v>
      </c>
      <c r="ATS1" t="s">
        <v>2239</v>
      </c>
      <c r="ATT1" t="s">
        <v>2240</v>
      </c>
      <c r="ATU1" t="s">
        <v>2241</v>
      </c>
      <c r="ATV1" t="s">
        <v>2242</v>
      </c>
      <c r="ATW1" t="s">
        <v>2243</v>
      </c>
      <c r="ATX1" t="s">
        <v>2244</v>
      </c>
      <c r="ATY1" t="s">
        <v>2245</v>
      </c>
      <c r="ATZ1" t="s">
        <v>2246</v>
      </c>
      <c r="AUA1" t="s">
        <v>2247</v>
      </c>
      <c r="AUB1" t="s">
        <v>2248</v>
      </c>
      <c r="AUC1" t="s">
        <v>2249</v>
      </c>
      <c r="AUD1" t="s">
        <v>2250</v>
      </c>
      <c r="AUE1" t="s">
        <v>2251</v>
      </c>
      <c r="AUF1" t="s">
        <v>2252</v>
      </c>
      <c r="AUG1" t="s">
        <v>2253</v>
      </c>
      <c r="AUH1" t="s">
        <v>2254</v>
      </c>
      <c r="AUI1" t="s">
        <v>2255</v>
      </c>
      <c r="AUJ1" t="s">
        <v>2256</v>
      </c>
      <c r="AUK1" t="s">
        <v>2257</v>
      </c>
      <c r="AUL1" t="s">
        <v>2258</v>
      </c>
      <c r="AUM1" t="s">
        <v>2259</v>
      </c>
      <c r="AUN1" t="s">
        <v>2260</v>
      </c>
      <c r="AUO1" t="s">
        <v>2261</v>
      </c>
      <c r="AUP1" t="s">
        <v>2262</v>
      </c>
      <c r="AUQ1" t="s">
        <v>2263</v>
      </c>
      <c r="AUR1" t="s">
        <v>2264</v>
      </c>
      <c r="AUS1" t="s">
        <v>2265</v>
      </c>
      <c r="AUT1" t="s">
        <v>2266</v>
      </c>
      <c r="AUU1" t="s">
        <v>2267</v>
      </c>
      <c r="AUV1" t="s">
        <v>2268</v>
      </c>
      <c r="AUW1" t="s">
        <v>2269</v>
      </c>
      <c r="AUX1" t="s">
        <v>2270</v>
      </c>
      <c r="AUY1" t="s">
        <v>2271</v>
      </c>
      <c r="AUZ1" t="s">
        <v>2272</v>
      </c>
      <c r="AVA1" t="s">
        <v>2273</v>
      </c>
      <c r="AVB1" t="s">
        <v>2274</v>
      </c>
      <c r="AVC1" t="s">
        <v>2275</v>
      </c>
      <c r="AVD1" t="s">
        <v>2276</v>
      </c>
      <c r="AVE1" t="s">
        <v>2277</v>
      </c>
      <c r="AVF1" t="s">
        <v>2278</v>
      </c>
      <c r="AVG1" t="s">
        <v>2279</v>
      </c>
      <c r="AVH1" t="s">
        <v>2280</v>
      </c>
      <c r="AVI1" t="s">
        <v>2281</v>
      </c>
      <c r="AVJ1" t="s">
        <v>2282</v>
      </c>
      <c r="AVK1" t="s">
        <v>2283</v>
      </c>
      <c r="AVL1" t="s">
        <v>2284</v>
      </c>
      <c r="AVM1" t="s">
        <v>2285</v>
      </c>
      <c r="AVN1" t="s">
        <v>2286</v>
      </c>
      <c r="AVO1" t="s">
        <v>2287</v>
      </c>
      <c r="AVP1" t="s">
        <v>2288</v>
      </c>
      <c r="AVQ1" t="s">
        <v>2289</v>
      </c>
      <c r="AVR1" t="s">
        <v>2290</v>
      </c>
      <c r="AVS1" t="s">
        <v>2291</v>
      </c>
      <c r="AVT1" t="s">
        <v>2292</v>
      </c>
      <c r="AVU1" t="s">
        <v>2293</v>
      </c>
      <c r="AVV1" t="s">
        <v>2294</v>
      </c>
      <c r="AVW1" t="s">
        <v>2295</v>
      </c>
      <c r="AVX1" t="s">
        <v>2296</v>
      </c>
      <c r="AVY1" t="s">
        <v>2297</v>
      </c>
      <c r="AVZ1" t="s">
        <v>2298</v>
      </c>
      <c r="AWA1" t="s">
        <v>2299</v>
      </c>
      <c r="AWB1" t="s">
        <v>2300</v>
      </c>
      <c r="AWC1" t="s">
        <v>2301</v>
      </c>
      <c r="AWD1" t="s">
        <v>2302</v>
      </c>
      <c r="AWE1" t="s">
        <v>2303</v>
      </c>
      <c r="AWF1" t="s">
        <v>2304</v>
      </c>
      <c r="AWG1" t="s">
        <v>2305</v>
      </c>
      <c r="AWH1" t="s">
        <v>2306</v>
      </c>
      <c r="AWI1" t="s">
        <v>2307</v>
      </c>
      <c r="AWJ1" t="s">
        <v>2308</v>
      </c>
      <c r="AWK1" t="s">
        <v>2309</v>
      </c>
      <c r="AWL1" t="s">
        <v>2310</v>
      </c>
      <c r="AWM1" t="s">
        <v>2311</v>
      </c>
      <c r="AWN1" t="s">
        <v>2312</v>
      </c>
      <c r="AWO1" t="s">
        <v>2313</v>
      </c>
      <c r="AWP1" t="s">
        <v>2314</v>
      </c>
      <c r="AWQ1" t="s">
        <v>2315</v>
      </c>
      <c r="AWR1" t="s">
        <v>2316</v>
      </c>
      <c r="AWS1" t="s">
        <v>2317</v>
      </c>
      <c r="AWT1" t="s">
        <v>2318</v>
      </c>
      <c r="AWU1" t="s">
        <v>2319</v>
      </c>
      <c r="AWV1" t="s">
        <v>2320</v>
      </c>
      <c r="AWW1" t="s">
        <v>2321</v>
      </c>
      <c r="AWX1" t="s">
        <v>2322</v>
      </c>
      <c r="AWY1" t="s">
        <v>2323</v>
      </c>
      <c r="AWZ1" t="s">
        <v>2324</v>
      </c>
      <c r="AXA1" t="s">
        <v>2325</v>
      </c>
      <c r="AXB1" t="s">
        <v>2326</v>
      </c>
      <c r="AXC1" t="s">
        <v>2327</v>
      </c>
      <c r="AXD1" t="s">
        <v>2328</v>
      </c>
      <c r="AXE1" t="s">
        <v>2329</v>
      </c>
      <c r="AXF1" t="s">
        <v>2330</v>
      </c>
      <c r="AXG1" t="s">
        <v>2331</v>
      </c>
      <c r="AXH1" t="s">
        <v>2332</v>
      </c>
      <c r="AXI1" t="s">
        <v>2333</v>
      </c>
      <c r="AXJ1" t="s">
        <v>2334</v>
      </c>
      <c r="AXK1" t="s">
        <v>2335</v>
      </c>
      <c r="AXL1" t="s">
        <v>2336</v>
      </c>
      <c r="AXM1" t="s">
        <v>2337</v>
      </c>
      <c r="AXN1" t="s">
        <v>2338</v>
      </c>
      <c r="AXO1" t="s">
        <v>2339</v>
      </c>
      <c r="AXP1" t="s">
        <v>2340</v>
      </c>
      <c r="AXQ1" t="s">
        <v>2341</v>
      </c>
      <c r="AXR1" t="s">
        <v>2342</v>
      </c>
      <c r="AXS1" t="s">
        <v>2343</v>
      </c>
      <c r="AXT1" t="s">
        <v>2344</v>
      </c>
      <c r="AXU1" t="s">
        <v>2345</v>
      </c>
      <c r="AXV1" t="s">
        <v>2346</v>
      </c>
      <c r="AXW1" t="s">
        <v>2347</v>
      </c>
      <c r="AXX1" t="s">
        <v>2348</v>
      </c>
      <c r="AXY1" t="s">
        <v>2349</v>
      </c>
      <c r="AXZ1" t="s">
        <v>2350</v>
      </c>
      <c r="AYA1" t="s">
        <v>2351</v>
      </c>
      <c r="AYB1" t="s">
        <v>2352</v>
      </c>
      <c r="AYC1" t="s">
        <v>2353</v>
      </c>
      <c r="AYD1" t="s">
        <v>2354</v>
      </c>
      <c r="AYE1" t="s">
        <v>2355</v>
      </c>
      <c r="AYF1" t="s">
        <v>2356</v>
      </c>
      <c r="AYG1" t="s">
        <v>2357</v>
      </c>
      <c r="AYH1" t="s">
        <v>2358</v>
      </c>
      <c r="AYI1" t="s">
        <v>2359</v>
      </c>
      <c r="AYJ1" t="s">
        <v>2360</v>
      </c>
      <c r="AYK1" t="s">
        <v>2361</v>
      </c>
      <c r="AYL1" t="s">
        <v>2362</v>
      </c>
      <c r="AYM1" t="s">
        <v>2363</v>
      </c>
      <c r="AYN1" t="s">
        <v>2364</v>
      </c>
      <c r="AYO1" t="s">
        <v>2365</v>
      </c>
      <c r="AYP1" t="s">
        <v>2366</v>
      </c>
      <c r="AYQ1" t="s">
        <v>2367</v>
      </c>
      <c r="AYR1" t="s">
        <v>2368</v>
      </c>
      <c r="AYS1" t="s">
        <v>2369</v>
      </c>
      <c r="AYT1" t="s">
        <v>2370</v>
      </c>
      <c r="AYU1" t="s">
        <v>2371</v>
      </c>
      <c r="AYV1" t="s">
        <v>2372</v>
      </c>
      <c r="AYW1" t="s">
        <v>2373</v>
      </c>
      <c r="AYX1" t="s">
        <v>2374</v>
      </c>
      <c r="AYY1" t="s">
        <v>2375</v>
      </c>
      <c r="AYZ1" t="s">
        <v>2376</v>
      </c>
      <c r="AZA1" t="s">
        <v>2377</v>
      </c>
      <c r="AZB1" t="s">
        <v>2378</v>
      </c>
      <c r="AZC1" t="s">
        <v>2379</v>
      </c>
      <c r="AZD1" t="s">
        <v>2380</v>
      </c>
      <c r="AZE1" t="s">
        <v>2381</v>
      </c>
      <c r="AZF1" t="s">
        <v>2382</v>
      </c>
      <c r="AZG1" t="s">
        <v>2383</v>
      </c>
      <c r="AZH1" t="s">
        <v>2384</v>
      </c>
      <c r="AZI1" t="s">
        <v>2385</v>
      </c>
      <c r="AZJ1" t="s">
        <v>2386</v>
      </c>
      <c r="AZK1" t="s">
        <v>2387</v>
      </c>
      <c r="AZL1" t="s">
        <v>2388</v>
      </c>
      <c r="AZM1" t="s">
        <v>2389</v>
      </c>
      <c r="AZN1" t="s">
        <v>2390</v>
      </c>
      <c r="AZO1" t="s">
        <v>2391</v>
      </c>
      <c r="AZP1" t="s">
        <v>2392</v>
      </c>
      <c r="AZQ1" t="s">
        <v>2393</v>
      </c>
      <c r="AZR1" t="s">
        <v>2394</v>
      </c>
      <c r="AZS1" t="s">
        <v>2395</v>
      </c>
      <c r="AZT1" t="s">
        <v>2396</v>
      </c>
      <c r="AZU1" t="s">
        <v>2397</v>
      </c>
      <c r="AZV1" t="s">
        <v>2398</v>
      </c>
      <c r="AZW1" t="s">
        <v>2399</v>
      </c>
      <c r="AZX1" t="s">
        <v>2400</v>
      </c>
      <c r="AZY1" t="s">
        <v>2401</v>
      </c>
      <c r="AZZ1" t="s">
        <v>2402</v>
      </c>
      <c r="BAA1" t="s">
        <v>2403</v>
      </c>
      <c r="BAB1" t="s">
        <v>2404</v>
      </c>
      <c r="BAC1" t="s">
        <v>2405</v>
      </c>
      <c r="BAD1" t="s">
        <v>2406</v>
      </c>
      <c r="BAE1" t="s">
        <v>2407</v>
      </c>
      <c r="BAF1" t="s">
        <v>2408</v>
      </c>
      <c r="BAG1" t="s">
        <v>2409</v>
      </c>
      <c r="BAH1" t="s">
        <v>2410</v>
      </c>
      <c r="BAI1" t="s">
        <v>2411</v>
      </c>
      <c r="BAJ1" t="s">
        <v>2412</v>
      </c>
      <c r="BAK1" t="s">
        <v>2413</v>
      </c>
      <c r="BAL1" t="s">
        <v>2414</v>
      </c>
      <c r="BAM1" t="s">
        <v>2415</v>
      </c>
      <c r="BAN1" t="s">
        <v>2416</v>
      </c>
      <c r="BAO1" t="s">
        <v>2417</v>
      </c>
      <c r="BAP1" t="s">
        <v>2418</v>
      </c>
      <c r="BAQ1" t="s">
        <v>2419</v>
      </c>
      <c r="BAR1" t="s">
        <v>2420</v>
      </c>
      <c r="BAS1" t="s">
        <v>2421</v>
      </c>
      <c r="BAT1" t="s">
        <v>2422</v>
      </c>
      <c r="BAU1" t="s">
        <v>2423</v>
      </c>
      <c r="BAV1" t="s">
        <v>2424</v>
      </c>
      <c r="BAW1" t="s">
        <v>2425</v>
      </c>
      <c r="BAX1" t="s">
        <v>2426</v>
      </c>
      <c r="BAY1" t="s">
        <v>2427</v>
      </c>
      <c r="BAZ1" t="s">
        <v>2428</v>
      </c>
      <c r="BBA1" t="s">
        <v>2429</v>
      </c>
      <c r="BBB1" t="s">
        <v>2430</v>
      </c>
      <c r="BBC1" t="s">
        <v>2431</v>
      </c>
      <c r="BBD1" t="s">
        <v>2432</v>
      </c>
      <c r="BBE1" t="s">
        <v>2433</v>
      </c>
      <c r="BBF1" t="s">
        <v>2434</v>
      </c>
      <c r="BBG1" t="s">
        <v>2435</v>
      </c>
      <c r="BBH1" t="s">
        <v>2436</v>
      </c>
      <c r="BBI1" t="s">
        <v>2437</v>
      </c>
      <c r="BBJ1" t="s">
        <v>2438</v>
      </c>
      <c r="BBK1" t="s">
        <v>2439</v>
      </c>
      <c r="BBL1" t="s">
        <v>2440</v>
      </c>
      <c r="BBM1" t="s">
        <v>2441</v>
      </c>
      <c r="BBN1" t="s">
        <v>2442</v>
      </c>
      <c r="BBO1" t="s">
        <v>2443</v>
      </c>
      <c r="BBP1" t="s">
        <v>2444</v>
      </c>
      <c r="BBQ1" t="s">
        <v>2445</v>
      </c>
      <c r="BBR1" t="s">
        <v>2446</v>
      </c>
      <c r="BBS1" t="s">
        <v>2447</v>
      </c>
      <c r="BBT1" t="s">
        <v>2448</v>
      </c>
      <c r="BBU1" t="s">
        <v>2449</v>
      </c>
      <c r="BBV1" t="s">
        <v>2450</v>
      </c>
      <c r="BBW1" t="s">
        <v>2451</v>
      </c>
      <c r="BBX1" t="s">
        <v>2452</v>
      </c>
      <c r="BBY1" t="s">
        <v>2453</v>
      </c>
      <c r="BBZ1" t="s">
        <v>2454</v>
      </c>
      <c r="BCA1" t="s">
        <v>2455</v>
      </c>
      <c r="BCB1" t="s">
        <v>2456</v>
      </c>
      <c r="BCC1" t="s">
        <v>2457</v>
      </c>
      <c r="BCD1" t="s">
        <v>2458</v>
      </c>
      <c r="BCE1" t="s">
        <v>2459</v>
      </c>
      <c r="BCF1" t="s">
        <v>2460</v>
      </c>
      <c r="BCG1" t="s">
        <v>2461</v>
      </c>
      <c r="BCH1" t="s">
        <v>2462</v>
      </c>
      <c r="BCI1" t="s">
        <v>2463</v>
      </c>
      <c r="BCJ1" t="s">
        <v>2464</v>
      </c>
      <c r="BCK1" t="s">
        <v>2465</v>
      </c>
      <c r="BCL1" t="s">
        <v>2466</v>
      </c>
      <c r="BCM1" t="s">
        <v>2467</v>
      </c>
      <c r="BCN1" t="s">
        <v>2468</v>
      </c>
      <c r="BCO1" t="s">
        <v>2469</v>
      </c>
      <c r="BCP1" t="s">
        <v>2470</v>
      </c>
      <c r="BCQ1" t="s">
        <v>2471</v>
      </c>
      <c r="BCR1" t="s">
        <v>2472</v>
      </c>
      <c r="BCS1" t="s">
        <v>2473</v>
      </c>
      <c r="BCT1" t="s">
        <v>2474</v>
      </c>
      <c r="BCU1" t="s">
        <v>2475</v>
      </c>
      <c r="BCV1" t="s">
        <v>2476</v>
      </c>
      <c r="BCW1" t="s">
        <v>2477</v>
      </c>
      <c r="BCX1" t="s">
        <v>2478</v>
      </c>
      <c r="BCY1" t="s">
        <v>2479</v>
      </c>
      <c r="BCZ1" t="s">
        <v>2480</v>
      </c>
      <c r="BDA1" t="s">
        <v>2481</v>
      </c>
      <c r="BDB1" t="s">
        <v>2482</v>
      </c>
      <c r="BDC1" t="s">
        <v>2483</v>
      </c>
      <c r="BDD1" t="s">
        <v>2484</v>
      </c>
      <c r="BDE1" t="s">
        <v>2485</v>
      </c>
      <c r="BDF1" t="s">
        <v>2486</v>
      </c>
      <c r="BDG1" t="s">
        <v>2487</v>
      </c>
      <c r="BDH1" t="s">
        <v>2488</v>
      </c>
      <c r="BDI1" t="s">
        <v>2489</v>
      </c>
      <c r="BDJ1" t="s">
        <v>2490</v>
      </c>
      <c r="BDK1" t="s">
        <v>2491</v>
      </c>
      <c r="BDL1" t="s">
        <v>2492</v>
      </c>
      <c r="BDM1" t="s">
        <v>2493</v>
      </c>
      <c r="BDN1" t="s">
        <v>2494</v>
      </c>
      <c r="BDO1" t="s">
        <v>2495</v>
      </c>
      <c r="BDP1" t="s">
        <v>2496</v>
      </c>
      <c r="BDQ1" t="s">
        <v>2497</v>
      </c>
      <c r="BDR1" t="s">
        <v>2498</v>
      </c>
      <c r="BDS1" t="s">
        <v>2499</v>
      </c>
      <c r="BDT1" t="s">
        <v>2500</v>
      </c>
      <c r="BDU1" t="s">
        <v>2501</v>
      </c>
      <c r="BDV1" t="s">
        <v>2502</v>
      </c>
      <c r="BDW1" t="s">
        <v>2503</v>
      </c>
      <c r="BDX1" t="s">
        <v>2504</v>
      </c>
      <c r="BDY1" t="s">
        <v>2505</v>
      </c>
      <c r="BDZ1" t="s">
        <v>2506</v>
      </c>
      <c r="BEA1" t="s">
        <v>2507</v>
      </c>
      <c r="BEB1" t="s">
        <v>2508</v>
      </c>
      <c r="BEC1" t="s">
        <v>2509</v>
      </c>
      <c r="BED1" t="s">
        <v>2510</v>
      </c>
      <c r="BEE1" t="s">
        <v>2511</v>
      </c>
      <c r="BEF1" t="s">
        <v>2512</v>
      </c>
      <c r="BEG1" t="s">
        <v>2513</v>
      </c>
      <c r="BEH1" t="s">
        <v>2514</v>
      </c>
      <c r="BEI1" t="s">
        <v>2515</v>
      </c>
      <c r="BEJ1" t="s">
        <v>2516</v>
      </c>
      <c r="BEK1" t="s">
        <v>2517</v>
      </c>
      <c r="BEL1" t="s">
        <v>2518</v>
      </c>
      <c r="BEM1" t="s">
        <v>2519</v>
      </c>
      <c r="BEN1" t="s">
        <v>2520</v>
      </c>
      <c r="BEO1" t="s">
        <v>2521</v>
      </c>
      <c r="BEP1" t="s">
        <v>2522</v>
      </c>
      <c r="BEQ1" t="s">
        <v>2523</v>
      </c>
      <c r="BER1" t="s">
        <v>2524</v>
      </c>
      <c r="BES1" t="s">
        <v>2525</v>
      </c>
      <c r="BET1" t="s">
        <v>2526</v>
      </c>
      <c r="BEU1" t="s">
        <v>2527</v>
      </c>
      <c r="BEV1" t="s">
        <v>2528</v>
      </c>
      <c r="BEW1" t="s">
        <v>2529</v>
      </c>
      <c r="BEX1" t="s">
        <v>2530</v>
      </c>
      <c r="BEY1" t="s">
        <v>2531</v>
      </c>
      <c r="BEZ1" t="s">
        <v>2532</v>
      </c>
      <c r="BFA1" t="s">
        <v>2533</v>
      </c>
      <c r="BFB1" t="s">
        <v>2534</v>
      </c>
      <c r="BFC1" t="s">
        <v>2535</v>
      </c>
      <c r="BFD1" t="s">
        <v>2536</v>
      </c>
      <c r="BFE1" t="s">
        <v>2537</v>
      </c>
      <c r="BFF1" t="s">
        <v>2538</v>
      </c>
      <c r="BFG1" t="s">
        <v>2539</v>
      </c>
      <c r="BFH1" t="s">
        <v>2540</v>
      </c>
      <c r="BFI1" t="s">
        <v>2541</v>
      </c>
      <c r="BFJ1" t="s">
        <v>2542</v>
      </c>
      <c r="BFK1" t="s">
        <v>2543</v>
      </c>
      <c r="BFL1" t="s">
        <v>2544</v>
      </c>
      <c r="BFM1" t="s">
        <v>2545</v>
      </c>
      <c r="BFN1" t="s">
        <v>2546</v>
      </c>
      <c r="BFO1" t="s">
        <v>2547</v>
      </c>
      <c r="BFP1" t="s">
        <v>2548</v>
      </c>
      <c r="BFQ1" t="s">
        <v>2549</v>
      </c>
      <c r="BFR1" t="s">
        <v>2550</v>
      </c>
      <c r="BFS1" t="s">
        <v>2551</v>
      </c>
      <c r="BFT1" t="s">
        <v>2552</v>
      </c>
      <c r="BFU1" t="s">
        <v>2553</v>
      </c>
      <c r="BFV1" t="s">
        <v>2554</v>
      </c>
      <c r="BFW1" t="s">
        <v>2555</v>
      </c>
      <c r="BFX1" t="s">
        <v>2556</v>
      </c>
      <c r="BFY1" t="s">
        <v>2557</v>
      </c>
      <c r="BFZ1" t="s">
        <v>2558</v>
      </c>
      <c r="BGA1" t="s">
        <v>2559</v>
      </c>
      <c r="BGB1" t="s">
        <v>2560</v>
      </c>
      <c r="BGC1" t="s">
        <v>2561</v>
      </c>
      <c r="BGD1" t="s">
        <v>2562</v>
      </c>
      <c r="BGE1" t="s">
        <v>2563</v>
      </c>
      <c r="BGF1" t="s">
        <v>2564</v>
      </c>
      <c r="BGG1" t="s">
        <v>2565</v>
      </c>
      <c r="BGH1" t="s">
        <v>2566</v>
      </c>
      <c r="BGI1" t="s">
        <v>2567</v>
      </c>
      <c r="BGJ1" t="s">
        <v>2568</v>
      </c>
      <c r="BGK1" t="s">
        <v>2569</v>
      </c>
      <c r="BGL1" t="s">
        <v>2570</v>
      </c>
      <c r="BGM1" t="s">
        <v>2571</v>
      </c>
      <c r="BGN1" t="s">
        <v>2572</v>
      </c>
      <c r="BGO1" t="s">
        <v>2573</v>
      </c>
      <c r="BGP1" t="s">
        <v>2574</v>
      </c>
      <c r="BGQ1" t="s">
        <v>2575</v>
      </c>
      <c r="BGR1" t="s">
        <v>2576</v>
      </c>
      <c r="BGS1" t="s">
        <v>2577</v>
      </c>
      <c r="BGT1" t="s">
        <v>2578</v>
      </c>
      <c r="BGU1" t="s">
        <v>2579</v>
      </c>
      <c r="BGV1" t="s">
        <v>2580</v>
      </c>
      <c r="BGW1" t="s">
        <v>2581</v>
      </c>
      <c r="BGX1" t="s">
        <v>2582</v>
      </c>
      <c r="BGY1" t="s">
        <v>2583</v>
      </c>
      <c r="BGZ1" t="s">
        <v>2584</v>
      </c>
      <c r="BHA1" t="s">
        <v>2585</v>
      </c>
      <c r="BHB1" t="s">
        <v>2586</v>
      </c>
      <c r="BHC1" t="s">
        <v>2587</v>
      </c>
      <c r="BHD1" t="s">
        <v>2588</v>
      </c>
      <c r="BHE1" t="s">
        <v>2589</v>
      </c>
      <c r="BHF1" t="s">
        <v>2590</v>
      </c>
      <c r="BHG1" t="s">
        <v>2591</v>
      </c>
      <c r="BHH1" t="s">
        <v>2592</v>
      </c>
      <c r="BHI1" t="s">
        <v>2593</v>
      </c>
      <c r="BHJ1" t="s">
        <v>2594</v>
      </c>
      <c r="BHK1" t="s">
        <v>2595</v>
      </c>
      <c r="BHL1" t="s">
        <v>2596</v>
      </c>
      <c r="BHM1" t="s">
        <v>2597</v>
      </c>
      <c r="BHN1" t="s">
        <v>2598</v>
      </c>
      <c r="BHO1" t="s">
        <v>2599</v>
      </c>
      <c r="BHP1" t="s">
        <v>2600</v>
      </c>
      <c r="BHQ1" t="s">
        <v>2601</v>
      </c>
      <c r="BHR1" t="s">
        <v>2602</v>
      </c>
      <c r="BHS1" t="s">
        <v>2603</v>
      </c>
      <c r="BHT1" t="s">
        <v>2604</v>
      </c>
      <c r="BHU1" t="s">
        <v>2605</v>
      </c>
      <c r="BHV1" t="s">
        <v>2606</v>
      </c>
      <c r="BHW1" t="s">
        <v>2607</v>
      </c>
      <c r="BHX1" t="s">
        <v>2608</v>
      </c>
      <c r="BHY1" t="s">
        <v>2609</v>
      </c>
      <c r="BHZ1" t="s">
        <v>2610</v>
      </c>
      <c r="BIA1" t="s">
        <v>2611</v>
      </c>
      <c r="BIB1" t="s">
        <v>2612</v>
      </c>
      <c r="BIC1" t="s">
        <v>2613</v>
      </c>
      <c r="BID1" t="s">
        <v>2614</v>
      </c>
      <c r="BIE1" t="s">
        <v>2615</v>
      </c>
      <c r="BIF1" t="s">
        <v>2616</v>
      </c>
      <c r="BIG1" t="s">
        <v>2617</v>
      </c>
      <c r="BIH1" t="s">
        <v>2618</v>
      </c>
      <c r="BII1" t="s">
        <v>2619</v>
      </c>
      <c r="BIJ1" t="s">
        <v>2620</v>
      </c>
      <c r="BIK1" t="s">
        <v>2621</v>
      </c>
      <c r="BIL1" t="s">
        <v>2622</v>
      </c>
      <c r="BIM1" t="s">
        <v>2623</v>
      </c>
      <c r="BIN1" t="s">
        <v>2624</v>
      </c>
      <c r="BIO1" t="s">
        <v>2625</v>
      </c>
      <c r="BIP1" t="s">
        <v>2626</v>
      </c>
      <c r="BIQ1" t="s">
        <v>2627</v>
      </c>
      <c r="BIR1" t="s">
        <v>2628</v>
      </c>
      <c r="BIS1" t="s">
        <v>2629</v>
      </c>
      <c r="BIT1" t="s">
        <v>2630</v>
      </c>
      <c r="BIU1" t="s">
        <v>2631</v>
      </c>
      <c r="BIV1" t="s">
        <v>2632</v>
      </c>
      <c r="BIW1" t="s">
        <v>2633</v>
      </c>
      <c r="BIX1" t="s">
        <v>2634</v>
      </c>
      <c r="BIY1" t="s">
        <v>2635</v>
      </c>
      <c r="BIZ1" t="s">
        <v>2636</v>
      </c>
      <c r="BJA1" t="s">
        <v>2637</v>
      </c>
      <c r="BJB1" t="s">
        <v>2638</v>
      </c>
      <c r="BJC1" t="s">
        <v>2639</v>
      </c>
      <c r="BJD1" t="s">
        <v>2640</v>
      </c>
      <c r="BJE1" t="s">
        <v>2641</v>
      </c>
      <c r="BJF1" t="s">
        <v>2642</v>
      </c>
      <c r="BJG1" t="s">
        <v>2643</v>
      </c>
      <c r="BJH1" t="s">
        <v>2644</v>
      </c>
      <c r="BJI1" t="s">
        <v>2645</v>
      </c>
      <c r="BJJ1" t="s">
        <v>2646</v>
      </c>
      <c r="BJK1" t="s">
        <v>2647</v>
      </c>
      <c r="BJL1" t="s">
        <v>2648</v>
      </c>
      <c r="BJM1" t="s">
        <v>2649</v>
      </c>
      <c r="BJN1" t="s">
        <v>2650</v>
      </c>
      <c r="BJO1" t="s">
        <v>2651</v>
      </c>
      <c r="BJP1" t="s">
        <v>2652</v>
      </c>
      <c r="BJQ1" t="s">
        <v>2653</v>
      </c>
      <c r="BJR1" t="s">
        <v>2654</v>
      </c>
      <c r="BJS1" t="s">
        <v>2655</v>
      </c>
      <c r="BJT1" t="s">
        <v>2656</v>
      </c>
      <c r="BJU1" t="s">
        <v>2657</v>
      </c>
      <c r="BJV1" t="s">
        <v>2658</v>
      </c>
      <c r="BJW1" t="s">
        <v>2659</v>
      </c>
      <c r="BJX1" t="s">
        <v>2660</v>
      </c>
      <c r="BJY1" t="s">
        <v>2661</v>
      </c>
      <c r="BJZ1" t="s">
        <v>2662</v>
      </c>
      <c r="BKA1" t="s">
        <v>2663</v>
      </c>
      <c r="BKB1" t="s">
        <v>2664</v>
      </c>
      <c r="BKC1" t="s">
        <v>2665</v>
      </c>
      <c r="BKD1" t="s">
        <v>2666</v>
      </c>
      <c r="BKE1" t="s">
        <v>2667</v>
      </c>
      <c r="BKF1" t="s">
        <v>2668</v>
      </c>
      <c r="BKG1" t="s">
        <v>2669</v>
      </c>
      <c r="BKH1" t="s">
        <v>2670</v>
      </c>
      <c r="BKI1" t="s">
        <v>2671</v>
      </c>
      <c r="BKJ1" t="s">
        <v>2672</v>
      </c>
      <c r="BKK1" t="s">
        <v>2673</v>
      </c>
      <c r="BKL1" t="s">
        <v>2674</v>
      </c>
      <c r="BKM1" t="s">
        <v>2675</v>
      </c>
      <c r="BKN1" t="s">
        <v>2676</v>
      </c>
      <c r="BKO1" t="s">
        <v>2677</v>
      </c>
      <c r="BKP1" t="s">
        <v>2678</v>
      </c>
      <c r="BKQ1" t="s">
        <v>2679</v>
      </c>
      <c r="BKR1" t="s">
        <v>2680</v>
      </c>
      <c r="BKS1" t="s">
        <v>2681</v>
      </c>
      <c r="BKT1" t="s">
        <v>2682</v>
      </c>
      <c r="BKU1" t="s">
        <v>2683</v>
      </c>
      <c r="BKV1" t="s">
        <v>2684</v>
      </c>
      <c r="BKW1" t="s">
        <v>2685</v>
      </c>
      <c r="BKX1" t="s">
        <v>2686</v>
      </c>
      <c r="BKY1" t="s">
        <v>2687</v>
      </c>
      <c r="BKZ1" t="s">
        <v>2688</v>
      </c>
      <c r="BLA1" t="s">
        <v>2689</v>
      </c>
      <c r="BLB1" t="s">
        <v>2690</v>
      </c>
      <c r="BLC1" t="s">
        <v>2691</v>
      </c>
      <c r="BLD1" t="s">
        <v>2692</v>
      </c>
      <c r="BLE1" t="s">
        <v>2693</v>
      </c>
      <c r="BLF1" t="s">
        <v>2694</v>
      </c>
      <c r="BLG1" t="s">
        <v>2695</v>
      </c>
      <c r="BLH1" t="s">
        <v>2696</v>
      </c>
      <c r="BLI1" t="s">
        <v>2697</v>
      </c>
      <c r="BLJ1" t="s">
        <v>2698</v>
      </c>
      <c r="BLK1" t="s">
        <v>2699</v>
      </c>
      <c r="BLL1" t="s">
        <v>2700</v>
      </c>
      <c r="BLM1" t="s">
        <v>2701</v>
      </c>
      <c r="BLN1" t="s">
        <v>2702</v>
      </c>
      <c r="BLO1" t="s">
        <v>2703</v>
      </c>
      <c r="BLP1" t="s">
        <v>2704</v>
      </c>
      <c r="BLQ1" t="s">
        <v>2705</v>
      </c>
      <c r="BLR1" t="s">
        <v>2706</v>
      </c>
      <c r="BLS1" t="s">
        <v>2707</v>
      </c>
      <c r="BLT1" t="s">
        <v>2708</v>
      </c>
      <c r="BLU1" t="s">
        <v>2709</v>
      </c>
      <c r="BLV1" t="s">
        <v>2710</v>
      </c>
      <c r="BLW1" t="s">
        <v>2711</v>
      </c>
      <c r="BLX1" t="s">
        <v>2712</v>
      </c>
      <c r="BLY1" t="s">
        <v>2713</v>
      </c>
      <c r="BLZ1" t="s">
        <v>2714</v>
      </c>
      <c r="BMA1" t="s">
        <v>2715</v>
      </c>
      <c r="BMB1" t="s">
        <v>2716</v>
      </c>
      <c r="BMC1" t="s">
        <v>2717</v>
      </c>
      <c r="BMD1" t="s">
        <v>2718</v>
      </c>
      <c r="BME1" t="s">
        <v>2719</v>
      </c>
      <c r="BMF1" t="s">
        <v>2720</v>
      </c>
      <c r="BMG1" t="s">
        <v>2721</v>
      </c>
      <c r="BMH1" t="s">
        <v>2722</v>
      </c>
      <c r="BMI1" t="s">
        <v>2723</v>
      </c>
      <c r="BMJ1" t="s">
        <v>2724</v>
      </c>
      <c r="BMK1" t="s">
        <v>2725</v>
      </c>
      <c r="BML1" t="s">
        <v>2726</v>
      </c>
      <c r="BMM1" t="s">
        <v>2727</v>
      </c>
      <c r="BMN1" t="s">
        <v>2728</v>
      </c>
      <c r="BMO1" t="s">
        <v>2729</v>
      </c>
      <c r="BMP1" t="s">
        <v>2730</v>
      </c>
      <c r="BMQ1" t="s">
        <v>2731</v>
      </c>
      <c r="BMR1" t="s">
        <v>2732</v>
      </c>
      <c r="BMS1" t="s">
        <v>2733</v>
      </c>
      <c r="BMT1" t="s">
        <v>2734</v>
      </c>
      <c r="BMU1" t="s">
        <v>2735</v>
      </c>
      <c r="BMV1" t="s">
        <v>2736</v>
      </c>
      <c r="BMW1" t="s">
        <v>2737</v>
      </c>
      <c r="BMX1" t="s">
        <v>2738</v>
      </c>
      <c r="BMY1" t="s">
        <v>2739</v>
      </c>
      <c r="BMZ1" t="s">
        <v>2740</v>
      </c>
      <c r="BNA1" t="s">
        <v>2741</v>
      </c>
      <c r="BNB1" t="s">
        <v>2742</v>
      </c>
      <c r="BNC1" t="s">
        <v>2743</v>
      </c>
      <c r="BND1" t="s">
        <v>2744</v>
      </c>
      <c r="BNE1" t="s">
        <v>2745</v>
      </c>
      <c r="BNF1" t="s">
        <v>2746</v>
      </c>
      <c r="BNG1" t="s">
        <v>2747</v>
      </c>
      <c r="BNH1" t="s">
        <v>2748</v>
      </c>
      <c r="BNI1" t="s">
        <v>2749</v>
      </c>
      <c r="BNJ1" t="s">
        <v>2750</v>
      </c>
      <c r="BNK1" t="s">
        <v>2751</v>
      </c>
      <c r="BNL1" t="s">
        <v>2752</v>
      </c>
      <c r="BNM1" t="s">
        <v>2753</v>
      </c>
      <c r="BNN1" t="s">
        <v>2754</v>
      </c>
      <c r="BNO1" t="s">
        <v>2755</v>
      </c>
      <c r="BNP1" t="s">
        <v>2756</v>
      </c>
      <c r="BNQ1" t="s">
        <v>2757</v>
      </c>
      <c r="BNR1" t="s">
        <v>2758</v>
      </c>
      <c r="BNS1" t="s">
        <v>2759</v>
      </c>
      <c r="BNT1" t="s">
        <v>2760</v>
      </c>
      <c r="BNU1" t="s">
        <v>2761</v>
      </c>
      <c r="BNV1" t="s">
        <v>2762</v>
      </c>
      <c r="BNW1" t="s">
        <v>2763</v>
      </c>
      <c r="BNX1" t="s">
        <v>2764</v>
      </c>
      <c r="BNY1" t="s">
        <v>2765</v>
      </c>
      <c r="BNZ1" t="s">
        <v>2766</v>
      </c>
      <c r="BOA1" t="s">
        <v>2767</v>
      </c>
      <c r="BOB1" t="s">
        <v>2768</v>
      </c>
      <c r="BOC1" t="s">
        <v>2769</v>
      </c>
      <c r="BOD1" t="s">
        <v>2770</v>
      </c>
      <c r="BOE1" t="s">
        <v>2771</v>
      </c>
      <c r="BOF1" t="s">
        <v>2772</v>
      </c>
      <c r="BOG1" t="s">
        <v>2773</v>
      </c>
      <c r="BOH1" t="s">
        <v>2774</v>
      </c>
      <c r="BOI1" t="s">
        <v>2775</v>
      </c>
      <c r="BOJ1" t="s">
        <v>2776</v>
      </c>
      <c r="BOK1" t="s">
        <v>2777</v>
      </c>
      <c r="BOL1" t="s">
        <v>2778</v>
      </c>
      <c r="BOM1" t="s">
        <v>2779</v>
      </c>
      <c r="BON1" t="s">
        <v>2780</v>
      </c>
      <c r="BOO1" t="s">
        <v>2781</v>
      </c>
      <c r="BOP1" t="s">
        <v>2782</v>
      </c>
      <c r="BOQ1" t="s">
        <v>2783</v>
      </c>
      <c r="BOR1" t="s">
        <v>2784</v>
      </c>
      <c r="BOS1" t="s">
        <v>2785</v>
      </c>
      <c r="BOT1" t="s">
        <v>2786</v>
      </c>
      <c r="BOU1" t="s">
        <v>2787</v>
      </c>
      <c r="BOV1" t="s">
        <v>2788</v>
      </c>
      <c r="BOW1" t="s">
        <v>2789</v>
      </c>
      <c r="BOX1" t="s">
        <v>2790</v>
      </c>
      <c r="BOY1" t="s">
        <v>2791</v>
      </c>
      <c r="BOZ1" t="s">
        <v>2792</v>
      </c>
      <c r="BPA1" t="s">
        <v>2793</v>
      </c>
      <c r="BPB1" t="s">
        <v>2794</v>
      </c>
      <c r="BPC1" t="s">
        <v>2795</v>
      </c>
      <c r="BPD1" t="s">
        <v>2796</v>
      </c>
      <c r="BPE1" t="s">
        <v>2797</v>
      </c>
      <c r="BPF1" t="s">
        <v>2798</v>
      </c>
      <c r="BPG1" t="s">
        <v>2799</v>
      </c>
      <c r="BPH1" t="s">
        <v>2800</v>
      </c>
      <c r="BPI1" t="s">
        <v>2801</v>
      </c>
      <c r="BPJ1" t="s">
        <v>2802</v>
      </c>
      <c r="BPK1" t="s">
        <v>2803</v>
      </c>
      <c r="BPL1" t="s">
        <v>2804</v>
      </c>
      <c r="BPM1" t="s">
        <v>2805</v>
      </c>
      <c r="BPN1" t="s">
        <v>2806</v>
      </c>
      <c r="BPO1" t="s">
        <v>2807</v>
      </c>
      <c r="BPP1" t="s">
        <v>2808</v>
      </c>
      <c r="BPQ1" t="s">
        <v>2809</v>
      </c>
      <c r="BPR1" t="s">
        <v>2810</v>
      </c>
      <c r="BPS1" t="s">
        <v>2811</v>
      </c>
      <c r="BPT1" t="s">
        <v>2812</v>
      </c>
      <c r="BPU1" t="s">
        <v>2813</v>
      </c>
      <c r="BPV1" t="s">
        <v>2814</v>
      </c>
      <c r="BPW1" t="s">
        <v>2815</v>
      </c>
      <c r="BPX1" t="s">
        <v>2816</v>
      </c>
      <c r="BPY1" t="s">
        <v>2817</v>
      </c>
      <c r="BPZ1" t="s">
        <v>2818</v>
      </c>
      <c r="BQA1" t="s">
        <v>2819</v>
      </c>
      <c r="BQB1" t="s">
        <v>2820</v>
      </c>
      <c r="BQC1" t="s">
        <v>2821</v>
      </c>
      <c r="BQD1" t="s">
        <v>2822</v>
      </c>
      <c r="BQE1" t="s">
        <v>2823</v>
      </c>
      <c r="BQF1" t="s">
        <v>2824</v>
      </c>
      <c r="BQG1" t="s">
        <v>2825</v>
      </c>
      <c r="BQH1" t="s">
        <v>2826</v>
      </c>
      <c r="BQI1" t="s">
        <v>2827</v>
      </c>
      <c r="BQJ1" t="s">
        <v>2828</v>
      </c>
      <c r="BQK1" t="s">
        <v>2829</v>
      </c>
      <c r="BQL1" t="s">
        <v>2830</v>
      </c>
      <c r="BQM1" t="s">
        <v>2831</v>
      </c>
      <c r="BQN1" t="s">
        <v>2832</v>
      </c>
      <c r="BQO1" t="s">
        <v>2833</v>
      </c>
      <c r="BQP1" t="s">
        <v>2834</v>
      </c>
      <c r="BQQ1" t="s">
        <v>2835</v>
      </c>
      <c r="BQR1" t="s">
        <v>2836</v>
      </c>
      <c r="BQS1" t="s">
        <v>2837</v>
      </c>
      <c r="BQT1" t="s">
        <v>2838</v>
      </c>
      <c r="BQU1" t="s">
        <v>2839</v>
      </c>
      <c r="BQV1" t="s">
        <v>2840</v>
      </c>
      <c r="BQW1" t="s">
        <v>2841</v>
      </c>
      <c r="BQX1" t="s">
        <v>2842</v>
      </c>
      <c r="BQY1" t="s">
        <v>2843</v>
      </c>
      <c r="BQZ1" t="s">
        <v>2844</v>
      </c>
      <c r="BRA1" t="s">
        <v>2845</v>
      </c>
      <c r="BRB1" t="s">
        <v>2846</v>
      </c>
      <c r="BRC1" t="s">
        <v>2847</v>
      </c>
      <c r="BRD1" t="s">
        <v>2848</v>
      </c>
      <c r="BRE1" t="s">
        <v>2849</v>
      </c>
      <c r="BRF1" t="s">
        <v>2850</v>
      </c>
      <c r="BRG1" t="s">
        <v>2851</v>
      </c>
      <c r="BRH1" t="s">
        <v>2852</v>
      </c>
      <c r="BRI1" t="s">
        <v>2853</v>
      </c>
      <c r="BRJ1" t="s">
        <v>2854</v>
      </c>
      <c r="BRK1" t="s">
        <v>2855</v>
      </c>
      <c r="BRL1" t="s">
        <v>2856</v>
      </c>
      <c r="BRM1" t="s">
        <v>2857</v>
      </c>
      <c r="BRN1" t="s">
        <v>2858</v>
      </c>
      <c r="BRO1" t="s">
        <v>2859</v>
      </c>
      <c r="BRP1" t="s">
        <v>2860</v>
      </c>
      <c r="BRQ1" t="s">
        <v>2861</v>
      </c>
      <c r="BRR1" t="s">
        <v>2862</v>
      </c>
      <c r="BRS1" t="s">
        <v>2863</v>
      </c>
      <c r="BRT1" t="s">
        <v>2864</v>
      </c>
      <c r="BRU1" t="s">
        <v>2865</v>
      </c>
      <c r="BRV1" t="s">
        <v>2866</v>
      </c>
      <c r="BRW1" t="s">
        <v>2867</v>
      </c>
      <c r="BRX1" t="s">
        <v>2868</v>
      </c>
      <c r="BRY1" t="s">
        <v>2869</v>
      </c>
      <c r="BRZ1" t="s">
        <v>2870</v>
      </c>
      <c r="BSA1" t="s">
        <v>2871</v>
      </c>
      <c r="BSB1" t="s">
        <v>2872</v>
      </c>
      <c r="BSC1" t="s">
        <v>2873</v>
      </c>
      <c r="BSD1" t="s">
        <v>2874</v>
      </c>
      <c r="BSE1" t="s">
        <v>2875</v>
      </c>
      <c r="BSF1" t="s">
        <v>2876</v>
      </c>
      <c r="BSG1" t="s">
        <v>2877</v>
      </c>
      <c r="BSH1" t="s">
        <v>2878</v>
      </c>
      <c r="BSI1" t="s">
        <v>2879</v>
      </c>
      <c r="BSJ1" t="s">
        <v>2880</v>
      </c>
      <c r="BSK1" t="s">
        <v>2881</v>
      </c>
      <c r="BSL1" t="s">
        <v>2882</v>
      </c>
      <c r="BSM1" t="s">
        <v>2883</v>
      </c>
      <c r="BSN1" t="s">
        <v>2884</v>
      </c>
      <c r="BSO1" t="s">
        <v>2885</v>
      </c>
      <c r="BSP1" t="s">
        <v>2886</v>
      </c>
      <c r="BSQ1" t="s">
        <v>2887</v>
      </c>
      <c r="BSR1" t="s">
        <v>2888</v>
      </c>
      <c r="BSS1" t="s">
        <v>2889</v>
      </c>
      <c r="BST1" t="s">
        <v>2890</v>
      </c>
      <c r="BSU1" t="s">
        <v>2891</v>
      </c>
      <c r="BSV1" t="s">
        <v>2892</v>
      </c>
      <c r="BSW1" t="s">
        <v>2893</v>
      </c>
      <c r="BSX1" t="s">
        <v>2894</v>
      </c>
      <c r="BSY1" t="s">
        <v>2895</v>
      </c>
      <c r="BSZ1" t="s">
        <v>2896</v>
      </c>
      <c r="BTA1" t="s">
        <v>2897</v>
      </c>
      <c r="BTB1" t="s">
        <v>2898</v>
      </c>
      <c r="BTC1" t="s">
        <v>2899</v>
      </c>
      <c r="BTD1" t="s">
        <v>2900</v>
      </c>
      <c r="BTE1" t="s">
        <v>2901</v>
      </c>
      <c r="BTF1" t="s">
        <v>2902</v>
      </c>
      <c r="BTG1" t="s">
        <v>2903</v>
      </c>
      <c r="BTH1" t="s">
        <v>2904</v>
      </c>
      <c r="BTI1" t="s">
        <v>2905</v>
      </c>
      <c r="BTJ1" t="s">
        <v>2906</v>
      </c>
      <c r="BTK1" t="s">
        <v>2907</v>
      </c>
      <c r="BTL1" t="s">
        <v>2908</v>
      </c>
      <c r="BTM1" t="s">
        <v>2909</v>
      </c>
      <c r="BTN1" t="s">
        <v>2910</v>
      </c>
      <c r="BTO1" t="s">
        <v>2911</v>
      </c>
      <c r="BTP1" t="s">
        <v>2912</v>
      </c>
      <c r="BTQ1" t="s">
        <v>2913</v>
      </c>
      <c r="BTR1" t="s">
        <v>2914</v>
      </c>
      <c r="BTS1" t="s">
        <v>2915</v>
      </c>
      <c r="BTT1" t="s">
        <v>2916</v>
      </c>
      <c r="BTU1" t="s">
        <v>2917</v>
      </c>
      <c r="BTV1" t="s">
        <v>2918</v>
      </c>
      <c r="BTW1" t="s">
        <v>2919</v>
      </c>
      <c r="BTX1" t="s">
        <v>2920</v>
      </c>
      <c r="BTY1" t="s">
        <v>2921</v>
      </c>
      <c r="BTZ1" t="s">
        <v>2922</v>
      </c>
      <c r="BUA1" t="s">
        <v>2923</v>
      </c>
      <c r="BUB1" t="s">
        <v>2924</v>
      </c>
      <c r="BUC1" t="s">
        <v>2925</v>
      </c>
      <c r="BUD1" t="s">
        <v>2926</v>
      </c>
      <c r="BUE1" t="s">
        <v>2927</v>
      </c>
      <c r="BUF1" t="s">
        <v>2928</v>
      </c>
      <c r="BUG1" t="s">
        <v>2929</v>
      </c>
      <c r="BUH1" t="s">
        <v>2930</v>
      </c>
      <c r="BUI1" t="s">
        <v>2931</v>
      </c>
      <c r="BUJ1" t="s">
        <v>2932</v>
      </c>
      <c r="BUK1" t="s">
        <v>2933</v>
      </c>
      <c r="BUL1" t="s">
        <v>2934</v>
      </c>
      <c r="BUM1" t="s">
        <v>2935</v>
      </c>
      <c r="BUN1" t="s">
        <v>2936</v>
      </c>
      <c r="BUO1" t="s">
        <v>2937</v>
      </c>
      <c r="BUP1" t="s">
        <v>2938</v>
      </c>
      <c r="BUQ1" t="s">
        <v>2939</v>
      </c>
      <c r="BUR1" t="s">
        <v>2940</v>
      </c>
      <c r="BUS1" t="s">
        <v>2941</v>
      </c>
      <c r="BUT1" t="s">
        <v>2942</v>
      </c>
      <c r="BUU1" t="s">
        <v>2943</v>
      </c>
      <c r="BUV1" t="s">
        <v>2944</v>
      </c>
      <c r="BUW1" t="s">
        <v>2945</v>
      </c>
      <c r="BUX1" t="s">
        <v>2946</v>
      </c>
      <c r="BUY1" t="s">
        <v>2947</v>
      </c>
      <c r="BUZ1" t="s">
        <v>2948</v>
      </c>
      <c r="BVA1" t="s">
        <v>2949</v>
      </c>
      <c r="BVB1" t="s">
        <v>2950</v>
      </c>
      <c r="BVC1" t="s">
        <v>2951</v>
      </c>
      <c r="BVD1" t="s">
        <v>2952</v>
      </c>
      <c r="BVE1" t="s">
        <v>2953</v>
      </c>
      <c r="BVF1" t="s">
        <v>2954</v>
      </c>
      <c r="BVG1" t="s">
        <v>2955</v>
      </c>
      <c r="BVH1" t="s">
        <v>2956</v>
      </c>
      <c r="BVI1" t="s">
        <v>2957</v>
      </c>
      <c r="BVJ1" t="s">
        <v>2958</v>
      </c>
      <c r="BVK1" t="s">
        <v>2959</v>
      </c>
      <c r="BVL1" t="s">
        <v>2960</v>
      </c>
      <c r="BVM1" t="s">
        <v>2961</v>
      </c>
      <c r="BVN1" t="s">
        <v>2962</v>
      </c>
      <c r="BVO1" t="s">
        <v>2963</v>
      </c>
      <c r="BVP1" t="s">
        <v>2964</v>
      </c>
      <c r="BVQ1" t="s">
        <v>2965</v>
      </c>
      <c r="BVR1" t="s">
        <v>2966</v>
      </c>
      <c r="BVS1" t="s">
        <v>2967</v>
      </c>
      <c r="BVT1" t="s">
        <v>2968</v>
      </c>
      <c r="BVU1" t="s">
        <v>2969</v>
      </c>
      <c r="BVV1" t="s">
        <v>2970</v>
      </c>
      <c r="BVW1" t="s">
        <v>2971</v>
      </c>
      <c r="BVX1" t="s">
        <v>2972</v>
      </c>
      <c r="BVY1" t="s">
        <v>2973</v>
      </c>
      <c r="BVZ1" t="s">
        <v>2974</v>
      </c>
      <c r="BWA1" t="s">
        <v>2975</v>
      </c>
      <c r="BWB1" t="s">
        <v>2976</v>
      </c>
      <c r="BWC1" t="s">
        <v>2977</v>
      </c>
      <c r="BWD1" t="s">
        <v>2978</v>
      </c>
      <c r="BWE1" t="s">
        <v>2979</v>
      </c>
      <c r="BWF1" t="s">
        <v>2980</v>
      </c>
      <c r="BWG1" t="s">
        <v>2981</v>
      </c>
      <c r="BWH1" t="s">
        <v>2982</v>
      </c>
      <c r="BWI1" t="s">
        <v>2983</v>
      </c>
      <c r="BWJ1" t="s">
        <v>2984</v>
      </c>
      <c r="BWK1" t="s">
        <v>2985</v>
      </c>
      <c r="BWL1" t="s">
        <v>2986</v>
      </c>
      <c r="BWM1" t="s">
        <v>2987</v>
      </c>
      <c r="BWN1" t="s">
        <v>2988</v>
      </c>
      <c r="BWO1" t="s">
        <v>2989</v>
      </c>
      <c r="BWP1" t="s">
        <v>2990</v>
      </c>
      <c r="BWQ1" t="s">
        <v>2991</v>
      </c>
      <c r="BWR1" t="s">
        <v>2992</v>
      </c>
      <c r="BWS1" t="s">
        <v>2993</v>
      </c>
      <c r="BWT1" t="s">
        <v>2994</v>
      </c>
      <c r="BWU1" t="s">
        <v>2995</v>
      </c>
      <c r="BWV1" t="s">
        <v>2996</v>
      </c>
      <c r="BWW1" t="s">
        <v>2997</v>
      </c>
      <c r="BWX1" t="s">
        <v>2998</v>
      </c>
      <c r="BWY1" t="s">
        <v>2999</v>
      </c>
      <c r="BWZ1" t="s">
        <v>3000</v>
      </c>
      <c r="BXA1" t="s">
        <v>3001</v>
      </c>
      <c r="BXB1" t="s">
        <v>3002</v>
      </c>
      <c r="BXC1" t="s">
        <v>3003</v>
      </c>
      <c r="BXD1" t="s">
        <v>3004</v>
      </c>
      <c r="BXE1" t="s">
        <v>3005</v>
      </c>
      <c r="BXF1" t="s">
        <v>3006</v>
      </c>
      <c r="BXG1" t="s">
        <v>3007</v>
      </c>
      <c r="BXH1" t="s">
        <v>3008</v>
      </c>
      <c r="BXI1" t="s">
        <v>3009</v>
      </c>
      <c r="BXJ1" t="s">
        <v>3010</v>
      </c>
      <c r="BXK1" t="s">
        <v>3011</v>
      </c>
      <c r="BXL1" t="s">
        <v>3012</v>
      </c>
      <c r="BXM1" t="s">
        <v>3013</v>
      </c>
      <c r="BXN1" t="s">
        <v>3014</v>
      </c>
      <c r="BXO1" t="s">
        <v>3015</v>
      </c>
      <c r="BXP1" t="s">
        <v>3016</v>
      </c>
      <c r="BXQ1" t="s">
        <v>3017</v>
      </c>
      <c r="BXR1" t="s">
        <v>3018</v>
      </c>
      <c r="BXS1" t="s">
        <v>3019</v>
      </c>
      <c r="BXT1" t="s">
        <v>3020</v>
      </c>
      <c r="BXU1" t="s">
        <v>3021</v>
      </c>
      <c r="BXV1" t="s">
        <v>3022</v>
      </c>
      <c r="BXW1" t="s">
        <v>3023</v>
      </c>
      <c r="BXX1" t="s">
        <v>3024</v>
      </c>
      <c r="BXY1" t="s">
        <v>3025</v>
      </c>
      <c r="BXZ1" t="s">
        <v>3026</v>
      </c>
      <c r="BYA1" t="s">
        <v>3027</v>
      </c>
      <c r="BYB1" t="s">
        <v>3028</v>
      </c>
      <c r="BYC1" t="s">
        <v>3029</v>
      </c>
      <c r="BYD1" t="s">
        <v>3030</v>
      </c>
      <c r="BYE1" t="s">
        <v>3031</v>
      </c>
      <c r="BYF1" t="s">
        <v>3032</v>
      </c>
      <c r="BYG1" t="s">
        <v>3033</v>
      </c>
      <c r="BYH1" t="s">
        <v>3034</v>
      </c>
      <c r="BYI1" t="s">
        <v>3035</v>
      </c>
      <c r="BYJ1" t="s">
        <v>3036</v>
      </c>
      <c r="BYK1" t="s">
        <v>3037</v>
      </c>
      <c r="BYL1" t="s">
        <v>3038</v>
      </c>
      <c r="BYM1" t="s">
        <v>3039</v>
      </c>
      <c r="BYN1" t="s">
        <v>3040</v>
      </c>
      <c r="BYO1" t="s">
        <v>3041</v>
      </c>
      <c r="BYP1" t="s">
        <v>3042</v>
      </c>
      <c r="BYQ1" t="s">
        <v>3043</v>
      </c>
      <c r="BYR1" t="s">
        <v>3044</v>
      </c>
      <c r="BYS1" t="s">
        <v>3045</v>
      </c>
      <c r="BYT1" t="s">
        <v>3046</v>
      </c>
      <c r="BYU1" t="s">
        <v>3047</v>
      </c>
      <c r="BYV1" t="s">
        <v>3048</v>
      </c>
      <c r="BYW1" t="s">
        <v>3049</v>
      </c>
      <c r="BYX1" t="s">
        <v>3050</v>
      </c>
      <c r="BYY1" t="s">
        <v>3051</v>
      </c>
      <c r="BYZ1" t="s">
        <v>3052</v>
      </c>
      <c r="BZA1" t="s">
        <v>3053</v>
      </c>
      <c r="BZB1" t="s">
        <v>3054</v>
      </c>
      <c r="BZC1" t="s">
        <v>3055</v>
      </c>
      <c r="BZD1" t="s">
        <v>3056</v>
      </c>
      <c r="BZE1" t="s">
        <v>3057</v>
      </c>
      <c r="BZF1" t="s">
        <v>3058</v>
      </c>
      <c r="BZG1" t="s">
        <v>3059</v>
      </c>
      <c r="BZH1" t="s">
        <v>3060</v>
      </c>
      <c r="BZI1" t="s">
        <v>3061</v>
      </c>
      <c r="BZJ1" t="s">
        <v>3062</v>
      </c>
      <c r="BZK1" t="s">
        <v>3063</v>
      </c>
      <c r="BZL1" t="s">
        <v>3064</v>
      </c>
      <c r="BZM1" t="s">
        <v>3065</v>
      </c>
      <c r="BZN1" t="s">
        <v>3066</v>
      </c>
      <c r="BZO1" t="s">
        <v>3067</v>
      </c>
      <c r="BZP1" t="s">
        <v>3068</v>
      </c>
      <c r="BZQ1" t="s">
        <v>3069</v>
      </c>
      <c r="BZR1" t="s">
        <v>3070</v>
      </c>
      <c r="BZS1" t="s">
        <v>3071</v>
      </c>
      <c r="BZT1" t="s">
        <v>3072</v>
      </c>
      <c r="BZU1" t="s">
        <v>3073</v>
      </c>
      <c r="BZV1" t="s">
        <v>3074</v>
      </c>
      <c r="BZW1" t="s">
        <v>3075</v>
      </c>
      <c r="BZX1" t="s">
        <v>3076</v>
      </c>
      <c r="BZY1" t="s">
        <v>3077</v>
      </c>
      <c r="BZZ1" t="s">
        <v>3078</v>
      </c>
      <c r="CAA1" t="s">
        <v>3079</v>
      </c>
      <c r="CAB1" t="s">
        <v>3080</v>
      </c>
      <c r="CAC1" t="s">
        <v>3081</v>
      </c>
      <c r="CAD1" t="s">
        <v>3082</v>
      </c>
      <c r="CAE1" t="s">
        <v>3083</v>
      </c>
      <c r="CAF1" t="s">
        <v>3084</v>
      </c>
      <c r="CAG1" t="s">
        <v>3085</v>
      </c>
      <c r="CAH1" t="s">
        <v>3086</v>
      </c>
      <c r="CAI1" t="s">
        <v>3087</v>
      </c>
      <c r="CAJ1" t="s">
        <v>3088</v>
      </c>
      <c r="CAK1" t="s">
        <v>3089</v>
      </c>
      <c r="CAL1" t="s">
        <v>3090</v>
      </c>
      <c r="CAM1" t="s">
        <v>3091</v>
      </c>
      <c r="CAN1" t="s">
        <v>3092</v>
      </c>
      <c r="CAO1" t="s">
        <v>3093</v>
      </c>
      <c r="CAP1" t="s">
        <v>3094</v>
      </c>
      <c r="CAQ1" t="s">
        <v>3095</v>
      </c>
      <c r="CAR1" t="s">
        <v>3096</v>
      </c>
      <c r="CAS1" t="s">
        <v>3097</v>
      </c>
      <c r="CAT1" t="s">
        <v>3098</v>
      </c>
      <c r="CAU1" t="s">
        <v>3099</v>
      </c>
      <c r="CAV1" t="s">
        <v>3100</v>
      </c>
      <c r="CAW1" t="s">
        <v>3101</v>
      </c>
      <c r="CAX1" t="s">
        <v>3102</v>
      </c>
      <c r="CAY1" t="s">
        <v>3103</v>
      </c>
      <c r="CAZ1" t="s">
        <v>3104</v>
      </c>
      <c r="CBA1" t="s">
        <v>3105</v>
      </c>
      <c r="CBB1" t="s">
        <v>3106</v>
      </c>
      <c r="CBC1" t="s">
        <v>3107</v>
      </c>
      <c r="CBD1" t="s">
        <v>3108</v>
      </c>
      <c r="CBE1" t="s">
        <v>3109</v>
      </c>
      <c r="CBF1" t="s">
        <v>3110</v>
      </c>
      <c r="CBG1" t="s">
        <v>3111</v>
      </c>
      <c r="CBH1" t="s">
        <v>3112</v>
      </c>
      <c r="CBI1" t="s">
        <v>3113</v>
      </c>
      <c r="CBJ1" t="s">
        <v>3114</v>
      </c>
      <c r="CBK1" t="s">
        <v>3115</v>
      </c>
      <c r="CBL1" t="s">
        <v>3116</v>
      </c>
      <c r="CBM1" t="s">
        <v>3117</v>
      </c>
      <c r="CBN1" t="s">
        <v>3118</v>
      </c>
      <c r="CBO1" t="s">
        <v>3119</v>
      </c>
      <c r="CBP1" t="s">
        <v>3120</v>
      </c>
      <c r="CBQ1" t="s">
        <v>3121</v>
      </c>
      <c r="CBR1" t="s">
        <v>3122</v>
      </c>
      <c r="CBS1" t="s">
        <v>3123</v>
      </c>
      <c r="CBT1" t="s">
        <v>3124</v>
      </c>
      <c r="CBU1" t="s">
        <v>3125</v>
      </c>
      <c r="CBV1" t="s">
        <v>3126</v>
      </c>
      <c r="CBW1" t="s">
        <v>3127</v>
      </c>
      <c r="CBX1" t="s">
        <v>3128</v>
      </c>
      <c r="CBY1" t="s">
        <v>3129</v>
      </c>
      <c r="CBZ1" t="s">
        <v>3130</v>
      </c>
      <c r="CCA1" t="s">
        <v>3131</v>
      </c>
      <c r="CCB1" t="s">
        <v>3132</v>
      </c>
      <c r="CCC1" t="s">
        <v>3133</v>
      </c>
      <c r="CCD1" t="s">
        <v>3134</v>
      </c>
      <c r="CCE1" t="s">
        <v>3135</v>
      </c>
      <c r="CCF1" t="s">
        <v>3136</v>
      </c>
      <c r="CCG1" t="s">
        <v>3137</v>
      </c>
      <c r="CCH1" t="s">
        <v>3138</v>
      </c>
      <c r="CCI1" t="s">
        <v>3139</v>
      </c>
      <c r="CCJ1" t="s">
        <v>3140</v>
      </c>
      <c r="CCK1" t="s">
        <v>3141</v>
      </c>
      <c r="CCL1" t="s">
        <v>3142</v>
      </c>
      <c r="CCM1" t="s">
        <v>3143</v>
      </c>
      <c r="CCN1" t="s">
        <v>3144</v>
      </c>
      <c r="CCO1" t="s">
        <v>3145</v>
      </c>
      <c r="CCP1" t="s">
        <v>3146</v>
      </c>
      <c r="CCQ1" t="s">
        <v>3147</v>
      </c>
      <c r="CCR1" t="s">
        <v>3148</v>
      </c>
      <c r="CCS1" t="s">
        <v>3149</v>
      </c>
      <c r="CCT1" t="s">
        <v>3150</v>
      </c>
      <c r="CCU1" t="s">
        <v>3151</v>
      </c>
      <c r="CCV1" t="s">
        <v>3152</v>
      </c>
      <c r="CCW1" t="s">
        <v>3153</v>
      </c>
      <c r="CCX1" t="s">
        <v>3154</v>
      </c>
      <c r="CCY1" t="s">
        <v>3155</v>
      </c>
      <c r="CCZ1" t="s">
        <v>3156</v>
      </c>
      <c r="CDA1" t="s">
        <v>3157</v>
      </c>
      <c r="CDB1" t="s">
        <v>3158</v>
      </c>
      <c r="CDC1" t="s">
        <v>3159</v>
      </c>
      <c r="CDD1" t="s">
        <v>3160</v>
      </c>
      <c r="CDE1" t="s">
        <v>3161</v>
      </c>
      <c r="CDF1" t="s">
        <v>3162</v>
      </c>
      <c r="CDG1" t="s">
        <v>3163</v>
      </c>
      <c r="CDH1" t="s">
        <v>3164</v>
      </c>
      <c r="CDI1" t="s">
        <v>3165</v>
      </c>
      <c r="CDJ1" t="s">
        <v>3166</v>
      </c>
      <c r="CDK1" t="s">
        <v>3167</v>
      </c>
      <c r="CDL1" t="s">
        <v>3168</v>
      </c>
      <c r="CDM1" t="s">
        <v>3169</v>
      </c>
      <c r="CDN1" t="s">
        <v>3170</v>
      </c>
      <c r="CDO1" t="s">
        <v>3171</v>
      </c>
      <c r="CDP1" t="s">
        <v>3172</v>
      </c>
      <c r="CDQ1" t="s">
        <v>3173</v>
      </c>
      <c r="CDR1" t="s">
        <v>3174</v>
      </c>
      <c r="CDS1" t="s">
        <v>3175</v>
      </c>
      <c r="CDT1" t="s">
        <v>3176</v>
      </c>
      <c r="CDU1" t="s">
        <v>3177</v>
      </c>
      <c r="CDV1" t="s">
        <v>3178</v>
      </c>
      <c r="CDW1" t="s">
        <v>3179</v>
      </c>
      <c r="CDX1" t="s">
        <v>3180</v>
      </c>
      <c r="CDY1" t="s">
        <v>3181</v>
      </c>
      <c r="CDZ1" t="s">
        <v>3182</v>
      </c>
      <c r="CEA1" t="s">
        <v>3183</v>
      </c>
      <c r="CEB1" t="s">
        <v>3184</v>
      </c>
      <c r="CEC1" t="s">
        <v>3185</v>
      </c>
      <c r="CED1" t="s">
        <v>3186</v>
      </c>
      <c r="CEE1" t="s">
        <v>3187</v>
      </c>
      <c r="CEF1" t="s">
        <v>3188</v>
      </c>
      <c r="CEG1" t="s">
        <v>3189</v>
      </c>
      <c r="CEH1" t="s">
        <v>3190</v>
      </c>
      <c r="CEI1" t="s">
        <v>3191</v>
      </c>
      <c r="CEJ1" t="s">
        <v>3192</v>
      </c>
      <c r="CEK1" t="s">
        <v>3193</v>
      </c>
      <c r="CEL1" t="s">
        <v>3194</v>
      </c>
      <c r="CEM1" t="s">
        <v>3195</v>
      </c>
      <c r="CEN1" t="s">
        <v>3196</v>
      </c>
      <c r="CEO1" t="s">
        <v>3197</v>
      </c>
      <c r="CEP1" t="s">
        <v>3198</v>
      </c>
      <c r="CEQ1" t="s">
        <v>3199</v>
      </c>
      <c r="CER1" t="s">
        <v>3200</v>
      </c>
      <c r="CES1" t="s">
        <v>3201</v>
      </c>
      <c r="CET1" t="s">
        <v>3202</v>
      </c>
      <c r="CEU1" t="s">
        <v>3203</v>
      </c>
      <c r="CEV1" t="s">
        <v>3204</v>
      </c>
      <c r="CEW1" t="s">
        <v>3205</v>
      </c>
      <c r="CEX1" t="s">
        <v>3206</v>
      </c>
      <c r="CEY1" t="s">
        <v>3207</v>
      </c>
      <c r="CEZ1" t="s">
        <v>3208</v>
      </c>
      <c r="CFA1" t="s">
        <v>3209</v>
      </c>
      <c r="CFB1" t="s">
        <v>3210</v>
      </c>
      <c r="CFC1" t="s">
        <v>3211</v>
      </c>
      <c r="CFD1" t="s">
        <v>3212</v>
      </c>
      <c r="CFE1" t="s">
        <v>3213</v>
      </c>
      <c r="CFF1" t="s">
        <v>3214</v>
      </c>
      <c r="CFG1" t="s">
        <v>3215</v>
      </c>
      <c r="CFH1" t="s">
        <v>3216</v>
      </c>
      <c r="CFI1" t="s">
        <v>3217</v>
      </c>
      <c r="CFJ1" t="s">
        <v>3218</v>
      </c>
      <c r="CFK1" t="s">
        <v>3219</v>
      </c>
      <c r="CFL1" t="s">
        <v>3220</v>
      </c>
      <c r="CFM1" t="s">
        <v>3221</v>
      </c>
      <c r="CFN1" t="s">
        <v>3222</v>
      </c>
      <c r="CFO1" t="s">
        <v>3223</v>
      </c>
      <c r="CFP1" t="s">
        <v>3224</v>
      </c>
      <c r="CFQ1" t="s">
        <v>3225</v>
      </c>
      <c r="CFR1" t="s">
        <v>3226</v>
      </c>
      <c r="CFS1" t="s">
        <v>3227</v>
      </c>
      <c r="CFT1" t="s">
        <v>3228</v>
      </c>
      <c r="CFU1" t="s">
        <v>3229</v>
      </c>
      <c r="CFV1" t="s">
        <v>3230</v>
      </c>
      <c r="CFW1" t="s">
        <v>3231</v>
      </c>
      <c r="CFX1" t="s">
        <v>3232</v>
      </c>
      <c r="CFY1" t="s">
        <v>3233</v>
      </c>
      <c r="CFZ1" t="s">
        <v>3234</v>
      </c>
      <c r="CGA1" t="s">
        <v>3235</v>
      </c>
      <c r="CGB1" t="s">
        <v>3236</v>
      </c>
      <c r="CGC1" t="s">
        <v>3237</v>
      </c>
      <c r="CGD1" t="s">
        <v>3238</v>
      </c>
      <c r="CGE1" t="s">
        <v>3239</v>
      </c>
      <c r="CGF1" t="s">
        <v>3240</v>
      </c>
      <c r="CGG1" t="s">
        <v>3241</v>
      </c>
      <c r="CGH1" t="s">
        <v>3242</v>
      </c>
      <c r="CGI1" t="s">
        <v>3243</v>
      </c>
      <c r="CGJ1" t="s">
        <v>3244</v>
      </c>
      <c r="CGK1" t="s">
        <v>3245</v>
      </c>
      <c r="CGL1" t="s">
        <v>3246</v>
      </c>
      <c r="CGM1" t="s">
        <v>3247</v>
      </c>
      <c r="CGN1" t="s">
        <v>3248</v>
      </c>
      <c r="CGO1" t="s">
        <v>3249</v>
      </c>
      <c r="CGP1" t="s">
        <v>3250</v>
      </c>
      <c r="CGQ1" t="s">
        <v>3251</v>
      </c>
      <c r="CGR1" t="s">
        <v>3252</v>
      </c>
      <c r="CGS1" t="s">
        <v>3253</v>
      </c>
      <c r="CGT1" t="s">
        <v>3254</v>
      </c>
      <c r="CGU1" t="s">
        <v>3255</v>
      </c>
      <c r="CGV1" t="s">
        <v>3256</v>
      </c>
      <c r="CGW1" t="s">
        <v>3257</v>
      </c>
      <c r="CGX1" t="s">
        <v>3258</v>
      </c>
      <c r="CGY1" t="s">
        <v>3259</v>
      </c>
      <c r="CGZ1" t="s">
        <v>3260</v>
      </c>
      <c r="CHA1" t="s">
        <v>3261</v>
      </c>
      <c r="CHB1" t="s">
        <v>3262</v>
      </c>
      <c r="CHC1" t="s">
        <v>3263</v>
      </c>
      <c r="CHD1" t="s">
        <v>3264</v>
      </c>
      <c r="CHE1" t="s">
        <v>3265</v>
      </c>
      <c r="CHF1" t="s">
        <v>3266</v>
      </c>
      <c r="CHG1" t="s">
        <v>3267</v>
      </c>
      <c r="CHH1" t="s">
        <v>3268</v>
      </c>
      <c r="CHI1" t="s">
        <v>3269</v>
      </c>
      <c r="CHJ1" t="s">
        <v>3270</v>
      </c>
      <c r="CHK1" t="s">
        <v>3271</v>
      </c>
      <c r="CHL1" t="s">
        <v>3272</v>
      </c>
      <c r="CHM1" t="s">
        <v>3273</v>
      </c>
      <c r="CHN1" t="s">
        <v>3274</v>
      </c>
      <c r="CHO1" t="s">
        <v>3275</v>
      </c>
      <c r="CHP1" t="s">
        <v>3276</v>
      </c>
      <c r="CHQ1" t="s">
        <v>3277</v>
      </c>
      <c r="CHR1" t="s">
        <v>3278</v>
      </c>
      <c r="CHS1" t="s">
        <v>3279</v>
      </c>
      <c r="CHT1" t="s">
        <v>3280</v>
      </c>
      <c r="CHU1" t="s">
        <v>3281</v>
      </c>
      <c r="CHV1" t="s">
        <v>3282</v>
      </c>
      <c r="CHW1" t="s">
        <v>3283</v>
      </c>
      <c r="CHX1" t="s">
        <v>3284</v>
      </c>
      <c r="CHY1" t="s">
        <v>3285</v>
      </c>
      <c r="CHZ1" t="s">
        <v>3286</v>
      </c>
      <c r="CIA1" t="s">
        <v>3287</v>
      </c>
      <c r="CIB1" t="s">
        <v>3288</v>
      </c>
      <c r="CIC1" t="s">
        <v>3289</v>
      </c>
      <c r="CID1" t="s">
        <v>3290</v>
      </c>
      <c r="CIE1" t="s">
        <v>3291</v>
      </c>
      <c r="CIF1" t="s">
        <v>3292</v>
      </c>
      <c r="CIG1" t="s">
        <v>3293</v>
      </c>
      <c r="CIH1" t="s">
        <v>3294</v>
      </c>
      <c r="CII1" t="s">
        <v>3295</v>
      </c>
      <c r="CIJ1" t="s">
        <v>3296</v>
      </c>
      <c r="CIK1" t="s">
        <v>3297</v>
      </c>
      <c r="CIL1" t="s">
        <v>3298</v>
      </c>
      <c r="CIM1" t="s">
        <v>3299</v>
      </c>
      <c r="CIN1" t="s">
        <v>3300</v>
      </c>
      <c r="CIO1" t="s">
        <v>3301</v>
      </c>
      <c r="CIP1" t="s">
        <v>3302</v>
      </c>
      <c r="CIQ1" t="s">
        <v>3303</v>
      </c>
      <c r="CIR1" t="s">
        <v>3304</v>
      </c>
      <c r="CIS1" t="s">
        <v>3305</v>
      </c>
      <c r="CIT1" t="s">
        <v>3306</v>
      </c>
      <c r="CIU1" t="s">
        <v>3307</v>
      </c>
      <c r="CIV1" t="s">
        <v>3308</v>
      </c>
      <c r="CIW1" t="s">
        <v>3309</v>
      </c>
      <c r="CIX1" t="s">
        <v>3310</v>
      </c>
      <c r="CIY1" t="s">
        <v>3311</v>
      </c>
      <c r="CIZ1" t="s">
        <v>3312</v>
      </c>
      <c r="CJA1" t="s">
        <v>3313</v>
      </c>
      <c r="CJB1" t="s">
        <v>3314</v>
      </c>
      <c r="CJC1" t="s">
        <v>3315</v>
      </c>
      <c r="CJD1" t="s">
        <v>3316</v>
      </c>
      <c r="CJE1" t="s">
        <v>3317</v>
      </c>
      <c r="CJF1" t="s">
        <v>3318</v>
      </c>
      <c r="CJG1" t="s">
        <v>3319</v>
      </c>
      <c r="CJH1" t="s">
        <v>3320</v>
      </c>
      <c r="CJI1" t="s">
        <v>3321</v>
      </c>
      <c r="CJJ1" t="s">
        <v>3322</v>
      </c>
      <c r="CJK1" t="s">
        <v>3323</v>
      </c>
      <c r="CJL1" t="s">
        <v>3324</v>
      </c>
      <c r="CJM1" t="s">
        <v>3325</v>
      </c>
      <c r="CJN1" t="s">
        <v>3326</v>
      </c>
      <c r="CJO1" t="s">
        <v>3327</v>
      </c>
      <c r="CJP1" t="s">
        <v>3328</v>
      </c>
      <c r="CJQ1" t="s">
        <v>3329</v>
      </c>
      <c r="CJR1" t="s">
        <v>3330</v>
      </c>
      <c r="CJS1" t="s">
        <v>3331</v>
      </c>
      <c r="CJT1" t="s">
        <v>3332</v>
      </c>
      <c r="CJU1" t="s">
        <v>3333</v>
      </c>
      <c r="CJV1" t="s">
        <v>3334</v>
      </c>
      <c r="CJW1" t="s">
        <v>3335</v>
      </c>
      <c r="CJX1" t="s">
        <v>3336</v>
      </c>
      <c r="CJY1" t="s">
        <v>3337</v>
      </c>
      <c r="CJZ1" t="s">
        <v>3338</v>
      </c>
      <c r="CKA1" t="s">
        <v>3339</v>
      </c>
      <c r="CKB1" t="s">
        <v>3340</v>
      </c>
      <c r="CKC1" t="s">
        <v>3341</v>
      </c>
      <c r="CKD1" t="s">
        <v>3342</v>
      </c>
      <c r="CKE1" t="s">
        <v>3343</v>
      </c>
      <c r="CKF1" t="s">
        <v>3344</v>
      </c>
      <c r="CKG1" t="s">
        <v>3345</v>
      </c>
      <c r="CKH1" t="s">
        <v>3346</v>
      </c>
      <c r="CKI1" t="s">
        <v>3347</v>
      </c>
      <c r="CKJ1" t="s">
        <v>3348</v>
      </c>
      <c r="CKK1" t="s">
        <v>3349</v>
      </c>
      <c r="CKL1" t="s">
        <v>3350</v>
      </c>
      <c r="CKM1" t="s">
        <v>3351</v>
      </c>
      <c r="CKN1" t="s">
        <v>3352</v>
      </c>
      <c r="CKO1" t="s">
        <v>3353</v>
      </c>
      <c r="CKP1" t="s">
        <v>3354</v>
      </c>
      <c r="CKQ1" t="s">
        <v>3355</v>
      </c>
      <c r="CKR1" t="s">
        <v>3356</v>
      </c>
      <c r="CKS1" t="s">
        <v>3357</v>
      </c>
      <c r="CKT1" t="s">
        <v>3358</v>
      </c>
      <c r="CKU1" t="s">
        <v>3359</v>
      </c>
      <c r="CKV1" t="s">
        <v>3360</v>
      </c>
      <c r="CKW1" t="s">
        <v>3361</v>
      </c>
      <c r="CKX1" t="s">
        <v>3362</v>
      </c>
      <c r="CKY1" t="s">
        <v>3363</v>
      </c>
      <c r="CKZ1" t="s">
        <v>3364</v>
      </c>
      <c r="CLA1" t="s">
        <v>3365</v>
      </c>
      <c r="CLB1" t="s">
        <v>3366</v>
      </c>
      <c r="CLC1" t="s">
        <v>3367</v>
      </c>
      <c r="CLD1" t="s">
        <v>3368</v>
      </c>
      <c r="CLE1" t="s">
        <v>3369</v>
      </c>
      <c r="CLF1" t="s">
        <v>3370</v>
      </c>
      <c r="CLG1" t="s">
        <v>3371</v>
      </c>
      <c r="CLH1" t="s">
        <v>3372</v>
      </c>
      <c r="CLI1" t="s">
        <v>3373</v>
      </c>
      <c r="CLJ1" t="s">
        <v>3374</v>
      </c>
      <c r="CLK1" t="s">
        <v>3375</v>
      </c>
      <c r="CLL1" t="s">
        <v>3376</v>
      </c>
      <c r="CLM1" t="s">
        <v>3377</v>
      </c>
      <c r="CLN1" t="s">
        <v>3378</v>
      </c>
      <c r="CLO1" t="s">
        <v>3379</v>
      </c>
      <c r="CLP1" t="s">
        <v>3380</v>
      </c>
      <c r="CLQ1" t="s">
        <v>3381</v>
      </c>
      <c r="CLR1" t="s">
        <v>3382</v>
      </c>
      <c r="CLS1" t="s">
        <v>3383</v>
      </c>
      <c r="CLT1" t="s">
        <v>3384</v>
      </c>
      <c r="CLU1" t="s">
        <v>3385</v>
      </c>
      <c r="CLV1" t="s">
        <v>3386</v>
      </c>
      <c r="CLW1" t="s">
        <v>3387</v>
      </c>
      <c r="CLX1" t="s">
        <v>3388</v>
      </c>
      <c r="CLY1" t="s">
        <v>3389</v>
      </c>
      <c r="CLZ1" t="s">
        <v>3390</v>
      </c>
      <c r="CMA1" t="s">
        <v>3391</v>
      </c>
      <c r="CMB1" t="s">
        <v>3392</v>
      </c>
      <c r="CMC1" t="s">
        <v>3393</v>
      </c>
      <c r="CMD1" t="s">
        <v>3394</v>
      </c>
      <c r="CME1" t="s">
        <v>3395</v>
      </c>
      <c r="CMF1" t="s">
        <v>3396</v>
      </c>
      <c r="CMG1" t="s">
        <v>3397</v>
      </c>
      <c r="CMH1" t="s">
        <v>3398</v>
      </c>
      <c r="CMI1" t="s">
        <v>3399</v>
      </c>
      <c r="CMJ1" t="s">
        <v>3400</v>
      </c>
      <c r="CMK1" t="s">
        <v>3401</v>
      </c>
      <c r="CML1" t="s">
        <v>3402</v>
      </c>
      <c r="CMM1" t="s">
        <v>3403</v>
      </c>
      <c r="CMN1" t="s">
        <v>3404</v>
      </c>
      <c r="CMO1" t="s">
        <v>3405</v>
      </c>
      <c r="CMP1" t="s">
        <v>3406</v>
      </c>
      <c r="CMQ1" t="s">
        <v>3407</v>
      </c>
      <c r="CMR1" t="s">
        <v>3408</v>
      </c>
      <c r="CMS1" t="s">
        <v>3409</v>
      </c>
      <c r="CMT1" t="s">
        <v>3410</v>
      </c>
      <c r="CMU1" t="s">
        <v>3411</v>
      </c>
      <c r="CMV1" t="s">
        <v>3412</v>
      </c>
      <c r="CMW1" t="s">
        <v>3413</v>
      </c>
      <c r="CMX1" t="s">
        <v>3414</v>
      </c>
      <c r="CMY1" t="s">
        <v>3415</v>
      </c>
      <c r="CMZ1" t="s">
        <v>3416</v>
      </c>
      <c r="CNA1" t="s">
        <v>3417</v>
      </c>
      <c r="CNB1" t="s">
        <v>3418</v>
      </c>
      <c r="CNC1" t="s">
        <v>3419</v>
      </c>
      <c r="CND1" t="s">
        <v>3420</v>
      </c>
      <c r="CNE1" t="s">
        <v>3421</v>
      </c>
      <c r="CNF1" t="s">
        <v>3422</v>
      </c>
      <c r="CNG1" t="s">
        <v>3423</v>
      </c>
      <c r="CNH1" t="s">
        <v>3424</v>
      </c>
      <c r="CNI1" t="s">
        <v>3425</v>
      </c>
      <c r="CNJ1" t="s">
        <v>3426</v>
      </c>
      <c r="CNK1" t="s">
        <v>3427</v>
      </c>
      <c r="CNL1" t="s">
        <v>3428</v>
      </c>
      <c r="CNM1" t="s">
        <v>3429</v>
      </c>
      <c r="CNN1" t="s">
        <v>3430</v>
      </c>
      <c r="CNO1" t="s">
        <v>3431</v>
      </c>
      <c r="CNP1" t="s">
        <v>3432</v>
      </c>
      <c r="CNQ1" t="s">
        <v>3433</v>
      </c>
      <c r="CNR1" t="s">
        <v>3434</v>
      </c>
      <c r="CNS1" t="s">
        <v>3435</v>
      </c>
      <c r="CNT1" t="s">
        <v>3436</v>
      </c>
      <c r="CNU1" t="s">
        <v>3437</v>
      </c>
      <c r="CNV1" t="s">
        <v>3438</v>
      </c>
      <c r="CNW1" t="s">
        <v>3439</v>
      </c>
      <c r="CNX1" t="s">
        <v>3440</v>
      </c>
      <c r="CNY1" t="s">
        <v>3441</v>
      </c>
      <c r="CNZ1" t="s">
        <v>3442</v>
      </c>
      <c r="COA1" t="s">
        <v>3443</v>
      </c>
      <c r="COB1" t="s">
        <v>3444</v>
      </c>
      <c r="COC1" t="s">
        <v>3445</v>
      </c>
      <c r="COD1" t="s">
        <v>3446</v>
      </c>
      <c r="COE1" t="s">
        <v>3447</v>
      </c>
      <c r="COF1" t="s">
        <v>3448</v>
      </c>
      <c r="COG1" t="s">
        <v>3449</v>
      </c>
      <c r="COH1" t="s">
        <v>3450</v>
      </c>
      <c r="COI1" t="s">
        <v>3451</v>
      </c>
      <c r="COJ1" t="s">
        <v>3452</v>
      </c>
      <c r="COK1" t="s">
        <v>3453</v>
      </c>
      <c r="COL1" t="s">
        <v>3454</v>
      </c>
      <c r="COM1" t="s">
        <v>3455</v>
      </c>
      <c r="CON1" t="s">
        <v>3456</v>
      </c>
      <c r="COO1" t="s">
        <v>3457</v>
      </c>
      <c r="COP1" t="s">
        <v>3458</v>
      </c>
      <c r="COQ1" t="s">
        <v>3459</v>
      </c>
      <c r="COR1" t="s">
        <v>3460</v>
      </c>
      <c r="COS1" t="s">
        <v>3461</v>
      </c>
      <c r="COT1" t="s">
        <v>3462</v>
      </c>
      <c r="COU1" t="s">
        <v>3463</v>
      </c>
      <c r="COV1" t="s">
        <v>3464</v>
      </c>
      <c r="COW1" t="s">
        <v>3465</v>
      </c>
      <c r="COX1" t="s">
        <v>3466</v>
      </c>
      <c r="COY1" t="s">
        <v>3467</v>
      </c>
      <c r="COZ1" t="s">
        <v>3468</v>
      </c>
      <c r="CPA1" t="s">
        <v>3469</v>
      </c>
      <c r="CPB1" t="s">
        <v>3470</v>
      </c>
      <c r="CPC1" t="s">
        <v>3471</v>
      </c>
      <c r="CPD1" t="s">
        <v>3472</v>
      </c>
      <c r="CPE1" t="s">
        <v>3473</v>
      </c>
      <c r="CPF1" t="s">
        <v>3474</v>
      </c>
      <c r="CPG1" t="s">
        <v>3475</v>
      </c>
      <c r="CPH1" t="s">
        <v>3476</v>
      </c>
      <c r="CPI1" t="s">
        <v>3477</v>
      </c>
      <c r="CPJ1" t="s">
        <v>3478</v>
      </c>
      <c r="CPK1" t="s">
        <v>3479</v>
      </c>
      <c r="CPL1" t="s">
        <v>3480</v>
      </c>
      <c r="CPM1" t="s">
        <v>3481</v>
      </c>
      <c r="CPN1" t="s">
        <v>3482</v>
      </c>
      <c r="CPO1" t="s">
        <v>3483</v>
      </c>
      <c r="CPP1" t="s">
        <v>3484</v>
      </c>
      <c r="CPQ1" t="s">
        <v>3485</v>
      </c>
      <c r="CPR1" t="s">
        <v>3486</v>
      </c>
      <c r="CPS1" t="s">
        <v>3487</v>
      </c>
      <c r="CPT1" t="s">
        <v>3488</v>
      </c>
      <c r="CPU1" t="s">
        <v>3489</v>
      </c>
      <c r="CPV1" t="s">
        <v>3490</v>
      </c>
      <c r="CPW1" t="s">
        <v>3491</v>
      </c>
      <c r="CPX1" t="s">
        <v>3492</v>
      </c>
      <c r="CPY1" t="s">
        <v>3493</v>
      </c>
      <c r="CPZ1" t="s">
        <v>3494</v>
      </c>
      <c r="CQA1" t="s">
        <v>3495</v>
      </c>
      <c r="CQB1" t="s">
        <v>3496</v>
      </c>
      <c r="CQC1" t="s">
        <v>3497</v>
      </c>
      <c r="CQD1" t="s">
        <v>3498</v>
      </c>
      <c r="CQE1" t="s">
        <v>3499</v>
      </c>
      <c r="CQF1" t="s">
        <v>3500</v>
      </c>
      <c r="CQG1" t="s">
        <v>3501</v>
      </c>
      <c r="CQH1" t="s">
        <v>3502</v>
      </c>
      <c r="CQI1" t="s">
        <v>3503</v>
      </c>
      <c r="CQJ1" t="s">
        <v>3504</v>
      </c>
      <c r="CQK1" t="s">
        <v>3505</v>
      </c>
      <c r="CQL1" t="s">
        <v>3506</v>
      </c>
      <c r="CQM1" t="s">
        <v>3507</v>
      </c>
      <c r="CQN1" t="s">
        <v>3508</v>
      </c>
      <c r="CQO1" t="s">
        <v>3509</v>
      </c>
      <c r="CQP1" t="s">
        <v>3510</v>
      </c>
      <c r="CQQ1" t="s">
        <v>3511</v>
      </c>
      <c r="CQR1" t="s">
        <v>3512</v>
      </c>
      <c r="CQS1" t="s">
        <v>3513</v>
      </c>
      <c r="CQT1" t="s">
        <v>3514</v>
      </c>
      <c r="CQU1" t="s">
        <v>3515</v>
      </c>
      <c r="CQV1" t="s">
        <v>3516</v>
      </c>
      <c r="CQW1" t="s">
        <v>3517</v>
      </c>
      <c r="CQX1" t="s">
        <v>3518</v>
      </c>
      <c r="CQY1" t="s">
        <v>3519</v>
      </c>
      <c r="CQZ1" t="s">
        <v>3520</v>
      </c>
      <c r="CRA1" t="s">
        <v>3521</v>
      </c>
      <c r="CRB1" t="s">
        <v>3522</v>
      </c>
      <c r="CRC1" t="s">
        <v>3523</v>
      </c>
      <c r="CRD1" t="s">
        <v>3524</v>
      </c>
      <c r="CRE1" t="s">
        <v>3525</v>
      </c>
      <c r="CRF1" t="s">
        <v>3526</v>
      </c>
      <c r="CRG1" t="s">
        <v>3527</v>
      </c>
      <c r="CRH1" t="s">
        <v>3528</v>
      </c>
      <c r="CRI1" t="s">
        <v>3529</v>
      </c>
      <c r="CRJ1" t="s">
        <v>3530</v>
      </c>
      <c r="CRK1" t="s">
        <v>3531</v>
      </c>
      <c r="CRL1" t="s">
        <v>3532</v>
      </c>
      <c r="CRM1" t="s">
        <v>3533</v>
      </c>
      <c r="CRN1" t="s">
        <v>3534</v>
      </c>
      <c r="CRO1" t="s">
        <v>3535</v>
      </c>
      <c r="CRP1" t="s">
        <v>3536</v>
      </c>
      <c r="CRQ1" t="s">
        <v>3537</v>
      </c>
      <c r="CRR1" t="s">
        <v>3538</v>
      </c>
      <c r="CRS1" t="s">
        <v>3539</v>
      </c>
      <c r="CRT1" t="s">
        <v>3540</v>
      </c>
      <c r="CRU1" t="s">
        <v>3541</v>
      </c>
      <c r="CRV1" t="s">
        <v>3542</v>
      </c>
      <c r="CRW1" t="s">
        <v>3543</v>
      </c>
      <c r="CRX1" t="s">
        <v>3544</v>
      </c>
      <c r="CRY1" t="s">
        <v>3545</v>
      </c>
      <c r="CRZ1" t="s">
        <v>3546</v>
      </c>
      <c r="CSA1" t="s">
        <v>3547</v>
      </c>
      <c r="CSB1" t="s">
        <v>3548</v>
      </c>
      <c r="CSC1" t="s">
        <v>3549</v>
      </c>
      <c r="CSD1" t="s">
        <v>3550</v>
      </c>
      <c r="CSE1" t="s">
        <v>3551</v>
      </c>
      <c r="CSF1" t="s">
        <v>3552</v>
      </c>
      <c r="CSG1" t="s">
        <v>3553</v>
      </c>
      <c r="CSH1" t="s">
        <v>3554</v>
      </c>
      <c r="CSI1" t="s">
        <v>3555</v>
      </c>
      <c r="CSJ1" t="s">
        <v>3556</v>
      </c>
      <c r="CSK1" t="s">
        <v>3557</v>
      </c>
      <c r="CSL1" t="s">
        <v>3558</v>
      </c>
      <c r="CSM1" t="s">
        <v>3559</v>
      </c>
      <c r="CSN1" t="s">
        <v>3560</v>
      </c>
      <c r="CSO1" t="s">
        <v>3561</v>
      </c>
      <c r="CSP1" t="s">
        <v>3562</v>
      </c>
      <c r="CSQ1" t="s">
        <v>3563</v>
      </c>
      <c r="CSR1" t="s">
        <v>3564</v>
      </c>
      <c r="CSS1" t="s">
        <v>3565</v>
      </c>
      <c r="CST1" t="s">
        <v>3566</v>
      </c>
      <c r="CSU1" t="s">
        <v>3567</v>
      </c>
      <c r="CSV1" t="s">
        <v>3568</v>
      </c>
      <c r="CSW1" t="s">
        <v>3569</v>
      </c>
      <c r="CSX1" t="s">
        <v>3570</v>
      </c>
      <c r="CSY1" t="s">
        <v>3571</v>
      </c>
      <c r="CSZ1" t="s">
        <v>3572</v>
      </c>
      <c r="CTA1" t="s">
        <v>3573</v>
      </c>
      <c r="CTB1" t="s">
        <v>3574</v>
      </c>
      <c r="CTC1" t="s">
        <v>3575</v>
      </c>
      <c r="CTD1" t="s">
        <v>3576</v>
      </c>
      <c r="CTE1" t="s">
        <v>3577</v>
      </c>
      <c r="CTF1" t="s">
        <v>3578</v>
      </c>
      <c r="CTG1" t="s">
        <v>3579</v>
      </c>
      <c r="CTH1" t="s">
        <v>3580</v>
      </c>
      <c r="CTI1" t="s">
        <v>3581</v>
      </c>
      <c r="CTJ1" t="s">
        <v>3582</v>
      </c>
      <c r="CTK1" t="s">
        <v>3583</v>
      </c>
      <c r="CTL1" t="s">
        <v>3584</v>
      </c>
      <c r="CTM1" t="s">
        <v>3585</v>
      </c>
      <c r="CTN1" t="s">
        <v>3586</v>
      </c>
      <c r="CTO1" t="s">
        <v>3587</v>
      </c>
      <c r="CTP1" t="s">
        <v>3588</v>
      </c>
      <c r="CTQ1" t="s">
        <v>3589</v>
      </c>
      <c r="CTR1" t="s">
        <v>3590</v>
      </c>
      <c r="CTS1" t="s">
        <v>3591</v>
      </c>
      <c r="CTT1" t="s">
        <v>3592</v>
      </c>
      <c r="CTU1" t="s">
        <v>3593</v>
      </c>
      <c r="CTV1" t="s">
        <v>3594</v>
      </c>
      <c r="CTW1" t="s">
        <v>3595</v>
      </c>
      <c r="CTX1" t="s">
        <v>3596</v>
      </c>
      <c r="CTY1" t="s">
        <v>3597</v>
      </c>
      <c r="CTZ1" t="s">
        <v>3598</v>
      </c>
      <c r="CUA1" t="s">
        <v>3599</v>
      </c>
      <c r="CUB1" t="s">
        <v>3600</v>
      </c>
      <c r="CUC1" t="s">
        <v>3601</v>
      </c>
      <c r="CUD1" t="s">
        <v>3602</v>
      </c>
      <c r="CUE1" t="s">
        <v>3603</v>
      </c>
      <c r="CUF1" t="s">
        <v>3604</v>
      </c>
      <c r="CUG1" t="s">
        <v>3605</v>
      </c>
      <c r="CUH1" t="s">
        <v>3606</v>
      </c>
      <c r="CUI1" t="s">
        <v>3607</v>
      </c>
      <c r="CUJ1" t="s">
        <v>3608</v>
      </c>
      <c r="CUK1" t="s">
        <v>3609</v>
      </c>
      <c r="CUL1" t="s">
        <v>3610</v>
      </c>
      <c r="CUM1" t="s">
        <v>3611</v>
      </c>
      <c r="CUN1" t="s">
        <v>3612</v>
      </c>
      <c r="CUO1" t="s">
        <v>3613</v>
      </c>
      <c r="CUP1" t="s">
        <v>3614</v>
      </c>
      <c r="CUQ1" t="s">
        <v>3615</v>
      </c>
      <c r="CUR1" t="s">
        <v>3616</v>
      </c>
      <c r="CUS1" t="s">
        <v>3617</v>
      </c>
      <c r="CUT1" t="s">
        <v>3618</v>
      </c>
      <c r="CUU1" t="s">
        <v>3619</v>
      </c>
      <c r="CUV1" t="s">
        <v>3620</v>
      </c>
      <c r="CUW1" t="s">
        <v>3621</v>
      </c>
      <c r="CUX1" t="s">
        <v>3622</v>
      </c>
      <c r="CUY1" t="s">
        <v>3623</v>
      </c>
      <c r="CUZ1" t="s">
        <v>3624</v>
      </c>
      <c r="CVA1" t="s">
        <v>3625</v>
      </c>
      <c r="CVB1" t="s">
        <v>3626</v>
      </c>
      <c r="CVC1" t="s">
        <v>3627</v>
      </c>
      <c r="CVD1" t="s">
        <v>3628</v>
      </c>
      <c r="CVE1" t="s">
        <v>3629</v>
      </c>
      <c r="CVF1" t="s">
        <v>3630</v>
      </c>
      <c r="CVG1" t="s">
        <v>3631</v>
      </c>
      <c r="CVH1" t="s">
        <v>3632</v>
      </c>
      <c r="CVI1" t="s">
        <v>3633</v>
      </c>
      <c r="CVJ1" t="s">
        <v>3634</v>
      </c>
      <c r="CVK1" t="s">
        <v>3635</v>
      </c>
      <c r="CVL1" t="s">
        <v>3636</v>
      </c>
      <c r="CVM1" t="s">
        <v>3637</v>
      </c>
      <c r="CVN1" t="s">
        <v>3638</v>
      </c>
      <c r="CVO1" t="s">
        <v>3639</v>
      </c>
      <c r="CVP1" t="s">
        <v>3640</v>
      </c>
      <c r="CVQ1" t="s">
        <v>3641</v>
      </c>
      <c r="CVR1" t="s">
        <v>3642</v>
      </c>
      <c r="CVS1" t="s">
        <v>3643</v>
      </c>
      <c r="CVT1" t="s">
        <v>3644</v>
      </c>
      <c r="CVU1" t="s">
        <v>3645</v>
      </c>
      <c r="CVV1" t="s">
        <v>3646</v>
      </c>
      <c r="CVW1" t="s">
        <v>3647</v>
      </c>
      <c r="CVX1" t="s">
        <v>3648</v>
      </c>
      <c r="CVY1" t="s">
        <v>3649</v>
      </c>
      <c r="CVZ1" t="s">
        <v>3650</v>
      </c>
      <c r="CWA1" t="s">
        <v>3651</v>
      </c>
      <c r="CWB1" t="s">
        <v>3652</v>
      </c>
      <c r="CWC1" t="s">
        <v>3653</v>
      </c>
      <c r="CWD1" t="s">
        <v>3654</v>
      </c>
      <c r="CWE1" t="s">
        <v>3655</v>
      </c>
      <c r="CWF1" t="s">
        <v>3656</v>
      </c>
      <c r="CWG1" t="s">
        <v>3657</v>
      </c>
      <c r="CWH1" t="s">
        <v>3658</v>
      </c>
      <c r="CWI1" t="s">
        <v>3659</v>
      </c>
      <c r="CWJ1" t="s">
        <v>3660</v>
      </c>
      <c r="CWK1" t="s">
        <v>3661</v>
      </c>
      <c r="CWL1" t="s">
        <v>3662</v>
      </c>
      <c r="CWM1" t="s">
        <v>3663</v>
      </c>
      <c r="CWN1" t="s">
        <v>3664</v>
      </c>
      <c r="CWO1" t="s">
        <v>3665</v>
      </c>
      <c r="CWP1" t="s">
        <v>3666</v>
      </c>
      <c r="CWQ1" t="s">
        <v>3667</v>
      </c>
      <c r="CWR1" t="s">
        <v>3668</v>
      </c>
      <c r="CWS1" t="s">
        <v>3669</v>
      </c>
      <c r="CWT1" t="s">
        <v>3670</v>
      </c>
      <c r="CWU1" t="s">
        <v>3671</v>
      </c>
      <c r="CWV1" t="s">
        <v>3672</v>
      </c>
      <c r="CWW1" t="s">
        <v>3673</v>
      </c>
      <c r="CWX1" t="s">
        <v>3674</v>
      </c>
      <c r="CWY1" t="s">
        <v>3675</v>
      </c>
      <c r="CWZ1" t="s">
        <v>3676</v>
      </c>
      <c r="CXA1" t="s">
        <v>3677</v>
      </c>
      <c r="CXB1" t="s">
        <v>3678</v>
      </c>
      <c r="CXC1" t="s">
        <v>3679</v>
      </c>
      <c r="CXD1" t="s">
        <v>3680</v>
      </c>
      <c r="CXE1" t="s">
        <v>3681</v>
      </c>
      <c r="CXF1" t="s">
        <v>3682</v>
      </c>
      <c r="CXG1" t="s">
        <v>3683</v>
      </c>
      <c r="CXH1" t="s">
        <v>3684</v>
      </c>
      <c r="CXI1" t="s">
        <v>3685</v>
      </c>
      <c r="CXJ1" t="s">
        <v>3686</v>
      </c>
      <c r="CXK1" t="s">
        <v>3687</v>
      </c>
      <c r="CXL1" t="s">
        <v>3688</v>
      </c>
      <c r="CXM1" t="s">
        <v>3689</v>
      </c>
      <c r="CXN1" t="s">
        <v>3690</v>
      </c>
      <c r="CXO1" t="s">
        <v>3691</v>
      </c>
      <c r="CXP1" t="s">
        <v>3692</v>
      </c>
      <c r="CXQ1" t="s">
        <v>3693</v>
      </c>
      <c r="CXR1" t="s">
        <v>3694</v>
      </c>
      <c r="CXS1" t="s">
        <v>3695</v>
      </c>
      <c r="CXT1" t="s">
        <v>3696</v>
      </c>
      <c r="CXU1" t="s">
        <v>3697</v>
      </c>
      <c r="CXV1" t="s">
        <v>3698</v>
      </c>
      <c r="CXW1" t="s">
        <v>3699</v>
      </c>
      <c r="CXX1" t="s">
        <v>3700</v>
      </c>
      <c r="CXY1" t="s">
        <v>3701</v>
      </c>
      <c r="CXZ1" t="s">
        <v>3702</v>
      </c>
      <c r="CYA1" t="s">
        <v>3703</v>
      </c>
      <c r="CYB1" t="s">
        <v>3704</v>
      </c>
      <c r="CYC1" t="s">
        <v>3705</v>
      </c>
      <c r="CYD1" t="s">
        <v>3706</v>
      </c>
      <c r="CYE1" t="s">
        <v>3707</v>
      </c>
      <c r="CYF1" t="s">
        <v>3708</v>
      </c>
      <c r="CYG1" t="s">
        <v>3709</v>
      </c>
      <c r="CYH1" t="s">
        <v>3710</v>
      </c>
      <c r="CYI1" t="s">
        <v>3711</v>
      </c>
      <c r="CYJ1" t="s">
        <v>3712</v>
      </c>
      <c r="CYK1" t="s">
        <v>3713</v>
      </c>
      <c r="CYL1" t="s">
        <v>3714</v>
      </c>
      <c r="CYM1" t="s">
        <v>3715</v>
      </c>
      <c r="CYN1" t="s">
        <v>3716</v>
      </c>
      <c r="CYO1" t="s">
        <v>3717</v>
      </c>
      <c r="CYP1" t="s">
        <v>3718</v>
      </c>
      <c r="CYQ1" t="s">
        <v>3719</v>
      </c>
      <c r="CYR1" t="s">
        <v>3720</v>
      </c>
      <c r="CYS1" t="s">
        <v>3721</v>
      </c>
      <c r="CYT1" t="s">
        <v>3722</v>
      </c>
      <c r="CYU1" t="s">
        <v>3723</v>
      </c>
      <c r="CYV1" t="s">
        <v>3724</v>
      </c>
      <c r="CYW1" t="s">
        <v>3725</v>
      </c>
      <c r="CYX1" t="s">
        <v>3726</v>
      </c>
      <c r="CYY1" t="s">
        <v>3727</v>
      </c>
      <c r="CYZ1" t="s">
        <v>3728</v>
      </c>
      <c r="CZA1" t="s">
        <v>3729</v>
      </c>
      <c r="CZB1" t="s">
        <v>3730</v>
      </c>
      <c r="CZC1" t="s">
        <v>3731</v>
      </c>
      <c r="CZD1" t="s">
        <v>3732</v>
      </c>
      <c r="CZE1" t="s">
        <v>3733</v>
      </c>
      <c r="CZF1" t="s">
        <v>3734</v>
      </c>
      <c r="CZG1" t="s">
        <v>3735</v>
      </c>
      <c r="CZH1" t="s">
        <v>3736</v>
      </c>
      <c r="CZI1" t="s">
        <v>3737</v>
      </c>
      <c r="CZJ1" t="s">
        <v>3738</v>
      </c>
      <c r="CZK1" t="s">
        <v>3739</v>
      </c>
      <c r="CZL1" t="s">
        <v>3740</v>
      </c>
      <c r="CZM1" t="s">
        <v>3741</v>
      </c>
      <c r="CZN1" t="s">
        <v>3742</v>
      </c>
      <c r="CZO1" t="s">
        <v>3743</v>
      </c>
      <c r="CZP1" t="s">
        <v>3744</v>
      </c>
      <c r="CZQ1" t="s">
        <v>3745</v>
      </c>
      <c r="CZR1" t="s">
        <v>3746</v>
      </c>
      <c r="CZS1" t="s">
        <v>3747</v>
      </c>
      <c r="CZT1" t="s">
        <v>3748</v>
      </c>
      <c r="CZU1" t="s">
        <v>3749</v>
      </c>
      <c r="CZV1" t="s">
        <v>3750</v>
      </c>
      <c r="CZW1" t="s">
        <v>3751</v>
      </c>
      <c r="CZX1" t="s">
        <v>3752</v>
      </c>
      <c r="CZY1" t="s">
        <v>3753</v>
      </c>
      <c r="CZZ1" t="s">
        <v>3754</v>
      </c>
      <c r="DAA1" t="s">
        <v>3755</v>
      </c>
      <c r="DAB1" t="s">
        <v>3756</v>
      </c>
      <c r="DAC1" t="s">
        <v>3757</v>
      </c>
      <c r="DAD1" t="s">
        <v>3758</v>
      </c>
      <c r="DAE1" t="s">
        <v>3759</v>
      </c>
      <c r="DAF1" t="s">
        <v>3760</v>
      </c>
      <c r="DAG1" t="s">
        <v>3761</v>
      </c>
      <c r="DAH1" t="s">
        <v>3762</v>
      </c>
      <c r="DAI1" t="s">
        <v>3763</v>
      </c>
      <c r="DAJ1" t="s">
        <v>3764</v>
      </c>
      <c r="DAK1" t="s">
        <v>3765</v>
      </c>
      <c r="DAL1" t="s">
        <v>3766</v>
      </c>
      <c r="DAM1" t="s">
        <v>3767</v>
      </c>
      <c r="DAN1" t="s">
        <v>3768</v>
      </c>
      <c r="DAO1" t="s">
        <v>3769</v>
      </c>
      <c r="DAP1" t="s">
        <v>3770</v>
      </c>
      <c r="DAQ1" t="s">
        <v>3771</v>
      </c>
      <c r="DAR1" t="s">
        <v>3772</v>
      </c>
      <c r="DAS1" t="s">
        <v>3773</v>
      </c>
      <c r="DAT1" t="s">
        <v>3774</v>
      </c>
      <c r="DAU1" t="s">
        <v>3775</v>
      </c>
      <c r="DAV1" t="s">
        <v>3776</v>
      </c>
      <c r="DAW1" t="s">
        <v>3777</v>
      </c>
      <c r="DAX1" t="s">
        <v>3778</v>
      </c>
      <c r="DAY1" t="s">
        <v>3779</v>
      </c>
      <c r="DAZ1" t="s">
        <v>3780</v>
      </c>
      <c r="DBA1" t="s">
        <v>3781</v>
      </c>
      <c r="DBB1" t="s">
        <v>3782</v>
      </c>
      <c r="DBC1" t="s">
        <v>3783</v>
      </c>
      <c r="DBD1" t="s">
        <v>3784</v>
      </c>
      <c r="DBE1" t="s">
        <v>3785</v>
      </c>
      <c r="DBF1" t="s">
        <v>3786</v>
      </c>
      <c r="DBG1" t="s">
        <v>3787</v>
      </c>
      <c r="DBH1" t="s">
        <v>3788</v>
      </c>
      <c r="DBI1" t="s">
        <v>3789</v>
      </c>
      <c r="DBJ1" t="s">
        <v>3790</v>
      </c>
      <c r="DBK1" t="s">
        <v>3791</v>
      </c>
      <c r="DBL1" t="s">
        <v>3792</v>
      </c>
      <c r="DBM1" t="s">
        <v>3793</v>
      </c>
      <c r="DBN1" t="s">
        <v>3794</v>
      </c>
      <c r="DBO1" t="s">
        <v>3795</v>
      </c>
      <c r="DBP1" t="s">
        <v>3796</v>
      </c>
      <c r="DBQ1" t="s">
        <v>3797</v>
      </c>
      <c r="DBR1" t="s">
        <v>3798</v>
      </c>
      <c r="DBS1" t="s">
        <v>3799</v>
      </c>
      <c r="DBT1" t="s">
        <v>3800</v>
      </c>
      <c r="DBU1" t="s">
        <v>3801</v>
      </c>
      <c r="DBV1" t="s">
        <v>3802</v>
      </c>
      <c r="DBW1" t="s">
        <v>3803</v>
      </c>
      <c r="DBX1" t="s">
        <v>3804</v>
      </c>
      <c r="DBY1" t="s">
        <v>3805</v>
      </c>
      <c r="DBZ1" t="s">
        <v>3806</v>
      </c>
      <c r="DCA1" t="s">
        <v>3807</v>
      </c>
      <c r="DCB1" t="s">
        <v>3808</v>
      </c>
      <c r="DCC1" t="s">
        <v>3809</v>
      </c>
      <c r="DCD1" t="s">
        <v>3810</v>
      </c>
      <c r="DCE1" t="s">
        <v>3811</v>
      </c>
      <c r="DCF1" t="s">
        <v>3812</v>
      </c>
      <c r="DCG1" t="s">
        <v>3813</v>
      </c>
      <c r="DCH1" t="s">
        <v>3814</v>
      </c>
      <c r="DCI1" t="s">
        <v>3815</v>
      </c>
      <c r="DCJ1" t="s">
        <v>3816</v>
      </c>
      <c r="DCK1" t="s">
        <v>3817</v>
      </c>
      <c r="DCL1" t="s">
        <v>3818</v>
      </c>
      <c r="DCM1" t="s">
        <v>3819</v>
      </c>
      <c r="DCN1" t="s">
        <v>3820</v>
      </c>
      <c r="DCO1" t="s">
        <v>3821</v>
      </c>
      <c r="DCP1" t="s">
        <v>3822</v>
      </c>
      <c r="DCQ1" t="s">
        <v>3823</v>
      </c>
      <c r="DCR1" t="s">
        <v>3824</v>
      </c>
      <c r="DCS1" t="s">
        <v>3825</v>
      </c>
      <c r="DCT1" t="s">
        <v>3826</v>
      </c>
      <c r="DCU1" t="s">
        <v>3827</v>
      </c>
      <c r="DCV1" t="s">
        <v>3828</v>
      </c>
      <c r="DCW1" t="s">
        <v>3829</v>
      </c>
      <c r="DCX1" t="s">
        <v>3830</v>
      </c>
      <c r="DCY1" t="s">
        <v>3831</v>
      </c>
      <c r="DCZ1" t="s">
        <v>3832</v>
      </c>
      <c r="DDA1" t="s">
        <v>3833</v>
      </c>
      <c r="DDB1" t="s">
        <v>3834</v>
      </c>
      <c r="DDC1" t="s">
        <v>3835</v>
      </c>
      <c r="DDD1" t="s">
        <v>3836</v>
      </c>
      <c r="DDE1" t="s">
        <v>3837</v>
      </c>
      <c r="DDF1" t="s">
        <v>3838</v>
      </c>
      <c r="DDG1" t="s">
        <v>3839</v>
      </c>
      <c r="DDH1" t="s">
        <v>3840</v>
      </c>
      <c r="DDI1" t="s">
        <v>3841</v>
      </c>
      <c r="DDJ1" t="s">
        <v>3842</v>
      </c>
      <c r="DDK1" t="s">
        <v>3843</v>
      </c>
      <c r="DDL1" t="s">
        <v>3844</v>
      </c>
      <c r="DDM1" t="s">
        <v>3845</v>
      </c>
      <c r="DDN1" t="s">
        <v>3846</v>
      </c>
      <c r="DDO1" t="s">
        <v>3847</v>
      </c>
      <c r="DDP1" t="s">
        <v>3848</v>
      </c>
      <c r="DDQ1" t="s">
        <v>3849</v>
      </c>
      <c r="DDR1" t="s">
        <v>3850</v>
      </c>
      <c r="DDS1" t="s">
        <v>3851</v>
      </c>
      <c r="DDT1" t="s">
        <v>3852</v>
      </c>
      <c r="DDU1" t="s">
        <v>3853</v>
      </c>
      <c r="DDV1" t="s">
        <v>3854</v>
      </c>
      <c r="DDW1" t="s">
        <v>3855</v>
      </c>
      <c r="DDX1" t="s">
        <v>3856</v>
      </c>
      <c r="DDY1" t="s">
        <v>3857</v>
      </c>
      <c r="DDZ1" t="s">
        <v>3858</v>
      </c>
      <c r="DEA1" t="s">
        <v>3859</v>
      </c>
      <c r="DEB1" t="s">
        <v>3860</v>
      </c>
      <c r="DEC1" t="s">
        <v>3861</v>
      </c>
      <c r="DED1" t="s">
        <v>3862</v>
      </c>
      <c r="DEE1" t="s">
        <v>3863</v>
      </c>
      <c r="DEF1" t="s">
        <v>3864</v>
      </c>
      <c r="DEG1" t="s">
        <v>3865</v>
      </c>
      <c r="DEH1" t="s">
        <v>3866</v>
      </c>
      <c r="DEI1" t="s">
        <v>3867</v>
      </c>
      <c r="DEJ1" t="s">
        <v>3868</v>
      </c>
      <c r="DEK1" t="s">
        <v>3869</v>
      </c>
      <c r="DEL1" t="s">
        <v>3870</v>
      </c>
      <c r="DEM1" t="s">
        <v>3871</v>
      </c>
      <c r="DEN1" t="s">
        <v>3872</v>
      </c>
      <c r="DEO1" t="s">
        <v>3873</v>
      </c>
      <c r="DEP1" t="s">
        <v>3874</v>
      </c>
      <c r="DEQ1" t="s">
        <v>3875</v>
      </c>
      <c r="DER1" t="s">
        <v>3876</v>
      </c>
      <c r="DES1" t="s">
        <v>3877</v>
      </c>
      <c r="DET1" t="s">
        <v>3878</v>
      </c>
      <c r="DEU1" t="s">
        <v>3879</v>
      </c>
      <c r="DEV1" t="s">
        <v>3880</v>
      </c>
      <c r="DEW1" t="s">
        <v>3881</v>
      </c>
      <c r="DEX1" t="s">
        <v>3882</v>
      </c>
      <c r="DEY1" t="s">
        <v>3883</v>
      </c>
      <c r="DEZ1" t="s">
        <v>3884</v>
      </c>
      <c r="DFA1" t="s">
        <v>3885</v>
      </c>
      <c r="DFB1" t="s">
        <v>3886</v>
      </c>
      <c r="DFC1" t="s">
        <v>3887</v>
      </c>
      <c r="DFD1" t="s">
        <v>3888</v>
      </c>
      <c r="DFE1" t="s">
        <v>3889</v>
      </c>
      <c r="DFF1" t="s">
        <v>3890</v>
      </c>
      <c r="DFG1" t="s">
        <v>3891</v>
      </c>
      <c r="DFH1" t="s">
        <v>3892</v>
      </c>
      <c r="DFI1" t="s">
        <v>3893</v>
      </c>
      <c r="DFJ1" t="s">
        <v>3894</v>
      </c>
      <c r="DFK1" t="s">
        <v>3895</v>
      </c>
      <c r="DFL1" t="s">
        <v>3896</v>
      </c>
      <c r="DFM1" t="s">
        <v>3897</v>
      </c>
      <c r="DFN1" t="s">
        <v>3898</v>
      </c>
      <c r="DFO1" t="s">
        <v>3899</v>
      </c>
      <c r="DFP1" t="s">
        <v>3900</v>
      </c>
      <c r="DFQ1" t="s">
        <v>3901</v>
      </c>
      <c r="DFR1" t="s">
        <v>3902</v>
      </c>
      <c r="DFS1" t="s">
        <v>3903</v>
      </c>
      <c r="DFT1" t="s">
        <v>3904</v>
      </c>
      <c r="DFU1" t="s">
        <v>3905</v>
      </c>
      <c r="DFV1" t="s">
        <v>3906</v>
      </c>
      <c r="DFW1" t="s">
        <v>3907</v>
      </c>
      <c r="DFX1" t="s">
        <v>3908</v>
      </c>
      <c r="DFY1" t="s">
        <v>3909</v>
      </c>
      <c r="DFZ1" t="s">
        <v>3910</v>
      </c>
      <c r="DGA1" t="s">
        <v>3911</v>
      </c>
      <c r="DGB1" t="s">
        <v>3912</v>
      </c>
      <c r="DGC1" t="s">
        <v>3913</v>
      </c>
      <c r="DGD1" t="s">
        <v>3914</v>
      </c>
      <c r="DGE1" t="s">
        <v>3915</v>
      </c>
      <c r="DGF1" t="s">
        <v>3916</v>
      </c>
      <c r="DGG1" t="s">
        <v>3917</v>
      </c>
      <c r="DGH1" t="s">
        <v>3918</v>
      </c>
      <c r="DGI1" t="s">
        <v>3919</v>
      </c>
      <c r="DGJ1" t="s">
        <v>3920</v>
      </c>
      <c r="DGK1" t="s">
        <v>3921</v>
      </c>
      <c r="DGL1" t="s">
        <v>3922</v>
      </c>
      <c r="DGM1" t="s">
        <v>3923</v>
      </c>
      <c r="DGN1" t="s">
        <v>3924</v>
      </c>
      <c r="DGO1" t="s">
        <v>3925</v>
      </c>
      <c r="DGP1" t="s">
        <v>3926</v>
      </c>
      <c r="DGQ1" t="s">
        <v>3927</v>
      </c>
      <c r="DGR1" t="s">
        <v>3928</v>
      </c>
      <c r="DGS1" t="s">
        <v>3929</v>
      </c>
      <c r="DGT1" t="s">
        <v>3930</v>
      </c>
      <c r="DGU1" t="s">
        <v>3931</v>
      </c>
      <c r="DGV1" t="s">
        <v>3932</v>
      </c>
      <c r="DGW1" t="s">
        <v>3933</v>
      </c>
      <c r="DGX1" t="s">
        <v>3934</v>
      </c>
      <c r="DGY1" t="s">
        <v>3935</v>
      </c>
      <c r="DGZ1" t="s">
        <v>3936</v>
      </c>
      <c r="DHA1" t="s">
        <v>3937</v>
      </c>
      <c r="DHB1" t="s">
        <v>3938</v>
      </c>
      <c r="DHC1" t="s">
        <v>3939</v>
      </c>
      <c r="DHD1" t="s">
        <v>3940</v>
      </c>
      <c r="DHE1" t="s">
        <v>3941</v>
      </c>
      <c r="DHF1" t="s">
        <v>3942</v>
      </c>
      <c r="DHG1" t="s">
        <v>3943</v>
      </c>
      <c r="DHH1" t="s">
        <v>3944</v>
      </c>
      <c r="DHI1" t="s">
        <v>3945</v>
      </c>
      <c r="DHJ1" t="s">
        <v>3946</v>
      </c>
      <c r="DHK1" t="s">
        <v>3947</v>
      </c>
      <c r="DHL1" t="s">
        <v>3948</v>
      </c>
      <c r="DHM1" t="s">
        <v>3949</v>
      </c>
      <c r="DHN1" t="s">
        <v>3950</v>
      </c>
      <c r="DHO1" t="s">
        <v>3951</v>
      </c>
      <c r="DHP1" t="s">
        <v>3952</v>
      </c>
      <c r="DHQ1" t="s">
        <v>3953</v>
      </c>
      <c r="DHR1" t="s">
        <v>3954</v>
      </c>
      <c r="DHS1" t="s">
        <v>3955</v>
      </c>
      <c r="DHT1" t="s">
        <v>3956</v>
      </c>
      <c r="DHU1" t="s">
        <v>3957</v>
      </c>
      <c r="DHV1" t="s">
        <v>3958</v>
      </c>
      <c r="DHW1" t="s">
        <v>3959</v>
      </c>
      <c r="DHX1" t="s">
        <v>3960</v>
      </c>
      <c r="DHY1" t="s">
        <v>3961</v>
      </c>
      <c r="DHZ1" t="s">
        <v>3962</v>
      </c>
      <c r="DIA1" t="s">
        <v>3963</v>
      </c>
      <c r="DIB1" t="s">
        <v>3964</v>
      </c>
      <c r="DIC1" t="s">
        <v>3965</v>
      </c>
      <c r="DID1" t="s">
        <v>3966</v>
      </c>
      <c r="DIE1" t="s">
        <v>3967</v>
      </c>
      <c r="DIF1" t="s">
        <v>3968</v>
      </c>
      <c r="DIG1" t="s">
        <v>3969</v>
      </c>
      <c r="DIH1" t="s">
        <v>3970</v>
      </c>
      <c r="DII1" t="s">
        <v>3971</v>
      </c>
      <c r="DIJ1" t="s">
        <v>3972</v>
      </c>
      <c r="DIK1" t="s">
        <v>3973</v>
      </c>
      <c r="DIL1" t="s">
        <v>3974</v>
      </c>
      <c r="DIM1" t="s">
        <v>3975</v>
      </c>
      <c r="DIN1" t="s">
        <v>3976</v>
      </c>
      <c r="DIO1" t="s">
        <v>3977</v>
      </c>
      <c r="DIP1" t="s">
        <v>3978</v>
      </c>
      <c r="DIQ1" t="s">
        <v>3979</v>
      </c>
      <c r="DIR1" t="s">
        <v>3980</v>
      </c>
      <c r="DIS1" t="s">
        <v>3981</v>
      </c>
      <c r="DIT1" t="s">
        <v>3982</v>
      </c>
      <c r="DIU1" t="s">
        <v>3983</v>
      </c>
      <c r="DIV1" t="s">
        <v>3984</v>
      </c>
      <c r="DIW1" t="s">
        <v>3985</v>
      </c>
      <c r="DIX1" t="s">
        <v>3986</v>
      </c>
      <c r="DIY1" t="s">
        <v>3987</v>
      </c>
      <c r="DIZ1" t="s">
        <v>3988</v>
      </c>
      <c r="DJA1" t="s">
        <v>3989</v>
      </c>
      <c r="DJB1" t="s">
        <v>3990</v>
      </c>
      <c r="DJC1" t="s">
        <v>3991</v>
      </c>
      <c r="DJD1" t="s">
        <v>3992</v>
      </c>
      <c r="DJE1" t="s">
        <v>3993</v>
      </c>
      <c r="DJF1" t="s">
        <v>3994</v>
      </c>
      <c r="DJG1" t="s">
        <v>3995</v>
      </c>
      <c r="DJH1" t="s">
        <v>3996</v>
      </c>
      <c r="DJI1" t="s">
        <v>3997</v>
      </c>
      <c r="DJJ1" t="s">
        <v>3998</v>
      </c>
      <c r="DJK1" t="s">
        <v>3999</v>
      </c>
      <c r="DJL1" t="s">
        <v>4000</v>
      </c>
      <c r="DJM1" t="s">
        <v>4001</v>
      </c>
      <c r="DJN1" t="s">
        <v>4002</v>
      </c>
      <c r="DJO1" t="s">
        <v>4003</v>
      </c>
      <c r="DJP1" t="s">
        <v>4004</v>
      </c>
      <c r="DJQ1" t="s">
        <v>4005</v>
      </c>
      <c r="DJR1" t="s">
        <v>4006</v>
      </c>
      <c r="DJS1" t="s">
        <v>4007</v>
      </c>
      <c r="DJT1" t="s">
        <v>4008</v>
      </c>
      <c r="DJU1" t="s">
        <v>4009</v>
      </c>
      <c r="DJV1" t="s">
        <v>4010</v>
      </c>
      <c r="DJW1" t="s">
        <v>4011</v>
      </c>
      <c r="DJX1" t="s">
        <v>4012</v>
      </c>
      <c r="DJY1" t="s">
        <v>4013</v>
      </c>
      <c r="DJZ1" t="s">
        <v>4014</v>
      </c>
      <c r="DKA1" t="s">
        <v>4015</v>
      </c>
      <c r="DKB1" t="s">
        <v>4016</v>
      </c>
      <c r="DKC1" t="s">
        <v>4017</v>
      </c>
      <c r="DKD1" t="s">
        <v>4018</v>
      </c>
      <c r="DKE1" t="s">
        <v>4019</v>
      </c>
      <c r="DKF1" t="s">
        <v>4020</v>
      </c>
      <c r="DKG1" t="s">
        <v>4021</v>
      </c>
      <c r="DKH1" t="s">
        <v>4022</v>
      </c>
      <c r="DKI1" t="s">
        <v>4023</v>
      </c>
      <c r="DKJ1" t="s">
        <v>4024</v>
      </c>
      <c r="DKK1" t="s">
        <v>4025</v>
      </c>
      <c r="DKL1" t="s">
        <v>4026</v>
      </c>
      <c r="DKM1" t="s">
        <v>4027</v>
      </c>
      <c r="DKN1" t="s">
        <v>4028</v>
      </c>
      <c r="DKO1" t="s">
        <v>4029</v>
      </c>
      <c r="DKP1" t="s">
        <v>4030</v>
      </c>
      <c r="DKQ1" t="s">
        <v>4031</v>
      </c>
      <c r="DKR1" t="s">
        <v>4032</v>
      </c>
      <c r="DKS1" t="s">
        <v>4033</v>
      </c>
      <c r="DKT1" t="s">
        <v>4034</v>
      </c>
      <c r="DKU1" t="s">
        <v>4035</v>
      </c>
      <c r="DKV1" t="s">
        <v>4036</v>
      </c>
      <c r="DKW1" t="s">
        <v>4037</v>
      </c>
      <c r="DKX1" t="s">
        <v>4038</v>
      </c>
      <c r="DKY1" t="s">
        <v>4039</v>
      </c>
      <c r="DKZ1" t="s">
        <v>4040</v>
      </c>
      <c r="DLA1" t="s">
        <v>4041</v>
      </c>
      <c r="DLB1" t="s">
        <v>4042</v>
      </c>
      <c r="DLC1" t="s">
        <v>4043</v>
      </c>
      <c r="DLD1" t="s">
        <v>4044</v>
      </c>
      <c r="DLE1" t="s">
        <v>4045</v>
      </c>
      <c r="DLF1" t="s">
        <v>4046</v>
      </c>
      <c r="DLG1" t="s">
        <v>4047</v>
      </c>
      <c r="DLH1" t="s">
        <v>4048</v>
      </c>
      <c r="DLI1" t="s">
        <v>4049</v>
      </c>
      <c r="DLJ1" t="s">
        <v>4050</v>
      </c>
      <c r="DLK1" t="s">
        <v>4051</v>
      </c>
      <c r="DLL1" t="s">
        <v>4052</v>
      </c>
      <c r="DLM1" t="s">
        <v>4053</v>
      </c>
      <c r="DLN1" t="s">
        <v>4054</v>
      </c>
      <c r="DLO1" t="s">
        <v>4055</v>
      </c>
      <c r="DLP1" t="s">
        <v>4056</v>
      </c>
      <c r="DLQ1" t="s">
        <v>4057</v>
      </c>
      <c r="DLR1" t="s">
        <v>4058</v>
      </c>
      <c r="DLS1" t="s">
        <v>4059</v>
      </c>
      <c r="DLT1" t="s">
        <v>4060</v>
      </c>
      <c r="DLU1" t="s">
        <v>4061</v>
      </c>
      <c r="DLV1" t="s">
        <v>4062</v>
      </c>
      <c r="DLW1" t="s">
        <v>4063</v>
      </c>
      <c r="DLX1" t="s">
        <v>4064</v>
      </c>
      <c r="DLY1" t="s">
        <v>4065</v>
      </c>
      <c r="DLZ1" t="s">
        <v>4066</v>
      </c>
      <c r="DMA1" t="s">
        <v>4067</v>
      </c>
      <c r="DMB1" t="s">
        <v>4068</v>
      </c>
      <c r="DMC1" t="s">
        <v>4069</v>
      </c>
      <c r="DMD1" t="s">
        <v>4070</v>
      </c>
      <c r="DME1" t="s">
        <v>4071</v>
      </c>
      <c r="DMF1" t="s">
        <v>4072</v>
      </c>
      <c r="DMG1" t="s">
        <v>4073</v>
      </c>
      <c r="DMH1" t="s">
        <v>4074</v>
      </c>
      <c r="DMI1" t="s">
        <v>4075</v>
      </c>
      <c r="DMJ1" t="s">
        <v>4076</v>
      </c>
      <c r="DMK1" t="s">
        <v>4077</v>
      </c>
      <c r="DML1" t="s">
        <v>4078</v>
      </c>
      <c r="DMM1" t="s">
        <v>4079</v>
      </c>
      <c r="DMN1" t="s">
        <v>4080</v>
      </c>
      <c r="DMO1" t="s">
        <v>4081</v>
      </c>
      <c r="DMP1" t="s">
        <v>4082</v>
      </c>
      <c r="DMQ1" t="s">
        <v>4083</v>
      </c>
      <c r="DMR1" t="s">
        <v>4084</v>
      </c>
      <c r="DMS1" t="s">
        <v>4085</v>
      </c>
      <c r="DMT1" t="s">
        <v>4086</v>
      </c>
      <c r="DMU1" t="s">
        <v>4087</v>
      </c>
      <c r="DMV1" t="s">
        <v>4088</v>
      </c>
      <c r="DMW1" t="s">
        <v>4089</v>
      </c>
      <c r="DMX1" t="s">
        <v>4090</v>
      </c>
      <c r="DMY1" t="s">
        <v>4091</v>
      </c>
      <c r="DMZ1" t="s">
        <v>4092</v>
      </c>
      <c r="DNA1" t="s">
        <v>4093</v>
      </c>
      <c r="DNB1" t="s">
        <v>4094</v>
      </c>
      <c r="DNC1" t="s">
        <v>4095</v>
      </c>
      <c r="DND1" t="s">
        <v>4096</v>
      </c>
      <c r="DNE1" t="s">
        <v>4097</v>
      </c>
      <c r="DNF1" t="s">
        <v>4098</v>
      </c>
      <c r="DNG1" t="s">
        <v>4099</v>
      </c>
      <c r="DNH1" t="s">
        <v>4100</v>
      </c>
      <c r="DNI1" t="s">
        <v>4101</v>
      </c>
      <c r="DNJ1" t="s">
        <v>4102</v>
      </c>
      <c r="DNK1" t="s">
        <v>4103</v>
      </c>
      <c r="DNL1" t="s">
        <v>4104</v>
      </c>
      <c r="DNM1" t="s">
        <v>4105</v>
      </c>
      <c r="DNN1" t="s">
        <v>4106</v>
      </c>
      <c r="DNO1" t="s">
        <v>4107</v>
      </c>
      <c r="DNP1" t="s">
        <v>4108</v>
      </c>
      <c r="DNQ1" t="s">
        <v>4109</v>
      </c>
      <c r="DNR1" t="s">
        <v>4110</v>
      </c>
      <c r="DNS1" t="s">
        <v>4111</v>
      </c>
      <c r="DNT1" t="s">
        <v>4112</v>
      </c>
      <c r="DNU1" t="s">
        <v>4113</v>
      </c>
      <c r="DNV1" t="s">
        <v>4114</v>
      </c>
      <c r="DNW1" t="s">
        <v>4115</v>
      </c>
      <c r="DNX1" t="s">
        <v>4116</v>
      </c>
      <c r="DNY1" t="s">
        <v>4117</v>
      </c>
      <c r="DNZ1" t="s">
        <v>4118</v>
      </c>
      <c r="DOA1" t="s">
        <v>4119</v>
      </c>
      <c r="DOB1" t="s">
        <v>4120</v>
      </c>
      <c r="DOC1" t="s">
        <v>4121</v>
      </c>
      <c r="DOD1" t="s">
        <v>4122</v>
      </c>
      <c r="DOE1" t="s">
        <v>4123</v>
      </c>
      <c r="DOF1" t="s">
        <v>4124</v>
      </c>
      <c r="DOG1" t="s">
        <v>4125</v>
      </c>
      <c r="DOH1" t="s">
        <v>4126</v>
      </c>
      <c r="DOI1" t="s">
        <v>4127</v>
      </c>
      <c r="DOJ1" t="s">
        <v>4128</v>
      </c>
      <c r="DOK1" t="s">
        <v>4129</v>
      </c>
      <c r="DOL1" t="s">
        <v>4130</v>
      </c>
      <c r="DOM1" t="s">
        <v>4131</v>
      </c>
      <c r="DON1" t="s">
        <v>4132</v>
      </c>
      <c r="DOO1" t="s">
        <v>4133</v>
      </c>
      <c r="DOP1" t="s">
        <v>4134</v>
      </c>
      <c r="DOQ1" t="s">
        <v>4135</v>
      </c>
      <c r="DOR1" t="s">
        <v>4136</v>
      </c>
      <c r="DOS1" t="s">
        <v>4137</v>
      </c>
      <c r="DOT1" t="s">
        <v>4138</v>
      </c>
      <c r="DOU1" t="s">
        <v>4139</v>
      </c>
      <c r="DOV1" t="s">
        <v>4140</v>
      </c>
      <c r="DOW1" t="s">
        <v>4141</v>
      </c>
      <c r="DOX1" t="s">
        <v>4142</v>
      </c>
      <c r="DOY1" t="s">
        <v>4143</v>
      </c>
      <c r="DOZ1" t="s">
        <v>4144</v>
      </c>
      <c r="DPA1" t="s">
        <v>4145</v>
      </c>
      <c r="DPB1" t="s">
        <v>4146</v>
      </c>
      <c r="DPC1" t="s">
        <v>4147</v>
      </c>
      <c r="DPD1" t="s">
        <v>4148</v>
      </c>
      <c r="DPE1" t="s">
        <v>4149</v>
      </c>
      <c r="DPF1" t="s">
        <v>4150</v>
      </c>
      <c r="DPG1" t="s">
        <v>4151</v>
      </c>
      <c r="DPH1" t="s">
        <v>4152</v>
      </c>
      <c r="DPI1" t="s">
        <v>4153</v>
      </c>
      <c r="DPJ1" t="s">
        <v>4154</v>
      </c>
      <c r="DPK1" t="s">
        <v>4155</v>
      </c>
      <c r="DPL1" t="s">
        <v>4156</v>
      </c>
      <c r="DPM1" t="s">
        <v>4157</v>
      </c>
      <c r="DPN1" t="s">
        <v>4158</v>
      </c>
      <c r="DPO1" t="s">
        <v>4159</v>
      </c>
      <c r="DPP1" t="s">
        <v>4160</v>
      </c>
      <c r="DPQ1" t="s">
        <v>4161</v>
      </c>
      <c r="DPR1" t="s">
        <v>4162</v>
      </c>
      <c r="DPS1" t="s">
        <v>4163</v>
      </c>
      <c r="DPT1" t="s">
        <v>4164</v>
      </c>
      <c r="DPU1" t="s">
        <v>4165</v>
      </c>
      <c r="DPV1" t="s">
        <v>4166</v>
      </c>
      <c r="DPW1" t="s">
        <v>4167</v>
      </c>
      <c r="DPX1" t="s">
        <v>4168</v>
      </c>
      <c r="DPY1" t="s">
        <v>4169</v>
      </c>
      <c r="DPZ1" t="s">
        <v>4170</v>
      </c>
      <c r="DQA1" t="s">
        <v>4171</v>
      </c>
      <c r="DQB1" t="s">
        <v>4172</v>
      </c>
      <c r="DQC1" t="s">
        <v>4173</v>
      </c>
      <c r="DQD1" t="s">
        <v>4174</v>
      </c>
      <c r="DQE1" t="s">
        <v>4175</v>
      </c>
      <c r="DQF1" t="s">
        <v>4176</v>
      </c>
      <c r="DQG1" t="s">
        <v>4177</v>
      </c>
      <c r="DQH1" t="s">
        <v>4178</v>
      </c>
      <c r="DQI1" t="s">
        <v>4179</v>
      </c>
      <c r="DQJ1" t="s">
        <v>4180</v>
      </c>
      <c r="DQK1" t="s">
        <v>4181</v>
      </c>
      <c r="DQL1" t="s">
        <v>4182</v>
      </c>
      <c r="DQM1" t="s">
        <v>4183</v>
      </c>
      <c r="DQN1" t="s">
        <v>4184</v>
      </c>
      <c r="DQO1" t="s">
        <v>4185</v>
      </c>
      <c r="DQP1" t="s">
        <v>4186</v>
      </c>
      <c r="DQQ1" t="s">
        <v>4187</v>
      </c>
      <c r="DQR1" t="s">
        <v>4188</v>
      </c>
      <c r="DQS1" t="s">
        <v>4189</v>
      </c>
      <c r="DQT1" t="s">
        <v>4190</v>
      </c>
      <c r="DQU1" t="s">
        <v>4191</v>
      </c>
      <c r="DQV1" t="s">
        <v>4192</v>
      </c>
      <c r="DQW1" t="s">
        <v>4193</v>
      </c>
      <c r="DQX1" t="s">
        <v>4194</v>
      </c>
      <c r="DQY1" t="s">
        <v>4195</v>
      </c>
      <c r="DQZ1" t="s">
        <v>4196</v>
      </c>
      <c r="DRA1" t="s">
        <v>4197</v>
      </c>
      <c r="DRB1" t="s">
        <v>4198</v>
      </c>
      <c r="DRC1" t="s">
        <v>4199</v>
      </c>
      <c r="DRD1" t="s">
        <v>4200</v>
      </c>
      <c r="DRE1" t="s">
        <v>4201</v>
      </c>
      <c r="DRF1" t="s">
        <v>4202</v>
      </c>
      <c r="DRG1" t="s">
        <v>4203</v>
      </c>
      <c r="DRH1" t="s">
        <v>4204</v>
      </c>
      <c r="DRI1" t="s">
        <v>4205</v>
      </c>
      <c r="DRJ1" t="s">
        <v>4206</v>
      </c>
      <c r="DRK1" t="s">
        <v>4207</v>
      </c>
      <c r="DRL1" t="s">
        <v>4208</v>
      </c>
      <c r="DRM1" t="s">
        <v>4209</v>
      </c>
      <c r="DRN1" t="s">
        <v>4210</v>
      </c>
      <c r="DRO1" t="s">
        <v>4211</v>
      </c>
      <c r="DRP1" t="s">
        <v>4212</v>
      </c>
      <c r="DRQ1" t="s">
        <v>4213</v>
      </c>
      <c r="DRR1" t="s">
        <v>4214</v>
      </c>
      <c r="DRS1" t="s">
        <v>4215</v>
      </c>
      <c r="DRT1" t="s">
        <v>4216</v>
      </c>
      <c r="DRU1" t="s">
        <v>4217</v>
      </c>
      <c r="DRV1" t="s">
        <v>4218</v>
      </c>
      <c r="DRW1" t="s">
        <v>4219</v>
      </c>
      <c r="DRX1" t="s">
        <v>4220</v>
      </c>
      <c r="DRY1" t="s">
        <v>4221</v>
      </c>
      <c r="DRZ1" t="s">
        <v>4222</v>
      </c>
      <c r="DSA1" t="s">
        <v>4223</v>
      </c>
      <c r="DSB1" t="s">
        <v>4224</v>
      </c>
      <c r="DSC1" t="s">
        <v>4225</v>
      </c>
      <c r="DSD1" t="s">
        <v>4226</v>
      </c>
      <c r="DSE1" t="s">
        <v>4227</v>
      </c>
      <c r="DSF1" t="s">
        <v>4228</v>
      </c>
      <c r="DSG1" t="s">
        <v>4229</v>
      </c>
      <c r="DSH1" t="s">
        <v>4230</v>
      </c>
      <c r="DSI1" t="s">
        <v>4231</v>
      </c>
      <c r="DSJ1" t="s">
        <v>4232</v>
      </c>
      <c r="DSK1" t="s">
        <v>4233</v>
      </c>
      <c r="DSL1" t="s">
        <v>4234</v>
      </c>
      <c r="DSM1" t="s">
        <v>4235</v>
      </c>
      <c r="DSN1" t="s">
        <v>4236</v>
      </c>
      <c r="DSO1" t="s">
        <v>4237</v>
      </c>
      <c r="DSP1" t="s">
        <v>4238</v>
      </c>
      <c r="DSQ1" t="s">
        <v>4239</v>
      </c>
      <c r="DSR1" t="s">
        <v>4240</v>
      </c>
      <c r="DSS1" t="s">
        <v>4241</v>
      </c>
      <c r="DST1" t="s">
        <v>4242</v>
      </c>
      <c r="DSU1" t="s">
        <v>4243</v>
      </c>
      <c r="DSV1" t="s">
        <v>4244</v>
      </c>
      <c r="DSW1" t="s">
        <v>4245</v>
      </c>
      <c r="DSX1" t="s">
        <v>4246</v>
      </c>
      <c r="DSY1" t="s">
        <v>4247</v>
      </c>
      <c r="DSZ1" t="s">
        <v>4248</v>
      </c>
      <c r="DTA1" t="s">
        <v>4249</v>
      </c>
      <c r="DTB1" t="s">
        <v>4250</v>
      </c>
      <c r="DTC1" t="s">
        <v>4251</v>
      </c>
      <c r="DTD1" t="s">
        <v>4252</v>
      </c>
      <c r="DTE1" t="s">
        <v>4253</v>
      </c>
      <c r="DTF1" t="s">
        <v>4254</v>
      </c>
      <c r="DTG1" t="s">
        <v>4255</v>
      </c>
      <c r="DTH1" t="s">
        <v>4256</v>
      </c>
      <c r="DTI1" t="s">
        <v>4257</v>
      </c>
      <c r="DTJ1" t="s">
        <v>4258</v>
      </c>
      <c r="DTK1" t="s">
        <v>4259</v>
      </c>
      <c r="DTL1" t="s">
        <v>4260</v>
      </c>
      <c r="DTM1" t="s">
        <v>4261</v>
      </c>
      <c r="DTN1" t="s">
        <v>4262</v>
      </c>
      <c r="DTO1" t="s">
        <v>4263</v>
      </c>
      <c r="DTP1" t="s">
        <v>4264</v>
      </c>
      <c r="DTQ1" t="s">
        <v>4265</v>
      </c>
      <c r="DTR1" t="s">
        <v>4266</v>
      </c>
      <c r="DTS1" t="s">
        <v>4267</v>
      </c>
      <c r="DTT1" t="s">
        <v>4268</v>
      </c>
      <c r="DTU1" t="s">
        <v>4269</v>
      </c>
      <c r="DTV1" t="s">
        <v>4270</v>
      </c>
      <c r="DTW1" t="s">
        <v>4271</v>
      </c>
      <c r="DTX1" t="s">
        <v>4272</v>
      </c>
      <c r="DTY1" t="s">
        <v>4273</v>
      </c>
      <c r="DTZ1" t="s">
        <v>4274</v>
      </c>
      <c r="DUA1" t="s">
        <v>4275</v>
      </c>
      <c r="DUB1" t="s">
        <v>4276</v>
      </c>
      <c r="DUC1" t="s">
        <v>4277</v>
      </c>
      <c r="DUD1" t="s">
        <v>4278</v>
      </c>
      <c r="DUE1" t="s">
        <v>4279</v>
      </c>
      <c r="DUF1" t="s">
        <v>4280</v>
      </c>
      <c r="DUG1" t="s">
        <v>4281</v>
      </c>
      <c r="DUH1" t="s">
        <v>4282</v>
      </c>
      <c r="DUI1" t="s">
        <v>4283</v>
      </c>
      <c r="DUJ1" t="s">
        <v>4284</v>
      </c>
      <c r="DUK1" t="s">
        <v>4285</v>
      </c>
      <c r="DUL1" t="s">
        <v>4286</v>
      </c>
      <c r="DUM1" t="s">
        <v>4287</v>
      </c>
      <c r="DUN1" t="s">
        <v>4288</v>
      </c>
      <c r="DUO1" t="s">
        <v>4289</v>
      </c>
      <c r="DUP1" t="s">
        <v>4290</v>
      </c>
      <c r="DUQ1" t="s">
        <v>4291</v>
      </c>
      <c r="DUR1" t="s">
        <v>4292</v>
      </c>
      <c r="DUS1" t="s">
        <v>4293</v>
      </c>
      <c r="DUT1" t="s">
        <v>4294</v>
      </c>
      <c r="DUU1" t="s">
        <v>4295</v>
      </c>
      <c r="DUV1" t="s">
        <v>4296</v>
      </c>
      <c r="DUW1" t="s">
        <v>4297</v>
      </c>
      <c r="DUX1" t="s">
        <v>4298</v>
      </c>
      <c r="DUY1" t="s">
        <v>4299</v>
      </c>
      <c r="DUZ1" t="s">
        <v>4300</v>
      </c>
      <c r="DVA1" t="s">
        <v>4301</v>
      </c>
      <c r="DVB1" t="s">
        <v>4302</v>
      </c>
      <c r="DVC1" t="s">
        <v>4303</v>
      </c>
      <c r="DVD1" t="s">
        <v>4304</v>
      </c>
      <c r="DVE1" t="s">
        <v>4305</v>
      </c>
      <c r="DVF1" t="s">
        <v>4306</v>
      </c>
      <c r="DVG1" t="s">
        <v>4307</v>
      </c>
      <c r="DVH1" t="s">
        <v>4308</v>
      </c>
      <c r="DVI1" t="s">
        <v>4309</v>
      </c>
      <c r="DVJ1" t="s">
        <v>4310</v>
      </c>
      <c r="DVK1" t="s">
        <v>4311</v>
      </c>
      <c r="DVL1" t="s">
        <v>4312</v>
      </c>
      <c r="DVM1" t="s">
        <v>4313</v>
      </c>
      <c r="DVN1" t="s">
        <v>4314</v>
      </c>
      <c r="DVO1" t="s">
        <v>4315</v>
      </c>
      <c r="DVP1" t="s">
        <v>4316</v>
      </c>
      <c r="DVQ1" t="s">
        <v>4317</v>
      </c>
      <c r="DVR1" t="s">
        <v>4318</v>
      </c>
      <c r="DVS1" t="s">
        <v>4319</v>
      </c>
      <c r="DVT1" t="s">
        <v>4320</v>
      </c>
      <c r="DVU1" t="s">
        <v>4321</v>
      </c>
      <c r="DVV1" t="s">
        <v>4322</v>
      </c>
      <c r="DVW1" t="s">
        <v>4323</v>
      </c>
      <c r="DVX1" t="s">
        <v>4324</v>
      </c>
      <c r="DVY1" t="s">
        <v>4325</v>
      </c>
      <c r="DVZ1" t="s">
        <v>4326</v>
      </c>
      <c r="DWA1" t="s">
        <v>4327</v>
      </c>
      <c r="DWB1" t="s">
        <v>4328</v>
      </c>
      <c r="DWC1" t="s">
        <v>4329</v>
      </c>
      <c r="DWD1" t="s">
        <v>4330</v>
      </c>
      <c r="DWE1" t="s">
        <v>4331</v>
      </c>
      <c r="DWF1" t="s">
        <v>4332</v>
      </c>
      <c r="DWG1" t="s">
        <v>4333</v>
      </c>
      <c r="DWH1" t="s">
        <v>4334</v>
      </c>
      <c r="DWI1" t="s">
        <v>4335</v>
      </c>
      <c r="DWJ1" t="s">
        <v>4336</v>
      </c>
      <c r="DWK1" t="s">
        <v>4337</v>
      </c>
      <c r="DWL1" t="s">
        <v>4338</v>
      </c>
      <c r="DWM1" t="s">
        <v>4339</v>
      </c>
      <c r="DWN1" t="s">
        <v>4340</v>
      </c>
      <c r="DWO1" t="s">
        <v>4341</v>
      </c>
      <c r="DWP1" t="s">
        <v>4342</v>
      </c>
      <c r="DWQ1" t="s">
        <v>4343</v>
      </c>
      <c r="DWR1" t="s">
        <v>4344</v>
      </c>
      <c r="DWS1" t="s">
        <v>4345</v>
      </c>
      <c r="DWT1" t="s">
        <v>4346</v>
      </c>
      <c r="DWU1" t="s">
        <v>4347</v>
      </c>
      <c r="DWV1" t="s">
        <v>4348</v>
      </c>
      <c r="DWW1" t="s">
        <v>4349</v>
      </c>
      <c r="DWX1" t="s">
        <v>4350</v>
      </c>
      <c r="DWY1" t="s">
        <v>4351</v>
      </c>
      <c r="DWZ1" t="s">
        <v>4352</v>
      </c>
      <c r="DXA1" t="s">
        <v>4353</v>
      </c>
      <c r="DXB1" t="s">
        <v>4354</v>
      </c>
      <c r="DXC1" t="s">
        <v>4355</v>
      </c>
      <c r="DXD1" t="s">
        <v>4356</v>
      </c>
      <c r="DXE1" t="s">
        <v>4357</v>
      </c>
      <c r="DXF1" t="s">
        <v>4358</v>
      </c>
      <c r="DXG1" t="s">
        <v>4359</v>
      </c>
      <c r="DXH1" t="s">
        <v>4360</v>
      </c>
      <c r="DXI1" t="s">
        <v>4361</v>
      </c>
      <c r="DXJ1" t="s">
        <v>4362</v>
      </c>
      <c r="DXK1" t="s">
        <v>4363</v>
      </c>
      <c r="DXL1" t="s">
        <v>4364</v>
      </c>
      <c r="DXM1" t="s">
        <v>4365</v>
      </c>
      <c r="DXN1" t="s">
        <v>4366</v>
      </c>
      <c r="DXO1" t="s">
        <v>4367</v>
      </c>
      <c r="DXP1" t="s">
        <v>4368</v>
      </c>
      <c r="DXQ1" t="s">
        <v>4369</v>
      </c>
      <c r="DXR1" t="s">
        <v>4370</v>
      </c>
      <c r="DXS1" t="s">
        <v>4371</v>
      </c>
      <c r="DXT1" t="s">
        <v>4372</v>
      </c>
      <c r="DXU1" t="s">
        <v>4373</v>
      </c>
      <c r="DXV1" t="s">
        <v>4374</v>
      </c>
      <c r="DXW1" t="s">
        <v>4375</v>
      </c>
      <c r="DXX1" t="s">
        <v>4376</v>
      </c>
      <c r="DXY1" t="s">
        <v>4377</v>
      </c>
      <c r="DXZ1" t="s">
        <v>4378</v>
      </c>
      <c r="DYA1" t="s">
        <v>4379</v>
      </c>
      <c r="DYB1" t="s">
        <v>4380</v>
      </c>
      <c r="DYC1" t="s">
        <v>4381</v>
      </c>
      <c r="DYD1" t="s">
        <v>4382</v>
      </c>
      <c r="DYE1" t="s">
        <v>4383</v>
      </c>
      <c r="DYF1" t="s">
        <v>4384</v>
      </c>
      <c r="DYG1" t="s">
        <v>4385</v>
      </c>
      <c r="DYH1" t="s">
        <v>4386</v>
      </c>
      <c r="DYI1" t="s">
        <v>4387</v>
      </c>
      <c r="DYJ1" t="s">
        <v>4388</v>
      </c>
      <c r="DYK1" t="s">
        <v>4389</v>
      </c>
      <c r="DYL1" t="s">
        <v>4390</v>
      </c>
      <c r="DYM1" t="s">
        <v>4391</v>
      </c>
      <c r="DYN1" t="s">
        <v>4392</v>
      </c>
      <c r="DYO1" t="s">
        <v>4393</v>
      </c>
      <c r="DYP1" t="s">
        <v>4394</v>
      </c>
      <c r="DYQ1" t="s">
        <v>4395</v>
      </c>
      <c r="DYR1" t="s">
        <v>4396</v>
      </c>
      <c r="DYS1" t="s">
        <v>4397</v>
      </c>
      <c r="DYT1" t="s">
        <v>4398</v>
      </c>
      <c r="DYU1" t="s">
        <v>4399</v>
      </c>
      <c r="DYV1" t="s">
        <v>4400</v>
      </c>
      <c r="DYW1" t="s">
        <v>4401</v>
      </c>
      <c r="DYX1" t="s">
        <v>4402</v>
      </c>
      <c r="DYY1" t="s">
        <v>4403</v>
      </c>
      <c r="DYZ1" t="s">
        <v>4404</v>
      </c>
      <c r="DZA1" t="s">
        <v>4405</v>
      </c>
      <c r="DZB1" t="s">
        <v>4406</v>
      </c>
      <c r="DZC1" t="s">
        <v>4407</v>
      </c>
      <c r="DZD1" t="s">
        <v>4408</v>
      </c>
      <c r="DZE1" t="s">
        <v>4409</v>
      </c>
      <c r="DZF1" t="s">
        <v>4410</v>
      </c>
      <c r="DZG1" t="s">
        <v>4411</v>
      </c>
      <c r="DZH1" t="s">
        <v>4412</v>
      </c>
      <c r="DZI1" t="s">
        <v>4413</v>
      </c>
      <c r="DZJ1" t="s">
        <v>4414</v>
      </c>
      <c r="DZK1" t="s">
        <v>4415</v>
      </c>
      <c r="DZL1" t="s">
        <v>4416</v>
      </c>
      <c r="DZM1" t="s">
        <v>4417</v>
      </c>
      <c r="DZN1" t="s">
        <v>4418</v>
      </c>
      <c r="DZO1" t="s">
        <v>4419</v>
      </c>
      <c r="DZP1" t="s">
        <v>4420</v>
      </c>
      <c r="DZQ1" t="s">
        <v>4421</v>
      </c>
      <c r="DZR1" t="s">
        <v>4422</v>
      </c>
      <c r="DZS1" t="s">
        <v>4423</v>
      </c>
      <c r="DZT1" t="s">
        <v>4424</v>
      </c>
      <c r="DZU1" t="s">
        <v>4425</v>
      </c>
      <c r="DZV1" t="s">
        <v>4426</v>
      </c>
      <c r="DZW1" t="s">
        <v>4427</v>
      </c>
      <c r="DZX1" t="s">
        <v>4428</v>
      </c>
      <c r="DZY1" t="s">
        <v>4429</v>
      </c>
      <c r="DZZ1" t="s">
        <v>4430</v>
      </c>
      <c r="EAA1" t="s">
        <v>4431</v>
      </c>
      <c r="EAB1" t="s">
        <v>4432</v>
      </c>
      <c r="EAC1" t="s">
        <v>4433</v>
      </c>
      <c r="EAD1" t="s">
        <v>4434</v>
      </c>
      <c r="EAE1" t="s">
        <v>4435</v>
      </c>
      <c r="EAF1" t="s">
        <v>4436</v>
      </c>
      <c r="EAG1" t="s">
        <v>4437</v>
      </c>
      <c r="EAH1" t="s">
        <v>4438</v>
      </c>
      <c r="EAI1" t="s">
        <v>4439</v>
      </c>
      <c r="EAJ1" t="s">
        <v>4440</v>
      </c>
      <c r="EAK1" t="s">
        <v>4441</v>
      </c>
      <c r="EAL1" t="s">
        <v>4442</v>
      </c>
      <c r="EAM1" t="s">
        <v>4443</v>
      </c>
      <c r="EAN1" t="s">
        <v>4444</v>
      </c>
      <c r="EAO1" t="s">
        <v>4445</v>
      </c>
      <c r="EAP1" t="s">
        <v>4446</v>
      </c>
      <c r="EAQ1" t="s">
        <v>4447</v>
      </c>
      <c r="EAR1" t="s">
        <v>4448</v>
      </c>
      <c r="EAS1" t="s">
        <v>4449</v>
      </c>
      <c r="EAT1" t="s">
        <v>4450</v>
      </c>
      <c r="EAU1" t="s">
        <v>4451</v>
      </c>
      <c r="EAV1" t="s">
        <v>4452</v>
      </c>
      <c r="EAW1" t="s">
        <v>4453</v>
      </c>
      <c r="EAX1" t="s">
        <v>4454</v>
      </c>
      <c r="EAY1" t="s">
        <v>4455</v>
      </c>
      <c r="EAZ1" t="s">
        <v>4456</v>
      </c>
      <c r="EBA1" t="s">
        <v>4457</v>
      </c>
      <c r="EBB1" t="s">
        <v>4458</v>
      </c>
      <c r="EBC1" t="s">
        <v>4459</v>
      </c>
      <c r="EBD1" t="s">
        <v>4460</v>
      </c>
      <c r="EBE1" t="s">
        <v>4461</v>
      </c>
      <c r="EBF1" t="s">
        <v>4462</v>
      </c>
      <c r="EBG1" t="s">
        <v>4463</v>
      </c>
      <c r="EBH1" t="s">
        <v>4464</v>
      </c>
      <c r="EBI1" t="s">
        <v>4465</v>
      </c>
      <c r="EBJ1" t="s">
        <v>4466</v>
      </c>
      <c r="EBK1" t="s">
        <v>4467</v>
      </c>
      <c r="EBL1" t="s">
        <v>4468</v>
      </c>
      <c r="EBM1" t="s">
        <v>4469</v>
      </c>
      <c r="EBN1" t="s">
        <v>4470</v>
      </c>
      <c r="EBO1" t="s">
        <v>4471</v>
      </c>
      <c r="EBP1" t="s">
        <v>4472</v>
      </c>
      <c r="EBQ1" t="s">
        <v>4473</v>
      </c>
      <c r="EBR1" t="s">
        <v>4474</v>
      </c>
      <c r="EBS1" t="s">
        <v>4475</v>
      </c>
      <c r="EBT1" t="s">
        <v>4476</v>
      </c>
      <c r="EBU1" t="s">
        <v>4477</v>
      </c>
      <c r="EBV1" t="s">
        <v>4478</v>
      </c>
      <c r="EBW1" t="s">
        <v>4479</v>
      </c>
      <c r="EBX1" t="s">
        <v>4480</v>
      </c>
      <c r="EBY1" t="s">
        <v>4481</v>
      </c>
      <c r="EBZ1" t="s">
        <v>4482</v>
      </c>
      <c r="ECA1" t="s">
        <v>4483</v>
      </c>
      <c r="ECB1" t="s">
        <v>4484</v>
      </c>
      <c r="ECC1" t="s">
        <v>4485</v>
      </c>
      <c r="ECD1" t="s">
        <v>4486</v>
      </c>
      <c r="ECE1" t="s">
        <v>4487</v>
      </c>
      <c r="ECF1" t="s">
        <v>4488</v>
      </c>
      <c r="ECG1" t="s">
        <v>4489</v>
      </c>
      <c r="ECH1" t="s">
        <v>4490</v>
      </c>
      <c r="ECI1" t="s">
        <v>4491</v>
      </c>
      <c r="ECJ1" t="s">
        <v>4492</v>
      </c>
      <c r="ECK1" t="s">
        <v>4493</v>
      </c>
      <c r="ECL1" t="s">
        <v>4494</v>
      </c>
      <c r="ECM1" t="s">
        <v>4495</v>
      </c>
      <c r="ECN1" t="s">
        <v>4496</v>
      </c>
      <c r="ECO1" t="s">
        <v>4497</v>
      </c>
      <c r="ECP1" t="s">
        <v>4498</v>
      </c>
      <c r="ECQ1" t="s">
        <v>4499</v>
      </c>
      <c r="ECR1" t="s">
        <v>4500</v>
      </c>
      <c r="ECS1" t="s">
        <v>4501</v>
      </c>
      <c r="ECT1" t="s">
        <v>4502</v>
      </c>
      <c r="ECU1" t="s">
        <v>4503</v>
      </c>
      <c r="ECV1" t="s">
        <v>4504</v>
      </c>
      <c r="ECW1" t="s">
        <v>4505</v>
      </c>
      <c r="ECX1" t="s">
        <v>4506</v>
      </c>
      <c r="ECY1" t="s">
        <v>4507</v>
      </c>
      <c r="ECZ1" t="s">
        <v>4508</v>
      </c>
      <c r="EDA1" t="s">
        <v>4509</v>
      </c>
      <c r="EDB1" t="s">
        <v>4510</v>
      </c>
      <c r="EDC1" t="s">
        <v>4511</v>
      </c>
      <c r="EDD1" t="s">
        <v>4512</v>
      </c>
      <c r="EDE1" t="s">
        <v>4513</v>
      </c>
      <c r="EDF1" t="s">
        <v>4514</v>
      </c>
      <c r="EDG1" t="s">
        <v>4515</v>
      </c>
      <c r="EDH1" t="s">
        <v>4516</v>
      </c>
      <c r="EDI1" t="s">
        <v>4517</v>
      </c>
      <c r="EDJ1" t="s">
        <v>4518</v>
      </c>
      <c r="EDK1" t="s">
        <v>4519</v>
      </c>
      <c r="EDL1" t="s">
        <v>4520</v>
      </c>
      <c r="EDM1" t="s">
        <v>4521</v>
      </c>
      <c r="EDN1" t="s">
        <v>4522</v>
      </c>
      <c r="EDO1" t="s">
        <v>4523</v>
      </c>
      <c r="EDP1" t="s">
        <v>4524</v>
      </c>
      <c r="EDQ1" t="s">
        <v>4525</v>
      </c>
      <c r="EDR1" t="s">
        <v>4526</v>
      </c>
      <c r="EDS1" t="s">
        <v>4527</v>
      </c>
      <c r="EDT1" t="s">
        <v>4528</v>
      </c>
      <c r="EDU1" t="s">
        <v>4529</v>
      </c>
      <c r="EDV1" t="s">
        <v>4530</v>
      </c>
      <c r="EDW1" t="s">
        <v>4531</v>
      </c>
      <c r="EDX1" t="s">
        <v>4532</v>
      </c>
      <c r="EDY1" t="s">
        <v>4533</v>
      </c>
      <c r="EDZ1" t="s">
        <v>4534</v>
      </c>
      <c r="EEA1" t="s">
        <v>4535</v>
      </c>
      <c r="EEB1" t="s">
        <v>4536</v>
      </c>
      <c r="EEC1" t="s">
        <v>4537</v>
      </c>
      <c r="EED1" t="s">
        <v>4538</v>
      </c>
      <c r="EEE1" t="s">
        <v>4539</v>
      </c>
      <c r="EEF1" t="s">
        <v>4540</v>
      </c>
      <c r="EEG1" t="s">
        <v>4541</v>
      </c>
      <c r="EEH1" t="s">
        <v>4542</v>
      </c>
      <c r="EEI1" t="s">
        <v>4543</v>
      </c>
      <c r="EEJ1" t="s">
        <v>4544</v>
      </c>
      <c r="EEK1" t="s">
        <v>4545</v>
      </c>
      <c r="EEL1" t="s">
        <v>4546</v>
      </c>
      <c r="EEM1" t="s">
        <v>4547</v>
      </c>
      <c r="EEN1" t="s">
        <v>4548</v>
      </c>
      <c r="EEO1" t="s">
        <v>4549</v>
      </c>
      <c r="EEP1" t="s">
        <v>4550</v>
      </c>
      <c r="EEQ1" t="s">
        <v>4551</v>
      </c>
      <c r="EER1" t="s">
        <v>4552</v>
      </c>
      <c r="EES1" t="s">
        <v>4553</v>
      </c>
      <c r="EET1" t="s">
        <v>4554</v>
      </c>
      <c r="EEU1" t="s">
        <v>4555</v>
      </c>
      <c r="EEV1" t="s">
        <v>4556</v>
      </c>
      <c r="EEW1" t="s">
        <v>4557</v>
      </c>
      <c r="EEX1" t="s">
        <v>4558</v>
      </c>
      <c r="EEY1" t="s">
        <v>4559</v>
      </c>
      <c r="EEZ1" t="s">
        <v>4560</v>
      </c>
      <c r="EFA1" t="s">
        <v>4561</v>
      </c>
      <c r="EFB1" t="s">
        <v>4562</v>
      </c>
      <c r="EFC1" t="s">
        <v>4563</v>
      </c>
      <c r="EFD1" t="s">
        <v>4564</v>
      </c>
      <c r="EFE1" t="s">
        <v>4565</v>
      </c>
      <c r="EFF1" t="s">
        <v>4566</v>
      </c>
      <c r="EFG1" t="s">
        <v>4567</v>
      </c>
      <c r="EFH1" t="s">
        <v>4568</v>
      </c>
      <c r="EFI1" t="s">
        <v>4569</v>
      </c>
      <c r="EFJ1" t="s">
        <v>4570</v>
      </c>
      <c r="EFK1" t="s">
        <v>4571</v>
      </c>
      <c r="EFL1" t="s">
        <v>4572</v>
      </c>
      <c r="EFM1" t="s">
        <v>4573</v>
      </c>
      <c r="EFN1" t="s">
        <v>4574</v>
      </c>
      <c r="EFO1" t="s">
        <v>4575</v>
      </c>
      <c r="EFP1" t="s">
        <v>4576</v>
      </c>
      <c r="EFQ1" t="s">
        <v>4577</v>
      </c>
      <c r="EFR1" t="s">
        <v>4578</v>
      </c>
      <c r="EFS1" t="s">
        <v>4579</v>
      </c>
      <c r="EFT1" t="s">
        <v>4580</v>
      </c>
      <c r="EFU1" t="s">
        <v>4581</v>
      </c>
      <c r="EFV1" t="s">
        <v>4582</v>
      </c>
      <c r="EFW1" t="s">
        <v>4583</v>
      </c>
      <c r="EFX1" t="s">
        <v>4584</v>
      </c>
      <c r="EFY1" t="s">
        <v>4585</v>
      </c>
      <c r="EFZ1" t="s">
        <v>4586</v>
      </c>
      <c r="EGA1" t="s">
        <v>4587</v>
      </c>
      <c r="EGB1" t="s">
        <v>4588</v>
      </c>
      <c r="EGC1" t="s">
        <v>4589</v>
      </c>
      <c r="EGD1" t="s">
        <v>4590</v>
      </c>
      <c r="EGE1" t="s">
        <v>4591</v>
      </c>
      <c r="EGF1" t="s">
        <v>4592</v>
      </c>
      <c r="EGG1" t="s">
        <v>4593</v>
      </c>
      <c r="EGH1" t="s">
        <v>4594</v>
      </c>
      <c r="EGI1" t="s">
        <v>4595</v>
      </c>
      <c r="EGJ1" t="s">
        <v>4596</v>
      </c>
      <c r="EGK1" t="s">
        <v>4597</v>
      </c>
      <c r="EGL1" t="s">
        <v>4598</v>
      </c>
      <c r="EGM1" t="s">
        <v>4599</v>
      </c>
      <c r="EGN1" t="s">
        <v>4600</v>
      </c>
      <c r="EGO1" t="s">
        <v>4601</v>
      </c>
      <c r="EGP1" t="s">
        <v>4602</v>
      </c>
      <c r="EGQ1" t="s">
        <v>4603</v>
      </c>
      <c r="EGR1" t="s">
        <v>4604</v>
      </c>
      <c r="EGS1" t="s">
        <v>4605</v>
      </c>
      <c r="EGT1" t="s">
        <v>4606</v>
      </c>
      <c r="EGU1" t="s">
        <v>4607</v>
      </c>
      <c r="EGV1" t="s">
        <v>4608</v>
      </c>
      <c r="EGW1" t="s">
        <v>4609</v>
      </c>
      <c r="EGX1" t="s">
        <v>4610</v>
      </c>
      <c r="EGY1" t="s">
        <v>4611</v>
      </c>
      <c r="EGZ1" t="s">
        <v>4612</v>
      </c>
      <c r="EHA1" t="s">
        <v>4613</v>
      </c>
      <c r="EHB1" t="s">
        <v>4614</v>
      </c>
      <c r="EHC1" t="s">
        <v>4615</v>
      </c>
      <c r="EHD1" t="s">
        <v>4616</v>
      </c>
      <c r="EHE1" t="s">
        <v>4617</v>
      </c>
      <c r="EHF1" t="s">
        <v>4618</v>
      </c>
      <c r="EHG1" t="s">
        <v>4619</v>
      </c>
      <c r="EHH1" t="s">
        <v>4620</v>
      </c>
      <c r="EHI1" t="s">
        <v>4621</v>
      </c>
      <c r="EHJ1" t="s">
        <v>4622</v>
      </c>
      <c r="EHK1" t="s">
        <v>4623</v>
      </c>
      <c r="EHL1" t="s">
        <v>4624</v>
      </c>
      <c r="EHM1" t="s">
        <v>4625</v>
      </c>
      <c r="EHN1" t="s">
        <v>4626</v>
      </c>
      <c r="EHO1" t="s">
        <v>4627</v>
      </c>
      <c r="EHP1" t="s">
        <v>4628</v>
      </c>
      <c r="EHQ1" t="s">
        <v>4629</v>
      </c>
      <c r="EHR1" t="s">
        <v>4630</v>
      </c>
      <c r="EHS1" t="s">
        <v>4631</v>
      </c>
      <c r="EHT1" t="s">
        <v>4632</v>
      </c>
      <c r="EHU1" t="s">
        <v>4633</v>
      </c>
      <c r="EHV1" t="s">
        <v>4634</v>
      </c>
      <c r="EHW1" t="s">
        <v>4635</v>
      </c>
      <c r="EHX1" t="s">
        <v>4636</v>
      </c>
      <c r="EHY1" t="s">
        <v>4637</v>
      </c>
      <c r="EHZ1" t="s">
        <v>4638</v>
      </c>
      <c r="EIA1" t="s">
        <v>4639</v>
      </c>
      <c r="EIB1" t="s">
        <v>4640</v>
      </c>
      <c r="EIC1" t="s">
        <v>4641</v>
      </c>
      <c r="EID1" t="s">
        <v>4642</v>
      </c>
      <c r="EIE1" t="s">
        <v>4643</v>
      </c>
      <c r="EIF1" t="s">
        <v>4644</v>
      </c>
      <c r="EIG1" t="s">
        <v>4645</v>
      </c>
      <c r="EIH1" t="s">
        <v>4646</v>
      </c>
      <c r="EII1" t="s">
        <v>4647</v>
      </c>
      <c r="EIJ1" t="s">
        <v>4648</v>
      </c>
      <c r="EIK1" t="s">
        <v>4649</v>
      </c>
      <c r="EIL1" t="s">
        <v>4650</v>
      </c>
      <c r="EIM1" t="s">
        <v>4651</v>
      </c>
      <c r="EIN1" t="s">
        <v>4652</v>
      </c>
      <c r="EIO1" t="s">
        <v>4653</v>
      </c>
      <c r="EIP1" t="s">
        <v>4654</v>
      </c>
      <c r="EIQ1" t="s">
        <v>4655</v>
      </c>
      <c r="EIR1" t="s">
        <v>4656</v>
      </c>
      <c r="EIS1" t="s">
        <v>4657</v>
      </c>
      <c r="EIT1" t="s">
        <v>4658</v>
      </c>
      <c r="EIU1" t="s">
        <v>4659</v>
      </c>
      <c r="EIV1" t="s">
        <v>4660</v>
      </c>
      <c r="EIW1" t="s">
        <v>4661</v>
      </c>
      <c r="EIX1" t="s">
        <v>4662</v>
      </c>
      <c r="EIY1" t="s">
        <v>4663</v>
      </c>
      <c r="EIZ1" t="s">
        <v>4664</v>
      </c>
      <c r="EJA1" t="s">
        <v>4665</v>
      </c>
      <c r="EJB1" t="s">
        <v>4666</v>
      </c>
      <c r="EJC1" t="s">
        <v>4667</v>
      </c>
      <c r="EJD1" t="s">
        <v>4668</v>
      </c>
      <c r="EJE1" t="s">
        <v>4669</v>
      </c>
      <c r="EJF1" t="s">
        <v>4670</v>
      </c>
      <c r="EJG1" t="s">
        <v>4671</v>
      </c>
      <c r="EJH1" t="s">
        <v>4672</v>
      </c>
      <c r="EJI1" t="s">
        <v>4673</v>
      </c>
      <c r="EJJ1" t="s">
        <v>4674</v>
      </c>
      <c r="EJK1" t="s">
        <v>4675</v>
      </c>
      <c r="EJL1" t="s">
        <v>4676</v>
      </c>
      <c r="EJM1" t="s">
        <v>4677</v>
      </c>
      <c r="EJN1" t="s">
        <v>4678</v>
      </c>
      <c r="EJO1" t="s">
        <v>4679</v>
      </c>
      <c r="EJP1" t="s">
        <v>4680</v>
      </c>
      <c r="EJQ1" t="s">
        <v>4681</v>
      </c>
      <c r="EJR1" t="s">
        <v>4682</v>
      </c>
      <c r="EJS1" t="s">
        <v>4683</v>
      </c>
      <c r="EJT1" t="s">
        <v>4684</v>
      </c>
      <c r="EJU1" t="s">
        <v>4685</v>
      </c>
      <c r="EJV1" t="s">
        <v>4686</v>
      </c>
      <c r="EJW1" t="s">
        <v>4687</v>
      </c>
      <c r="EJX1" t="s">
        <v>4688</v>
      </c>
      <c r="EJY1" t="s">
        <v>4689</v>
      </c>
      <c r="EJZ1" t="s">
        <v>4690</v>
      </c>
      <c r="EKA1" t="s">
        <v>4691</v>
      </c>
      <c r="EKB1" t="s">
        <v>4692</v>
      </c>
      <c r="EKC1" t="s">
        <v>4693</v>
      </c>
      <c r="EKD1" t="s">
        <v>4694</v>
      </c>
      <c r="EKE1" t="s">
        <v>4695</v>
      </c>
      <c r="EKF1" t="s">
        <v>4696</v>
      </c>
      <c r="EKG1" t="s">
        <v>4697</v>
      </c>
      <c r="EKH1" t="s">
        <v>4698</v>
      </c>
      <c r="EKI1" t="s">
        <v>4699</v>
      </c>
      <c r="EKJ1" t="s">
        <v>4700</v>
      </c>
      <c r="EKK1" t="s">
        <v>4701</v>
      </c>
      <c r="EKL1" t="s">
        <v>4702</v>
      </c>
      <c r="EKM1" t="s">
        <v>4703</v>
      </c>
      <c r="EKN1" t="s">
        <v>4704</v>
      </c>
      <c r="EKO1" t="s">
        <v>4705</v>
      </c>
      <c r="EKP1" t="s">
        <v>4706</v>
      </c>
      <c r="EKQ1" t="s">
        <v>4707</v>
      </c>
      <c r="EKR1" t="s">
        <v>4708</v>
      </c>
      <c r="EKS1" t="s">
        <v>4709</v>
      </c>
      <c r="EKT1" t="s">
        <v>4710</v>
      </c>
      <c r="EKU1" t="s">
        <v>4711</v>
      </c>
      <c r="EKV1" t="s">
        <v>4712</v>
      </c>
      <c r="EKW1" t="s">
        <v>4713</v>
      </c>
      <c r="EKX1" t="s">
        <v>4714</v>
      </c>
      <c r="EKY1" t="s">
        <v>4715</v>
      </c>
      <c r="EKZ1" t="s">
        <v>4716</v>
      </c>
      <c r="ELA1" t="s">
        <v>4717</v>
      </c>
      <c r="ELB1" t="s">
        <v>4718</v>
      </c>
      <c r="ELC1" t="s">
        <v>4719</v>
      </c>
      <c r="ELD1" t="s">
        <v>4720</v>
      </c>
      <c r="ELE1" t="s">
        <v>4721</v>
      </c>
      <c r="ELF1" t="s">
        <v>4722</v>
      </c>
      <c r="ELG1" t="s">
        <v>4723</v>
      </c>
      <c r="ELH1" t="s">
        <v>4724</v>
      </c>
      <c r="ELI1" t="s">
        <v>4725</v>
      </c>
      <c r="ELJ1" t="s">
        <v>4726</v>
      </c>
      <c r="ELK1" t="s">
        <v>4727</v>
      </c>
      <c r="ELL1" t="s">
        <v>4728</v>
      </c>
      <c r="ELM1" t="s">
        <v>4729</v>
      </c>
      <c r="ELN1" t="s">
        <v>4730</v>
      </c>
      <c r="ELO1" t="s">
        <v>4731</v>
      </c>
      <c r="ELP1" t="s">
        <v>4732</v>
      </c>
      <c r="ELQ1" t="s">
        <v>4733</v>
      </c>
      <c r="ELR1" t="s">
        <v>4734</v>
      </c>
      <c r="ELS1" t="s">
        <v>4735</v>
      </c>
      <c r="ELT1" t="s">
        <v>4736</v>
      </c>
      <c r="ELU1" t="s">
        <v>4737</v>
      </c>
      <c r="ELV1" t="s">
        <v>4738</v>
      </c>
      <c r="ELW1" t="s">
        <v>4739</v>
      </c>
      <c r="ELX1" t="s">
        <v>4740</v>
      </c>
      <c r="ELY1" t="s">
        <v>4741</v>
      </c>
      <c r="ELZ1" t="s">
        <v>4742</v>
      </c>
      <c r="EMA1" t="s">
        <v>4743</v>
      </c>
      <c r="EMB1" t="s">
        <v>4744</v>
      </c>
      <c r="EMC1" t="s">
        <v>4745</v>
      </c>
      <c r="EMD1" t="s">
        <v>4746</v>
      </c>
      <c r="EME1" t="s">
        <v>4747</v>
      </c>
      <c r="EMF1" t="s">
        <v>4748</v>
      </c>
      <c r="EMG1" t="s">
        <v>4749</v>
      </c>
      <c r="EMH1" t="s">
        <v>4750</v>
      </c>
      <c r="EMI1" t="s">
        <v>4751</v>
      </c>
      <c r="EMJ1" t="s">
        <v>4752</v>
      </c>
      <c r="EMK1" t="s">
        <v>4753</v>
      </c>
      <c r="EML1" t="s">
        <v>4754</v>
      </c>
      <c r="EMM1" t="s">
        <v>4755</v>
      </c>
      <c r="EMN1" t="s">
        <v>4756</v>
      </c>
      <c r="EMO1" t="s">
        <v>4757</v>
      </c>
      <c r="EMP1" t="s">
        <v>4758</v>
      </c>
      <c r="EMQ1" t="s">
        <v>4759</v>
      </c>
      <c r="EMR1" t="s">
        <v>4760</v>
      </c>
      <c r="EMS1" t="s">
        <v>4761</v>
      </c>
      <c r="EMT1" t="s">
        <v>4762</v>
      </c>
      <c r="EMU1" t="s">
        <v>4763</v>
      </c>
      <c r="EMV1" t="s">
        <v>4764</v>
      </c>
      <c r="EMW1" t="s">
        <v>4765</v>
      </c>
      <c r="EMX1" t="s">
        <v>4766</v>
      </c>
      <c r="EMY1" t="s">
        <v>4767</v>
      </c>
      <c r="EMZ1" t="s">
        <v>4768</v>
      </c>
      <c r="ENA1" t="s">
        <v>4769</v>
      </c>
      <c r="ENB1" t="s">
        <v>4770</v>
      </c>
      <c r="ENC1" t="s">
        <v>4771</v>
      </c>
      <c r="END1" t="s">
        <v>4772</v>
      </c>
      <c r="ENE1" t="s">
        <v>4773</v>
      </c>
      <c r="ENF1" t="s">
        <v>4774</v>
      </c>
      <c r="ENG1" t="s">
        <v>4775</v>
      </c>
      <c r="ENH1" t="s">
        <v>4776</v>
      </c>
      <c r="ENI1" t="s">
        <v>4777</v>
      </c>
      <c r="ENJ1" t="s">
        <v>4778</v>
      </c>
      <c r="ENK1" t="s">
        <v>4779</v>
      </c>
      <c r="ENL1" t="s">
        <v>4780</v>
      </c>
      <c r="ENM1" t="s">
        <v>4781</v>
      </c>
      <c r="ENN1" t="s">
        <v>4782</v>
      </c>
      <c r="ENO1" t="s">
        <v>4783</v>
      </c>
      <c r="ENP1" t="s">
        <v>4784</v>
      </c>
      <c r="ENQ1" t="s">
        <v>4785</v>
      </c>
      <c r="ENR1" t="s">
        <v>4786</v>
      </c>
      <c r="ENS1" t="s">
        <v>4787</v>
      </c>
      <c r="ENT1" t="s">
        <v>4788</v>
      </c>
      <c r="ENU1" t="s">
        <v>4789</v>
      </c>
      <c r="ENV1" t="s">
        <v>4790</v>
      </c>
      <c r="ENW1" t="s">
        <v>4791</v>
      </c>
      <c r="ENX1" t="s">
        <v>4792</v>
      </c>
      <c r="ENY1" t="s">
        <v>4793</v>
      </c>
      <c r="ENZ1" t="s">
        <v>4794</v>
      </c>
      <c r="EOA1" t="s">
        <v>4795</v>
      </c>
      <c r="EOB1" t="s">
        <v>4796</v>
      </c>
      <c r="EOC1" t="s">
        <v>4797</v>
      </c>
      <c r="EOD1" t="s">
        <v>4798</v>
      </c>
      <c r="EOE1" t="s">
        <v>4799</v>
      </c>
      <c r="EOF1" t="s">
        <v>4800</v>
      </c>
      <c r="EOG1" t="s">
        <v>4801</v>
      </c>
      <c r="EOH1" t="s">
        <v>4802</v>
      </c>
      <c r="EOI1" t="s">
        <v>4803</v>
      </c>
      <c r="EOJ1" t="s">
        <v>4804</v>
      </c>
      <c r="EOK1" t="s">
        <v>4805</v>
      </c>
      <c r="EOL1" t="s">
        <v>4806</v>
      </c>
      <c r="EOM1" t="s">
        <v>4807</v>
      </c>
      <c r="EON1" t="s">
        <v>4808</v>
      </c>
      <c r="EOO1" t="s">
        <v>4809</v>
      </c>
      <c r="EOP1" t="s">
        <v>4810</v>
      </c>
      <c r="EOQ1" t="s">
        <v>4811</v>
      </c>
      <c r="EOR1" t="s">
        <v>4812</v>
      </c>
      <c r="EOS1" t="s">
        <v>4813</v>
      </c>
      <c r="EOT1" t="s">
        <v>4814</v>
      </c>
      <c r="EOU1" t="s">
        <v>4815</v>
      </c>
      <c r="EOV1" t="s">
        <v>4816</v>
      </c>
      <c r="EOW1" t="s">
        <v>4817</v>
      </c>
      <c r="EOX1" t="s">
        <v>4818</v>
      </c>
      <c r="EOY1" t="s">
        <v>4819</v>
      </c>
      <c r="EOZ1" t="s">
        <v>4820</v>
      </c>
      <c r="EPA1" t="s">
        <v>4821</v>
      </c>
      <c r="EPB1" t="s">
        <v>4822</v>
      </c>
      <c r="EPC1" t="s">
        <v>4823</v>
      </c>
      <c r="EPD1" t="s">
        <v>4824</v>
      </c>
      <c r="EPE1" t="s">
        <v>4825</v>
      </c>
      <c r="EPF1" t="s">
        <v>4826</v>
      </c>
      <c r="EPG1" t="s">
        <v>4827</v>
      </c>
      <c r="EPH1" t="s">
        <v>4828</v>
      </c>
      <c r="EPI1" t="s">
        <v>4829</v>
      </c>
      <c r="EPJ1" t="s">
        <v>4830</v>
      </c>
      <c r="EPK1" t="s">
        <v>4831</v>
      </c>
      <c r="EPL1" t="s">
        <v>4832</v>
      </c>
      <c r="EPM1" t="s">
        <v>4833</v>
      </c>
      <c r="EPN1" t="s">
        <v>4834</v>
      </c>
      <c r="EPO1" t="s">
        <v>4835</v>
      </c>
      <c r="EPP1" t="s">
        <v>4836</v>
      </c>
      <c r="EPQ1" t="s">
        <v>4837</v>
      </c>
      <c r="EPR1" t="s">
        <v>4838</v>
      </c>
      <c r="EPS1" t="s">
        <v>4839</v>
      </c>
      <c r="EPT1" t="s">
        <v>4840</v>
      </c>
      <c r="EPU1" t="s">
        <v>4841</v>
      </c>
      <c r="EPV1" t="s">
        <v>4842</v>
      </c>
      <c r="EPW1" t="s">
        <v>4843</v>
      </c>
      <c r="EPX1" t="s">
        <v>4844</v>
      </c>
      <c r="EPY1" t="s">
        <v>4845</v>
      </c>
      <c r="EPZ1" t="s">
        <v>4846</v>
      </c>
      <c r="EQA1" t="s">
        <v>4847</v>
      </c>
      <c r="EQB1" t="s">
        <v>4848</v>
      </c>
      <c r="EQC1" t="s">
        <v>4849</v>
      </c>
      <c r="EQD1" t="s">
        <v>4850</v>
      </c>
      <c r="EQE1" t="s">
        <v>4851</v>
      </c>
      <c r="EQF1" t="s">
        <v>4852</v>
      </c>
      <c r="EQG1" t="s">
        <v>4853</v>
      </c>
      <c r="EQH1" t="s">
        <v>4854</v>
      </c>
      <c r="EQI1" t="s">
        <v>4855</v>
      </c>
      <c r="EQJ1" t="s">
        <v>4856</v>
      </c>
      <c r="EQK1" t="s">
        <v>4857</v>
      </c>
      <c r="EQL1" t="s">
        <v>4858</v>
      </c>
      <c r="EQM1" t="s">
        <v>4859</v>
      </c>
      <c r="EQN1" t="s">
        <v>4860</v>
      </c>
      <c r="EQO1" t="s">
        <v>4861</v>
      </c>
      <c r="EQP1" t="s">
        <v>4862</v>
      </c>
      <c r="EQQ1" t="s">
        <v>4863</v>
      </c>
      <c r="EQR1" t="s">
        <v>4864</v>
      </c>
      <c r="EQS1" t="s">
        <v>4865</v>
      </c>
      <c r="EQT1" t="s">
        <v>4866</v>
      </c>
      <c r="EQU1" t="s">
        <v>4867</v>
      </c>
      <c r="EQV1" t="s">
        <v>4868</v>
      </c>
      <c r="EQW1" t="s">
        <v>4869</v>
      </c>
      <c r="EQX1" t="s">
        <v>4870</v>
      </c>
      <c r="EQY1" t="s">
        <v>4871</v>
      </c>
      <c r="EQZ1" t="s">
        <v>4872</v>
      </c>
      <c r="ERA1" t="s">
        <v>4873</v>
      </c>
      <c r="ERB1" t="s">
        <v>4874</v>
      </c>
      <c r="ERC1" t="s">
        <v>4875</v>
      </c>
      <c r="ERD1" t="s">
        <v>4876</v>
      </c>
      <c r="ERE1" t="s">
        <v>4877</v>
      </c>
      <c r="ERF1" t="s">
        <v>4878</v>
      </c>
      <c r="ERG1" t="s">
        <v>4879</v>
      </c>
      <c r="ERH1" t="s">
        <v>4880</v>
      </c>
      <c r="ERI1" t="s">
        <v>4881</v>
      </c>
      <c r="ERJ1" t="s">
        <v>4882</v>
      </c>
      <c r="ERK1" t="s">
        <v>4883</v>
      </c>
      <c r="ERL1" t="s">
        <v>4884</v>
      </c>
      <c r="ERM1" t="s">
        <v>4885</v>
      </c>
      <c r="ERN1" t="s">
        <v>4886</v>
      </c>
      <c r="ERO1" t="s">
        <v>4887</v>
      </c>
      <c r="ERP1" t="s">
        <v>4888</v>
      </c>
      <c r="ERQ1" t="s">
        <v>4889</v>
      </c>
      <c r="ERR1" t="s">
        <v>4890</v>
      </c>
      <c r="ERS1" t="s">
        <v>4891</v>
      </c>
      <c r="ERT1" t="s">
        <v>4892</v>
      </c>
      <c r="ERU1" t="s">
        <v>4893</v>
      </c>
      <c r="ERV1" t="s">
        <v>4894</v>
      </c>
      <c r="ERW1" t="s">
        <v>4895</v>
      </c>
      <c r="ERX1" t="s">
        <v>4896</v>
      </c>
      <c r="ERY1" t="s">
        <v>4897</v>
      </c>
      <c r="ERZ1" t="s">
        <v>4898</v>
      </c>
      <c r="ESA1" t="s">
        <v>4899</v>
      </c>
      <c r="ESB1" t="s">
        <v>4900</v>
      </c>
      <c r="ESC1" t="s">
        <v>4901</v>
      </c>
      <c r="ESD1" t="s">
        <v>4902</v>
      </c>
      <c r="ESE1" t="s">
        <v>4903</v>
      </c>
      <c r="ESF1" t="s">
        <v>4904</v>
      </c>
      <c r="ESG1" t="s">
        <v>4905</v>
      </c>
      <c r="ESH1" t="s">
        <v>4906</v>
      </c>
      <c r="ESI1" t="s">
        <v>4907</v>
      </c>
      <c r="ESJ1" t="s">
        <v>4908</v>
      </c>
      <c r="ESK1" t="s">
        <v>4909</v>
      </c>
      <c r="ESL1" t="s">
        <v>4910</v>
      </c>
      <c r="ESM1" t="s">
        <v>4911</v>
      </c>
      <c r="ESN1" t="s">
        <v>4912</v>
      </c>
      <c r="ESO1" t="s">
        <v>4913</v>
      </c>
      <c r="ESP1" t="s">
        <v>4914</v>
      </c>
      <c r="ESQ1" t="s">
        <v>4915</v>
      </c>
      <c r="ESR1" t="s">
        <v>4916</v>
      </c>
      <c r="ESS1" t="s">
        <v>4917</v>
      </c>
      <c r="EST1" t="s">
        <v>4918</v>
      </c>
      <c r="ESU1" t="s">
        <v>4919</v>
      </c>
      <c r="ESV1" t="s">
        <v>4920</v>
      </c>
      <c r="ESW1" t="s">
        <v>4921</v>
      </c>
      <c r="ESX1" t="s">
        <v>4922</v>
      </c>
      <c r="ESY1" t="s">
        <v>4923</v>
      </c>
      <c r="ESZ1" t="s">
        <v>4924</v>
      </c>
      <c r="ETA1" t="s">
        <v>4925</v>
      </c>
      <c r="ETB1" t="s">
        <v>4926</v>
      </c>
      <c r="ETC1" t="s">
        <v>4927</v>
      </c>
      <c r="ETD1" t="s">
        <v>4928</v>
      </c>
      <c r="ETE1" t="s">
        <v>4929</v>
      </c>
      <c r="ETF1" t="s">
        <v>4930</v>
      </c>
      <c r="ETG1" t="s">
        <v>4931</v>
      </c>
      <c r="ETH1" t="s">
        <v>4932</v>
      </c>
      <c r="ETI1" t="s">
        <v>4933</v>
      </c>
      <c r="ETJ1" t="s">
        <v>4934</v>
      </c>
      <c r="ETK1" t="s">
        <v>4935</v>
      </c>
      <c r="ETL1" t="s">
        <v>4936</v>
      </c>
      <c r="ETM1" t="s">
        <v>4937</v>
      </c>
      <c r="ETN1" t="s">
        <v>4938</v>
      </c>
      <c r="ETO1" t="s">
        <v>4939</v>
      </c>
      <c r="ETP1" t="s">
        <v>4940</v>
      </c>
      <c r="ETQ1" t="s">
        <v>4941</v>
      </c>
      <c r="ETR1" t="s">
        <v>4942</v>
      </c>
      <c r="ETS1" t="s">
        <v>4943</v>
      </c>
      <c r="ETT1" t="s">
        <v>4944</v>
      </c>
      <c r="ETU1" t="s">
        <v>4945</v>
      </c>
      <c r="ETV1" t="s">
        <v>4946</v>
      </c>
      <c r="ETW1" t="s">
        <v>4947</v>
      </c>
      <c r="ETX1" t="s">
        <v>4948</v>
      </c>
      <c r="ETY1" t="s">
        <v>4949</v>
      </c>
      <c r="ETZ1" t="s">
        <v>4950</v>
      </c>
      <c r="EUA1" t="s">
        <v>4951</v>
      </c>
      <c r="EUB1" t="s">
        <v>4952</v>
      </c>
      <c r="EUC1" t="s">
        <v>4953</v>
      </c>
      <c r="EUD1" t="s">
        <v>4954</v>
      </c>
      <c r="EUE1" t="s">
        <v>4955</v>
      </c>
      <c r="EUF1" t="s">
        <v>4956</v>
      </c>
      <c r="EUG1" t="s">
        <v>4957</v>
      </c>
      <c r="EUH1" t="s">
        <v>4958</v>
      </c>
      <c r="EUI1" t="s">
        <v>4959</v>
      </c>
      <c r="EUJ1" t="s">
        <v>4960</v>
      </c>
      <c r="EUK1" t="s">
        <v>4961</v>
      </c>
      <c r="EUL1" t="s">
        <v>4962</v>
      </c>
      <c r="EUM1" t="s">
        <v>4963</v>
      </c>
      <c r="EUN1" t="s">
        <v>4964</v>
      </c>
      <c r="EUO1" t="s">
        <v>4965</v>
      </c>
      <c r="EUP1" t="s">
        <v>4966</v>
      </c>
      <c r="EUQ1" t="s">
        <v>4967</v>
      </c>
      <c r="EUR1" t="s">
        <v>4968</v>
      </c>
      <c r="EUS1" t="s">
        <v>4969</v>
      </c>
      <c r="EUT1" t="s">
        <v>4970</v>
      </c>
      <c r="EUU1" t="s">
        <v>4971</v>
      </c>
      <c r="EUV1" t="s">
        <v>4972</v>
      </c>
      <c r="EUW1" t="s">
        <v>4973</v>
      </c>
      <c r="EUX1" t="s">
        <v>4974</v>
      </c>
      <c r="EUY1" t="s">
        <v>4975</v>
      </c>
      <c r="EUZ1" t="s">
        <v>4976</v>
      </c>
      <c r="EVA1" t="s">
        <v>4977</v>
      </c>
      <c r="EVB1" t="s">
        <v>4978</v>
      </c>
      <c r="EVC1" t="s">
        <v>4979</v>
      </c>
      <c r="EVD1" t="s">
        <v>4980</v>
      </c>
      <c r="EVE1" t="s">
        <v>4981</v>
      </c>
      <c r="EVF1" t="s">
        <v>4982</v>
      </c>
      <c r="EVG1" t="s">
        <v>4983</v>
      </c>
      <c r="EVH1" t="s">
        <v>4984</v>
      </c>
      <c r="EVI1" t="s">
        <v>4985</v>
      </c>
      <c r="EVJ1" t="s">
        <v>4986</v>
      </c>
      <c r="EVK1" t="s">
        <v>4987</v>
      </c>
      <c r="EVL1" t="s">
        <v>4988</v>
      </c>
      <c r="EVM1" t="s">
        <v>4989</v>
      </c>
      <c r="EVN1" t="s">
        <v>4990</v>
      </c>
      <c r="EVO1" t="s">
        <v>4991</v>
      </c>
      <c r="EVP1" t="s">
        <v>4992</v>
      </c>
      <c r="EVQ1" t="s">
        <v>4993</v>
      </c>
      <c r="EVR1" t="s">
        <v>4994</v>
      </c>
      <c r="EVS1" t="s">
        <v>4995</v>
      </c>
      <c r="EVT1" t="s">
        <v>4996</v>
      </c>
      <c r="EVU1" t="s">
        <v>4997</v>
      </c>
      <c r="EVV1" t="s">
        <v>4998</v>
      </c>
      <c r="EVW1" t="s">
        <v>4999</v>
      </c>
      <c r="EVX1" t="s">
        <v>5000</v>
      </c>
      <c r="EVY1" t="s">
        <v>5001</v>
      </c>
      <c r="EVZ1" t="s">
        <v>5002</v>
      </c>
      <c r="EWA1" t="s">
        <v>5003</v>
      </c>
      <c r="EWB1" t="s">
        <v>5004</v>
      </c>
      <c r="EWC1" t="s">
        <v>5005</v>
      </c>
      <c r="EWD1" t="s">
        <v>5006</v>
      </c>
      <c r="EWE1" t="s">
        <v>5007</v>
      </c>
      <c r="EWF1" t="s">
        <v>5008</v>
      </c>
      <c r="EWG1" t="s">
        <v>5009</v>
      </c>
      <c r="EWH1" t="s">
        <v>5010</v>
      </c>
      <c r="EWI1" t="s">
        <v>5011</v>
      </c>
      <c r="EWJ1" t="s">
        <v>5012</v>
      </c>
      <c r="EWK1" t="s">
        <v>5013</v>
      </c>
      <c r="EWL1" t="s">
        <v>5014</v>
      </c>
      <c r="EWM1" t="s">
        <v>5015</v>
      </c>
      <c r="EWN1" t="s">
        <v>5016</v>
      </c>
      <c r="EWO1" t="s">
        <v>5017</v>
      </c>
      <c r="EWP1" t="s">
        <v>5018</v>
      </c>
      <c r="EWQ1" t="s">
        <v>5019</v>
      </c>
      <c r="EWR1" t="s">
        <v>5020</v>
      </c>
      <c r="EWS1" t="s">
        <v>5021</v>
      </c>
      <c r="EWT1" t="s">
        <v>5022</v>
      </c>
      <c r="EWU1" t="s">
        <v>5023</v>
      </c>
      <c r="EWV1" t="s">
        <v>5024</v>
      </c>
      <c r="EWW1" t="s">
        <v>5025</v>
      </c>
      <c r="EWX1" t="s">
        <v>5026</v>
      </c>
      <c r="EWY1" t="s">
        <v>5027</v>
      </c>
      <c r="EWZ1" t="s">
        <v>5028</v>
      </c>
      <c r="EXA1" t="s">
        <v>5029</v>
      </c>
      <c r="EXB1" t="s">
        <v>5030</v>
      </c>
      <c r="EXC1" t="s">
        <v>5031</v>
      </c>
      <c r="EXD1" t="s">
        <v>5032</v>
      </c>
      <c r="EXE1" t="s">
        <v>5033</v>
      </c>
      <c r="EXF1" t="s">
        <v>5034</v>
      </c>
      <c r="EXG1" t="s">
        <v>5035</v>
      </c>
      <c r="EXH1" t="s">
        <v>5036</v>
      </c>
      <c r="EXI1" t="s">
        <v>5037</v>
      </c>
      <c r="EXJ1" t="s">
        <v>5038</v>
      </c>
      <c r="EXK1" t="s">
        <v>5039</v>
      </c>
      <c r="EXL1" t="s">
        <v>5040</v>
      </c>
      <c r="EXM1" t="s">
        <v>5041</v>
      </c>
      <c r="EXN1" t="s">
        <v>5042</v>
      </c>
      <c r="EXO1" t="s">
        <v>5043</v>
      </c>
      <c r="EXP1" t="s">
        <v>5044</v>
      </c>
      <c r="EXQ1" t="s">
        <v>5045</v>
      </c>
      <c r="EXR1" t="s">
        <v>5046</v>
      </c>
      <c r="EXS1" t="s">
        <v>5047</v>
      </c>
      <c r="EXT1" t="s">
        <v>5048</v>
      </c>
      <c r="EXU1" t="s">
        <v>5049</v>
      </c>
      <c r="EXV1" t="s">
        <v>5050</v>
      </c>
      <c r="EXW1" t="s">
        <v>5051</v>
      </c>
      <c r="EXX1" t="s">
        <v>5052</v>
      </c>
      <c r="EXY1" t="s">
        <v>5053</v>
      </c>
      <c r="EXZ1" t="s">
        <v>5054</v>
      </c>
      <c r="EYA1" t="s">
        <v>5055</v>
      </c>
      <c r="EYB1" t="s">
        <v>5056</v>
      </c>
      <c r="EYC1" t="s">
        <v>5057</v>
      </c>
      <c r="EYD1" t="s">
        <v>5058</v>
      </c>
      <c r="EYE1" t="s">
        <v>5059</v>
      </c>
      <c r="EYF1" t="s">
        <v>5060</v>
      </c>
      <c r="EYG1" t="s">
        <v>5061</v>
      </c>
      <c r="EYH1" t="s">
        <v>5062</v>
      </c>
      <c r="EYI1" t="s">
        <v>5063</v>
      </c>
      <c r="EYJ1" t="s">
        <v>5064</v>
      </c>
      <c r="EYK1" t="s">
        <v>5065</v>
      </c>
      <c r="EYL1" t="s">
        <v>5066</v>
      </c>
      <c r="EYM1" t="s">
        <v>5067</v>
      </c>
      <c r="EYN1" t="s">
        <v>5068</v>
      </c>
      <c r="EYO1" t="s">
        <v>5069</v>
      </c>
      <c r="EYP1" t="s">
        <v>5070</v>
      </c>
      <c r="EYQ1" t="s">
        <v>5071</v>
      </c>
      <c r="EYR1" t="s">
        <v>5072</v>
      </c>
      <c r="EYS1" t="s">
        <v>5073</v>
      </c>
      <c r="EYT1" t="s">
        <v>5074</v>
      </c>
      <c r="EYU1" t="s">
        <v>5075</v>
      </c>
      <c r="EYV1" t="s">
        <v>5076</v>
      </c>
      <c r="EYW1" t="s">
        <v>5077</v>
      </c>
      <c r="EYX1" t="s">
        <v>5078</v>
      </c>
      <c r="EYY1" t="s">
        <v>5079</v>
      </c>
      <c r="EYZ1" t="s">
        <v>5080</v>
      </c>
      <c r="EZA1" t="s">
        <v>5081</v>
      </c>
      <c r="EZB1" t="s">
        <v>5082</v>
      </c>
      <c r="EZC1" t="s">
        <v>5083</v>
      </c>
      <c r="EZD1" t="s">
        <v>5084</v>
      </c>
      <c r="EZE1" t="s">
        <v>5085</v>
      </c>
      <c r="EZF1" t="s">
        <v>5086</v>
      </c>
      <c r="EZG1" t="s">
        <v>5087</v>
      </c>
      <c r="EZH1" t="s">
        <v>5088</v>
      </c>
      <c r="EZI1" t="s">
        <v>5089</v>
      </c>
      <c r="EZJ1" t="s">
        <v>5090</v>
      </c>
      <c r="EZK1" t="s">
        <v>5091</v>
      </c>
      <c r="EZL1" t="s">
        <v>5092</v>
      </c>
      <c r="EZM1" t="s">
        <v>5093</v>
      </c>
      <c r="EZN1" t="s">
        <v>5094</v>
      </c>
      <c r="EZO1" t="s">
        <v>5095</v>
      </c>
      <c r="EZP1" t="s">
        <v>5096</v>
      </c>
      <c r="EZQ1" t="s">
        <v>5097</v>
      </c>
      <c r="EZR1" t="s">
        <v>5098</v>
      </c>
      <c r="EZS1" t="s">
        <v>5099</v>
      </c>
      <c r="EZT1" t="s">
        <v>5100</v>
      </c>
      <c r="EZU1" t="s">
        <v>5101</v>
      </c>
      <c r="EZV1" t="s">
        <v>5102</v>
      </c>
      <c r="EZW1" t="s">
        <v>5103</v>
      </c>
      <c r="EZX1" t="s">
        <v>5104</v>
      </c>
      <c r="EZY1" t="s">
        <v>5105</v>
      </c>
      <c r="EZZ1" t="s">
        <v>5106</v>
      </c>
      <c r="FAA1" t="s">
        <v>5107</v>
      </c>
      <c r="FAB1" t="s">
        <v>5108</v>
      </c>
      <c r="FAC1" t="s">
        <v>5109</v>
      </c>
      <c r="FAD1" t="s">
        <v>5110</v>
      </c>
      <c r="FAE1" t="s">
        <v>5111</v>
      </c>
      <c r="FAF1" t="s">
        <v>5112</v>
      </c>
      <c r="FAG1" t="s">
        <v>5113</v>
      </c>
      <c r="FAH1" t="s">
        <v>5114</v>
      </c>
      <c r="FAI1" t="s">
        <v>5115</v>
      </c>
      <c r="FAJ1" t="s">
        <v>5116</v>
      </c>
      <c r="FAK1" t="s">
        <v>5117</v>
      </c>
      <c r="FAL1" t="s">
        <v>5118</v>
      </c>
      <c r="FAM1" t="s">
        <v>5119</v>
      </c>
      <c r="FAN1" t="s">
        <v>5120</v>
      </c>
      <c r="FAO1" t="s">
        <v>5121</v>
      </c>
      <c r="FAP1" t="s">
        <v>5122</v>
      </c>
      <c r="FAQ1" t="s">
        <v>5123</v>
      </c>
      <c r="FAR1" t="s">
        <v>5124</v>
      </c>
      <c r="FAS1" t="s">
        <v>5125</v>
      </c>
      <c r="FAT1" t="s">
        <v>5126</v>
      </c>
      <c r="FAU1" t="s">
        <v>5127</v>
      </c>
      <c r="FAV1" t="s">
        <v>5128</v>
      </c>
      <c r="FAW1" t="s">
        <v>5129</v>
      </c>
      <c r="FAX1" t="s">
        <v>5130</v>
      </c>
      <c r="FAY1" t="s">
        <v>5131</v>
      </c>
      <c r="FAZ1" t="s">
        <v>5132</v>
      </c>
      <c r="FBA1" t="s">
        <v>5133</v>
      </c>
      <c r="FBB1" t="s">
        <v>5134</v>
      </c>
      <c r="FBC1" t="s">
        <v>5135</v>
      </c>
      <c r="FBD1" t="s">
        <v>5136</v>
      </c>
      <c r="FBE1" t="s">
        <v>5137</v>
      </c>
      <c r="FBF1" t="s">
        <v>5138</v>
      </c>
      <c r="FBG1" t="s">
        <v>5139</v>
      </c>
      <c r="FBH1" t="s">
        <v>5140</v>
      </c>
      <c r="FBI1" t="s">
        <v>5141</v>
      </c>
      <c r="FBJ1" t="s">
        <v>5142</v>
      </c>
      <c r="FBK1" t="s">
        <v>5143</v>
      </c>
      <c r="FBL1" t="s">
        <v>5144</v>
      </c>
      <c r="FBM1" t="s">
        <v>5145</v>
      </c>
      <c r="FBN1" t="s">
        <v>5146</v>
      </c>
      <c r="FBO1" t="s">
        <v>5147</v>
      </c>
      <c r="FBP1" t="s">
        <v>5148</v>
      </c>
      <c r="FBQ1" t="s">
        <v>5149</v>
      </c>
      <c r="FBR1" t="s">
        <v>5150</v>
      </c>
      <c r="FBS1" t="s">
        <v>5151</v>
      </c>
      <c r="FBT1" t="s">
        <v>5152</v>
      </c>
      <c r="FBU1" t="s">
        <v>5153</v>
      </c>
      <c r="FBV1" t="s">
        <v>5154</v>
      </c>
      <c r="FBW1" t="s">
        <v>5155</v>
      </c>
      <c r="FBX1" t="s">
        <v>5156</v>
      </c>
      <c r="FBY1" t="s">
        <v>5157</v>
      </c>
      <c r="FBZ1" t="s">
        <v>5158</v>
      </c>
      <c r="FCA1" t="s">
        <v>5159</v>
      </c>
      <c r="FCB1" t="s">
        <v>5160</v>
      </c>
      <c r="FCC1" t="s">
        <v>5161</v>
      </c>
      <c r="FCD1" t="s">
        <v>5162</v>
      </c>
      <c r="FCE1" t="s">
        <v>5163</v>
      </c>
      <c r="FCF1" t="s">
        <v>5164</v>
      </c>
      <c r="FCG1" t="s">
        <v>5165</v>
      </c>
      <c r="FCH1" t="s">
        <v>5166</v>
      </c>
      <c r="FCI1" t="s">
        <v>5167</v>
      </c>
      <c r="FCJ1" t="s">
        <v>5168</v>
      </c>
      <c r="FCK1" t="s">
        <v>5169</v>
      </c>
      <c r="FCL1" t="s">
        <v>5170</v>
      </c>
      <c r="FCM1" t="s">
        <v>5171</v>
      </c>
      <c r="FCN1" t="s">
        <v>5172</v>
      </c>
      <c r="FCO1" t="s">
        <v>5173</v>
      </c>
      <c r="FCP1" t="s">
        <v>5174</v>
      </c>
      <c r="FCQ1" t="s">
        <v>5175</v>
      </c>
      <c r="FCR1" t="s">
        <v>5176</v>
      </c>
      <c r="FCS1" t="s">
        <v>5177</v>
      </c>
      <c r="FCT1" t="s">
        <v>5178</v>
      </c>
      <c r="FCU1" t="s">
        <v>5179</v>
      </c>
      <c r="FCV1" t="s">
        <v>5180</v>
      </c>
      <c r="FCW1" t="s">
        <v>5181</v>
      </c>
      <c r="FCX1" t="s">
        <v>5182</v>
      </c>
      <c r="FCY1" t="s">
        <v>5183</v>
      </c>
      <c r="FCZ1" t="s">
        <v>5184</v>
      </c>
      <c r="FDA1" t="s">
        <v>5185</v>
      </c>
      <c r="FDB1" t="s">
        <v>5186</v>
      </c>
      <c r="FDC1" t="s">
        <v>5187</v>
      </c>
      <c r="FDD1" t="s">
        <v>5188</v>
      </c>
      <c r="FDE1" t="s">
        <v>5189</v>
      </c>
      <c r="FDF1" t="s">
        <v>5190</v>
      </c>
      <c r="FDG1" t="s">
        <v>5191</v>
      </c>
      <c r="FDH1" t="s">
        <v>5192</v>
      </c>
      <c r="FDI1" t="s">
        <v>5193</v>
      </c>
      <c r="FDJ1" t="s">
        <v>5194</v>
      </c>
      <c r="FDK1" t="s">
        <v>5195</v>
      </c>
      <c r="FDL1" t="s">
        <v>5196</v>
      </c>
      <c r="FDM1" t="s">
        <v>5197</v>
      </c>
      <c r="FDN1" t="s">
        <v>5198</v>
      </c>
      <c r="FDO1" t="s">
        <v>5199</v>
      </c>
      <c r="FDP1" t="s">
        <v>5200</v>
      </c>
      <c r="FDQ1" t="s">
        <v>5201</v>
      </c>
      <c r="FDR1" t="s">
        <v>5202</v>
      </c>
      <c r="FDS1" t="s">
        <v>5203</v>
      </c>
      <c r="FDT1" t="s">
        <v>5204</v>
      </c>
      <c r="FDU1" t="s">
        <v>5205</v>
      </c>
      <c r="FDV1" t="s">
        <v>5206</v>
      </c>
      <c r="FDW1" t="s">
        <v>5207</v>
      </c>
      <c r="FDX1" t="s">
        <v>5208</v>
      </c>
      <c r="FDY1" t="s">
        <v>5209</v>
      </c>
      <c r="FDZ1" t="s">
        <v>5210</v>
      </c>
      <c r="FEA1" t="s">
        <v>5211</v>
      </c>
      <c r="FEB1" t="s">
        <v>5212</v>
      </c>
      <c r="FEC1" t="s">
        <v>5213</v>
      </c>
      <c r="FED1" t="s">
        <v>5214</v>
      </c>
      <c r="FEE1" t="s">
        <v>5215</v>
      </c>
      <c r="FEF1" t="s">
        <v>5216</v>
      </c>
      <c r="FEG1" t="s">
        <v>5217</v>
      </c>
      <c r="FEH1" t="s">
        <v>5218</v>
      </c>
      <c r="FEI1" t="s">
        <v>5219</v>
      </c>
      <c r="FEJ1" t="s">
        <v>5220</v>
      </c>
      <c r="FEK1" t="s">
        <v>5221</v>
      </c>
      <c r="FEL1" t="s">
        <v>5222</v>
      </c>
      <c r="FEM1" t="s">
        <v>5223</v>
      </c>
      <c r="FEN1" t="s">
        <v>5224</v>
      </c>
      <c r="FEO1" t="s">
        <v>5225</v>
      </c>
      <c r="FEP1" t="s">
        <v>5226</v>
      </c>
      <c r="FEQ1" t="s">
        <v>5227</v>
      </c>
      <c r="FER1" t="s">
        <v>5228</v>
      </c>
      <c r="FES1" t="s">
        <v>5229</v>
      </c>
      <c r="FET1" t="s">
        <v>5230</v>
      </c>
      <c r="FEU1" t="s">
        <v>5231</v>
      </c>
      <c r="FEV1" t="s">
        <v>5232</v>
      </c>
      <c r="FEW1" t="s">
        <v>5233</v>
      </c>
      <c r="FEX1" t="s">
        <v>5234</v>
      </c>
      <c r="FEY1" t="s">
        <v>5235</v>
      </c>
      <c r="FEZ1" t="s">
        <v>5236</v>
      </c>
      <c r="FFA1" t="s">
        <v>5237</v>
      </c>
      <c r="FFB1" t="s">
        <v>5238</v>
      </c>
      <c r="FFC1" t="s">
        <v>5239</v>
      </c>
      <c r="FFD1" t="s">
        <v>5240</v>
      </c>
      <c r="FFE1" t="s">
        <v>5241</v>
      </c>
      <c r="FFF1" t="s">
        <v>5242</v>
      </c>
      <c r="FFG1" t="s">
        <v>5243</v>
      </c>
      <c r="FFH1" t="s">
        <v>5244</v>
      </c>
      <c r="FFI1" t="s">
        <v>5245</v>
      </c>
      <c r="FFJ1" t="s">
        <v>5246</v>
      </c>
      <c r="FFK1" t="s">
        <v>5247</v>
      </c>
      <c r="FFL1" t="s">
        <v>5248</v>
      </c>
      <c r="FFM1" t="s">
        <v>5249</v>
      </c>
      <c r="FFN1" t="s">
        <v>5250</v>
      </c>
      <c r="FFO1" t="s">
        <v>5251</v>
      </c>
      <c r="FFP1" t="s">
        <v>5252</v>
      </c>
      <c r="FFQ1" t="s">
        <v>5253</v>
      </c>
      <c r="FFR1" t="s">
        <v>5254</v>
      </c>
      <c r="FFS1" t="s">
        <v>5255</v>
      </c>
      <c r="FFT1" t="s">
        <v>5256</v>
      </c>
      <c r="FFU1" t="s">
        <v>5257</v>
      </c>
      <c r="FFV1" t="s">
        <v>5258</v>
      </c>
      <c r="FFW1" t="s">
        <v>5259</v>
      </c>
      <c r="FFX1" t="s">
        <v>5260</v>
      </c>
      <c r="FFY1" t="s">
        <v>5261</v>
      </c>
      <c r="FFZ1" t="s">
        <v>5262</v>
      </c>
      <c r="FGA1" t="s">
        <v>5263</v>
      </c>
      <c r="FGB1" t="s">
        <v>5264</v>
      </c>
      <c r="FGC1" t="s">
        <v>5265</v>
      </c>
      <c r="FGD1" t="s">
        <v>5266</v>
      </c>
      <c r="FGE1" t="s">
        <v>5267</v>
      </c>
      <c r="FGF1" t="s">
        <v>5268</v>
      </c>
      <c r="FGG1" t="s">
        <v>5269</v>
      </c>
      <c r="FGH1" t="s">
        <v>5270</v>
      </c>
      <c r="FGI1" t="s">
        <v>5271</v>
      </c>
      <c r="FGJ1" t="s">
        <v>5272</v>
      </c>
      <c r="FGK1" t="s">
        <v>5273</v>
      </c>
      <c r="FGL1" t="s">
        <v>5274</v>
      </c>
      <c r="FGM1" t="s">
        <v>5275</v>
      </c>
      <c r="FGN1" t="s">
        <v>5276</v>
      </c>
      <c r="FGO1" t="s">
        <v>5277</v>
      </c>
      <c r="FGP1" t="s">
        <v>5278</v>
      </c>
      <c r="FGQ1" t="s">
        <v>5279</v>
      </c>
      <c r="FGR1" t="s">
        <v>5280</v>
      </c>
      <c r="FGS1" t="s">
        <v>5281</v>
      </c>
      <c r="FGT1" t="s">
        <v>5282</v>
      </c>
      <c r="FGU1" t="s">
        <v>5283</v>
      </c>
      <c r="FGV1" t="s">
        <v>5284</v>
      </c>
      <c r="FGW1" t="s">
        <v>5285</v>
      </c>
      <c r="FGX1" t="s">
        <v>5286</v>
      </c>
      <c r="FGY1" t="s">
        <v>5287</v>
      </c>
      <c r="FGZ1" t="s">
        <v>5288</v>
      </c>
      <c r="FHA1" t="s">
        <v>5289</v>
      </c>
      <c r="FHB1" t="s">
        <v>5290</v>
      </c>
      <c r="FHC1" t="s">
        <v>5291</v>
      </c>
      <c r="FHD1" t="s">
        <v>5292</v>
      </c>
      <c r="FHE1" t="s">
        <v>5293</v>
      </c>
      <c r="FHF1" t="s">
        <v>5294</v>
      </c>
      <c r="FHG1" t="s">
        <v>5295</v>
      </c>
      <c r="FHH1" t="s">
        <v>5296</v>
      </c>
      <c r="FHI1" t="s">
        <v>5297</v>
      </c>
      <c r="FHJ1" t="s">
        <v>5298</v>
      </c>
      <c r="FHK1" t="s">
        <v>5299</v>
      </c>
      <c r="FHL1" t="s">
        <v>5300</v>
      </c>
      <c r="FHM1" t="s">
        <v>5301</v>
      </c>
      <c r="FHN1" t="s">
        <v>5302</v>
      </c>
      <c r="FHO1" t="s">
        <v>5303</v>
      </c>
      <c r="FHP1" t="s">
        <v>5304</v>
      </c>
      <c r="FHQ1" t="s">
        <v>5305</v>
      </c>
      <c r="FHR1" t="s">
        <v>5306</v>
      </c>
      <c r="FHS1" t="s">
        <v>5307</v>
      </c>
      <c r="FHT1" t="s">
        <v>5308</v>
      </c>
      <c r="FHU1" t="s">
        <v>5309</v>
      </c>
      <c r="FHV1" t="s">
        <v>5310</v>
      </c>
      <c r="FHW1" t="s">
        <v>5311</v>
      </c>
      <c r="FHX1" t="s">
        <v>5312</v>
      </c>
      <c r="FHY1" t="s">
        <v>5313</v>
      </c>
      <c r="FHZ1" t="s">
        <v>5314</v>
      </c>
      <c r="FIA1" t="s">
        <v>5315</v>
      </c>
      <c r="FIB1" t="s">
        <v>5316</v>
      </c>
      <c r="FIC1" t="s">
        <v>5317</v>
      </c>
      <c r="FID1" t="s">
        <v>5318</v>
      </c>
      <c r="FIE1" t="s">
        <v>5319</v>
      </c>
      <c r="FIF1" t="s">
        <v>5320</v>
      </c>
      <c r="FIG1" t="s">
        <v>5321</v>
      </c>
      <c r="FIH1" t="s">
        <v>5322</v>
      </c>
      <c r="FII1" t="s">
        <v>5323</v>
      </c>
      <c r="FIJ1" t="s">
        <v>5324</v>
      </c>
      <c r="FIK1" t="s">
        <v>5325</v>
      </c>
      <c r="FIL1" t="s">
        <v>5326</v>
      </c>
      <c r="FIM1" t="s">
        <v>5327</v>
      </c>
      <c r="FIN1" t="s">
        <v>5328</v>
      </c>
      <c r="FIO1" t="s">
        <v>5329</v>
      </c>
      <c r="FIP1" t="s">
        <v>5330</v>
      </c>
      <c r="FIQ1" t="s">
        <v>5331</v>
      </c>
      <c r="FIR1" t="s">
        <v>5332</v>
      </c>
      <c r="FIS1" t="s">
        <v>5333</v>
      </c>
      <c r="FIT1" t="s">
        <v>5334</v>
      </c>
      <c r="FIU1" t="s">
        <v>5335</v>
      </c>
      <c r="FIV1" t="s">
        <v>5336</v>
      </c>
      <c r="FIW1" t="s">
        <v>5337</v>
      </c>
      <c r="FIX1" t="s">
        <v>5338</v>
      </c>
      <c r="FIY1" t="s">
        <v>5339</v>
      </c>
      <c r="FIZ1" t="s">
        <v>5340</v>
      </c>
      <c r="FJA1" t="s">
        <v>5341</v>
      </c>
      <c r="FJB1" t="s">
        <v>5342</v>
      </c>
      <c r="FJC1" t="s">
        <v>5343</v>
      </c>
      <c r="FJD1" t="s">
        <v>5344</v>
      </c>
      <c r="FJE1" t="s">
        <v>5345</v>
      </c>
      <c r="FJF1" t="s">
        <v>5346</v>
      </c>
      <c r="FJG1" t="s">
        <v>5347</v>
      </c>
      <c r="FJH1" t="s">
        <v>5348</v>
      </c>
      <c r="FJI1" t="s">
        <v>5349</v>
      </c>
      <c r="FJJ1" t="s">
        <v>5350</v>
      </c>
      <c r="FJK1" t="s">
        <v>5351</v>
      </c>
      <c r="FJL1" t="s">
        <v>5352</v>
      </c>
      <c r="FJM1" t="s">
        <v>5353</v>
      </c>
      <c r="FJN1" t="s">
        <v>5354</v>
      </c>
      <c r="FJO1" t="s">
        <v>5355</v>
      </c>
      <c r="FJP1" t="s">
        <v>5356</v>
      </c>
      <c r="FJQ1" t="s">
        <v>5357</v>
      </c>
      <c r="FJR1" t="s">
        <v>5358</v>
      </c>
      <c r="FJS1" t="s">
        <v>5359</v>
      </c>
      <c r="FJT1" t="s">
        <v>5360</v>
      </c>
      <c r="FJU1" t="s">
        <v>5361</v>
      </c>
      <c r="FJV1" t="s">
        <v>5362</v>
      </c>
      <c r="FJW1" t="s">
        <v>5363</v>
      </c>
      <c r="FJX1" t="s">
        <v>5364</v>
      </c>
      <c r="FJY1" t="s">
        <v>5365</v>
      </c>
      <c r="FJZ1" t="s">
        <v>5366</v>
      </c>
      <c r="FKA1" t="s">
        <v>5367</v>
      </c>
      <c r="FKB1" t="s">
        <v>5368</v>
      </c>
      <c r="FKC1" t="s">
        <v>5369</v>
      </c>
      <c r="FKD1" t="s">
        <v>5370</v>
      </c>
      <c r="FKE1" t="s">
        <v>5371</v>
      </c>
      <c r="FKF1" t="s">
        <v>5372</v>
      </c>
      <c r="FKG1" t="s">
        <v>5373</v>
      </c>
      <c r="FKH1" t="s">
        <v>5374</v>
      </c>
      <c r="FKI1" t="s">
        <v>5375</v>
      </c>
      <c r="FKJ1" t="s">
        <v>5376</v>
      </c>
      <c r="FKK1" t="s">
        <v>5377</v>
      </c>
      <c r="FKL1" t="s">
        <v>5378</v>
      </c>
      <c r="FKM1" t="s">
        <v>5379</v>
      </c>
      <c r="FKN1" t="s">
        <v>5380</v>
      </c>
      <c r="FKO1" t="s">
        <v>5381</v>
      </c>
      <c r="FKP1" t="s">
        <v>5382</v>
      </c>
      <c r="FKQ1" t="s">
        <v>5383</v>
      </c>
      <c r="FKR1" t="s">
        <v>5384</v>
      </c>
      <c r="FKS1" t="s">
        <v>5385</v>
      </c>
      <c r="FKT1" t="s">
        <v>5386</v>
      </c>
      <c r="FKU1" t="s">
        <v>5387</v>
      </c>
      <c r="FKV1" t="s">
        <v>5388</v>
      </c>
      <c r="FKW1" t="s">
        <v>5389</v>
      </c>
      <c r="FKX1" t="s">
        <v>5390</v>
      </c>
      <c r="FKY1" t="s">
        <v>5391</v>
      </c>
      <c r="FKZ1" t="s">
        <v>5392</v>
      </c>
      <c r="FLA1" t="s">
        <v>5393</v>
      </c>
      <c r="FLB1" t="s">
        <v>5394</v>
      </c>
      <c r="FLC1" t="s">
        <v>5395</v>
      </c>
      <c r="FLD1" t="s">
        <v>5396</v>
      </c>
      <c r="FLE1" t="s">
        <v>5397</v>
      </c>
      <c r="FLF1" t="s">
        <v>5398</v>
      </c>
      <c r="FLG1" t="s">
        <v>5399</v>
      </c>
      <c r="FLH1" t="s">
        <v>5400</v>
      </c>
      <c r="FLI1" t="s">
        <v>5401</v>
      </c>
      <c r="FLJ1" t="s">
        <v>5402</v>
      </c>
      <c r="FLK1" t="s">
        <v>5403</v>
      </c>
      <c r="FLL1" t="s">
        <v>5404</v>
      </c>
      <c r="FLM1" t="s">
        <v>5405</v>
      </c>
      <c r="FLN1" t="s">
        <v>5406</v>
      </c>
      <c r="FLO1" t="s">
        <v>5407</v>
      </c>
      <c r="FLP1" t="s">
        <v>5408</v>
      </c>
      <c r="FLQ1" t="s">
        <v>5409</v>
      </c>
      <c r="FLR1" t="s">
        <v>5410</v>
      </c>
      <c r="FLS1" t="s">
        <v>5411</v>
      </c>
      <c r="FLT1" t="s">
        <v>5412</v>
      </c>
      <c r="FLU1" t="s">
        <v>5413</v>
      </c>
      <c r="FLV1" t="s">
        <v>5414</v>
      </c>
      <c r="FLW1" t="s">
        <v>5415</v>
      </c>
      <c r="FLX1" t="s">
        <v>5416</v>
      </c>
      <c r="FLY1" t="s">
        <v>5417</v>
      </c>
      <c r="FLZ1" t="s">
        <v>5418</v>
      </c>
      <c r="FMA1" t="s">
        <v>5419</v>
      </c>
      <c r="FMB1" t="s">
        <v>5420</v>
      </c>
      <c r="FMC1" t="s">
        <v>5421</v>
      </c>
      <c r="FMD1" t="s">
        <v>5422</v>
      </c>
      <c r="FME1" t="s">
        <v>5423</v>
      </c>
      <c r="FMF1" t="s">
        <v>5424</v>
      </c>
      <c r="FMG1" t="s">
        <v>5425</v>
      </c>
      <c r="FMH1" t="s">
        <v>5426</v>
      </c>
      <c r="FMI1" t="s">
        <v>5427</v>
      </c>
      <c r="FMJ1" t="s">
        <v>5428</v>
      </c>
      <c r="FMK1" t="s">
        <v>5429</v>
      </c>
      <c r="FML1" t="s">
        <v>5430</v>
      </c>
      <c r="FMM1" t="s">
        <v>5431</v>
      </c>
      <c r="FMN1" t="s">
        <v>5432</v>
      </c>
      <c r="FMO1" t="s">
        <v>5433</v>
      </c>
      <c r="FMP1" t="s">
        <v>5434</v>
      </c>
      <c r="FMQ1" t="s">
        <v>5435</v>
      </c>
      <c r="FMR1" t="s">
        <v>5436</v>
      </c>
      <c r="FMS1" t="s">
        <v>5437</v>
      </c>
      <c r="FMT1" t="s">
        <v>5438</v>
      </c>
      <c r="FMU1" t="s">
        <v>5439</v>
      </c>
      <c r="FMV1" t="s">
        <v>5440</v>
      </c>
      <c r="FMW1" t="s">
        <v>5441</v>
      </c>
      <c r="FMX1" t="s">
        <v>5442</v>
      </c>
      <c r="FMY1" t="s">
        <v>5443</v>
      </c>
      <c r="FMZ1" t="s">
        <v>5444</v>
      </c>
      <c r="FNA1" t="s">
        <v>5445</v>
      </c>
      <c r="FNB1" t="s">
        <v>5446</v>
      </c>
      <c r="FNC1" t="s">
        <v>5447</v>
      </c>
      <c r="FND1" t="s">
        <v>5448</v>
      </c>
      <c r="FNE1" t="s">
        <v>5449</v>
      </c>
      <c r="FNF1" t="s">
        <v>5450</v>
      </c>
      <c r="FNG1" t="s">
        <v>5451</v>
      </c>
      <c r="FNH1" t="s">
        <v>5452</v>
      </c>
      <c r="FNI1" t="s">
        <v>5453</v>
      </c>
      <c r="FNJ1" t="s">
        <v>5454</v>
      </c>
      <c r="FNK1" t="s">
        <v>5455</v>
      </c>
      <c r="FNL1" t="s">
        <v>5456</v>
      </c>
      <c r="FNM1" t="s">
        <v>5457</v>
      </c>
      <c r="FNN1" t="s">
        <v>5458</v>
      </c>
      <c r="FNO1" t="s">
        <v>5459</v>
      </c>
      <c r="FNP1" t="s">
        <v>5460</v>
      </c>
      <c r="FNQ1" t="s">
        <v>5461</v>
      </c>
      <c r="FNR1" t="s">
        <v>5462</v>
      </c>
      <c r="FNS1" t="s">
        <v>5463</v>
      </c>
      <c r="FNT1" t="s">
        <v>5464</v>
      </c>
      <c r="FNU1" t="s">
        <v>5465</v>
      </c>
      <c r="FNV1" t="s">
        <v>5466</v>
      </c>
      <c r="FNW1" t="s">
        <v>5467</v>
      </c>
      <c r="FNX1" t="s">
        <v>5468</v>
      </c>
      <c r="FNY1" t="s">
        <v>5469</v>
      </c>
      <c r="FNZ1" t="s">
        <v>5470</v>
      </c>
      <c r="FOA1" t="s">
        <v>5471</v>
      </c>
      <c r="FOB1" t="s">
        <v>5472</v>
      </c>
      <c r="FOC1" t="s">
        <v>5473</v>
      </c>
      <c r="FOD1" t="s">
        <v>5474</v>
      </c>
      <c r="FOE1" t="s">
        <v>5475</v>
      </c>
      <c r="FOF1" t="s">
        <v>5476</v>
      </c>
      <c r="FOG1" t="s">
        <v>5477</v>
      </c>
      <c r="FOH1" t="s">
        <v>5478</v>
      </c>
      <c r="FOI1" t="s">
        <v>5479</v>
      </c>
      <c r="FOJ1" t="s">
        <v>5480</v>
      </c>
      <c r="FOK1" t="s">
        <v>5481</v>
      </c>
      <c r="FOL1" t="s">
        <v>5482</v>
      </c>
      <c r="FOM1" t="s">
        <v>5483</v>
      </c>
      <c r="FON1" t="s">
        <v>5484</v>
      </c>
      <c r="FOO1" t="s">
        <v>5485</v>
      </c>
      <c r="FOP1" t="s">
        <v>5486</v>
      </c>
      <c r="FOQ1" t="s">
        <v>5487</v>
      </c>
      <c r="FOR1" t="s">
        <v>5488</v>
      </c>
      <c r="FOS1" t="s">
        <v>5489</v>
      </c>
      <c r="FOT1" t="s">
        <v>5490</v>
      </c>
      <c r="FOU1" t="s">
        <v>5491</v>
      </c>
      <c r="FOV1" t="s">
        <v>5492</v>
      </c>
      <c r="FOW1" t="s">
        <v>5493</v>
      </c>
      <c r="FOX1" t="s">
        <v>5494</v>
      </c>
      <c r="FOY1" t="s">
        <v>5495</v>
      </c>
      <c r="FOZ1" t="s">
        <v>5496</v>
      </c>
      <c r="FPA1" t="s">
        <v>5497</v>
      </c>
      <c r="FPB1" t="s">
        <v>5498</v>
      </c>
      <c r="FPC1" t="s">
        <v>5499</v>
      </c>
      <c r="FPD1" t="s">
        <v>5500</v>
      </c>
      <c r="FPE1" t="s">
        <v>5501</v>
      </c>
      <c r="FPF1" t="s">
        <v>5502</v>
      </c>
      <c r="FPG1" t="s">
        <v>5503</v>
      </c>
      <c r="FPH1" t="s">
        <v>5504</v>
      </c>
      <c r="FPI1" t="s">
        <v>5505</v>
      </c>
      <c r="FPJ1" t="s">
        <v>5506</v>
      </c>
      <c r="FPK1" t="s">
        <v>5507</v>
      </c>
      <c r="FPL1" t="s">
        <v>5508</v>
      </c>
      <c r="FPM1" t="s">
        <v>5509</v>
      </c>
      <c r="FPN1" t="s">
        <v>5510</v>
      </c>
      <c r="FPO1" t="s">
        <v>5511</v>
      </c>
      <c r="FPP1" t="s">
        <v>5512</v>
      </c>
      <c r="FPQ1" t="s">
        <v>5513</v>
      </c>
      <c r="FPR1" t="s">
        <v>5514</v>
      </c>
      <c r="FPS1" t="s">
        <v>5515</v>
      </c>
      <c r="FPT1" t="s">
        <v>5516</v>
      </c>
      <c r="FPU1" t="s">
        <v>5517</v>
      </c>
      <c r="FPV1" t="s">
        <v>5518</v>
      </c>
      <c r="FPW1" t="s">
        <v>5519</v>
      </c>
      <c r="FPX1" t="s">
        <v>5520</v>
      </c>
      <c r="FPY1" t="s">
        <v>5521</v>
      </c>
      <c r="FPZ1" t="s">
        <v>5522</v>
      </c>
      <c r="FQA1" t="s">
        <v>5523</v>
      </c>
      <c r="FQB1" t="s">
        <v>5524</v>
      </c>
      <c r="FQC1" t="s">
        <v>5525</v>
      </c>
      <c r="FQD1" t="s">
        <v>5526</v>
      </c>
      <c r="FQE1" t="s">
        <v>5527</v>
      </c>
      <c r="FQF1" t="s">
        <v>5528</v>
      </c>
      <c r="FQG1" t="s">
        <v>5529</v>
      </c>
      <c r="FQH1" t="s">
        <v>5530</v>
      </c>
      <c r="FQI1" t="s">
        <v>5531</v>
      </c>
      <c r="FQJ1" t="s">
        <v>5532</v>
      </c>
      <c r="FQK1" t="s">
        <v>5533</v>
      </c>
      <c r="FQL1" t="s">
        <v>5534</v>
      </c>
      <c r="FQM1" t="s">
        <v>5535</v>
      </c>
      <c r="FQN1" t="s">
        <v>5536</v>
      </c>
      <c r="FQO1" t="s">
        <v>5537</v>
      </c>
      <c r="FQP1" t="s">
        <v>5538</v>
      </c>
      <c r="FQQ1" t="s">
        <v>5539</v>
      </c>
      <c r="FQR1" t="s">
        <v>5540</v>
      </c>
      <c r="FQS1" t="s">
        <v>5541</v>
      </c>
      <c r="FQT1" t="s">
        <v>5542</v>
      </c>
      <c r="FQU1" t="s">
        <v>5543</v>
      </c>
      <c r="FQV1" t="s">
        <v>5544</v>
      </c>
      <c r="FQW1" t="s">
        <v>5545</v>
      </c>
      <c r="FQX1" t="s">
        <v>5546</v>
      </c>
      <c r="FQY1" t="s">
        <v>5547</v>
      </c>
      <c r="FQZ1" t="s">
        <v>5548</v>
      </c>
      <c r="FRA1" t="s">
        <v>5549</v>
      </c>
      <c r="FRB1" t="s">
        <v>5550</v>
      </c>
      <c r="FRC1" t="s">
        <v>5551</v>
      </c>
      <c r="FRD1" t="s">
        <v>5552</v>
      </c>
      <c r="FRE1" t="s">
        <v>5553</v>
      </c>
      <c r="FRF1" t="s">
        <v>5554</v>
      </c>
      <c r="FRG1" t="s">
        <v>5555</v>
      </c>
      <c r="FRH1" t="s">
        <v>5556</v>
      </c>
      <c r="FRI1" t="s">
        <v>5557</v>
      </c>
      <c r="FRJ1" t="s">
        <v>5558</v>
      </c>
      <c r="FRK1" t="s">
        <v>5559</v>
      </c>
      <c r="FRL1" t="s">
        <v>5560</v>
      </c>
      <c r="FRM1" t="s">
        <v>5561</v>
      </c>
      <c r="FRN1" t="s">
        <v>5562</v>
      </c>
      <c r="FRO1" t="s">
        <v>5563</v>
      </c>
      <c r="FRP1" t="s">
        <v>5564</v>
      </c>
      <c r="FRQ1" t="s">
        <v>5565</v>
      </c>
      <c r="FRR1" t="s">
        <v>5566</v>
      </c>
      <c r="FRS1" t="s">
        <v>5567</v>
      </c>
      <c r="FRT1" t="s">
        <v>5568</v>
      </c>
      <c r="FRU1" t="s">
        <v>5569</v>
      </c>
      <c r="FRV1" t="s">
        <v>5570</v>
      </c>
      <c r="FRW1" t="s">
        <v>5571</v>
      </c>
      <c r="FRX1" t="s">
        <v>5572</v>
      </c>
      <c r="FRY1" t="s">
        <v>5573</v>
      </c>
      <c r="FRZ1" t="s">
        <v>5574</v>
      </c>
      <c r="FSA1" t="s">
        <v>5575</v>
      </c>
      <c r="FSB1" t="s">
        <v>5576</v>
      </c>
      <c r="FSC1" t="s">
        <v>5577</v>
      </c>
      <c r="FSD1" t="s">
        <v>5578</v>
      </c>
      <c r="FSE1" t="s">
        <v>5579</v>
      </c>
      <c r="FSF1" t="s">
        <v>5580</v>
      </c>
      <c r="FSG1" t="s">
        <v>5581</v>
      </c>
      <c r="FSH1" t="s">
        <v>5582</v>
      </c>
      <c r="FSI1" t="s">
        <v>5583</v>
      </c>
      <c r="FSJ1" t="s">
        <v>5584</v>
      </c>
      <c r="FSK1" t="s">
        <v>5585</v>
      </c>
      <c r="FSL1" t="s">
        <v>5586</v>
      </c>
      <c r="FSM1" t="s">
        <v>5587</v>
      </c>
      <c r="FSN1" t="s">
        <v>5588</v>
      </c>
      <c r="FSO1" t="s">
        <v>5589</v>
      </c>
      <c r="FSP1" t="s">
        <v>5590</v>
      </c>
      <c r="FSQ1" t="s">
        <v>5591</v>
      </c>
      <c r="FSR1" t="s">
        <v>5592</v>
      </c>
      <c r="FSS1" t="s">
        <v>5593</v>
      </c>
      <c r="FST1" t="s">
        <v>5594</v>
      </c>
      <c r="FSU1" t="s">
        <v>5595</v>
      </c>
      <c r="FSV1" t="s">
        <v>5596</v>
      </c>
      <c r="FSW1" t="s">
        <v>5597</v>
      </c>
      <c r="FSX1" t="s">
        <v>5598</v>
      </c>
      <c r="FSY1" t="s">
        <v>5599</v>
      </c>
      <c r="FSZ1" t="s">
        <v>5600</v>
      </c>
      <c r="FTA1" t="s">
        <v>5601</v>
      </c>
      <c r="FTB1" t="s">
        <v>5602</v>
      </c>
      <c r="FTC1" t="s">
        <v>5603</v>
      </c>
      <c r="FTD1" t="s">
        <v>5604</v>
      </c>
      <c r="FTE1" t="s">
        <v>5605</v>
      </c>
      <c r="FTF1" t="s">
        <v>5606</v>
      </c>
      <c r="FTG1" t="s">
        <v>5607</v>
      </c>
      <c r="FTH1" t="s">
        <v>5608</v>
      </c>
      <c r="FTI1" t="s">
        <v>5609</v>
      </c>
      <c r="FTJ1" t="s">
        <v>5610</v>
      </c>
      <c r="FTK1" t="s">
        <v>5611</v>
      </c>
      <c r="FTL1" t="s">
        <v>5612</v>
      </c>
      <c r="FTM1" t="s">
        <v>5613</v>
      </c>
      <c r="FTN1" t="s">
        <v>5614</v>
      </c>
      <c r="FTO1" t="s">
        <v>5615</v>
      </c>
      <c r="FTP1" t="s">
        <v>5616</v>
      </c>
      <c r="FTQ1" t="s">
        <v>5617</v>
      </c>
      <c r="FTR1" t="s">
        <v>5618</v>
      </c>
      <c r="FTS1" t="s">
        <v>5619</v>
      </c>
      <c r="FTT1" t="s">
        <v>5620</v>
      </c>
      <c r="FTU1" t="s">
        <v>5621</v>
      </c>
      <c r="FTV1" t="s">
        <v>5622</v>
      </c>
      <c r="FTW1" t="s">
        <v>5623</v>
      </c>
      <c r="FTX1" t="s">
        <v>5624</v>
      </c>
      <c r="FTY1" t="s">
        <v>5625</v>
      </c>
      <c r="FTZ1" t="s">
        <v>5626</v>
      </c>
      <c r="FUA1" t="s">
        <v>5627</v>
      </c>
      <c r="FUB1" t="s">
        <v>5628</v>
      </c>
      <c r="FUC1" t="s">
        <v>5629</v>
      </c>
      <c r="FUD1" t="s">
        <v>5630</v>
      </c>
      <c r="FUE1" t="s">
        <v>5631</v>
      </c>
      <c r="FUF1" t="s">
        <v>5632</v>
      </c>
      <c r="FUG1" t="s">
        <v>5633</v>
      </c>
      <c r="FUH1" t="s">
        <v>5634</v>
      </c>
      <c r="FUI1" t="s">
        <v>5635</v>
      </c>
      <c r="FUJ1" t="s">
        <v>5636</v>
      </c>
      <c r="FUK1" t="s">
        <v>5637</v>
      </c>
      <c r="FUL1" t="s">
        <v>5638</v>
      </c>
      <c r="FUM1" t="s">
        <v>5639</v>
      </c>
      <c r="FUN1" t="s">
        <v>5640</v>
      </c>
      <c r="FUO1" t="s">
        <v>5641</v>
      </c>
      <c r="FUP1" t="s">
        <v>5642</v>
      </c>
      <c r="FUQ1" t="s">
        <v>5643</v>
      </c>
      <c r="FUR1" t="s">
        <v>5644</v>
      </c>
      <c r="FUS1" t="s">
        <v>5645</v>
      </c>
      <c r="FUT1" t="s">
        <v>5646</v>
      </c>
      <c r="FUU1" t="s">
        <v>5647</v>
      </c>
      <c r="FUV1" t="s">
        <v>5648</v>
      </c>
      <c r="FUW1" t="s">
        <v>5649</v>
      </c>
      <c r="FUX1" t="s">
        <v>5650</v>
      </c>
      <c r="FUY1" t="s">
        <v>5651</v>
      </c>
      <c r="FUZ1" t="s">
        <v>5652</v>
      </c>
      <c r="FVA1" t="s">
        <v>5653</v>
      </c>
      <c r="FVB1" t="s">
        <v>5654</v>
      </c>
      <c r="FVC1" t="s">
        <v>5655</v>
      </c>
      <c r="FVD1" t="s">
        <v>5656</v>
      </c>
      <c r="FVE1" t="s">
        <v>5657</v>
      </c>
      <c r="FVF1" t="s">
        <v>5658</v>
      </c>
      <c r="FVG1" t="s">
        <v>5659</v>
      </c>
      <c r="FVH1" t="s">
        <v>5660</v>
      </c>
      <c r="FVI1" t="s">
        <v>5661</v>
      </c>
      <c r="FVJ1" t="s">
        <v>5662</v>
      </c>
      <c r="FVK1" t="s">
        <v>5663</v>
      </c>
      <c r="FVL1" t="s">
        <v>5664</v>
      </c>
      <c r="FVM1" t="s">
        <v>5665</v>
      </c>
      <c r="FVN1" t="s">
        <v>5666</v>
      </c>
      <c r="FVO1" t="s">
        <v>5667</v>
      </c>
      <c r="FVP1" t="s">
        <v>5668</v>
      </c>
      <c r="FVQ1" t="s">
        <v>5669</v>
      </c>
      <c r="FVR1" t="s">
        <v>5670</v>
      </c>
      <c r="FVS1" t="s">
        <v>5671</v>
      </c>
      <c r="FVT1" t="s">
        <v>5672</v>
      </c>
      <c r="FVU1" t="s">
        <v>5673</v>
      </c>
      <c r="FVV1" t="s">
        <v>5674</v>
      </c>
      <c r="FVW1" t="s">
        <v>5675</v>
      </c>
      <c r="FVX1" t="s">
        <v>5676</v>
      </c>
      <c r="FVY1" t="s">
        <v>5677</v>
      </c>
      <c r="FVZ1" t="s">
        <v>5678</v>
      </c>
      <c r="FWA1" t="s">
        <v>5679</v>
      </c>
      <c r="FWB1" t="s">
        <v>5680</v>
      </c>
      <c r="FWC1" t="s">
        <v>5681</v>
      </c>
      <c r="FWD1" t="s">
        <v>5682</v>
      </c>
      <c r="FWE1" t="s">
        <v>5683</v>
      </c>
      <c r="FWF1" t="s">
        <v>5684</v>
      </c>
      <c r="FWG1" t="s">
        <v>5685</v>
      </c>
      <c r="FWH1" t="s">
        <v>5686</v>
      </c>
      <c r="FWI1" t="s">
        <v>5687</v>
      </c>
      <c r="FWJ1" t="s">
        <v>5688</v>
      </c>
      <c r="FWK1" t="s">
        <v>5689</v>
      </c>
      <c r="FWL1" t="s">
        <v>5690</v>
      </c>
      <c r="FWM1" t="s">
        <v>5691</v>
      </c>
      <c r="FWN1" t="s">
        <v>5692</v>
      </c>
      <c r="FWO1" t="s">
        <v>5693</v>
      </c>
      <c r="FWP1" t="s">
        <v>5694</v>
      </c>
      <c r="FWQ1" t="s">
        <v>5695</v>
      </c>
      <c r="FWR1" t="s">
        <v>5696</v>
      </c>
      <c r="FWS1" t="s">
        <v>5697</v>
      </c>
      <c r="FWT1" t="s">
        <v>5698</v>
      </c>
      <c r="FWU1" t="s">
        <v>5699</v>
      </c>
      <c r="FWV1" t="s">
        <v>5700</v>
      </c>
      <c r="FWW1" t="s">
        <v>5701</v>
      </c>
      <c r="FWX1" t="s">
        <v>5702</v>
      </c>
      <c r="FWY1" t="s">
        <v>5703</v>
      </c>
      <c r="FWZ1" t="s">
        <v>5704</v>
      </c>
      <c r="FXA1" t="s">
        <v>5705</v>
      </c>
      <c r="FXB1" t="s">
        <v>5706</v>
      </c>
      <c r="FXC1" t="s">
        <v>5707</v>
      </c>
      <c r="FXD1" t="s">
        <v>5708</v>
      </c>
      <c r="FXE1" t="s">
        <v>5709</v>
      </c>
      <c r="FXF1" t="s">
        <v>5710</v>
      </c>
      <c r="FXG1" t="s">
        <v>5711</v>
      </c>
      <c r="FXH1" t="s">
        <v>5712</v>
      </c>
      <c r="FXI1" t="s">
        <v>5713</v>
      </c>
      <c r="FXJ1" t="s">
        <v>5714</v>
      </c>
      <c r="FXK1" t="s">
        <v>5715</v>
      </c>
      <c r="FXL1" t="s">
        <v>5716</v>
      </c>
      <c r="FXM1" t="s">
        <v>5717</v>
      </c>
      <c r="FXN1" t="s">
        <v>5718</v>
      </c>
      <c r="FXO1" t="s">
        <v>5719</v>
      </c>
      <c r="FXP1" t="s">
        <v>5720</v>
      </c>
      <c r="FXQ1" t="s">
        <v>5721</v>
      </c>
      <c r="FXR1" t="s">
        <v>5722</v>
      </c>
      <c r="FXS1" t="s">
        <v>5723</v>
      </c>
      <c r="FXT1" t="s">
        <v>5724</v>
      </c>
      <c r="FXU1" t="s">
        <v>5725</v>
      </c>
      <c r="FXV1" t="s">
        <v>5726</v>
      </c>
      <c r="FXW1" t="s">
        <v>5727</v>
      </c>
      <c r="FXX1" t="s">
        <v>5728</v>
      </c>
      <c r="FXY1" t="s">
        <v>5729</v>
      </c>
      <c r="FXZ1" t="s">
        <v>5730</v>
      </c>
      <c r="FYA1" t="s">
        <v>5731</v>
      </c>
      <c r="FYB1" t="s">
        <v>5732</v>
      </c>
      <c r="FYC1" t="s">
        <v>5733</v>
      </c>
      <c r="FYD1" t="s">
        <v>5734</v>
      </c>
      <c r="FYE1" t="s">
        <v>5735</v>
      </c>
      <c r="FYF1" t="s">
        <v>5736</v>
      </c>
      <c r="FYG1" t="s">
        <v>5737</v>
      </c>
      <c r="FYH1" t="s">
        <v>5738</v>
      </c>
      <c r="FYI1" t="s">
        <v>5739</v>
      </c>
      <c r="FYJ1" t="s">
        <v>5740</v>
      </c>
      <c r="FYK1" t="s">
        <v>5741</v>
      </c>
      <c r="FYL1" t="s">
        <v>5742</v>
      </c>
      <c r="FYM1" t="s">
        <v>5743</v>
      </c>
      <c r="FYN1" t="s">
        <v>5744</v>
      </c>
      <c r="FYO1" t="s">
        <v>5745</v>
      </c>
      <c r="FYP1" t="s">
        <v>5746</v>
      </c>
      <c r="FYQ1" t="s">
        <v>5747</v>
      </c>
      <c r="FYR1" t="s">
        <v>5748</v>
      </c>
      <c r="FYS1" t="s">
        <v>5749</v>
      </c>
      <c r="FYT1" t="s">
        <v>5750</v>
      </c>
      <c r="FYU1" t="s">
        <v>5751</v>
      </c>
      <c r="FYV1" t="s">
        <v>5752</v>
      </c>
      <c r="FYW1" t="s">
        <v>5753</v>
      </c>
      <c r="FYX1" t="s">
        <v>5754</v>
      </c>
      <c r="FYY1" t="s">
        <v>5755</v>
      </c>
      <c r="FYZ1" t="s">
        <v>5756</v>
      </c>
      <c r="FZA1" t="s">
        <v>5757</v>
      </c>
      <c r="FZB1" t="s">
        <v>5758</v>
      </c>
      <c r="FZC1" t="s">
        <v>5759</v>
      </c>
      <c r="FZD1" t="s">
        <v>5760</v>
      </c>
      <c r="FZE1" t="s">
        <v>5761</v>
      </c>
      <c r="FZF1" t="s">
        <v>5762</v>
      </c>
      <c r="FZG1" t="s">
        <v>5763</v>
      </c>
      <c r="FZH1" t="s">
        <v>5764</v>
      </c>
      <c r="FZI1" t="s">
        <v>5765</v>
      </c>
      <c r="FZJ1" t="s">
        <v>5766</v>
      </c>
      <c r="FZK1" t="s">
        <v>5767</v>
      </c>
      <c r="FZL1" t="s">
        <v>5768</v>
      </c>
      <c r="FZM1" t="s">
        <v>5769</v>
      </c>
      <c r="FZN1" t="s">
        <v>5770</v>
      </c>
      <c r="FZO1" t="s">
        <v>5771</v>
      </c>
      <c r="FZP1" t="s">
        <v>5772</v>
      </c>
      <c r="FZQ1" t="s">
        <v>5773</v>
      </c>
      <c r="FZR1" t="s">
        <v>5774</v>
      </c>
      <c r="FZS1" t="s">
        <v>5775</v>
      </c>
      <c r="FZT1" t="s">
        <v>5776</v>
      </c>
      <c r="FZU1" t="s">
        <v>5777</v>
      </c>
      <c r="FZV1" t="s">
        <v>5778</v>
      </c>
      <c r="FZW1" t="s">
        <v>5779</v>
      </c>
      <c r="FZX1" t="s">
        <v>5780</v>
      </c>
      <c r="FZY1" t="s">
        <v>5781</v>
      </c>
      <c r="FZZ1" t="s">
        <v>5782</v>
      </c>
      <c r="GAA1" t="s">
        <v>5783</v>
      </c>
      <c r="GAB1" t="s">
        <v>5784</v>
      </c>
      <c r="GAC1" t="s">
        <v>5785</v>
      </c>
      <c r="GAD1" t="s">
        <v>5786</v>
      </c>
      <c r="GAE1" t="s">
        <v>5787</v>
      </c>
      <c r="GAF1" t="s">
        <v>5788</v>
      </c>
      <c r="GAG1" t="s">
        <v>5789</v>
      </c>
      <c r="GAH1" t="s">
        <v>5790</v>
      </c>
      <c r="GAI1" t="s">
        <v>5791</v>
      </c>
      <c r="GAJ1" t="s">
        <v>5792</v>
      </c>
      <c r="GAK1" t="s">
        <v>5793</v>
      </c>
      <c r="GAL1" t="s">
        <v>5794</v>
      </c>
      <c r="GAM1" t="s">
        <v>5795</v>
      </c>
      <c r="GAN1" t="s">
        <v>5796</v>
      </c>
      <c r="GAO1" t="s">
        <v>5797</v>
      </c>
      <c r="GAP1" t="s">
        <v>5798</v>
      </c>
      <c r="GAQ1" t="s">
        <v>5799</v>
      </c>
      <c r="GAR1" t="s">
        <v>5800</v>
      </c>
      <c r="GAS1" t="s">
        <v>5801</v>
      </c>
      <c r="GAT1" t="s">
        <v>5802</v>
      </c>
      <c r="GAU1" t="s">
        <v>5803</v>
      </c>
      <c r="GAV1" t="s">
        <v>5804</v>
      </c>
      <c r="GAW1" t="s">
        <v>5805</v>
      </c>
      <c r="GAX1" t="s">
        <v>5806</v>
      </c>
      <c r="GAY1" t="s">
        <v>5807</v>
      </c>
      <c r="GAZ1" t="s">
        <v>5808</v>
      </c>
      <c r="GBA1" t="s">
        <v>5809</v>
      </c>
      <c r="GBB1" t="s">
        <v>5810</v>
      </c>
      <c r="GBC1" t="s">
        <v>5811</v>
      </c>
      <c r="GBD1" t="s">
        <v>5812</v>
      </c>
      <c r="GBE1" t="s">
        <v>5813</v>
      </c>
      <c r="GBF1" t="s">
        <v>5814</v>
      </c>
      <c r="GBG1" t="s">
        <v>5815</v>
      </c>
      <c r="GBH1" t="s">
        <v>5816</v>
      </c>
      <c r="GBI1" t="s">
        <v>5817</v>
      </c>
      <c r="GBJ1" t="s">
        <v>5818</v>
      </c>
      <c r="GBK1" t="s">
        <v>5819</v>
      </c>
      <c r="GBL1" t="s">
        <v>5820</v>
      </c>
      <c r="GBM1" t="s">
        <v>5821</v>
      </c>
      <c r="GBN1" t="s">
        <v>5822</v>
      </c>
      <c r="GBO1" t="s">
        <v>5823</v>
      </c>
      <c r="GBP1" t="s">
        <v>5824</v>
      </c>
      <c r="GBQ1" t="s">
        <v>5825</v>
      </c>
      <c r="GBR1" t="s">
        <v>5826</v>
      </c>
      <c r="GBS1" t="s">
        <v>5827</v>
      </c>
      <c r="GBT1" t="s">
        <v>5828</v>
      </c>
      <c r="GBU1" t="s">
        <v>5829</v>
      </c>
      <c r="GBV1" t="s">
        <v>5830</v>
      </c>
      <c r="GBW1" t="s">
        <v>5831</v>
      </c>
      <c r="GBX1" t="s">
        <v>5832</v>
      </c>
      <c r="GBY1" t="s">
        <v>5833</v>
      </c>
      <c r="GBZ1" t="s">
        <v>5834</v>
      </c>
      <c r="GCA1" t="s">
        <v>5835</v>
      </c>
      <c r="GCB1" t="s">
        <v>5836</v>
      </c>
      <c r="GCC1" t="s">
        <v>5837</v>
      </c>
      <c r="GCD1" t="s">
        <v>5838</v>
      </c>
      <c r="GCE1" t="s">
        <v>5839</v>
      </c>
      <c r="GCF1" t="s">
        <v>5840</v>
      </c>
      <c r="GCG1" t="s">
        <v>5841</v>
      </c>
      <c r="GCH1" t="s">
        <v>5842</v>
      </c>
      <c r="GCI1" t="s">
        <v>5843</v>
      </c>
      <c r="GCJ1" t="s">
        <v>5844</v>
      </c>
      <c r="GCK1" t="s">
        <v>5845</v>
      </c>
      <c r="GCL1" t="s">
        <v>5846</v>
      </c>
      <c r="GCM1" t="s">
        <v>5847</v>
      </c>
      <c r="GCN1" t="s">
        <v>5848</v>
      </c>
      <c r="GCO1" t="s">
        <v>5849</v>
      </c>
      <c r="GCP1" t="s">
        <v>5850</v>
      </c>
      <c r="GCQ1" t="s">
        <v>5851</v>
      </c>
      <c r="GCR1" t="s">
        <v>5852</v>
      </c>
      <c r="GCS1" t="s">
        <v>5853</v>
      </c>
      <c r="GCT1" t="s">
        <v>5854</v>
      </c>
      <c r="GCU1" t="s">
        <v>5855</v>
      </c>
      <c r="GCV1" t="s">
        <v>5856</v>
      </c>
      <c r="GCW1" t="s">
        <v>5857</v>
      </c>
      <c r="GCX1" t="s">
        <v>5858</v>
      </c>
      <c r="GCY1" t="s">
        <v>5859</v>
      </c>
      <c r="GCZ1" t="s">
        <v>5860</v>
      </c>
      <c r="GDA1" t="s">
        <v>5861</v>
      </c>
      <c r="GDB1" t="s">
        <v>5862</v>
      </c>
      <c r="GDC1" t="s">
        <v>5863</v>
      </c>
      <c r="GDD1" t="s">
        <v>5864</v>
      </c>
      <c r="GDE1" t="s">
        <v>5865</v>
      </c>
      <c r="GDF1" t="s">
        <v>5866</v>
      </c>
      <c r="GDG1" t="s">
        <v>5867</v>
      </c>
      <c r="GDH1" t="s">
        <v>5868</v>
      </c>
      <c r="GDI1" t="s">
        <v>5869</v>
      </c>
      <c r="GDJ1" t="s">
        <v>5870</v>
      </c>
      <c r="GDK1" t="s">
        <v>5871</v>
      </c>
      <c r="GDL1" t="s">
        <v>5872</v>
      </c>
      <c r="GDM1" t="s">
        <v>5873</v>
      </c>
      <c r="GDN1" t="s">
        <v>5874</v>
      </c>
      <c r="GDO1" t="s">
        <v>5875</v>
      </c>
      <c r="GDP1" t="s">
        <v>5876</v>
      </c>
      <c r="GDQ1" t="s">
        <v>5877</v>
      </c>
      <c r="GDR1" t="s">
        <v>5878</v>
      </c>
      <c r="GDS1" t="s">
        <v>5879</v>
      </c>
      <c r="GDT1" t="s">
        <v>5880</v>
      </c>
      <c r="GDU1" t="s">
        <v>5881</v>
      </c>
      <c r="GDV1" t="s">
        <v>5882</v>
      </c>
      <c r="GDW1" t="s">
        <v>5883</v>
      </c>
      <c r="GDX1" t="s">
        <v>5884</v>
      </c>
      <c r="GDY1" t="s">
        <v>5885</v>
      </c>
      <c r="GDZ1" t="s">
        <v>5886</v>
      </c>
      <c r="GEA1" t="s">
        <v>5887</v>
      </c>
      <c r="GEB1" t="s">
        <v>5888</v>
      </c>
      <c r="GEC1" t="s">
        <v>5889</v>
      </c>
      <c r="GED1" t="s">
        <v>5890</v>
      </c>
      <c r="GEE1" t="s">
        <v>5891</v>
      </c>
      <c r="GEF1" t="s">
        <v>5892</v>
      </c>
      <c r="GEG1" t="s">
        <v>5893</v>
      </c>
      <c r="GEH1" t="s">
        <v>5894</v>
      </c>
      <c r="GEI1" t="s">
        <v>5895</v>
      </c>
      <c r="GEJ1" t="s">
        <v>5896</v>
      </c>
      <c r="GEK1" t="s">
        <v>5897</v>
      </c>
      <c r="GEL1" t="s">
        <v>5898</v>
      </c>
      <c r="GEM1" t="s">
        <v>5899</v>
      </c>
      <c r="GEN1" t="s">
        <v>5900</v>
      </c>
      <c r="GEO1" t="s">
        <v>5901</v>
      </c>
      <c r="GEP1" t="s">
        <v>5902</v>
      </c>
      <c r="GEQ1" t="s">
        <v>5903</v>
      </c>
      <c r="GER1" t="s">
        <v>5904</v>
      </c>
      <c r="GES1" t="s">
        <v>5905</v>
      </c>
      <c r="GET1" t="s">
        <v>5906</v>
      </c>
      <c r="GEU1" t="s">
        <v>5907</v>
      </c>
      <c r="GEV1" t="s">
        <v>5908</v>
      </c>
      <c r="GEW1" t="s">
        <v>5909</v>
      </c>
      <c r="GEX1" t="s">
        <v>5910</v>
      </c>
      <c r="GEY1" t="s">
        <v>5911</v>
      </c>
      <c r="GEZ1" t="s">
        <v>5912</v>
      </c>
      <c r="GFA1" t="s">
        <v>5913</v>
      </c>
      <c r="GFB1" t="s">
        <v>5914</v>
      </c>
      <c r="GFC1" t="s">
        <v>5915</v>
      </c>
      <c r="GFD1" t="s">
        <v>5916</v>
      </c>
      <c r="GFE1" t="s">
        <v>5917</v>
      </c>
      <c r="GFF1" t="s">
        <v>5918</v>
      </c>
      <c r="GFG1" t="s">
        <v>5919</v>
      </c>
      <c r="GFH1" t="s">
        <v>5920</v>
      </c>
      <c r="GFI1" t="s">
        <v>5921</v>
      </c>
      <c r="GFJ1" t="s">
        <v>5922</v>
      </c>
      <c r="GFK1" t="s">
        <v>5923</v>
      </c>
      <c r="GFL1" t="s">
        <v>5924</v>
      </c>
      <c r="GFM1" t="s">
        <v>5925</v>
      </c>
      <c r="GFN1" t="s">
        <v>5926</v>
      </c>
      <c r="GFO1" t="s">
        <v>5927</v>
      </c>
      <c r="GFP1" t="s">
        <v>5928</v>
      </c>
      <c r="GFQ1" t="s">
        <v>5929</v>
      </c>
      <c r="GFR1" t="s">
        <v>5930</v>
      </c>
      <c r="GFS1" t="s">
        <v>5931</v>
      </c>
      <c r="GFT1" t="s">
        <v>5932</v>
      </c>
      <c r="GFU1" t="s">
        <v>5933</v>
      </c>
      <c r="GFV1" t="s">
        <v>5934</v>
      </c>
      <c r="GFW1" t="s">
        <v>5935</v>
      </c>
      <c r="GFX1" t="s">
        <v>5936</v>
      </c>
      <c r="GFY1" t="s">
        <v>5937</v>
      </c>
      <c r="GFZ1" t="s">
        <v>5938</v>
      </c>
      <c r="GGA1" t="s">
        <v>5939</v>
      </c>
      <c r="GGB1" t="s">
        <v>5940</v>
      </c>
      <c r="GGC1" t="s">
        <v>5941</v>
      </c>
      <c r="GGD1" t="s">
        <v>5942</v>
      </c>
      <c r="GGE1" t="s">
        <v>5943</v>
      </c>
      <c r="GGF1" t="s">
        <v>5944</v>
      </c>
      <c r="GGG1" t="s">
        <v>5945</v>
      </c>
      <c r="GGH1" t="s">
        <v>5946</v>
      </c>
      <c r="GGI1" t="s">
        <v>5947</v>
      </c>
      <c r="GGJ1" t="s">
        <v>5948</v>
      </c>
      <c r="GGK1" t="s">
        <v>5949</v>
      </c>
      <c r="GGL1" t="s">
        <v>5950</v>
      </c>
      <c r="GGM1" t="s">
        <v>5951</v>
      </c>
      <c r="GGN1" t="s">
        <v>5952</v>
      </c>
      <c r="GGO1" t="s">
        <v>5953</v>
      </c>
      <c r="GGP1" t="s">
        <v>5954</v>
      </c>
      <c r="GGQ1" t="s">
        <v>5955</v>
      </c>
      <c r="GGR1" t="s">
        <v>5956</v>
      </c>
      <c r="GGS1" t="s">
        <v>5957</v>
      </c>
      <c r="GGT1" t="s">
        <v>5958</v>
      </c>
      <c r="GGU1" t="s">
        <v>5959</v>
      </c>
      <c r="GGV1" t="s">
        <v>5960</v>
      </c>
      <c r="GGW1" t="s">
        <v>5961</v>
      </c>
      <c r="GGX1" t="s">
        <v>5962</v>
      </c>
      <c r="GGY1" t="s">
        <v>5963</v>
      </c>
      <c r="GGZ1" t="s">
        <v>5964</v>
      </c>
      <c r="GHA1" t="s">
        <v>5965</v>
      </c>
      <c r="GHB1" t="s">
        <v>5966</v>
      </c>
      <c r="GHC1" t="s">
        <v>5967</v>
      </c>
      <c r="GHD1" t="s">
        <v>5968</v>
      </c>
      <c r="GHE1" t="s">
        <v>5969</v>
      </c>
      <c r="GHF1" t="s">
        <v>5970</v>
      </c>
      <c r="GHG1" t="s">
        <v>5971</v>
      </c>
      <c r="GHH1" t="s">
        <v>5972</v>
      </c>
      <c r="GHI1" t="s">
        <v>5973</v>
      </c>
      <c r="GHJ1" t="s">
        <v>5974</v>
      </c>
      <c r="GHK1" t="s">
        <v>5975</v>
      </c>
      <c r="GHL1" t="s">
        <v>5976</v>
      </c>
      <c r="GHM1" t="s">
        <v>5977</v>
      </c>
      <c r="GHN1" t="s">
        <v>5978</v>
      </c>
      <c r="GHO1" t="s">
        <v>5979</v>
      </c>
      <c r="GHP1" t="s">
        <v>5980</v>
      </c>
      <c r="GHQ1" t="s">
        <v>5981</v>
      </c>
      <c r="GHR1" t="s">
        <v>5982</v>
      </c>
      <c r="GHS1" t="s">
        <v>5983</v>
      </c>
      <c r="GHT1" t="s">
        <v>5984</v>
      </c>
      <c r="GHU1" t="s">
        <v>5985</v>
      </c>
      <c r="GHV1" t="s">
        <v>5986</v>
      </c>
      <c r="GHW1" t="s">
        <v>5987</v>
      </c>
      <c r="GHX1" t="s">
        <v>5988</v>
      </c>
      <c r="GHY1" t="s">
        <v>5989</v>
      </c>
      <c r="GHZ1" t="s">
        <v>5990</v>
      </c>
      <c r="GIA1" t="s">
        <v>5991</v>
      </c>
      <c r="GIB1" t="s">
        <v>5992</v>
      </c>
      <c r="GIC1" t="s">
        <v>5993</v>
      </c>
      <c r="GID1" t="s">
        <v>5994</v>
      </c>
      <c r="GIE1" t="s">
        <v>5995</v>
      </c>
      <c r="GIF1" t="s">
        <v>5996</v>
      </c>
      <c r="GIG1" t="s">
        <v>5997</v>
      </c>
      <c r="GIH1" t="s">
        <v>5998</v>
      </c>
      <c r="GII1" t="s">
        <v>5999</v>
      </c>
      <c r="GIJ1" t="s">
        <v>6000</v>
      </c>
      <c r="GIK1" t="s">
        <v>6001</v>
      </c>
      <c r="GIL1" t="s">
        <v>6002</v>
      </c>
      <c r="GIM1" t="s">
        <v>6003</v>
      </c>
      <c r="GIN1" t="s">
        <v>6004</v>
      </c>
      <c r="GIO1" t="s">
        <v>6005</v>
      </c>
      <c r="GIP1" t="s">
        <v>6006</v>
      </c>
      <c r="GIQ1" t="s">
        <v>6007</v>
      </c>
      <c r="GIR1" t="s">
        <v>6008</v>
      </c>
      <c r="GIS1" t="s">
        <v>6009</v>
      </c>
      <c r="GIT1" t="s">
        <v>6010</v>
      </c>
      <c r="GIU1" t="s">
        <v>6011</v>
      </c>
      <c r="GIV1" t="s">
        <v>6012</v>
      </c>
      <c r="GIW1" t="s">
        <v>6013</v>
      </c>
      <c r="GIX1" t="s">
        <v>6014</v>
      </c>
      <c r="GIY1" t="s">
        <v>6015</v>
      </c>
      <c r="GIZ1" t="s">
        <v>6016</v>
      </c>
      <c r="GJA1" t="s">
        <v>6017</v>
      </c>
      <c r="GJB1" t="s">
        <v>6018</v>
      </c>
      <c r="GJC1" t="s">
        <v>6019</v>
      </c>
      <c r="GJD1" t="s">
        <v>6020</v>
      </c>
      <c r="GJE1" t="s">
        <v>6021</v>
      </c>
      <c r="GJF1" t="s">
        <v>6022</v>
      </c>
      <c r="GJG1" t="s">
        <v>6023</v>
      </c>
      <c r="GJH1" t="s">
        <v>6024</v>
      </c>
      <c r="GJI1" t="s">
        <v>6025</v>
      </c>
      <c r="GJJ1" t="s">
        <v>6026</v>
      </c>
      <c r="GJK1" t="s">
        <v>6027</v>
      </c>
      <c r="GJL1" t="s">
        <v>6028</v>
      </c>
      <c r="GJM1" t="s">
        <v>6029</v>
      </c>
      <c r="GJN1" t="s">
        <v>6030</v>
      </c>
      <c r="GJO1" t="s">
        <v>6031</v>
      </c>
      <c r="GJP1" t="s">
        <v>6032</v>
      </c>
      <c r="GJQ1" t="s">
        <v>6033</v>
      </c>
      <c r="GJR1" t="s">
        <v>6034</v>
      </c>
      <c r="GJS1" t="s">
        <v>6035</v>
      </c>
      <c r="GJT1" t="s">
        <v>6036</v>
      </c>
      <c r="GJU1" t="s">
        <v>6037</v>
      </c>
      <c r="GJV1" t="s">
        <v>6038</v>
      </c>
      <c r="GJW1" t="s">
        <v>6039</v>
      </c>
      <c r="GJX1" t="s">
        <v>6040</v>
      </c>
      <c r="GJY1" t="s">
        <v>6041</v>
      </c>
      <c r="GJZ1" t="s">
        <v>6042</v>
      </c>
      <c r="GKA1" t="s">
        <v>6043</v>
      </c>
      <c r="GKB1" t="s">
        <v>6044</v>
      </c>
      <c r="GKC1" t="s">
        <v>6045</v>
      </c>
      <c r="GKD1" t="s">
        <v>6046</v>
      </c>
      <c r="GKE1" t="s">
        <v>6047</v>
      </c>
      <c r="GKF1" t="s">
        <v>6048</v>
      </c>
      <c r="GKG1" t="s">
        <v>6049</v>
      </c>
      <c r="GKH1" t="s">
        <v>6050</v>
      </c>
      <c r="GKI1" t="s">
        <v>6051</v>
      </c>
      <c r="GKJ1" t="s">
        <v>6052</v>
      </c>
      <c r="GKK1" t="s">
        <v>6053</v>
      </c>
      <c r="GKL1" t="s">
        <v>6054</v>
      </c>
      <c r="GKM1" t="s">
        <v>6055</v>
      </c>
      <c r="GKN1" t="s">
        <v>6056</v>
      </c>
      <c r="GKO1" t="s">
        <v>6057</v>
      </c>
      <c r="GKP1" t="s">
        <v>6058</v>
      </c>
      <c r="GKQ1" t="s">
        <v>6059</v>
      </c>
      <c r="GKR1" t="s">
        <v>6060</v>
      </c>
      <c r="GKS1" t="s">
        <v>6061</v>
      </c>
      <c r="GKT1" t="s">
        <v>6062</v>
      </c>
      <c r="GKU1" t="s">
        <v>6063</v>
      </c>
      <c r="GKV1" t="s">
        <v>6064</v>
      </c>
      <c r="GKW1" t="s">
        <v>6065</v>
      </c>
      <c r="GKX1" t="s">
        <v>6066</v>
      </c>
      <c r="GKY1" t="s">
        <v>6067</v>
      </c>
      <c r="GKZ1" t="s">
        <v>6068</v>
      </c>
      <c r="GLA1" t="s">
        <v>6069</v>
      </c>
      <c r="GLB1" t="s">
        <v>6070</v>
      </c>
      <c r="GLC1" t="s">
        <v>6071</v>
      </c>
      <c r="GLD1" t="s">
        <v>6072</v>
      </c>
      <c r="GLE1" t="s">
        <v>6073</v>
      </c>
      <c r="GLF1" t="s">
        <v>6074</v>
      </c>
      <c r="GLG1" t="s">
        <v>6075</v>
      </c>
      <c r="GLH1" t="s">
        <v>6076</v>
      </c>
      <c r="GLI1" t="s">
        <v>6077</v>
      </c>
      <c r="GLJ1" t="s">
        <v>6078</v>
      </c>
      <c r="GLK1" t="s">
        <v>6079</v>
      </c>
      <c r="GLL1" t="s">
        <v>6080</v>
      </c>
      <c r="GLM1" t="s">
        <v>6081</v>
      </c>
      <c r="GLN1" t="s">
        <v>6082</v>
      </c>
      <c r="GLO1" t="s">
        <v>6083</v>
      </c>
      <c r="GLP1" t="s">
        <v>6084</v>
      </c>
      <c r="GLQ1" t="s">
        <v>6085</v>
      </c>
      <c r="GLR1" t="s">
        <v>6086</v>
      </c>
      <c r="GLS1" t="s">
        <v>6087</v>
      </c>
      <c r="GLT1" t="s">
        <v>6088</v>
      </c>
      <c r="GLU1" t="s">
        <v>6089</v>
      </c>
      <c r="GLV1" t="s">
        <v>6090</v>
      </c>
      <c r="GLW1" t="s">
        <v>6091</v>
      </c>
      <c r="GLX1" t="s">
        <v>6092</v>
      </c>
      <c r="GLY1" t="s">
        <v>6093</v>
      </c>
      <c r="GLZ1" t="s">
        <v>6094</v>
      </c>
      <c r="GMA1" t="s">
        <v>6095</v>
      </c>
      <c r="GMB1" t="s">
        <v>6096</v>
      </c>
      <c r="GMC1" t="s">
        <v>6097</v>
      </c>
      <c r="GMD1" t="s">
        <v>6098</v>
      </c>
      <c r="GME1" t="s">
        <v>6099</v>
      </c>
      <c r="GMF1" t="s">
        <v>6100</v>
      </c>
      <c r="GMG1" t="s">
        <v>6101</v>
      </c>
      <c r="GMH1" t="s">
        <v>6102</v>
      </c>
      <c r="GMI1" t="s">
        <v>6103</v>
      </c>
      <c r="GMJ1" t="s">
        <v>6104</v>
      </c>
      <c r="GMK1" t="s">
        <v>6105</v>
      </c>
      <c r="GML1" t="s">
        <v>6106</v>
      </c>
      <c r="GMM1" t="s">
        <v>6107</v>
      </c>
      <c r="GMN1" t="s">
        <v>6108</v>
      </c>
      <c r="GMO1" t="s">
        <v>6109</v>
      </c>
      <c r="GMP1" t="s">
        <v>6110</v>
      </c>
      <c r="GMQ1" t="s">
        <v>6111</v>
      </c>
      <c r="GMR1" t="s">
        <v>6112</v>
      </c>
      <c r="GMS1" t="s">
        <v>6113</v>
      </c>
      <c r="GMT1" t="s">
        <v>6114</v>
      </c>
      <c r="GMU1" t="s">
        <v>6115</v>
      </c>
      <c r="GMV1" t="s">
        <v>6116</v>
      </c>
      <c r="GMW1" t="s">
        <v>6117</v>
      </c>
      <c r="GMX1" t="s">
        <v>6118</v>
      </c>
      <c r="GMY1" t="s">
        <v>6119</v>
      </c>
      <c r="GMZ1" t="s">
        <v>6120</v>
      </c>
      <c r="GNA1" t="s">
        <v>6121</v>
      </c>
      <c r="GNB1" t="s">
        <v>6122</v>
      </c>
      <c r="GNC1" t="s">
        <v>6123</v>
      </c>
      <c r="GND1" t="s">
        <v>6124</v>
      </c>
      <c r="GNE1" t="s">
        <v>6125</v>
      </c>
      <c r="GNF1" t="s">
        <v>6126</v>
      </c>
      <c r="GNG1" t="s">
        <v>6127</v>
      </c>
      <c r="GNH1" t="s">
        <v>6128</v>
      </c>
      <c r="GNI1" t="s">
        <v>6129</v>
      </c>
      <c r="GNJ1" t="s">
        <v>6130</v>
      </c>
      <c r="GNK1" t="s">
        <v>6131</v>
      </c>
      <c r="GNL1" t="s">
        <v>6132</v>
      </c>
      <c r="GNM1" t="s">
        <v>6133</v>
      </c>
      <c r="GNN1" t="s">
        <v>6134</v>
      </c>
      <c r="GNO1" t="s">
        <v>6135</v>
      </c>
      <c r="GNP1" t="s">
        <v>6136</v>
      </c>
      <c r="GNQ1" t="s">
        <v>6137</v>
      </c>
      <c r="GNR1" t="s">
        <v>6138</v>
      </c>
      <c r="GNS1" t="s">
        <v>6139</v>
      </c>
      <c r="GNT1" t="s">
        <v>6140</v>
      </c>
      <c r="GNU1" t="s">
        <v>6141</v>
      </c>
      <c r="GNV1" t="s">
        <v>6142</v>
      </c>
      <c r="GNW1" t="s">
        <v>6143</v>
      </c>
      <c r="GNX1" t="s">
        <v>6144</v>
      </c>
      <c r="GNY1" t="s">
        <v>6145</v>
      </c>
      <c r="GNZ1" t="s">
        <v>6146</v>
      </c>
      <c r="GOA1" t="s">
        <v>6147</v>
      </c>
      <c r="GOB1" t="s">
        <v>6148</v>
      </c>
      <c r="GOC1" t="s">
        <v>6149</v>
      </c>
      <c r="GOD1" t="s">
        <v>6150</v>
      </c>
      <c r="GOE1" t="s">
        <v>6151</v>
      </c>
      <c r="GOF1" t="s">
        <v>6152</v>
      </c>
      <c r="GOG1" t="s">
        <v>6153</v>
      </c>
      <c r="GOH1" t="s">
        <v>6154</v>
      </c>
      <c r="GOI1" t="s">
        <v>6155</v>
      </c>
      <c r="GOJ1" t="s">
        <v>6156</v>
      </c>
      <c r="GOK1" t="s">
        <v>6157</v>
      </c>
      <c r="GOL1" t="s">
        <v>6158</v>
      </c>
      <c r="GOM1" t="s">
        <v>6159</v>
      </c>
      <c r="GON1" t="s">
        <v>6160</v>
      </c>
      <c r="GOO1" t="s">
        <v>6161</v>
      </c>
      <c r="GOP1" t="s">
        <v>6162</v>
      </c>
      <c r="GOQ1" t="s">
        <v>6163</v>
      </c>
      <c r="GOR1" t="s">
        <v>6164</v>
      </c>
      <c r="GOS1" t="s">
        <v>6165</v>
      </c>
      <c r="GOT1" t="s">
        <v>6166</v>
      </c>
      <c r="GOU1" t="s">
        <v>6167</v>
      </c>
      <c r="GOV1" t="s">
        <v>6168</v>
      </c>
      <c r="GOW1" t="s">
        <v>6169</v>
      </c>
      <c r="GOX1" t="s">
        <v>6170</v>
      </c>
      <c r="GOY1" t="s">
        <v>6171</v>
      </c>
      <c r="GOZ1" t="s">
        <v>6172</v>
      </c>
      <c r="GPA1" t="s">
        <v>6173</v>
      </c>
      <c r="GPB1" t="s">
        <v>6174</v>
      </c>
      <c r="GPC1" t="s">
        <v>6175</v>
      </c>
      <c r="GPD1" t="s">
        <v>6176</v>
      </c>
      <c r="GPE1" t="s">
        <v>6177</v>
      </c>
      <c r="GPF1" t="s">
        <v>6178</v>
      </c>
      <c r="GPG1" t="s">
        <v>6179</v>
      </c>
      <c r="GPH1" t="s">
        <v>6180</v>
      </c>
      <c r="GPI1" t="s">
        <v>6181</v>
      </c>
      <c r="GPJ1" t="s">
        <v>6182</v>
      </c>
      <c r="GPK1" t="s">
        <v>6183</v>
      </c>
      <c r="GPL1" t="s">
        <v>6184</v>
      </c>
      <c r="GPM1" t="s">
        <v>6185</v>
      </c>
      <c r="GPN1" t="s">
        <v>6186</v>
      </c>
      <c r="GPO1" t="s">
        <v>6187</v>
      </c>
      <c r="GPP1" t="s">
        <v>6188</v>
      </c>
      <c r="GPQ1" t="s">
        <v>6189</v>
      </c>
      <c r="GPR1" t="s">
        <v>6190</v>
      </c>
      <c r="GPS1" t="s">
        <v>6191</v>
      </c>
      <c r="GPT1" t="s">
        <v>6192</v>
      </c>
      <c r="GPU1" t="s">
        <v>6193</v>
      </c>
      <c r="GPV1" t="s">
        <v>6194</v>
      </c>
      <c r="GPW1" t="s">
        <v>6195</v>
      </c>
      <c r="GPX1" t="s">
        <v>6196</v>
      </c>
      <c r="GPY1" t="s">
        <v>6197</v>
      </c>
      <c r="GPZ1" t="s">
        <v>6198</v>
      </c>
      <c r="GQA1" t="s">
        <v>6199</v>
      </c>
      <c r="GQB1" t="s">
        <v>6200</v>
      </c>
      <c r="GQC1" t="s">
        <v>6201</v>
      </c>
      <c r="GQD1" t="s">
        <v>6202</v>
      </c>
      <c r="GQE1" t="s">
        <v>6203</v>
      </c>
      <c r="GQF1" t="s">
        <v>6204</v>
      </c>
      <c r="GQG1" t="s">
        <v>6205</v>
      </c>
      <c r="GQH1" t="s">
        <v>6206</v>
      </c>
      <c r="GQI1" t="s">
        <v>6207</v>
      </c>
      <c r="GQJ1" t="s">
        <v>6208</v>
      </c>
      <c r="GQK1" t="s">
        <v>6209</v>
      </c>
      <c r="GQL1" t="s">
        <v>6210</v>
      </c>
      <c r="GQM1" t="s">
        <v>6211</v>
      </c>
      <c r="GQN1" t="s">
        <v>6212</v>
      </c>
      <c r="GQO1" t="s">
        <v>6213</v>
      </c>
      <c r="GQP1" t="s">
        <v>6214</v>
      </c>
      <c r="GQQ1" t="s">
        <v>6215</v>
      </c>
      <c r="GQR1" t="s">
        <v>6216</v>
      </c>
      <c r="GQS1" t="s">
        <v>6217</v>
      </c>
      <c r="GQT1" t="s">
        <v>6218</v>
      </c>
      <c r="GQU1" t="s">
        <v>6219</v>
      </c>
      <c r="GQV1" t="s">
        <v>6220</v>
      </c>
      <c r="GQW1" t="s">
        <v>6221</v>
      </c>
      <c r="GQX1" t="s">
        <v>6222</v>
      </c>
      <c r="GQY1" t="s">
        <v>6223</v>
      </c>
      <c r="GQZ1" t="s">
        <v>6224</v>
      </c>
      <c r="GRA1" t="s">
        <v>6225</v>
      </c>
      <c r="GRB1" t="s">
        <v>6226</v>
      </c>
      <c r="GRC1" t="s">
        <v>6227</v>
      </c>
      <c r="GRD1" t="s">
        <v>6228</v>
      </c>
      <c r="GRE1" t="s">
        <v>6229</v>
      </c>
      <c r="GRF1" t="s">
        <v>6230</v>
      </c>
      <c r="GRG1" t="s">
        <v>6231</v>
      </c>
      <c r="GRH1" t="s">
        <v>6232</v>
      </c>
      <c r="GRI1" t="s">
        <v>6233</v>
      </c>
      <c r="GRJ1" t="s">
        <v>6234</v>
      </c>
      <c r="GRK1" t="s">
        <v>6235</v>
      </c>
      <c r="GRL1" t="s">
        <v>6236</v>
      </c>
      <c r="GRM1" t="s">
        <v>6237</v>
      </c>
      <c r="GRN1" t="s">
        <v>6238</v>
      </c>
      <c r="GRO1" t="s">
        <v>6239</v>
      </c>
      <c r="GRP1" t="s">
        <v>6240</v>
      </c>
      <c r="GRQ1" t="s">
        <v>6241</v>
      </c>
      <c r="GRR1" t="s">
        <v>6242</v>
      </c>
      <c r="GRS1" t="s">
        <v>6243</v>
      </c>
      <c r="GRT1" t="s">
        <v>6244</v>
      </c>
      <c r="GRU1" t="s">
        <v>6245</v>
      </c>
      <c r="GRV1" t="s">
        <v>6246</v>
      </c>
      <c r="GRW1" t="s">
        <v>6247</v>
      </c>
      <c r="GRX1" t="s">
        <v>6248</v>
      </c>
      <c r="GRY1" t="s">
        <v>6249</v>
      </c>
      <c r="GRZ1" t="s">
        <v>6250</v>
      </c>
      <c r="GSA1" t="s">
        <v>6251</v>
      </c>
      <c r="GSB1" t="s">
        <v>6252</v>
      </c>
      <c r="GSC1" t="s">
        <v>6253</v>
      </c>
      <c r="GSD1" t="s">
        <v>6254</v>
      </c>
      <c r="GSE1" t="s">
        <v>6255</v>
      </c>
      <c r="GSF1" t="s">
        <v>6256</v>
      </c>
      <c r="GSG1" t="s">
        <v>6257</v>
      </c>
      <c r="GSH1" t="s">
        <v>6258</v>
      </c>
      <c r="GSI1" t="s">
        <v>6259</v>
      </c>
      <c r="GSJ1" t="s">
        <v>6260</v>
      </c>
      <c r="GSK1" t="s">
        <v>6261</v>
      </c>
      <c r="GSL1" t="s">
        <v>6262</v>
      </c>
      <c r="GSM1" t="s">
        <v>6263</v>
      </c>
      <c r="GSN1" t="s">
        <v>6264</v>
      </c>
      <c r="GSO1" t="s">
        <v>6265</v>
      </c>
      <c r="GSP1" t="s">
        <v>6266</v>
      </c>
      <c r="GSQ1" t="s">
        <v>6267</v>
      </c>
      <c r="GSR1" t="s">
        <v>6268</v>
      </c>
      <c r="GSS1" t="s">
        <v>6269</v>
      </c>
      <c r="GST1" t="s">
        <v>6270</v>
      </c>
      <c r="GSU1" t="s">
        <v>6271</v>
      </c>
      <c r="GSV1" t="s">
        <v>6272</v>
      </c>
      <c r="GSW1" t="s">
        <v>6273</v>
      </c>
      <c r="GSX1" t="s">
        <v>6274</v>
      </c>
      <c r="GSY1" t="s">
        <v>6275</v>
      </c>
      <c r="GSZ1" t="s">
        <v>6276</v>
      </c>
      <c r="GTA1" t="s">
        <v>6277</v>
      </c>
      <c r="GTB1" t="s">
        <v>6278</v>
      </c>
      <c r="GTC1" t="s">
        <v>6279</v>
      </c>
      <c r="GTD1" t="s">
        <v>6280</v>
      </c>
      <c r="GTE1" t="s">
        <v>6281</v>
      </c>
      <c r="GTF1" t="s">
        <v>6282</v>
      </c>
      <c r="GTG1" t="s">
        <v>6283</v>
      </c>
      <c r="GTH1" t="s">
        <v>6284</v>
      </c>
      <c r="GTI1" t="s">
        <v>6285</v>
      </c>
      <c r="GTJ1" t="s">
        <v>6286</v>
      </c>
      <c r="GTK1" t="s">
        <v>6287</v>
      </c>
      <c r="GTL1" t="s">
        <v>6288</v>
      </c>
      <c r="GTM1" t="s">
        <v>6289</v>
      </c>
      <c r="GTN1" t="s">
        <v>6290</v>
      </c>
      <c r="GTO1" t="s">
        <v>6291</v>
      </c>
      <c r="GTP1" t="s">
        <v>6292</v>
      </c>
      <c r="GTQ1" t="s">
        <v>6293</v>
      </c>
      <c r="GTR1" t="s">
        <v>6294</v>
      </c>
      <c r="GTS1" t="s">
        <v>6295</v>
      </c>
      <c r="GTT1" t="s">
        <v>6296</v>
      </c>
      <c r="GTU1" t="s">
        <v>6297</v>
      </c>
      <c r="GTV1" t="s">
        <v>6298</v>
      </c>
      <c r="GTW1" t="s">
        <v>6299</v>
      </c>
      <c r="GTX1" t="s">
        <v>6300</v>
      </c>
      <c r="GTY1" t="s">
        <v>6301</v>
      </c>
      <c r="GTZ1" t="s">
        <v>6302</v>
      </c>
      <c r="GUA1" t="s">
        <v>6303</v>
      </c>
      <c r="GUB1" t="s">
        <v>6304</v>
      </c>
      <c r="GUC1" t="s">
        <v>6305</v>
      </c>
      <c r="GUD1" t="s">
        <v>6306</v>
      </c>
      <c r="GUE1" t="s">
        <v>6307</v>
      </c>
      <c r="GUF1" t="s">
        <v>6308</v>
      </c>
      <c r="GUG1" t="s">
        <v>6309</v>
      </c>
      <c r="GUH1" t="s">
        <v>6310</v>
      </c>
      <c r="GUI1" t="s">
        <v>6311</v>
      </c>
      <c r="GUJ1" t="s">
        <v>6312</v>
      </c>
      <c r="GUK1" t="s">
        <v>6313</v>
      </c>
      <c r="GUL1" t="s">
        <v>6314</v>
      </c>
      <c r="GUM1" t="s">
        <v>6315</v>
      </c>
      <c r="GUN1" t="s">
        <v>6316</v>
      </c>
      <c r="GUO1" t="s">
        <v>6317</v>
      </c>
      <c r="GUP1" t="s">
        <v>6318</v>
      </c>
      <c r="GUQ1" t="s">
        <v>6319</v>
      </c>
      <c r="GUR1" t="s">
        <v>6320</v>
      </c>
      <c r="GUS1" t="s">
        <v>6321</v>
      </c>
      <c r="GUT1" t="s">
        <v>6322</v>
      </c>
      <c r="GUU1" t="s">
        <v>6323</v>
      </c>
      <c r="GUV1" t="s">
        <v>6324</v>
      </c>
      <c r="GUW1" t="s">
        <v>6325</v>
      </c>
      <c r="GUX1" t="s">
        <v>6326</v>
      </c>
      <c r="GUY1" t="s">
        <v>6327</v>
      </c>
      <c r="GUZ1" t="s">
        <v>6328</v>
      </c>
      <c r="GVA1" t="s">
        <v>6329</v>
      </c>
      <c r="GVB1" t="s">
        <v>6330</v>
      </c>
      <c r="GVC1" t="s">
        <v>6331</v>
      </c>
      <c r="GVD1" t="s">
        <v>6332</v>
      </c>
      <c r="GVE1" t="s">
        <v>6333</v>
      </c>
      <c r="GVF1" t="s">
        <v>6334</v>
      </c>
      <c r="GVG1" t="s">
        <v>6335</v>
      </c>
      <c r="GVH1" t="s">
        <v>6336</v>
      </c>
      <c r="GVI1" t="s">
        <v>6337</v>
      </c>
      <c r="GVJ1" t="s">
        <v>6338</v>
      </c>
      <c r="GVK1" t="s">
        <v>6339</v>
      </c>
      <c r="GVL1" t="s">
        <v>6340</v>
      </c>
      <c r="GVM1" t="s">
        <v>6341</v>
      </c>
      <c r="GVN1" t="s">
        <v>6342</v>
      </c>
      <c r="GVO1" t="s">
        <v>6343</v>
      </c>
      <c r="GVP1" t="s">
        <v>6344</v>
      </c>
      <c r="GVQ1" t="s">
        <v>6345</v>
      </c>
      <c r="GVR1" t="s">
        <v>6346</v>
      </c>
      <c r="GVS1" t="s">
        <v>6347</v>
      </c>
      <c r="GVT1" t="s">
        <v>6348</v>
      </c>
      <c r="GVU1" t="s">
        <v>6349</v>
      </c>
      <c r="GVV1" t="s">
        <v>6350</v>
      </c>
      <c r="GVW1" t="s">
        <v>6351</v>
      </c>
      <c r="GVX1" t="s">
        <v>6352</v>
      </c>
      <c r="GVY1" t="s">
        <v>6353</v>
      </c>
      <c r="GVZ1" t="s">
        <v>6354</v>
      </c>
      <c r="GWA1" t="s">
        <v>6355</v>
      </c>
      <c r="GWB1" t="s">
        <v>6356</v>
      </c>
      <c r="GWC1" t="s">
        <v>6357</v>
      </c>
      <c r="GWD1" t="s">
        <v>6358</v>
      </c>
      <c r="GWE1" t="s">
        <v>6359</v>
      </c>
      <c r="GWF1" t="s">
        <v>6360</v>
      </c>
      <c r="GWG1" t="s">
        <v>6361</v>
      </c>
      <c r="GWH1" t="s">
        <v>6362</v>
      </c>
      <c r="GWI1" t="s">
        <v>6363</v>
      </c>
      <c r="GWJ1" t="s">
        <v>6364</v>
      </c>
      <c r="GWK1" t="s">
        <v>6365</v>
      </c>
      <c r="GWL1" t="s">
        <v>6366</v>
      </c>
      <c r="GWM1" t="s">
        <v>6367</v>
      </c>
      <c r="GWN1" t="s">
        <v>6368</v>
      </c>
      <c r="GWO1" t="s">
        <v>6369</v>
      </c>
      <c r="GWP1" t="s">
        <v>6370</v>
      </c>
      <c r="GWQ1" t="s">
        <v>6371</v>
      </c>
      <c r="GWR1" t="s">
        <v>6372</v>
      </c>
      <c r="GWS1" t="s">
        <v>6373</v>
      </c>
      <c r="GWT1" t="s">
        <v>6374</v>
      </c>
      <c r="GWU1" t="s">
        <v>6375</v>
      </c>
      <c r="GWV1" t="s">
        <v>6376</v>
      </c>
      <c r="GWW1" t="s">
        <v>6377</v>
      </c>
      <c r="GWX1" t="s">
        <v>6378</v>
      </c>
      <c r="GWY1" t="s">
        <v>6379</v>
      </c>
      <c r="GWZ1" t="s">
        <v>6380</v>
      </c>
      <c r="GXA1" t="s">
        <v>6381</v>
      </c>
      <c r="GXB1" t="s">
        <v>6382</v>
      </c>
      <c r="GXC1" t="s">
        <v>6383</v>
      </c>
      <c r="GXD1" t="s">
        <v>6384</v>
      </c>
      <c r="GXE1" t="s">
        <v>6385</v>
      </c>
      <c r="GXF1" t="s">
        <v>6386</v>
      </c>
      <c r="GXG1" t="s">
        <v>6387</v>
      </c>
      <c r="GXH1" t="s">
        <v>6388</v>
      </c>
      <c r="GXI1" t="s">
        <v>6389</v>
      </c>
      <c r="GXJ1" t="s">
        <v>6390</v>
      </c>
      <c r="GXK1" t="s">
        <v>6391</v>
      </c>
      <c r="GXL1" t="s">
        <v>6392</v>
      </c>
      <c r="GXM1" t="s">
        <v>6393</v>
      </c>
      <c r="GXN1" t="s">
        <v>6394</v>
      </c>
      <c r="GXO1" t="s">
        <v>6395</v>
      </c>
      <c r="GXP1" t="s">
        <v>6396</v>
      </c>
      <c r="GXQ1" t="s">
        <v>6397</v>
      </c>
      <c r="GXR1" t="s">
        <v>6398</v>
      </c>
      <c r="GXS1" t="s">
        <v>6399</v>
      </c>
      <c r="GXT1" t="s">
        <v>6400</v>
      </c>
      <c r="GXU1" t="s">
        <v>6401</v>
      </c>
      <c r="GXV1" t="s">
        <v>6402</v>
      </c>
      <c r="GXW1" t="s">
        <v>6403</v>
      </c>
      <c r="GXX1" t="s">
        <v>6404</v>
      </c>
      <c r="GXY1" t="s">
        <v>6405</v>
      </c>
      <c r="GXZ1" t="s">
        <v>6406</v>
      </c>
      <c r="GYA1" t="s">
        <v>6407</v>
      </c>
      <c r="GYB1" t="s">
        <v>6408</v>
      </c>
      <c r="GYC1" t="s">
        <v>6409</v>
      </c>
      <c r="GYD1" t="s">
        <v>6410</v>
      </c>
      <c r="GYE1" t="s">
        <v>6411</v>
      </c>
      <c r="GYF1" t="s">
        <v>6412</v>
      </c>
      <c r="GYG1" t="s">
        <v>6413</v>
      </c>
      <c r="GYH1" t="s">
        <v>6414</v>
      </c>
      <c r="GYI1" t="s">
        <v>6415</v>
      </c>
      <c r="GYJ1" t="s">
        <v>6416</v>
      </c>
      <c r="GYK1" t="s">
        <v>6417</v>
      </c>
      <c r="GYL1" t="s">
        <v>6418</v>
      </c>
      <c r="GYM1" t="s">
        <v>6419</v>
      </c>
      <c r="GYN1" t="s">
        <v>6420</v>
      </c>
      <c r="GYO1" t="s">
        <v>6421</v>
      </c>
      <c r="GYP1" t="s">
        <v>6422</v>
      </c>
      <c r="GYQ1" t="s">
        <v>6423</v>
      </c>
      <c r="GYR1" t="s">
        <v>6424</v>
      </c>
      <c r="GYS1" t="s">
        <v>6425</v>
      </c>
      <c r="GYT1" t="s">
        <v>6426</v>
      </c>
      <c r="GYU1" t="s">
        <v>6427</v>
      </c>
      <c r="GYV1" t="s">
        <v>6428</v>
      </c>
      <c r="GYW1" t="s">
        <v>6429</v>
      </c>
      <c r="GYX1" t="s">
        <v>6430</v>
      </c>
      <c r="GYY1" t="s">
        <v>6431</v>
      </c>
      <c r="GYZ1" t="s">
        <v>6432</v>
      </c>
      <c r="GZA1" t="s">
        <v>6433</v>
      </c>
      <c r="GZB1" t="s">
        <v>6434</v>
      </c>
      <c r="GZC1" t="s">
        <v>6435</v>
      </c>
      <c r="GZD1" t="s">
        <v>6436</v>
      </c>
      <c r="GZE1" t="s">
        <v>6437</v>
      </c>
      <c r="GZF1" t="s">
        <v>6438</v>
      </c>
      <c r="GZG1" t="s">
        <v>6439</v>
      </c>
      <c r="GZH1" t="s">
        <v>6440</v>
      </c>
      <c r="GZI1" t="s">
        <v>6441</v>
      </c>
      <c r="GZJ1" t="s">
        <v>6442</v>
      </c>
      <c r="GZK1" t="s">
        <v>6443</v>
      </c>
      <c r="GZL1" t="s">
        <v>6444</v>
      </c>
      <c r="GZM1" t="s">
        <v>6445</v>
      </c>
      <c r="GZN1" t="s">
        <v>6446</v>
      </c>
      <c r="GZO1" t="s">
        <v>6447</v>
      </c>
      <c r="GZP1" t="s">
        <v>6448</v>
      </c>
      <c r="GZQ1" t="s">
        <v>6449</v>
      </c>
      <c r="GZR1" t="s">
        <v>6450</v>
      </c>
      <c r="GZS1" t="s">
        <v>6451</v>
      </c>
      <c r="GZT1" t="s">
        <v>6452</v>
      </c>
      <c r="GZU1" t="s">
        <v>6453</v>
      </c>
      <c r="GZV1" t="s">
        <v>6454</v>
      </c>
      <c r="GZW1" t="s">
        <v>6455</v>
      </c>
      <c r="GZX1" t="s">
        <v>6456</v>
      </c>
      <c r="GZY1" t="s">
        <v>6457</v>
      </c>
      <c r="GZZ1" t="s">
        <v>6458</v>
      </c>
      <c r="HAA1" t="s">
        <v>6459</v>
      </c>
      <c r="HAB1" t="s">
        <v>6460</v>
      </c>
      <c r="HAC1" t="s">
        <v>6461</v>
      </c>
      <c r="HAD1" t="s">
        <v>6462</v>
      </c>
      <c r="HAE1" t="s">
        <v>6463</v>
      </c>
      <c r="HAF1" t="s">
        <v>6464</v>
      </c>
      <c r="HAG1" t="s">
        <v>6465</v>
      </c>
      <c r="HAH1" t="s">
        <v>6466</v>
      </c>
      <c r="HAI1" t="s">
        <v>6467</v>
      </c>
      <c r="HAJ1" t="s">
        <v>6468</v>
      </c>
      <c r="HAK1" t="s">
        <v>6469</v>
      </c>
      <c r="HAL1" t="s">
        <v>6470</v>
      </c>
      <c r="HAM1" t="s">
        <v>6471</v>
      </c>
      <c r="HAN1" t="s">
        <v>6472</v>
      </c>
      <c r="HAO1" t="s">
        <v>6473</v>
      </c>
      <c r="HAP1" t="s">
        <v>6474</v>
      </c>
      <c r="HAQ1" t="s">
        <v>6475</v>
      </c>
      <c r="HAR1" t="s">
        <v>6476</v>
      </c>
      <c r="HAS1" t="s">
        <v>6477</v>
      </c>
      <c r="HAT1" t="s">
        <v>6478</v>
      </c>
      <c r="HAU1" t="s">
        <v>6479</v>
      </c>
      <c r="HAV1" t="s">
        <v>6480</v>
      </c>
      <c r="HAW1" t="s">
        <v>6481</v>
      </c>
      <c r="HAX1" t="s">
        <v>6482</v>
      </c>
      <c r="HAY1" t="s">
        <v>6483</v>
      </c>
      <c r="HAZ1" t="s">
        <v>6484</v>
      </c>
      <c r="HBA1" t="s">
        <v>6485</v>
      </c>
      <c r="HBB1" t="s">
        <v>6486</v>
      </c>
      <c r="HBC1" t="s">
        <v>6487</v>
      </c>
      <c r="HBD1" t="s">
        <v>6488</v>
      </c>
      <c r="HBE1" t="s">
        <v>6489</v>
      </c>
      <c r="HBF1" t="s">
        <v>6490</v>
      </c>
      <c r="HBG1" t="s">
        <v>6491</v>
      </c>
      <c r="HBH1" t="s">
        <v>6492</v>
      </c>
      <c r="HBI1" t="s">
        <v>6493</v>
      </c>
      <c r="HBJ1" t="s">
        <v>6494</v>
      </c>
      <c r="HBK1" t="s">
        <v>6495</v>
      </c>
      <c r="HBL1" t="s">
        <v>6496</v>
      </c>
      <c r="HBM1" t="s">
        <v>6497</v>
      </c>
      <c r="HBN1" t="s">
        <v>6498</v>
      </c>
      <c r="HBO1" t="s">
        <v>6499</v>
      </c>
      <c r="HBP1" t="s">
        <v>6500</v>
      </c>
      <c r="HBQ1" t="s">
        <v>6501</v>
      </c>
      <c r="HBR1" t="s">
        <v>6502</v>
      </c>
      <c r="HBS1" t="s">
        <v>6503</v>
      </c>
      <c r="HBT1" t="s">
        <v>6504</v>
      </c>
      <c r="HBU1" t="s">
        <v>6505</v>
      </c>
      <c r="HBV1" t="s">
        <v>6506</v>
      </c>
      <c r="HBW1" t="s">
        <v>6507</v>
      </c>
      <c r="HBX1" t="s">
        <v>6508</v>
      </c>
      <c r="HBY1" t="s">
        <v>6509</v>
      </c>
      <c r="HBZ1" t="s">
        <v>6510</v>
      </c>
      <c r="HCA1" t="s">
        <v>6511</v>
      </c>
      <c r="HCB1" t="s">
        <v>6512</v>
      </c>
      <c r="HCC1" t="s">
        <v>6513</v>
      </c>
      <c r="HCD1" t="s">
        <v>6514</v>
      </c>
      <c r="HCE1" t="s">
        <v>6515</v>
      </c>
      <c r="HCF1" t="s">
        <v>6516</v>
      </c>
      <c r="HCG1" t="s">
        <v>6517</v>
      </c>
      <c r="HCH1" t="s">
        <v>6518</v>
      </c>
      <c r="HCI1" t="s">
        <v>6519</v>
      </c>
      <c r="HCJ1" t="s">
        <v>6520</v>
      </c>
      <c r="HCK1" t="s">
        <v>6521</v>
      </c>
      <c r="HCL1" t="s">
        <v>6522</v>
      </c>
      <c r="HCM1" t="s">
        <v>6523</v>
      </c>
      <c r="HCN1" t="s">
        <v>6524</v>
      </c>
      <c r="HCO1" t="s">
        <v>6525</v>
      </c>
      <c r="HCP1" t="s">
        <v>6526</v>
      </c>
      <c r="HCQ1" t="s">
        <v>6527</v>
      </c>
      <c r="HCR1" t="s">
        <v>6528</v>
      </c>
      <c r="HCS1" t="s">
        <v>6529</v>
      </c>
      <c r="HCT1" t="s">
        <v>6530</v>
      </c>
      <c r="HCU1" t="s">
        <v>6531</v>
      </c>
      <c r="HCV1" t="s">
        <v>6532</v>
      </c>
      <c r="HCW1" t="s">
        <v>6533</v>
      </c>
      <c r="HCX1" t="s">
        <v>6534</v>
      </c>
      <c r="HCY1" t="s">
        <v>6535</v>
      </c>
      <c r="HCZ1" t="s">
        <v>6536</v>
      </c>
      <c r="HDA1" t="s">
        <v>6537</v>
      </c>
      <c r="HDB1" t="s">
        <v>6538</v>
      </c>
      <c r="HDC1" t="s">
        <v>6539</v>
      </c>
      <c r="HDD1" t="s">
        <v>6540</v>
      </c>
      <c r="HDE1" t="s">
        <v>6541</v>
      </c>
      <c r="HDF1" t="s">
        <v>6542</v>
      </c>
      <c r="HDG1" t="s">
        <v>6543</v>
      </c>
      <c r="HDH1" t="s">
        <v>6544</v>
      </c>
      <c r="HDI1" t="s">
        <v>6545</v>
      </c>
      <c r="HDJ1" t="s">
        <v>6546</v>
      </c>
      <c r="HDK1" t="s">
        <v>6547</v>
      </c>
      <c r="HDL1" t="s">
        <v>6548</v>
      </c>
      <c r="HDM1" t="s">
        <v>6549</v>
      </c>
      <c r="HDN1" t="s">
        <v>6550</v>
      </c>
      <c r="HDO1" t="s">
        <v>6551</v>
      </c>
      <c r="HDP1" t="s">
        <v>6552</v>
      </c>
      <c r="HDQ1" t="s">
        <v>6553</v>
      </c>
      <c r="HDR1" t="s">
        <v>6554</v>
      </c>
      <c r="HDS1" t="s">
        <v>6555</v>
      </c>
      <c r="HDT1" t="s">
        <v>6556</v>
      </c>
      <c r="HDU1" t="s">
        <v>6557</v>
      </c>
      <c r="HDV1" t="s">
        <v>6558</v>
      </c>
      <c r="HDW1" t="s">
        <v>6559</v>
      </c>
      <c r="HDX1" t="s">
        <v>6560</v>
      </c>
      <c r="HDY1" t="s">
        <v>6561</v>
      </c>
      <c r="HDZ1" t="s">
        <v>6562</v>
      </c>
      <c r="HEA1" t="s">
        <v>6563</v>
      </c>
      <c r="HEB1" t="s">
        <v>6564</v>
      </c>
      <c r="HEC1" t="s">
        <v>6565</v>
      </c>
      <c r="HED1" t="s">
        <v>6566</v>
      </c>
      <c r="HEE1" t="s">
        <v>6567</v>
      </c>
      <c r="HEF1" t="s">
        <v>6568</v>
      </c>
      <c r="HEG1" t="s">
        <v>6569</v>
      </c>
      <c r="HEH1" t="s">
        <v>6570</v>
      </c>
      <c r="HEI1" t="s">
        <v>6571</v>
      </c>
      <c r="HEJ1" t="s">
        <v>6572</v>
      </c>
      <c r="HEK1" t="s">
        <v>6573</v>
      </c>
      <c r="HEL1" t="s">
        <v>6574</v>
      </c>
      <c r="HEM1" t="s">
        <v>6575</v>
      </c>
      <c r="HEN1" t="s">
        <v>6576</v>
      </c>
      <c r="HEO1" t="s">
        <v>6577</v>
      </c>
      <c r="HEP1" t="s">
        <v>6578</v>
      </c>
      <c r="HEQ1" t="s">
        <v>6579</v>
      </c>
      <c r="HER1" t="s">
        <v>6580</v>
      </c>
      <c r="HES1" t="s">
        <v>6581</v>
      </c>
      <c r="HET1" t="s">
        <v>6582</v>
      </c>
      <c r="HEU1" t="s">
        <v>6583</v>
      </c>
      <c r="HEV1" t="s">
        <v>6584</v>
      </c>
      <c r="HEW1" t="s">
        <v>6585</v>
      </c>
      <c r="HEX1" t="s">
        <v>6586</v>
      </c>
      <c r="HEY1" t="s">
        <v>6587</v>
      </c>
      <c r="HEZ1" t="s">
        <v>6588</v>
      </c>
      <c r="HFA1" t="s">
        <v>6589</v>
      </c>
      <c r="HFB1" t="s">
        <v>6590</v>
      </c>
      <c r="HFC1" t="s">
        <v>6591</v>
      </c>
      <c r="HFD1" t="s">
        <v>6592</v>
      </c>
      <c r="HFE1" t="s">
        <v>6593</v>
      </c>
      <c r="HFF1" t="s">
        <v>6594</v>
      </c>
      <c r="HFG1" t="s">
        <v>6595</v>
      </c>
      <c r="HFH1" t="s">
        <v>6596</v>
      </c>
      <c r="HFI1" t="s">
        <v>6597</v>
      </c>
      <c r="HFJ1" t="s">
        <v>6598</v>
      </c>
      <c r="HFK1" t="s">
        <v>6599</v>
      </c>
      <c r="HFL1" t="s">
        <v>6600</v>
      </c>
      <c r="HFM1" t="s">
        <v>6601</v>
      </c>
      <c r="HFN1" t="s">
        <v>6602</v>
      </c>
      <c r="HFO1" t="s">
        <v>6603</v>
      </c>
      <c r="HFP1" t="s">
        <v>6604</v>
      </c>
      <c r="HFQ1" t="s">
        <v>6605</v>
      </c>
      <c r="HFR1" t="s">
        <v>6606</v>
      </c>
      <c r="HFS1" t="s">
        <v>6607</v>
      </c>
      <c r="HFT1" t="s">
        <v>6608</v>
      </c>
      <c r="HFU1" t="s">
        <v>6609</v>
      </c>
      <c r="HFV1" t="s">
        <v>6610</v>
      </c>
      <c r="HFW1" t="s">
        <v>6611</v>
      </c>
      <c r="HFX1" t="s">
        <v>6612</v>
      </c>
      <c r="HFY1" t="s">
        <v>6613</v>
      </c>
      <c r="HFZ1" t="s">
        <v>6614</v>
      </c>
      <c r="HGA1" t="s">
        <v>6615</v>
      </c>
      <c r="HGB1" t="s">
        <v>6616</v>
      </c>
      <c r="HGC1" t="s">
        <v>6617</v>
      </c>
      <c r="HGD1" t="s">
        <v>6618</v>
      </c>
      <c r="HGE1" t="s">
        <v>6619</v>
      </c>
      <c r="HGF1" t="s">
        <v>6620</v>
      </c>
      <c r="HGG1" t="s">
        <v>6621</v>
      </c>
      <c r="HGH1" t="s">
        <v>6622</v>
      </c>
      <c r="HGI1" t="s">
        <v>6623</v>
      </c>
      <c r="HGJ1" t="s">
        <v>6624</v>
      </c>
      <c r="HGK1" t="s">
        <v>6625</v>
      </c>
      <c r="HGL1" t="s">
        <v>6626</v>
      </c>
      <c r="HGM1" t="s">
        <v>6627</v>
      </c>
      <c r="HGN1" t="s">
        <v>6628</v>
      </c>
      <c r="HGO1" t="s">
        <v>6629</v>
      </c>
      <c r="HGP1" t="s">
        <v>6630</v>
      </c>
      <c r="HGQ1" t="s">
        <v>6631</v>
      </c>
      <c r="HGR1" t="s">
        <v>6632</v>
      </c>
      <c r="HGS1" t="s">
        <v>6633</v>
      </c>
      <c r="HGT1" t="s">
        <v>6634</v>
      </c>
      <c r="HGU1" t="s">
        <v>6635</v>
      </c>
      <c r="HGV1" t="s">
        <v>6636</v>
      </c>
      <c r="HGW1" t="s">
        <v>6637</v>
      </c>
      <c r="HGX1" t="s">
        <v>6638</v>
      </c>
      <c r="HGY1" t="s">
        <v>6639</v>
      </c>
      <c r="HGZ1" t="s">
        <v>6640</v>
      </c>
      <c r="HHA1" t="s">
        <v>6641</v>
      </c>
      <c r="HHB1" t="s">
        <v>6642</v>
      </c>
      <c r="HHC1" t="s">
        <v>6643</v>
      </c>
      <c r="HHD1" t="s">
        <v>6644</v>
      </c>
      <c r="HHE1" t="s">
        <v>6645</v>
      </c>
      <c r="HHF1" t="s">
        <v>6646</v>
      </c>
      <c r="HHG1" t="s">
        <v>6647</v>
      </c>
      <c r="HHH1" t="s">
        <v>6648</v>
      </c>
      <c r="HHI1" t="s">
        <v>6649</v>
      </c>
      <c r="HHJ1" t="s">
        <v>6650</v>
      </c>
      <c r="HHK1" t="s">
        <v>6651</v>
      </c>
      <c r="HHL1" t="s">
        <v>6652</v>
      </c>
      <c r="HHM1" t="s">
        <v>6653</v>
      </c>
      <c r="HHN1" t="s">
        <v>6654</v>
      </c>
      <c r="HHO1" t="s">
        <v>6655</v>
      </c>
      <c r="HHP1" t="s">
        <v>6656</v>
      </c>
      <c r="HHQ1" t="s">
        <v>6657</v>
      </c>
      <c r="HHR1" t="s">
        <v>6658</v>
      </c>
      <c r="HHS1" t="s">
        <v>6659</v>
      </c>
      <c r="HHT1" t="s">
        <v>6660</v>
      </c>
      <c r="HHU1" t="s">
        <v>6661</v>
      </c>
      <c r="HHV1" t="s">
        <v>6662</v>
      </c>
      <c r="HHW1" t="s">
        <v>6663</v>
      </c>
      <c r="HHX1" t="s">
        <v>6664</v>
      </c>
      <c r="HHY1" t="s">
        <v>6665</v>
      </c>
      <c r="HHZ1" t="s">
        <v>6666</v>
      </c>
      <c r="HIA1" t="s">
        <v>6667</v>
      </c>
      <c r="HIB1" t="s">
        <v>6668</v>
      </c>
      <c r="HIC1" t="s">
        <v>6669</v>
      </c>
      <c r="HID1" t="s">
        <v>6670</v>
      </c>
      <c r="HIE1" t="s">
        <v>6671</v>
      </c>
      <c r="HIF1" t="s">
        <v>6672</v>
      </c>
      <c r="HIG1" t="s">
        <v>6673</v>
      </c>
      <c r="HIH1" t="s">
        <v>6674</v>
      </c>
      <c r="HII1" t="s">
        <v>6675</v>
      </c>
      <c r="HIJ1" t="s">
        <v>6676</v>
      </c>
      <c r="HIK1" t="s">
        <v>6677</v>
      </c>
      <c r="HIL1" t="s">
        <v>6678</v>
      </c>
      <c r="HIM1" t="s">
        <v>6679</v>
      </c>
      <c r="HIN1" t="s">
        <v>6680</v>
      </c>
      <c r="HIO1" t="s">
        <v>6681</v>
      </c>
      <c r="HIP1" t="s">
        <v>6682</v>
      </c>
      <c r="HIQ1" t="s">
        <v>6683</v>
      </c>
      <c r="HIR1" t="s">
        <v>6684</v>
      </c>
      <c r="HIS1" t="s">
        <v>6685</v>
      </c>
      <c r="HIT1" t="s">
        <v>6686</v>
      </c>
      <c r="HIU1" t="s">
        <v>6687</v>
      </c>
      <c r="HIV1" t="s">
        <v>6688</v>
      </c>
      <c r="HIW1" t="s">
        <v>6689</v>
      </c>
      <c r="HIX1" t="s">
        <v>6690</v>
      </c>
      <c r="HIY1" t="s">
        <v>6691</v>
      </c>
      <c r="HIZ1" t="s">
        <v>6692</v>
      </c>
      <c r="HJA1" t="s">
        <v>6693</v>
      </c>
      <c r="HJB1" t="s">
        <v>6694</v>
      </c>
      <c r="HJC1" t="s">
        <v>6695</v>
      </c>
      <c r="HJD1" t="s">
        <v>6696</v>
      </c>
      <c r="HJE1" t="s">
        <v>6697</v>
      </c>
      <c r="HJF1" t="s">
        <v>6698</v>
      </c>
      <c r="HJG1" t="s">
        <v>6699</v>
      </c>
      <c r="HJH1" t="s">
        <v>6700</v>
      </c>
      <c r="HJI1" t="s">
        <v>6701</v>
      </c>
      <c r="HJJ1" t="s">
        <v>6702</v>
      </c>
      <c r="HJK1" t="s">
        <v>6703</v>
      </c>
      <c r="HJL1" t="s">
        <v>6704</v>
      </c>
      <c r="HJM1" t="s">
        <v>6705</v>
      </c>
      <c r="HJN1" t="s">
        <v>6706</v>
      </c>
      <c r="HJO1" t="s">
        <v>6707</v>
      </c>
      <c r="HJP1" t="s">
        <v>6708</v>
      </c>
      <c r="HJQ1" t="s">
        <v>6709</v>
      </c>
      <c r="HJR1" t="s">
        <v>6710</v>
      </c>
      <c r="HJS1" t="s">
        <v>6711</v>
      </c>
      <c r="HJT1" t="s">
        <v>6712</v>
      </c>
      <c r="HJU1" t="s">
        <v>6713</v>
      </c>
      <c r="HJV1" t="s">
        <v>6714</v>
      </c>
      <c r="HJW1" t="s">
        <v>6715</v>
      </c>
      <c r="HJX1" t="s">
        <v>6716</v>
      </c>
      <c r="HJY1" t="s">
        <v>6717</v>
      </c>
      <c r="HJZ1" t="s">
        <v>6718</v>
      </c>
      <c r="HKA1" t="s">
        <v>6719</v>
      </c>
      <c r="HKB1" t="s">
        <v>6720</v>
      </c>
      <c r="HKC1" t="s">
        <v>6721</v>
      </c>
      <c r="HKD1" t="s">
        <v>6722</v>
      </c>
      <c r="HKE1" t="s">
        <v>6723</v>
      </c>
      <c r="HKF1" t="s">
        <v>6724</v>
      </c>
      <c r="HKG1" t="s">
        <v>6725</v>
      </c>
      <c r="HKH1" t="s">
        <v>6726</v>
      </c>
      <c r="HKI1" t="s">
        <v>6727</v>
      </c>
      <c r="HKJ1" t="s">
        <v>6728</v>
      </c>
      <c r="HKK1" t="s">
        <v>6729</v>
      </c>
      <c r="HKL1" t="s">
        <v>6730</v>
      </c>
      <c r="HKM1" t="s">
        <v>6731</v>
      </c>
      <c r="HKN1" t="s">
        <v>6732</v>
      </c>
      <c r="HKO1" t="s">
        <v>6733</v>
      </c>
      <c r="HKP1" t="s">
        <v>6734</v>
      </c>
      <c r="HKQ1" t="s">
        <v>6735</v>
      </c>
      <c r="HKR1" t="s">
        <v>6736</v>
      </c>
      <c r="HKS1" t="s">
        <v>6737</v>
      </c>
      <c r="HKT1" t="s">
        <v>6738</v>
      </c>
      <c r="HKU1" t="s">
        <v>6739</v>
      </c>
      <c r="HKV1" t="s">
        <v>6740</v>
      </c>
      <c r="HKW1" t="s">
        <v>6741</v>
      </c>
      <c r="HKX1" t="s">
        <v>6742</v>
      </c>
      <c r="HKY1" t="s">
        <v>6743</v>
      </c>
      <c r="HKZ1" t="s">
        <v>6744</v>
      </c>
      <c r="HLA1" t="s">
        <v>6745</v>
      </c>
      <c r="HLB1" t="s">
        <v>6746</v>
      </c>
      <c r="HLC1" t="s">
        <v>6747</v>
      </c>
      <c r="HLD1" t="s">
        <v>6748</v>
      </c>
      <c r="HLE1" t="s">
        <v>6749</v>
      </c>
      <c r="HLF1" t="s">
        <v>6750</v>
      </c>
      <c r="HLG1" t="s">
        <v>6751</v>
      </c>
      <c r="HLH1" t="s">
        <v>6752</v>
      </c>
      <c r="HLI1" t="s">
        <v>6753</v>
      </c>
      <c r="HLJ1" t="s">
        <v>6754</v>
      </c>
      <c r="HLK1" t="s">
        <v>6755</v>
      </c>
      <c r="HLL1" t="s">
        <v>6756</v>
      </c>
      <c r="HLM1" t="s">
        <v>6757</v>
      </c>
      <c r="HLN1" t="s">
        <v>6758</v>
      </c>
      <c r="HLO1" t="s">
        <v>6759</v>
      </c>
      <c r="HLP1" t="s">
        <v>6760</v>
      </c>
      <c r="HLQ1" t="s">
        <v>6761</v>
      </c>
      <c r="HLR1" t="s">
        <v>6762</v>
      </c>
      <c r="HLS1" t="s">
        <v>6763</v>
      </c>
      <c r="HLT1" t="s">
        <v>6764</v>
      </c>
      <c r="HLU1" t="s">
        <v>6765</v>
      </c>
      <c r="HLV1" t="s">
        <v>6766</v>
      </c>
      <c r="HLW1" t="s">
        <v>6767</v>
      </c>
      <c r="HLX1" t="s">
        <v>6768</v>
      </c>
      <c r="HLY1" t="s">
        <v>6769</v>
      </c>
      <c r="HLZ1" t="s">
        <v>6770</v>
      </c>
      <c r="HMA1" t="s">
        <v>6771</v>
      </c>
      <c r="HMB1" t="s">
        <v>6772</v>
      </c>
      <c r="HMC1" t="s">
        <v>6773</v>
      </c>
      <c r="HMD1" t="s">
        <v>6774</v>
      </c>
      <c r="HME1" t="s">
        <v>6775</v>
      </c>
      <c r="HMF1" t="s">
        <v>6776</v>
      </c>
      <c r="HMG1" t="s">
        <v>6777</v>
      </c>
      <c r="HMH1" t="s">
        <v>6778</v>
      </c>
      <c r="HMI1" t="s">
        <v>6779</v>
      </c>
      <c r="HMJ1" t="s">
        <v>6780</v>
      </c>
      <c r="HMK1" t="s">
        <v>6781</v>
      </c>
      <c r="HML1" t="s">
        <v>6782</v>
      </c>
      <c r="HMM1" t="s">
        <v>6783</v>
      </c>
      <c r="HMN1" t="s">
        <v>6784</v>
      </c>
      <c r="HMO1" t="s">
        <v>6785</v>
      </c>
      <c r="HMP1" t="s">
        <v>6786</v>
      </c>
      <c r="HMQ1" t="s">
        <v>6787</v>
      </c>
      <c r="HMR1" t="s">
        <v>6788</v>
      </c>
      <c r="HMS1" t="s">
        <v>6789</v>
      </c>
      <c r="HMT1" t="s">
        <v>6790</v>
      </c>
      <c r="HMU1" t="s">
        <v>6791</v>
      </c>
      <c r="HMV1" t="s">
        <v>6792</v>
      </c>
      <c r="HMW1" t="s">
        <v>6793</v>
      </c>
      <c r="HMX1" t="s">
        <v>6794</v>
      </c>
      <c r="HMY1" t="s">
        <v>6795</v>
      </c>
      <c r="HMZ1" t="s">
        <v>6796</v>
      </c>
      <c r="HNA1" t="s">
        <v>6797</v>
      </c>
      <c r="HNB1" t="s">
        <v>6798</v>
      </c>
      <c r="HNC1" t="s">
        <v>6799</v>
      </c>
      <c r="HND1" t="s">
        <v>6800</v>
      </c>
      <c r="HNE1" t="s">
        <v>6801</v>
      </c>
      <c r="HNF1" t="s">
        <v>6802</v>
      </c>
      <c r="HNG1" t="s">
        <v>6803</v>
      </c>
      <c r="HNH1" t="s">
        <v>6804</v>
      </c>
      <c r="HNI1" t="s">
        <v>6805</v>
      </c>
      <c r="HNJ1" t="s">
        <v>6806</v>
      </c>
      <c r="HNK1" t="s">
        <v>6807</v>
      </c>
      <c r="HNL1" t="s">
        <v>6808</v>
      </c>
      <c r="HNM1" t="s">
        <v>6809</v>
      </c>
      <c r="HNN1" t="s">
        <v>6810</v>
      </c>
      <c r="HNO1" t="s">
        <v>6811</v>
      </c>
      <c r="HNP1" t="s">
        <v>6812</v>
      </c>
      <c r="HNQ1" t="s">
        <v>6813</v>
      </c>
      <c r="HNR1" t="s">
        <v>6814</v>
      </c>
      <c r="HNS1" t="s">
        <v>6815</v>
      </c>
      <c r="HNT1" t="s">
        <v>6816</v>
      </c>
      <c r="HNU1" t="s">
        <v>6817</v>
      </c>
      <c r="HNV1" t="s">
        <v>6818</v>
      </c>
      <c r="HNW1" t="s">
        <v>6819</v>
      </c>
      <c r="HNX1" t="s">
        <v>6820</v>
      </c>
      <c r="HNY1" t="s">
        <v>6821</v>
      </c>
      <c r="HNZ1" t="s">
        <v>6822</v>
      </c>
      <c r="HOA1" t="s">
        <v>6823</v>
      </c>
      <c r="HOB1" t="s">
        <v>6824</v>
      </c>
      <c r="HOC1" t="s">
        <v>6825</v>
      </c>
      <c r="HOD1" t="s">
        <v>6826</v>
      </c>
      <c r="HOE1" t="s">
        <v>6827</v>
      </c>
      <c r="HOF1" t="s">
        <v>6828</v>
      </c>
      <c r="HOG1" t="s">
        <v>6829</v>
      </c>
      <c r="HOH1" t="s">
        <v>6830</v>
      </c>
      <c r="HOI1" t="s">
        <v>6831</v>
      </c>
      <c r="HOJ1" t="s">
        <v>6832</v>
      </c>
      <c r="HOK1" t="s">
        <v>6833</v>
      </c>
      <c r="HOL1" t="s">
        <v>6834</v>
      </c>
      <c r="HOM1" t="s">
        <v>6835</v>
      </c>
      <c r="HON1" t="s">
        <v>6836</v>
      </c>
      <c r="HOO1" t="s">
        <v>6837</v>
      </c>
      <c r="HOP1" t="s">
        <v>6838</v>
      </c>
      <c r="HOQ1" t="s">
        <v>6839</v>
      </c>
      <c r="HOR1" t="s">
        <v>6840</v>
      </c>
      <c r="HOS1" t="s">
        <v>6841</v>
      </c>
      <c r="HOT1" t="s">
        <v>6842</v>
      </c>
      <c r="HOU1" t="s">
        <v>6843</v>
      </c>
      <c r="HOV1" t="s">
        <v>6844</v>
      </c>
      <c r="HOW1" t="s">
        <v>6845</v>
      </c>
      <c r="HOX1" t="s">
        <v>6846</v>
      </c>
      <c r="HOY1" t="s">
        <v>6847</v>
      </c>
      <c r="HOZ1" t="s">
        <v>6848</v>
      </c>
      <c r="HPA1" t="s">
        <v>6849</v>
      </c>
      <c r="HPB1" t="s">
        <v>6850</v>
      </c>
      <c r="HPC1" t="s">
        <v>6851</v>
      </c>
      <c r="HPD1" t="s">
        <v>6852</v>
      </c>
      <c r="HPE1" t="s">
        <v>6853</v>
      </c>
      <c r="HPF1" t="s">
        <v>6854</v>
      </c>
      <c r="HPG1" t="s">
        <v>6855</v>
      </c>
      <c r="HPH1" t="s">
        <v>6856</v>
      </c>
      <c r="HPI1" t="s">
        <v>6857</v>
      </c>
      <c r="HPJ1" t="s">
        <v>6858</v>
      </c>
      <c r="HPK1" t="s">
        <v>6859</v>
      </c>
      <c r="HPL1" t="s">
        <v>6860</v>
      </c>
      <c r="HPM1" t="s">
        <v>6861</v>
      </c>
      <c r="HPN1" t="s">
        <v>6862</v>
      </c>
      <c r="HPO1" t="s">
        <v>6863</v>
      </c>
      <c r="HPP1" t="s">
        <v>6864</v>
      </c>
      <c r="HPQ1" t="s">
        <v>6865</v>
      </c>
      <c r="HPR1" t="s">
        <v>6866</v>
      </c>
      <c r="HPS1" t="s">
        <v>6867</v>
      </c>
      <c r="HPT1" t="s">
        <v>6868</v>
      </c>
      <c r="HPU1" t="s">
        <v>6869</v>
      </c>
      <c r="HPV1" t="s">
        <v>6870</v>
      </c>
      <c r="HPW1" t="s">
        <v>6871</v>
      </c>
      <c r="HPX1" t="s">
        <v>6872</v>
      </c>
      <c r="HPY1" t="s">
        <v>6873</v>
      </c>
      <c r="HPZ1" t="s">
        <v>6874</v>
      </c>
      <c r="HQA1" t="s">
        <v>6875</v>
      </c>
      <c r="HQB1" t="s">
        <v>6876</v>
      </c>
      <c r="HQC1" t="s">
        <v>6877</v>
      </c>
      <c r="HQD1" t="s">
        <v>6878</v>
      </c>
      <c r="HQE1" t="s">
        <v>6879</v>
      </c>
      <c r="HQF1" t="s">
        <v>6880</v>
      </c>
      <c r="HQG1" t="s">
        <v>6881</v>
      </c>
      <c r="HQH1" t="s">
        <v>6882</v>
      </c>
      <c r="HQI1" t="s">
        <v>6883</v>
      </c>
      <c r="HQJ1" t="s">
        <v>6884</v>
      </c>
      <c r="HQK1" t="s">
        <v>6885</v>
      </c>
      <c r="HQL1" t="s">
        <v>6886</v>
      </c>
      <c r="HQM1" t="s">
        <v>6887</v>
      </c>
      <c r="HQN1" t="s">
        <v>6888</v>
      </c>
      <c r="HQO1" t="s">
        <v>6889</v>
      </c>
      <c r="HQP1" t="s">
        <v>6890</v>
      </c>
      <c r="HQQ1" t="s">
        <v>6891</v>
      </c>
      <c r="HQR1" t="s">
        <v>6892</v>
      </c>
      <c r="HQS1" t="s">
        <v>6893</v>
      </c>
      <c r="HQT1" t="s">
        <v>6894</v>
      </c>
      <c r="HQU1" t="s">
        <v>6895</v>
      </c>
      <c r="HQV1" t="s">
        <v>6896</v>
      </c>
      <c r="HQW1" t="s">
        <v>6897</v>
      </c>
      <c r="HQX1" t="s">
        <v>6898</v>
      </c>
      <c r="HQY1" t="s">
        <v>6899</v>
      </c>
      <c r="HQZ1" t="s">
        <v>6900</v>
      </c>
      <c r="HRA1" t="s">
        <v>6901</v>
      </c>
      <c r="HRB1" t="s">
        <v>6902</v>
      </c>
      <c r="HRC1" t="s">
        <v>6903</v>
      </c>
      <c r="HRD1" t="s">
        <v>6904</v>
      </c>
      <c r="HRE1" t="s">
        <v>6905</v>
      </c>
      <c r="HRF1" t="s">
        <v>6906</v>
      </c>
      <c r="HRG1" t="s">
        <v>6907</v>
      </c>
      <c r="HRH1" t="s">
        <v>6908</v>
      </c>
      <c r="HRI1" t="s">
        <v>6909</v>
      </c>
      <c r="HRJ1" t="s">
        <v>6910</v>
      </c>
      <c r="HRK1" t="s">
        <v>6911</v>
      </c>
      <c r="HRL1" t="s">
        <v>6912</v>
      </c>
      <c r="HRM1" t="s">
        <v>6913</v>
      </c>
      <c r="HRN1" t="s">
        <v>6914</v>
      </c>
      <c r="HRO1" t="s">
        <v>6915</v>
      </c>
      <c r="HRP1" t="s">
        <v>6916</v>
      </c>
      <c r="HRQ1" t="s">
        <v>6917</v>
      </c>
      <c r="HRR1" t="s">
        <v>6918</v>
      </c>
      <c r="HRS1" t="s">
        <v>6919</v>
      </c>
      <c r="HRT1" t="s">
        <v>6920</v>
      </c>
      <c r="HRU1" t="s">
        <v>6921</v>
      </c>
      <c r="HRV1" t="s">
        <v>6922</v>
      </c>
      <c r="HRW1" t="s">
        <v>6923</v>
      </c>
      <c r="HRX1" t="s">
        <v>6924</v>
      </c>
      <c r="HRY1" t="s">
        <v>6925</v>
      </c>
      <c r="HRZ1" t="s">
        <v>6926</v>
      </c>
      <c r="HSA1" t="s">
        <v>6927</v>
      </c>
      <c r="HSB1" t="s">
        <v>6928</v>
      </c>
      <c r="HSC1" t="s">
        <v>6929</v>
      </c>
      <c r="HSD1" t="s">
        <v>6930</v>
      </c>
      <c r="HSE1" t="s">
        <v>6931</v>
      </c>
      <c r="HSF1" t="s">
        <v>6932</v>
      </c>
      <c r="HSG1" t="s">
        <v>6933</v>
      </c>
      <c r="HSH1" t="s">
        <v>6934</v>
      </c>
      <c r="HSI1" t="s">
        <v>6935</v>
      </c>
      <c r="HSJ1" t="s">
        <v>6936</v>
      </c>
      <c r="HSK1" t="s">
        <v>6937</v>
      </c>
      <c r="HSL1" t="s">
        <v>6938</v>
      </c>
      <c r="HSM1" t="s">
        <v>6939</v>
      </c>
      <c r="HSN1" t="s">
        <v>6940</v>
      </c>
      <c r="HSO1" t="s">
        <v>6941</v>
      </c>
      <c r="HSP1" t="s">
        <v>6942</v>
      </c>
      <c r="HSQ1" t="s">
        <v>6943</v>
      </c>
      <c r="HSR1" t="s">
        <v>6944</v>
      </c>
      <c r="HSS1" t="s">
        <v>6945</v>
      </c>
      <c r="HST1" t="s">
        <v>6946</v>
      </c>
      <c r="HSU1" t="s">
        <v>6947</v>
      </c>
      <c r="HSV1" t="s">
        <v>6948</v>
      </c>
      <c r="HSW1" t="s">
        <v>6949</v>
      </c>
      <c r="HSX1" t="s">
        <v>6950</v>
      </c>
      <c r="HSY1" t="s">
        <v>6951</v>
      </c>
      <c r="HSZ1" t="s">
        <v>6952</v>
      </c>
      <c r="HTA1" t="s">
        <v>6953</v>
      </c>
      <c r="HTB1" t="s">
        <v>6954</v>
      </c>
      <c r="HTC1" t="s">
        <v>6955</v>
      </c>
      <c r="HTD1" t="s">
        <v>6956</v>
      </c>
      <c r="HTE1" t="s">
        <v>6957</v>
      </c>
      <c r="HTF1" t="s">
        <v>6958</v>
      </c>
      <c r="HTG1" t="s">
        <v>6959</v>
      </c>
      <c r="HTH1" t="s">
        <v>6960</v>
      </c>
      <c r="HTI1" t="s">
        <v>6961</v>
      </c>
      <c r="HTJ1" t="s">
        <v>6962</v>
      </c>
      <c r="HTK1" t="s">
        <v>6963</v>
      </c>
      <c r="HTL1" t="s">
        <v>6964</v>
      </c>
      <c r="HTM1" t="s">
        <v>6965</v>
      </c>
      <c r="HTN1" t="s">
        <v>6966</v>
      </c>
      <c r="HTO1" t="s">
        <v>6967</v>
      </c>
      <c r="HTP1" t="s">
        <v>6968</v>
      </c>
      <c r="HTQ1" t="s">
        <v>6969</v>
      </c>
      <c r="HTR1" t="s">
        <v>6970</v>
      </c>
      <c r="HTS1" t="s">
        <v>6971</v>
      </c>
      <c r="HTT1" t="s">
        <v>6972</v>
      </c>
      <c r="HTU1" t="s">
        <v>6973</v>
      </c>
      <c r="HTV1" t="s">
        <v>6974</v>
      </c>
      <c r="HTW1" t="s">
        <v>6975</v>
      </c>
      <c r="HTX1" t="s">
        <v>6976</v>
      </c>
      <c r="HTY1" t="s">
        <v>6977</v>
      </c>
      <c r="HTZ1" t="s">
        <v>6978</v>
      </c>
      <c r="HUA1" t="s">
        <v>6979</v>
      </c>
      <c r="HUB1" t="s">
        <v>6980</v>
      </c>
      <c r="HUC1" t="s">
        <v>6981</v>
      </c>
      <c r="HUD1" t="s">
        <v>6982</v>
      </c>
      <c r="HUE1" t="s">
        <v>6983</v>
      </c>
      <c r="HUF1" t="s">
        <v>6984</v>
      </c>
      <c r="HUG1" t="s">
        <v>6985</v>
      </c>
      <c r="HUH1" t="s">
        <v>6986</v>
      </c>
      <c r="HUI1" t="s">
        <v>6987</v>
      </c>
      <c r="HUJ1" t="s">
        <v>6988</v>
      </c>
      <c r="HUK1" t="s">
        <v>6989</v>
      </c>
      <c r="HUL1" t="s">
        <v>6990</v>
      </c>
      <c r="HUM1" t="s">
        <v>6991</v>
      </c>
      <c r="HUN1" t="s">
        <v>6992</v>
      </c>
      <c r="HUO1" t="s">
        <v>6993</v>
      </c>
      <c r="HUP1" t="s">
        <v>6994</v>
      </c>
      <c r="HUQ1" t="s">
        <v>6995</v>
      </c>
      <c r="HUR1" t="s">
        <v>6996</v>
      </c>
      <c r="HUS1" t="s">
        <v>6997</v>
      </c>
      <c r="HUT1" t="s">
        <v>6998</v>
      </c>
      <c r="HUU1" t="s">
        <v>6999</v>
      </c>
      <c r="HUV1" t="s">
        <v>7000</v>
      </c>
      <c r="HUW1" t="s">
        <v>7001</v>
      </c>
      <c r="HUX1" t="s">
        <v>7002</v>
      </c>
      <c r="HUY1" t="s">
        <v>7003</v>
      </c>
      <c r="HUZ1" t="s">
        <v>7004</v>
      </c>
      <c r="HVA1" t="s">
        <v>7005</v>
      </c>
      <c r="HVB1" t="s">
        <v>7006</v>
      </c>
      <c r="HVC1" t="s">
        <v>7007</v>
      </c>
      <c r="HVD1" t="s">
        <v>7008</v>
      </c>
      <c r="HVE1" t="s">
        <v>7009</v>
      </c>
      <c r="HVF1" t="s">
        <v>7010</v>
      </c>
      <c r="HVG1" t="s">
        <v>7011</v>
      </c>
      <c r="HVH1" t="s">
        <v>7012</v>
      </c>
      <c r="HVI1" t="s">
        <v>7013</v>
      </c>
      <c r="HVJ1" t="s">
        <v>7014</v>
      </c>
      <c r="HVK1" t="s">
        <v>7015</v>
      </c>
      <c r="HVL1" t="s">
        <v>7016</v>
      </c>
      <c r="HVM1" t="s">
        <v>7017</v>
      </c>
      <c r="HVN1" t="s">
        <v>7018</v>
      </c>
      <c r="HVO1" t="s">
        <v>7019</v>
      </c>
      <c r="HVP1" t="s">
        <v>7020</v>
      </c>
      <c r="HVQ1" t="s">
        <v>7021</v>
      </c>
      <c r="HVR1" t="s">
        <v>7022</v>
      </c>
      <c r="HVS1" t="s">
        <v>7023</v>
      </c>
      <c r="HVT1" t="s">
        <v>7024</v>
      </c>
      <c r="HVU1" t="s">
        <v>7025</v>
      </c>
      <c r="HVV1" t="s">
        <v>7026</v>
      </c>
      <c r="HVW1" t="s">
        <v>7027</v>
      </c>
      <c r="HVX1" t="s">
        <v>7028</v>
      </c>
      <c r="HVY1" t="s">
        <v>7029</v>
      </c>
      <c r="HVZ1" t="s">
        <v>7030</v>
      </c>
      <c r="HWA1" t="s">
        <v>7031</v>
      </c>
      <c r="HWB1" t="s">
        <v>7032</v>
      </c>
      <c r="HWC1" t="s">
        <v>7033</v>
      </c>
      <c r="HWD1" t="s">
        <v>7034</v>
      </c>
      <c r="HWE1" t="s">
        <v>7035</v>
      </c>
      <c r="HWF1" t="s">
        <v>7036</v>
      </c>
      <c r="HWG1" t="s">
        <v>7037</v>
      </c>
      <c r="HWH1" t="s">
        <v>7038</v>
      </c>
      <c r="HWI1" t="s">
        <v>7039</v>
      </c>
      <c r="HWJ1" t="s">
        <v>7040</v>
      </c>
      <c r="HWK1" t="s">
        <v>7041</v>
      </c>
      <c r="HWL1" t="s">
        <v>7042</v>
      </c>
      <c r="HWM1" t="s">
        <v>7043</v>
      </c>
      <c r="HWN1" t="s">
        <v>7044</v>
      </c>
      <c r="HWO1" t="s">
        <v>7045</v>
      </c>
      <c r="HWP1" t="s">
        <v>7046</v>
      </c>
      <c r="HWQ1" t="s">
        <v>7047</v>
      </c>
      <c r="HWR1" t="s">
        <v>7048</v>
      </c>
      <c r="HWS1" t="s">
        <v>7049</v>
      </c>
      <c r="HWT1" t="s">
        <v>7050</v>
      </c>
      <c r="HWU1" t="s">
        <v>7051</v>
      </c>
      <c r="HWV1" t="s">
        <v>7052</v>
      </c>
      <c r="HWW1" t="s">
        <v>7053</v>
      </c>
      <c r="HWX1" t="s">
        <v>7054</v>
      </c>
      <c r="HWY1" t="s">
        <v>7055</v>
      </c>
      <c r="HWZ1" t="s">
        <v>7056</v>
      </c>
      <c r="HXA1" t="s">
        <v>7057</v>
      </c>
      <c r="HXB1" t="s">
        <v>7058</v>
      </c>
      <c r="HXC1" t="s">
        <v>7059</v>
      </c>
      <c r="HXD1" t="s">
        <v>7060</v>
      </c>
      <c r="HXE1" t="s">
        <v>7061</v>
      </c>
      <c r="HXF1" t="s">
        <v>7062</v>
      </c>
      <c r="HXG1" t="s">
        <v>7063</v>
      </c>
      <c r="HXH1" t="s">
        <v>7064</v>
      </c>
      <c r="HXI1" t="s">
        <v>7065</v>
      </c>
      <c r="HXJ1" t="s">
        <v>7066</v>
      </c>
      <c r="HXK1" t="s">
        <v>7067</v>
      </c>
      <c r="HXL1" t="s">
        <v>7068</v>
      </c>
      <c r="HXM1" t="s">
        <v>7069</v>
      </c>
      <c r="HXN1" t="s">
        <v>7070</v>
      </c>
      <c r="HXO1" t="s">
        <v>7071</v>
      </c>
      <c r="HXP1" t="s">
        <v>7072</v>
      </c>
      <c r="HXQ1" t="s">
        <v>7073</v>
      </c>
      <c r="HXR1" t="s">
        <v>7074</v>
      </c>
      <c r="HXS1" t="s">
        <v>7075</v>
      </c>
      <c r="HXT1" t="s">
        <v>7076</v>
      </c>
      <c r="HXU1" t="s">
        <v>7077</v>
      </c>
      <c r="HXV1" t="s">
        <v>7078</v>
      </c>
      <c r="HXW1" t="s">
        <v>7079</v>
      </c>
      <c r="HXX1" t="s">
        <v>7080</v>
      </c>
      <c r="HXY1" t="s">
        <v>7081</v>
      </c>
      <c r="HXZ1" t="s">
        <v>7082</v>
      </c>
      <c r="HYA1" t="s">
        <v>7083</v>
      </c>
      <c r="HYB1" t="s">
        <v>7084</v>
      </c>
      <c r="HYC1" t="s">
        <v>7085</v>
      </c>
      <c r="HYD1" t="s">
        <v>7086</v>
      </c>
      <c r="HYE1" t="s">
        <v>7087</v>
      </c>
      <c r="HYF1" t="s">
        <v>7088</v>
      </c>
      <c r="HYG1" t="s">
        <v>7089</v>
      </c>
      <c r="HYH1" t="s">
        <v>7090</v>
      </c>
      <c r="HYI1" t="s">
        <v>7091</v>
      </c>
      <c r="HYJ1" t="s">
        <v>7092</v>
      </c>
      <c r="HYK1" t="s">
        <v>7093</v>
      </c>
      <c r="HYL1" t="s">
        <v>7094</v>
      </c>
      <c r="HYM1" t="s">
        <v>7095</v>
      </c>
      <c r="HYN1" t="s">
        <v>7096</v>
      </c>
      <c r="HYO1" t="s">
        <v>7097</v>
      </c>
      <c r="HYP1" t="s">
        <v>7098</v>
      </c>
      <c r="HYQ1" t="s">
        <v>7099</v>
      </c>
      <c r="HYR1" t="s">
        <v>7100</v>
      </c>
      <c r="HYS1" t="s">
        <v>7101</v>
      </c>
      <c r="HYT1" t="s">
        <v>7102</v>
      </c>
      <c r="HYU1" t="s">
        <v>7103</v>
      </c>
      <c r="HYV1" t="s">
        <v>7104</v>
      </c>
      <c r="HYW1" t="s">
        <v>7105</v>
      </c>
      <c r="HYX1" t="s">
        <v>7106</v>
      </c>
      <c r="HYY1" t="s">
        <v>7107</v>
      </c>
      <c r="HYZ1" t="s">
        <v>7108</v>
      </c>
      <c r="HZA1" t="s">
        <v>7109</v>
      </c>
      <c r="HZB1" t="s">
        <v>7110</v>
      </c>
      <c r="HZC1" t="s">
        <v>7111</v>
      </c>
      <c r="HZD1" t="s">
        <v>7112</v>
      </c>
      <c r="HZE1" t="s">
        <v>7113</v>
      </c>
      <c r="HZF1" t="s">
        <v>7114</v>
      </c>
      <c r="HZG1" t="s">
        <v>7115</v>
      </c>
      <c r="HZH1" t="s">
        <v>7116</v>
      </c>
      <c r="HZI1" t="s">
        <v>7117</v>
      </c>
      <c r="HZJ1" t="s">
        <v>7118</v>
      </c>
      <c r="HZK1" t="s">
        <v>7119</v>
      </c>
      <c r="HZL1" t="s">
        <v>7120</v>
      </c>
      <c r="HZM1" t="s">
        <v>7121</v>
      </c>
      <c r="HZN1" t="s">
        <v>7122</v>
      </c>
      <c r="HZO1" t="s">
        <v>7123</v>
      </c>
      <c r="HZP1" t="s">
        <v>7124</v>
      </c>
      <c r="HZQ1" t="s">
        <v>7125</v>
      </c>
      <c r="HZR1" t="s">
        <v>7126</v>
      </c>
      <c r="HZS1" t="s">
        <v>7127</v>
      </c>
      <c r="HZT1" t="s">
        <v>7128</v>
      </c>
      <c r="HZU1" t="s">
        <v>7129</v>
      </c>
      <c r="HZV1" t="s">
        <v>7130</v>
      </c>
      <c r="HZW1" t="s">
        <v>7131</v>
      </c>
      <c r="HZX1" t="s">
        <v>7132</v>
      </c>
      <c r="HZY1" t="s">
        <v>7133</v>
      </c>
      <c r="HZZ1" t="s">
        <v>7134</v>
      </c>
      <c r="IAA1" t="s">
        <v>7135</v>
      </c>
      <c r="IAB1" t="s">
        <v>7136</v>
      </c>
      <c r="IAC1" t="s">
        <v>7137</v>
      </c>
      <c r="IAD1" t="s">
        <v>7138</v>
      </c>
      <c r="IAE1" t="s">
        <v>7139</v>
      </c>
      <c r="IAF1" t="s">
        <v>7140</v>
      </c>
      <c r="IAG1" t="s">
        <v>7141</v>
      </c>
      <c r="IAH1" t="s">
        <v>7142</v>
      </c>
      <c r="IAI1" t="s">
        <v>7143</v>
      </c>
      <c r="IAJ1" t="s">
        <v>7144</v>
      </c>
      <c r="IAK1" t="s">
        <v>7145</v>
      </c>
      <c r="IAL1" t="s">
        <v>7146</v>
      </c>
      <c r="IAM1" t="s">
        <v>7147</v>
      </c>
      <c r="IAN1" t="s">
        <v>7148</v>
      </c>
      <c r="IAO1" t="s">
        <v>7149</v>
      </c>
      <c r="IAP1" t="s">
        <v>7150</v>
      </c>
      <c r="IAQ1" t="s">
        <v>7151</v>
      </c>
      <c r="IAR1" t="s">
        <v>7152</v>
      </c>
      <c r="IAS1" t="s">
        <v>7153</v>
      </c>
      <c r="IAT1" t="s">
        <v>7154</v>
      </c>
      <c r="IAU1" t="s">
        <v>7155</v>
      </c>
      <c r="IAV1" t="s">
        <v>7156</v>
      </c>
      <c r="IAW1" t="s">
        <v>7157</v>
      </c>
      <c r="IAX1" t="s">
        <v>7158</v>
      </c>
      <c r="IAY1" t="s">
        <v>7159</v>
      </c>
      <c r="IAZ1" t="s">
        <v>7160</v>
      </c>
      <c r="IBA1" t="s">
        <v>7161</v>
      </c>
      <c r="IBB1" t="s">
        <v>7162</v>
      </c>
      <c r="IBC1" t="s">
        <v>7163</v>
      </c>
      <c r="IBD1" t="s">
        <v>7164</v>
      </c>
      <c r="IBE1" t="s">
        <v>7165</v>
      </c>
      <c r="IBF1" t="s">
        <v>7166</v>
      </c>
      <c r="IBG1" t="s">
        <v>7167</v>
      </c>
      <c r="IBH1" t="s">
        <v>7168</v>
      </c>
      <c r="IBI1" t="s">
        <v>7169</v>
      </c>
      <c r="IBJ1" t="s">
        <v>7170</v>
      </c>
      <c r="IBK1" t="s">
        <v>7171</v>
      </c>
      <c r="IBL1" t="s">
        <v>7172</v>
      </c>
      <c r="IBM1" t="s">
        <v>7173</v>
      </c>
      <c r="IBN1" t="s">
        <v>7174</v>
      </c>
      <c r="IBO1" t="s">
        <v>7175</v>
      </c>
      <c r="IBP1" t="s">
        <v>7176</v>
      </c>
      <c r="IBQ1" t="s">
        <v>7177</v>
      </c>
      <c r="IBR1" t="s">
        <v>7178</v>
      </c>
      <c r="IBS1" t="s">
        <v>7179</v>
      </c>
      <c r="IBT1" t="s">
        <v>7180</v>
      </c>
      <c r="IBU1" t="s">
        <v>7181</v>
      </c>
      <c r="IBV1" t="s">
        <v>7182</v>
      </c>
      <c r="IBW1" t="s">
        <v>7183</v>
      </c>
      <c r="IBX1" t="s">
        <v>7184</v>
      </c>
      <c r="IBY1" t="s">
        <v>7185</v>
      </c>
      <c r="IBZ1" t="s">
        <v>7186</v>
      </c>
      <c r="ICA1" t="s">
        <v>7187</v>
      </c>
      <c r="ICB1" t="s">
        <v>7188</v>
      </c>
      <c r="ICC1" t="s">
        <v>7189</v>
      </c>
      <c r="ICD1" t="s">
        <v>7190</v>
      </c>
      <c r="ICE1" t="s">
        <v>7191</v>
      </c>
      <c r="ICF1" t="s">
        <v>7192</v>
      </c>
      <c r="ICG1" t="s">
        <v>7193</v>
      </c>
      <c r="ICH1" t="s">
        <v>7194</v>
      </c>
      <c r="ICI1" t="s">
        <v>7195</v>
      </c>
      <c r="ICJ1" t="s">
        <v>7196</v>
      </c>
      <c r="ICK1" t="s">
        <v>7197</v>
      </c>
      <c r="ICL1" t="s">
        <v>7198</v>
      </c>
      <c r="ICM1" t="s">
        <v>7199</v>
      </c>
      <c r="ICN1" t="s">
        <v>7200</v>
      </c>
      <c r="ICO1" t="s">
        <v>7201</v>
      </c>
      <c r="ICP1" t="s">
        <v>7202</v>
      </c>
      <c r="ICQ1" t="s">
        <v>7203</v>
      </c>
      <c r="ICR1" t="s">
        <v>7204</v>
      </c>
      <c r="ICS1" t="s">
        <v>7205</v>
      </c>
      <c r="ICT1" t="s">
        <v>7206</v>
      </c>
      <c r="ICU1" t="s">
        <v>7207</v>
      </c>
      <c r="ICV1" t="s">
        <v>7208</v>
      </c>
      <c r="ICW1" t="s">
        <v>7209</v>
      </c>
      <c r="ICX1" t="s">
        <v>7210</v>
      </c>
      <c r="ICY1" t="s">
        <v>7211</v>
      </c>
      <c r="ICZ1" t="s">
        <v>7212</v>
      </c>
      <c r="IDA1" t="s">
        <v>7213</v>
      </c>
      <c r="IDB1" t="s">
        <v>7214</v>
      </c>
      <c r="IDC1" t="s">
        <v>7215</v>
      </c>
      <c r="IDD1" t="s">
        <v>7216</v>
      </c>
      <c r="IDE1" t="s">
        <v>7217</v>
      </c>
      <c r="IDF1" t="s">
        <v>7218</v>
      </c>
      <c r="IDG1" t="s">
        <v>7219</v>
      </c>
      <c r="IDH1" t="s">
        <v>7220</v>
      </c>
      <c r="IDI1" t="s">
        <v>7221</v>
      </c>
      <c r="IDJ1" t="s">
        <v>7222</v>
      </c>
      <c r="IDK1" t="s">
        <v>7223</v>
      </c>
      <c r="IDL1" t="s">
        <v>7224</v>
      </c>
      <c r="IDM1" t="s">
        <v>7225</v>
      </c>
      <c r="IDN1" t="s">
        <v>7226</v>
      </c>
      <c r="IDO1" t="s">
        <v>7227</v>
      </c>
      <c r="IDP1" t="s">
        <v>7228</v>
      </c>
      <c r="IDQ1" t="s">
        <v>7229</v>
      </c>
      <c r="IDR1" t="s">
        <v>7230</v>
      </c>
      <c r="IDS1" t="s">
        <v>7231</v>
      </c>
      <c r="IDT1" t="s">
        <v>7232</v>
      </c>
      <c r="IDU1" t="s">
        <v>7233</v>
      </c>
      <c r="IDV1" t="s">
        <v>7234</v>
      </c>
      <c r="IDW1" t="s">
        <v>7235</v>
      </c>
      <c r="IDX1" t="s">
        <v>7236</v>
      </c>
      <c r="IDY1" t="s">
        <v>7237</v>
      </c>
      <c r="IDZ1" t="s">
        <v>7238</v>
      </c>
      <c r="IEA1" t="s">
        <v>7239</v>
      </c>
      <c r="IEB1" t="s">
        <v>7240</v>
      </c>
      <c r="IEC1" t="s">
        <v>7241</v>
      </c>
      <c r="IED1" t="s">
        <v>7242</v>
      </c>
      <c r="IEE1" t="s">
        <v>7243</v>
      </c>
      <c r="IEF1" t="s">
        <v>7244</v>
      </c>
      <c r="IEG1" t="s">
        <v>7245</v>
      </c>
      <c r="IEH1" t="s">
        <v>7246</v>
      </c>
      <c r="IEI1" t="s">
        <v>7247</v>
      </c>
      <c r="IEJ1" t="s">
        <v>7248</v>
      </c>
      <c r="IEK1" t="s">
        <v>7249</v>
      </c>
      <c r="IEL1" t="s">
        <v>7250</v>
      </c>
      <c r="IEM1" t="s">
        <v>7251</v>
      </c>
      <c r="IEN1" t="s">
        <v>7252</v>
      </c>
      <c r="IEO1" t="s">
        <v>7253</v>
      </c>
      <c r="IEP1" t="s">
        <v>7254</v>
      </c>
      <c r="IEQ1" t="s">
        <v>7255</v>
      </c>
      <c r="IER1" t="s">
        <v>7256</v>
      </c>
      <c r="IES1" t="s">
        <v>7257</v>
      </c>
      <c r="IET1" t="s">
        <v>7258</v>
      </c>
      <c r="IEU1" t="s">
        <v>7259</v>
      </c>
      <c r="IEV1" t="s">
        <v>7260</v>
      </c>
      <c r="IEW1" t="s">
        <v>7261</v>
      </c>
      <c r="IEX1" t="s">
        <v>7262</v>
      </c>
      <c r="IEY1" t="s">
        <v>7263</v>
      </c>
      <c r="IEZ1" t="s">
        <v>7264</v>
      </c>
      <c r="IFA1" t="s">
        <v>7265</v>
      </c>
      <c r="IFB1" t="s">
        <v>7266</v>
      </c>
      <c r="IFC1" t="s">
        <v>7267</v>
      </c>
      <c r="IFD1" t="s">
        <v>7268</v>
      </c>
      <c r="IFE1" t="s">
        <v>7269</v>
      </c>
      <c r="IFF1" t="s">
        <v>7270</v>
      </c>
      <c r="IFG1" t="s">
        <v>7271</v>
      </c>
      <c r="IFH1" t="s">
        <v>7272</v>
      </c>
      <c r="IFI1" t="s">
        <v>7273</v>
      </c>
      <c r="IFJ1" t="s">
        <v>7274</v>
      </c>
      <c r="IFK1" t="s">
        <v>7275</v>
      </c>
      <c r="IFL1" t="s">
        <v>7276</v>
      </c>
      <c r="IFM1" t="s">
        <v>7277</v>
      </c>
      <c r="IFN1" t="s">
        <v>7278</v>
      </c>
      <c r="IFO1" t="s">
        <v>7279</v>
      </c>
      <c r="IFP1" t="s">
        <v>7280</v>
      </c>
      <c r="IFQ1" t="s">
        <v>7281</v>
      </c>
      <c r="IFR1" t="s">
        <v>7282</v>
      </c>
      <c r="IFS1" t="s">
        <v>7283</v>
      </c>
      <c r="IFT1" t="s">
        <v>7284</v>
      </c>
      <c r="IFU1" t="s">
        <v>7285</v>
      </c>
      <c r="IFV1" t="s">
        <v>7286</v>
      </c>
      <c r="IFW1" t="s">
        <v>7287</v>
      </c>
      <c r="IFX1" t="s">
        <v>7288</v>
      </c>
      <c r="IFY1" t="s">
        <v>7289</v>
      </c>
      <c r="IFZ1" t="s">
        <v>7290</v>
      </c>
      <c r="IGA1" t="s">
        <v>7291</v>
      </c>
      <c r="IGB1" t="s">
        <v>7292</v>
      </c>
      <c r="IGC1" t="s">
        <v>7293</v>
      </c>
      <c r="IGD1" t="s">
        <v>7294</v>
      </c>
      <c r="IGE1" t="s">
        <v>7295</v>
      </c>
      <c r="IGF1" t="s">
        <v>7296</v>
      </c>
      <c r="IGG1" t="s">
        <v>7297</v>
      </c>
      <c r="IGH1" t="s">
        <v>7298</v>
      </c>
      <c r="IGI1" t="s">
        <v>7299</v>
      </c>
      <c r="IGJ1" t="s">
        <v>7300</v>
      </c>
      <c r="IGK1" t="s">
        <v>7301</v>
      </c>
      <c r="IGL1" t="s">
        <v>7302</v>
      </c>
      <c r="IGM1" t="s">
        <v>7303</v>
      </c>
      <c r="IGN1" t="s">
        <v>7304</v>
      </c>
      <c r="IGO1" t="s">
        <v>7305</v>
      </c>
      <c r="IGP1" t="s">
        <v>7306</v>
      </c>
      <c r="IGQ1" t="s">
        <v>7307</v>
      </c>
      <c r="IGR1" t="s">
        <v>7308</v>
      </c>
      <c r="IGS1" t="s">
        <v>7309</v>
      </c>
      <c r="IGT1" t="s">
        <v>7310</v>
      </c>
      <c r="IGU1" t="s">
        <v>7311</v>
      </c>
      <c r="IGV1" t="s">
        <v>7312</v>
      </c>
      <c r="IGW1" t="s">
        <v>7313</v>
      </c>
      <c r="IGX1" t="s">
        <v>7314</v>
      </c>
      <c r="IGY1" t="s">
        <v>7315</v>
      </c>
      <c r="IGZ1" t="s">
        <v>7316</v>
      </c>
      <c r="IHA1" t="s">
        <v>7317</v>
      </c>
      <c r="IHB1" t="s">
        <v>7318</v>
      </c>
      <c r="IHC1" t="s">
        <v>7319</v>
      </c>
      <c r="IHD1" t="s">
        <v>7320</v>
      </c>
      <c r="IHE1" t="s">
        <v>7321</v>
      </c>
      <c r="IHF1" t="s">
        <v>7322</v>
      </c>
      <c r="IHG1" t="s">
        <v>7323</v>
      </c>
      <c r="IHH1" t="s">
        <v>7324</v>
      </c>
      <c r="IHI1" t="s">
        <v>7325</v>
      </c>
      <c r="IHJ1" t="s">
        <v>7326</v>
      </c>
      <c r="IHK1" t="s">
        <v>7327</v>
      </c>
      <c r="IHL1" t="s">
        <v>7328</v>
      </c>
      <c r="IHM1" t="s">
        <v>7329</v>
      </c>
      <c r="IHN1" t="s">
        <v>7330</v>
      </c>
      <c r="IHO1" t="s">
        <v>7331</v>
      </c>
      <c r="IHP1" t="s">
        <v>7332</v>
      </c>
      <c r="IHQ1" t="s">
        <v>7333</v>
      </c>
      <c r="IHR1" t="s">
        <v>7334</v>
      </c>
      <c r="IHS1" t="s">
        <v>7335</v>
      </c>
      <c r="IHT1" t="s">
        <v>7336</v>
      </c>
      <c r="IHU1" t="s">
        <v>7337</v>
      </c>
      <c r="IHV1" t="s">
        <v>7338</v>
      </c>
      <c r="IHW1" t="s">
        <v>7339</v>
      </c>
      <c r="IHX1" t="s">
        <v>7340</v>
      </c>
      <c r="IHY1" t="s">
        <v>7341</v>
      </c>
      <c r="IHZ1" t="s">
        <v>7342</v>
      </c>
      <c r="IIA1" t="s">
        <v>7343</v>
      </c>
      <c r="IIB1" t="s">
        <v>7344</v>
      </c>
      <c r="IIC1" t="s">
        <v>7345</v>
      </c>
      <c r="IID1" t="s">
        <v>7346</v>
      </c>
      <c r="IIE1" t="s">
        <v>7347</v>
      </c>
      <c r="IIF1" t="s">
        <v>7348</v>
      </c>
      <c r="IIG1" t="s">
        <v>7349</v>
      </c>
      <c r="IIH1" t="s">
        <v>7350</v>
      </c>
      <c r="III1" t="s">
        <v>7351</v>
      </c>
      <c r="IIJ1" t="s">
        <v>7352</v>
      </c>
      <c r="IIK1" t="s">
        <v>7353</v>
      </c>
      <c r="IIL1" t="s">
        <v>7354</v>
      </c>
      <c r="IIM1" t="s">
        <v>7355</v>
      </c>
      <c r="IIN1" t="s">
        <v>7356</v>
      </c>
      <c r="IIO1" t="s">
        <v>7357</v>
      </c>
      <c r="IIP1" t="s">
        <v>7358</v>
      </c>
      <c r="IIQ1" t="s">
        <v>7359</v>
      </c>
      <c r="IIR1" t="s">
        <v>7360</v>
      </c>
      <c r="IIS1" t="s">
        <v>7361</v>
      </c>
      <c r="IIT1" t="s">
        <v>7362</v>
      </c>
      <c r="IIU1" t="s">
        <v>7363</v>
      </c>
      <c r="IIV1" t="s">
        <v>7364</v>
      </c>
      <c r="IIW1" t="s">
        <v>7365</v>
      </c>
      <c r="IIX1" t="s">
        <v>7366</v>
      </c>
      <c r="IIY1" t="s">
        <v>7367</v>
      </c>
      <c r="IIZ1" t="s">
        <v>7368</v>
      </c>
      <c r="IJA1" t="s">
        <v>7369</v>
      </c>
      <c r="IJB1" t="s">
        <v>7370</v>
      </c>
      <c r="IJC1" t="s">
        <v>7371</v>
      </c>
      <c r="IJD1" t="s">
        <v>7372</v>
      </c>
      <c r="IJE1" t="s">
        <v>7373</v>
      </c>
      <c r="IJF1" t="s">
        <v>7374</v>
      </c>
      <c r="IJG1" t="s">
        <v>7375</v>
      </c>
      <c r="IJH1" t="s">
        <v>7376</v>
      </c>
      <c r="IJI1" t="s">
        <v>7377</v>
      </c>
      <c r="IJJ1" t="s">
        <v>7378</v>
      </c>
      <c r="IJK1" t="s">
        <v>7379</v>
      </c>
      <c r="IJL1" t="s">
        <v>7380</v>
      </c>
      <c r="IJM1" t="s">
        <v>7381</v>
      </c>
      <c r="IJN1" t="s">
        <v>7382</v>
      </c>
      <c r="IJO1" t="s">
        <v>7383</v>
      </c>
      <c r="IJP1" t="s">
        <v>7384</v>
      </c>
      <c r="IJQ1" t="s">
        <v>7385</v>
      </c>
      <c r="IJR1" t="s">
        <v>7386</v>
      </c>
      <c r="IJS1" t="s">
        <v>7387</v>
      </c>
      <c r="IJT1" t="s">
        <v>7388</v>
      </c>
      <c r="IJU1" t="s">
        <v>7389</v>
      </c>
      <c r="IJV1" t="s">
        <v>7390</v>
      </c>
      <c r="IJW1" t="s">
        <v>7391</v>
      </c>
      <c r="IJX1" t="s">
        <v>7392</v>
      </c>
      <c r="IJY1" t="s">
        <v>7393</v>
      </c>
      <c r="IJZ1" t="s">
        <v>7394</v>
      </c>
      <c r="IKA1" t="s">
        <v>7395</v>
      </c>
      <c r="IKB1" t="s">
        <v>7396</v>
      </c>
      <c r="IKC1" t="s">
        <v>7397</v>
      </c>
      <c r="IKD1" t="s">
        <v>7398</v>
      </c>
      <c r="IKE1" t="s">
        <v>7399</v>
      </c>
      <c r="IKF1" t="s">
        <v>7400</v>
      </c>
      <c r="IKG1" t="s">
        <v>7401</v>
      </c>
      <c r="IKH1" t="s">
        <v>7402</v>
      </c>
      <c r="IKI1" t="s">
        <v>7403</v>
      </c>
      <c r="IKJ1" t="s">
        <v>7404</v>
      </c>
      <c r="IKK1" t="s">
        <v>7405</v>
      </c>
      <c r="IKL1" t="s">
        <v>7406</v>
      </c>
      <c r="IKM1" t="s">
        <v>7407</v>
      </c>
      <c r="IKN1" t="s">
        <v>7408</v>
      </c>
      <c r="IKO1" t="s">
        <v>7409</v>
      </c>
      <c r="IKP1" t="s">
        <v>7410</v>
      </c>
      <c r="IKQ1" t="s">
        <v>7411</v>
      </c>
      <c r="IKR1" t="s">
        <v>7412</v>
      </c>
      <c r="IKS1" t="s">
        <v>7413</v>
      </c>
      <c r="IKT1" t="s">
        <v>7414</v>
      </c>
      <c r="IKU1" t="s">
        <v>7415</v>
      </c>
      <c r="IKV1" t="s">
        <v>7416</v>
      </c>
      <c r="IKW1" t="s">
        <v>7417</v>
      </c>
      <c r="IKX1" t="s">
        <v>7418</v>
      </c>
      <c r="IKY1" t="s">
        <v>7419</v>
      </c>
      <c r="IKZ1" t="s">
        <v>7420</v>
      </c>
      <c r="ILA1" t="s">
        <v>7421</v>
      </c>
      <c r="ILB1" t="s">
        <v>7422</v>
      </c>
      <c r="ILC1" t="s">
        <v>7423</v>
      </c>
      <c r="ILD1" t="s">
        <v>7424</v>
      </c>
      <c r="ILE1" t="s">
        <v>7425</v>
      </c>
      <c r="ILF1" t="s">
        <v>7426</v>
      </c>
      <c r="ILG1" t="s">
        <v>7427</v>
      </c>
      <c r="ILH1" t="s">
        <v>7428</v>
      </c>
      <c r="ILI1" t="s">
        <v>7429</v>
      </c>
      <c r="ILJ1" t="s">
        <v>7430</v>
      </c>
      <c r="ILK1" t="s">
        <v>7431</v>
      </c>
      <c r="ILL1" t="s">
        <v>7432</v>
      </c>
      <c r="ILM1" t="s">
        <v>7433</v>
      </c>
      <c r="ILN1" t="s">
        <v>7434</v>
      </c>
      <c r="ILO1" t="s">
        <v>7435</v>
      </c>
      <c r="ILP1" t="s">
        <v>7436</v>
      </c>
      <c r="ILQ1" t="s">
        <v>7437</v>
      </c>
      <c r="ILR1" t="s">
        <v>7438</v>
      </c>
      <c r="ILS1" t="s">
        <v>7439</v>
      </c>
      <c r="ILT1" t="s">
        <v>7440</v>
      </c>
      <c r="ILU1" t="s">
        <v>7441</v>
      </c>
      <c r="ILV1" t="s">
        <v>7442</v>
      </c>
      <c r="ILW1" t="s">
        <v>7443</v>
      </c>
      <c r="ILX1" t="s">
        <v>7444</v>
      </c>
      <c r="ILY1" t="s">
        <v>7445</v>
      </c>
      <c r="ILZ1" t="s">
        <v>7446</v>
      </c>
      <c r="IMA1" t="s">
        <v>7447</v>
      </c>
      <c r="IMB1" t="s">
        <v>7448</v>
      </c>
      <c r="IMC1" t="s">
        <v>7449</v>
      </c>
      <c r="IMD1" t="s">
        <v>7450</v>
      </c>
      <c r="IME1" t="s">
        <v>7451</v>
      </c>
      <c r="IMF1" t="s">
        <v>7452</v>
      </c>
      <c r="IMG1" t="s">
        <v>7453</v>
      </c>
      <c r="IMH1" t="s">
        <v>7454</v>
      </c>
      <c r="IMI1" t="s">
        <v>7455</v>
      </c>
      <c r="IMJ1" t="s">
        <v>7456</v>
      </c>
      <c r="IMK1" t="s">
        <v>7457</v>
      </c>
      <c r="IML1" t="s">
        <v>7458</v>
      </c>
      <c r="IMM1" t="s">
        <v>7459</v>
      </c>
      <c r="IMN1" t="s">
        <v>7460</v>
      </c>
      <c r="IMO1" t="s">
        <v>7461</v>
      </c>
      <c r="IMP1" t="s">
        <v>7462</v>
      </c>
      <c r="IMQ1" t="s">
        <v>7463</v>
      </c>
      <c r="IMR1" t="s">
        <v>7464</v>
      </c>
      <c r="IMS1" t="s">
        <v>7465</v>
      </c>
      <c r="IMT1" t="s">
        <v>7466</v>
      </c>
      <c r="IMU1" t="s">
        <v>7467</v>
      </c>
      <c r="IMV1" t="s">
        <v>7468</v>
      </c>
      <c r="IMW1" t="s">
        <v>7469</v>
      </c>
      <c r="IMX1" t="s">
        <v>7470</v>
      </c>
      <c r="IMY1" t="s">
        <v>7471</v>
      </c>
      <c r="IMZ1" t="s">
        <v>7472</v>
      </c>
      <c r="INA1" t="s">
        <v>7473</v>
      </c>
      <c r="INB1" t="s">
        <v>7474</v>
      </c>
      <c r="INC1" t="s">
        <v>7475</v>
      </c>
      <c r="IND1" t="s">
        <v>7476</v>
      </c>
      <c r="INE1" t="s">
        <v>7477</v>
      </c>
      <c r="INF1" t="s">
        <v>7478</v>
      </c>
      <c r="ING1" t="s">
        <v>7479</v>
      </c>
      <c r="INH1" t="s">
        <v>7480</v>
      </c>
      <c r="INI1" t="s">
        <v>7481</v>
      </c>
      <c r="INJ1" t="s">
        <v>7482</v>
      </c>
      <c r="INK1" t="s">
        <v>7483</v>
      </c>
      <c r="INL1" t="s">
        <v>7484</v>
      </c>
      <c r="INM1" t="s">
        <v>7485</v>
      </c>
      <c r="INN1" t="s">
        <v>7486</v>
      </c>
      <c r="INO1" t="s">
        <v>7487</v>
      </c>
      <c r="INP1" t="s">
        <v>7488</v>
      </c>
      <c r="INQ1" t="s">
        <v>7489</v>
      </c>
      <c r="INR1" t="s">
        <v>7490</v>
      </c>
      <c r="INS1" t="s">
        <v>7491</v>
      </c>
      <c r="INT1" t="s">
        <v>7492</v>
      </c>
      <c r="INU1" t="s">
        <v>7493</v>
      </c>
      <c r="INV1" t="s">
        <v>7494</v>
      </c>
      <c r="INW1" t="s">
        <v>7495</v>
      </c>
      <c r="INX1" t="s">
        <v>7496</v>
      </c>
      <c r="INY1" t="s">
        <v>7497</v>
      </c>
      <c r="INZ1" t="s">
        <v>7498</v>
      </c>
      <c r="IOA1" t="s">
        <v>7499</v>
      </c>
      <c r="IOB1" t="s">
        <v>7500</v>
      </c>
      <c r="IOC1" t="s">
        <v>7501</v>
      </c>
      <c r="IOD1" t="s">
        <v>7502</v>
      </c>
      <c r="IOE1" t="s">
        <v>7503</v>
      </c>
      <c r="IOF1" t="s">
        <v>7504</v>
      </c>
      <c r="IOG1" t="s">
        <v>7505</v>
      </c>
      <c r="IOH1" t="s">
        <v>7506</v>
      </c>
      <c r="IOI1" t="s">
        <v>7507</v>
      </c>
      <c r="IOJ1" t="s">
        <v>7508</v>
      </c>
      <c r="IOK1" t="s">
        <v>7509</v>
      </c>
      <c r="IOL1" t="s">
        <v>7510</v>
      </c>
      <c r="IOM1" t="s">
        <v>7511</v>
      </c>
      <c r="ION1" t="s">
        <v>7512</v>
      </c>
      <c r="IOO1" t="s">
        <v>7513</v>
      </c>
      <c r="IOP1" t="s">
        <v>7514</v>
      </c>
      <c r="IOQ1" t="s">
        <v>7515</v>
      </c>
      <c r="IOR1" t="s">
        <v>7516</v>
      </c>
      <c r="IOS1" t="s">
        <v>7517</v>
      </c>
      <c r="IOT1" t="s">
        <v>7518</v>
      </c>
      <c r="IOU1" t="s">
        <v>7519</v>
      </c>
      <c r="IOV1" t="s">
        <v>7520</v>
      </c>
      <c r="IOW1" t="s">
        <v>7521</v>
      </c>
      <c r="IOX1" t="s">
        <v>7522</v>
      </c>
      <c r="IOY1" t="s">
        <v>7523</v>
      </c>
      <c r="IOZ1" t="s">
        <v>7524</v>
      </c>
      <c r="IPA1" t="s">
        <v>7525</v>
      </c>
      <c r="IPB1" t="s">
        <v>7526</v>
      </c>
      <c r="IPC1" t="s">
        <v>7527</v>
      </c>
      <c r="IPD1" t="s">
        <v>7528</v>
      </c>
      <c r="IPE1" t="s">
        <v>7529</v>
      </c>
      <c r="IPF1" t="s">
        <v>7530</v>
      </c>
      <c r="IPG1" t="s">
        <v>7531</v>
      </c>
      <c r="IPH1" t="s">
        <v>7532</v>
      </c>
      <c r="IPI1" t="s">
        <v>7533</v>
      </c>
      <c r="IPJ1" t="s">
        <v>7534</v>
      </c>
      <c r="IPK1" t="s">
        <v>7535</v>
      </c>
      <c r="IPL1" t="s">
        <v>7536</v>
      </c>
      <c r="IPM1" t="s">
        <v>7537</v>
      </c>
      <c r="IPN1" t="s">
        <v>7538</v>
      </c>
      <c r="IPO1" t="s">
        <v>7539</v>
      </c>
      <c r="IPP1" t="s">
        <v>7540</v>
      </c>
      <c r="IPQ1" t="s">
        <v>7541</v>
      </c>
      <c r="IPR1" t="s">
        <v>7542</v>
      </c>
      <c r="IPS1" t="s">
        <v>7543</v>
      </c>
      <c r="IPT1" t="s">
        <v>7544</v>
      </c>
      <c r="IPU1" t="s">
        <v>7545</v>
      </c>
      <c r="IPV1" t="s">
        <v>7546</v>
      </c>
      <c r="IPW1" t="s">
        <v>7547</v>
      </c>
      <c r="IPX1" t="s">
        <v>7548</v>
      </c>
      <c r="IPY1" t="s">
        <v>7549</v>
      </c>
      <c r="IPZ1" t="s">
        <v>7550</v>
      </c>
      <c r="IQA1" t="s">
        <v>7551</v>
      </c>
      <c r="IQB1" t="s">
        <v>7552</v>
      </c>
      <c r="IQC1" t="s">
        <v>7553</v>
      </c>
      <c r="IQD1" t="s">
        <v>7554</v>
      </c>
      <c r="IQE1" t="s">
        <v>7555</v>
      </c>
      <c r="IQF1" t="s">
        <v>7556</v>
      </c>
      <c r="IQG1" t="s">
        <v>7557</v>
      </c>
      <c r="IQH1" t="s">
        <v>7558</v>
      </c>
      <c r="IQI1" t="s">
        <v>7559</v>
      </c>
      <c r="IQJ1" t="s">
        <v>7560</v>
      </c>
      <c r="IQK1" t="s">
        <v>7561</v>
      </c>
      <c r="IQL1" t="s">
        <v>7562</v>
      </c>
      <c r="IQM1" t="s">
        <v>7563</v>
      </c>
      <c r="IQN1" t="s">
        <v>7564</v>
      </c>
      <c r="IQO1" t="s">
        <v>7565</v>
      </c>
      <c r="IQP1" t="s">
        <v>7566</v>
      </c>
      <c r="IQQ1" t="s">
        <v>7567</v>
      </c>
      <c r="IQR1" t="s">
        <v>7568</v>
      </c>
      <c r="IQS1" t="s">
        <v>7569</v>
      </c>
      <c r="IQT1" t="s">
        <v>7570</v>
      </c>
      <c r="IQU1" t="s">
        <v>7571</v>
      </c>
      <c r="IQV1" t="s">
        <v>7572</v>
      </c>
      <c r="IQW1" t="s">
        <v>7573</v>
      </c>
      <c r="IQX1" t="s">
        <v>7574</v>
      </c>
      <c r="IQY1" t="s">
        <v>7575</v>
      </c>
      <c r="IQZ1" t="s">
        <v>7576</v>
      </c>
      <c r="IRA1" t="s">
        <v>7577</v>
      </c>
      <c r="IRB1" t="s">
        <v>7578</v>
      </c>
      <c r="IRC1" t="s">
        <v>7579</v>
      </c>
      <c r="IRD1" t="s">
        <v>7580</v>
      </c>
      <c r="IRE1" t="s">
        <v>7581</v>
      </c>
      <c r="IRF1" t="s">
        <v>7582</v>
      </c>
      <c r="IRG1" t="s">
        <v>7583</v>
      </c>
      <c r="IRH1" t="s">
        <v>7584</v>
      </c>
      <c r="IRI1" t="s">
        <v>7585</v>
      </c>
      <c r="IRJ1" t="s">
        <v>7586</v>
      </c>
      <c r="IRK1" t="s">
        <v>7587</v>
      </c>
      <c r="IRL1" t="s">
        <v>7588</v>
      </c>
      <c r="IRM1" t="s">
        <v>7589</v>
      </c>
      <c r="IRN1" t="s">
        <v>7590</v>
      </c>
      <c r="IRO1" t="s">
        <v>7591</v>
      </c>
      <c r="IRP1" t="s">
        <v>7592</v>
      </c>
      <c r="IRQ1" t="s">
        <v>7593</v>
      </c>
      <c r="IRR1" t="s">
        <v>7594</v>
      </c>
      <c r="IRS1" t="s">
        <v>7595</v>
      </c>
      <c r="IRT1" t="s">
        <v>7596</v>
      </c>
      <c r="IRU1" t="s">
        <v>7597</v>
      </c>
      <c r="IRV1" t="s">
        <v>7598</v>
      </c>
      <c r="IRW1" t="s">
        <v>7599</v>
      </c>
      <c r="IRX1" t="s">
        <v>7600</v>
      </c>
      <c r="IRY1" t="s">
        <v>7601</v>
      </c>
      <c r="IRZ1" t="s">
        <v>7602</v>
      </c>
      <c r="ISA1" t="s">
        <v>7603</v>
      </c>
      <c r="ISB1" t="s">
        <v>7604</v>
      </c>
      <c r="ISC1" t="s">
        <v>7605</v>
      </c>
      <c r="ISD1" t="s">
        <v>7606</v>
      </c>
      <c r="ISE1" t="s">
        <v>7607</v>
      </c>
      <c r="ISF1" t="s">
        <v>7608</v>
      </c>
      <c r="ISG1" t="s">
        <v>7609</v>
      </c>
      <c r="ISH1" t="s">
        <v>7610</v>
      </c>
      <c r="ISI1" t="s">
        <v>7611</v>
      </c>
      <c r="ISJ1" t="s">
        <v>7612</v>
      </c>
      <c r="ISK1" t="s">
        <v>7613</v>
      </c>
      <c r="ISL1" t="s">
        <v>7614</v>
      </c>
      <c r="ISM1" t="s">
        <v>7615</v>
      </c>
      <c r="ISN1" t="s">
        <v>7616</v>
      </c>
      <c r="ISO1" t="s">
        <v>7617</v>
      </c>
      <c r="ISP1" t="s">
        <v>7618</v>
      </c>
      <c r="ISQ1" t="s">
        <v>7619</v>
      </c>
      <c r="ISR1" t="s">
        <v>7620</v>
      </c>
      <c r="ISS1" t="s">
        <v>7621</v>
      </c>
      <c r="IST1" t="s">
        <v>7622</v>
      </c>
      <c r="ISU1" t="s">
        <v>7623</v>
      </c>
      <c r="ISV1" t="s">
        <v>7624</v>
      </c>
      <c r="ISW1" t="s">
        <v>7625</v>
      </c>
      <c r="ISX1" t="s">
        <v>7626</v>
      </c>
      <c r="ISY1" t="s">
        <v>7627</v>
      </c>
      <c r="ISZ1" t="s">
        <v>7628</v>
      </c>
      <c r="ITA1" t="s">
        <v>7629</v>
      </c>
      <c r="ITB1" t="s">
        <v>7630</v>
      </c>
      <c r="ITC1" t="s">
        <v>7631</v>
      </c>
      <c r="ITD1" t="s">
        <v>7632</v>
      </c>
      <c r="ITE1" t="s">
        <v>7633</v>
      </c>
      <c r="ITF1" t="s">
        <v>7634</v>
      </c>
      <c r="ITG1" t="s">
        <v>7635</v>
      </c>
      <c r="ITH1" t="s">
        <v>7636</v>
      </c>
      <c r="ITI1" t="s">
        <v>7637</v>
      </c>
      <c r="ITJ1" t="s">
        <v>7638</v>
      </c>
      <c r="ITK1" t="s">
        <v>7639</v>
      </c>
      <c r="ITL1" t="s">
        <v>7640</v>
      </c>
      <c r="ITM1" t="s">
        <v>7641</v>
      </c>
      <c r="ITN1" t="s">
        <v>7642</v>
      </c>
      <c r="ITO1" t="s">
        <v>7643</v>
      </c>
      <c r="ITP1" t="s">
        <v>7644</v>
      </c>
      <c r="ITQ1" t="s">
        <v>7645</v>
      </c>
      <c r="ITR1" t="s">
        <v>7646</v>
      </c>
      <c r="ITS1" t="s">
        <v>7647</v>
      </c>
      <c r="ITT1" t="s">
        <v>7648</v>
      </c>
      <c r="ITU1" t="s">
        <v>7649</v>
      </c>
      <c r="ITV1" t="s">
        <v>7650</v>
      </c>
      <c r="ITW1" t="s">
        <v>7651</v>
      </c>
      <c r="ITX1" t="s">
        <v>7652</v>
      </c>
      <c r="ITY1" t="s">
        <v>7653</v>
      </c>
      <c r="ITZ1" t="s">
        <v>7654</v>
      </c>
      <c r="IUA1" t="s">
        <v>7655</v>
      </c>
      <c r="IUB1" t="s">
        <v>7656</v>
      </c>
      <c r="IUC1" t="s">
        <v>7657</v>
      </c>
      <c r="IUD1" t="s">
        <v>7658</v>
      </c>
      <c r="IUE1" t="s">
        <v>7659</v>
      </c>
      <c r="IUF1" t="s">
        <v>7660</v>
      </c>
      <c r="IUG1" t="s">
        <v>7661</v>
      </c>
      <c r="IUH1" t="s">
        <v>7662</v>
      </c>
      <c r="IUI1" t="s">
        <v>7663</v>
      </c>
      <c r="IUJ1" t="s">
        <v>7664</v>
      </c>
      <c r="IUK1" t="s">
        <v>7665</v>
      </c>
      <c r="IUL1" t="s">
        <v>7666</v>
      </c>
      <c r="IUM1" t="s">
        <v>7667</v>
      </c>
      <c r="IUN1" t="s">
        <v>7668</v>
      </c>
      <c r="IUO1" t="s">
        <v>7669</v>
      </c>
      <c r="IUP1" t="s">
        <v>7670</v>
      </c>
      <c r="IUQ1" t="s">
        <v>7671</v>
      </c>
      <c r="IUR1" t="s">
        <v>7672</v>
      </c>
      <c r="IUS1" t="s">
        <v>7673</v>
      </c>
      <c r="IUT1" t="s">
        <v>7674</v>
      </c>
      <c r="IUU1" t="s">
        <v>7675</v>
      </c>
      <c r="IUV1" t="s">
        <v>7676</v>
      </c>
      <c r="IUW1" t="s">
        <v>7677</v>
      </c>
      <c r="IUX1" t="s">
        <v>7678</v>
      </c>
      <c r="IUY1" t="s">
        <v>7679</v>
      </c>
      <c r="IUZ1" t="s">
        <v>7680</v>
      </c>
      <c r="IVA1" t="s">
        <v>7681</v>
      </c>
      <c r="IVB1" t="s">
        <v>7682</v>
      </c>
      <c r="IVC1" t="s">
        <v>7683</v>
      </c>
      <c r="IVD1" t="s">
        <v>7684</v>
      </c>
      <c r="IVE1" t="s">
        <v>7685</v>
      </c>
      <c r="IVF1" t="s">
        <v>7686</v>
      </c>
      <c r="IVG1" t="s">
        <v>7687</v>
      </c>
      <c r="IVH1" t="s">
        <v>7688</v>
      </c>
      <c r="IVI1" t="s">
        <v>7689</v>
      </c>
      <c r="IVJ1" t="s">
        <v>7690</v>
      </c>
      <c r="IVK1" t="s">
        <v>7691</v>
      </c>
      <c r="IVL1" t="s">
        <v>7692</v>
      </c>
      <c r="IVM1" t="s">
        <v>7693</v>
      </c>
      <c r="IVN1" t="s">
        <v>7694</v>
      </c>
      <c r="IVO1" t="s">
        <v>7695</v>
      </c>
      <c r="IVP1" t="s">
        <v>7696</v>
      </c>
      <c r="IVQ1" t="s">
        <v>7697</v>
      </c>
      <c r="IVR1" t="s">
        <v>7698</v>
      </c>
      <c r="IVS1" t="s">
        <v>7699</v>
      </c>
      <c r="IVT1" t="s">
        <v>7700</v>
      </c>
      <c r="IVU1" t="s">
        <v>7701</v>
      </c>
      <c r="IVV1" t="s">
        <v>7702</v>
      </c>
      <c r="IVW1" t="s">
        <v>7703</v>
      </c>
      <c r="IVX1" t="s">
        <v>7704</v>
      </c>
      <c r="IVY1" t="s">
        <v>7705</v>
      </c>
      <c r="IVZ1" t="s">
        <v>7706</v>
      </c>
      <c r="IWA1" t="s">
        <v>7707</v>
      </c>
      <c r="IWB1" t="s">
        <v>7708</v>
      </c>
      <c r="IWC1" t="s">
        <v>7709</v>
      </c>
      <c r="IWD1" t="s">
        <v>7710</v>
      </c>
      <c r="IWE1" t="s">
        <v>7711</v>
      </c>
      <c r="IWF1" t="s">
        <v>7712</v>
      </c>
      <c r="IWG1" t="s">
        <v>7713</v>
      </c>
      <c r="IWH1" t="s">
        <v>7714</v>
      </c>
      <c r="IWI1" t="s">
        <v>7715</v>
      </c>
      <c r="IWJ1" t="s">
        <v>7716</v>
      </c>
      <c r="IWK1" t="s">
        <v>7717</v>
      </c>
      <c r="IWL1" t="s">
        <v>7718</v>
      </c>
      <c r="IWM1" t="s">
        <v>7719</v>
      </c>
      <c r="IWN1" t="s">
        <v>7720</v>
      </c>
      <c r="IWO1" t="s">
        <v>7721</v>
      </c>
      <c r="IWP1" t="s">
        <v>7722</v>
      </c>
      <c r="IWQ1" t="s">
        <v>7723</v>
      </c>
      <c r="IWR1" t="s">
        <v>7724</v>
      </c>
      <c r="IWS1" t="s">
        <v>7725</v>
      </c>
      <c r="IWT1" t="s">
        <v>7726</v>
      </c>
      <c r="IWU1" t="s">
        <v>7727</v>
      </c>
      <c r="IWV1" t="s">
        <v>7728</v>
      </c>
      <c r="IWW1" t="s">
        <v>7729</v>
      </c>
      <c r="IWX1" t="s">
        <v>7730</v>
      </c>
      <c r="IWY1" t="s">
        <v>7731</v>
      </c>
      <c r="IWZ1" t="s">
        <v>7732</v>
      </c>
      <c r="IXA1" t="s">
        <v>7733</v>
      </c>
      <c r="IXB1" t="s">
        <v>7734</v>
      </c>
      <c r="IXC1" t="s">
        <v>7735</v>
      </c>
      <c r="IXD1" t="s">
        <v>7736</v>
      </c>
      <c r="IXE1" t="s">
        <v>7737</v>
      </c>
      <c r="IXF1" t="s">
        <v>7738</v>
      </c>
      <c r="IXG1" t="s">
        <v>7739</v>
      </c>
      <c r="IXH1" t="s">
        <v>7740</v>
      </c>
      <c r="IXI1" t="s">
        <v>7741</v>
      </c>
      <c r="IXJ1" t="s">
        <v>7742</v>
      </c>
      <c r="IXK1" t="s">
        <v>7743</v>
      </c>
      <c r="IXL1" t="s">
        <v>7744</v>
      </c>
      <c r="IXM1" t="s">
        <v>7745</v>
      </c>
      <c r="IXN1" t="s">
        <v>7746</v>
      </c>
      <c r="IXO1" t="s">
        <v>7747</v>
      </c>
      <c r="IXP1" t="s">
        <v>7748</v>
      </c>
      <c r="IXQ1" t="s">
        <v>7749</v>
      </c>
      <c r="IXR1" t="s">
        <v>7750</v>
      </c>
      <c r="IXS1" t="s">
        <v>7751</v>
      </c>
      <c r="IXT1" t="s">
        <v>7752</v>
      </c>
      <c r="IXU1" t="s">
        <v>7753</v>
      </c>
      <c r="IXV1" t="s">
        <v>7754</v>
      </c>
      <c r="IXW1" t="s">
        <v>7755</v>
      </c>
      <c r="IXX1" t="s">
        <v>7756</v>
      </c>
      <c r="IXY1" t="s">
        <v>7757</v>
      </c>
      <c r="IXZ1" t="s">
        <v>7758</v>
      </c>
      <c r="IYA1" t="s">
        <v>7759</v>
      </c>
      <c r="IYB1" t="s">
        <v>7760</v>
      </c>
      <c r="IYC1" t="s">
        <v>7761</v>
      </c>
      <c r="IYD1" t="s">
        <v>7762</v>
      </c>
      <c r="IYE1" t="s">
        <v>7763</v>
      </c>
      <c r="IYF1" t="s">
        <v>7764</v>
      </c>
      <c r="IYG1" t="s">
        <v>7765</v>
      </c>
      <c r="IYH1" t="s">
        <v>7766</v>
      </c>
      <c r="IYI1" t="s">
        <v>7767</v>
      </c>
      <c r="IYJ1" t="s">
        <v>7768</v>
      </c>
      <c r="IYK1" t="s">
        <v>7769</v>
      </c>
      <c r="IYL1" t="s">
        <v>7770</v>
      </c>
      <c r="IYM1" t="s">
        <v>7771</v>
      </c>
      <c r="IYN1" t="s">
        <v>7772</v>
      </c>
      <c r="IYO1" t="s">
        <v>7773</v>
      </c>
      <c r="IYP1" t="s">
        <v>7774</v>
      </c>
      <c r="IYQ1" t="s">
        <v>7775</v>
      </c>
      <c r="IYR1" t="s">
        <v>7776</v>
      </c>
      <c r="IYS1" t="s">
        <v>7777</v>
      </c>
      <c r="IYT1" t="s">
        <v>7778</v>
      </c>
      <c r="IYU1" t="s">
        <v>7779</v>
      </c>
      <c r="IYV1" t="s">
        <v>7780</v>
      </c>
      <c r="IYW1" t="s">
        <v>7781</v>
      </c>
      <c r="IYX1" t="s">
        <v>7782</v>
      </c>
      <c r="IYY1" t="s">
        <v>7783</v>
      </c>
      <c r="IYZ1" t="s">
        <v>7784</v>
      </c>
      <c r="IZA1" t="s">
        <v>7785</v>
      </c>
      <c r="IZB1" t="s">
        <v>7786</v>
      </c>
      <c r="IZC1" t="s">
        <v>7787</v>
      </c>
      <c r="IZD1" t="s">
        <v>7788</v>
      </c>
      <c r="IZE1" t="s">
        <v>7789</v>
      </c>
      <c r="IZF1" t="s">
        <v>7790</v>
      </c>
      <c r="IZG1" t="s">
        <v>7791</v>
      </c>
      <c r="IZH1" t="s">
        <v>7792</v>
      </c>
      <c r="IZI1" t="s">
        <v>7793</v>
      </c>
      <c r="IZJ1" t="s">
        <v>7794</v>
      </c>
      <c r="IZK1" t="s">
        <v>7795</v>
      </c>
      <c r="IZL1" t="s">
        <v>7796</v>
      </c>
      <c r="IZM1" t="s">
        <v>7797</v>
      </c>
      <c r="IZN1" t="s">
        <v>7798</v>
      </c>
      <c r="IZO1" t="s">
        <v>7799</v>
      </c>
      <c r="IZP1" t="s">
        <v>7800</v>
      </c>
      <c r="IZQ1" t="s">
        <v>7801</v>
      </c>
      <c r="IZR1" t="s">
        <v>7802</v>
      </c>
      <c r="IZS1" t="s">
        <v>7803</v>
      </c>
      <c r="IZT1" t="s">
        <v>7804</v>
      </c>
      <c r="IZU1" t="s">
        <v>7805</v>
      </c>
      <c r="IZV1" t="s">
        <v>7806</v>
      </c>
      <c r="IZW1" t="s">
        <v>7807</v>
      </c>
      <c r="IZX1" t="s">
        <v>7808</v>
      </c>
      <c r="IZY1" t="s">
        <v>7809</v>
      </c>
      <c r="IZZ1" t="s">
        <v>7810</v>
      </c>
      <c r="JAA1" t="s">
        <v>7811</v>
      </c>
      <c r="JAB1" t="s">
        <v>7812</v>
      </c>
      <c r="JAC1" t="s">
        <v>7813</v>
      </c>
      <c r="JAD1" t="s">
        <v>7814</v>
      </c>
      <c r="JAE1" t="s">
        <v>7815</v>
      </c>
      <c r="JAF1" t="s">
        <v>7816</v>
      </c>
      <c r="JAG1" t="s">
        <v>7817</v>
      </c>
      <c r="JAH1" t="s">
        <v>7818</v>
      </c>
      <c r="JAI1" t="s">
        <v>7819</v>
      </c>
      <c r="JAJ1" t="s">
        <v>7820</v>
      </c>
      <c r="JAK1" t="s">
        <v>7821</v>
      </c>
      <c r="JAL1" t="s">
        <v>7822</v>
      </c>
      <c r="JAM1" t="s">
        <v>7823</v>
      </c>
      <c r="JAN1" t="s">
        <v>7824</v>
      </c>
      <c r="JAO1" t="s">
        <v>7825</v>
      </c>
      <c r="JAP1" t="s">
        <v>7826</v>
      </c>
      <c r="JAQ1" t="s">
        <v>7827</v>
      </c>
      <c r="JAR1" t="s">
        <v>7828</v>
      </c>
      <c r="JAS1" t="s">
        <v>7829</v>
      </c>
      <c r="JAT1" t="s">
        <v>7830</v>
      </c>
      <c r="JAU1" t="s">
        <v>7831</v>
      </c>
      <c r="JAV1" t="s">
        <v>7832</v>
      </c>
      <c r="JAW1" t="s">
        <v>7833</v>
      </c>
      <c r="JAX1" t="s">
        <v>7834</v>
      </c>
      <c r="JAY1" t="s">
        <v>7835</v>
      </c>
      <c r="JAZ1" t="s">
        <v>7836</v>
      </c>
      <c r="JBA1" t="s">
        <v>7837</v>
      </c>
      <c r="JBB1" t="s">
        <v>7838</v>
      </c>
      <c r="JBC1" t="s">
        <v>7839</v>
      </c>
      <c r="JBD1" t="s">
        <v>7840</v>
      </c>
      <c r="JBE1" t="s">
        <v>7841</v>
      </c>
      <c r="JBF1" t="s">
        <v>7842</v>
      </c>
      <c r="JBG1" t="s">
        <v>7843</v>
      </c>
      <c r="JBH1" t="s">
        <v>7844</v>
      </c>
      <c r="JBI1" t="s">
        <v>7845</v>
      </c>
      <c r="JBJ1" t="s">
        <v>7846</v>
      </c>
      <c r="JBK1" t="s">
        <v>7847</v>
      </c>
      <c r="JBL1" t="s">
        <v>7848</v>
      </c>
      <c r="JBM1" t="s">
        <v>7849</v>
      </c>
      <c r="JBN1" t="s">
        <v>7850</v>
      </c>
      <c r="JBO1" t="s">
        <v>7851</v>
      </c>
      <c r="JBP1" t="s">
        <v>7852</v>
      </c>
      <c r="JBQ1" t="s">
        <v>7853</v>
      </c>
      <c r="JBR1" t="s">
        <v>7854</v>
      </c>
      <c r="JBS1" t="s">
        <v>7855</v>
      </c>
      <c r="JBT1" t="s">
        <v>7856</v>
      </c>
      <c r="JBU1" t="s">
        <v>7857</v>
      </c>
      <c r="JBV1" t="s">
        <v>7858</v>
      </c>
      <c r="JBW1" t="s">
        <v>7859</v>
      </c>
      <c r="JBX1" t="s">
        <v>7860</v>
      </c>
      <c r="JBY1" t="s">
        <v>7861</v>
      </c>
      <c r="JBZ1" t="s">
        <v>7862</v>
      </c>
      <c r="JCA1" t="s">
        <v>7863</v>
      </c>
      <c r="JCB1" t="s">
        <v>7864</v>
      </c>
      <c r="JCC1" t="s">
        <v>7865</v>
      </c>
      <c r="JCD1" t="s">
        <v>7866</v>
      </c>
      <c r="JCE1" t="s">
        <v>7867</v>
      </c>
      <c r="JCF1" t="s">
        <v>7868</v>
      </c>
      <c r="JCG1" t="s">
        <v>7869</v>
      </c>
      <c r="JCH1" t="s">
        <v>7870</v>
      </c>
      <c r="JCI1" t="s">
        <v>7871</v>
      </c>
      <c r="JCJ1" t="s">
        <v>7872</v>
      </c>
      <c r="JCK1" t="s">
        <v>7873</v>
      </c>
      <c r="JCL1" t="s">
        <v>7874</v>
      </c>
      <c r="JCM1" t="s">
        <v>7875</v>
      </c>
      <c r="JCN1" t="s">
        <v>7876</v>
      </c>
      <c r="JCO1" t="s">
        <v>7877</v>
      </c>
      <c r="JCP1" t="s">
        <v>7878</v>
      </c>
      <c r="JCQ1" t="s">
        <v>7879</v>
      </c>
      <c r="JCR1" t="s">
        <v>7880</v>
      </c>
      <c r="JCS1" t="s">
        <v>7881</v>
      </c>
      <c r="JCT1" t="s">
        <v>7882</v>
      </c>
      <c r="JCU1" t="s">
        <v>7883</v>
      </c>
      <c r="JCV1" t="s">
        <v>7884</v>
      </c>
      <c r="JCW1" t="s">
        <v>7885</v>
      </c>
      <c r="JCX1" t="s">
        <v>7886</v>
      </c>
      <c r="JCY1" t="s">
        <v>7887</v>
      </c>
      <c r="JCZ1" t="s">
        <v>7888</v>
      </c>
      <c r="JDA1" t="s">
        <v>7889</v>
      </c>
      <c r="JDB1" t="s">
        <v>7890</v>
      </c>
      <c r="JDC1" t="s">
        <v>7891</v>
      </c>
      <c r="JDD1" t="s">
        <v>7892</v>
      </c>
      <c r="JDE1" t="s">
        <v>7893</v>
      </c>
      <c r="JDF1" t="s">
        <v>7894</v>
      </c>
      <c r="JDG1" t="s">
        <v>7895</v>
      </c>
      <c r="JDH1" t="s">
        <v>7896</v>
      </c>
      <c r="JDI1" t="s">
        <v>7897</v>
      </c>
      <c r="JDJ1" t="s">
        <v>7898</v>
      </c>
      <c r="JDK1" t="s">
        <v>7899</v>
      </c>
      <c r="JDL1" t="s">
        <v>7900</v>
      </c>
      <c r="JDM1" t="s">
        <v>7901</v>
      </c>
      <c r="JDN1" t="s">
        <v>7902</v>
      </c>
      <c r="JDO1" t="s">
        <v>7903</v>
      </c>
      <c r="JDP1" t="s">
        <v>7904</v>
      </c>
      <c r="JDQ1" t="s">
        <v>7905</v>
      </c>
      <c r="JDR1" t="s">
        <v>7906</v>
      </c>
      <c r="JDS1" t="s">
        <v>7907</v>
      </c>
      <c r="JDT1" t="s">
        <v>7908</v>
      </c>
      <c r="JDU1" t="s">
        <v>7909</v>
      </c>
      <c r="JDV1" t="s">
        <v>7910</v>
      </c>
      <c r="JDW1" t="s">
        <v>7911</v>
      </c>
      <c r="JDX1" t="s">
        <v>7912</v>
      </c>
      <c r="JDY1" t="s">
        <v>7913</v>
      </c>
      <c r="JDZ1" t="s">
        <v>7914</v>
      </c>
      <c r="JEA1" t="s">
        <v>7915</v>
      </c>
      <c r="JEB1" t="s">
        <v>7916</v>
      </c>
      <c r="JEC1" t="s">
        <v>7917</v>
      </c>
      <c r="JED1" t="s">
        <v>7918</v>
      </c>
      <c r="JEE1" t="s">
        <v>7919</v>
      </c>
      <c r="JEF1" t="s">
        <v>7920</v>
      </c>
      <c r="JEG1" t="s">
        <v>7921</v>
      </c>
      <c r="JEH1" t="s">
        <v>7922</v>
      </c>
      <c r="JEI1" t="s">
        <v>7923</v>
      </c>
      <c r="JEJ1" t="s">
        <v>7924</v>
      </c>
      <c r="JEK1" t="s">
        <v>7925</v>
      </c>
      <c r="JEL1" t="s">
        <v>7926</v>
      </c>
      <c r="JEM1" t="s">
        <v>7927</v>
      </c>
      <c r="JEN1" t="s">
        <v>7928</v>
      </c>
      <c r="JEO1" t="s">
        <v>7929</v>
      </c>
      <c r="JEP1" t="s">
        <v>7930</v>
      </c>
      <c r="JEQ1" t="s">
        <v>7931</v>
      </c>
      <c r="JER1" t="s">
        <v>7932</v>
      </c>
      <c r="JES1" t="s">
        <v>7933</v>
      </c>
      <c r="JET1" t="s">
        <v>7934</v>
      </c>
      <c r="JEU1" t="s">
        <v>7935</v>
      </c>
      <c r="JEV1" t="s">
        <v>7936</v>
      </c>
      <c r="JEW1" t="s">
        <v>7937</v>
      </c>
      <c r="JEX1" t="s">
        <v>7938</v>
      </c>
      <c r="JEY1" t="s">
        <v>7939</v>
      </c>
      <c r="JEZ1" t="s">
        <v>7940</v>
      </c>
      <c r="JFA1" t="s">
        <v>7941</v>
      </c>
      <c r="JFB1" t="s">
        <v>7942</v>
      </c>
      <c r="JFC1" t="s">
        <v>7943</v>
      </c>
      <c r="JFD1" t="s">
        <v>7944</v>
      </c>
      <c r="JFE1" t="s">
        <v>7945</v>
      </c>
      <c r="JFF1" t="s">
        <v>7946</v>
      </c>
      <c r="JFG1" t="s">
        <v>7947</v>
      </c>
      <c r="JFH1" t="s">
        <v>7948</v>
      </c>
      <c r="JFI1" t="s">
        <v>7949</v>
      </c>
      <c r="JFJ1" t="s">
        <v>7950</v>
      </c>
      <c r="JFK1" t="s">
        <v>7951</v>
      </c>
      <c r="JFL1" t="s">
        <v>7952</v>
      </c>
      <c r="JFM1" t="s">
        <v>7953</v>
      </c>
      <c r="JFN1" t="s">
        <v>7954</v>
      </c>
      <c r="JFO1" t="s">
        <v>7955</v>
      </c>
      <c r="JFP1" t="s">
        <v>7956</v>
      </c>
      <c r="JFQ1" t="s">
        <v>7957</v>
      </c>
      <c r="JFR1" t="s">
        <v>7958</v>
      </c>
      <c r="JFS1" t="s">
        <v>7959</v>
      </c>
      <c r="JFT1" t="s">
        <v>7960</v>
      </c>
      <c r="JFU1" t="s">
        <v>7961</v>
      </c>
      <c r="JFV1" t="s">
        <v>7962</v>
      </c>
      <c r="JFW1" t="s">
        <v>7963</v>
      </c>
      <c r="JFX1" t="s">
        <v>7964</v>
      </c>
      <c r="JFY1" t="s">
        <v>7965</v>
      </c>
      <c r="JFZ1" t="s">
        <v>7966</v>
      </c>
      <c r="JGA1" t="s">
        <v>7967</v>
      </c>
      <c r="JGB1" t="s">
        <v>7968</v>
      </c>
      <c r="JGC1" t="s">
        <v>7969</v>
      </c>
      <c r="JGD1" t="s">
        <v>7970</v>
      </c>
      <c r="JGE1" t="s">
        <v>7971</v>
      </c>
      <c r="JGF1" t="s">
        <v>7972</v>
      </c>
      <c r="JGG1" t="s">
        <v>7973</v>
      </c>
      <c r="JGH1" t="s">
        <v>7974</v>
      </c>
      <c r="JGI1" t="s">
        <v>7975</v>
      </c>
      <c r="JGJ1" t="s">
        <v>7976</v>
      </c>
      <c r="JGK1" t="s">
        <v>7977</v>
      </c>
      <c r="JGL1" t="s">
        <v>7978</v>
      </c>
      <c r="JGM1" t="s">
        <v>7979</v>
      </c>
      <c r="JGN1" t="s">
        <v>7980</v>
      </c>
      <c r="JGO1" t="s">
        <v>7981</v>
      </c>
      <c r="JGP1" t="s">
        <v>7982</v>
      </c>
      <c r="JGQ1" t="s">
        <v>7983</v>
      </c>
      <c r="JGR1" t="s">
        <v>7984</v>
      </c>
      <c r="JGS1" t="s">
        <v>7985</v>
      </c>
      <c r="JGT1" t="s">
        <v>7986</v>
      </c>
      <c r="JGU1" t="s">
        <v>7987</v>
      </c>
      <c r="JGV1" t="s">
        <v>7988</v>
      </c>
      <c r="JGW1" t="s">
        <v>7989</v>
      </c>
      <c r="JGX1" t="s">
        <v>7990</v>
      </c>
      <c r="JGY1" t="s">
        <v>7991</v>
      </c>
      <c r="JGZ1" t="s">
        <v>7992</v>
      </c>
      <c r="JHA1" t="s">
        <v>7993</v>
      </c>
      <c r="JHB1" t="s">
        <v>7994</v>
      </c>
      <c r="JHC1" t="s">
        <v>7995</v>
      </c>
      <c r="JHD1" t="s">
        <v>7996</v>
      </c>
      <c r="JHE1" t="s">
        <v>7997</v>
      </c>
      <c r="JHF1" t="s">
        <v>7998</v>
      </c>
      <c r="JHG1" t="s">
        <v>7999</v>
      </c>
      <c r="JHH1" t="s">
        <v>8000</v>
      </c>
      <c r="JHI1" t="s">
        <v>8001</v>
      </c>
      <c r="JHJ1" t="s">
        <v>8002</v>
      </c>
      <c r="JHK1" t="s">
        <v>8003</v>
      </c>
      <c r="JHL1" t="s">
        <v>8004</v>
      </c>
      <c r="JHM1" t="s">
        <v>8005</v>
      </c>
      <c r="JHN1" t="s">
        <v>8006</v>
      </c>
      <c r="JHO1" t="s">
        <v>8007</v>
      </c>
      <c r="JHP1" t="s">
        <v>8008</v>
      </c>
      <c r="JHQ1" t="s">
        <v>8009</v>
      </c>
      <c r="JHR1" t="s">
        <v>8010</v>
      </c>
      <c r="JHS1" t="s">
        <v>8011</v>
      </c>
      <c r="JHT1" t="s">
        <v>8012</v>
      </c>
      <c r="JHU1" t="s">
        <v>8013</v>
      </c>
      <c r="JHV1" t="s">
        <v>8014</v>
      </c>
      <c r="JHW1" t="s">
        <v>8015</v>
      </c>
      <c r="JHX1" t="s">
        <v>8016</v>
      </c>
      <c r="JHY1" t="s">
        <v>8017</v>
      </c>
      <c r="JHZ1" t="s">
        <v>8018</v>
      </c>
      <c r="JIA1" t="s">
        <v>8019</v>
      </c>
      <c r="JIB1" t="s">
        <v>8020</v>
      </c>
      <c r="JIC1" t="s">
        <v>8021</v>
      </c>
      <c r="JID1" t="s">
        <v>8022</v>
      </c>
      <c r="JIE1" t="s">
        <v>8023</v>
      </c>
      <c r="JIF1" t="s">
        <v>8024</v>
      </c>
      <c r="JIG1" t="s">
        <v>8025</v>
      </c>
      <c r="JIH1" t="s">
        <v>8026</v>
      </c>
      <c r="JII1" t="s">
        <v>8027</v>
      </c>
      <c r="JIJ1" t="s">
        <v>8028</v>
      </c>
      <c r="JIK1" t="s">
        <v>8029</v>
      </c>
      <c r="JIL1" t="s">
        <v>8030</v>
      </c>
      <c r="JIM1" t="s">
        <v>8031</v>
      </c>
      <c r="JIN1" t="s">
        <v>8032</v>
      </c>
      <c r="JIO1" t="s">
        <v>8033</v>
      </c>
      <c r="JIP1" t="s">
        <v>8034</v>
      </c>
      <c r="JIQ1" t="s">
        <v>8035</v>
      </c>
      <c r="JIR1" t="s">
        <v>8036</v>
      </c>
      <c r="JIS1" t="s">
        <v>8037</v>
      </c>
      <c r="JIT1" t="s">
        <v>8038</v>
      </c>
      <c r="JIU1" t="s">
        <v>8039</v>
      </c>
      <c r="JIV1" t="s">
        <v>8040</v>
      </c>
      <c r="JIW1" t="s">
        <v>8041</v>
      </c>
      <c r="JIX1" t="s">
        <v>8042</v>
      </c>
      <c r="JIY1" t="s">
        <v>8043</v>
      </c>
      <c r="JIZ1" t="s">
        <v>8044</v>
      </c>
      <c r="JJA1" t="s">
        <v>8045</v>
      </c>
      <c r="JJB1" t="s">
        <v>8046</v>
      </c>
      <c r="JJC1" t="s">
        <v>8047</v>
      </c>
      <c r="JJD1" t="s">
        <v>8048</v>
      </c>
      <c r="JJE1" t="s">
        <v>8049</v>
      </c>
      <c r="JJF1" t="s">
        <v>8050</v>
      </c>
      <c r="JJG1" t="s">
        <v>8051</v>
      </c>
      <c r="JJH1" t="s">
        <v>8052</v>
      </c>
      <c r="JJI1" t="s">
        <v>8053</v>
      </c>
      <c r="JJJ1" t="s">
        <v>8054</v>
      </c>
      <c r="JJK1" t="s">
        <v>8055</v>
      </c>
      <c r="JJL1" t="s">
        <v>8056</v>
      </c>
      <c r="JJM1" t="s">
        <v>8057</v>
      </c>
      <c r="JJN1" t="s">
        <v>8058</v>
      </c>
      <c r="JJO1" t="s">
        <v>8059</v>
      </c>
      <c r="JJP1" t="s">
        <v>8060</v>
      </c>
      <c r="JJQ1" t="s">
        <v>8061</v>
      </c>
      <c r="JJR1" t="s">
        <v>8062</v>
      </c>
      <c r="JJS1" t="s">
        <v>8063</v>
      </c>
      <c r="JJT1" t="s">
        <v>8064</v>
      </c>
      <c r="JJU1" t="s">
        <v>8065</v>
      </c>
      <c r="JJV1" t="s">
        <v>8066</v>
      </c>
      <c r="JJW1" t="s">
        <v>8067</v>
      </c>
      <c r="JJX1" t="s">
        <v>8068</v>
      </c>
      <c r="JJY1" t="s">
        <v>8069</v>
      </c>
      <c r="JJZ1" t="s">
        <v>8070</v>
      </c>
      <c r="JKA1" t="s">
        <v>8071</v>
      </c>
      <c r="JKB1" t="s">
        <v>8072</v>
      </c>
      <c r="JKC1" t="s">
        <v>8073</v>
      </c>
      <c r="JKD1" t="s">
        <v>8074</v>
      </c>
      <c r="JKE1" t="s">
        <v>8075</v>
      </c>
      <c r="JKF1" t="s">
        <v>8076</v>
      </c>
      <c r="JKG1" t="s">
        <v>8077</v>
      </c>
      <c r="JKH1" t="s">
        <v>8078</v>
      </c>
      <c r="JKI1" t="s">
        <v>8079</v>
      </c>
      <c r="JKJ1" t="s">
        <v>8080</v>
      </c>
      <c r="JKK1" t="s">
        <v>8081</v>
      </c>
      <c r="JKL1" t="s">
        <v>8082</v>
      </c>
      <c r="JKM1" t="s">
        <v>8083</v>
      </c>
      <c r="JKN1" t="s">
        <v>8084</v>
      </c>
      <c r="JKO1" t="s">
        <v>8085</v>
      </c>
      <c r="JKP1" t="s">
        <v>8086</v>
      </c>
      <c r="JKQ1" t="s">
        <v>8087</v>
      </c>
      <c r="JKR1" t="s">
        <v>8088</v>
      </c>
      <c r="JKS1" t="s">
        <v>8089</v>
      </c>
      <c r="JKT1" t="s">
        <v>8090</v>
      </c>
      <c r="JKU1" t="s">
        <v>8091</v>
      </c>
      <c r="JKV1" t="s">
        <v>8092</v>
      </c>
      <c r="JKW1" t="s">
        <v>8093</v>
      </c>
      <c r="JKX1" t="s">
        <v>8094</v>
      </c>
      <c r="JKY1" t="s">
        <v>8095</v>
      </c>
      <c r="JKZ1" t="s">
        <v>8096</v>
      </c>
      <c r="JLA1" t="s">
        <v>8097</v>
      </c>
      <c r="JLB1" t="s">
        <v>8098</v>
      </c>
      <c r="JLC1" t="s">
        <v>8099</v>
      </c>
      <c r="JLD1" t="s">
        <v>8100</v>
      </c>
      <c r="JLE1" t="s">
        <v>8101</v>
      </c>
      <c r="JLF1" t="s">
        <v>8102</v>
      </c>
      <c r="JLG1" t="s">
        <v>8103</v>
      </c>
      <c r="JLH1" t="s">
        <v>8104</v>
      </c>
      <c r="JLI1" t="s">
        <v>8105</v>
      </c>
      <c r="JLJ1" t="s">
        <v>8106</v>
      </c>
      <c r="JLK1" t="s">
        <v>8107</v>
      </c>
      <c r="JLL1" t="s">
        <v>8108</v>
      </c>
      <c r="JLM1" t="s">
        <v>8109</v>
      </c>
      <c r="JLN1" t="s">
        <v>8110</v>
      </c>
      <c r="JLO1" t="s">
        <v>8111</v>
      </c>
      <c r="JLP1" t="s">
        <v>8112</v>
      </c>
      <c r="JLQ1" t="s">
        <v>8113</v>
      </c>
      <c r="JLR1" t="s">
        <v>8114</v>
      </c>
      <c r="JLS1" t="s">
        <v>8115</v>
      </c>
      <c r="JLT1" t="s">
        <v>8116</v>
      </c>
      <c r="JLU1" t="s">
        <v>8117</v>
      </c>
      <c r="JLV1" t="s">
        <v>8118</v>
      </c>
      <c r="JLW1" t="s">
        <v>8119</v>
      </c>
      <c r="JLX1" t="s">
        <v>8120</v>
      </c>
      <c r="JLY1" t="s">
        <v>8121</v>
      </c>
      <c r="JLZ1" t="s">
        <v>8122</v>
      </c>
      <c r="JMA1" t="s">
        <v>8123</v>
      </c>
      <c r="JMB1" t="s">
        <v>8124</v>
      </c>
      <c r="JMC1" t="s">
        <v>8125</v>
      </c>
      <c r="JMD1" t="s">
        <v>8126</v>
      </c>
      <c r="JME1" t="s">
        <v>8127</v>
      </c>
      <c r="JMF1" t="s">
        <v>8128</v>
      </c>
      <c r="JMG1" t="s">
        <v>8129</v>
      </c>
      <c r="JMH1" t="s">
        <v>8130</v>
      </c>
      <c r="JMI1" t="s">
        <v>8131</v>
      </c>
      <c r="JMJ1" t="s">
        <v>8132</v>
      </c>
      <c r="JMK1" t="s">
        <v>8133</v>
      </c>
      <c r="JML1" t="s">
        <v>8134</v>
      </c>
      <c r="JMM1" t="s">
        <v>8135</v>
      </c>
      <c r="JMN1" t="s">
        <v>8136</v>
      </c>
      <c r="JMO1" t="s">
        <v>8137</v>
      </c>
      <c r="JMP1" t="s">
        <v>8138</v>
      </c>
      <c r="JMQ1" t="s">
        <v>8139</v>
      </c>
      <c r="JMR1" t="s">
        <v>8140</v>
      </c>
      <c r="JMS1" t="s">
        <v>8141</v>
      </c>
      <c r="JMT1" t="s">
        <v>8142</v>
      </c>
      <c r="JMU1" t="s">
        <v>8143</v>
      </c>
      <c r="JMV1" t="s">
        <v>8144</v>
      </c>
      <c r="JMW1" t="s">
        <v>8145</v>
      </c>
      <c r="JMX1" t="s">
        <v>8146</v>
      </c>
      <c r="JMY1" t="s">
        <v>8147</v>
      </c>
      <c r="JMZ1" t="s">
        <v>8148</v>
      </c>
      <c r="JNA1" t="s">
        <v>8149</v>
      </c>
      <c r="JNB1" t="s">
        <v>8150</v>
      </c>
      <c r="JNC1" t="s">
        <v>8151</v>
      </c>
      <c r="JND1" t="s">
        <v>8152</v>
      </c>
      <c r="JNE1" t="s">
        <v>8153</v>
      </c>
      <c r="JNF1" t="s">
        <v>8154</v>
      </c>
      <c r="JNG1" t="s">
        <v>8155</v>
      </c>
      <c r="JNH1" t="s">
        <v>8156</v>
      </c>
      <c r="JNI1" t="s">
        <v>8157</v>
      </c>
      <c r="JNJ1" t="s">
        <v>8158</v>
      </c>
      <c r="JNK1" t="s">
        <v>8159</v>
      </c>
      <c r="JNL1" t="s">
        <v>8160</v>
      </c>
      <c r="JNM1" t="s">
        <v>8161</v>
      </c>
      <c r="JNN1" t="s">
        <v>8162</v>
      </c>
      <c r="JNO1" t="s">
        <v>8163</v>
      </c>
      <c r="JNP1" t="s">
        <v>8164</v>
      </c>
      <c r="JNQ1" t="s">
        <v>8165</v>
      </c>
      <c r="JNR1" t="s">
        <v>8166</v>
      </c>
      <c r="JNS1" t="s">
        <v>8167</v>
      </c>
      <c r="JNT1" t="s">
        <v>8168</v>
      </c>
      <c r="JNU1" t="s">
        <v>8169</v>
      </c>
      <c r="JNV1" t="s">
        <v>8170</v>
      </c>
      <c r="JNW1" t="s">
        <v>8171</v>
      </c>
      <c r="JNX1" t="s">
        <v>8172</v>
      </c>
      <c r="JNY1" t="s">
        <v>8173</v>
      </c>
      <c r="JNZ1" t="s">
        <v>8174</v>
      </c>
      <c r="JOA1" t="s">
        <v>8175</v>
      </c>
      <c r="JOB1" t="s">
        <v>8176</v>
      </c>
      <c r="JOC1" t="s">
        <v>8177</v>
      </c>
      <c r="JOD1" t="s">
        <v>8178</v>
      </c>
      <c r="JOE1" t="s">
        <v>8179</v>
      </c>
      <c r="JOF1" t="s">
        <v>8180</v>
      </c>
      <c r="JOG1" t="s">
        <v>8181</v>
      </c>
      <c r="JOH1" t="s">
        <v>8182</v>
      </c>
      <c r="JOI1" t="s">
        <v>8183</v>
      </c>
      <c r="JOJ1" t="s">
        <v>8184</v>
      </c>
      <c r="JOK1" t="s">
        <v>8185</v>
      </c>
      <c r="JOL1" t="s">
        <v>8186</v>
      </c>
      <c r="JOM1" t="s">
        <v>8187</v>
      </c>
      <c r="JON1" t="s">
        <v>8188</v>
      </c>
      <c r="JOO1" t="s">
        <v>8189</v>
      </c>
      <c r="JOP1" t="s">
        <v>8190</v>
      </c>
      <c r="JOQ1" t="s">
        <v>8191</v>
      </c>
      <c r="JOR1" t="s">
        <v>8192</v>
      </c>
      <c r="JOS1" t="s">
        <v>8193</v>
      </c>
      <c r="JOT1" t="s">
        <v>8194</v>
      </c>
      <c r="JOU1" t="s">
        <v>8195</v>
      </c>
      <c r="JOV1" t="s">
        <v>8196</v>
      </c>
      <c r="JOW1" t="s">
        <v>8197</v>
      </c>
      <c r="JOX1" t="s">
        <v>8198</v>
      </c>
      <c r="JOY1" t="s">
        <v>8199</v>
      </c>
      <c r="JOZ1" t="s">
        <v>8200</v>
      </c>
      <c r="JPA1" t="s">
        <v>8201</v>
      </c>
      <c r="JPB1" t="s">
        <v>8202</v>
      </c>
      <c r="JPC1" t="s">
        <v>8203</v>
      </c>
      <c r="JPD1" t="s">
        <v>8204</v>
      </c>
      <c r="JPE1" t="s">
        <v>8205</v>
      </c>
      <c r="JPF1" t="s">
        <v>8206</v>
      </c>
      <c r="JPG1" t="s">
        <v>8207</v>
      </c>
      <c r="JPH1" t="s">
        <v>8208</v>
      </c>
      <c r="JPI1" t="s">
        <v>8209</v>
      </c>
      <c r="JPJ1" t="s">
        <v>8210</v>
      </c>
      <c r="JPK1" t="s">
        <v>8211</v>
      </c>
      <c r="JPL1" t="s">
        <v>8212</v>
      </c>
      <c r="JPM1" t="s">
        <v>8213</v>
      </c>
      <c r="JPN1" t="s">
        <v>8214</v>
      </c>
      <c r="JPO1" t="s">
        <v>8215</v>
      </c>
      <c r="JPP1" t="s">
        <v>8216</v>
      </c>
      <c r="JPQ1" t="s">
        <v>8217</v>
      </c>
      <c r="JPR1" t="s">
        <v>8218</v>
      </c>
      <c r="JPS1" t="s">
        <v>8219</v>
      </c>
      <c r="JPT1" t="s">
        <v>8220</v>
      </c>
      <c r="JPU1" t="s">
        <v>8221</v>
      </c>
      <c r="JPV1" t="s">
        <v>8222</v>
      </c>
      <c r="JPW1" t="s">
        <v>8223</v>
      </c>
      <c r="JPX1" t="s">
        <v>8224</v>
      </c>
      <c r="JPY1" t="s">
        <v>8225</v>
      </c>
      <c r="JPZ1" t="s">
        <v>8226</v>
      </c>
      <c r="JQA1" t="s">
        <v>8227</v>
      </c>
      <c r="JQB1" t="s">
        <v>8228</v>
      </c>
      <c r="JQC1" t="s">
        <v>8229</v>
      </c>
      <c r="JQD1" t="s">
        <v>8230</v>
      </c>
      <c r="JQE1" t="s">
        <v>8231</v>
      </c>
      <c r="JQF1" t="s">
        <v>8232</v>
      </c>
      <c r="JQG1" t="s">
        <v>8233</v>
      </c>
      <c r="JQH1" t="s">
        <v>8234</v>
      </c>
      <c r="JQI1" t="s">
        <v>8235</v>
      </c>
      <c r="JQJ1" t="s">
        <v>8236</v>
      </c>
      <c r="JQK1" t="s">
        <v>8237</v>
      </c>
      <c r="JQL1" t="s">
        <v>8238</v>
      </c>
      <c r="JQM1" t="s">
        <v>8239</v>
      </c>
      <c r="JQN1" t="s">
        <v>8240</v>
      </c>
      <c r="JQO1" t="s">
        <v>8241</v>
      </c>
      <c r="JQP1" t="s">
        <v>8242</v>
      </c>
      <c r="JQQ1" t="s">
        <v>8243</v>
      </c>
      <c r="JQR1" t="s">
        <v>8244</v>
      </c>
      <c r="JQS1" t="s">
        <v>8245</v>
      </c>
      <c r="JQT1" t="s">
        <v>8246</v>
      </c>
      <c r="JQU1" t="s">
        <v>8247</v>
      </c>
      <c r="JQV1" t="s">
        <v>8248</v>
      </c>
      <c r="JQW1" t="s">
        <v>8249</v>
      </c>
      <c r="JQX1" t="s">
        <v>8250</v>
      </c>
      <c r="JQY1" t="s">
        <v>8251</v>
      </c>
      <c r="JQZ1" t="s">
        <v>8252</v>
      </c>
      <c r="JRA1" t="s">
        <v>8253</v>
      </c>
      <c r="JRB1" t="s">
        <v>8254</v>
      </c>
      <c r="JRC1" t="s">
        <v>8255</v>
      </c>
      <c r="JRD1" t="s">
        <v>8256</v>
      </c>
      <c r="JRE1" t="s">
        <v>8257</v>
      </c>
      <c r="JRF1" t="s">
        <v>8258</v>
      </c>
      <c r="JRG1" t="s">
        <v>8259</v>
      </c>
      <c r="JRH1" t="s">
        <v>8260</v>
      </c>
      <c r="JRI1" t="s">
        <v>8261</v>
      </c>
      <c r="JRJ1" t="s">
        <v>8262</v>
      </c>
      <c r="JRK1" t="s">
        <v>8263</v>
      </c>
      <c r="JRL1" t="s">
        <v>8264</v>
      </c>
      <c r="JRM1" t="s">
        <v>8265</v>
      </c>
      <c r="JRN1" t="s">
        <v>8266</v>
      </c>
      <c r="JRO1" t="s">
        <v>8267</v>
      </c>
      <c r="JRP1" t="s">
        <v>8268</v>
      </c>
      <c r="JRQ1" t="s">
        <v>8269</v>
      </c>
      <c r="JRR1" t="s">
        <v>8270</v>
      </c>
      <c r="JRS1" t="s">
        <v>8271</v>
      </c>
      <c r="JRT1" t="s">
        <v>8272</v>
      </c>
      <c r="JRU1" t="s">
        <v>8273</v>
      </c>
      <c r="JRV1" t="s">
        <v>8274</v>
      </c>
      <c r="JRW1" t="s">
        <v>8275</v>
      </c>
      <c r="JRX1" t="s">
        <v>8276</v>
      </c>
      <c r="JRY1" t="s">
        <v>8277</v>
      </c>
      <c r="JRZ1" t="s">
        <v>8278</v>
      </c>
      <c r="JSA1" t="s">
        <v>8279</v>
      </c>
      <c r="JSB1" t="s">
        <v>8280</v>
      </c>
      <c r="JSC1" t="s">
        <v>8281</v>
      </c>
      <c r="JSD1" t="s">
        <v>8282</v>
      </c>
      <c r="JSE1" t="s">
        <v>8283</v>
      </c>
      <c r="JSF1" t="s">
        <v>8284</v>
      </c>
      <c r="JSG1" t="s">
        <v>8285</v>
      </c>
      <c r="JSH1" t="s">
        <v>8286</v>
      </c>
      <c r="JSI1" t="s">
        <v>8287</v>
      </c>
      <c r="JSJ1" t="s">
        <v>8288</v>
      </c>
      <c r="JSK1" t="s">
        <v>8289</v>
      </c>
      <c r="JSL1" t="s">
        <v>8290</v>
      </c>
      <c r="JSM1" t="s">
        <v>8291</v>
      </c>
      <c r="JSN1" t="s">
        <v>8292</v>
      </c>
      <c r="JSO1" t="s">
        <v>8293</v>
      </c>
      <c r="JSP1" t="s">
        <v>8294</v>
      </c>
      <c r="JSQ1" t="s">
        <v>8295</v>
      </c>
      <c r="JSR1" t="s">
        <v>8296</v>
      </c>
      <c r="JSS1" t="s">
        <v>8297</v>
      </c>
      <c r="JST1" t="s">
        <v>8298</v>
      </c>
      <c r="JSU1" t="s">
        <v>8299</v>
      </c>
      <c r="JSV1" t="s">
        <v>8300</v>
      </c>
      <c r="JSW1" t="s">
        <v>8301</v>
      </c>
      <c r="JSX1" t="s">
        <v>8302</v>
      </c>
      <c r="JSY1" t="s">
        <v>8303</v>
      </c>
      <c r="JSZ1" t="s">
        <v>8304</v>
      </c>
      <c r="JTA1" t="s">
        <v>8305</v>
      </c>
      <c r="JTB1" t="s">
        <v>8306</v>
      </c>
      <c r="JTC1" t="s">
        <v>8307</v>
      </c>
      <c r="JTD1" t="s">
        <v>8308</v>
      </c>
      <c r="JTE1" t="s">
        <v>8309</v>
      </c>
      <c r="JTF1" t="s">
        <v>8310</v>
      </c>
      <c r="JTG1" t="s">
        <v>8311</v>
      </c>
      <c r="JTH1" t="s">
        <v>8312</v>
      </c>
      <c r="JTI1" t="s">
        <v>8313</v>
      </c>
      <c r="JTJ1" t="s">
        <v>8314</v>
      </c>
      <c r="JTK1" t="s">
        <v>8315</v>
      </c>
      <c r="JTL1" t="s">
        <v>8316</v>
      </c>
      <c r="JTM1" t="s">
        <v>8317</v>
      </c>
      <c r="JTN1" t="s">
        <v>8318</v>
      </c>
      <c r="JTO1" t="s">
        <v>8319</v>
      </c>
      <c r="JTP1" t="s">
        <v>8320</v>
      </c>
      <c r="JTQ1" t="s">
        <v>8321</v>
      </c>
      <c r="JTR1" t="s">
        <v>8322</v>
      </c>
      <c r="JTS1" t="s">
        <v>8323</v>
      </c>
      <c r="JTT1" t="s">
        <v>8324</v>
      </c>
      <c r="JTU1" t="s">
        <v>8325</v>
      </c>
      <c r="JTV1" t="s">
        <v>8326</v>
      </c>
      <c r="JTW1" t="s">
        <v>8327</v>
      </c>
      <c r="JTX1" t="s">
        <v>8328</v>
      </c>
      <c r="JTY1" t="s">
        <v>8329</v>
      </c>
      <c r="JTZ1" t="s">
        <v>8330</v>
      </c>
      <c r="JUA1" t="s">
        <v>8331</v>
      </c>
      <c r="JUB1" t="s">
        <v>8332</v>
      </c>
      <c r="JUC1" t="s">
        <v>8333</v>
      </c>
      <c r="JUD1" t="s">
        <v>8334</v>
      </c>
      <c r="JUE1" t="s">
        <v>8335</v>
      </c>
      <c r="JUF1" t="s">
        <v>8336</v>
      </c>
      <c r="JUG1" t="s">
        <v>8337</v>
      </c>
      <c r="JUH1" t="s">
        <v>8338</v>
      </c>
      <c r="JUI1" t="s">
        <v>8339</v>
      </c>
      <c r="JUJ1" t="s">
        <v>8340</v>
      </c>
      <c r="JUK1" t="s">
        <v>8341</v>
      </c>
      <c r="JUL1" t="s">
        <v>8342</v>
      </c>
      <c r="JUM1" t="s">
        <v>8343</v>
      </c>
      <c r="JUN1" t="s">
        <v>8344</v>
      </c>
      <c r="JUO1" t="s">
        <v>8345</v>
      </c>
      <c r="JUP1" t="s">
        <v>8346</v>
      </c>
      <c r="JUQ1" t="s">
        <v>8347</v>
      </c>
      <c r="JUR1" t="s">
        <v>8348</v>
      </c>
      <c r="JUS1" t="s">
        <v>8349</v>
      </c>
      <c r="JUT1" t="s">
        <v>8350</v>
      </c>
      <c r="JUU1" t="s">
        <v>8351</v>
      </c>
      <c r="JUV1" t="s">
        <v>8352</v>
      </c>
      <c r="JUW1" t="s">
        <v>8353</v>
      </c>
      <c r="JUX1" t="s">
        <v>8354</v>
      </c>
      <c r="JUY1" t="s">
        <v>8355</v>
      </c>
      <c r="JUZ1" t="s">
        <v>8356</v>
      </c>
      <c r="JVA1" t="s">
        <v>8357</v>
      </c>
      <c r="JVB1" t="s">
        <v>8358</v>
      </c>
      <c r="JVC1" t="s">
        <v>8359</v>
      </c>
      <c r="JVD1" t="s">
        <v>8360</v>
      </c>
      <c r="JVE1" t="s">
        <v>8361</v>
      </c>
      <c r="JVF1" t="s">
        <v>8362</v>
      </c>
      <c r="JVG1" t="s">
        <v>8363</v>
      </c>
      <c r="JVH1" t="s">
        <v>8364</v>
      </c>
      <c r="JVI1" t="s">
        <v>8365</v>
      </c>
      <c r="JVJ1" t="s">
        <v>8366</v>
      </c>
      <c r="JVK1" t="s">
        <v>8367</v>
      </c>
      <c r="JVL1" t="s">
        <v>8368</v>
      </c>
      <c r="JVM1" t="s">
        <v>8369</v>
      </c>
      <c r="JVN1" t="s">
        <v>8370</v>
      </c>
      <c r="JVO1" t="s">
        <v>8371</v>
      </c>
      <c r="JVP1" t="s">
        <v>8372</v>
      </c>
      <c r="JVQ1" t="s">
        <v>8373</v>
      </c>
      <c r="JVR1" t="s">
        <v>8374</v>
      </c>
      <c r="JVS1" t="s">
        <v>8375</v>
      </c>
      <c r="JVT1" t="s">
        <v>8376</v>
      </c>
      <c r="JVU1" t="s">
        <v>8377</v>
      </c>
      <c r="JVV1" t="s">
        <v>8378</v>
      </c>
      <c r="JVW1" t="s">
        <v>8379</v>
      </c>
      <c r="JVX1" t="s">
        <v>8380</v>
      </c>
      <c r="JVY1" t="s">
        <v>8381</v>
      </c>
      <c r="JVZ1" t="s">
        <v>8382</v>
      </c>
      <c r="JWA1" t="s">
        <v>8383</v>
      </c>
      <c r="JWB1" t="s">
        <v>8384</v>
      </c>
      <c r="JWC1" t="s">
        <v>8385</v>
      </c>
      <c r="JWD1" t="s">
        <v>8386</v>
      </c>
      <c r="JWE1" t="s">
        <v>8387</v>
      </c>
      <c r="JWF1" t="s">
        <v>8388</v>
      </c>
      <c r="JWG1" t="s">
        <v>8389</v>
      </c>
      <c r="JWH1" t="s">
        <v>8390</v>
      </c>
      <c r="JWI1" t="s">
        <v>8391</v>
      </c>
      <c r="JWJ1" t="s">
        <v>8392</v>
      </c>
      <c r="JWK1" t="s">
        <v>8393</v>
      </c>
      <c r="JWL1" t="s">
        <v>8394</v>
      </c>
      <c r="JWM1" t="s">
        <v>8395</v>
      </c>
      <c r="JWN1" t="s">
        <v>8396</v>
      </c>
      <c r="JWO1" t="s">
        <v>8397</v>
      </c>
      <c r="JWP1" t="s">
        <v>8398</v>
      </c>
      <c r="JWQ1" t="s">
        <v>8399</v>
      </c>
      <c r="JWR1" t="s">
        <v>8400</v>
      </c>
      <c r="JWS1" t="s">
        <v>8401</v>
      </c>
      <c r="JWT1" t="s">
        <v>8402</v>
      </c>
      <c r="JWU1" t="s">
        <v>8403</v>
      </c>
      <c r="JWV1" t="s">
        <v>8404</v>
      </c>
      <c r="JWW1" t="s">
        <v>8405</v>
      </c>
      <c r="JWX1" t="s">
        <v>8406</v>
      </c>
      <c r="JWY1" t="s">
        <v>8407</v>
      </c>
      <c r="JWZ1" t="s">
        <v>8408</v>
      </c>
      <c r="JXA1" t="s">
        <v>8409</v>
      </c>
      <c r="JXB1" t="s">
        <v>8410</v>
      </c>
      <c r="JXC1" t="s">
        <v>8411</v>
      </c>
      <c r="JXD1" t="s">
        <v>8412</v>
      </c>
      <c r="JXE1" t="s">
        <v>8413</v>
      </c>
      <c r="JXF1" t="s">
        <v>8414</v>
      </c>
      <c r="JXG1" t="s">
        <v>8415</v>
      </c>
      <c r="JXH1" t="s">
        <v>8416</v>
      </c>
      <c r="JXI1" t="s">
        <v>8417</v>
      </c>
      <c r="JXJ1" t="s">
        <v>8418</v>
      </c>
      <c r="JXK1" t="s">
        <v>8419</v>
      </c>
      <c r="JXL1" t="s">
        <v>8420</v>
      </c>
      <c r="JXM1" t="s">
        <v>8421</v>
      </c>
      <c r="JXN1" t="s">
        <v>8422</v>
      </c>
      <c r="JXO1" t="s">
        <v>8423</v>
      </c>
      <c r="JXP1" t="s">
        <v>8424</v>
      </c>
      <c r="JXQ1" t="s">
        <v>8425</v>
      </c>
      <c r="JXR1" t="s">
        <v>8426</v>
      </c>
      <c r="JXS1" t="s">
        <v>8427</v>
      </c>
      <c r="JXT1" t="s">
        <v>8428</v>
      </c>
      <c r="JXU1" t="s">
        <v>8429</v>
      </c>
      <c r="JXV1" t="s">
        <v>8430</v>
      </c>
      <c r="JXW1" t="s">
        <v>8431</v>
      </c>
      <c r="JXX1" t="s">
        <v>8432</v>
      </c>
      <c r="JXY1" t="s">
        <v>8433</v>
      </c>
      <c r="JXZ1" t="s">
        <v>8434</v>
      </c>
      <c r="JYA1" t="s">
        <v>8435</v>
      </c>
      <c r="JYB1" t="s">
        <v>8436</v>
      </c>
      <c r="JYC1" t="s">
        <v>8437</v>
      </c>
      <c r="JYD1" t="s">
        <v>8438</v>
      </c>
      <c r="JYE1" t="s">
        <v>8439</v>
      </c>
      <c r="JYF1" t="s">
        <v>8440</v>
      </c>
      <c r="JYG1" t="s">
        <v>8441</v>
      </c>
      <c r="JYH1" t="s">
        <v>8442</v>
      </c>
      <c r="JYI1" t="s">
        <v>8443</v>
      </c>
      <c r="JYJ1" t="s">
        <v>8444</v>
      </c>
      <c r="JYK1" t="s">
        <v>8445</v>
      </c>
      <c r="JYL1" t="s">
        <v>8446</v>
      </c>
      <c r="JYM1" t="s">
        <v>8447</v>
      </c>
      <c r="JYN1" t="s">
        <v>8448</v>
      </c>
      <c r="JYO1" t="s">
        <v>8449</v>
      </c>
      <c r="JYP1" t="s">
        <v>8450</v>
      </c>
      <c r="JYQ1" t="s">
        <v>8451</v>
      </c>
      <c r="JYR1" t="s">
        <v>8452</v>
      </c>
      <c r="JYS1" t="s">
        <v>8453</v>
      </c>
      <c r="JYT1" t="s">
        <v>8454</v>
      </c>
      <c r="JYU1" t="s">
        <v>8455</v>
      </c>
      <c r="JYV1" t="s">
        <v>8456</v>
      </c>
      <c r="JYW1" t="s">
        <v>8457</v>
      </c>
      <c r="JYX1" t="s">
        <v>8458</v>
      </c>
      <c r="JYY1" t="s">
        <v>8459</v>
      </c>
      <c r="JYZ1" t="s">
        <v>8460</v>
      </c>
      <c r="JZA1" t="s">
        <v>8461</v>
      </c>
      <c r="JZB1" t="s">
        <v>8462</v>
      </c>
      <c r="JZC1" t="s">
        <v>8463</v>
      </c>
      <c r="JZD1" t="s">
        <v>8464</v>
      </c>
      <c r="JZE1" t="s">
        <v>8465</v>
      </c>
      <c r="JZF1" t="s">
        <v>8466</v>
      </c>
      <c r="JZG1" t="s">
        <v>8467</v>
      </c>
      <c r="JZH1" t="s">
        <v>8468</v>
      </c>
      <c r="JZI1" t="s">
        <v>8469</v>
      </c>
      <c r="JZJ1" t="s">
        <v>8470</v>
      </c>
      <c r="JZK1" t="s">
        <v>8471</v>
      </c>
      <c r="JZL1" t="s">
        <v>8472</v>
      </c>
      <c r="JZM1" t="s">
        <v>8473</v>
      </c>
      <c r="JZN1" t="s">
        <v>8474</v>
      </c>
      <c r="JZO1" t="s">
        <v>8475</v>
      </c>
      <c r="JZP1" t="s">
        <v>8476</v>
      </c>
      <c r="JZQ1" t="s">
        <v>8477</v>
      </c>
      <c r="JZR1" t="s">
        <v>8478</v>
      </c>
      <c r="JZS1" t="s">
        <v>8479</v>
      </c>
      <c r="JZT1" t="s">
        <v>8480</v>
      </c>
      <c r="JZU1" t="s">
        <v>8481</v>
      </c>
      <c r="JZV1" t="s">
        <v>8482</v>
      </c>
      <c r="JZW1" t="s">
        <v>8483</v>
      </c>
      <c r="JZX1" t="s">
        <v>8484</v>
      </c>
      <c r="JZY1" t="s">
        <v>8485</v>
      </c>
      <c r="JZZ1" t="s">
        <v>8486</v>
      </c>
      <c r="KAA1" t="s">
        <v>8487</v>
      </c>
      <c r="KAB1" t="s">
        <v>8488</v>
      </c>
      <c r="KAC1" t="s">
        <v>8489</v>
      </c>
      <c r="KAD1" t="s">
        <v>8490</v>
      </c>
      <c r="KAE1" t="s">
        <v>8491</v>
      </c>
      <c r="KAF1" t="s">
        <v>8492</v>
      </c>
      <c r="KAG1" t="s">
        <v>8493</v>
      </c>
      <c r="KAH1" t="s">
        <v>8494</v>
      </c>
      <c r="KAI1" t="s">
        <v>8495</v>
      </c>
      <c r="KAJ1" t="s">
        <v>8496</v>
      </c>
      <c r="KAK1" t="s">
        <v>8497</v>
      </c>
      <c r="KAL1" t="s">
        <v>8498</v>
      </c>
      <c r="KAM1" t="s">
        <v>8499</v>
      </c>
      <c r="KAN1" t="s">
        <v>8500</v>
      </c>
      <c r="KAO1" t="s">
        <v>8501</v>
      </c>
      <c r="KAP1" t="s">
        <v>8502</v>
      </c>
      <c r="KAQ1" t="s">
        <v>8503</v>
      </c>
      <c r="KAR1" t="s">
        <v>8504</v>
      </c>
      <c r="KAS1" t="s">
        <v>8505</v>
      </c>
      <c r="KAT1" t="s">
        <v>8506</v>
      </c>
      <c r="KAU1" t="s">
        <v>8507</v>
      </c>
      <c r="KAV1" t="s">
        <v>8508</v>
      </c>
      <c r="KAW1" t="s">
        <v>8509</v>
      </c>
      <c r="KAX1" t="s">
        <v>8510</v>
      </c>
      <c r="KAY1" t="s">
        <v>8511</v>
      </c>
      <c r="KAZ1" t="s">
        <v>8512</v>
      </c>
      <c r="KBA1" t="s">
        <v>8513</v>
      </c>
      <c r="KBB1" t="s">
        <v>8514</v>
      </c>
      <c r="KBC1" t="s">
        <v>8515</v>
      </c>
      <c r="KBD1" t="s">
        <v>8516</v>
      </c>
      <c r="KBE1" t="s">
        <v>8517</v>
      </c>
      <c r="KBF1" t="s">
        <v>8518</v>
      </c>
      <c r="KBG1" t="s">
        <v>8519</v>
      </c>
      <c r="KBH1" t="s">
        <v>8520</v>
      </c>
      <c r="KBI1" t="s">
        <v>8521</v>
      </c>
      <c r="KBJ1" t="s">
        <v>8522</v>
      </c>
      <c r="KBK1" t="s">
        <v>8523</v>
      </c>
      <c r="KBL1" t="s">
        <v>8524</v>
      </c>
      <c r="KBM1" t="s">
        <v>8525</v>
      </c>
      <c r="KBN1" t="s">
        <v>8526</v>
      </c>
      <c r="KBO1" t="s">
        <v>8527</v>
      </c>
      <c r="KBP1" t="s">
        <v>8528</v>
      </c>
      <c r="KBQ1" t="s">
        <v>8529</v>
      </c>
      <c r="KBR1" t="s">
        <v>8530</v>
      </c>
      <c r="KBS1" t="s">
        <v>8531</v>
      </c>
      <c r="KBT1" t="s">
        <v>8532</v>
      </c>
      <c r="KBU1" t="s">
        <v>8533</v>
      </c>
      <c r="KBV1" t="s">
        <v>8534</v>
      </c>
      <c r="KBW1" t="s">
        <v>8535</v>
      </c>
      <c r="KBX1" t="s">
        <v>8536</v>
      </c>
      <c r="KBY1" t="s">
        <v>8537</v>
      </c>
      <c r="KBZ1" t="s">
        <v>8538</v>
      </c>
      <c r="KCA1" t="s">
        <v>8539</v>
      </c>
      <c r="KCB1" t="s">
        <v>8540</v>
      </c>
      <c r="KCC1" t="s">
        <v>8541</v>
      </c>
      <c r="KCD1" t="s">
        <v>8542</v>
      </c>
      <c r="KCE1" t="s">
        <v>8543</v>
      </c>
      <c r="KCF1" t="s">
        <v>8544</v>
      </c>
      <c r="KCG1" t="s">
        <v>8545</v>
      </c>
      <c r="KCH1" t="s">
        <v>8546</v>
      </c>
      <c r="KCI1" t="s">
        <v>8547</v>
      </c>
      <c r="KCJ1" t="s">
        <v>8548</v>
      </c>
      <c r="KCK1" t="s">
        <v>8549</v>
      </c>
      <c r="KCL1" t="s">
        <v>8550</v>
      </c>
      <c r="KCM1" t="s">
        <v>8551</v>
      </c>
      <c r="KCN1" t="s">
        <v>8552</v>
      </c>
      <c r="KCO1" t="s">
        <v>8553</v>
      </c>
      <c r="KCP1" t="s">
        <v>8554</v>
      </c>
      <c r="KCQ1" t="s">
        <v>8555</v>
      </c>
      <c r="KCR1" t="s">
        <v>8556</v>
      </c>
      <c r="KCS1" t="s">
        <v>8557</v>
      </c>
      <c r="KCT1" t="s">
        <v>8558</v>
      </c>
      <c r="KCU1" t="s">
        <v>8559</v>
      </c>
      <c r="KCV1" t="s">
        <v>8560</v>
      </c>
      <c r="KCW1" t="s">
        <v>8561</v>
      </c>
      <c r="KCX1" t="s">
        <v>8562</v>
      </c>
      <c r="KCY1" t="s">
        <v>8563</v>
      </c>
      <c r="KCZ1" t="s">
        <v>8564</v>
      </c>
      <c r="KDA1" t="s">
        <v>8565</v>
      </c>
      <c r="KDB1" t="s">
        <v>8566</v>
      </c>
      <c r="KDC1" t="s">
        <v>8567</v>
      </c>
      <c r="KDD1" t="s">
        <v>8568</v>
      </c>
      <c r="KDE1" t="s">
        <v>8569</v>
      </c>
      <c r="KDF1" t="s">
        <v>8570</v>
      </c>
      <c r="KDG1" t="s">
        <v>8571</v>
      </c>
      <c r="KDH1" t="s">
        <v>8572</v>
      </c>
      <c r="KDI1" t="s">
        <v>8573</v>
      </c>
      <c r="KDJ1" t="s">
        <v>8574</v>
      </c>
      <c r="KDK1" t="s">
        <v>8575</v>
      </c>
      <c r="KDL1" t="s">
        <v>8576</v>
      </c>
      <c r="KDM1" t="s">
        <v>8577</v>
      </c>
      <c r="KDN1" t="s">
        <v>8578</v>
      </c>
      <c r="KDO1" t="s">
        <v>8579</v>
      </c>
      <c r="KDP1" t="s">
        <v>8580</v>
      </c>
      <c r="KDQ1" t="s">
        <v>8581</v>
      </c>
      <c r="KDR1" t="s">
        <v>8582</v>
      </c>
      <c r="KDS1" t="s">
        <v>8583</v>
      </c>
      <c r="KDT1" t="s">
        <v>8584</v>
      </c>
      <c r="KDU1" t="s">
        <v>8585</v>
      </c>
      <c r="KDV1" t="s">
        <v>8586</v>
      </c>
      <c r="KDW1" t="s">
        <v>8587</v>
      </c>
      <c r="KDX1" t="s">
        <v>8588</v>
      </c>
      <c r="KDY1" t="s">
        <v>8589</v>
      </c>
      <c r="KDZ1" t="s">
        <v>8590</v>
      </c>
      <c r="KEA1" t="s">
        <v>8591</v>
      </c>
      <c r="KEB1" t="s">
        <v>8592</v>
      </c>
      <c r="KEC1" t="s">
        <v>8593</v>
      </c>
      <c r="KED1" t="s">
        <v>8594</v>
      </c>
      <c r="KEE1" t="s">
        <v>8595</v>
      </c>
      <c r="KEF1" t="s">
        <v>8596</v>
      </c>
      <c r="KEG1" t="s">
        <v>8597</v>
      </c>
      <c r="KEH1" t="s">
        <v>8598</v>
      </c>
      <c r="KEI1" t="s">
        <v>8599</v>
      </c>
      <c r="KEJ1" t="s">
        <v>8600</v>
      </c>
      <c r="KEK1" t="s">
        <v>8601</v>
      </c>
      <c r="KEL1" t="s">
        <v>8602</v>
      </c>
      <c r="KEM1" t="s">
        <v>8603</v>
      </c>
      <c r="KEN1" t="s">
        <v>8604</v>
      </c>
      <c r="KEO1" t="s">
        <v>8605</v>
      </c>
      <c r="KEP1" t="s">
        <v>8606</v>
      </c>
      <c r="KEQ1" t="s">
        <v>8607</v>
      </c>
      <c r="KER1" t="s">
        <v>8608</v>
      </c>
      <c r="KES1" t="s">
        <v>8609</v>
      </c>
      <c r="KET1" t="s">
        <v>8610</v>
      </c>
      <c r="KEU1" t="s">
        <v>8611</v>
      </c>
      <c r="KEV1" t="s">
        <v>8612</v>
      </c>
      <c r="KEW1" t="s">
        <v>8613</v>
      </c>
      <c r="KEX1" t="s">
        <v>8614</v>
      </c>
      <c r="KEY1" t="s">
        <v>8615</v>
      </c>
      <c r="KEZ1" t="s">
        <v>8616</v>
      </c>
      <c r="KFA1" t="s">
        <v>8617</v>
      </c>
      <c r="KFB1" t="s">
        <v>8618</v>
      </c>
      <c r="KFC1" t="s">
        <v>8619</v>
      </c>
      <c r="KFD1" t="s">
        <v>8620</v>
      </c>
      <c r="KFE1" t="s">
        <v>8621</v>
      </c>
      <c r="KFF1" t="s">
        <v>8622</v>
      </c>
      <c r="KFG1" t="s">
        <v>8623</v>
      </c>
      <c r="KFH1" t="s">
        <v>8624</v>
      </c>
      <c r="KFI1" t="s">
        <v>8625</v>
      </c>
      <c r="KFJ1" t="s">
        <v>8626</v>
      </c>
      <c r="KFK1" t="s">
        <v>8627</v>
      </c>
      <c r="KFL1" t="s">
        <v>8628</v>
      </c>
      <c r="KFM1" t="s">
        <v>8629</v>
      </c>
      <c r="KFN1" t="s">
        <v>8630</v>
      </c>
      <c r="KFO1" t="s">
        <v>8631</v>
      </c>
      <c r="KFP1" t="s">
        <v>8632</v>
      </c>
      <c r="KFQ1" t="s">
        <v>8633</v>
      </c>
      <c r="KFR1" t="s">
        <v>8634</v>
      </c>
      <c r="KFS1" t="s">
        <v>8635</v>
      </c>
      <c r="KFT1" t="s">
        <v>8636</v>
      </c>
      <c r="KFU1" t="s">
        <v>8637</v>
      </c>
      <c r="KFV1" t="s">
        <v>8638</v>
      </c>
      <c r="KFW1" t="s">
        <v>8639</v>
      </c>
      <c r="KFX1" t="s">
        <v>8640</v>
      </c>
      <c r="KFY1" t="s">
        <v>8641</v>
      </c>
      <c r="KFZ1" t="s">
        <v>8642</v>
      </c>
      <c r="KGA1" t="s">
        <v>8643</v>
      </c>
      <c r="KGB1" t="s">
        <v>8644</v>
      </c>
      <c r="KGC1" t="s">
        <v>8645</v>
      </c>
      <c r="KGD1" t="s">
        <v>8646</v>
      </c>
      <c r="KGE1" t="s">
        <v>8647</v>
      </c>
      <c r="KGF1" t="s">
        <v>8648</v>
      </c>
      <c r="KGG1" t="s">
        <v>8649</v>
      </c>
      <c r="KGH1" t="s">
        <v>8650</v>
      </c>
      <c r="KGI1" t="s">
        <v>8651</v>
      </c>
      <c r="KGJ1" t="s">
        <v>8652</v>
      </c>
      <c r="KGK1" t="s">
        <v>8653</v>
      </c>
      <c r="KGL1" t="s">
        <v>8654</v>
      </c>
      <c r="KGM1" t="s">
        <v>8655</v>
      </c>
      <c r="KGN1" t="s">
        <v>8656</v>
      </c>
      <c r="KGO1" t="s">
        <v>8657</v>
      </c>
      <c r="KGP1" t="s">
        <v>8658</v>
      </c>
      <c r="KGQ1" t="s">
        <v>8659</v>
      </c>
      <c r="KGR1" t="s">
        <v>8660</v>
      </c>
      <c r="KGS1" t="s">
        <v>8661</v>
      </c>
      <c r="KGT1" t="s">
        <v>8662</v>
      </c>
      <c r="KGU1" t="s">
        <v>8663</v>
      </c>
      <c r="KGV1" t="s">
        <v>8664</v>
      </c>
      <c r="KGW1" t="s">
        <v>8665</v>
      </c>
      <c r="KGX1" t="s">
        <v>8666</v>
      </c>
      <c r="KGY1" t="s">
        <v>8667</v>
      </c>
      <c r="KGZ1" t="s">
        <v>8668</v>
      </c>
      <c r="KHA1" t="s">
        <v>8669</v>
      </c>
      <c r="KHB1" t="s">
        <v>8670</v>
      </c>
      <c r="KHC1" t="s">
        <v>8671</v>
      </c>
      <c r="KHD1" t="s">
        <v>8672</v>
      </c>
      <c r="KHE1" t="s">
        <v>8673</v>
      </c>
      <c r="KHF1" t="s">
        <v>8674</v>
      </c>
      <c r="KHG1" t="s">
        <v>8675</v>
      </c>
      <c r="KHH1" t="s">
        <v>8676</v>
      </c>
      <c r="KHI1" t="s">
        <v>8677</v>
      </c>
      <c r="KHJ1" t="s">
        <v>8678</v>
      </c>
      <c r="KHK1" t="s">
        <v>8679</v>
      </c>
      <c r="KHL1" t="s">
        <v>8680</v>
      </c>
      <c r="KHM1" t="s">
        <v>8681</v>
      </c>
      <c r="KHN1" t="s">
        <v>8682</v>
      </c>
      <c r="KHO1" t="s">
        <v>8683</v>
      </c>
      <c r="KHP1" t="s">
        <v>8684</v>
      </c>
      <c r="KHQ1" t="s">
        <v>8685</v>
      </c>
      <c r="KHR1" t="s">
        <v>8686</v>
      </c>
      <c r="KHS1" t="s">
        <v>8687</v>
      </c>
      <c r="KHT1" t="s">
        <v>8688</v>
      </c>
      <c r="KHU1" t="s">
        <v>8689</v>
      </c>
      <c r="KHV1" t="s">
        <v>8690</v>
      </c>
      <c r="KHW1" t="s">
        <v>8691</v>
      </c>
      <c r="KHX1" t="s">
        <v>8692</v>
      </c>
      <c r="KHY1" t="s">
        <v>8693</v>
      </c>
      <c r="KHZ1" t="s">
        <v>8694</v>
      </c>
      <c r="KIA1" t="s">
        <v>8695</v>
      </c>
      <c r="KIB1" t="s">
        <v>8696</v>
      </c>
      <c r="KIC1" t="s">
        <v>8697</v>
      </c>
      <c r="KID1" t="s">
        <v>8698</v>
      </c>
      <c r="KIE1" t="s">
        <v>8699</v>
      </c>
      <c r="KIF1" t="s">
        <v>8700</v>
      </c>
      <c r="KIG1" t="s">
        <v>8701</v>
      </c>
      <c r="KIH1" t="s">
        <v>8702</v>
      </c>
      <c r="KII1" t="s">
        <v>8703</v>
      </c>
      <c r="KIJ1" t="s">
        <v>8704</v>
      </c>
      <c r="KIK1" t="s">
        <v>8705</v>
      </c>
      <c r="KIL1" t="s">
        <v>8706</v>
      </c>
      <c r="KIM1" t="s">
        <v>8707</v>
      </c>
      <c r="KIN1" t="s">
        <v>8708</v>
      </c>
      <c r="KIO1" t="s">
        <v>8709</v>
      </c>
      <c r="KIP1" t="s">
        <v>8710</v>
      </c>
      <c r="KIQ1" t="s">
        <v>8711</v>
      </c>
      <c r="KIR1" t="s">
        <v>8712</v>
      </c>
      <c r="KIS1" t="s">
        <v>8713</v>
      </c>
      <c r="KIT1" t="s">
        <v>8714</v>
      </c>
      <c r="KIU1" t="s">
        <v>8715</v>
      </c>
      <c r="KIV1" t="s">
        <v>8716</v>
      </c>
      <c r="KIW1" t="s">
        <v>8717</v>
      </c>
      <c r="KIX1" t="s">
        <v>8718</v>
      </c>
      <c r="KIY1" t="s">
        <v>8719</v>
      </c>
      <c r="KIZ1" t="s">
        <v>8720</v>
      </c>
      <c r="KJA1" t="s">
        <v>8721</v>
      </c>
      <c r="KJB1" t="s">
        <v>8722</v>
      </c>
      <c r="KJC1" t="s">
        <v>8723</v>
      </c>
      <c r="KJD1" t="s">
        <v>8724</v>
      </c>
      <c r="KJE1" t="s">
        <v>8725</v>
      </c>
      <c r="KJF1" t="s">
        <v>8726</v>
      </c>
      <c r="KJG1" t="s">
        <v>8727</v>
      </c>
      <c r="KJH1" t="s">
        <v>8728</v>
      </c>
      <c r="KJI1" t="s">
        <v>8729</v>
      </c>
      <c r="KJJ1" t="s">
        <v>8730</v>
      </c>
      <c r="KJK1" t="s">
        <v>8731</v>
      </c>
      <c r="KJL1" t="s">
        <v>8732</v>
      </c>
      <c r="KJM1" t="s">
        <v>8733</v>
      </c>
      <c r="KJN1" t="s">
        <v>8734</v>
      </c>
      <c r="KJO1" t="s">
        <v>8735</v>
      </c>
      <c r="KJP1" t="s">
        <v>8736</v>
      </c>
      <c r="KJQ1" t="s">
        <v>8737</v>
      </c>
      <c r="KJR1" t="s">
        <v>8738</v>
      </c>
      <c r="KJS1" t="s">
        <v>8739</v>
      </c>
      <c r="KJT1" t="s">
        <v>8740</v>
      </c>
      <c r="KJU1" t="s">
        <v>8741</v>
      </c>
      <c r="KJV1" t="s">
        <v>8742</v>
      </c>
      <c r="KJW1" t="s">
        <v>8743</v>
      </c>
      <c r="KJX1" t="s">
        <v>8744</v>
      </c>
      <c r="KJY1" t="s">
        <v>8745</v>
      </c>
      <c r="KJZ1" t="s">
        <v>8746</v>
      </c>
      <c r="KKA1" t="s">
        <v>8747</v>
      </c>
      <c r="KKB1" t="s">
        <v>8748</v>
      </c>
      <c r="KKC1" t="s">
        <v>8749</v>
      </c>
      <c r="KKD1" t="s">
        <v>8750</v>
      </c>
      <c r="KKE1" t="s">
        <v>8751</v>
      </c>
      <c r="KKF1" t="s">
        <v>8752</v>
      </c>
      <c r="KKG1" t="s">
        <v>8753</v>
      </c>
      <c r="KKH1" t="s">
        <v>8754</v>
      </c>
      <c r="KKI1" t="s">
        <v>8755</v>
      </c>
      <c r="KKJ1" t="s">
        <v>8756</v>
      </c>
      <c r="KKK1" t="s">
        <v>8757</v>
      </c>
      <c r="KKL1" t="s">
        <v>8758</v>
      </c>
      <c r="KKM1" t="s">
        <v>8759</v>
      </c>
      <c r="KKN1" t="s">
        <v>8760</v>
      </c>
      <c r="KKO1" t="s">
        <v>8761</v>
      </c>
      <c r="KKP1" t="s">
        <v>8762</v>
      </c>
      <c r="KKQ1" t="s">
        <v>8763</v>
      </c>
      <c r="KKR1" t="s">
        <v>8764</v>
      </c>
      <c r="KKS1" t="s">
        <v>8765</v>
      </c>
      <c r="KKT1" t="s">
        <v>8766</v>
      </c>
      <c r="KKU1" t="s">
        <v>8767</v>
      </c>
      <c r="KKV1" t="s">
        <v>8768</v>
      </c>
      <c r="KKW1" t="s">
        <v>8769</v>
      </c>
      <c r="KKX1" t="s">
        <v>8770</v>
      </c>
      <c r="KKY1" t="s">
        <v>8771</v>
      </c>
      <c r="KKZ1" t="s">
        <v>8772</v>
      </c>
      <c r="KLA1" t="s">
        <v>8773</v>
      </c>
      <c r="KLB1" t="s">
        <v>8774</v>
      </c>
      <c r="KLC1" t="s">
        <v>8775</v>
      </c>
      <c r="KLD1" t="s">
        <v>8776</v>
      </c>
      <c r="KLE1" t="s">
        <v>8777</v>
      </c>
      <c r="KLF1" t="s">
        <v>8778</v>
      </c>
      <c r="KLG1" t="s">
        <v>8779</v>
      </c>
      <c r="KLH1" t="s">
        <v>8780</v>
      </c>
      <c r="KLI1" t="s">
        <v>8781</v>
      </c>
      <c r="KLJ1" t="s">
        <v>8782</v>
      </c>
      <c r="KLK1" t="s">
        <v>8783</v>
      </c>
      <c r="KLL1" t="s">
        <v>8784</v>
      </c>
      <c r="KLM1" t="s">
        <v>8785</v>
      </c>
      <c r="KLN1" t="s">
        <v>8786</v>
      </c>
      <c r="KLO1" t="s">
        <v>8787</v>
      </c>
      <c r="KLP1" t="s">
        <v>8788</v>
      </c>
      <c r="KLQ1" t="s">
        <v>8789</v>
      </c>
      <c r="KLR1" t="s">
        <v>8790</v>
      </c>
      <c r="KLS1" t="s">
        <v>8791</v>
      </c>
      <c r="KLT1" t="s">
        <v>8792</v>
      </c>
      <c r="KLU1" t="s">
        <v>8793</v>
      </c>
      <c r="KLV1" t="s">
        <v>8794</v>
      </c>
      <c r="KLW1" t="s">
        <v>8795</v>
      </c>
      <c r="KLX1" t="s">
        <v>8796</v>
      </c>
      <c r="KLY1" t="s">
        <v>8797</v>
      </c>
      <c r="KLZ1" t="s">
        <v>8798</v>
      </c>
      <c r="KMA1" t="s">
        <v>8799</v>
      </c>
      <c r="KMB1" t="s">
        <v>8800</v>
      </c>
      <c r="KMC1" t="s">
        <v>8801</v>
      </c>
      <c r="KMD1" t="s">
        <v>8802</v>
      </c>
      <c r="KME1" t="s">
        <v>8803</v>
      </c>
      <c r="KMF1" t="s">
        <v>8804</v>
      </c>
      <c r="KMG1" t="s">
        <v>8805</v>
      </c>
      <c r="KMH1" t="s">
        <v>8806</v>
      </c>
      <c r="KMI1" t="s">
        <v>8807</v>
      </c>
      <c r="KMJ1" t="s">
        <v>8808</v>
      </c>
      <c r="KMK1" t="s">
        <v>8809</v>
      </c>
      <c r="KML1" t="s">
        <v>8810</v>
      </c>
      <c r="KMM1" t="s">
        <v>8811</v>
      </c>
      <c r="KMN1" t="s">
        <v>8812</v>
      </c>
      <c r="KMO1" t="s">
        <v>8813</v>
      </c>
      <c r="KMP1" t="s">
        <v>8814</v>
      </c>
      <c r="KMQ1" t="s">
        <v>8815</v>
      </c>
      <c r="KMR1" t="s">
        <v>8816</v>
      </c>
      <c r="KMS1" t="s">
        <v>8817</v>
      </c>
      <c r="KMT1" t="s">
        <v>8818</v>
      </c>
      <c r="KMU1" t="s">
        <v>8819</v>
      </c>
      <c r="KMV1" t="s">
        <v>8820</v>
      </c>
      <c r="KMW1" t="s">
        <v>8821</v>
      </c>
      <c r="KMX1" t="s">
        <v>8822</v>
      </c>
      <c r="KMY1" t="s">
        <v>8823</v>
      </c>
      <c r="KMZ1" t="s">
        <v>8824</v>
      </c>
      <c r="KNA1" t="s">
        <v>8825</v>
      </c>
      <c r="KNB1" t="s">
        <v>8826</v>
      </c>
      <c r="KNC1" t="s">
        <v>8827</v>
      </c>
      <c r="KND1" t="s">
        <v>8828</v>
      </c>
      <c r="KNE1" t="s">
        <v>8829</v>
      </c>
      <c r="KNF1" t="s">
        <v>8830</v>
      </c>
      <c r="KNG1" t="s">
        <v>8831</v>
      </c>
      <c r="KNH1" t="s">
        <v>8832</v>
      </c>
      <c r="KNI1" t="s">
        <v>8833</v>
      </c>
      <c r="KNJ1" t="s">
        <v>8834</v>
      </c>
      <c r="KNK1" t="s">
        <v>8835</v>
      </c>
      <c r="KNL1" t="s">
        <v>8836</v>
      </c>
      <c r="KNM1" t="s">
        <v>8837</v>
      </c>
      <c r="KNN1" t="s">
        <v>8838</v>
      </c>
      <c r="KNO1" t="s">
        <v>8839</v>
      </c>
      <c r="KNP1" t="s">
        <v>8840</v>
      </c>
      <c r="KNQ1" t="s">
        <v>8841</v>
      </c>
      <c r="KNR1" t="s">
        <v>8842</v>
      </c>
      <c r="KNS1" t="s">
        <v>8843</v>
      </c>
      <c r="KNT1" t="s">
        <v>8844</v>
      </c>
      <c r="KNU1" t="s">
        <v>8845</v>
      </c>
      <c r="KNV1" t="s">
        <v>8846</v>
      </c>
      <c r="KNW1" t="s">
        <v>8847</v>
      </c>
      <c r="KNX1" t="s">
        <v>8848</v>
      </c>
      <c r="KNY1" t="s">
        <v>8849</v>
      </c>
      <c r="KNZ1" t="s">
        <v>8850</v>
      </c>
      <c r="KOA1" t="s">
        <v>8851</v>
      </c>
      <c r="KOB1" t="s">
        <v>8852</v>
      </c>
      <c r="KOC1" t="s">
        <v>8853</v>
      </c>
      <c r="KOD1" t="s">
        <v>8854</v>
      </c>
      <c r="KOE1" t="s">
        <v>8855</v>
      </c>
      <c r="KOF1" t="s">
        <v>8856</v>
      </c>
      <c r="KOG1" t="s">
        <v>8857</v>
      </c>
      <c r="KOH1" t="s">
        <v>8858</v>
      </c>
      <c r="KOI1" t="s">
        <v>8859</v>
      </c>
      <c r="KOJ1" t="s">
        <v>8860</v>
      </c>
      <c r="KOK1" t="s">
        <v>8861</v>
      </c>
      <c r="KOL1" t="s">
        <v>8862</v>
      </c>
      <c r="KOM1" t="s">
        <v>8863</v>
      </c>
      <c r="KON1" t="s">
        <v>8864</v>
      </c>
      <c r="KOO1" t="s">
        <v>8865</v>
      </c>
      <c r="KOP1" t="s">
        <v>8866</v>
      </c>
      <c r="KOQ1" t="s">
        <v>8867</v>
      </c>
      <c r="KOR1" t="s">
        <v>8868</v>
      </c>
      <c r="KOS1" t="s">
        <v>8869</v>
      </c>
      <c r="KOT1" t="s">
        <v>8870</v>
      </c>
      <c r="KOU1" t="s">
        <v>8871</v>
      </c>
      <c r="KOV1" t="s">
        <v>8872</v>
      </c>
      <c r="KOW1" t="s">
        <v>8873</v>
      </c>
      <c r="KOX1" t="s">
        <v>8874</v>
      </c>
      <c r="KOY1" t="s">
        <v>8875</v>
      </c>
      <c r="KOZ1" t="s">
        <v>8876</v>
      </c>
      <c r="KPA1" t="s">
        <v>8877</v>
      </c>
      <c r="KPB1" t="s">
        <v>8878</v>
      </c>
      <c r="KPC1" t="s">
        <v>8879</v>
      </c>
      <c r="KPD1" t="s">
        <v>8880</v>
      </c>
      <c r="KPE1" t="s">
        <v>8881</v>
      </c>
      <c r="KPF1" t="s">
        <v>8882</v>
      </c>
      <c r="KPG1" t="s">
        <v>8883</v>
      </c>
      <c r="KPH1" t="s">
        <v>8884</v>
      </c>
      <c r="KPI1" t="s">
        <v>8885</v>
      </c>
      <c r="KPJ1" t="s">
        <v>8886</v>
      </c>
      <c r="KPK1" t="s">
        <v>8887</v>
      </c>
      <c r="KPL1" t="s">
        <v>8888</v>
      </c>
      <c r="KPM1" t="s">
        <v>8889</v>
      </c>
      <c r="KPN1" t="s">
        <v>8890</v>
      </c>
      <c r="KPO1" t="s">
        <v>8891</v>
      </c>
      <c r="KPP1" t="s">
        <v>8892</v>
      </c>
      <c r="KPQ1" t="s">
        <v>8893</v>
      </c>
      <c r="KPR1" t="s">
        <v>8894</v>
      </c>
      <c r="KPS1" t="s">
        <v>8895</v>
      </c>
      <c r="KPT1" t="s">
        <v>8896</v>
      </c>
      <c r="KPU1" t="s">
        <v>8897</v>
      </c>
      <c r="KPV1" t="s">
        <v>8898</v>
      </c>
      <c r="KPW1" t="s">
        <v>8899</v>
      </c>
      <c r="KPX1" t="s">
        <v>8900</v>
      </c>
      <c r="KPY1" t="s">
        <v>8901</v>
      </c>
      <c r="KPZ1" t="s">
        <v>8902</v>
      </c>
      <c r="KQA1" t="s">
        <v>8903</v>
      </c>
      <c r="KQB1" t="s">
        <v>8904</v>
      </c>
      <c r="KQC1" t="s">
        <v>8905</v>
      </c>
      <c r="KQD1" t="s">
        <v>8906</v>
      </c>
      <c r="KQE1" t="s">
        <v>8907</v>
      </c>
      <c r="KQF1" t="s">
        <v>8908</v>
      </c>
      <c r="KQG1" t="s">
        <v>8909</v>
      </c>
      <c r="KQH1" t="s">
        <v>8910</v>
      </c>
      <c r="KQI1" t="s">
        <v>8911</v>
      </c>
      <c r="KQJ1" t="s">
        <v>8912</v>
      </c>
      <c r="KQK1" t="s">
        <v>8913</v>
      </c>
      <c r="KQL1" t="s">
        <v>8914</v>
      </c>
      <c r="KQM1" t="s">
        <v>8915</v>
      </c>
      <c r="KQN1" t="s">
        <v>8916</v>
      </c>
      <c r="KQO1" t="s">
        <v>8917</v>
      </c>
      <c r="KQP1" t="s">
        <v>8918</v>
      </c>
      <c r="KQQ1" t="s">
        <v>8919</v>
      </c>
      <c r="KQR1" t="s">
        <v>8920</v>
      </c>
      <c r="KQS1" t="s">
        <v>8921</v>
      </c>
      <c r="KQT1" t="s">
        <v>8922</v>
      </c>
      <c r="KQU1" t="s">
        <v>8923</v>
      </c>
      <c r="KQV1" t="s">
        <v>8924</v>
      </c>
      <c r="KQW1" t="s">
        <v>8925</v>
      </c>
      <c r="KQX1" t="s">
        <v>8926</v>
      </c>
      <c r="KQY1" t="s">
        <v>8927</v>
      </c>
      <c r="KQZ1" t="s">
        <v>8928</v>
      </c>
      <c r="KRA1" t="s">
        <v>8929</v>
      </c>
      <c r="KRB1" t="s">
        <v>8930</v>
      </c>
      <c r="KRC1" t="s">
        <v>8931</v>
      </c>
      <c r="KRD1" t="s">
        <v>8932</v>
      </c>
      <c r="KRE1" t="s">
        <v>8933</v>
      </c>
      <c r="KRF1" t="s">
        <v>8934</v>
      </c>
      <c r="KRG1" t="s">
        <v>8935</v>
      </c>
      <c r="KRH1" t="s">
        <v>8936</v>
      </c>
      <c r="KRI1" t="s">
        <v>8937</v>
      </c>
      <c r="KRJ1" t="s">
        <v>8938</v>
      </c>
      <c r="KRK1" t="s">
        <v>8939</v>
      </c>
      <c r="KRL1" t="s">
        <v>8940</v>
      </c>
      <c r="KRM1" t="s">
        <v>8941</v>
      </c>
      <c r="KRN1" t="s">
        <v>8942</v>
      </c>
      <c r="KRO1" t="s">
        <v>8943</v>
      </c>
      <c r="KRP1" t="s">
        <v>8944</v>
      </c>
      <c r="KRQ1" t="s">
        <v>8945</v>
      </c>
      <c r="KRR1" t="s">
        <v>8946</v>
      </c>
      <c r="KRS1" t="s">
        <v>8947</v>
      </c>
      <c r="KRT1" t="s">
        <v>8948</v>
      </c>
      <c r="KRU1" t="s">
        <v>8949</v>
      </c>
      <c r="KRV1" t="s">
        <v>8950</v>
      </c>
      <c r="KRW1" t="s">
        <v>8951</v>
      </c>
      <c r="KRX1" t="s">
        <v>8952</v>
      </c>
      <c r="KRY1" t="s">
        <v>8953</v>
      </c>
      <c r="KRZ1" t="s">
        <v>8954</v>
      </c>
      <c r="KSA1" t="s">
        <v>8955</v>
      </c>
      <c r="KSB1" t="s">
        <v>8956</v>
      </c>
      <c r="KSC1" t="s">
        <v>8957</v>
      </c>
      <c r="KSD1" t="s">
        <v>8958</v>
      </c>
      <c r="KSE1" t="s">
        <v>8959</v>
      </c>
      <c r="KSF1" t="s">
        <v>8960</v>
      </c>
      <c r="KSG1" t="s">
        <v>8961</v>
      </c>
      <c r="KSH1" t="s">
        <v>8962</v>
      </c>
      <c r="KSI1" t="s">
        <v>8963</v>
      </c>
      <c r="KSJ1" t="s">
        <v>8964</v>
      </c>
      <c r="KSK1" t="s">
        <v>8965</v>
      </c>
      <c r="KSL1" t="s">
        <v>8966</v>
      </c>
      <c r="KSM1" t="s">
        <v>8967</v>
      </c>
      <c r="KSN1" t="s">
        <v>8968</v>
      </c>
      <c r="KSO1" t="s">
        <v>8969</v>
      </c>
      <c r="KSP1" t="s">
        <v>8970</v>
      </c>
      <c r="KSQ1" t="s">
        <v>8971</v>
      </c>
      <c r="KSR1" t="s">
        <v>8972</v>
      </c>
      <c r="KSS1" t="s">
        <v>8973</v>
      </c>
      <c r="KST1" t="s">
        <v>8974</v>
      </c>
      <c r="KSU1" t="s">
        <v>8975</v>
      </c>
      <c r="KSV1" t="s">
        <v>8976</v>
      </c>
      <c r="KSW1" t="s">
        <v>8977</v>
      </c>
      <c r="KSX1" t="s">
        <v>8978</v>
      </c>
      <c r="KSY1" t="s">
        <v>8979</v>
      </c>
      <c r="KSZ1" t="s">
        <v>8980</v>
      </c>
      <c r="KTA1" t="s">
        <v>8981</v>
      </c>
      <c r="KTB1" t="s">
        <v>8982</v>
      </c>
      <c r="KTC1" t="s">
        <v>8983</v>
      </c>
      <c r="KTD1" t="s">
        <v>8984</v>
      </c>
      <c r="KTE1" t="s">
        <v>8985</v>
      </c>
      <c r="KTF1" t="s">
        <v>8986</v>
      </c>
      <c r="KTG1" t="s">
        <v>8987</v>
      </c>
      <c r="KTH1" t="s">
        <v>8988</v>
      </c>
      <c r="KTI1" t="s">
        <v>8989</v>
      </c>
      <c r="KTJ1" t="s">
        <v>8990</v>
      </c>
      <c r="KTK1" t="s">
        <v>8991</v>
      </c>
      <c r="KTL1" t="s">
        <v>8992</v>
      </c>
      <c r="KTM1" t="s">
        <v>8993</v>
      </c>
      <c r="KTN1" t="s">
        <v>8994</v>
      </c>
      <c r="KTO1" t="s">
        <v>8995</v>
      </c>
      <c r="KTP1" t="s">
        <v>8996</v>
      </c>
      <c r="KTQ1" t="s">
        <v>8997</v>
      </c>
      <c r="KTR1" t="s">
        <v>8998</v>
      </c>
      <c r="KTS1" t="s">
        <v>8999</v>
      </c>
      <c r="KTT1" t="s">
        <v>9000</v>
      </c>
      <c r="KTU1" t="s">
        <v>9001</v>
      </c>
      <c r="KTV1" t="s">
        <v>9002</v>
      </c>
      <c r="KTW1" t="s">
        <v>9003</v>
      </c>
      <c r="KTX1" t="s">
        <v>9004</v>
      </c>
      <c r="KTY1" t="s">
        <v>9005</v>
      </c>
      <c r="KTZ1" t="s">
        <v>9006</v>
      </c>
      <c r="KUA1" t="s">
        <v>9007</v>
      </c>
      <c r="KUB1" t="s">
        <v>9008</v>
      </c>
      <c r="KUC1" t="s">
        <v>9009</v>
      </c>
      <c r="KUD1" t="s">
        <v>9010</v>
      </c>
      <c r="KUE1" t="s">
        <v>9011</v>
      </c>
      <c r="KUF1" t="s">
        <v>9012</v>
      </c>
      <c r="KUG1" t="s">
        <v>9013</v>
      </c>
      <c r="KUH1" t="s">
        <v>9014</v>
      </c>
      <c r="KUI1" t="s">
        <v>9015</v>
      </c>
      <c r="KUJ1" t="s">
        <v>9016</v>
      </c>
      <c r="KUK1" t="s">
        <v>9017</v>
      </c>
      <c r="KUL1" t="s">
        <v>9018</v>
      </c>
      <c r="KUM1" t="s">
        <v>9019</v>
      </c>
      <c r="KUN1" t="s">
        <v>9020</v>
      </c>
      <c r="KUO1" t="s">
        <v>9021</v>
      </c>
      <c r="KUP1" t="s">
        <v>9022</v>
      </c>
      <c r="KUQ1" t="s">
        <v>9023</v>
      </c>
      <c r="KUR1" t="s">
        <v>9024</v>
      </c>
      <c r="KUS1" t="s">
        <v>9025</v>
      </c>
      <c r="KUT1" t="s">
        <v>9026</v>
      </c>
      <c r="KUU1" t="s">
        <v>9027</v>
      </c>
      <c r="KUV1" t="s">
        <v>9028</v>
      </c>
      <c r="KUW1" t="s">
        <v>9029</v>
      </c>
      <c r="KUX1" t="s">
        <v>9030</v>
      </c>
      <c r="KUY1" t="s">
        <v>9031</v>
      </c>
      <c r="KUZ1" t="s">
        <v>9032</v>
      </c>
      <c r="KVA1" t="s">
        <v>9033</v>
      </c>
      <c r="KVB1" t="s">
        <v>9034</v>
      </c>
      <c r="KVC1" t="s">
        <v>9035</v>
      </c>
      <c r="KVD1" t="s">
        <v>9036</v>
      </c>
      <c r="KVE1" t="s">
        <v>9037</v>
      </c>
      <c r="KVF1" t="s">
        <v>9038</v>
      </c>
      <c r="KVG1" t="s">
        <v>9039</v>
      </c>
      <c r="KVH1" t="s">
        <v>9040</v>
      </c>
      <c r="KVI1" t="s">
        <v>9041</v>
      </c>
      <c r="KVJ1" t="s">
        <v>9042</v>
      </c>
      <c r="KVK1" t="s">
        <v>9043</v>
      </c>
      <c r="KVL1" t="s">
        <v>9044</v>
      </c>
      <c r="KVM1" t="s">
        <v>9045</v>
      </c>
      <c r="KVN1" t="s">
        <v>9046</v>
      </c>
      <c r="KVO1" t="s">
        <v>9047</v>
      </c>
      <c r="KVP1" t="s">
        <v>9048</v>
      </c>
      <c r="KVQ1" t="s">
        <v>9049</v>
      </c>
      <c r="KVR1" t="s">
        <v>9050</v>
      </c>
      <c r="KVS1" t="s">
        <v>9051</v>
      </c>
      <c r="KVT1" t="s">
        <v>9052</v>
      </c>
      <c r="KVU1" t="s">
        <v>9053</v>
      </c>
      <c r="KVV1" t="s">
        <v>9054</v>
      </c>
      <c r="KVW1" t="s">
        <v>9055</v>
      </c>
      <c r="KVX1" t="s">
        <v>9056</v>
      </c>
      <c r="KVY1" t="s">
        <v>9057</v>
      </c>
      <c r="KVZ1" t="s">
        <v>9058</v>
      </c>
      <c r="KWA1" t="s">
        <v>9059</v>
      </c>
      <c r="KWB1" t="s">
        <v>9060</v>
      </c>
      <c r="KWC1" t="s">
        <v>9061</v>
      </c>
      <c r="KWD1" t="s">
        <v>9062</v>
      </c>
      <c r="KWE1" t="s">
        <v>9063</v>
      </c>
      <c r="KWF1" t="s">
        <v>9064</v>
      </c>
      <c r="KWG1" t="s">
        <v>9065</v>
      </c>
      <c r="KWH1" t="s">
        <v>9066</v>
      </c>
      <c r="KWI1" t="s">
        <v>9067</v>
      </c>
      <c r="KWJ1" t="s">
        <v>9068</v>
      </c>
      <c r="KWK1" t="s">
        <v>9069</v>
      </c>
      <c r="KWL1" t="s">
        <v>9070</v>
      </c>
      <c r="KWM1" t="s">
        <v>9071</v>
      </c>
      <c r="KWN1" t="s">
        <v>9072</v>
      </c>
      <c r="KWO1" t="s">
        <v>9073</v>
      </c>
      <c r="KWP1" t="s">
        <v>9074</v>
      </c>
      <c r="KWQ1" t="s">
        <v>9075</v>
      </c>
      <c r="KWR1" t="s">
        <v>9076</v>
      </c>
      <c r="KWS1" t="s">
        <v>9077</v>
      </c>
      <c r="KWT1" t="s">
        <v>9078</v>
      </c>
      <c r="KWU1" t="s">
        <v>9079</v>
      </c>
      <c r="KWV1" t="s">
        <v>9080</v>
      </c>
      <c r="KWW1" t="s">
        <v>9081</v>
      </c>
      <c r="KWX1" t="s">
        <v>9082</v>
      </c>
      <c r="KWY1" t="s">
        <v>9083</v>
      </c>
      <c r="KWZ1" t="s">
        <v>9084</v>
      </c>
      <c r="KXA1" t="s">
        <v>9085</v>
      </c>
      <c r="KXB1" t="s">
        <v>9086</v>
      </c>
      <c r="KXC1" t="s">
        <v>9087</v>
      </c>
      <c r="KXD1" t="s">
        <v>9088</v>
      </c>
      <c r="KXE1" t="s">
        <v>9089</v>
      </c>
      <c r="KXF1" t="s">
        <v>9090</v>
      </c>
      <c r="KXG1" t="s">
        <v>9091</v>
      </c>
      <c r="KXH1" t="s">
        <v>9092</v>
      </c>
      <c r="KXI1" t="s">
        <v>9093</v>
      </c>
      <c r="KXJ1" t="s">
        <v>9094</v>
      </c>
      <c r="KXK1" t="s">
        <v>9095</v>
      </c>
      <c r="KXL1" t="s">
        <v>9096</v>
      </c>
      <c r="KXM1" t="s">
        <v>9097</v>
      </c>
      <c r="KXN1" t="s">
        <v>9098</v>
      </c>
      <c r="KXO1" t="s">
        <v>9099</v>
      </c>
      <c r="KXP1" t="s">
        <v>9100</v>
      </c>
      <c r="KXQ1" t="s">
        <v>9101</v>
      </c>
      <c r="KXR1" t="s">
        <v>9102</v>
      </c>
      <c r="KXS1" t="s">
        <v>9103</v>
      </c>
      <c r="KXT1" t="s">
        <v>9104</v>
      </c>
      <c r="KXU1" t="s">
        <v>9105</v>
      </c>
      <c r="KXV1" t="s">
        <v>9106</v>
      </c>
      <c r="KXW1" t="s">
        <v>9107</v>
      </c>
      <c r="KXX1" t="s">
        <v>9108</v>
      </c>
      <c r="KXY1" t="s">
        <v>9109</v>
      </c>
      <c r="KXZ1" t="s">
        <v>9110</v>
      </c>
      <c r="KYA1" t="s">
        <v>9111</v>
      </c>
      <c r="KYB1" t="s">
        <v>9112</v>
      </c>
      <c r="KYC1" t="s">
        <v>9113</v>
      </c>
      <c r="KYD1" t="s">
        <v>9114</v>
      </c>
      <c r="KYE1" t="s">
        <v>9115</v>
      </c>
      <c r="KYF1" t="s">
        <v>9116</v>
      </c>
      <c r="KYG1" t="s">
        <v>9117</v>
      </c>
      <c r="KYH1" t="s">
        <v>9118</v>
      </c>
      <c r="KYI1" t="s">
        <v>9119</v>
      </c>
      <c r="KYJ1" t="s">
        <v>9120</v>
      </c>
      <c r="KYK1" t="s">
        <v>9121</v>
      </c>
      <c r="KYL1" t="s">
        <v>9122</v>
      </c>
      <c r="KYM1" t="s">
        <v>9123</v>
      </c>
      <c r="KYN1" t="s">
        <v>9124</v>
      </c>
      <c r="KYO1" t="s">
        <v>9125</v>
      </c>
      <c r="KYP1" t="s">
        <v>9126</v>
      </c>
      <c r="KYQ1" t="s">
        <v>9127</v>
      </c>
      <c r="KYR1" t="s">
        <v>9128</v>
      </c>
      <c r="KYS1" t="s">
        <v>9129</v>
      </c>
      <c r="KYT1" t="s">
        <v>9130</v>
      </c>
      <c r="KYU1" t="s">
        <v>9131</v>
      </c>
      <c r="KYV1" t="s">
        <v>9132</v>
      </c>
      <c r="KYW1" t="s">
        <v>9133</v>
      </c>
      <c r="KYX1" t="s">
        <v>9134</v>
      </c>
      <c r="KYY1" t="s">
        <v>9135</v>
      </c>
      <c r="KYZ1" t="s">
        <v>9136</v>
      </c>
      <c r="KZA1" t="s">
        <v>9137</v>
      </c>
      <c r="KZB1" t="s">
        <v>9138</v>
      </c>
      <c r="KZC1" t="s">
        <v>9139</v>
      </c>
      <c r="KZD1" t="s">
        <v>9140</v>
      </c>
      <c r="KZE1" t="s">
        <v>9141</v>
      </c>
      <c r="KZF1" t="s">
        <v>9142</v>
      </c>
      <c r="KZG1" t="s">
        <v>9143</v>
      </c>
      <c r="KZH1" t="s">
        <v>9144</v>
      </c>
      <c r="KZI1" t="s">
        <v>9145</v>
      </c>
      <c r="KZJ1" t="s">
        <v>9146</v>
      </c>
      <c r="KZK1" t="s">
        <v>9147</v>
      </c>
      <c r="KZL1" t="s">
        <v>9148</v>
      </c>
      <c r="KZM1" t="s">
        <v>9149</v>
      </c>
      <c r="KZN1" t="s">
        <v>9150</v>
      </c>
      <c r="KZO1" t="s">
        <v>9151</v>
      </c>
      <c r="KZP1" t="s">
        <v>9152</v>
      </c>
      <c r="KZQ1" t="s">
        <v>9153</v>
      </c>
      <c r="KZR1" t="s">
        <v>9154</v>
      </c>
      <c r="KZS1" t="s">
        <v>9155</v>
      </c>
      <c r="KZT1" t="s">
        <v>9156</v>
      </c>
      <c r="KZU1" t="s">
        <v>9157</v>
      </c>
      <c r="KZV1" t="s">
        <v>9158</v>
      </c>
      <c r="KZW1" t="s">
        <v>9159</v>
      </c>
      <c r="KZX1" t="s">
        <v>9160</v>
      </c>
      <c r="KZY1" t="s">
        <v>9161</v>
      </c>
      <c r="KZZ1" t="s">
        <v>9162</v>
      </c>
      <c r="LAA1" t="s">
        <v>9163</v>
      </c>
      <c r="LAB1" t="s">
        <v>9164</v>
      </c>
      <c r="LAC1" t="s">
        <v>9165</v>
      </c>
      <c r="LAD1" t="s">
        <v>9166</v>
      </c>
      <c r="LAE1" t="s">
        <v>9167</v>
      </c>
      <c r="LAF1" t="s">
        <v>9168</v>
      </c>
      <c r="LAG1" t="s">
        <v>9169</v>
      </c>
      <c r="LAH1" t="s">
        <v>9170</v>
      </c>
      <c r="LAI1" t="s">
        <v>9171</v>
      </c>
      <c r="LAJ1" t="s">
        <v>9172</v>
      </c>
      <c r="LAK1" t="s">
        <v>9173</v>
      </c>
      <c r="LAL1" t="s">
        <v>9174</v>
      </c>
      <c r="LAM1" t="s">
        <v>9175</v>
      </c>
      <c r="LAN1" t="s">
        <v>9176</v>
      </c>
      <c r="LAO1" t="s">
        <v>9177</v>
      </c>
      <c r="LAP1" t="s">
        <v>9178</v>
      </c>
      <c r="LAQ1" t="s">
        <v>9179</v>
      </c>
      <c r="LAR1" t="s">
        <v>9180</v>
      </c>
      <c r="LAS1" t="s">
        <v>9181</v>
      </c>
      <c r="LAT1" t="s">
        <v>9182</v>
      </c>
      <c r="LAU1" t="s">
        <v>9183</v>
      </c>
      <c r="LAV1" t="s">
        <v>9184</v>
      </c>
      <c r="LAW1" t="s">
        <v>9185</v>
      </c>
      <c r="LAX1" t="s">
        <v>9186</v>
      </c>
      <c r="LAY1" t="s">
        <v>9187</v>
      </c>
      <c r="LAZ1" t="s">
        <v>9188</v>
      </c>
      <c r="LBA1" t="s">
        <v>9189</v>
      </c>
      <c r="LBB1" t="s">
        <v>9190</v>
      </c>
      <c r="LBC1" t="s">
        <v>9191</v>
      </c>
      <c r="LBD1" t="s">
        <v>9192</v>
      </c>
      <c r="LBE1" t="s">
        <v>9193</v>
      </c>
      <c r="LBF1" t="s">
        <v>9194</v>
      </c>
      <c r="LBG1" t="s">
        <v>9195</v>
      </c>
      <c r="LBH1" t="s">
        <v>9196</v>
      </c>
      <c r="LBI1" t="s">
        <v>9197</v>
      </c>
      <c r="LBJ1" t="s">
        <v>9198</v>
      </c>
      <c r="LBK1" t="s">
        <v>9199</v>
      </c>
      <c r="LBL1" t="s">
        <v>9200</v>
      </c>
      <c r="LBM1" t="s">
        <v>9201</v>
      </c>
      <c r="LBN1" t="s">
        <v>9202</v>
      </c>
      <c r="LBO1" t="s">
        <v>9203</v>
      </c>
      <c r="LBP1" t="s">
        <v>9204</v>
      </c>
      <c r="LBQ1" t="s">
        <v>9205</v>
      </c>
      <c r="LBR1" t="s">
        <v>9206</v>
      </c>
      <c r="LBS1" t="s">
        <v>9207</v>
      </c>
      <c r="LBT1" t="s">
        <v>9208</v>
      </c>
      <c r="LBU1" t="s">
        <v>9209</v>
      </c>
      <c r="LBV1" t="s">
        <v>9210</v>
      </c>
      <c r="LBW1" t="s">
        <v>9211</v>
      </c>
      <c r="LBX1" t="s">
        <v>9212</v>
      </c>
      <c r="LBY1" t="s">
        <v>9213</v>
      </c>
      <c r="LBZ1" t="s">
        <v>9214</v>
      </c>
      <c r="LCA1" t="s">
        <v>9215</v>
      </c>
      <c r="LCB1" t="s">
        <v>9216</v>
      </c>
      <c r="LCC1" t="s">
        <v>9217</v>
      </c>
      <c r="LCD1" t="s">
        <v>9218</v>
      </c>
      <c r="LCE1" t="s">
        <v>9219</v>
      </c>
      <c r="LCF1" t="s">
        <v>9220</v>
      </c>
      <c r="LCG1" t="s">
        <v>9221</v>
      </c>
      <c r="LCH1" t="s">
        <v>9222</v>
      </c>
      <c r="LCI1" t="s">
        <v>9223</v>
      </c>
      <c r="LCJ1" t="s">
        <v>9224</v>
      </c>
      <c r="LCK1" t="s">
        <v>9225</v>
      </c>
      <c r="LCL1" t="s">
        <v>9226</v>
      </c>
      <c r="LCM1" t="s">
        <v>9227</v>
      </c>
      <c r="LCN1" t="s">
        <v>9228</v>
      </c>
      <c r="LCO1" t="s">
        <v>9229</v>
      </c>
      <c r="LCP1" t="s">
        <v>9230</v>
      </c>
      <c r="LCQ1" t="s">
        <v>9231</v>
      </c>
      <c r="LCR1" t="s">
        <v>9232</v>
      </c>
      <c r="LCS1" t="s">
        <v>9233</v>
      </c>
      <c r="LCT1" t="s">
        <v>9234</v>
      </c>
      <c r="LCU1" t="s">
        <v>9235</v>
      </c>
      <c r="LCV1" t="s">
        <v>9236</v>
      </c>
      <c r="LCW1" t="s">
        <v>9237</v>
      </c>
      <c r="LCX1" t="s">
        <v>9238</v>
      </c>
      <c r="LCY1" t="s">
        <v>9239</v>
      </c>
      <c r="LCZ1" t="s">
        <v>9240</v>
      </c>
      <c r="LDA1" t="s">
        <v>9241</v>
      </c>
      <c r="LDB1" t="s">
        <v>9242</v>
      </c>
      <c r="LDC1" t="s">
        <v>9243</v>
      </c>
      <c r="LDD1" t="s">
        <v>9244</v>
      </c>
      <c r="LDE1" t="s">
        <v>9245</v>
      </c>
      <c r="LDF1" t="s">
        <v>9246</v>
      </c>
      <c r="LDG1" t="s">
        <v>9247</v>
      </c>
      <c r="LDH1" t="s">
        <v>9248</v>
      </c>
      <c r="LDI1" t="s">
        <v>9249</v>
      </c>
      <c r="LDJ1" t="s">
        <v>9250</v>
      </c>
      <c r="LDK1" t="s">
        <v>9251</v>
      </c>
      <c r="LDL1" t="s">
        <v>9252</v>
      </c>
      <c r="LDM1" t="s">
        <v>9253</v>
      </c>
      <c r="LDN1" t="s">
        <v>9254</v>
      </c>
      <c r="LDO1" t="s">
        <v>9255</v>
      </c>
      <c r="LDP1" t="s">
        <v>9256</v>
      </c>
      <c r="LDQ1" t="s">
        <v>9257</v>
      </c>
      <c r="LDR1" t="s">
        <v>9258</v>
      </c>
      <c r="LDS1" t="s">
        <v>9259</v>
      </c>
      <c r="LDT1" t="s">
        <v>9260</v>
      </c>
      <c r="LDU1" t="s">
        <v>9261</v>
      </c>
      <c r="LDV1" t="s">
        <v>9262</v>
      </c>
      <c r="LDW1" t="s">
        <v>9263</v>
      </c>
      <c r="LDX1" t="s">
        <v>9264</v>
      </c>
      <c r="LDY1" t="s">
        <v>9265</v>
      </c>
      <c r="LDZ1" t="s">
        <v>9266</v>
      </c>
      <c r="LEA1" t="s">
        <v>9267</v>
      </c>
      <c r="LEB1" t="s">
        <v>9268</v>
      </c>
      <c r="LEC1" t="s">
        <v>9269</v>
      </c>
      <c r="LED1" t="s">
        <v>9270</v>
      </c>
      <c r="LEE1" t="s">
        <v>9271</v>
      </c>
      <c r="LEF1" t="s">
        <v>9272</v>
      </c>
      <c r="LEG1" t="s">
        <v>9273</v>
      </c>
      <c r="LEH1" t="s">
        <v>9274</v>
      </c>
      <c r="LEI1" t="s">
        <v>9275</v>
      </c>
      <c r="LEJ1" t="s">
        <v>9276</v>
      </c>
      <c r="LEK1" t="s">
        <v>9277</v>
      </c>
      <c r="LEL1" t="s">
        <v>9278</v>
      </c>
      <c r="LEM1" t="s">
        <v>9279</v>
      </c>
      <c r="LEN1" t="s">
        <v>9280</v>
      </c>
      <c r="LEO1" t="s">
        <v>9281</v>
      </c>
      <c r="LEP1" t="s">
        <v>9282</v>
      </c>
      <c r="LEQ1" t="s">
        <v>9283</v>
      </c>
      <c r="LER1" t="s">
        <v>9284</v>
      </c>
      <c r="LES1" t="s">
        <v>9285</v>
      </c>
      <c r="LET1" t="s">
        <v>9286</v>
      </c>
      <c r="LEU1" t="s">
        <v>9287</v>
      </c>
      <c r="LEV1" t="s">
        <v>9288</v>
      </c>
      <c r="LEW1" t="s">
        <v>9289</v>
      </c>
      <c r="LEX1" t="s">
        <v>9290</v>
      </c>
      <c r="LEY1" t="s">
        <v>9291</v>
      </c>
      <c r="LEZ1" t="s">
        <v>9292</v>
      </c>
      <c r="LFA1" t="s">
        <v>9293</v>
      </c>
      <c r="LFB1" t="s">
        <v>9294</v>
      </c>
      <c r="LFC1" t="s">
        <v>9295</v>
      </c>
      <c r="LFD1" t="s">
        <v>9296</v>
      </c>
      <c r="LFE1" t="s">
        <v>9297</v>
      </c>
      <c r="LFF1" t="s">
        <v>9298</v>
      </c>
      <c r="LFG1" t="s">
        <v>9299</v>
      </c>
      <c r="LFH1" t="s">
        <v>9300</v>
      </c>
      <c r="LFI1" t="s">
        <v>9301</v>
      </c>
      <c r="LFJ1" t="s">
        <v>9302</v>
      </c>
      <c r="LFK1" t="s">
        <v>9303</v>
      </c>
      <c r="LFL1" t="s">
        <v>9304</v>
      </c>
      <c r="LFM1" t="s">
        <v>9305</v>
      </c>
      <c r="LFN1" t="s">
        <v>9306</v>
      </c>
      <c r="LFO1" t="s">
        <v>9307</v>
      </c>
      <c r="LFP1" t="s">
        <v>9308</v>
      </c>
      <c r="LFQ1" t="s">
        <v>9309</v>
      </c>
      <c r="LFR1" t="s">
        <v>9310</v>
      </c>
      <c r="LFS1" t="s">
        <v>9311</v>
      </c>
      <c r="LFT1" t="s">
        <v>9312</v>
      </c>
      <c r="LFU1" t="s">
        <v>9313</v>
      </c>
      <c r="LFV1" t="s">
        <v>9314</v>
      </c>
      <c r="LFW1" t="s">
        <v>9315</v>
      </c>
      <c r="LFX1" t="s">
        <v>9316</v>
      </c>
      <c r="LFY1" t="s">
        <v>9317</v>
      </c>
      <c r="LFZ1" t="s">
        <v>9318</v>
      </c>
      <c r="LGA1" t="s">
        <v>9319</v>
      </c>
      <c r="LGB1" t="s">
        <v>9320</v>
      </c>
      <c r="LGC1" t="s">
        <v>9321</v>
      </c>
      <c r="LGD1" t="s">
        <v>9322</v>
      </c>
      <c r="LGE1" t="s">
        <v>9323</v>
      </c>
      <c r="LGF1" t="s">
        <v>9324</v>
      </c>
      <c r="LGG1" t="s">
        <v>9325</v>
      </c>
      <c r="LGH1" t="s">
        <v>9326</v>
      </c>
      <c r="LGI1" t="s">
        <v>9327</v>
      </c>
      <c r="LGJ1" t="s">
        <v>9328</v>
      </c>
      <c r="LGK1" t="s">
        <v>9329</v>
      </c>
      <c r="LGL1" t="s">
        <v>9330</v>
      </c>
      <c r="LGM1" t="s">
        <v>9331</v>
      </c>
      <c r="LGN1" t="s">
        <v>9332</v>
      </c>
      <c r="LGO1" t="s">
        <v>9333</v>
      </c>
      <c r="LGP1" t="s">
        <v>9334</v>
      </c>
      <c r="LGQ1" t="s">
        <v>9335</v>
      </c>
      <c r="LGR1" t="s">
        <v>9336</v>
      </c>
      <c r="LGS1" t="s">
        <v>9337</v>
      </c>
      <c r="LGT1" t="s">
        <v>9338</v>
      </c>
      <c r="LGU1" t="s">
        <v>9339</v>
      </c>
      <c r="LGV1" t="s">
        <v>9340</v>
      </c>
      <c r="LGW1" t="s">
        <v>9341</v>
      </c>
      <c r="LGX1" t="s">
        <v>9342</v>
      </c>
      <c r="LGY1" t="s">
        <v>9343</v>
      </c>
      <c r="LGZ1" t="s">
        <v>9344</v>
      </c>
      <c r="LHA1" t="s">
        <v>9345</v>
      </c>
      <c r="LHB1" t="s">
        <v>9346</v>
      </c>
      <c r="LHC1" t="s">
        <v>9347</v>
      </c>
      <c r="LHD1" t="s">
        <v>9348</v>
      </c>
      <c r="LHE1" t="s">
        <v>9349</v>
      </c>
      <c r="LHF1" t="s">
        <v>9350</v>
      </c>
      <c r="LHG1" t="s">
        <v>9351</v>
      </c>
      <c r="LHH1" t="s">
        <v>9352</v>
      </c>
      <c r="LHI1" t="s">
        <v>9353</v>
      </c>
      <c r="LHJ1" t="s">
        <v>9354</v>
      </c>
      <c r="LHK1" t="s">
        <v>9355</v>
      </c>
      <c r="LHL1" t="s">
        <v>9356</v>
      </c>
      <c r="LHM1" t="s">
        <v>9357</v>
      </c>
      <c r="LHN1" t="s">
        <v>9358</v>
      </c>
      <c r="LHO1" t="s">
        <v>9359</v>
      </c>
      <c r="LHP1" t="s">
        <v>9360</v>
      </c>
      <c r="LHQ1" t="s">
        <v>9361</v>
      </c>
      <c r="LHR1" t="s">
        <v>9362</v>
      </c>
      <c r="LHS1" t="s">
        <v>9363</v>
      </c>
      <c r="LHT1" t="s">
        <v>9364</v>
      </c>
      <c r="LHU1" t="s">
        <v>9365</v>
      </c>
      <c r="LHV1" t="s">
        <v>9366</v>
      </c>
      <c r="LHW1" t="s">
        <v>9367</v>
      </c>
      <c r="LHX1" t="s">
        <v>9368</v>
      </c>
      <c r="LHY1" t="s">
        <v>9369</v>
      </c>
      <c r="LHZ1" t="s">
        <v>9370</v>
      </c>
      <c r="LIA1" t="s">
        <v>9371</v>
      </c>
      <c r="LIB1" t="s">
        <v>9372</v>
      </c>
      <c r="LIC1" t="s">
        <v>9373</v>
      </c>
      <c r="LID1" t="s">
        <v>9374</v>
      </c>
      <c r="LIE1" t="s">
        <v>9375</v>
      </c>
      <c r="LIF1" t="s">
        <v>9376</v>
      </c>
      <c r="LIG1" t="s">
        <v>9377</v>
      </c>
      <c r="LIH1" t="s">
        <v>9378</v>
      </c>
      <c r="LII1" t="s">
        <v>9379</v>
      </c>
      <c r="LIJ1" t="s">
        <v>9380</v>
      </c>
      <c r="LIK1" t="s">
        <v>9381</v>
      </c>
      <c r="LIL1" t="s">
        <v>9382</v>
      </c>
      <c r="LIM1" t="s">
        <v>9383</v>
      </c>
      <c r="LIN1" t="s">
        <v>9384</v>
      </c>
      <c r="LIO1" t="s">
        <v>9385</v>
      </c>
      <c r="LIP1" t="s">
        <v>9386</v>
      </c>
      <c r="LIQ1" t="s">
        <v>9387</v>
      </c>
      <c r="LIR1" t="s">
        <v>9388</v>
      </c>
      <c r="LIS1" t="s">
        <v>9389</v>
      </c>
      <c r="LIT1" t="s">
        <v>9390</v>
      </c>
      <c r="LIU1" t="s">
        <v>9391</v>
      </c>
      <c r="LIV1" t="s">
        <v>9392</v>
      </c>
      <c r="LIW1" t="s">
        <v>9393</v>
      </c>
      <c r="LIX1" t="s">
        <v>9394</v>
      </c>
      <c r="LIY1" t="s">
        <v>9395</v>
      </c>
      <c r="LIZ1" t="s">
        <v>9396</v>
      </c>
      <c r="LJA1" t="s">
        <v>9397</v>
      </c>
      <c r="LJB1" t="s">
        <v>9398</v>
      </c>
      <c r="LJC1" t="s">
        <v>9399</v>
      </c>
      <c r="LJD1" t="s">
        <v>9400</v>
      </c>
      <c r="LJE1" t="s">
        <v>9401</v>
      </c>
      <c r="LJF1" t="s">
        <v>9402</v>
      </c>
      <c r="LJG1" t="s">
        <v>9403</v>
      </c>
      <c r="LJH1" t="s">
        <v>9404</v>
      </c>
      <c r="LJI1" t="s">
        <v>9405</v>
      </c>
      <c r="LJJ1" t="s">
        <v>9406</v>
      </c>
      <c r="LJK1" t="s">
        <v>9407</v>
      </c>
      <c r="LJL1" t="s">
        <v>9408</v>
      </c>
      <c r="LJM1" t="s">
        <v>9409</v>
      </c>
      <c r="LJN1" t="s">
        <v>9410</v>
      </c>
      <c r="LJO1" t="s">
        <v>9411</v>
      </c>
      <c r="LJP1" t="s">
        <v>9412</v>
      </c>
      <c r="LJQ1" t="s">
        <v>9413</v>
      </c>
      <c r="LJR1" t="s">
        <v>9414</v>
      </c>
      <c r="LJS1" t="s">
        <v>9415</v>
      </c>
      <c r="LJT1" t="s">
        <v>9416</v>
      </c>
      <c r="LJU1" t="s">
        <v>9417</v>
      </c>
      <c r="LJV1" t="s">
        <v>9418</v>
      </c>
      <c r="LJW1" t="s">
        <v>9419</v>
      </c>
      <c r="LJX1" t="s">
        <v>9420</v>
      </c>
      <c r="LJY1" t="s">
        <v>9421</v>
      </c>
      <c r="LJZ1" t="s">
        <v>9422</v>
      </c>
      <c r="LKA1" t="s">
        <v>9423</v>
      </c>
      <c r="LKB1" t="s">
        <v>9424</v>
      </c>
      <c r="LKC1" t="s">
        <v>9425</v>
      </c>
      <c r="LKD1" t="s">
        <v>9426</v>
      </c>
      <c r="LKE1" t="s">
        <v>9427</v>
      </c>
      <c r="LKF1" t="s">
        <v>9428</v>
      </c>
      <c r="LKG1" t="s">
        <v>9429</v>
      </c>
      <c r="LKH1" t="s">
        <v>9430</v>
      </c>
      <c r="LKI1" t="s">
        <v>9431</v>
      </c>
      <c r="LKJ1" t="s">
        <v>9432</v>
      </c>
      <c r="LKK1" t="s">
        <v>9433</v>
      </c>
      <c r="LKL1" t="s">
        <v>9434</v>
      </c>
      <c r="LKM1" t="s">
        <v>9435</v>
      </c>
      <c r="LKN1" t="s">
        <v>9436</v>
      </c>
      <c r="LKO1" t="s">
        <v>9437</v>
      </c>
      <c r="LKP1" t="s">
        <v>9438</v>
      </c>
      <c r="LKQ1" t="s">
        <v>9439</v>
      </c>
      <c r="LKR1" t="s">
        <v>9440</v>
      </c>
      <c r="LKS1" t="s">
        <v>9441</v>
      </c>
      <c r="LKT1" t="s">
        <v>9442</v>
      </c>
      <c r="LKU1" t="s">
        <v>9443</v>
      </c>
      <c r="LKV1" t="s">
        <v>9444</v>
      </c>
      <c r="LKW1" t="s">
        <v>9445</v>
      </c>
      <c r="LKX1" t="s">
        <v>9446</v>
      </c>
      <c r="LKY1" t="s">
        <v>9447</v>
      </c>
      <c r="LKZ1" t="s">
        <v>9448</v>
      </c>
      <c r="LLA1" t="s">
        <v>9449</v>
      </c>
      <c r="LLB1" t="s">
        <v>9450</v>
      </c>
      <c r="LLC1" t="s">
        <v>9451</v>
      </c>
      <c r="LLD1" t="s">
        <v>9452</v>
      </c>
      <c r="LLE1" t="s">
        <v>9453</v>
      </c>
      <c r="LLF1" t="s">
        <v>9454</v>
      </c>
      <c r="LLG1" t="s">
        <v>9455</v>
      </c>
      <c r="LLH1" t="s">
        <v>9456</v>
      </c>
      <c r="LLI1" t="s">
        <v>9457</v>
      </c>
      <c r="LLJ1" t="s">
        <v>9458</v>
      </c>
      <c r="LLK1" t="s">
        <v>9459</v>
      </c>
      <c r="LLL1" t="s">
        <v>9460</v>
      </c>
      <c r="LLM1" t="s">
        <v>9461</v>
      </c>
      <c r="LLN1" t="s">
        <v>9462</v>
      </c>
      <c r="LLO1" t="s">
        <v>9463</v>
      </c>
      <c r="LLP1" t="s">
        <v>9464</v>
      </c>
      <c r="LLQ1" t="s">
        <v>9465</v>
      </c>
      <c r="LLR1" t="s">
        <v>9466</v>
      </c>
      <c r="LLS1" t="s">
        <v>9467</v>
      </c>
      <c r="LLT1" t="s">
        <v>9468</v>
      </c>
      <c r="LLU1" t="s">
        <v>9469</v>
      </c>
      <c r="LLV1" t="s">
        <v>9470</v>
      </c>
      <c r="LLW1" t="s">
        <v>9471</v>
      </c>
      <c r="LLX1" t="s">
        <v>9472</v>
      </c>
      <c r="LLY1" t="s">
        <v>9473</v>
      </c>
      <c r="LLZ1" t="s">
        <v>9474</v>
      </c>
      <c r="LMA1" t="s">
        <v>9475</v>
      </c>
      <c r="LMB1" t="s">
        <v>9476</v>
      </c>
      <c r="LMC1" t="s">
        <v>9477</v>
      </c>
      <c r="LMD1" t="s">
        <v>9478</v>
      </c>
      <c r="LME1" t="s">
        <v>9479</v>
      </c>
      <c r="LMF1" t="s">
        <v>9480</v>
      </c>
      <c r="LMG1" t="s">
        <v>9481</v>
      </c>
      <c r="LMH1" t="s">
        <v>9482</v>
      </c>
      <c r="LMI1" t="s">
        <v>9483</v>
      </c>
      <c r="LMJ1" t="s">
        <v>9484</v>
      </c>
      <c r="LMK1" t="s">
        <v>9485</v>
      </c>
      <c r="LML1" t="s">
        <v>9486</v>
      </c>
      <c r="LMM1" t="s">
        <v>9487</v>
      </c>
      <c r="LMN1" t="s">
        <v>9488</v>
      </c>
      <c r="LMO1" t="s">
        <v>9489</v>
      </c>
      <c r="LMP1" t="s">
        <v>9490</v>
      </c>
      <c r="LMQ1" t="s">
        <v>9491</v>
      </c>
      <c r="LMR1" t="s">
        <v>9492</v>
      </c>
      <c r="LMS1" t="s">
        <v>9493</v>
      </c>
      <c r="LMT1" t="s">
        <v>9494</v>
      </c>
      <c r="LMU1" t="s">
        <v>9495</v>
      </c>
      <c r="LMV1" t="s">
        <v>9496</v>
      </c>
      <c r="LMW1" t="s">
        <v>9497</v>
      </c>
      <c r="LMX1" t="s">
        <v>9498</v>
      </c>
      <c r="LMY1" t="s">
        <v>9499</v>
      </c>
      <c r="LMZ1" t="s">
        <v>9500</v>
      </c>
      <c r="LNA1" t="s">
        <v>9501</v>
      </c>
      <c r="LNB1" t="s">
        <v>9502</v>
      </c>
      <c r="LNC1" t="s">
        <v>9503</v>
      </c>
      <c r="LND1" t="s">
        <v>9504</v>
      </c>
      <c r="LNE1" t="s">
        <v>9505</v>
      </c>
      <c r="LNF1" t="s">
        <v>9506</v>
      </c>
      <c r="LNG1" t="s">
        <v>9507</v>
      </c>
      <c r="LNH1" t="s">
        <v>9508</v>
      </c>
      <c r="LNI1" t="s">
        <v>9509</v>
      </c>
      <c r="LNJ1" t="s">
        <v>9510</v>
      </c>
      <c r="LNK1" t="s">
        <v>9511</v>
      </c>
      <c r="LNL1" t="s">
        <v>9512</v>
      </c>
      <c r="LNM1" t="s">
        <v>9513</v>
      </c>
      <c r="LNN1" t="s">
        <v>9514</v>
      </c>
      <c r="LNO1" t="s">
        <v>9515</v>
      </c>
      <c r="LNP1" t="s">
        <v>9516</v>
      </c>
      <c r="LNQ1" t="s">
        <v>9517</v>
      </c>
      <c r="LNR1" t="s">
        <v>9518</v>
      </c>
      <c r="LNS1" t="s">
        <v>9519</v>
      </c>
      <c r="LNT1" t="s">
        <v>9520</v>
      </c>
      <c r="LNU1" t="s">
        <v>9521</v>
      </c>
      <c r="LNV1" t="s">
        <v>9522</v>
      </c>
      <c r="LNW1" t="s">
        <v>9523</v>
      </c>
      <c r="LNX1" t="s">
        <v>9524</v>
      </c>
      <c r="LNY1" t="s">
        <v>9525</v>
      </c>
      <c r="LNZ1" t="s">
        <v>9526</v>
      </c>
      <c r="LOA1" t="s">
        <v>9527</v>
      </c>
      <c r="LOB1" t="s">
        <v>9528</v>
      </c>
      <c r="LOC1" t="s">
        <v>9529</v>
      </c>
      <c r="LOD1" t="s">
        <v>9530</v>
      </c>
      <c r="LOE1" t="s">
        <v>9531</v>
      </c>
      <c r="LOF1" t="s">
        <v>9532</v>
      </c>
      <c r="LOG1" t="s">
        <v>9533</v>
      </c>
      <c r="LOH1" t="s">
        <v>9534</v>
      </c>
      <c r="LOI1" t="s">
        <v>9535</v>
      </c>
      <c r="LOJ1" t="s">
        <v>9536</v>
      </c>
      <c r="LOK1" t="s">
        <v>9537</v>
      </c>
      <c r="LOL1" t="s">
        <v>9538</v>
      </c>
      <c r="LOM1" t="s">
        <v>9539</v>
      </c>
      <c r="LON1" t="s">
        <v>9540</v>
      </c>
      <c r="LOO1" t="s">
        <v>9541</v>
      </c>
      <c r="LOP1" t="s">
        <v>9542</v>
      </c>
      <c r="LOQ1" t="s">
        <v>9543</v>
      </c>
      <c r="LOR1" t="s">
        <v>9544</v>
      </c>
      <c r="LOS1" t="s">
        <v>9545</v>
      </c>
      <c r="LOT1" t="s">
        <v>9546</v>
      </c>
      <c r="LOU1" t="s">
        <v>9547</v>
      </c>
      <c r="LOV1" t="s">
        <v>9548</v>
      </c>
      <c r="LOW1" t="s">
        <v>9549</v>
      </c>
      <c r="LOX1" t="s">
        <v>9550</v>
      </c>
      <c r="LOY1" t="s">
        <v>9551</v>
      </c>
      <c r="LOZ1" t="s">
        <v>9552</v>
      </c>
      <c r="LPA1" t="s">
        <v>9553</v>
      </c>
      <c r="LPB1" t="s">
        <v>9554</v>
      </c>
      <c r="LPC1" t="s">
        <v>9555</v>
      </c>
      <c r="LPD1" t="s">
        <v>9556</v>
      </c>
      <c r="LPE1" t="s">
        <v>9557</v>
      </c>
      <c r="LPF1" t="s">
        <v>9558</v>
      </c>
      <c r="LPG1" t="s">
        <v>9559</v>
      </c>
      <c r="LPH1" t="s">
        <v>9560</v>
      </c>
      <c r="LPI1" t="s">
        <v>9561</v>
      </c>
      <c r="LPJ1" t="s">
        <v>9562</v>
      </c>
      <c r="LPK1" t="s">
        <v>9563</v>
      </c>
      <c r="LPL1" t="s">
        <v>9564</v>
      </c>
      <c r="LPM1" t="s">
        <v>9565</v>
      </c>
      <c r="LPN1" t="s">
        <v>9566</v>
      </c>
      <c r="LPO1" t="s">
        <v>9567</v>
      </c>
      <c r="LPP1" t="s">
        <v>9568</v>
      </c>
      <c r="LPQ1" t="s">
        <v>9569</v>
      </c>
      <c r="LPR1" t="s">
        <v>9570</v>
      </c>
      <c r="LPS1" t="s">
        <v>9571</v>
      </c>
      <c r="LPT1" t="s">
        <v>9572</v>
      </c>
      <c r="LPU1" t="s">
        <v>9573</v>
      </c>
      <c r="LPV1" t="s">
        <v>9574</v>
      </c>
      <c r="LPW1" t="s">
        <v>9575</v>
      </c>
      <c r="LPX1" t="s">
        <v>9576</v>
      </c>
      <c r="LPY1" t="s">
        <v>9577</v>
      </c>
      <c r="LPZ1" t="s">
        <v>9578</v>
      </c>
      <c r="LQA1" t="s">
        <v>9579</v>
      </c>
      <c r="LQB1" t="s">
        <v>9580</v>
      </c>
      <c r="LQC1" t="s">
        <v>9581</v>
      </c>
      <c r="LQD1" t="s">
        <v>9582</v>
      </c>
      <c r="LQE1" t="s">
        <v>9583</v>
      </c>
      <c r="LQF1" t="s">
        <v>9584</v>
      </c>
      <c r="LQG1" t="s">
        <v>9585</v>
      </c>
      <c r="LQH1" t="s">
        <v>9586</v>
      </c>
      <c r="LQI1" t="s">
        <v>9587</v>
      </c>
      <c r="LQJ1" t="s">
        <v>9588</v>
      </c>
      <c r="LQK1" t="s">
        <v>9589</v>
      </c>
      <c r="LQL1" t="s">
        <v>9590</v>
      </c>
      <c r="LQM1" t="s">
        <v>9591</v>
      </c>
      <c r="LQN1" t="s">
        <v>9592</v>
      </c>
      <c r="LQO1" t="s">
        <v>9593</v>
      </c>
      <c r="LQP1" t="s">
        <v>9594</v>
      </c>
      <c r="LQQ1" t="s">
        <v>9595</v>
      </c>
      <c r="LQR1" t="s">
        <v>9596</v>
      </c>
      <c r="LQS1" t="s">
        <v>9597</v>
      </c>
      <c r="LQT1" t="s">
        <v>9598</v>
      </c>
      <c r="LQU1" t="s">
        <v>9599</v>
      </c>
      <c r="LQV1" t="s">
        <v>9600</v>
      </c>
      <c r="LQW1" t="s">
        <v>9601</v>
      </c>
      <c r="LQX1" t="s">
        <v>9602</v>
      </c>
      <c r="LQY1" t="s">
        <v>9603</v>
      </c>
      <c r="LQZ1" t="s">
        <v>9604</v>
      </c>
      <c r="LRA1" t="s">
        <v>9605</v>
      </c>
      <c r="LRB1" t="s">
        <v>9606</v>
      </c>
      <c r="LRC1" t="s">
        <v>9607</v>
      </c>
      <c r="LRD1" t="s">
        <v>9608</v>
      </c>
      <c r="LRE1" t="s">
        <v>9609</v>
      </c>
      <c r="LRF1" t="s">
        <v>9610</v>
      </c>
      <c r="LRG1" t="s">
        <v>9611</v>
      </c>
      <c r="LRH1" t="s">
        <v>9612</v>
      </c>
      <c r="LRI1" t="s">
        <v>9613</v>
      </c>
      <c r="LRJ1" t="s">
        <v>9614</v>
      </c>
      <c r="LRK1" t="s">
        <v>9615</v>
      </c>
      <c r="LRL1" t="s">
        <v>9616</v>
      </c>
      <c r="LRM1" t="s">
        <v>9617</v>
      </c>
      <c r="LRN1" t="s">
        <v>9618</v>
      </c>
      <c r="LRO1" t="s">
        <v>9619</v>
      </c>
      <c r="LRP1" t="s">
        <v>9620</v>
      </c>
      <c r="LRQ1" t="s">
        <v>9621</v>
      </c>
      <c r="LRR1" t="s">
        <v>9622</v>
      </c>
      <c r="LRS1" t="s">
        <v>9623</v>
      </c>
      <c r="LRT1" t="s">
        <v>9624</v>
      </c>
      <c r="LRU1" t="s">
        <v>9625</v>
      </c>
      <c r="LRV1" t="s">
        <v>9626</v>
      </c>
      <c r="LRW1" t="s">
        <v>9627</v>
      </c>
      <c r="LRX1" t="s">
        <v>9628</v>
      </c>
      <c r="LRY1" t="s">
        <v>9629</v>
      </c>
      <c r="LRZ1" t="s">
        <v>9630</v>
      </c>
      <c r="LSA1" t="s">
        <v>9631</v>
      </c>
      <c r="LSB1" t="s">
        <v>9632</v>
      </c>
      <c r="LSC1" t="s">
        <v>9633</v>
      </c>
      <c r="LSD1" t="s">
        <v>9634</v>
      </c>
      <c r="LSE1" t="s">
        <v>9635</v>
      </c>
      <c r="LSF1" t="s">
        <v>9636</v>
      </c>
      <c r="LSG1" t="s">
        <v>9637</v>
      </c>
      <c r="LSH1" t="s">
        <v>9638</v>
      </c>
      <c r="LSI1" t="s">
        <v>9639</v>
      </c>
      <c r="LSJ1" t="s">
        <v>9640</v>
      </c>
      <c r="LSK1" t="s">
        <v>9641</v>
      </c>
      <c r="LSL1" t="s">
        <v>9642</v>
      </c>
      <c r="LSM1" t="s">
        <v>9643</v>
      </c>
      <c r="LSN1" t="s">
        <v>9644</v>
      </c>
      <c r="LSO1" t="s">
        <v>9645</v>
      </c>
      <c r="LSP1" t="s">
        <v>9646</v>
      </c>
      <c r="LSQ1" t="s">
        <v>9647</v>
      </c>
      <c r="LSR1" t="s">
        <v>9648</v>
      </c>
      <c r="LSS1" t="s">
        <v>9649</v>
      </c>
      <c r="LST1" t="s">
        <v>9650</v>
      </c>
      <c r="LSU1" t="s">
        <v>9651</v>
      </c>
      <c r="LSV1" t="s">
        <v>9652</v>
      </c>
      <c r="LSW1" t="s">
        <v>9653</v>
      </c>
      <c r="LSX1" t="s">
        <v>9654</v>
      </c>
      <c r="LSY1" t="s">
        <v>9655</v>
      </c>
      <c r="LSZ1" t="s">
        <v>9656</v>
      </c>
      <c r="LTA1" t="s">
        <v>9657</v>
      </c>
      <c r="LTB1" t="s">
        <v>9658</v>
      </c>
      <c r="LTC1" t="s">
        <v>9659</v>
      </c>
      <c r="LTD1" t="s">
        <v>9660</v>
      </c>
      <c r="LTE1" t="s">
        <v>9661</v>
      </c>
      <c r="LTF1" t="s">
        <v>9662</v>
      </c>
      <c r="LTG1" t="s">
        <v>9663</v>
      </c>
      <c r="LTH1" t="s">
        <v>9664</v>
      </c>
      <c r="LTI1" t="s">
        <v>9665</v>
      </c>
      <c r="LTJ1" t="s">
        <v>9666</v>
      </c>
      <c r="LTK1" t="s">
        <v>9667</v>
      </c>
      <c r="LTL1" t="s">
        <v>9668</v>
      </c>
      <c r="LTM1" t="s">
        <v>9669</v>
      </c>
      <c r="LTN1" t="s">
        <v>9670</v>
      </c>
      <c r="LTO1" t="s">
        <v>9671</v>
      </c>
      <c r="LTP1" t="s">
        <v>9672</v>
      </c>
      <c r="LTQ1" t="s">
        <v>9673</v>
      </c>
      <c r="LTR1" t="s">
        <v>9674</v>
      </c>
      <c r="LTS1" t="s">
        <v>9675</v>
      </c>
      <c r="LTT1" t="s">
        <v>9676</v>
      </c>
      <c r="LTU1" t="s">
        <v>9677</v>
      </c>
      <c r="LTV1" t="s">
        <v>9678</v>
      </c>
      <c r="LTW1" t="s">
        <v>9679</v>
      </c>
      <c r="LTX1" t="s">
        <v>9680</v>
      </c>
      <c r="LTY1" t="s">
        <v>9681</v>
      </c>
      <c r="LTZ1" t="s">
        <v>9682</v>
      </c>
      <c r="LUA1" t="s">
        <v>9683</v>
      </c>
      <c r="LUB1" t="s">
        <v>9684</v>
      </c>
      <c r="LUC1" t="s">
        <v>9685</v>
      </c>
      <c r="LUD1" t="s">
        <v>9686</v>
      </c>
      <c r="LUE1" t="s">
        <v>9687</v>
      </c>
      <c r="LUF1" t="s">
        <v>9688</v>
      </c>
      <c r="LUG1" t="s">
        <v>9689</v>
      </c>
      <c r="LUH1" t="s">
        <v>9690</v>
      </c>
      <c r="LUI1" t="s">
        <v>9691</v>
      </c>
      <c r="LUJ1" t="s">
        <v>9692</v>
      </c>
      <c r="LUK1" t="s">
        <v>9693</v>
      </c>
      <c r="LUL1" t="s">
        <v>9694</v>
      </c>
      <c r="LUM1" t="s">
        <v>9695</v>
      </c>
      <c r="LUN1" t="s">
        <v>9696</v>
      </c>
      <c r="LUO1" t="s">
        <v>9697</v>
      </c>
      <c r="LUP1" t="s">
        <v>9698</v>
      </c>
      <c r="LUQ1" t="s">
        <v>9699</v>
      </c>
      <c r="LUR1" t="s">
        <v>9700</v>
      </c>
      <c r="LUS1" t="s">
        <v>9701</v>
      </c>
      <c r="LUT1" t="s">
        <v>9702</v>
      </c>
      <c r="LUU1" t="s">
        <v>9703</v>
      </c>
      <c r="LUV1" t="s">
        <v>9704</v>
      </c>
      <c r="LUW1" t="s">
        <v>9705</v>
      </c>
      <c r="LUX1" t="s">
        <v>9706</v>
      </c>
      <c r="LUY1" t="s">
        <v>9707</v>
      </c>
      <c r="LUZ1" t="s">
        <v>9708</v>
      </c>
      <c r="LVA1" t="s">
        <v>9709</v>
      </c>
      <c r="LVB1" t="s">
        <v>9710</v>
      </c>
      <c r="LVC1" t="s">
        <v>9711</v>
      </c>
      <c r="LVD1" t="s">
        <v>9712</v>
      </c>
      <c r="LVE1" t="s">
        <v>9713</v>
      </c>
      <c r="LVF1" t="s">
        <v>9714</v>
      </c>
      <c r="LVG1" t="s">
        <v>9715</v>
      </c>
      <c r="LVH1" t="s">
        <v>9716</v>
      </c>
      <c r="LVI1" t="s">
        <v>9717</v>
      </c>
      <c r="LVJ1" t="s">
        <v>9718</v>
      </c>
      <c r="LVK1" t="s">
        <v>9719</v>
      </c>
      <c r="LVL1" t="s">
        <v>9720</v>
      </c>
      <c r="LVM1" t="s">
        <v>9721</v>
      </c>
      <c r="LVN1" t="s">
        <v>9722</v>
      </c>
      <c r="LVO1" t="s">
        <v>9723</v>
      </c>
      <c r="LVP1" t="s">
        <v>9724</v>
      </c>
      <c r="LVQ1" t="s">
        <v>9725</v>
      </c>
      <c r="LVR1" t="s">
        <v>9726</v>
      </c>
      <c r="LVS1" t="s">
        <v>9727</v>
      </c>
      <c r="LVT1" t="s">
        <v>9728</v>
      </c>
      <c r="LVU1" t="s">
        <v>9729</v>
      </c>
      <c r="LVV1" t="s">
        <v>9730</v>
      </c>
      <c r="LVW1" t="s">
        <v>9731</v>
      </c>
      <c r="LVX1" t="s">
        <v>9732</v>
      </c>
      <c r="LVY1" t="s">
        <v>9733</v>
      </c>
      <c r="LVZ1" t="s">
        <v>9734</v>
      </c>
      <c r="LWA1" t="s">
        <v>9735</v>
      </c>
      <c r="LWB1" t="s">
        <v>9736</v>
      </c>
      <c r="LWC1" t="s">
        <v>9737</v>
      </c>
      <c r="LWD1" t="s">
        <v>9738</v>
      </c>
      <c r="LWE1" t="s">
        <v>9739</v>
      </c>
      <c r="LWF1" t="s">
        <v>9740</v>
      </c>
      <c r="LWG1" t="s">
        <v>9741</v>
      </c>
      <c r="LWH1" t="s">
        <v>9742</v>
      </c>
      <c r="LWI1" t="s">
        <v>9743</v>
      </c>
      <c r="LWJ1" t="s">
        <v>9744</v>
      </c>
      <c r="LWK1" t="s">
        <v>9745</v>
      </c>
      <c r="LWL1" t="s">
        <v>9746</v>
      </c>
      <c r="LWM1" t="s">
        <v>9747</v>
      </c>
      <c r="LWN1" t="s">
        <v>9748</v>
      </c>
      <c r="LWO1" t="s">
        <v>9749</v>
      </c>
      <c r="LWP1" t="s">
        <v>9750</v>
      </c>
      <c r="LWQ1" t="s">
        <v>9751</v>
      </c>
      <c r="LWR1" t="s">
        <v>9752</v>
      </c>
      <c r="LWS1" t="s">
        <v>9753</v>
      </c>
      <c r="LWT1" t="s">
        <v>9754</v>
      </c>
      <c r="LWU1" t="s">
        <v>9755</v>
      </c>
      <c r="LWV1" t="s">
        <v>9756</v>
      </c>
      <c r="LWW1" t="s">
        <v>9757</v>
      </c>
      <c r="LWX1" t="s">
        <v>9758</v>
      </c>
      <c r="LWY1" t="s">
        <v>9759</v>
      </c>
      <c r="LWZ1" t="s">
        <v>9760</v>
      </c>
      <c r="LXA1" t="s">
        <v>9761</v>
      </c>
      <c r="LXB1" t="s">
        <v>9762</v>
      </c>
      <c r="LXC1" t="s">
        <v>9763</v>
      </c>
      <c r="LXD1" t="s">
        <v>9764</v>
      </c>
      <c r="LXE1" t="s">
        <v>9765</v>
      </c>
      <c r="LXF1" t="s">
        <v>9766</v>
      </c>
      <c r="LXG1" t="s">
        <v>9767</v>
      </c>
      <c r="LXH1" t="s">
        <v>9768</v>
      </c>
      <c r="LXI1" t="s">
        <v>9769</v>
      </c>
      <c r="LXJ1" t="s">
        <v>9770</v>
      </c>
      <c r="LXK1" t="s">
        <v>9771</v>
      </c>
      <c r="LXL1" t="s">
        <v>9772</v>
      </c>
      <c r="LXM1" t="s">
        <v>9773</v>
      </c>
      <c r="LXN1" t="s">
        <v>9774</v>
      </c>
      <c r="LXO1" t="s">
        <v>9775</v>
      </c>
      <c r="LXP1" t="s">
        <v>9776</v>
      </c>
      <c r="LXQ1" t="s">
        <v>9777</v>
      </c>
      <c r="LXR1" t="s">
        <v>9778</v>
      </c>
      <c r="LXS1" t="s">
        <v>9779</v>
      </c>
      <c r="LXT1" t="s">
        <v>9780</v>
      </c>
      <c r="LXU1" t="s">
        <v>9781</v>
      </c>
      <c r="LXV1" t="s">
        <v>9782</v>
      </c>
      <c r="LXW1" t="s">
        <v>9783</v>
      </c>
      <c r="LXX1" t="s">
        <v>9784</v>
      </c>
      <c r="LXY1" t="s">
        <v>9785</v>
      </c>
      <c r="LXZ1" t="s">
        <v>9786</v>
      </c>
      <c r="LYA1" t="s">
        <v>9787</v>
      </c>
      <c r="LYB1" t="s">
        <v>9788</v>
      </c>
      <c r="LYC1" t="s">
        <v>9789</v>
      </c>
      <c r="LYD1" t="s">
        <v>9790</v>
      </c>
      <c r="LYE1" t="s">
        <v>9791</v>
      </c>
      <c r="LYF1" t="s">
        <v>9792</v>
      </c>
      <c r="LYG1" t="s">
        <v>9793</v>
      </c>
      <c r="LYH1" t="s">
        <v>9794</v>
      </c>
      <c r="LYI1" t="s">
        <v>9795</v>
      </c>
      <c r="LYJ1" t="s">
        <v>9796</v>
      </c>
      <c r="LYK1" t="s">
        <v>9797</v>
      </c>
      <c r="LYL1" t="s">
        <v>9798</v>
      </c>
      <c r="LYM1" t="s">
        <v>9799</v>
      </c>
      <c r="LYN1" t="s">
        <v>9800</v>
      </c>
      <c r="LYO1" t="s">
        <v>9801</v>
      </c>
      <c r="LYP1" t="s">
        <v>9802</v>
      </c>
      <c r="LYQ1" t="s">
        <v>9803</v>
      </c>
      <c r="LYR1" t="s">
        <v>9804</v>
      </c>
      <c r="LYS1" t="s">
        <v>9805</v>
      </c>
      <c r="LYT1" t="s">
        <v>9806</v>
      </c>
      <c r="LYU1" t="s">
        <v>9807</v>
      </c>
      <c r="LYV1" t="s">
        <v>9808</v>
      </c>
      <c r="LYW1" t="s">
        <v>9809</v>
      </c>
      <c r="LYX1" t="s">
        <v>9810</v>
      </c>
      <c r="LYY1" t="s">
        <v>9811</v>
      </c>
      <c r="LYZ1" t="s">
        <v>9812</v>
      </c>
      <c r="LZA1" t="s">
        <v>9813</v>
      </c>
      <c r="LZB1" t="s">
        <v>9814</v>
      </c>
      <c r="LZC1" t="s">
        <v>9815</v>
      </c>
      <c r="LZD1" t="s">
        <v>9816</v>
      </c>
      <c r="LZE1" t="s">
        <v>9817</v>
      </c>
      <c r="LZF1" t="s">
        <v>9818</v>
      </c>
      <c r="LZG1" t="s">
        <v>9819</v>
      </c>
      <c r="LZH1" t="s">
        <v>9820</v>
      </c>
      <c r="LZI1" t="s">
        <v>9821</v>
      </c>
      <c r="LZJ1" t="s">
        <v>9822</v>
      </c>
      <c r="LZK1" t="s">
        <v>9823</v>
      </c>
      <c r="LZL1" t="s">
        <v>9824</v>
      </c>
      <c r="LZM1" t="s">
        <v>9825</v>
      </c>
      <c r="LZN1" t="s">
        <v>9826</v>
      </c>
      <c r="LZO1" t="s">
        <v>9827</v>
      </c>
      <c r="LZP1" t="s">
        <v>9828</v>
      </c>
      <c r="LZQ1" t="s">
        <v>9829</v>
      </c>
      <c r="LZR1" t="s">
        <v>9830</v>
      </c>
      <c r="LZS1" t="s">
        <v>9831</v>
      </c>
      <c r="LZT1" t="s">
        <v>9832</v>
      </c>
      <c r="LZU1" t="s">
        <v>9833</v>
      </c>
      <c r="LZV1" t="s">
        <v>9834</v>
      </c>
      <c r="LZW1" t="s">
        <v>9835</v>
      </c>
      <c r="LZX1" t="s">
        <v>9836</v>
      </c>
      <c r="LZY1" t="s">
        <v>9837</v>
      </c>
      <c r="LZZ1" t="s">
        <v>9838</v>
      </c>
      <c r="MAA1" t="s">
        <v>9839</v>
      </c>
      <c r="MAB1" t="s">
        <v>9840</v>
      </c>
      <c r="MAC1" t="s">
        <v>9841</v>
      </c>
      <c r="MAD1" t="s">
        <v>9842</v>
      </c>
      <c r="MAE1" t="s">
        <v>9843</v>
      </c>
      <c r="MAF1" t="s">
        <v>9844</v>
      </c>
      <c r="MAG1" t="s">
        <v>9845</v>
      </c>
      <c r="MAH1" t="s">
        <v>9846</v>
      </c>
      <c r="MAI1" t="s">
        <v>9847</v>
      </c>
      <c r="MAJ1" t="s">
        <v>9848</v>
      </c>
      <c r="MAK1" t="s">
        <v>9849</v>
      </c>
      <c r="MAL1" t="s">
        <v>9850</v>
      </c>
      <c r="MAM1" t="s">
        <v>9851</v>
      </c>
      <c r="MAN1" t="s">
        <v>9852</v>
      </c>
      <c r="MAO1" t="s">
        <v>9853</v>
      </c>
      <c r="MAP1" t="s">
        <v>9854</v>
      </c>
      <c r="MAQ1" t="s">
        <v>9855</v>
      </c>
      <c r="MAR1" t="s">
        <v>9856</v>
      </c>
      <c r="MAS1" t="s">
        <v>9857</v>
      </c>
      <c r="MAT1" t="s">
        <v>9858</v>
      </c>
      <c r="MAU1" t="s">
        <v>9859</v>
      </c>
      <c r="MAV1" t="s">
        <v>9860</v>
      </c>
      <c r="MAW1" t="s">
        <v>9861</v>
      </c>
      <c r="MAX1" t="s">
        <v>9862</v>
      </c>
      <c r="MAY1" t="s">
        <v>9863</v>
      </c>
      <c r="MAZ1" t="s">
        <v>9864</v>
      </c>
      <c r="MBA1" t="s">
        <v>9865</v>
      </c>
      <c r="MBB1" t="s">
        <v>9866</v>
      </c>
      <c r="MBC1" t="s">
        <v>9867</v>
      </c>
      <c r="MBD1" t="s">
        <v>9868</v>
      </c>
      <c r="MBE1" t="s">
        <v>9869</v>
      </c>
      <c r="MBF1" t="s">
        <v>9870</v>
      </c>
      <c r="MBG1" t="s">
        <v>9871</v>
      </c>
      <c r="MBH1" t="s">
        <v>9872</v>
      </c>
      <c r="MBI1" t="s">
        <v>9873</v>
      </c>
      <c r="MBJ1" t="s">
        <v>9874</v>
      </c>
      <c r="MBK1" t="s">
        <v>9875</v>
      </c>
      <c r="MBL1" t="s">
        <v>9876</v>
      </c>
      <c r="MBM1" t="s">
        <v>9877</v>
      </c>
      <c r="MBN1" t="s">
        <v>9878</v>
      </c>
      <c r="MBO1" t="s">
        <v>9879</v>
      </c>
      <c r="MBP1" t="s">
        <v>9880</v>
      </c>
      <c r="MBQ1" t="s">
        <v>9881</v>
      </c>
      <c r="MBR1" t="s">
        <v>9882</v>
      </c>
      <c r="MBS1" t="s">
        <v>9883</v>
      </c>
      <c r="MBT1" t="s">
        <v>9884</v>
      </c>
      <c r="MBU1" t="s">
        <v>9885</v>
      </c>
      <c r="MBV1" t="s">
        <v>9886</v>
      </c>
      <c r="MBW1" t="s">
        <v>9887</v>
      </c>
      <c r="MBX1" t="s">
        <v>9888</v>
      </c>
      <c r="MBY1" t="s">
        <v>9889</v>
      </c>
      <c r="MBZ1" t="s">
        <v>9890</v>
      </c>
      <c r="MCA1" t="s">
        <v>9891</v>
      </c>
      <c r="MCB1" t="s">
        <v>9892</v>
      </c>
      <c r="MCC1" t="s">
        <v>9893</v>
      </c>
      <c r="MCD1" t="s">
        <v>9894</v>
      </c>
      <c r="MCE1" t="s">
        <v>9895</v>
      </c>
      <c r="MCF1" t="s">
        <v>9896</v>
      </c>
      <c r="MCG1" t="s">
        <v>9897</v>
      </c>
      <c r="MCH1" t="s">
        <v>9898</v>
      </c>
      <c r="MCI1" t="s">
        <v>9899</v>
      </c>
      <c r="MCJ1" t="s">
        <v>9900</v>
      </c>
      <c r="MCK1" t="s">
        <v>9901</v>
      </c>
      <c r="MCL1" t="s">
        <v>9902</v>
      </c>
      <c r="MCM1" t="s">
        <v>9903</v>
      </c>
      <c r="MCN1" t="s">
        <v>9904</v>
      </c>
      <c r="MCO1" t="s">
        <v>9905</v>
      </c>
      <c r="MCP1" t="s">
        <v>9906</v>
      </c>
      <c r="MCQ1" t="s">
        <v>9907</v>
      </c>
      <c r="MCR1" t="s">
        <v>9908</v>
      </c>
      <c r="MCS1" t="s">
        <v>9909</v>
      </c>
      <c r="MCT1" t="s">
        <v>9910</v>
      </c>
      <c r="MCU1" t="s">
        <v>9911</v>
      </c>
      <c r="MCV1" t="s">
        <v>9912</v>
      </c>
      <c r="MCW1" t="s">
        <v>9913</v>
      </c>
      <c r="MCX1" t="s">
        <v>9914</v>
      </c>
      <c r="MCY1" t="s">
        <v>9915</v>
      </c>
      <c r="MCZ1" t="s">
        <v>9916</v>
      </c>
      <c r="MDA1" t="s">
        <v>9917</v>
      </c>
      <c r="MDB1" t="s">
        <v>9918</v>
      </c>
      <c r="MDC1" t="s">
        <v>9919</v>
      </c>
      <c r="MDD1" t="s">
        <v>9920</v>
      </c>
      <c r="MDE1" t="s">
        <v>9921</v>
      </c>
      <c r="MDF1" t="s">
        <v>9922</v>
      </c>
      <c r="MDG1" t="s">
        <v>9923</v>
      </c>
      <c r="MDH1" t="s">
        <v>9924</v>
      </c>
      <c r="MDI1" t="s">
        <v>9925</v>
      </c>
      <c r="MDJ1" t="s">
        <v>9926</v>
      </c>
      <c r="MDK1" t="s">
        <v>9927</v>
      </c>
      <c r="MDL1" t="s">
        <v>9928</v>
      </c>
      <c r="MDM1" t="s">
        <v>9929</v>
      </c>
      <c r="MDN1" t="s">
        <v>9930</v>
      </c>
      <c r="MDO1" t="s">
        <v>9931</v>
      </c>
      <c r="MDP1" t="s">
        <v>9932</v>
      </c>
      <c r="MDQ1" t="s">
        <v>9933</v>
      </c>
      <c r="MDR1" t="s">
        <v>9934</v>
      </c>
      <c r="MDS1" t="s">
        <v>9935</v>
      </c>
      <c r="MDT1" t="s">
        <v>9936</v>
      </c>
      <c r="MDU1" t="s">
        <v>9937</v>
      </c>
      <c r="MDV1" t="s">
        <v>9938</v>
      </c>
      <c r="MDW1" t="s">
        <v>9939</v>
      </c>
      <c r="MDX1" t="s">
        <v>9940</v>
      </c>
      <c r="MDY1" t="s">
        <v>9941</v>
      </c>
      <c r="MDZ1" t="s">
        <v>9942</v>
      </c>
      <c r="MEA1" t="s">
        <v>9943</v>
      </c>
      <c r="MEB1" t="s">
        <v>9944</v>
      </c>
      <c r="MEC1" t="s">
        <v>9945</v>
      </c>
      <c r="MED1" t="s">
        <v>9946</v>
      </c>
      <c r="MEE1" t="s">
        <v>9947</v>
      </c>
      <c r="MEF1" t="s">
        <v>9948</v>
      </c>
      <c r="MEG1" t="s">
        <v>9949</v>
      </c>
      <c r="MEH1" t="s">
        <v>9950</v>
      </c>
      <c r="MEI1" t="s">
        <v>9951</v>
      </c>
      <c r="MEJ1" t="s">
        <v>9952</v>
      </c>
      <c r="MEK1" t="s">
        <v>9953</v>
      </c>
      <c r="MEL1" t="s">
        <v>9954</v>
      </c>
      <c r="MEM1" t="s">
        <v>9955</v>
      </c>
      <c r="MEN1" t="s">
        <v>9956</v>
      </c>
      <c r="MEO1" t="s">
        <v>9957</v>
      </c>
      <c r="MEP1" t="s">
        <v>9958</v>
      </c>
      <c r="MEQ1" t="s">
        <v>9959</v>
      </c>
      <c r="MER1" t="s">
        <v>9960</v>
      </c>
      <c r="MES1" t="s">
        <v>9961</v>
      </c>
      <c r="MET1" t="s">
        <v>9962</v>
      </c>
      <c r="MEU1" t="s">
        <v>9963</v>
      </c>
      <c r="MEV1" t="s">
        <v>9964</v>
      </c>
      <c r="MEW1" t="s">
        <v>9965</v>
      </c>
      <c r="MEX1" t="s">
        <v>9966</v>
      </c>
      <c r="MEY1" t="s">
        <v>9967</v>
      </c>
      <c r="MEZ1" t="s">
        <v>9968</v>
      </c>
      <c r="MFA1" t="s">
        <v>9969</v>
      </c>
      <c r="MFB1" t="s">
        <v>9970</v>
      </c>
      <c r="MFC1" t="s">
        <v>9971</v>
      </c>
      <c r="MFD1" t="s">
        <v>9972</v>
      </c>
      <c r="MFE1" t="s">
        <v>9973</v>
      </c>
      <c r="MFF1" t="s">
        <v>9974</v>
      </c>
      <c r="MFG1" t="s">
        <v>9975</v>
      </c>
      <c r="MFH1" t="s">
        <v>9976</v>
      </c>
      <c r="MFI1" t="s">
        <v>9977</v>
      </c>
      <c r="MFJ1" t="s">
        <v>9978</v>
      </c>
      <c r="MFK1" t="s">
        <v>9979</v>
      </c>
      <c r="MFL1" t="s">
        <v>9980</v>
      </c>
      <c r="MFM1" t="s">
        <v>9981</v>
      </c>
      <c r="MFN1" t="s">
        <v>9982</v>
      </c>
      <c r="MFO1" t="s">
        <v>9983</v>
      </c>
      <c r="MFP1" t="s">
        <v>9984</v>
      </c>
      <c r="MFQ1" t="s">
        <v>9985</v>
      </c>
      <c r="MFR1" t="s">
        <v>9986</v>
      </c>
      <c r="MFS1" t="s">
        <v>9987</v>
      </c>
      <c r="MFT1" t="s">
        <v>9988</v>
      </c>
      <c r="MFU1" t="s">
        <v>9989</v>
      </c>
      <c r="MFV1" t="s">
        <v>9990</v>
      </c>
      <c r="MFW1" t="s">
        <v>9991</v>
      </c>
      <c r="MFX1" t="s">
        <v>9992</v>
      </c>
      <c r="MFY1" t="s">
        <v>9993</v>
      </c>
      <c r="MFZ1" t="s">
        <v>9994</v>
      </c>
      <c r="MGA1" t="s">
        <v>9995</v>
      </c>
      <c r="MGB1" t="s">
        <v>9996</v>
      </c>
      <c r="MGC1" t="s">
        <v>9997</v>
      </c>
      <c r="MGD1" t="s">
        <v>9998</v>
      </c>
      <c r="MGE1" t="s">
        <v>9999</v>
      </c>
      <c r="MGF1" t="s">
        <v>10000</v>
      </c>
      <c r="MGG1" t="s">
        <v>10001</v>
      </c>
      <c r="MGH1" t="s">
        <v>10002</v>
      </c>
      <c r="MGI1" t="s">
        <v>10003</v>
      </c>
      <c r="MGJ1" t="s">
        <v>10004</v>
      </c>
      <c r="MGK1" t="s">
        <v>10005</v>
      </c>
      <c r="MGL1" t="s">
        <v>10006</v>
      </c>
      <c r="MGM1" t="s">
        <v>10007</v>
      </c>
      <c r="MGN1" t="s">
        <v>10008</v>
      </c>
      <c r="MGO1" t="s">
        <v>10009</v>
      </c>
      <c r="MGP1" t="s">
        <v>10010</v>
      </c>
      <c r="MGQ1" t="s">
        <v>10011</v>
      </c>
      <c r="MGR1" t="s">
        <v>10012</v>
      </c>
      <c r="MGS1" t="s">
        <v>10013</v>
      </c>
      <c r="MGT1" t="s">
        <v>10014</v>
      </c>
      <c r="MGU1" t="s">
        <v>10015</v>
      </c>
      <c r="MGV1" t="s">
        <v>10016</v>
      </c>
      <c r="MGW1" t="s">
        <v>10017</v>
      </c>
      <c r="MGX1" t="s">
        <v>10018</v>
      </c>
      <c r="MGY1" t="s">
        <v>10019</v>
      </c>
      <c r="MGZ1" t="s">
        <v>10020</v>
      </c>
      <c r="MHA1" t="s">
        <v>10021</v>
      </c>
      <c r="MHB1" t="s">
        <v>10022</v>
      </c>
      <c r="MHC1" t="s">
        <v>10023</v>
      </c>
      <c r="MHD1" t="s">
        <v>10024</v>
      </c>
      <c r="MHE1" t="s">
        <v>10025</v>
      </c>
      <c r="MHF1" t="s">
        <v>10026</v>
      </c>
      <c r="MHG1" t="s">
        <v>10027</v>
      </c>
      <c r="MHH1" t="s">
        <v>10028</v>
      </c>
      <c r="MHI1" t="s">
        <v>10029</v>
      </c>
      <c r="MHJ1" t="s">
        <v>10030</v>
      </c>
      <c r="MHK1" t="s">
        <v>10031</v>
      </c>
      <c r="MHL1" t="s">
        <v>10032</v>
      </c>
      <c r="MHM1" t="s">
        <v>10033</v>
      </c>
      <c r="MHN1" t="s">
        <v>10034</v>
      </c>
      <c r="MHO1" t="s">
        <v>10035</v>
      </c>
      <c r="MHP1" t="s">
        <v>10036</v>
      </c>
      <c r="MHQ1" t="s">
        <v>10037</v>
      </c>
      <c r="MHR1" t="s">
        <v>10038</v>
      </c>
      <c r="MHS1" t="s">
        <v>10039</v>
      </c>
      <c r="MHT1" t="s">
        <v>10040</v>
      </c>
      <c r="MHU1" t="s">
        <v>10041</v>
      </c>
      <c r="MHV1" t="s">
        <v>10042</v>
      </c>
      <c r="MHW1" t="s">
        <v>10043</v>
      </c>
      <c r="MHX1" t="s">
        <v>10044</v>
      </c>
      <c r="MHY1" t="s">
        <v>10045</v>
      </c>
      <c r="MHZ1" t="s">
        <v>10046</v>
      </c>
      <c r="MIA1" t="s">
        <v>10047</v>
      </c>
      <c r="MIB1" t="s">
        <v>10048</v>
      </c>
      <c r="MIC1" t="s">
        <v>10049</v>
      </c>
      <c r="MID1" t="s">
        <v>10050</v>
      </c>
      <c r="MIE1" t="s">
        <v>10051</v>
      </c>
      <c r="MIF1" t="s">
        <v>10052</v>
      </c>
      <c r="MIG1" t="s">
        <v>10053</v>
      </c>
      <c r="MIH1" t="s">
        <v>10054</v>
      </c>
      <c r="MII1" t="s">
        <v>10055</v>
      </c>
      <c r="MIJ1" t="s">
        <v>10056</v>
      </c>
      <c r="MIK1" t="s">
        <v>10057</v>
      </c>
      <c r="MIL1" t="s">
        <v>10058</v>
      </c>
      <c r="MIM1" t="s">
        <v>10059</v>
      </c>
      <c r="MIN1" t="s">
        <v>10060</v>
      </c>
      <c r="MIO1" t="s">
        <v>10061</v>
      </c>
      <c r="MIP1" t="s">
        <v>10062</v>
      </c>
      <c r="MIQ1" t="s">
        <v>10063</v>
      </c>
      <c r="MIR1" t="s">
        <v>10064</v>
      </c>
      <c r="MIS1" t="s">
        <v>10065</v>
      </c>
      <c r="MIT1" t="s">
        <v>10066</v>
      </c>
      <c r="MIU1" t="s">
        <v>10067</v>
      </c>
      <c r="MIV1" t="s">
        <v>10068</v>
      </c>
      <c r="MIW1" t="s">
        <v>10069</v>
      </c>
      <c r="MIX1" t="s">
        <v>10070</v>
      </c>
      <c r="MIY1" t="s">
        <v>10071</v>
      </c>
      <c r="MIZ1" t="s">
        <v>10072</v>
      </c>
      <c r="MJA1" t="s">
        <v>10073</v>
      </c>
      <c r="MJB1" t="s">
        <v>10074</v>
      </c>
      <c r="MJC1" t="s">
        <v>10075</v>
      </c>
      <c r="MJD1" t="s">
        <v>10076</v>
      </c>
      <c r="MJE1" t="s">
        <v>10077</v>
      </c>
      <c r="MJF1" t="s">
        <v>10078</v>
      </c>
      <c r="MJG1" t="s">
        <v>10079</v>
      </c>
      <c r="MJH1" t="s">
        <v>10080</v>
      </c>
      <c r="MJI1" t="s">
        <v>10081</v>
      </c>
      <c r="MJJ1" t="s">
        <v>10082</v>
      </c>
      <c r="MJK1" t="s">
        <v>10083</v>
      </c>
      <c r="MJL1" t="s">
        <v>10084</v>
      </c>
      <c r="MJM1" t="s">
        <v>10085</v>
      </c>
      <c r="MJN1" t="s">
        <v>10086</v>
      </c>
      <c r="MJO1" t="s">
        <v>10087</v>
      </c>
      <c r="MJP1" t="s">
        <v>10088</v>
      </c>
      <c r="MJQ1" t="s">
        <v>10089</v>
      </c>
      <c r="MJR1" t="s">
        <v>10090</v>
      </c>
      <c r="MJS1" t="s">
        <v>10091</v>
      </c>
      <c r="MJT1" t="s">
        <v>10092</v>
      </c>
      <c r="MJU1" t="s">
        <v>10093</v>
      </c>
      <c r="MJV1" t="s">
        <v>10094</v>
      </c>
      <c r="MJW1" t="s">
        <v>10095</v>
      </c>
      <c r="MJX1" t="s">
        <v>10096</v>
      </c>
      <c r="MJY1" t="s">
        <v>10097</v>
      </c>
      <c r="MJZ1" t="s">
        <v>10098</v>
      </c>
      <c r="MKA1" t="s">
        <v>10099</v>
      </c>
      <c r="MKB1" t="s">
        <v>10100</v>
      </c>
      <c r="MKC1" t="s">
        <v>10101</v>
      </c>
      <c r="MKD1" t="s">
        <v>10102</v>
      </c>
      <c r="MKE1" t="s">
        <v>10103</v>
      </c>
      <c r="MKF1" t="s">
        <v>10104</v>
      </c>
      <c r="MKG1" t="s">
        <v>10105</v>
      </c>
      <c r="MKH1" t="s">
        <v>10106</v>
      </c>
      <c r="MKI1" t="s">
        <v>10107</v>
      </c>
      <c r="MKJ1" t="s">
        <v>10108</v>
      </c>
      <c r="MKK1" t="s">
        <v>10109</v>
      </c>
      <c r="MKL1" t="s">
        <v>10110</v>
      </c>
      <c r="MKM1" t="s">
        <v>10111</v>
      </c>
      <c r="MKN1" t="s">
        <v>10112</v>
      </c>
      <c r="MKO1" t="s">
        <v>10113</v>
      </c>
      <c r="MKP1" t="s">
        <v>10114</v>
      </c>
      <c r="MKQ1" t="s">
        <v>10115</v>
      </c>
      <c r="MKR1" t="s">
        <v>10116</v>
      </c>
      <c r="MKS1" t="s">
        <v>10117</v>
      </c>
      <c r="MKT1" t="s">
        <v>10118</v>
      </c>
      <c r="MKU1" t="s">
        <v>10119</v>
      </c>
      <c r="MKV1" t="s">
        <v>10120</v>
      </c>
      <c r="MKW1" t="s">
        <v>10121</v>
      </c>
      <c r="MKX1" t="s">
        <v>10122</v>
      </c>
      <c r="MKY1" t="s">
        <v>10123</v>
      </c>
      <c r="MKZ1" t="s">
        <v>10124</v>
      </c>
      <c r="MLA1" t="s">
        <v>10125</v>
      </c>
      <c r="MLB1" t="s">
        <v>10126</v>
      </c>
      <c r="MLC1" t="s">
        <v>10127</v>
      </c>
      <c r="MLD1" t="s">
        <v>10128</v>
      </c>
      <c r="MLE1" t="s">
        <v>10129</v>
      </c>
      <c r="MLF1" t="s">
        <v>10130</v>
      </c>
      <c r="MLG1" t="s">
        <v>10131</v>
      </c>
      <c r="MLH1" t="s">
        <v>10132</v>
      </c>
      <c r="MLI1" t="s">
        <v>10133</v>
      </c>
      <c r="MLJ1" t="s">
        <v>10134</v>
      </c>
      <c r="MLK1" t="s">
        <v>10135</v>
      </c>
      <c r="MLL1" t="s">
        <v>10136</v>
      </c>
      <c r="MLM1" t="s">
        <v>10137</v>
      </c>
      <c r="MLN1" t="s">
        <v>10138</v>
      </c>
      <c r="MLO1" t="s">
        <v>10139</v>
      </c>
      <c r="MLP1" t="s">
        <v>10140</v>
      </c>
      <c r="MLQ1" t="s">
        <v>10141</v>
      </c>
      <c r="MLR1" t="s">
        <v>10142</v>
      </c>
      <c r="MLS1" t="s">
        <v>10143</v>
      </c>
      <c r="MLT1" t="s">
        <v>10144</v>
      </c>
      <c r="MLU1" t="s">
        <v>10145</v>
      </c>
      <c r="MLV1" t="s">
        <v>10146</v>
      </c>
      <c r="MLW1" t="s">
        <v>10147</v>
      </c>
      <c r="MLX1" t="s">
        <v>10148</v>
      </c>
      <c r="MLY1" t="s">
        <v>10149</v>
      </c>
      <c r="MLZ1" t="s">
        <v>10150</v>
      </c>
      <c r="MMA1" t="s">
        <v>10151</v>
      </c>
      <c r="MMB1" t="s">
        <v>10152</v>
      </c>
      <c r="MMC1" t="s">
        <v>10153</v>
      </c>
      <c r="MMD1" t="s">
        <v>10154</v>
      </c>
      <c r="MME1" t="s">
        <v>10155</v>
      </c>
      <c r="MMF1" t="s">
        <v>10156</v>
      </c>
      <c r="MMG1" t="s">
        <v>10157</v>
      </c>
      <c r="MMH1" t="s">
        <v>10158</v>
      </c>
      <c r="MMI1" t="s">
        <v>10159</v>
      </c>
      <c r="MMJ1" t="s">
        <v>10160</v>
      </c>
      <c r="MMK1" t="s">
        <v>10161</v>
      </c>
      <c r="MML1" t="s">
        <v>10162</v>
      </c>
      <c r="MMM1" t="s">
        <v>10163</v>
      </c>
      <c r="MMN1" t="s">
        <v>10164</v>
      </c>
      <c r="MMO1" t="s">
        <v>10165</v>
      </c>
      <c r="MMP1" t="s">
        <v>10166</v>
      </c>
      <c r="MMQ1" t="s">
        <v>10167</v>
      </c>
      <c r="MMR1" t="s">
        <v>10168</v>
      </c>
      <c r="MMS1" t="s">
        <v>10169</v>
      </c>
      <c r="MMT1" t="s">
        <v>10170</v>
      </c>
      <c r="MMU1" t="s">
        <v>10171</v>
      </c>
      <c r="MMV1" t="s">
        <v>10172</v>
      </c>
      <c r="MMW1" t="s">
        <v>10173</v>
      </c>
      <c r="MMX1" t="s">
        <v>10174</v>
      </c>
      <c r="MMY1" t="s">
        <v>10175</v>
      </c>
      <c r="MMZ1" t="s">
        <v>10176</v>
      </c>
      <c r="MNA1" t="s">
        <v>10177</v>
      </c>
      <c r="MNB1" t="s">
        <v>10178</v>
      </c>
      <c r="MNC1" t="s">
        <v>10179</v>
      </c>
      <c r="MND1" t="s">
        <v>10180</v>
      </c>
      <c r="MNE1" t="s">
        <v>10181</v>
      </c>
      <c r="MNF1" t="s">
        <v>10182</v>
      </c>
      <c r="MNG1" t="s">
        <v>10183</v>
      </c>
      <c r="MNH1" t="s">
        <v>10184</v>
      </c>
      <c r="MNI1" t="s">
        <v>10185</v>
      </c>
      <c r="MNJ1" t="s">
        <v>10186</v>
      </c>
      <c r="MNK1" t="s">
        <v>10187</v>
      </c>
      <c r="MNL1" t="s">
        <v>10188</v>
      </c>
      <c r="MNM1" t="s">
        <v>10189</v>
      </c>
      <c r="MNN1" t="s">
        <v>10190</v>
      </c>
      <c r="MNO1" t="s">
        <v>10191</v>
      </c>
      <c r="MNP1" t="s">
        <v>10192</v>
      </c>
      <c r="MNQ1" t="s">
        <v>10193</v>
      </c>
      <c r="MNR1" t="s">
        <v>10194</v>
      </c>
      <c r="MNS1" t="s">
        <v>10195</v>
      </c>
      <c r="MNT1" t="s">
        <v>10196</v>
      </c>
      <c r="MNU1" t="s">
        <v>10197</v>
      </c>
      <c r="MNV1" t="s">
        <v>10198</v>
      </c>
      <c r="MNW1" t="s">
        <v>10199</v>
      </c>
      <c r="MNX1" t="s">
        <v>10200</v>
      </c>
      <c r="MNY1" t="s">
        <v>10201</v>
      </c>
      <c r="MNZ1" t="s">
        <v>10202</v>
      </c>
      <c r="MOA1" t="s">
        <v>10203</v>
      </c>
      <c r="MOB1" t="s">
        <v>10204</v>
      </c>
      <c r="MOC1" t="s">
        <v>10205</v>
      </c>
      <c r="MOD1" t="s">
        <v>10206</v>
      </c>
      <c r="MOE1" t="s">
        <v>10207</v>
      </c>
      <c r="MOF1" t="s">
        <v>10208</v>
      </c>
      <c r="MOG1" t="s">
        <v>10209</v>
      </c>
      <c r="MOH1" t="s">
        <v>10210</v>
      </c>
      <c r="MOI1" t="s">
        <v>10211</v>
      </c>
      <c r="MOJ1" t="s">
        <v>10212</v>
      </c>
      <c r="MOK1" t="s">
        <v>10213</v>
      </c>
      <c r="MOL1" t="s">
        <v>10214</v>
      </c>
      <c r="MOM1" t="s">
        <v>10215</v>
      </c>
      <c r="MON1" t="s">
        <v>10216</v>
      </c>
      <c r="MOO1" t="s">
        <v>10217</v>
      </c>
      <c r="MOP1" t="s">
        <v>10218</v>
      </c>
      <c r="MOQ1" t="s">
        <v>10219</v>
      </c>
      <c r="MOR1" t="s">
        <v>10220</v>
      </c>
      <c r="MOS1" t="s">
        <v>10221</v>
      </c>
      <c r="MOT1" t="s">
        <v>10222</v>
      </c>
      <c r="MOU1" t="s">
        <v>10223</v>
      </c>
      <c r="MOV1" t="s">
        <v>10224</v>
      </c>
      <c r="MOW1" t="s">
        <v>10225</v>
      </c>
      <c r="MOX1" t="s">
        <v>10226</v>
      </c>
      <c r="MOY1" t="s">
        <v>10227</v>
      </c>
      <c r="MOZ1" t="s">
        <v>10228</v>
      </c>
      <c r="MPA1" t="s">
        <v>10229</v>
      </c>
      <c r="MPB1" t="s">
        <v>10230</v>
      </c>
      <c r="MPC1" t="s">
        <v>10231</v>
      </c>
      <c r="MPD1" t="s">
        <v>10232</v>
      </c>
      <c r="MPE1" t="s">
        <v>10233</v>
      </c>
      <c r="MPF1" t="s">
        <v>10234</v>
      </c>
      <c r="MPG1" t="s">
        <v>10235</v>
      </c>
      <c r="MPH1" t="s">
        <v>10236</v>
      </c>
      <c r="MPI1" t="s">
        <v>10237</v>
      </c>
      <c r="MPJ1" t="s">
        <v>10238</v>
      </c>
      <c r="MPK1" t="s">
        <v>10239</v>
      </c>
      <c r="MPL1" t="s">
        <v>10240</v>
      </c>
      <c r="MPM1" t="s">
        <v>10241</v>
      </c>
      <c r="MPN1" t="s">
        <v>10242</v>
      </c>
      <c r="MPO1" t="s">
        <v>10243</v>
      </c>
      <c r="MPP1" t="s">
        <v>10244</v>
      </c>
      <c r="MPQ1" t="s">
        <v>10245</v>
      </c>
      <c r="MPR1" t="s">
        <v>10246</v>
      </c>
      <c r="MPS1" t="s">
        <v>10247</v>
      </c>
      <c r="MPT1" t="s">
        <v>10248</v>
      </c>
      <c r="MPU1" t="s">
        <v>10249</v>
      </c>
      <c r="MPV1" t="s">
        <v>10250</v>
      </c>
      <c r="MPW1" t="s">
        <v>10251</v>
      </c>
      <c r="MPX1" t="s">
        <v>10252</v>
      </c>
      <c r="MPY1" t="s">
        <v>10253</v>
      </c>
      <c r="MPZ1" t="s">
        <v>10254</v>
      </c>
      <c r="MQA1" t="s">
        <v>10255</v>
      </c>
      <c r="MQB1" t="s">
        <v>10256</v>
      </c>
      <c r="MQC1" t="s">
        <v>10257</v>
      </c>
      <c r="MQD1" t="s">
        <v>10258</v>
      </c>
      <c r="MQE1" t="s">
        <v>10259</v>
      </c>
      <c r="MQF1" t="s">
        <v>10260</v>
      </c>
      <c r="MQG1" t="s">
        <v>10261</v>
      </c>
      <c r="MQH1" t="s">
        <v>10262</v>
      </c>
      <c r="MQI1" t="s">
        <v>10263</v>
      </c>
      <c r="MQJ1" t="s">
        <v>10264</v>
      </c>
      <c r="MQK1" t="s">
        <v>10265</v>
      </c>
      <c r="MQL1" t="s">
        <v>10266</v>
      </c>
      <c r="MQM1" t="s">
        <v>10267</v>
      </c>
      <c r="MQN1" t="s">
        <v>10268</v>
      </c>
      <c r="MQO1" t="s">
        <v>10269</v>
      </c>
      <c r="MQP1" t="s">
        <v>10270</v>
      </c>
      <c r="MQQ1" t="s">
        <v>10271</v>
      </c>
      <c r="MQR1" t="s">
        <v>10272</v>
      </c>
      <c r="MQS1" t="s">
        <v>10273</v>
      </c>
      <c r="MQT1" t="s">
        <v>10274</v>
      </c>
      <c r="MQU1" t="s">
        <v>10275</v>
      </c>
      <c r="MQV1" t="s">
        <v>10276</v>
      </c>
      <c r="MQW1" t="s">
        <v>10277</v>
      </c>
      <c r="MQX1" t="s">
        <v>10278</v>
      </c>
      <c r="MQY1" t="s">
        <v>10279</v>
      </c>
      <c r="MQZ1" t="s">
        <v>10280</v>
      </c>
      <c r="MRA1" t="s">
        <v>10281</v>
      </c>
      <c r="MRB1" t="s">
        <v>10282</v>
      </c>
      <c r="MRC1" t="s">
        <v>10283</v>
      </c>
      <c r="MRD1" t="s">
        <v>10284</v>
      </c>
      <c r="MRE1" t="s">
        <v>10285</v>
      </c>
      <c r="MRF1" t="s">
        <v>10286</v>
      </c>
      <c r="MRG1" t="s">
        <v>10287</v>
      </c>
      <c r="MRH1" t="s">
        <v>10288</v>
      </c>
      <c r="MRI1" t="s">
        <v>10289</v>
      </c>
      <c r="MRJ1" t="s">
        <v>10290</v>
      </c>
      <c r="MRK1" t="s">
        <v>10291</v>
      </c>
      <c r="MRL1" t="s">
        <v>10292</v>
      </c>
      <c r="MRM1" t="s">
        <v>10293</v>
      </c>
      <c r="MRN1" t="s">
        <v>10294</v>
      </c>
      <c r="MRO1" t="s">
        <v>10295</v>
      </c>
      <c r="MRP1" t="s">
        <v>10296</v>
      </c>
      <c r="MRQ1" t="s">
        <v>10297</v>
      </c>
      <c r="MRR1" t="s">
        <v>10298</v>
      </c>
      <c r="MRS1" t="s">
        <v>10299</v>
      </c>
      <c r="MRT1" t="s">
        <v>10300</v>
      </c>
      <c r="MRU1" t="s">
        <v>10301</v>
      </c>
      <c r="MRV1" t="s">
        <v>10302</v>
      </c>
      <c r="MRW1" t="s">
        <v>10303</v>
      </c>
      <c r="MRX1" t="s">
        <v>10304</v>
      </c>
      <c r="MRY1" t="s">
        <v>10305</v>
      </c>
      <c r="MRZ1" t="s">
        <v>10306</v>
      </c>
      <c r="MSA1" t="s">
        <v>10307</v>
      </c>
      <c r="MSB1" t="s">
        <v>10308</v>
      </c>
      <c r="MSC1" t="s">
        <v>10309</v>
      </c>
      <c r="MSD1" t="s">
        <v>10310</v>
      </c>
      <c r="MSE1" t="s">
        <v>10311</v>
      </c>
      <c r="MSF1" t="s">
        <v>10312</v>
      </c>
      <c r="MSG1" t="s">
        <v>10313</v>
      </c>
      <c r="MSH1" t="s">
        <v>10314</v>
      </c>
      <c r="MSI1" t="s">
        <v>10315</v>
      </c>
      <c r="MSJ1" t="s">
        <v>10316</v>
      </c>
      <c r="MSK1" t="s">
        <v>10317</v>
      </c>
      <c r="MSL1" t="s">
        <v>10318</v>
      </c>
      <c r="MSM1" t="s">
        <v>10319</v>
      </c>
      <c r="MSN1" t="s">
        <v>10320</v>
      </c>
      <c r="MSO1" t="s">
        <v>10321</v>
      </c>
      <c r="MSP1" t="s">
        <v>10322</v>
      </c>
      <c r="MSQ1" t="s">
        <v>10323</v>
      </c>
      <c r="MSR1" t="s">
        <v>10324</v>
      </c>
      <c r="MSS1" t="s">
        <v>10325</v>
      </c>
      <c r="MST1" t="s">
        <v>10326</v>
      </c>
      <c r="MSU1" t="s">
        <v>10327</v>
      </c>
      <c r="MSV1" t="s">
        <v>10328</v>
      </c>
      <c r="MSW1" t="s">
        <v>10329</v>
      </c>
      <c r="MSX1" t="s">
        <v>10330</v>
      </c>
      <c r="MSY1" t="s">
        <v>10331</v>
      </c>
      <c r="MSZ1" t="s">
        <v>10332</v>
      </c>
      <c r="MTA1" t="s">
        <v>10333</v>
      </c>
      <c r="MTB1" t="s">
        <v>10334</v>
      </c>
      <c r="MTC1" t="s">
        <v>10335</v>
      </c>
      <c r="MTD1" t="s">
        <v>10336</v>
      </c>
      <c r="MTE1" t="s">
        <v>10337</v>
      </c>
      <c r="MTF1" t="s">
        <v>10338</v>
      </c>
      <c r="MTG1" t="s">
        <v>10339</v>
      </c>
      <c r="MTH1" t="s">
        <v>10340</v>
      </c>
      <c r="MTI1" t="s">
        <v>10341</v>
      </c>
      <c r="MTJ1" t="s">
        <v>10342</v>
      </c>
      <c r="MTK1" t="s">
        <v>10343</v>
      </c>
      <c r="MTL1" t="s">
        <v>10344</v>
      </c>
      <c r="MTM1" t="s">
        <v>10345</v>
      </c>
      <c r="MTN1" t="s">
        <v>10346</v>
      </c>
      <c r="MTO1" t="s">
        <v>10347</v>
      </c>
      <c r="MTP1" t="s">
        <v>10348</v>
      </c>
      <c r="MTQ1" t="s">
        <v>10349</v>
      </c>
      <c r="MTR1" t="s">
        <v>10350</v>
      </c>
      <c r="MTS1" t="s">
        <v>10351</v>
      </c>
      <c r="MTT1" t="s">
        <v>10352</v>
      </c>
      <c r="MTU1" t="s">
        <v>10353</v>
      </c>
      <c r="MTV1" t="s">
        <v>10354</v>
      </c>
      <c r="MTW1" t="s">
        <v>10355</v>
      </c>
      <c r="MTX1" t="s">
        <v>10356</v>
      </c>
      <c r="MTY1" t="s">
        <v>10357</v>
      </c>
      <c r="MTZ1" t="s">
        <v>10358</v>
      </c>
      <c r="MUA1" t="s">
        <v>10359</v>
      </c>
      <c r="MUB1" t="s">
        <v>10360</v>
      </c>
      <c r="MUC1" t="s">
        <v>10361</v>
      </c>
      <c r="MUD1" t="s">
        <v>10362</v>
      </c>
      <c r="MUE1" t="s">
        <v>10363</v>
      </c>
      <c r="MUF1" t="s">
        <v>10364</v>
      </c>
      <c r="MUG1" t="s">
        <v>10365</v>
      </c>
      <c r="MUH1" t="s">
        <v>10366</v>
      </c>
      <c r="MUI1" t="s">
        <v>10367</v>
      </c>
      <c r="MUJ1" t="s">
        <v>10368</v>
      </c>
      <c r="MUK1" t="s">
        <v>10369</v>
      </c>
      <c r="MUL1" t="s">
        <v>10370</v>
      </c>
      <c r="MUM1" t="s">
        <v>10371</v>
      </c>
      <c r="MUN1" t="s">
        <v>10372</v>
      </c>
      <c r="MUO1" t="s">
        <v>10373</v>
      </c>
      <c r="MUP1" t="s">
        <v>10374</v>
      </c>
      <c r="MUQ1" t="s">
        <v>10375</v>
      </c>
      <c r="MUR1" t="s">
        <v>10376</v>
      </c>
      <c r="MUS1" t="s">
        <v>10377</v>
      </c>
      <c r="MUT1" t="s">
        <v>10378</v>
      </c>
      <c r="MUU1" t="s">
        <v>10379</v>
      </c>
      <c r="MUV1" t="s">
        <v>10380</v>
      </c>
      <c r="MUW1" t="s">
        <v>10381</v>
      </c>
      <c r="MUX1" t="s">
        <v>10382</v>
      </c>
      <c r="MUY1" t="s">
        <v>10383</v>
      </c>
      <c r="MUZ1" t="s">
        <v>10384</v>
      </c>
      <c r="MVA1" t="s">
        <v>10385</v>
      </c>
      <c r="MVB1" t="s">
        <v>10386</v>
      </c>
      <c r="MVC1" t="s">
        <v>10387</v>
      </c>
      <c r="MVD1" t="s">
        <v>10388</v>
      </c>
      <c r="MVE1" t="s">
        <v>10389</v>
      </c>
      <c r="MVF1" t="s">
        <v>10390</v>
      </c>
      <c r="MVG1" t="s">
        <v>10391</v>
      </c>
      <c r="MVH1" t="s">
        <v>10392</v>
      </c>
      <c r="MVI1" t="s">
        <v>10393</v>
      </c>
      <c r="MVJ1" t="s">
        <v>10394</v>
      </c>
      <c r="MVK1" t="s">
        <v>10395</v>
      </c>
      <c r="MVL1" t="s">
        <v>10396</v>
      </c>
      <c r="MVM1" t="s">
        <v>10397</v>
      </c>
      <c r="MVN1" t="s">
        <v>10398</v>
      </c>
      <c r="MVO1" t="s">
        <v>10399</v>
      </c>
      <c r="MVP1" t="s">
        <v>10400</v>
      </c>
      <c r="MVQ1" t="s">
        <v>10401</v>
      </c>
      <c r="MVR1" t="s">
        <v>10402</v>
      </c>
      <c r="MVS1" t="s">
        <v>10403</v>
      </c>
      <c r="MVT1" t="s">
        <v>10404</v>
      </c>
      <c r="MVU1" t="s">
        <v>10405</v>
      </c>
      <c r="MVV1" t="s">
        <v>10406</v>
      </c>
      <c r="MVW1" t="s">
        <v>10407</v>
      </c>
      <c r="MVX1" t="s">
        <v>10408</v>
      </c>
      <c r="MVY1" t="s">
        <v>10409</v>
      </c>
      <c r="MVZ1" t="s">
        <v>10410</v>
      </c>
      <c r="MWA1" t="s">
        <v>10411</v>
      </c>
      <c r="MWB1" t="s">
        <v>10412</v>
      </c>
      <c r="MWC1" t="s">
        <v>10413</v>
      </c>
      <c r="MWD1" t="s">
        <v>10414</v>
      </c>
      <c r="MWE1" t="s">
        <v>10415</v>
      </c>
      <c r="MWF1" t="s">
        <v>10416</v>
      </c>
      <c r="MWG1" t="s">
        <v>10417</v>
      </c>
      <c r="MWH1" t="s">
        <v>10418</v>
      </c>
      <c r="MWI1" t="s">
        <v>10419</v>
      </c>
      <c r="MWJ1" t="s">
        <v>10420</v>
      </c>
      <c r="MWK1" t="s">
        <v>10421</v>
      </c>
      <c r="MWL1" t="s">
        <v>10422</v>
      </c>
      <c r="MWM1" t="s">
        <v>10423</v>
      </c>
      <c r="MWN1" t="s">
        <v>10424</v>
      </c>
      <c r="MWO1" t="s">
        <v>10425</v>
      </c>
      <c r="MWP1" t="s">
        <v>10426</v>
      </c>
      <c r="MWQ1" t="s">
        <v>10427</v>
      </c>
      <c r="MWR1" t="s">
        <v>10428</v>
      </c>
      <c r="MWS1" t="s">
        <v>10429</v>
      </c>
      <c r="MWT1" t="s">
        <v>10430</v>
      </c>
      <c r="MWU1" t="s">
        <v>10431</v>
      </c>
      <c r="MWV1" t="s">
        <v>10432</v>
      </c>
      <c r="MWW1" t="s">
        <v>10433</v>
      </c>
      <c r="MWX1" t="s">
        <v>10434</v>
      </c>
      <c r="MWY1" t="s">
        <v>10435</v>
      </c>
      <c r="MWZ1" t="s">
        <v>10436</v>
      </c>
      <c r="MXA1" t="s">
        <v>10437</v>
      </c>
      <c r="MXB1" t="s">
        <v>10438</v>
      </c>
      <c r="MXC1" t="s">
        <v>10439</v>
      </c>
      <c r="MXD1" t="s">
        <v>10440</v>
      </c>
      <c r="MXE1" t="s">
        <v>10441</v>
      </c>
      <c r="MXF1" t="s">
        <v>10442</v>
      </c>
      <c r="MXG1" t="s">
        <v>10443</v>
      </c>
      <c r="MXH1" t="s">
        <v>10444</v>
      </c>
      <c r="MXI1" t="s">
        <v>10445</v>
      </c>
      <c r="MXJ1" t="s">
        <v>10446</v>
      </c>
      <c r="MXK1" t="s">
        <v>10447</v>
      </c>
      <c r="MXL1" t="s">
        <v>10448</v>
      </c>
      <c r="MXM1" t="s">
        <v>10449</v>
      </c>
      <c r="MXN1" t="s">
        <v>10450</v>
      </c>
      <c r="MXO1" t="s">
        <v>10451</v>
      </c>
      <c r="MXP1" t="s">
        <v>10452</v>
      </c>
      <c r="MXQ1" t="s">
        <v>10453</v>
      </c>
      <c r="MXR1" t="s">
        <v>10454</v>
      </c>
      <c r="MXS1" t="s">
        <v>10455</v>
      </c>
      <c r="MXT1" t="s">
        <v>10456</v>
      </c>
      <c r="MXU1" t="s">
        <v>10457</v>
      </c>
      <c r="MXV1" t="s">
        <v>10458</v>
      </c>
      <c r="MXW1" t="s">
        <v>10459</v>
      </c>
      <c r="MXX1" t="s">
        <v>10460</v>
      </c>
      <c r="MXY1" t="s">
        <v>10461</v>
      </c>
      <c r="MXZ1" t="s">
        <v>10462</v>
      </c>
      <c r="MYA1" t="s">
        <v>10463</v>
      </c>
      <c r="MYB1" t="s">
        <v>10464</v>
      </c>
      <c r="MYC1" t="s">
        <v>10465</v>
      </c>
      <c r="MYD1" t="s">
        <v>10466</v>
      </c>
      <c r="MYE1" t="s">
        <v>10467</v>
      </c>
      <c r="MYF1" t="s">
        <v>10468</v>
      </c>
      <c r="MYG1" t="s">
        <v>10469</v>
      </c>
      <c r="MYH1" t="s">
        <v>10470</v>
      </c>
      <c r="MYI1" t="s">
        <v>10471</v>
      </c>
      <c r="MYJ1" t="s">
        <v>10472</v>
      </c>
      <c r="MYK1" t="s">
        <v>10473</v>
      </c>
      <c r="MYL1" t="s">
        <v>10474</v>
      </c>
      <c r="MYM1" t="s">
        <v>10475</v>
      </c>
      <c r="MYN1" t="s">
        <v>10476</v>
      </c>
      <c r="MYO1" t="s">
        <v>10477</v>
      </c>
      <c r="MYP1" t="s">
        <v>10478</v>
      </c>
      <c r="MYQ1" t="s">
        <v>10479</v>
      </c>
      <c r="MYR1" t="s">
        <v>10480</v>
      </c>
      <c r="MYS1" t="s">
        <v>10481</v>
      </c>
      <c r="MYT1" t="s">
        <v>10482</v>
      </c>
      <c r="MYU1" t="s">
        <v>10483</v>
      </c>
      <c r="MYV1" t="s">
        <v>10484</v>
      </c>
      <c r="MYW1" t="s">
        <v>10485</v>
      </c>
      <c r="MYX1" t="s">
        <v>10486</v>
      </c>
      <c r="MYY1" t="s">
        <v>10487</v>
      </c>
      <c r="MYZ1" t="s">
        <v>10488</v>
      </c>
      <c r="MZA1" t="s">
        <v>10489</v>
      </c>
      <c r="MZB1" t="s">
        <v>10490</v>
      </c>
      <c r="MZC1" t="s">
        <v>10491</v>
      </c>
      <c r="MZD1" t="s">
        <v>10492</v>
      </c>
      <c r="MZE1" t="s">
        <v>10493</v>
      </c>
      <c r="MZF1" t="s">
        <v>10494</v>
      </c>
      <c r="MZG1" t="s">
        <v>10495</v>
      </c>
      <c r="MZH1" t="s">
        <v>10496</v>
      </c>
      <c r="MZI1" t="s">
        <v>10497</v>
      </c>
      <c r="MZJ1" t="s">
        <v>10498</v>
      </c>
      <c r="MZK1" t="s">
        <v>10499</v>
      </c>
      <c r="MZL1" t="s">
        <v>10500</v>
      </c>
      <c r="MZM1" t="s">
        <v>10501</v>
      </c>
      <c r="MZN1" t="s">
        <v>10502</v>
      </c>
      <c r="MZO1" t="s">
        <v>10503</v>
      </c>
      <c r="MZP1" t="s">
        <v>10504</v>
      </c>
      <c r="MZQ1" t="s">
        <v>10505</v>
      </c>
      <c r="MZR1" t="s">
        <v>10506</v>
      </c>
      <c r="MZS1" t="s">
        <v>10507</v>
      </c>
      <c r="MZT1" t="s">
        <v>10508</v>
      </c>
      <c r="MZU1" t="s">
        <v>10509</v>
      </c>
      <c r="MZV1" t="s">
        <v>10510</v>
      </c>
      <c r="MZW1" t="s">
        <v>10511</v>
      </c>
      <c r="MZX1" t="s">
        <v>10512</v>
      </c>
      <c r="MZY1" t="s">
        <v>10513</v>
      </c>
      <c r="MZZ1" t="s">
        <v>10514</v>
      </c>
      <c r="NAA1" t="s">
        <v>10515</v>
      </c>
      <c r="NAB1" t="s">
        <v>10516</v>
      </c>
      <c r="NAC1" t="s">
        <v>10517</v>
      </c>
      <c r="NAD1" t="s">
        <v>10518</v>
      </c>
      <c r="NAE1" t="s">
        <v>10519</v>
      </c>
      <c r="NAF1" t="s">
        <v>10520</v>
      </c>
      <c r="NAG1" t="s">
        <v>10521</v>
      </c>
      <c r="NAH1" t="s">
        <v>10522</v>
      </c>
      <c r="NAI1" t="s">
        <v>10523</v>
      </c>
      <c r="NAJ1" t="s">
        <v>10524</v>
      </c>
      <c r="NAK1" t="s">
        <v>10525</v>
      </c>
      <c r="NAL1" t="s">
        <v>10526</v>
      </c>
      <c r="NAM1" t="s">
        <v>10527</v>
      </c>
      <c r="NAN1" t="s">
        <v>10528</v>
      </c>
      <c r="NAO1" t="s">
        <v>10529</v>
      </c>
      <c r="NAP1" t="s">
        <v>10530</v>
      </c>
      <c r="NAQ1" t="s">
        <v>10531</v>
      </c>
      <c r="NAR1" t="s">
        <v>10532</v>
      </c>
      <c r="NAS1" t="s">
        <v>10533</v>
      </c>
      <c r="NAT1" t="s">
        <v>10534</v>
      </c>
      <c r="NAU1" t="s">
        <v>10535</v>
      </c>
      <c r="NAV1" t="s">
        <v>10536</v>
      </c>
      <c r="NAW1" t="s">
        <v>10537</v>
      </c>
      <c r="NAX1" t="s">
        <v>10538</v>
      </c>
      <c r="NAY1" t="s">
        <v>10539</v>
      </c>
      <c r="NAZ1" t="s">
        <v>10540</v>
      </c>
      <c r="NBA1" t="s">
        <v>10541</v>
      </c>
      <c r="NBB1" t="s">
        <v>10542</v>
      </c>
      <c r="NBC1" t="s">
        <v>10543</v>
      </c>
      <c r="NBD1" t="s">
        <v>10544</v>
      </c>
      <c r="NBE1" t="s">
        <v>10545</v>
      </c>
      <c r="NBF1" t="s">
        <v>10546</v>
      </c>
      <c r="NBG1" t="s">
        <v>10547</v>
      </c>
      <c r="NBH1" t="s">
        <v>10548</v>
      </c>
      <c r="NBI1" t="s">
        <v>10549</v>
      </c>
      <c r="NBJ1" t="s">
        <v>10550</v>
      </c>
      <c r="NBK1" t="s">
        <v>10551</v>
      </c>
      <c r="NBL1" t="s">
        <v>10552</v>
      </c>
      <c r="NBM1" t="s">
        <v>10553</v>
      </c>
      <c r="NBN1" t="s">
        <v>10554</v>
      </c>
      <c r="NBO1" t="s">
        <v>10555</v>
      </c>
      <c r="NBP1" t="s">
        <v>10556</v>
      </c>
      <c r="NBQ1" t="s">
        <v>10557</v>
      </c>
      <c r="NBR1" t="s">
        <v>10558</v>
      </c>
      <c r="NBS1" t="s">
        <v>10559</v>
      </c>
      <c r="NBT1" t="s">
        <v>10560</v>
      </c>
      <c r="NBU1" t="s">
        <v>10561</v>
      </c>
      <c r="NBV1" t="s">
        <v>10562</v>
      </c>
      <c r="NBW1" t="s">
        <v>10563</v>
      </c>
      <c r="NBX1" t="s">
        <v>10564</v>
      </c>
      <c r="NBY1" t="s">
        <v>10565</v>
      </c>
      <c r="NBZ1" t="s">
        <v>10566</v>
      </c>
      <c r="NCA1" t="s">
        <v>10567</v>
      </c>
      <c r="NCB1" t="s">
        <v>10568</v>
      </c>
      <c r="NCC1" t="s">
        <v>10569</v>
      </c>
      <c r="NCD1" t="s">
        <v>10570</v>
      </c>
      <c r="NCE1" t="s">
        <v>10571</v>
      </c>
      <c r="NCF1" t="s">
        <v>10572</v>
      </c>
      <c r="NCG1" t="s">
        <v>10573</v>
      </c>
      <c r="NCH1" t="s">
        <v>10574</v>
      </c>
      <c r="NCI1" t="s">
        <v>10575</v>
      </c>
      <c r="NCJ1" t="s">
        <v>10576</v>
      </c>
      <c r="NCK1" t="s">
        <v>10577</v>
      </c>
      <c r="NCL1" t="s">
        <v>10578</v>
      </c>
      <c r="NCM1" t="s">
        <v>10579</v>
      </c>
      <c r="NCN1" t="s">
        <v>10580</v>
      </c>
      <c r="NCO1" t="s">
        <v>10581</v>
      </c>
      <c r="NCP1" t="s">
        <v>10582</v>
      </c>
      <c r="NCQ1" t="s">
        <v>10583</v>
      </c>
      <c r="NCR1" t="s">
        <v>10584</v>
      </c>
      <c r="NCS1" t="s">
        <v>10585</v>
      </c>
      <c r="NCT1" t="s">
        <v>10586</v>
      </c>
      <c r="NCU1" t="s">
        <v>10587</v>
      </c>
      <c r="NCV1" t="s">
        <v>10588</v>
      </c>
      <c r="NCW1" t="s">
        <v>10589</v>
      </c>
      <c r="NCX1" t="s">
        <v>10590</v>
      </c>
      <c r="NCY1" t="s">
        <v>10591</v>
      </c>
      <c r="NCZ1" t="s">
        <v>10592</v>
      </c>
      <c r="NDA1" t="s">
        <v>10593</v>
      </c>
      <c r="NDB1" t="s">
        <v>10594</v>
      </c>
      <c r="NDC1" t="s">
        <v>10595</v>
      </c>
      <c r="NDD1" t="s">
        <v>10596</v>
      </c>
      <c r="NDE1" t="s">
        <v>10597</v>
      </c>
      <c r="NDF1" t="s">
        <v>10598</v>
      </c>
      <c r="NDG1" t="s">
        <v>10599</v>
      </c>
      <c r="NDH1" t="s">
        <v>10600</v>
      </c>
      <c r="NDI1" t="s">
        <v>10601</v>
      </c>
      <c r="NDJ1" t="s">
        <v>10602</v>
      </c>
      <c r="NDK1" t="s">
        <v>10603</v>
      </c>
      <c r="NDL1" t="s">
        <v>10604</v>
      </c>
      <c r="NDM1" t="s">
        <v>10605</v>
      </c>
      <c r="NDN1" t="s">
        <v>10606</v>
      </c>
      <c r="NDO1" t="s">
        <v>10607</v>
      </c>
      <c r="NDP1" t="s">
        <v>10608</v>
      </c>
      <c r="NDQ1" t="s">
        <v>10609</v>
      </c>
      <c r="NDR1" t="s">
        <v>10610</v>
      </c>
      <c r="NDS1" t="s">
        <v>10611</v>
      </c>
      <c r="NDT1" t="s">
        <v>10612</v>
      </c>
      <c r="NDU1" t="s">
        <v>10613</v>
      </c>
      <c r="NDV1" t="s">
        <v>10614</v>
      </c>
      <c r="NDW1" t="s">
        <v>10615</v>
      </c>
      <c r="NDX1" t="s">
        <v>10616</v>
      </c>
      <c r="NDY1" t="s">
        <v>10617</v>
      </c>
      <c r="NDZ1" t="s">
        <v>10618</v>
      </c>
      <c r="NEA1" t="s">
        <v>10619</v>
      </c>
      <c r="NEB1" t="s">
        <v>10620</v>
      </c>
      <c r="NEC1" t="s">
        <v>10621</v>
      </c>
      <c r="NED1" t="s">
        <v>10622</v>
      </c>
      <c r="NEE1" t="s">
        <v>10623</v>
      </c>
      <c r="NEF1" t="s">
        <v>10624</v>
      </c>
      <c r="NEG1" t="s">
        <v>10625</v>
      </c>
      <c r="NEH1" t="s">
        <v>10626</v>
      </c>
      <c r="NEI1" t="s">
        <v>10627</v>
      </c>
      <c r="NEJ1" t="s">
        <v>10628</v>
      </c>
      <c r="NEK1" t="s">
        <v>10629</v>
      </c>
      <c r="NEL1" t="s">
        <v>10630</v>
      </c>
      <c r="NEM1" t="s">
        <v>10631</v>
      </c>
      <c r="NEN1" t="s">
        <v>10632</v>
      </c>
      <c r="NEO1" t="s">
        <v>10633</v>
      </c>
      <c r="NEP1" t="s">
        <v>10634</v>
      </c>
      <c r="NEQ1" t="s">
        <v>10635</v>
      </c>
      <c r="NER1" t="s">
        <v>10636</v>
      </c>
      <c r="NES1" t="s">
        <v>10637</v>
      </c>
      <c r="NET1" t="s">
        <v>10638</v>
      </c>
      <c r="NEU1" t="s">
        <v>10639</v>
      </c>
      <c r="NEV1" t="s">
        <v>10640</v>
      </c>
      <c r="NEW1" t="s">
        <v>10641</v>
      </c>
      <c r="NEX1" t="s">
        <v>10642</v>
      </c>
      <c r="NEY1" t="s">
        <v>10643</v>
      </c>
      <c r="NEZ1" t="s">
        <v>10644</v>
      </c>
      <c r="NFA1" t="s">
        <v>10645</v>
      </c>
      <c r="NFB1" t="s">
        <v>10646</v>
      </c>
      <c r="NFC1" t="s">
        <v>10647</v>
      </c>
      <c r="NFD1" t="s">
        <v>10648</v>
      </c>
      <c r="NFE1" t="s">
        <v>10649</v>
      </c>
      <c r="NFF1" t="s">
        <v>10650</v>
      </c>
      <c r="NFG1" t="s">
        <v>10651</v>
      </c>
      <c r="NFH1" t="s">
        <v>10652</v>
      </c>
      <c r="NFI1" t="s">
        <v>10653</v>
      </c>
      <c r="NFJ1" t="s">
        <v>10654</v>
      </c>
      <c r="NFK1" t="s">
        <v>10655</v>
      </c>
      <c r="NFL1" t="s">
        <v>10656</v>
      </c>
      <c r="NFM1" t="s">
        <v>10657</v>
      </c>
      <c r="NFN1" t="s">
        <v>10658</v>
      </c>
      <c r="NFO1" t="s">
        <v>10659</v>
      </c>
      <c r="NFP1" t="s">
        <v>10660</v>
      </c>
      <c r="NFQ1" t="s">
        <v>10661</v>
      </c>
      <c r="NFR1" t="s">
        <v>10662</v>
      </c>
      <c r="NFS1" t="s">
        <v>10663</v>
      </c>
      <c r="NFT1" t="s">
        <v>10664</v>
      </c>
      <c r="NFU1" t="s">
        <v>10665</v>
      </c>
      <c r="NFV1" t="s">
        <v>10666</v>
      </c>
      <c r="NFW1" t="s">
        <v>10667</v>
      </c>
      <c r="NFX1" t="s">
        <v>10668</v>
      </c>
      <c r="NFY1" t="s">
        <v>10669</v>
      </c>
      <c r="NFZ1" t="s">
        <v>10670</v>
      </c>
      <c r="NGA1" t="s">
        <v>10671</v>
      </c>
      <c r="NGB1" t="s">
        <v>10672</v>
      </c>
      <c r="NGC1" t="s">
        <v>10673</v>
      </c>
      <c r="NGD1" t="s">
        <v>10674</v>
      </c>
      <c r="NGE1" t="s">
        <v>10675</v>
      </c>
      <c r="NGF1" t="s">
        <v>10676</v>
      </c>
      <c r="NGG1" t="s">
        <v>10677</v>
      </c>
      <c r="NGH1" t="s">
        <v>10678</v>
      </c>
      <c r="NGI1" t="s">
        <v>10679</v>
      </c>
      <c r="NGJ1" t="s">
        <v>10680</v>
      </c>
      <c r="NGK1" t="s">
        <v>10681</v>
      </c>
      <c r="NGL1" t="s">
        <v>10682</v>
      </c>
      <c r="NGM1" t="s">
        <v>10683</v>
      </c>
      <c r="NGN1" t="s">
        <v>10684</v>
      </c>
      <c r="NGO1" t="s">
        <v>10685</v>
      </c>
      <c r="NGP1" t="s">
        <v>10686</v>
      </c>
      <c r="NGQ1" t="s">
        <v>10687</v>
      </c>
      <c r="NGR1" t="s">
        <v>10688</v>
      </c>
      <c r="NGS1" t="s">
        <v>10689</v>
      </c>
      <c r="NGT1" t="s">
        <v>10690</v>
      </c>
      <c r="NGU1" t="s">
        <v>10691</v>
      </c>
      <c r="NGV1" t="s">
        <v>10692</v>
      </c>
      <c r="NGW1" t="s">
        <v>10693</v>
      </c>
      <c r="NGX1" t="s">
        <v>10694</v>
      </c>
      <c r="NGY1" t="s">
        <v>10695</v>
      </c>
      <c r="NGZ1" t="s">
        <v>10696</v>
      </c>
      <c r="NHA1" t="s">
        <v>10697</v>
      </c>
      <c r="NHB1" t="s">
        <v>10698</v>
      </c>
      <c r="NHC1" t="s">
        <v>10699</v>
      </c>
      <c r="NHD1" t="s">
        <v>10700</v>
      </c>
      <c r="NHE1" t="s">
        <v>10701</v>
      </c>
      <c r="NHF1" t="s">
        <v>10702</v>
      </c>
      <c r="NHG1" t="s">
        <v>10703</v>
      </c>
      <c r="NHH1" t="s">
        <v>10704</v>
      </c>
      <c r="NHI1" t="s">
        <v>10705</v>
      </c>
      <c r="NHJ1" t="s">
        <v>10706</v>
      </c>
      <c r="NHK1" t="s">
        <v>10707</v>
      </c>
      <c r="NHL1" t="s">
        <v>10708</v>
      </c>
      <c r="NHM1" t="s">
        <v>10709</v>
      </c>
      <c r="NHN1" t="s">
        <v>10710</v>
      </c>
      <c r="NHO1" t="s">
        <v>10711</v>
      </c>
      <c r="NHP1" t="s">
        <v>10712</v>
      </c>
      <c r="NHQ1" t="s">
        <v>10713</v>
      </c>
      <c r="NHR1" t="s">
        <v>10714</v>
      </c>
      <c r="NHS1" t="s">
        <v>10715</v>
      </c>
      <c r="NHT1" t="s">
        <v>10716</v>
      </c>
      <c r="NHU1" t="s">
        <v>10717</v>
      </c>
      <c r="NHV1" t="s">
        <v>10718</v>
      </c>
      <c r="NHW1" t="s">
        <v>10719</v>
      </c>
      <c r="NHX1" t="s">
        <v>10720</v>
      </c>
      <c r="NHY1" t="s">
        <v>10721</v>
      </c>
      <c r="NHZ1" t="s">
        <v>10722</v>
      </c>
      <c r="NIA1" t="s">
        <v>10723</v>
      </c>
      <c r="NIB1" t="s">
        <v>10724</v>
      </c>
      <c r="NIC1" t="s">
        <v>10725</v>
      </c>
      <c r="NID1" t="s">
        <v>10726</v>
      </c>
      <c r="NIE1" t="s">
        <v>10727</v>
      </c>
      <c r="NIF1" t="s">
        <v>10728</v>
      </c>
      <c r="NIG1" t="s">
        <v>10729</v>
      </c>
      <c r="NIH1" t="s">
        <v>10730</v>
      </c>
      <c r="NII1" t="s">
        <v>10731</v>
      </c>
      <c r="NIJ1" t="s">
        <v>10732</v>
      </c>
      <c r="NIK1" t="s">
        <v>10733</v>
      </c>
      <c r="NIL1" t="s">
        <v>10734</v>
      </c>
      <c r="NIM1" t="s">
        <v>10735</v>
      </c>
      <c r="NIN1" t="s">
        <v>10736</v>
      </c>
      <c r="NIO1" t="s">
        <v>10737</v>
      </c>
      <c r="NIP1" t="s">
        <v>10738</v>
      </c>
      <c r="NIQ1" t="s">
        <v>10739</v>
      </c>
      <c r="NIR1" t="s">
        <v>10740</v>
      </c>
      <c r="NIS1" t="s">
        <v>10741</v>
      </c>
      <c r="NIT1" t="s">
        <v>10742</v>
      </c>
      <c r="NIU1" t="s">
        <v>10743</v>
      </c>
      <c r="NIV1" t="s">
        <v>10744</v>
      </c>
      <c r="NIW1" t="s">
        <v>10745</v>
      </c>
      <c r="NIX1" t="s">
        <v>10746</v>
      </c>
      <c r="NIY1" t="s">
        <v>10747</v>
      </c>
      <c r="NIZ1" t="s">
        <v>10748</v>
      </c>
      <c r="NJA1" t="s">
        <v>10749</v>
      </c>
      <c r="NJB1" t="s">
        <v>10750</v>
      </c>
      <c r="NJC1" t="s">
        <v>10751</v>
      </c>
      <c r="NJD1" t="s">
        <v>10752</v>
      </c>
      <c r="NJE1" t="s">
        <v>10753</v>
      </c>
      <c r="NJF1" t="s">
        <v>10754</v>
      </c>
      <c r="NJG1" t="s">
        <v>10755</v>
      </c>
      <c r="NJH1" t="s">
        <v>10756</v>
      </c>
      <c r="NJI1" t="s">
        <v>10757</v>
      </c>
      <c r="NJJ1" t="s">
        <v>10758</v>
      </c>
      <c r="NJK1" t="s">
        <v>10759</v>
      </c>
      <c r="NJL1" t="s">
        <v>10760</v>
      </c>
      <c r="NJM1" t="s">
        <v>10761</v>
      </c>
      <c r="NJN1" t="s">
        <v>10762</v>
      </c>
      <c r="NJO1" t="s">
        <v>10763</v>
      </c>
      <c r="NJP1" t="s">
        <v>10764</v>
      </c>
      <c r="NJQ1" t="s">
        <v>10765</v>
      </c>
      <c r="NJR1" t="s">
        <v>10766</v>
      </c>
      <c r="NJS1" t="s">
        <v>10767</v>
      </c>
      <c r="NJT1" t="s">
        <v>10768</v>
      </c>
      <c r="NJU1" t="s">
        <v>10769</v>
      </c>
      <c r="NJV1" t="s">
        <v>10770</v>
      </c>
      <c r="NJW1" t="s">
        <v>10771</v>
      </c>
      <c r="NJX1" t="s">
        <v>10772</v>
      </c>
      <c r="NJY1" t="s">
        <v>10773</v>
      </c>
      <c r="NJZ1" t="s">
        <v>10774</v>
      </c>
      <c r="NKA1" t="s">
        <v>10775</v>
      </c>
      <c r="NKB1" t="s">
        <v>10776</v>
      </c>
      <c r="NKC1" t="s">
        <v>10777</v>
      </c>
      <c r="NKD1" t="s">
        <v>10778</v>
      </c>
      <c r="NKE1" t="s">
        <v>10779</v>
      </c>
      <c r="NKF1" t="s">
        <v>10780</v>
      </c>
      <c r="NKG1" t="s">
        <v>10781</v>
      </c>
      <c r="NKH1" t="s">
        <v>10782</v>
      </c>
      <c r="NKI1" t="s">
        <v>10783</v>
      </c>
      <c r="NKJ1" t="s">
        <v>10784</v>
      </c>
      <c r="NKK1" t="s">
        <v>10785</v>
      </c>
      <c r="NKL1" t="s">
        <v>10786</v>
      </c>
      <c r="NKM1" t="s">
        <v>10787</v>
      </c>
      <c r="NKN1" t="s">
        <v>10788</v>
      </c>
      <c r="NKO1" t="s">
        <v>10789</v>
      </c>
      <c r="NKP1" t="s">
        <v>10790</v>
      </c>
      <c r="NKQ1" t="s">
        <v>10791</v>
      </c>
      <c r="NKR1" t="s">
        <v>10792</v>
      </c>
      <c r="NKS1" t="s">
        <v>10793</v>
      </c>
      <c r="NKT1" t="s">
        <v>10794</v>
      </c>
      <c r="NKU1" t="s">
        <v>10795</v>
      </c>
      <c r="NKV1" t="s">
        <v>10796</v>
      </c>
      <c r="NKW1" t="s">
        <v>10797</v>
      </c>
      <c r="NKX1" t="s">
        <v>10798</v>
      </c>
      <c r="NKY1" t="s">
        <v>10799</v>
      </c>
      <c r="NKZ1" t="s">
        <v>10800</v>
      </c>
      <c r="NLA1" t="s">
        <v>10801</v>
      </c>
      <c r="NLB1" t="s">
        <v>10802</v>
      </c>
      <c r="NLC1" t="s">
        <v>10803</v>
      </c>
      <c r="NLD1" t="s">
        <v>10804</v>
      </c>
      <c r="NLE1" t="s">
        <v>10805</v>
      </c>
      <c r="NLF1" t="s">
        <v>10806</v>
      </c>
      <c r="NLG1" t="s">
        <v>10807</v>
      </c>
      <c r="NLH1" t="s">
        <v>10808</v>
      </c>
      <c r="NLI1" t="s">
        <v>10809</v>
      </c>
      <c r="NLJ1" t="s">
        <v>10810</v>
      </c>
      <c r="NLK1" t="s">
        <v>10811</v>
      </c>
      <c r="NLL1" t="s">
        <v>10812</v>
      </c>
      <c r="NLM1" t="s">
        <v>10813</v>
      </c>
      <c r="NLN1" t="s">
        <v>10814</v>
      </c>
      <c r="NLO1" t="s">
        <v>10815</v>
      </c>
      <c r="NLP1" t="s">
        <v>10816</v>
      </c>
      <c r="NLQ1" t="s">
        <v>10817</v>
      </c>
      <c r="NLR1" t="s">
        <v>10818</v>
      </c>
      <c r="NLS1" t="s">
        <v>10819</v>
      </c>
      <c r="NLT1" t="s">
        <v>10820</v>
      </c>
      <c r="NLU1" t="s">
        <v>10821</v>
      </c>
      <c r="NLV1" t="s">
        <v>10822</v>
      </c>
      <c r="NLW1" t="s">
        <v>10823</v>
      </c>
      <c r="NLX1" t="s">
        <v>10824</v>
      </c>
      <c r="NLY1" t="s">
        <v>10825</v>
      </c>
      <c r="NLZ1" t="s">
        <v>10826</v>
      </c>
      <c r="NMA1" t="s">
        <v>10827</v>
      </c>
      <c r="NMB1" t="s">
        <v>10828</v>
      </c>
      <c r="NMC1" t="s">
        <v>10829</v>
      </c>
      <c r="NMD1" t="s">
        <v>10830</v>
      </c>
      <c r="NME1" t="s">
        <v>10831</v>
      </c>
      <c r="NMF1" t="s">
        <v>10832</v>
      </c>
      <c r="NMG1" t="s">
        <v>10833</v>
      </c>
      <c r="NMH1" t="s">
        <v>10834</v>
      </c>
      <c r="NMI1" t="s">
        <v>10835</v>
      </c>
      <c r="NMJ1" t="s">
        <v>10836</v>
      </c>
      <c r="NMK1" t="s">
        <v>10837</v>
      </c>
      <c r="NML1" t="s">
        <v>10838</v>
      </c>
      <c r="NMM1" t="s">
        <v>10839</v>
      </c>
      <c r="NMN1" t="s">
        <v>10840</v>
      </c>
      <c r="NMO1" t="s">
        <v>10841</v>
      </c>
      <c r="NMP1" t="s">
        <v>10842</v>
      </c>
      <c r="NMQ1" t="s">
        <v>10843</v>
      </c>
      <c r="NMR1" t="s">
        <v>10844</v>
      </c>
      <c r="NMS1" t="s">
        <v>10845</v>
      </c>
      <c r="NMT1" t="s">
        <v>10846</v>
      </c>
      <c r="NMU1" t="s">
        <v>10847</v>
      </c>
      <c r="NMV1" t="s">
        <v>10848</v>
      </c>
      <c r="NMW1" t="s">
        <v>10849</v>
      </c>
      <c r="NMX1" t="s">
        <v>10850</v>
      </c>
      <c r="NMY1" t="s">
        <v>10851</v>
      </c>
      <c r="NMZ1" t="s">
        <v>10852</v>
      </c>
      <c r="NNA1" t="s">
        <v>10853</v>
      </c>
      <c r="NNB1" t="s">
        <v>10854</v>
      </c>
      <c r="NNC1" t="s">
        <v>10855</v>
      </c>
      <c r="NND1" t="s">
        <v>10856</v>
      </c>
      <c r="NNE1" t="s">
        <v>10857</v>
      </c>
      <c r="NNF1" t="s">
        <v>10858</v>
      </c>
      <c r="NNG1" t="s">
        <v>10859</v>
      </c>
      <c r="NNH1" t="s">
        <v>10860</v>
      </c>
      <c r="NNI1" t="s">
        <v>10861</v>
      </c>
      <c r="NNJ1" t="s">
        <v>10862</v>
      </c>
      <c r="NNK1" t="s">
        <v>10863</v>
      </c>
      <c r="NNL1" t="s">
        <v>10864</v>
      </c>
      <c r="NNM1" t="s">
        <v>10865</v>
      </c>
      <c r="NNN1" t="s">
        <v>10866</v>
      </c>
      <c r="NNO1" t="s">
        <v>10867</v>
      </c>
      <c r="NNP1" t="s">
        <v>10868</v>
      </c>
      <c r="NNQ1" t="s">
        <v>10869</v>
      </c>
      <c r="NNR1" t="s">
        <v>10870</v>
      </c>
      <c r="NNS1" t="s">
        <v>10871</v>
      </c>
      <c r="NNT1" t="s">
        <v>10872</v>
      </c>
      <c r="NNU1" t="s">
        <v>10873</v>
      </c>
      <c r="NNV1" t="s">
        <v>10874</v>
      </c>
      <c r="NNW1" t="s">
        <v>10875</v>
      </c>
      <c r="NNX1" t="s">
        <v>10876</v>
      </c>
      <c r="NNY1" t="s">
        <v>10877</v>
      </c>
      <c r="NNZ1" t="s">
        <v>10878</v>
      </c>
      <c r="NOA1" t="s">
        <v>10879</v>
      </c>
      <c r="NOB1" t="s">
        <v>10880</v>
      </c>
      <c r="NOC1" t="s">
        <v>10881</v>
      </c>
      <c r="NOD1" t="s">
        <v>10882</v>
      </c>
      <c r="NOE1" t="s">
        <v>10883</v>
      </c>
      <c r="NOF1" t="s">
        <v>10884</v>
      </c>
      <c r="NOG1" t="s">
        <v>10885</v>
      </c>
      <c r="NOH1" t="s">
        <v>10886</v>
      </c>
      <c r="NOI1" t="s">
        <v>10887</v>
      </c>
      <c r="NOJ1" t="s">
        <v>10888</v>
      </c>
      <c r="NOK1" t="s">
        <v>10889</v>
      </c>
      <c r="NOL1" t="s">
        <v>10890</v>
      </c>
      <c r="NOM1" t="s">
        <v>10891</v>
      </c>
      <c r="NON1" t="s">
        <v>10892</v>
      </c>
      <c r="NOO1" t="s">
        <v>10893</v>
      </c>
      <c r="NOP1" t="s">
        <v>10894</v>
      </c>
      <c r="NOQ1" t="s">
        <v>10895</v>
      </c>
      <c r="NOR1" t="s">
        <v>10896</v>
      </c>
      <c r="NOS1" t="s">
        <v>10897</v>
      </c>
      <c r="NOT1" t="s">
        <v>10898</v>
      </c>
      <c r="NOU1" t="s">
        <v>10899</v>
      </c>
      <c r="NOV1" t="s">
        <v>10900</v>
      </c>
      <c r="NOW1" t="s">
        <v>10901</v>
      </c>
      <c r="NOX1" t="s">
        <v>10902</v>
      </c>
      <c r="NOY1" t="s">
        <v>10903</v>
      </c>
      <c r="NOZ1" t="s">
        <v>10904</v>
      </c>
      <c r="NPA1" t="s">
        <v>10905</v>
      </c>
      <c r="NPB1" t="s">
        <v>10906</v>
      </c>
      <c r="NPC1" t="s">
        <v>10907</v>
      </c>
      <c r="NPD1" t="s">
        <v>10908</v>
      </c>
      <c r="NPE1" t="s">
        <v>10909</v>
      </c>
      <c r="NPF1" t="s">
        <v>10910</v>
      </c>
      <c r="NPG1" t="s">
        <v>10911</v>
      </c>
      <c r="NPH1" t="s">
        <v>10912</v>
      </c>
      <c r="NPI1" t="s">
        <v>10913</v>
      </c>
      <c r="NPJ1" t="s">
        <v>10914</v>
      </c>
      <c r="NPK1" t="s">
        <v>10915</v>
      </c>
      <c r="NPL1" t="s">
        <v>10916</v>
      </c>
      <c r="NPM1" t="s">
        <v>10917</v>
      </c>
      <c r="NPN1" t="s">
        <v>10918</v>
      </c>
      <c r="NPO1" t="s">
        <v>10919</v>
      </c>
      <c r="NPP1" t="s">
        <v>10920</v>
      </c>
      <c r="NPQ1" t="s">
        <v>10921</v>
      </c>
      <c r="NPR1" t="s">
        <v>10922</v>
      </c>
      <c r="NPS1" t="s">
        <v>10923</v>
      </c>
      <c r="NPT1" t="s">
        <v>10924</v>
      </c>
      <c r="NPU1" t="s">
        <v>10925</v>
      </c>
      <c r="NPV1" t="s">
        <v>10926</v>
      </c>
      <c r="NPW1" t="s">
        <v>10927</v>
      </c>
      <c r="NPX1" t="s">
        <v>10928</v>
      </c>
      <c r="NPY1" t="s">
        <v>10929</v>
      </c>
      <c r="NPZ1" t="s">
        <v>10930</v>
      </c>
      <c r="NQA1" t="s">
        <v>10931</v>
      </c>
      <c r="NQB1" t="s">
        <v>10932</v>
      </c>
      <c r="NQC1" t="s">
        <v>10933</v>
      </c>
      <c r="NQD1" t="s">
        <v>10934</v>
      </c>
      <c r="NQE1" t="s">
        <v>10935</v>
      </c>
      <c r="NQF1" t="s">
        <v>10936</v>
      </c>
      <c r="NQG1" t="s">
        <v>10937</v>
      </c>
      <c r="NQH1" t="s">
        <v>10938</v>
      </c>
      <c r="NQI1" t="s">
        <v>10939</v>
      </c>
      <c r="NQJ1" t="s">
        <v>10940</v>
      </c>
      <c r="NQK1" t="s">
        <v>10941</v>
      </c>
      <c r="NQL1" t="s">
        <v>10942</v>
      </c>
      <c r="NQM1" t="s">
        <v>10943</v>
      </c>
      <c r="NQN1" t="s">
        <v>10944</v>
      </c>
      <c r="NQO1" t="s">
        <v>10945</v>
      </c>
      <c r="NQP1" t="s">
        <v>10946</v>
      </c>
      <c r="NQQ1" t="s">
        <v>10947</v>
      </c>
      <c r="NQR1" t="s">
        <v>10948</v>
      </c>
      <c r="NQS1" t="s">
        <v>10949</v>
      </c>
      <c r="NQT1" t="s">
        <v>10950</v>
      </c>
      <c r="NQU1" t="s">
        <v>10951</v>
      </c>
      <c r="NQV1" t="s">
        <v>10952</v>
      </c>
      <c r="NQW1" t="s">
        <v>10953</v>
      </c>
      <c r="NQX1" t="s">
        <v>10954</v>
      </c>
      <c r="NQY1" t="s">
        <v>10955</v>
      </c>
      <c r="NQZ1" t="s">
        <v>10956</v>
      </c>
      <c r="NRA1" t="s">
        <v>10957</v>
      </c>
      <c r="NRB1" t="s">
        <v>10958</v>
      </c>
      <c r="NRC1" t="s">
        <v>10959</v>
      </c>
      <c r="NRD1" t="s">
        <v>10960</v>
      </c>
      <c r="NRE1" t="s">
        <v>10961</v>
      </c>
      <c r="NRF1" t="s">
        <v>10962</v>
      </c>
      <c r="NRG1" t="s">
        <v>10963</v>
      </c>
      <c r="NRH1" t="s">
        <v>10964</v>
      </c>
      <c r="NRI1" t="s">
        <v>10965</v>
      </c>
      <c r="NRJ1" t="s">
        <v>10966</v>
      </c>
      <c r="NRK1" t="s">
        <v>10967</v>
      </c>
      <c r="NRL1" t="s">
        <v>10968</v>
      </c>
      <c r="NRM1" t="s">
        <v>10969</v>
      </c>
      <c r="NRN1" t="s">
        <v>10970</v>
      </c>
      <c r="NRO1" t="s">
        <v>10971</v>
      </c>
      <c r="NRP1" t="s">
        <v>10972</v>
      </c>
      <c r="NRQ1" t="s">
        <v>10973</v>
      </c>
      <c r="NRR1" t="s">
        <v>10974</v>
      </c>
      <c r="NRS1" t="s">
        <v>10975</v>
      </c>
      <c r="NRT1" t="s">
        <v>10976</v>
      </c>
      <c r="NRU1" t="s">
        <v>10977</v>
      </c>
      <c r="NRV1" t="s">
        <v>10978</v>
      </c>
      <c r="NRW1" t="s">
        <v>10979</v>
      </c>
      <c r="NRX1" t="s">
        <v>10980</v>
      </c>
      <c r="NRY1" t="s">
        <v>10981</v>
      </c>
      <c r="NRZ1" t="s">
        <v>10982</v>
      </c>
      <c r="NSA1" t="s">
        <v>10983</v>
      </c>
      <c r="NSB1" t="s">
        <v>10984</v>
      </c>
      <c r="NSC1" t="s">
        <v>10985</v>
      </c>
      <c r="NSD1" t="s">
        <v>10986</v>
      </c>
      <c r="NSE1" t="s">
        <v>10987</v>
      </c>
      <c r="NSF1" t="s">
        <v>10988</v>
      </c>
      <c r="NSG1" t="s">
        <v>10989</v>
      </c>
      <c r="NSH1" t="s">
        <v>10990</v>
      </c>
      <c r="NSI1" t="s">
        <v>10991</v>
      </c>
      <c r="NSJ1" t="s">
        <v>10992</v>
      </c>
      <c r="NSK1" t="s">
        <v>10993</v>
      </c>
      <c r="NSL1" t="s">
        <v>10994</v>
      </c>
      <c r="NSM1" t="s">
        <v>10995</v>
      </c>
      <c r="NSN1" t="s">
        <v>10996</v>
      </c>
      <c r="NSO1" t="s">
        <v>10997</v>
      </c>
      <c r="NSP1" t="s">
        <v>10998</v>
      </c>
      <c r="NSQ1" t="s">
        <v>10999</v>
      </c>
      <c r="NSR1" t="s">
        <v>11000</v>
      </c>
      <c r="NSS1" t="s">
        <v>11001</v>
      </c>
      <c r="NST1" t="s">
        <v>11002</v>
      </c>
      <c r="NSU1" t="s">
        <v>11003</v>
      </c>
      <c r="NSV1" t="s">
        <v>11004</v>
      </c>
      <c r="NSW1" t="s">
        <v>11005</v>
      </c>
      <c r="NSX1" t="s">
        <v>11006</v>
      </c>
      <c r="NSY1" t="s">
        <v>11007</v>
      </c>
      <c r="NSZ1" t="s">
        <v>11008</v>
      </c>
      <c r="NTA1" t="s">
        <v>11009</v>
      </c>
      <c r="NTB1" t="s">
        <v>11010</v>
      </c>
      <c r="NTC1" t="s">
        <v>11011</v>
      </c>
      <c r="NTD1" t="s">
        <v>11012</v>
      </c>
      <c r="NTE1" t="s">
        <v>11013</v>
      </c>
      <c r="NTF1" t="s">
        <v>11014</v>
      </c>
      <c r="NTG1" t="s">
        <v>11015</v>
      </c>
      <c r="NTH1" t="s">
        <v>11016</v>
      </c>
      <c r="NTI1" t="s">
        <v>11017</v>
      </c>
      <c r="NTJ1" t="s">
        <v>11018</v>
      </c>
      <c r="NTK1" t="s">
        <v>11019</v>
      </c>
      <c r="NTL1" t="s">
        <v>11020</v>
      </c>
      <c r="NTM1" t="s">
        <v>11021</v>
      </c>
      <c r="NTN1" t="s">
        <v>11022</v>
      </c>
      <c r="NTO1" t="s">
        <v>11023</v>
      </c>
      <c r="NTP1" t="s">
        <v>11024</v>
      </c>
      <c r="NTQ1" t="s">
        <v>11025</v>
      </c>
      <c r="NTR1" t="s">
        <v>11026</v>
      </c>
      <c r="NTS1" t="s">
        <v>11027</v>
      </c>
      <c r="NTT1" t="s">
        <v>11028</v>
      </c>
      <c r="NTU1" t="s">
        <v>11029</v>
      </c>
      <c r="NTV1" t="s">
        <v>11030</v>
      </c>
      <c r="NTW1" t="s">
        <v>11031</v>
      </c>
      <c r="NTX1" t="s">
        <v>11032</v>
      </c>
      <c r="NTY1" t="s">
        <v>11033</v>
      </c>
      <c r="NTZ1" t="s">
        <v>11034</v>
      </c>
      <c r="NUA1" t="s">
        <v>11035</v>
      </c>
      <c r="NUB1" t="s">
        <v>11036</v>
      </c>
      <c r="NUC1" t="s">
        <v>11037</v>
      </c>
      <c r="NUD1" t="s">
        <v>11038</v>
      </c>
      <c r="NUE1" t="s">
        <v>11039</v>
      </c>
      <c r="NUF1" t="s">
        <v>11040</v>
      </c>
      <c r="NUG1" t="s">
        <v>11041</v>
      </c>
      <c r="NUH1" t="s">
        <v>11042</v>
      </c>
      <c r="NUI1" t="s">
        <v>11043</v>
      </c>
      <c r="NUJ1" t="s">
        <v>11044</v>
      </c>
      <c r="NUK1" t="s">
        <v>11045</v>
      </c>
      <c r="NUL1" t="s">
        <v>11046</v>
      </c>
      <c r="NUM1" t="s">
        <v>11047</v>
      </c>
      <c r="NUN1" t="s">
        <v>11048</v>
      </c>
      <c r="NUO1" t="s">
        <v>11049</v>
      </c>
      <c r="NUP1" t="s">
        <v>11050</v>
      </c>
      <c r="NUQ1" t="s">
        <v>11051</v>
      </c>
      <c r="NUR1" t="s">
        <v>11052</v>
      </c>
      <c r="NUS1" t="s">
        <v>11053</v>
      </c>
      <c r="NUT1" t="s">
        <v>11054</v>
      </c>
      <c r="NUU1" t="s">
        <v>11055</v>
      </c>
      <c r="NUV1" t="s">
        <v>11056</v>
      </c>
      <c r="NUW1" t="s">
        <v>11057</v>
      </c>
      <c r="NUX1" t="s">
        <v>11058</v>
      </c>
      <c r="NUY1" t="s">
        <v>11059</v>
      </c>
      <c r="NUZ1" t="s">
        <v>11060</v>
      </c>
      <c r="NVA1" t="s">
        <v>11061</v>
      </c>
      <c r="NVB1" t="s">
        <v>11062</v>
      </c>
      <c r="NVC1" t="s">
        <v>11063</v>
      </c>
      <c r="NVD1" t="s">
        <v>11064</v>
      </c>
      <c r="NVE1" t="s">
        <v>11065</v>
      </c>
      <c r="NVF1" t="s">
        <v>11066</v>
      </c>
      <c r="NVG1" t="s">
        <v>11067</v>
      </c>
      <c r="NVH1" t="s">
        <v>11068</v>
      </c>
      <c r="NVI1" t="s">
        <v>11069</v>
      </c>
      <c r="NVJ1" t="s">
        <v>11070</v>
      </c>
      <c r="NVK1" t="s">
        <v>11071</v>
      </c>
      <c r="NVL1" t="s">
        <v>11072</v>
      </c>
      <c r="NVM1" t="s">
        <v>11073</v>
      </c>
      <c r="NVN1" t="s">
        <v>11074</v>
      </c>
      <c r="NVO1" t="s">
        <v>11075</v>
      </c>
      <c r="NVP1" t="s">
        <v>11076</v>
      </c>
      <c r="NVQ1" t="s">
        <v>11077</v>
      </c>
      <c r="NVR1" t="s">
        <v>11078</v>
      </c>
      <c r="NVS1" t="s">
        <v>11079</v>
      </c>
      <c r="NVT1" t="s">
        <v>11080</v>
      </c>
      <c r="NVU1" t="s">
        <v>11081</v>
      </c>
      <c r="NVV1" t="s">
        <v>11082</v>
      </c>
      <c r="NVW1" t="s">
        <v>11083</v>
      </c>
      <c r="NVX1" t="s">
        <v>11084</v>
      </c>
      <c r="NVY1" t="s">
        <v>11085</v>
      </c>
      <c r="NVZ1" t="s">
        <v>11086</v>
      </c>
      <c r="NWA1" t="s">
        <v>11087</v>
      </c>
      <c r="NWB1" t="s">
        <v>11088</v>
      </c>
      <c r="NWC1" t="s">
        <v>11089</v>
      </c>
      <c r="NWD1" t="s">
        <v>11090</v>
      </c>
      <c r="NWE1" t="s">
        <v>11091</v>
      </c>
      <c r="NWF1" t="s">
        <v>11092</v>
      </c>
      <c r="NWG1" t="s">
        <v>11093</v>
      </c>
      <c r="NWH1" t="s">
        <v>11094</v>
      </c>
      <c r="NWI1" t="s">
        <v>11095</v>
      </c>
      <c r="NWJ1" t="s">
        <v>11096</v>
      </c>
      <c r="NWK1" t="s">
        <v>11097</v>
      </c>
      <c r="NWL1" t="s">
        <v>11098</v>
      </c>
      <c r="NWM1" t="s">
        <v>11099</v>
      </c>
      <c r="NWN1" t="s">
        <v>11100</v>
      </c>
      <c r="NWO1" t="s">
        <v>11101</v>
      </c>
      <c r="NWP1" t="s">
        <v>11102</v>
      </c>
      <c r="NWQ1" t="s">
        <v>11103</v>
      </c>
      <c r="NWR1" t="s">
        <v>11104</v>
      </c>
      <c r="NWS1" t="s">
        <v>11105</v>
      </c>
      <c r="NWT1" t="s">
        <v>11106</v>
      </c>
      <c r="NWU1" t="s">
        <v>11107</v>
      </c>
      <c r="NWV1" t="s">
        <v>11108</v>
      </c>
      <c r="NWW1" t="s">
        <v>11109</v>
      </c>
      <c r="NWX1" t="s">
        <v>11110</v>
      </c>
      <c r="NWY1" t="s">
        <v>11111</v>
      </c>
      <c r="NWZ1" t="s">
        <v>11112</v>
      </c>
      <c r="NXA1" t="s">
        <v>11113</v>
      </c>
      <c r="NXB1" t="s">
        <v>11114</v>
      </c>
      <c r="NXC1" t="s">
        <v>11115</v>
      </c>
      <c r="NXD1" t="s">
        <v>11116</v>
      </c>
      <c r="NXE1" t="s">
        <v>11117</v>
      </c>
      <c r="NXF1" t="s">
        <v>11118</v>
      </c>
      <c r="NXG1" t="s">
        <v>11119</v>
      </c>
      <c r="NXH1" t="s">
        <v>11120</v>
      </c>
      <c r="NXI1" t="s">
        <v>11121</v>
      </c>
      <c r="NXJ1" t="s">
        <v>11122</v>
      </c>
      <c r="NXK1" t="s">
        <v>11123</v>
      </c>
      <c r="NXL1" t="s">
        <v>11124</v>
      </c>
      <c r="NXM1" t="s">
        <v>11125</v>
      </c>
      <c r="NXN1" t="s">
        <v>11126</v>
      </c>
      <c r="NXO1" t="s">
        <v>11127</v>
      </c>
      <c r="NXP1" t="s">
        <v>11128</v>
      </c>
      <c r="NXQ1" t="s">
        <v>11129</v>
      </c>
      <c r="NXR1" t="s">
        <v>11130</v>
      </c>
      <c r="NXS1" t="s">
        <v>11131</v>
      </c>
      <c r="NXT1" t="s">
        <v>11132</v>
      </c>
      <c r="NXU1" t="s">
        <v>11133</v>
      </c>
      <c r="NXV1" t="s">
        <v>11134</v>
      </c>
      <c r="NXW1" t="s">
        <v>11135</v>
      </c>
      <c r="NXX1" t="s">
        <v>11136</v>
      </c>
      <c r="NXY1" t="s">
        <v>11137</v>
      </c>
      <c r="NXZ1" t="s">
        <v>11138</v>
      </c>
      <c r="NYA1" t="s">
        <v>11139</v>
      </c>
      <c r="NYB1" t="s">
        <v>11140</v>
      </c>
      <c r="NYC1" t="s">
        <v>11141</v>
      </c>
      <c r="NYD1" t="s">
        <v>11142</v>
      </c>
      <c r="NYE1" t="s">
        <v>11143</v>
      </c>
      <c r="NYF1" t="s">
        <v>11144</v>
      </c>
      <c r="NYG1" t="s">
        <v>11145</v>
      </c>
      <c r="NYH1" t="s">
        <v>11146</v>
      </c>
      <c r="NYI1" t="s">
        <v>11147</v>
      </c>
      <c r="NYJ1" t="s">
        <v>11148</v>
      </c>
      <c r="NYK1" t="s">
        <v>11149</v>
      </c>
      <c r="NYL1" t="s">
        <v>11150</v>
      </c>
      <c r="NYM1" t="s">
        <v>11151</v>
      </c>
      <c r="NYN1" t="s">
        <v>11152</v>
      </c>
      <c r="NYO1" t="s">
        <v>11153</v>
      </c>
      <c r="NYP1" t="s">
        <v>11154</v>
      </c>
      <c r="NYQ1" t="s">
        <v>11155</v>
      </c>
      <c r="NYR1" t="s">
        <v>11156</v>
      </c>
      <c r="NYS1" t="s">
        <v>11157</v>
      </c>
      <c r="NYT1" t="s">
        <v>11158</v>
      </c>
      <c r="NYU1" t="s">
        <v>11159</v>
      </c>
      <c r="NYV1" t="s">
        <v>11160</v>
      </c>
      <c r="NYW1" t="s">
        <v>11161</v>
      </c>
      <c r="NYX1" t="s">
        <v>11162</v>
      </c>
      <c r="NYY1" t="s">
        <v>11163</v>
      </c>
      <c r="NYZ1" t="s">
        <v>11164</v>
      </c>
      <c r="NZA1" t="s">
        <v>11165</v>
      </c>
      <c r="NZB1" t="s">
        <v>11166</v>
      </c>
      <c r="NZC1" t="s">
        <v>11167</v>
      </c>
      <c r="NZD1" t="s">
        <v>11168</v>
      </c>
      <c r="NZE1" t="s">
        <v>11169</v>
      </c>
      <c r="NZF1" t="s">
        <v>11170</v>
      </c>
      <c r="NZG1" t="s">
        <v>11171</v>
      </c>
      <c r="NZH1" t="s">
        <v>11172</v>
      </c>
      <c r="NZI1" t="s">
        <v>11173</v>
      </c>
      <c r="NZJ1" t="s">
        <v>11174</v>
      </c>
      <c r="NZK1" t="s">
        <v>11175</v>
      </c>
      <c r="NZL1" t="s">
        <v>11176</v>
      </c>
      <c r="NZM1" t="s">
        <v>11177</v>
      </c>
      <c r="NZN1" t="s">
        <v>11178</v>
      </c>
      <c r="NZO1" t="s">
        <v>11179</v>
      </c>
      <c r="NZP1" t="s">
        <v>11180</v>
      </c>
      <c r="NZQ1" t="s">
        <v>11181</v>
      </c>
      <c r="NZR1" t="s">
        <v>11182</v>
      </c>
      <c r="NZS1" t="s">
        <v>11183</v>
      </c>
      <c r="NZT1" t="s">
        <v>11184</v>
      </c>
      <c r="NZU1" t="s">
        <v>11185</v>
      </c>
      <c r="NZV1" t="s">
        <v>11186</v>
      </c>
      <c r="NZW1" t="s">
        <v>11187</v>
      </c>
      <c r="NZX1" t="s">
        <v>11188</v>
      </c>
      <c r="NZY1" t="s">
        <v>11189</v>
      </c>
      <c r="NZZ1" t="s">
        <v>11190</v>
      </c>
      <c r="OAA1" t="s">
        <v>11191</v>
      </c>
      <c r="OAB1" t="s">
        <v>11192</v>
      </c>
      <c r="OAC1" t="s">
        <v>11193</v>
      </c>
      <c r="OAD1" t="s">
        <v>11194</v>
      </c>
      <c r="OAE1" t="s">
        <v>11195</v>
      </c>
      <c r="OAF1" t="s">
        <v>11196</v>
      </c>
      <c r="OAG1" t="s">
        <v>11197</v>
      </c>
      <c r="OAH1" t="s">
        <v>11198</v>
      </c>
      <c r="OAI1" t="s">
        <v>11199</v>
      </c>
      <c r="OAJ1" t="s">
        <v>11200</v>
      </c>
      <c r="OAK1" t="s">
        <v>11201</v>
      </c>
      <c r="OAL1" t="s">
        <v>11202</v>
      </c>
      <c r="OAM1" t="s">
        <v>11203</v>
      </c>
      <c r="OAN1" t="s">
        <v>11204</v>
      </c>
      <c r="OAO1" t="s">
        <v>11205</v>
      </c>
      <c r="OAP1" t="s">
        <v>11206</v>
      </c>
      <c r="OAQ1" t="s">
        <v>11207</v>
      </c>
      <c r="OAR1" t="s">
        <v>11208</v>
      </c>
      <c r="OAS1" t="s">
        <v>11209</v>
      </c>
      <c r="OAT1" t="s">
        <v>11210</v>
      </c>
      <c r="OAU1" t="s">
        <v>11211</v>
      </c>
      <c r="OAV1" t="s">
        <v>11212</v>
      </c>
      <c r="OAW1" t="s">
        <v>11213</v>
      </c>
      <c r="OAX1" t="s">
        <v>11214</v>
      </c>
      <c r="OAY1" t="s">
        <v>11215</v>
      </c>
      <c r="OAZ1" t="s">
        <v>11216</v>
      </c>
      <c r="OBA1" t="s">
        <v>11217</v>
      </c>
      <c r="OBB1" t="s">
        <v>11218</v>
      </c>
      <c r="OBC1" t="s">
        <v>11219</v>
      </c>
      <c r="OBD1" t="s">
        <v>11220</v>
      </c>
      <c r="OBE1" t="s">
        <v>11221</v>
      </c>
      <c r="OBF1" t="s">
        <v>11222</v>
      </c>
      <c r="OBG1" t="s">
        <v>11223</v>
      </c>
      <c r="OBH1" t="s">
        <v>11224</v>
      </c>
      <c r="OBI1" t="s">
        <v>11225</v>
      </c>
      <c r="OBJ1" t="s">
        <v>11226</v>
      </c>
      <c r="OBK1" t="s">
        <v>11227</v>
      </c>
      <c r="OBL1" t="s">
        <v>11228</v>
      </c>
      <c r="OBM1" t="s">
        <v>11229</v>
      </c>
      <c r="OBN1" t="s">
        <v>11230</v>
      </c>
      <c r="OBO1" t="s">
        <v>11231</v>
      </c>
      <c r="OBP1" t="s">
        <v>11232</v>
      </c>
      <c r="OBQ1" t="s">
        <v>11233</v>
      </c>
      <c r="OBR1" t="s">
        <v>11234</v>
      </c>
      <c r="OBS1" t="s">
        <v>11235</v>
      </c>
      <c r="OBT1" t="s">
        <v>11236</v>
      </c>
      <c r="OBU1" t="s">
        <v>11237</v>
      </c>
      <c r="OBV1" t="s">
        <v>11238</v>
      </c>
      <c r="OBW1" t="s">
        <v>11239</v>
      </c>
      <c r="OBX1" t="s">
        <v>11240</v>
      </c>
      <c r="OBY1" t="s">
        <v>11241</v>
      </c>
      <c r="OBZ1" t="s">
        <v>11242</v>
      </c>
      <c r="OCA1" t="s">
        <v>11243</v>
      </c>
      <c r="OCB1" t="s">
        <v>11244</v>
      </c>
      <c r="OCC1" t="s">
        <v>11245</v>
      </c>
      <c r="OCD1" t="s">
        <v>11246</v>
      </c>
      <c r="OCE1" t="s">
        <v>11247</v>
      </c>
      <c r="OCF1" t="s">
        <v>11248</v>
      </c>
      <c r="OCG1" t="s">
        <v>11249</v>
      </c>
      <c r="OCH1" t="s">
        <v>11250</v>
      </c>
      <c r="OCI1" t="s">
        <v>11251</v>
      </c>
      <c r="OCJ1" t="s">
        <v>11252</v>
      </c>
      <c r="OCK1" t="s">
        <v>11253</v>
      </c>
      <c r="OCL1" t="s">
        <v>11254</v>
      </c>
      <c r="OCM1" t="s">
        <v>11255</v>
      </c>
      <c r="OCN1" t="s">
        <v>11256</v>
      </c>
      <c r="OCO1" t="s">
        <v>11257</v>
      </c>
      <c r="OCP1" t="s">
        <v>11258</v>
      </c>
      <c r="OCQ1" t="s">
        <v>11259</v>
      </c>
      <c r="OCR1" t="s">
        <v>11260</v>
      </c>
      <c r="OCS1" t="s">
        <v>11261</v>
      </c>
      <c r="OCT1" t="s">
        <v>11262</v>
      </c>
      <c r="OCU1" t="s">
        <v>11263</v>
      </c>
      <c r="OCV1" t="s">
        <v>11264</v>
      </c>
      <c r="OCW1" t="s">
        <v>11265</v>
      </c>
      <c r="OCX1" t="s">
        <v>11266</v>
      </c>
      <c r="OCY1" t="s">
        <v>11267</v>
      </c>
      <c r="OCZ1" t="s">
        <v>11268</v>
      </c>
      <c r="ODA1" t="s">
        <v>11269</v>
      </c>
      <c r="ODB1" t="s">
        <v>11270</v>
      </c>
      <c r="ODC1" t="s">
        <v>11271</v>
      </c>
      <c r="ODD1" t="s">
        <v>11272</v>
      </c>
      <c r="ODE1" t="s">
        <v>11273</v>
      </c>
      <c r="ODF1" t="s">
        <v>11274</v>
      </c>
      <c r="ODG1" t="s">
        <v>11275</v>
      </c>
      <c r="ODH1" t="s">
        <v>11276</v>
      </c>
      <c r="ODI1" t="s">
        <v>11277</v>
      </c>
      <c r="ODJ1" t="s">
        <v>11278</v>
      </c>
      <c r="ODK1" t="s">
        <v>11279</v>
      </c>
      <c r="ODL1" t="s">
        <v>11280</v>
      </c>
      <c r="ODM1" t="s">
        <v>11281</v>
      </c>
      <c r="ODN1" t="s">
        <v>11282</v>
      </c>
      <c r="ODO1" t="s">
        <v>11283</v>
      </c>
      <c r="ODP1" t="s">
        <v>11284</v>
      </c>
      <c r="ODQ1" t="s">
        <v>11285</v>
      </c>
      <c r="ODR1" t="s">
        <v>11286</v>
      </c>
      <c r="ODS1" t="s">
        <v>11287</v>
      </c>
      <c r="ODT1" t="s">
        <v>11288</v>
      </c>
      <c r="ODU1" t="s">
        <v>11289</v>
      </c>
      <c r="ODV1" t="s">
        <v>11290</v>
      </c>
      <c r="ODW1" t="s">
        <v>11291</v>
      </c>
      <c r="ODX1" t="s">
        <v>11292</v>
      </c>
      <c r="ODY1" t="s">
        <v>11293</v>
      </c>
      <c r="ODZ1" t="s">
        <v>11294</v>
      </c>
      <c r="OEA1" t="s">
        <v>11295</v>
      </c>
      <c r="OEB1" t="s">
        <v>11296</v>
      </c>
      <c r="OEC1" t="s">
        <v>11297</v>
      </c>
      <c r="OED1" t="s">
        <v>11298</v>
      </c>
      <c r="OEE1" t="s">
        <v>11299</v>
      </c>
      <c r="OEF1" t="s">
        <v>11300</v>
      </c>
      <c r="OEG1" t="s">
        <v>11301</v>
      </c>
      <c r="OEH1" t="s">
        <v>11302</v>
      </c>
      <c r="OEI1" t="s">
        <v>11303</v>
      </c>
      <c r="OEJ1" t="s">
        <v>11304</v>
      </c>
      <c r="OEK1" t="s">
        <v>11305</v>
      </c>
      <c r="OEL1" t="s">
        <v>11306</v>
      </c>
      <c r="OEM1" t="s">
        <v>11307</v>
      </c>
      <c r="OEN1" t="s">
        <v>11308</v>
      </c>
      <c r="OEO1" t="s">
        <v>11309</v>
      </c>
      <c r="OEP1" t="s">
        <v>11310</v>
      </c>
      <c r="OEQ1" t="s">
        <v>11311</v>
      </c>
      <c r="OER1" t="s">
        <v>11312</v>
      </c>
      <c r="OES1" t="s">
        <v>11313</v>
      </c>
      <c r="OET1" t="s">
        <v>11314</v>
      </c>
      <c r="OEU1" t="s">
        <v>11315</v>
      </c>
      <c r="OEV1" t="s">
        <v>11316</v>
      </c>
      <c r="OEW1" t="s">
        <v>11317</v>
      </c>
      <c r="OEX1" t="s">
        <v>11318</v>
      </c>
      <c r="OEY1" t="s">
        <v>11319</v>
      </c>
      <c r="OEZ1" t="s">
        <v>11320</v>
      </c>
      <c r="OFA1" t="s">
        <v>11321</v>
      </c>
      <c r="OFB1" t="s">
        <v>11322</v>
      </c>
      <c r="OFC1" t="s">
        <v>11323</v>
      </c>
      <c r="OFD1" t="s">
        <v>11324</v>
      </c>
      <c r="OFE1" t="s">
        <v>11325</v>
      </c>
      <c r="OFF1" t="s">
        <v>11326</v>
      </c>
      <c r="OFG1" t="s">
        <v>11327</v>
      </c>
      <c r="OFH1" t="s">
        <v>11328</v>
      </c>
      <c r="OFI1" t="s">
        <v>11329</v>
      </c>
      <c r="OFJ1" t="s">
        <v>11330</v>
      </c>
      <c r="OFK1" t="s">
        <v>11331</v>
      </c>
      <c r="OFL1" t="s">
        <v>11332</v>
      </c>
      <c r="OFM1" t="s">
        <v>11333</v>
      </c>
      <c r="OFN1" t="s">
        <v>11334</v>
      </c>
      <c r="OFO1" t="s">
        <v>11335</v>
      </c>
      <c r="OFP1" t="s">
        <v>11336</v>
      </c>
      <c r="OFQ1" t="s">
        <v>11337</v>
      </c>
      <c r="OFR1" t="s">
        <v>11338</v>
      </c>
      <c r="OFS1" t="s">
        <v>11339</v>
      </c>
      <c r="OFT1" t="s">
        <v>11340</v>
      </c>
      <c r="OFU1" t="s">
        <v>11341</v>
      </c>
      <c r="OFV1" t="s">
        <v>11342</v>
      </c>
      <c r="OFW1" t="s">
        <v>11343</v>
      </c>
      <c r="OFX1" t="s">
        <v>11344</v>
      </c>
      <c r="OFY1" t="s">
        <v>11345</v>
      </c>
      <c r="OFZ1" t="s">
        <v>11346</v>
      </c>
      <c r="OGA1" t="s">
        <v>11347</v>
      </c>
      <c r="OGB1" t="s">
        <v>11348</v>
      </c>
      <c r="OGC1" t="s">
        <v>11349</v>
      </c>
      <c r="OGD1" t="s">
        <v>11350</v>
      </c>
      <c r="OGE1" t="s">
        <v>11351</v>
      </c>
      <c r="OGF1" t="s">
        <v>11352</v>
      </c>
      <c r="OGG1" t="s">
        <v>11353</v>
      </c>
      <c r="OGH1" t="s">
        <v>11354</v>
      </c>
      <c r="OGI1" t="s">
        <v>11355</v>
      </c>
      <c r="OGJ1" t="s">
        <v>11356</v>
      </c>
      <c r="OGK1" t="s">
        <v>11357</v>
      </c>
      <c r="OGL1" t="s">
        <v>11358</v>
      </c>
      <c r="OGM1" t="s">
        <v>11359</v>
      </c>
      <c r="OGN1" t="s">
        <v>11360</v>
      </c>
      <c r="OGO1" t="s">
        <v>11361</v>
      </c>
      <c r="OGP1" t="s">
        <v>11362</v>
      </c>
      <c r="OGQ1" t="s">
        <v>11363</v>
      </c>
      <c r="OGR1" t="s">
        <v>11364</v>
      </c>
      <c r="OGS1" t="s">
        <v>11365</v>
      </c>
      <c r="OGT1" t="s">
        <v>11366</v>
      </c>
      <c r="OGU1" t="s">
        <v>11367</v>
      </c>
      <c r="OGV1" t="s">
        <v>11368</v>
      </c>
      <c r="OGW1" t="s">
        <v>11369</v>
      </c>
      <c r="OGX1" t="s">
        <v>11370</v>
      </c>
      <c r="OGY1" t="s">
        <v>11371</v>
      </c>
      <c r="OGZ1" t="s">
        <v>11372</v>
      </c>
      <c r="OHA1" t="s">
        <v>11373</v>
      </c>
      <c r="OHB1" t="s">
        <v>11374</v>
      </c>
      <c r="OHC1" t="s">
        <v>11375</v>
      </c>
      <c r="OHD1" t="s">
        <v>11376</v>
      </c>
      <c r="OHE1" t="s">
        <v>11377</v>
      </c>
      <c r="OHF1" t="s">
        <v>11378</v>
      </c>
      <c r="OHG1" t="s">
        <v>11379</v>
      </c>
      <c r="OHH1" t="s">
        <v>11380</v>
      </c>
      <c r="OHI1" t="s">
        <v>11381</v>
      </c>
      <c r="OHJ1" t="s">
        <v>11382</v>
      </c>
      <c r="OHK1" t="s">
        <v>11383</v>
      </c>
      <c r="OHL1" t="s">
        <v>11384</v>
      </c>
      <c r="OHM1" t="s">
        <v>11385</v>
      </c>
      <c r="OHN1" t="s">
        <v>11386</v>
      </c>
      <c r="OHO1" t="s">
        <v>11387</v>
      </c>
      <c r="OHP1" t="s">
        <v>11388</v>
      </c>
      <c r="OHQ1" t="s">
        <v>11389</v>
      </c>
      <c r="OHR1" t="s">
        <v>11390</v>
      </c>
      <c r="OHS1" t="s">
        <v>11391</v>
      </c>
      <c r="OHT1" t="s">
        <v>11392</v>
      </c>
      <c r="OHU1" t="s">
        <v>11393</v>
      </c>
      <c r="OHV1" t="s">
        <v>11394</v>
      </c>
      <c r="OHW1" t="s">
        <v>11395</v>
      </c>
      <c r="OHX1" t="s">
        <v>11396</v>
      </c>
      <c r="OHY1" t="s">
        <v>11397</v>
      </c>
      <c r="OHZ1" t="s">
        <v>11398</v>
      </c>
      <c r="OIA1" t="s">
        <v>11399</v>
      </c>
      <c r="OIB1" t="s">
        <v>11400</v>
      </c>
      <c r="OIC1" t="s">
        <v>11401</v>
      </c>
      <c r="OID1" t="s">
        <v>11402</v>
      </c>
      <c r="OIE1" t="s">
        <v>11403</v>
      </c>
      <c r="OIF1" t="s">
        <v>11404</v>
      </c>
      <c r="OIG1" t="s">
        <v>11405</v>
      </c>
      <c r="OIH1" t="s">
        <v>11406</v>
      </c>
      <c r="OII1" t="s">
        <v>11407</v>
      </c>
      <c r="OIJ1" t="s">
        <v>11408</v>
      </c>
      <c r="OIK1" t="s">
        <v>11409</v>
      </c>
      <c r="OIL1" t="s">
        <v>11410</v>
      </c>
      <c r="OIM1" t="s">
        <v>11411</v>
      </c>
      <c r="OIN1" t="s">
        <v>11412</v>
      </c>
      <c r="OIO1" t="s">
        <v>11413</v>
      </c>
      <c r="OIP1" t="s">
        <v>11414</v>
      </c>
      <c r="OIQ1" t="s">
        <v>11415</v>
      </c>
      <c r="OIR1" t="s">
        <v>11416</v>
      </c>
      <c r="OIS1" t="s">
        <v>11417</v>
      </c>
      <c r="OIT1" t="s">
        <v>11418</v>
      </c>
      <c r="OIU1" t="s">
        <v>11419</v>
      </c>
      <c r="OIV1" t="s">
        <v>11420</v>
      </c>
      <c r="OIW1" t="s">
        <v>11421</v>
      </c>
      <c r="OIX1" t="s">
        <v>11422</v>
      </c>
      <c r="OIY1" t="s">
        <v>11423</v>
      </c>
      <c r="OIZ1" t="s">
        <v>11424</v>
      </c>
      <c r="OJA1" t="s">
        <v>11425</v>
      </c>
      <c r="OJB1" t="s">
        <v>11426</v>
      </c>
      <c r="OJC1" t="s">
        <v>11427</v>
      </c>
      <c r="OJD1" t="s">
        <v>11428</v>
      </c>
      <c r="OJE1" t="s">
        <v>11429</v>
      </c>
      <c r="OJF1" t="s">
        <v>11430</v>
      </c>
      <c r="OJG1" t="s">
        <v>11431</v>
      </c>
      <c r="OJH1" t="s">
        <v>11432</v>
      </c>
      <c r="OJI1" t="s">
        <v>11433</v>
      </c>
      <c r="OJJ1" t="s">
        <v>11434</v>
      </c>
      <c r="OJK1" t="s">
        <v>11435</v>
      </c>
      <c r="OJL1" t="s">
        <v>11436</v>
      </c>
      <c r="OJM1" t="s">
        <v>11437</v>
      </c>
      <c r="OJN1" t="s">
        <v>11438</v>
      </c>
      <c r="OJO1" t="s">
        <v>11439</v>
      </c>
      <c r="OJP1" t="s">
        <v>11440</v>
      </c>
      <c r="OJQ1" t="s">
        <v>11441</v>
      </c>
      <c r="OJR1" t="s">
        <v>11442</v>
      </c>
      <c r="OJS1" t="s">
        <v>11443</v>
      </c>
      <c r="OJT1" t="s">
        <v>11444</v>
      </c>
      <c r="OJU1" t="s">
        <v>11445</v>
      </c>
      <c r="OJV1" t="s">
        <v>11446</v>
      </c>
      <c r="OJW1" t="s">
        <v>11447</v>
      </c>
      <c r="OJX1" t="s">
        <v>11448</v>
      </c>
      <c r="OJY1" t="s">
        <v>11449</v>
      </c>
      <c r="OJZ1" t="s">
        <v>11450</v>
      </c>
      <c r="OKA1" t="s">
        <v>11451</v>
      </c>
      <c r="OKB1" t="s">
        <v>11452</v>
      </c>
      <c r="OKC1" t="s">
        <v>11453</v>
      </c>
      <c r="OKD1" t="s">
        <v>11454</v>
      </c>
      <c r="OKE1" t="s">
        <v>11455</v>
      </c>
      <c r="OKF1" t="s">
        <v>11456</v>
      </c>
      <c r="OKG1" t="s">
        <v>11457</v>
      </c>
      <c r="OKH1" t="s">
        <v>11458</v>
      </c>
      <c r="OKI1" t="s">
        <v>11459</v>
      </c>
      <c r="OKJ1" t="s">
        <v>11460</v>
      </c>
      <c r="OKK1" t="s">
        <v>11461</v>
      </c>
      <c r="OKL1" t="s">
        <v>11462</v>
      </c>
      <c r="OKM1" t="s">
        <v>11463</v>
      </c>
      <c r="OKN1" t="s">
        <v>11464</v>
      </c>
      <c r="OKO1" t="s">
        <v>11465</v>
      </c>
      <c r="OKP1" t="s">
        <v>11466</v>
      </c>
      <c r="OKQ1" t="s">
        <v>11467</v>
      </c>
      <c r="OKR1" t="s">
        <v>11468</v>
      </c>
      <c r="OKS1" t="s">
        <v>11469</v>
      </c>
      <c r="OKT1" t="s">
        <v>11470</v>
      </c>
      <c r="OKU1" t="s">
        <v>11471</v>
      </c>
      <c r="OKV1" t="s">
        <v>11472</v>
      </c>
      <c r="OKW1" t="s">
        <v>11473</v>
      </c>
      <c r="OKX1" t="s">
        <v>11474</v>
      </c>
      <c r="OKY1" t="s">
        <v>11475</v>
      </c>
      <c r="OKZ1" t="s">
        <v>11476</v>
      </c>
      <c r="OLA1" t="s">
        <v>11477</v>
      </c>
      <c r="OLB1" t="s">
        <v>11478</v>
      </c>
      <c r="OLC1" t="s">
        <v>11479</v>
      </c>
      <c r="OLD1" t="s">
        <v>11480</v>
      </c>
      <c r="OLE1" t="s">
        <v>11481</v>
      </c>
      <c r="OLF1" t="s">
        <v>11482</v>
      </c>
      <c r="OLG1" t="s">
        <v>11483</v>
      </c>
      <c r="OLH1" t="s">
        <v>11484</v>
      </c>
      <c r="OLI1" t="s">
        <v>11485</v>
      </c>
      <c r="OLJ1" t="s">
        <v>11486</v>
      </c>
      <c r="OLK1" t="s">
        <v>11487</v>
      </c>
      <c r="OLL1" t="s">
        <v>11488</v>
      </c>
      <c r="OLM1" t="s">
        <v>11489</v>
      </c>
      <c r="OLN1" t="s">
        <v>11490</v>
      </c>
      <c r="OLO1" t="s">
        <v>11491</v>
      </c>
      <c r="OLP1" t="s">
        <v>11492</v>
      </c>
      <c r="OLQ1" t="s">
        <v>11493</v>
      </c>
      <c r="OLR1" t="s">
        <v>11494</v>
      </c>
      <c r="OLS1" t="s">
        <v>11495</v>
      </c>
      <c r="OLT1" t="s">
        <v>11496</v>
      </c>
      <c r="OLU1" t="s">
        <v>11497</v>
      </c>
      <c r="OLV1" t="s">
        <v>11498</v>
      </c>
      <c r="OLW1" t="s">
        <v>11499</v>
      </c>
      <c r="OLX1" t="s">
        <v>11500</v>
      </c>
      <c r="OLY1" t="s">
        <v>11501</v>
      </c>
      <c r="OLZ1" t="s">
        <v>11502</v>
      </c>
      <c r="OMA1" t="s">
        <v>11503</v>
      </c>
      <c r="OMB1" t="s">
        <v>11504</v>
      </c>
      <c r="OMC1" t="s">
        <v>11505</v>
      </c>
      <c r="OMD1" t="s">
        <v>11506</v>
      </c>
      <c r="OME1" t="s">
        <v>11507</v>
      </c>
      <c r="OMF1" t="s">
        <v>11508</v>
      </c>
      <c r="OMG1" t="s">
        <v>11509</v>
      </c>
      <c r="OMH1" t="s">
        <v>11510</v>
      </c>
      <c r="OMI1" t="s">
        <v>11511</v>
      </c>
      <c r="OMJ1" t="s">
        <v>11512</v>
      </c>
      <c r="OMK1" t="s">
        <v>11513</v>
      </c>
      <c r="OML1" t="s">
        <v>11514</v>
      </c>
      <c r="OMM1" t="s">
        <v>11515</v>
      </c>
      <c r="OMN1" t="s">
        <v>11516</v>
      </c>
      <c r="OMO1" t="s">
        <v>11517</v>
      </c>
      <c r="OMP1" t="s">
        <v>11518</v>
      </c>
      <c r="OMQ1" t="s">
        <v>11519</v>
      </c>
      <c r="OMR1" t="s">
        <v>11520</v>
      </c>
      <c r="OMS1" t="s">
        <v>11521</v>
      </c>
      <c r="OMT1" t="s">
        <v>11522</v>
      </c>
      <c r="OMU1" t="s">
        <v>11523</v>
      </c>
      <c r="OMV1" t="s">
        <v>11524</v>
      </c>
      <c r="OMW1" t="s">
        <v>11525</v>
      </c>
      <c r="OMX1" t="s">
        <v>11526</v>
      </c>
      <c r="OMY1" t="s">
        <v>11527</v>
      </c>
      <c r="OMZ1" t="s">
        <v>11528</v>
      </c>
      <c r="ONA1" t="s">
        <v>11529</v>
      </c>
      <c r="ONB1" t="s">
        <v>11530</v>
      </c>
      <c r="ONC1" t="s">
        <v>11531</v>
      </c>
      <c r="OND1" t="s">
        <v>11532</v>
      </c>
      <c r="ONE1" t="s">
        <v>11533</v>
      </c>
      <c r="ONF1" t="s">
        <v>11534</v>
      </c>
      <c r="ONG1" t="s">
        <v>11535</v>
      </c>
      <c r="ONH1" t="s">
        <v>11536</v>
      </c>
      <c r="ONI1" t="s">
        <v>11537</v>
      </c>
      <c r="ONJ1" t="s">
        <v>11538</v>
      </c>
      <c r="ONK1" t="s">
        <v>11539</v>
      </c>
      <c r="ONL1" t="s">
        <v>11540</v>
      </c>
      <c r="ONM1" t="s">
        <v>11541</v>
      </c>
      <c r="ONN1" t="s">
        <v>11542</v>
      </c>
      <c r="ONO1" t="s">
        <v>11543</v>
      </c>
      <c r="ONP1" t="s">
        <v>11544</v>
      </c>
      <c r="ONQ1" t="s">
        <v>11545</v>
      </c>
      <c r="ONR1" t="s">
        <v>11546</v>
      </c>
      <c r="ONS1" t="s">
        <v>11547</v>
      </c>
      <c r="ONT1" t="s">
        <v>11548</v>
      </c>
      <c r="ONU1" t="s">
        <v>11549</v>
      </c>
      <c r="ONV1" t="s">
        <v>11550</v>
      </c>
      <c r="ONW1" t="s">
        <v>11551</v>
      </c>
      <c r="ONX1" t="s">
        <v>11552</v>
      </c>
      <c r="ONY1" t="s">
        <v>11553</v>
      </c>
      <c r="ONZ1" t="s">
        <v>11554</v>
      </c>
      <c r="OOA1" t="s">
        <v>11555</v>
      </c>
      <c r="OOB1" t="s">
        <v>11556</v>
      </c>
      <c r="OOC1" t="s">
        <v>11557</v>
      </c>
      <c r="OOD1" t="s">
        <v>11558</v>
      </c>
      <c r="OOE1" t="s">
        <v>11559</v>
      </c>
      <c r="OOF1" t="s">
        <v>11560</v>
      </c>
      <c r="OOG1" t="s">
        <v>11561</v>
      </c>
      <c r="OOH1" t="s">
        <v>11562</v>
      </c>
      <c r="OOI1" t="s">
        <v>11563</v>
      </c>
      <c r="OOJ1" t="s">
        <v>11564</v>
      </c>
      <c r="OOK1" t="s">
        <v>11565</v>
      </c>
      <c r="OOL1" t="s">
        <v>11566</v>
      </c>
      <c r="OOM1" t="s">
        <v>11567</v>
      </c>
      <c r="OON1" t="s">
        <v>11568</v>
      </c>
      <c r="OOO1" t="s">
        <v>11569</v>
      </c>
      <c r="OOP1" t="s">
        <v>11570</v>
      </c>
      <c r="OOQ1" t="s">
        <v>11571</v>
      </c>
      <c r="OOR1" t="s">
        <v>11572</v>
      </c>
      <c r="OOS1" t="s">
        <v>11573</v>
      </c>
      <c r="OOT1" t="s">
        <v>11574</v>
      </c>
      <c r="OOU1" t="s">
        <v>11575</v>
      </c>
      <c r="OOV1" t="s">
        <v>11576</v>
      </c>
      <c r="OOW1" t="s">
        <v>11577</v>
      </c>
      <c r="OOX1" t="s">
        <v>11578</v>
      </c>
      <c r="OOY1" t="s">
        <v>11579</v>
      </c>
      <c r="OOZ1" t="s">
        <v>11580</v>
      </c>
      <c r="OPA1" t="s">
        <v>11581</v>
      </c>
      <c r="OPB1" t="s">
        <v>11582</v>
      </c>
      <c r="OPC1" t="s">
        <v>11583</v>
      </c>
      <c r="OPD1" t="s">
        <v>11584</v>
      </c>
      <c r="OPE1" t="s">
        <v>11585</v>
      </c>
      <c r="OPF1" t="s">
        <v>11586</v>
      </c>
      <c r="OPG1" t="s">
        <v>11587</v>
      </c>
      <c r="OPH1" t="s">
        <v>11588</v>
      </c>
      <c r="OPI1" t="s">
        <v>11589</v>
      </c>
      <c r="OPJ1" t="s">
        <v>11590</v>
      </c>
      <c r="OPK1" t="s">
        <v>11591</v>
      </c>
      <c r="OPL1" t="s">
        <v>11592</v>
      </c>
      <c r="OPM1" t="s">
        <v>11593</v>
      </c>
      <c r="OPN1" t="s">
        <v>11594</v>
      </c>
      <c r="OPO1" t="s">
        <v>11595</v>
      </c>
      <c r="OPP1" t="s">
        <v>11596</v>
      </c>
      <c r="OPQ1" t="s">
        <v>11597</v>
      </c>
      <c r="OPR1" t="s">
        <v>11598</v>
      </c>
      <c r="OPS1" t="s">
        <v>11599</v>
      </c>
      <c r="OPT1" t="s">
        <v>11600</v>
      </c>
      <c r="OPU1" t="s">
        <v>11601</v>
      </c>
      <c r="OPV1" t="s">
        <v>11602</v>
      </c>
      <c r="OPW1" t="s">
        <v>11603</v>
      </c>
      <c r="OPX1" t="s">
        <v>11604</v>
      </c>
      <c r="OPY1" t="s">
        <v>11605</v>
      </c>
      <c r="OPZ1" t="s">
        <v>11606</v>
      </c>
      <c r="OQA1" t="s">
        <v>11607</v>
      </c>
      <c r="OQB1" t="s">
        <v>11608</v>
      </c>
      <c r="OQC1" t="s">
        <v>11609</v>
      </c>
      <c r="OQD1" t="s">
        <v>11610</v>
      </c>
      <c r="OQE1" t="s">
        <v>11611</v>
      </c>
      <c r="OQF1" t="s">
        <v>11612</v>
      </c>
      <c r="OQG1" t="s">
        <v>11613</v>
      </c>
      <c r="OQH1" t="s">
        <v>11614</v>
      </c>
      <c r="OQI1" t="s">
        <v>11615</v>
      </c>
      <c r="OQJ1" t="s">
        <v>11616</v>
      </c>
      <c r="OQK1" t="s">
        <v>11617</v>
      </c>
      <c r="OQL1" t="s">
        <v>11618</v>
      </c>
      <c r="OQM1" t="s">
        <v>11619</v>
      </c>
      <c r="OQN1" t="s">
        <v>11620</v>
      </c>
      <c r="OQO1" t="s">
        <v>11621</v>
      </c>
      <c r="OQP1" t="s">
        <v>11622</v>
      </c>
      <c r="OQQ1" t="s">
        <v>11623</v>
      </c>
      <c r="OQR1" t="s">
        <v>11624</v>
      </c>
      <c r="OQS1" t="s">
        <v>11625</v>
      </c>
      <c r="OQT1" t="s">
        <v>11626</v>
      </c>
      <c r="OQU1" t="s">
        <v>11627</v>
      </c>
      <c r="OQV1" t="s">
        <v>11628</v>
      </c>
      <c r="OQW1" t="s">
        <v>11629</v>
      </c>
      <c r="OQX1" t="s">
        <v>11630</v>
      </c>
      <c r="OQY1" t="s">
        <v>11631</v>
      </c>
      <c r="OQZ1" t="s">
        <v>11632</v>
      </c>
      <c r="ORA1" t="s">
        <v>11633</v>
      </c>
      <c r="ORB1" t="s">
        <v>11634</v>
      </c>
      <c r="ORC1" t="s">
        <v>11635</v>
      </c>
      <c r="ORD1" t="s">
        <v>11636</v>
      </c>
      <c r="ORE1" t="s">
        <v>11637</v>
      </c>
      <c r="ORF1" t="s">
        <v>11638</v>
      </c>
      <c r="ORG1" t="s">
        <v>11639</v>
      </c>
      <c r="ORH1" t="s">
        <v>11640</v>
      </c>
      <c r="ORI1" t="s">
        <v>11641</v>
      </c>
      <c r="ORJ1" t="s">
        <v>11642</v>
      </c>
      <c r="ORK1" t="s">
        <v>11643</v>
      </c>
      <c r="ORL1" t="s">
        <v>11644</v>
      </c>
      <c r="ORM1" t="s">
        <v>11645</v>
      </c>
      <c r="ORN1" t="s">
        <v>11646</v>
      </c>
      <c r="ORO1" t="s">
        <v>11647</v>
      </c>
      <c r="ORP1" t="s">
        <v>11648</v>
      </c>
      <c r="ORQ1" t="s">
        <v>11649</v>
      </c>
      <c r="ORR1" t="s">
        <v>11650</v>
      </c>
      <c r="ORS1" t="s">
        <v>11651</v>
      </c>
      <c r="ORT1" t="s">
        <v>11652</v>
      </c>
      <c r="ORU1" t="s">
        <v>11653</v>
      </c>
      <c r="ORV1" t="s">
        <v>11654</v>
      </c>
      <c r="ORW1" t="s">
        <v>11655</v>
      </c>
      <c r="ORX1" t="s">
        <v>11656</v>
      </c>
      <c r="ORY1" t="s">
        <v>11657</v>
      </c>
      <c r="ORZ1" t="s">
        <v>11658</v>
      </c>
      <c r="OSA1" t="s">
        <v>11659</v>
      </c>
      <c r="OSB1" t="s">
        <v>11660</v>
      </c>
      <c r="OSC1" t="s">
        <v>11661</v>
      </c>
      <c r="OSD1" t="s">
        <v>11662</v>
      </c>
      <c r="OSE1" t="s">
        <v>11663</v>
      </c>
      <c r="OSF1" t="s">
        <v>11664</v>
      </c>
      <c r="OSG1" t="s">
        <v>11665</v>
      </c>
      <c r="OSH1" t="s">
        <v>11666</v>
      </c>
      <c r="OSI1" t="s">
        <v>11667</v>
      </c>
      <c r="OSJ1" t="s">
        <v>11668</v>
      </c>
      <c r="OSK1" t="s">
        <v>11669</v>
      </c>
      <c r="OSL1" t="s">
        <v>11670</v>
      </c>
      <c r="OSM1" t="s">
        <v>11671</v>
      </c>
      <c r="OSN1" t="s">
        <v>11672</v>
      </c>
      <c r="OSO1" t="s">
        <v>11673</v>
      </c>
      <c r="OSP1" t="s">
        <v>11674</v>
      </c>
      <c r="OSQ1" t="s">
        <v>11675</v>
      </c>
      <c r="OSR1" t="s">
        <v>11676</v>
      </c>
      <c r="OSS1" t="s">
        <v>11677</v>
      </c>
      <c r="OST1" t="s">
        <v>11678</v>
      </c>
      <c r="OSU1" t="s">
        <v>11679</v>
      </c>
      <c r="OSV1" t="s">
        <v>11680</v>
      </c>
      <c r="OSW1" t="s">
        <v>11681</v>
      </c>
      <c r="OSX1" t="s">
        <v>11682</v>
      </c>
      <c r="OSY1" t="s">
        <v>11683</v>
      </c>
      <c r="OSZ1" t="s">
        <v>11684</v>
      </c>
      <c r="OTA1" t="s">
        <v>11685</v>
      </c>
      <c r="OTB1" t="s">
        <v>11686</v>
      </c>
      <c r="OTC1" t="s">
        <v>11687</v>
      </c>
      <c r="OTD1" t="s">
        <v>11688</v>
      </c>
      <c r="OTE1" t="s">
        <v>11689</v>
      </c>
      <c r="OTF1" t="s">
        <v>11690</v>
      </c>
      <c r="OTG1" t="s">
        <v>11691</v>
      </c>
      <c r="OTH1" t="s">
        <v>11692</v>
      </c>
      <c r="OTI1" t="s">
        <v>11693</v>
      </c>
      <c r="OTJ1" t="s">
        <v>11694</v>
      </c>
      <c r="OTK1" t="s">
        <v>11695</v>
      </c>
      <c r="OTL1" t="s">
        <v>11696</v>
      </c>
      <c r="OTM1" t="s">
        <v>11697</v>
      </c>
      <c r="OTN1" t="s">
        <v>11698</v>
      </c>
      <c r="OTO1" t="s">
        <v>11699</v>
      </c>
      <c r="OTP1" t="s">
        <v>11700</v>
      </c>
      <c r="OTQ1" t="s">
        <v>11701</v>
      </c>
      <c r="OTR1" t="s">
        <v>11702</v>
      </c>
      <c r="OTS1" t="s">
        <v>11703</v>
      </c>
      <c r="OTT1" t="s">
        <v>11704</v>
      </c>
      <c r="OTU1" t="s">
        <v>11705</v>
      </c>
      <c r="OTV1" t="s">
        <v>11706</v>
      </c>
      <c r="OTW1" t="s">
        <v>11707</v>
      </c>
      <c r="OTX1" t="s">
        <v>11708</v>
      </c>
      <c r="OTY1" t="s">
        <v>11709</v>
      </c>
      <c r="OTZ1" t="s">
        <v>11710</v>
      </c>
      <c r="OUA1" t="s">
        <v>11711</v>
      </c>
      <c r="OUB1" t="s">
        <v>11712</v>
      </c>
      <c r="OUC1" t="s">
        <v>11713</v>
      </c>
      <c r="OUD1" t="s">
        <v>11714</v>
      </c>
      <c r="OUE1" t="s">
        <v>11715</v>
      </c>
      <c r="OUF1" t="s">
        <v>11716</v>
      </c>
      <c r="OUG1" t="s">
        <v>11717</v>
      </c>
      <c r="OUH1" t="s">
        <v>11718</v>
      </c>
      <c r="OUI1" t="s">
        <v>11719</v>
      </c>
      <c r="OUJ1" t="s">
        <v>11720</v>
      </c>
      <c r="OUK1" t="s">
        <v>11721</v>
      </c>
      <c r="OUL1" t="s">
        <v>11722</v>
      </c>
      <c r="OUM1" t="s">
        <v>11723</v>
      </c>
      <c r="OUN1" t="s">
        <v>11724</v>
      </c>
      <c r="OUO1" t="s">
        <v>11725</v>
      </c>
      <c r="OUP1" t="s">
        <v>11726</v>
      </c>
      <c r="OUQ1" t="s">
        <v>11727</v>
      </c>
      <c r="OUR1" t="s">
        <v>11728</v>
      </c>
      <c r="OUS1" t="s">
        <v>11729</v>
      </c>
      <c r="OUT1" t="s">
        <v>11730</v>
      </c>
      <c r="OUU1" t="s">
        <v>11731</v>
      </c>
      <c r="OUV1" t="s">
        <v>11732</v>
      </c>
      <c r="OUW1" t="s">
        <v>11733</v>
      </c>
      <c r="OUX1" t="s">
        <v>11734</v>
      </c>
      <c r="OUY1" t="s">
        <v>11735</v>
      </c>
      <c r="OUZ1" t="s">
        <v>11736</v>
      </c>
      <c r="OVA1" t="s">
        <v>11737</v>
      </c>
      <c r="OVB1" t="s">
        <v>11738</v>
      </c>
      <c r="OVC1" t="s">
        <v>11739</v>
      </c>
      <c r="OVD1" t="s">
        <v>11740</v>
      </c>
      <c r="OVE1" t="s">
        <v>11741</v>
      </c>
      <c r="OVF1" t="s">
        <v>11742</v>
      </c>
      <c r="OVG1" t="s">
        <v>11743</v>
      </c>
      <c r="OVH1" t="s">
        <v>11744</v>
      </c>
      <c r="OVI1" t="s">
        <v>11745</v>
      </c>
      <c r="OVJ1" t="s">
        <v>11746</v>
      </c>
      <c r="OVK1" t="s">
        <v>11747</v>
      </c>
      <c r="OVL1" t="s">
        <v>11748</v>
      </c>
      <c r="OVM1" t="s">
        <v>11749</v>
      </c>
      <c r="OVN1" t="s">
        <v>11750</v>
      </c>
      <c r="OVO1" t="s">
        <v>11751</v>
      </c>
      <c r="OVP1" t="s">
        <v>11752</v>
      </c>
      <c r="OVQ1" t="s">
        <v>11753</v>
      </c>
      <c r="OVR1" t="s">
        <v>11754</v>
      </c>
      <c r="OVS1" t="s">
        <v>11755</v>
      </c>
      <c r="OVT1" t="s">
        <v>11756</v>
      </c>
      <c r="OVU1" t="s">
        <v>11757</v>
      </c>
      <c r="OVV1" t="s">
        <v>11758</v>
      </c>
      <c r="OVW1" t="s">
        <v>11759</v>
      </c>
      <c r="OVX1" t="s">
        <v>11760</v>
      </c>
      <c r="OVY1" t="s">
        <v>11761</v>
      </c>
      <c r="OVZ1" t="s">
        <v>11762</v>
      </c>
      <c r="OWA1" t="s">
        <v>11763</v>
      </c>
      <c r="OWB1" t="s">
        <v>11764</v>
      </c>
      <c r="OWC1" t="s">
        <v>11765</v>
      </c>
      <c r="OWD1" t="s">
        <v>11766</v>
      </c>
      <c r="OWE1" t="s">
        <v>11767</v>
      </c>
      <c r="OWF1" t="s">
        <v>11768</v>
      </c>
      <c r="OWG1" t="s">
        <v>11769</v>
      </c>
      <c r="OWH1" t="s">
        <v>11770</v>
      </c>
      <c r="OWI1" t="s">
        <v>11771</v>
      </c>
      <c r="OWJ1" t="s">
        <v>11772</v>
      </c>
      <c r="OWK1" t="s">
        <v>11773</v>
      </c>
      <c r="OWL1" t="s">
        <v>11774</v>
      </c>
      <c r="OWM1" t="s">
        <v>11775</v>
      </c>
      <c r="OWN1" t="s">
        <v>11776</v>
      </c>
      <c r="OWO1" t="s">
        <v>11777</v>
      </c>
      <c r="OWP1" t="s">
        <v>11778</v>
      </c>
      <c r="OWQ1" t="s">
        <v>11779</v>
      </c>
      <c r="OWR1" t="s">
        <v>11780</v>
      </c>
      <c r="OWS1" t="s">
        <v>11781</v>
      </c>
      <c r="OWT1" t="s">
        <v>11782</v>
      </c>
      <c r="OWU1" t="s">
        <v>11783</v>
      </c>
      <c r="OWV1" t="s">
        <v>11784</v>
      </c>
      <c r="OWW1" t="s">
        <v>11785</v>
      </c>
      <c r="OWX1" t="s">
        <v>11786</v>
      </c>
      <c r="OWY1" t="s">
        <v>11787</v>
      </c>
      <c r="OWZ1" t="s">
        <v>11788</v>
      </c>
      <c r="OXA1" t="s">
        <v>11789</v>
      </c>
      <c r="OXB1" t="s">
        <v>11790</v>
      </c>
      <c r="OXC1" t="s">
        <v>11791</v>
      </c>
      <c r="OXD1" t="s">
        <v>11792</v>
      </c>
      <c r="OXE1" t="s">
        <v>11793</v>
      </c>
      <c r="OXF1" t="s">
        <v>11794</v>
      </c>
      <c r="OXG1" t="s">
        <v>11795</v>
      </c>
      <c r="OXH1" t="s">
        <v>11796</v>
      </c>
      <c r="OXI1" t="s">
        <v>11797</v>
      </c>
      <c r="OXJ1" t="s">
        <v>11798</v>
      </c>
      <c r="OXK1" t="s">
        <v>11799</v>
      </c>
      <c r="OXL1" t="s">
        <v>11800</v>
      </c>
      <c r="OXM1" t="s">
        <v>11801</v>
      </c>
      <c r="OXN1" t="s">
        <v>11802</v>
      </c>
      <c r="OXO1" t="s">
        <v>11803</v>
      </c>
      <c r="OXP1" t="s">
        <v>11804</v>
      </c>
      <c r="OXQ1" t="s">
        <v>11805</v>
      </c>
      <c r="OXR1" t="s">
        <v>11806</v>
      </c>
      <c r="OXS1" t="s">
        <v>11807</v>
      </c>
      <c r="OXT1" t="s">
        <v>11808</v>
      </c>
      <c r="OXU1" t="s">
        <v>11809</v>
      </c>
      <c r="OXV1" t="s">
        <v>11810</v>
      </c>
      <c r="OXW1" t="s">
        <v>11811</v>
      </c>
      <c r="OXX1" t="s">
        <v>11812</v>
      </c>
      <c r="OXY1" t="s">
        <v>11813</v>
      </c>
      <c r="OXZ1" t="s">
        <v>11814</v>
      </c>
      <c r="OYA1" t="s">
        <v>11815</v>
      </c>
      <c r="OYB1" t="s">
        <v>11816</v>
      </c>
      <c r="OYC1" t="s">
        <v>11817</v>
      </c>
      <c r="OYD1" t="s">
        <v>11818</v>
      </c>
      <c r="OYE1" t="s">
        <v>11819</v>
      </c>
      <c r="OYF1" t="s">
        <v>11820</v>
      </c>
      <c r="OYG1" t="s">
        <v>11821</v>
      </c>
      <c r="OYH1" t="s">
        <v>11822</v>
      </c>
      <c r="OYI1" t="s">
        <v>11823</v>
      </c>
      <c r="OYJ1" t="s">
        <v>11824</v>
      </c>
      <c r="OYK1" t="s">
        <v>11825</v>
      </c>
      <c r="OYL1" t="s">
        <v>11826</v>
      </c>
      <c r="OYM1" t="s">
        <v>11827</v>
      </c>
      <c r="OYN1" t="s">
        <v>11828</v>
      </c>
      <c r="OYO1" t="s">
        <v>11829</v>
      </c>
      <c r="OYP1" t="s">
        <v>11830</v>
      </c>
      <c r="OYQ1" t="s">
        <v>11831</v>
      </c>
      <c r="OYR1" t="s">
        <v>11832</v>
      </c>
      <c r="OYS1" t="s">
        <v>11833</v>
      </c>
      <c r="OYT1" t="s">
        <v>11834</v>
      </c>
      <c r="OYU1" t="s">
        <v>11835</v>
      </c>
      <c r="OYV1" t="s">
        <v>11836</v>
      </c>
      <c r="OYW1" t="s">
        <v>11837</v>
      </c>
      <c r="OYX1" t="s">
        <v>11838</v>
      </c>
      <c r="OYY1" t="s">
        <v>11839</v>
      </c>
      <c r="OYZ1" t="s">
        <v>11840</v>
      </c>
      <c r="OZA1" t="s">
        <v>11841</v>
      </c>
      <c r="OZB1" t="s">
        <v>11842</v>
      </c>
      <c r="OZC1" t="s">
        <v>11843</v>
      </c>
      <c r="OZD1" t="s">
        <v>11844</v>
      </c>
      <c r="OZE1" t="s">
        <v>11845</v>
      </c>
      <c r="OZF1" t="s">
        <v>11846</v>
      </c>
      <c r="OZG1" t="s">
        <v>11847</v>
      </c>
      <c r="OZH1" t="s">
        <v>11848</v>
      </c>
      <c r="OZI1" t="s">
        <v>11849</v>
      </c>
      <c r="OZJ1" t="s">
        <v>11850</v>
      </c>
      <c r="OZK1" t="s">
        <v>11851</v>
      </c>
      <c r="OZL1" t="s">
        <v>11852</v>
      </c>
      <c r="OZM1" t="s">
        <v>11853</v>
      </c>
      <c r="OZN1" t="s">
        <v>11854</v>
      </c>
      <c r="OZO1" t="s">
        <v>11855</v>
      </c>
      <c r="OZP1" t="s">
        <v>11856</v>
      </c>
      <c r="OZQ1" t="s">
        <v>11857</v>
      </c>
      <c r="OZR1" t="s">
        <v>11858</v>
      </c>
      <c r="OZS1" t="s">
        <v>11859</v>
      </c>
      <c r="OZT1" t="s">
        <v>11860</v>
      </c>
      <c r="OZU1" t="s">
        <v>11861</v>
      </c>
      <c r="OZV1" t="s">
        <v>11862</v>
      </c>
      <c r="OZW1" t="s">
        <v>11863</v>
      </c>
      <c r="OZX1" t="s">
        <v>11864</v>
      </c>
      <c r="OZY1" t="s">
        <v>11865</v>
      </c>
      <c r="OZZ1" t="s">
        <v>11866</v>
      </c>
      <c r="PAA1" t="s">
        <v>11867</v>
      </c>
      <c r="PAB1" t="s">
        <v>11868</v>
      </c>
      <c r="PAC1" t="s">
        <v>11869</v>
      </c>
      <c r="PAD1" t="s">
        <v>11870</v>
      </c>
      <c r="PAE1" t="s">
        <v>11871</v>
      </c>
      <c r="PAF1" t="s">
        <v>11872</v>
      </c>
      <c r="PAG1" t="s">
        <v>11873</v>
      </c>
      <c r="PAH1" t="s">
        <v>11874</v>
      </c>
      <c r="PAI1" t="s">
        <v>11875</v>
      </c>
      <c r="PAJ1" t="s">
        <v>11876</v>
      </c>
      <c r="PAK1" t="s">
        <v>11877</v>
      </c>
      <c r="PAL1" t="s">
        <v>11878</v>
      </c>
      <c r="PAM1" t="s">
        <v>11879</v>
      </c>
      <c r="PAN1" t="s">
        <v>11880</v>
      </c>
      <c r="PAO1" t="s">
        <v>11881</v>
      </c>
      <c r="PAP1" t="s">
        <v>11882</v>
      </c>
      <c r="PAQ1" t="s">
        <v>11883</v>
      </c>
      <c r="PAR1" t="s">
        <v>11884</v>
      </c>
      <c r="PAS1" t="s">
        <v>11885</v>
      </c>
      <c r="PAT1" t="s">
        <v>11886</v>
      </c>
      <c r="PAU1" t="s">
        <v>11887</v>
      </c>
      <c r="PAV1" t="s">
        <v>11888</v>
      </c>
      <c r="PAW1" t="s">
        <v>11889</v>
      </c>
      <c r="PAX1" t="s">
        <v>11890</v>
      </c>
      <c r="PAY1" t="s">
        <v>11891</v>
      </c>
      <c r="PAZ1" t="s">
        <v>11892</v>
      </c>
      <c r="PBA1" t="s">
        <v>11893</v>
      </c>
      <c r="PBB1" t="s">
        <v>11894</v>
      </c>
      <c r="PBC1" t="s">
        <v>11895</v>
      </c>
      <c r="PBD1" t="s">
        <v>11896</v>
      </c>
      <c r="PBE1" t="s">
        <v>11897</v>
      </c>
      <c r="PBF1" t="s">
        <v>11898</v>
      </c>
      <c r="PBG1" t="s">
        <v>11899</v>
      </c>
      <c r="PBH1" t="s">
        <v>11900</v>
      </c>
      <c r="PBI1" t="s">
        <v>11901</v>
      </c>
      <c r="PBJ1" t="s">
        <v>11902</v>
      </c>
      <c r="PBK1" t="s">
        <v>11903</v>
      </c>
      <c r="PBL1" t="s">
        <v>11904</v>
      </c>
      <c r="PBM1" t="s">
        <v>11905</v>
      </c>
      <c r="PBN1" t="s">
        <v>11906</v>
      </c>
      <c r="PBO1" t="s">
        <v>11907</v>
      </c>
      <c r="PBP1" t="s">
        <v>11908</v>
      </c>
      <c r="PBQ1" t="s">
        <v>11909</v>
      </c>
      <c r="PBR1" t="s">
        <v>11910</v>
      </c>
      <c r="PBS1" t="s">
        <v>11911</v>
      </c>
      <c r="PBT1" t="s">
        <v>11912</v>
      </c>
      <c r="PBU1" t="s">
        <v>11913</v>
      </c>
      <c r="PBV1" t="s">
        <v>11914</v>
      </c>
      <c r="PBW1" t="s">
        <v>11915</v>
      </c>
      <c r="PBX1" t="s">
        <v>11916</v>
      </c>
      <c r="PBY1" t="s">
        <v>11917</v>
      </c>
      <c r="PBZ1" t="s">
        <v>11918</v>
      </c>
      <c r="PCA1" t="s">
        <v>11919</v>
      </c>
      <c r="PCB1" t="s">
        <v>11920</v>
      </c>
      <c r="PCC1" t="s">
        <v>11921</v>
      </c>
      <c r="PCD1" t="s">
        <v>11922</v>
      </c>
      <c r="PCE1" t="s">
        <v>11923</v>
      </c>
      <c r="PCF1" t="s">
        <v>11924</v>
      </c>
      <c r="PCG1" t="s">
        <v>11925</v>
      </c>
      <c r="PCH1" t="s">
        <v>11926</v>
      </c>
      <c r="PCI1" t="s">
        <v>11927</v>
      </c>
      <c r="PCJ1" t="s">
        <v>11928</v>
      </c>
      <c r="PCK1" t="s">
        <v>11929</v>
      </c>
      <c r="PCL1" t="s">
        <v>11930</v>
      </c>
      <c r="PCM1" t="s">
        <v>11931</v>
      </c>
      <c r="PCN1" t="s">
        <v>11932</v>
      </c>
      <c r="PCO1" t="s">
        <v>11933</v>
      </c>
      <c r="PCP1" t="s">
        <v>11934</v>
      </c>
      <c r="PCQ1" t="s">
        <v>11935</v>
      </c>
      <c r="PCR1" t="s">
        <v>11936</v>
      </c>
      <c r="PCS1" t="s">
        <v>11937</v>
      </c>
      <c r="PCT1" t="s">
        <v>11938</v>
      </c>
      <c r="PCU1" t="s">
        <v>11939</v>
      </c>
      <c r="PCV1" t="s">
        <v>11940</v>
      </c>
      <c r="PCW1" t="s">
        <v>11941</v>
      </c>
      <c r="PCX1" t="s">
        <v>11942</v>
      </c>
      <c r="PCY1" t="s">
        <v>11943</v>
      </c>
      <c r="PCZ1" t="s">
        <v>11944</v>
      </c>
      <c r="PDA1" t="s">
        <v>11945</v>
      </c>
      <c r="PDB1" t="s">
        <v>11946</v>
      </c>
      <c r="PDC1" t="s">
        <v>11947</v>
      </c>
      <c r="PDD1" t="s">
        <v>11948</v>
      </c>
      <c r="PDE1" t="s">
        <v>11949</v>
      </c>
      <c r="PDF1" t="s">
        <v>11950</v>
      </c>
      <c r="PDG1" t="s">
        <v>11951</v>
      </c>
      <c r="PDH1" t="s">
        <v>11952</v>
      </c>
      <c r="PDI1" t="s">
        <v>11953</v>
      </c>
      <c r="PDJ1" t="s">
        <v>11954</v>
      </c>
      <c r="PDK1" t="s">
        <v>11955</v>
      </c>
      <c r="PDL1" t="s">
        <v>11956</v>
      </c>
      <c r="PDM1" t="s">
        <v>11957</v>
      </c>
      <c r="PDN1" t="s">
        <v>11958</v>
      </c>
      <c r="PDO1" t="s">
        <v>11959</v>
      </c>
      <c r="PDP1" t="s">
        <v>11960</v>
      </c>
      <c r="PDQ1" t="s">
        <v>11961</v>
      </c>
      <c r="PDR1" t="s">
        <v>11962</v>
      </c>
      <c r="PDS1" t="s">
        <v>11963</v>
      </c>
      <c r="PDT1" t="s">
        <v>11964</v>
      </c>
      <c r="PDU1" t="s">
        <v>11965</v>
      </c>
      <c r="PDV1" t="s">
        <v>11966</v>
      </c>
      <c r="PDW1" t="s">
        <v>11967</v>
      </c>
      <c r="PDX1" t="s">
        <v>11968</v>
      </c>
      <c r="PDY1" t="s">
        <v>11969</v>
      </c>
      <c r="PDZ1" t="s">
        <v>11970</v>
      </c>
      <c r="PEA1" t="s">
        <v>11971</v>
      </c>
      <c r="PEB1" t="s">
        <v>11972</v>
      </c>
      <c r="PEC1" t="s">
        <v>11973</v>
      </c>
      <c r="PED1" t="s">
        <v>11974</v>
      </c>
      <c r="PEE1" t="s">
        <v>11975</v>
      </c>
      <c r="PEF1" t="s">
        <v>11976</v>
      </c>
      <c r="PEG1" t="s">
        <v>11977</v>
      </c>
      <c r="PEH1" t="s">
        <v>11978</v>
      </c>
      <c r="PEI1" t="s">
        <v>11979</v>
      </c>
      <c r="PEJ1" t="s">
        <v>11980</v>
      </c>
      <c r="PEK1" t="s">
        <v>11981</v>
      </c>
      <c r="PEL1" t="s">
        <v>11982</v>
      </c>
      <c r="PEM1" t="s">
        <v>11983</v>
      </c>
      <c r="PEN1" t="s">
        <v>11984</v>
      </c>
      <c r="PEO1" t="s">
        <v>11985</v>
      </c>
      <c r="PEP1" t="s">
        <v>11986</v>
      </c>
      <c r="PEQ1" t="s">
        <v>11987</v>
      </c>
      <c r="PER1" t="s">
        <v>11988</v>
      </c>
      <c r="PES1" t="s">
        <v>11989</v>
      </c>
      <c r="PET1" t="s">
        <v>11990</v>
      </c>
      <c r="PEU1" t="s">
        <v>11991</v>
      </c>
      <c r="PEV1" t="s">
        <v>11992</v>
      </c>
      <c r="PEW1" t="s">
        <v>11993</v>
      </c>
      <c r="PEX1" t="s">
        <v>11994</v>
      </c>
      <c r="PEY1" t="s">
        <v>11995</v>
      </c>
      <c r="PEZ1" t="s">
        <v>11996</v>
      </c>
      <c r="PFA1" t="s">
        <v>11997</v>
      </c>
      <c r="PFB1" t="s">
        <v>11998</v>
      </c>
      <c r="PFC1" t="s">
        <v>11999</v>
      </c>
      <c r="PFD1" t="s">
        <v>12000</v>
      </c>
      <c r="PFE1" t="s">
        <v>12001</v>
      </c>
      <c r="PFF1" t="s">
        <v>12002</v>
      </c>
      <c r="PFG1" t="s">
        <v>12003</v>
      </c>
      <c r="PFH1" t="s">
        <v>12004</v>
      </c>
      <c r="PFI1" t="s">
        <v>12005</v>
      </c>
      <c r="PFJ1" t="s">
        <v>12006</v>
      </c>
      <c r="PFK1" t="s">
        <v>12007</v>
      </c>
      <c r="PFL1" t="s">
        <v>12008</v>
      </c>
      <c r="PFM1" t="s">
        <v>12009</v>
      </c>
      <c r="PFN1" t="s">
        <v>12010</v>
      </c>
      <c r="PFO1" t="s">
        <v>12011</v>
      </c>
      <c r="PFP1" t="s">
        <v>12012</v>
      </c>
      <c r="PFQ1" t="s">
        <v>12013</v>
      </c>
      <c r="PFR1" t="s">
        <v>12014</v>
      </c>
      <c r="PFS1" t="s">
        <v>12015</v>
      </c>
      <c r="PFT1" t="s">
        <v>12016</v>
      </c>
      <c r="PFU1" t="s">
        <v>12017</v>
      </c>
      <c r="PFV1" t="s">
        <v>12018</v>
      </c>
      <c r="PFW1" t="s">
        <v>12019</v>
      </c>
      <c r="PFX1" t="s">
        <v>12020</v>
      </c>
      <c r="PFY1" t="s">
        <v>12021</v>
      </c>
      <c r="PFZ1" t="s">
        <v>12022</v>
      </c>
      <c r="PGA1" t="s">
        <v>12023</v>
      </c>
      <c r="PGB1" t="s">
        <v>12024</v>
      </c>
      <c r="PGC1" t="s">
        <v>12025</v>
      </c>
      <c r="PGD1" t="s">
        <v>12026</v>
      </c>
      <c r="PGE1" t="s">
        <v>12027</v>
      </c>
      <c r="PGF1" t="s">
        <v>12028</v>
      </c>
      <c r="PGG1" t="s">
        <v>12029</v>
      </c>
      <c r="PGH1" t="s">
        <v>12030</v>
      </c>
      <c r="PGI1" t="s">
        <v>12031</v>
      </c>
      <c r="PGJ1" t="s">
        <v>12032</v>
      </c>
      <c r="PGK1" t="s">
        <v>12033</v>
      </c>
      <c r="PGL1" t="s">
        <v>12034</v>
      </c>
      <c r="PGM1" t="s">
        <v>12035</v>
      </c>
      <c r="PGN1" t="s">
        <v>12036</v>
      </c>
      <c r="PGO1" t="s">
        <v>12037</v>
      </c>
      <c r="PGP1" t="s">
        <v>12038</v>
      </c>
      <c r="PGQ1" t="s">
        <v>12039</v>
      </c>
      <c r="PGR1" t="s">
        <v>12040</v>
      </c>
      <c r="PGS1" t="s">
        <v>12041</v>
      </c>
      <c r="PGT1" t="s">
        <v>12042</v>
      </c>
      <c r="PGU1" t="s">
        <v>12043</v>
      </c>
      <c r="PGV1" t="s">
        <v>12044</v>
      </c>
      <c r="PGW1" t="s">
        <v>12045</v>
      </c>
      <c r="PGX1" t="s">
        <v>12046</v>
      </c>
      <c r="PGY1" t="s">
        <v>12047</v>
      </c>
      <c r="PGZ1" t="s">
        <v>12048</v>
      </c>
      <c r="PHA1" t="s">
        <v>12049</v>
      </c>
      <c r="PHB1" t="s">
        <v>12050</v>
      </c>
      <c r="PHC1" t="s">
        <v>12051</v>
      </c>
      <c r="PHD1" t="s">
        <v>12052</v>
      </c>
      <c r="PHE1" t="s">
        <v>12053</v>
      </c>
      <c r="PHF1" t="s">
        <v>12054</v>
      </c>
      <c r="PHG1" t="s">
        <v>12055</v>
      </c>
      <c r="PHH1" t="s">
        <v>12056</v>
      </c>
      <c r="PHI1" t="s">
        <v>12057</v>
      </c>
      <c r="PHJ1" t="s">
        <v>12058</v>
      </c>
      <c r="PHK1" t="s">
        <v>12059</v>
      </c>
      <c r="PHL1" t="s">
        <v>12060</v>
      </c>
      <c r="PHM1" t="s">
        <v>12061</v>
      </c>
      <c r="PHN1" t="s">
        <v>12062</v>
      </c>
      <c r="PHO1" t="s">
        <v>12063</v>
      </c>
      <c r="PHP1" t="s">
        <v>12064</v>
      </c>
      <c r="PHQ1" t="s">
        <v>12065</v>
      </c>
      <c r="PHR1" t="s">
        <v>12066</v>
      </c>
      <c r="PHS1" t="s">
        <v>12067</v>
      </c>
      <c r="PHT1" t="s">
        <v>12068</v>
      </c>
      <c r="PHU1" t="s">
        <v>12069</v>
      </c>
      <c r="PHV1" t="s">
        <v>12070</v>
      </c>
      <c r="PHW1" t="s">
        <v>12071</v>
      </c>
      <c r="PHX1" t="s">
        <v>12072</v>
      </c>
      <c r="PHY1" t="s">
        <v>12073</v>
      </c>
      <c r="PHZ1" t="s">
        <v>12074</v>
      </c>
      <c r="PIA1" t="s">
        <v>12075</v>
      </c>
      <c r="PIB1" t="s">
        <v>12076</v>
      </c>
      <c r="PIC1" t="s">
        <v>12077</v>
      </c>
      <c r="PID1" t="s">
        <v>12078</v>
      </c>
      <c r="PIE1" t="s">
        <v>12079</v>
      </c>
      <c r="PIF1" t="s">
        <v>12080</v>
      </c>
      <c r="PIG1" t="s">
        <v>12081</v>
      </c>
      <c r="PIH1" t="s">
        <v>12082</v>
      </c>
      <c r="PII1" t="s">
        <v>12083</v>
      </c>
      <c r="PIJ1" t="s">
        <v>12084</v>
      </c>
      <c r="PIK1" t="s">
        <v>12085</v>
      </c>
      <c r="PIL1" t="s">
        <v>12086</v>
      </c>
      <c r="PIM1" t="s">
        <v>12087</v>
      </c>
      <c r="PIN1" t="s">
        <v>12088</v>
      </c>
      <c r="PIO1" t="s">
        <v>12089</v>
      </c>
      <c r="PIP1" t="s">
        <v>12090</v>
      </c>
      <c r="PIQ1" t="s">
        <v>12091</v>
      </c>
      <c r="PIR1" t="s">
        <v>12092</v>
      </c>
      <c r="PIS1" t="s">
        <v>12093</v>
      </c>
      <c r="PIT1" t="s">
        <v>12094</v>
      </c>
      <c r="PIU1" t="s">
        <v>12095</v>
      </c>
      <c r="PIV1" t="s">
        <v>12096</v>
      </c>
      <c r="PIW1" t="s">
        <v>12097</v>
      </c>
      <c r="PIX1" t="s">
        <v>12098</v>
      </c>
      <c r="PIY1" t="s">
        <v>12099</v>
      </c>
      <c r="PIZ1" t="s">
        <v>12100</v>
      </c>
      <c r="PJA1" t="s">
        <v>12101</v>
      </c>
      <c r="PJB1" t="s">
        <v>12102</v>
      </c>
      <c r="PJC1" t="s">
        <v>12103</v>
      </c>
      <c r="PJD1" t="s">
        <v>12104</v>
      </c>
      <c r="PJE1" t="s">
        <v>12105</v>
      </c>
      <c r="PJF1" t="s">
        <v>12106</v>
      </c>
      <c r="PJG1" t="s">
        <v>12107</v>
      </c>
      <c r="PJH1" t="s">
        <v>12108</v>
      </c>
      <c r="PJI1" t="s">
        <v>12109</v>
      </c>
      <c r="PJJ1" t="s">
        <v>12110</v>
      </c>
      <c r="PJK1" t="s">
        <v>12111</v>
      </c>
      <c r="PJL1" t="s">
        <v>12112</v>
      </c>
      <c r="PJM1" t="s">
        <v>12113</v>
      </c>
      <c r="PJN1" t="s">
        <v>12114</v>
      </c>
      <c r="PJO1" t="s">
        <v>12115</v>
      </c>
      <c r="PJP1" t="s">
        <v>12116</v>
      </c>
      <c r="PJQ1" t="s">
        <v>12117</v>
      </c>
      <c r="PJR1" t="s">
        <v>12118</v>
      </c>
      <c r="PJS1" t="s">
        <v>12119</v>
      </c>
      <c r="PJT1" t="s">
        <v>12120</v>
      </c>
      <c r="PJU1" t="s">
        <v>12121</v>
      </c>
      <c r="PJV1" t="s">
        <v>12122</v>
      </c>
      <c r="PJW1" t="s">
        <v>12123</v>
      </c>
      <c r="PJX1" t="s">
        <v>12124</v>
      </c>
      <c r="PJY1" t="s">
        <v>12125</v>
      </c>
      <c r="PJZ1" t="s">
        <v>12126</v>
      </c>
      <c r="PKA1" t="s">
        <v>12127</v>
      </c>
      <c r="PKB1" t="s">
        <v>12128</v>
      </c>
      <c r="PKC1" t="s">
        <v>12129</v>
      </c>
      <c r="PKD1" t="s">
        <v>12130</v>
      </c>
      <c r="PKE1" t="s">
        <v>12131</v>
      </c>
      <c r="PKF1" t="s">
        <v>12132</v>
      </c>
      <c r="PKG1" t="s">
        <v>12133</v>
      </c>
      <c r="PKH1" t="s">
        <v>12134</v>
      </c>
      <c r="PKI1" t="s">
        <v>12135</v>
      </c>
      <c r="PKJ1" t="s">
        <v>12136</v>
      </c>
      <c r="PKK1" t="s">
        <v>12137</v>
      </c>
      <c r="PKL1" t="s">
        <v>12138</v>
      </c>
      <c r="PKM1" t="s">
        <v>12139</v>
      </c>
      <c r="PKN1" t="s">
        <v>12140</v>
      </c>
      <c r="PKO1" t="s">
        <v>12141</v>
      </c>
      <c r="PKP1" t="s">
        <v>12142</v>
      </c>
      <c r="PKQ1" t="s">
        <v>12143</v>
      </c>
      <c r="PKR1" t="s">
        <v>12144</v>
      </c>
      <c r="PKS1" t="s">
        <v>12145</v>
      </c>
      <c r="PKT1" t="s">
        <v>12146</v>
      </c>
      <c r="PKU1" t="s">
        <v>12147</v>
      </c>
      <c r="PKV1" t="s">
        <v>12148</v>
      </c>
      <c r="PKW1" t="s">
        <v>12149</v>
      </c>
      <c r="PKX1" t="s">
        <v>12150</v>
      </c>
      <c r="PKY1" t="s">
        <v>12151</v>
      </c>
      <c r="PKZ1" t="s">
        <v>12152</v>
      </c>
      <c r="PLA1" t="s">
        <v>12153</v>
      </c>
      <c r="PLB1" t="s">
        <v>12154</v>
      </c>
      <c r="PLC1" t="s">
        <v>12155</v>
      </c>
      <c r="PLD1" t="s">
        <v>12156</v>
      </c>
      <c r="PLE1" t="s">
        <v>12157</v>
      </c>
      <c r="PLF1" t="s">
        <v>12158</v>
      </c>
      <c r="PLG1" t="s">
        <v>12159</v>
      </c>
      <c r="PLH1" t="s">
        <v>12160</v>
      </c>
      <c r="PLI1" t="s">
        <v>12161</v>
      </c>
      <c r="PLJ1" t="s">
        <v>12162</v>
      </c>
      <c r="PLK1" t="s">
        <v>12163</v>
      </c>
      <c r="PLL1" t="s">
        <v>12164</v>
      </c>
      <c r="PLM1" t="s">
        <v>12165</v>
      </c>
      <c r="PLN1" t="s">
        <v>12166</v>
      </c>
      <c r="PLO1" t="s">
        <v>12167</v>
      </c>
      <c r="PLP1" t="s">
        <v>12168</v>
      </c>
      <c r="PLQ1" t="s">
        <v>12169</v>
      </c>
      <c r="PLR1" t="s">
        <v>12170</v>
      </c>
      <c r="PLS1" t="s">
        <v>12171</v>
      </c>
      <c r="PLT1" t="s">
        <v>12172</v>
      </c>
      <c r="PLU1" t="s">
        <v>12173</v>
      </c>
      <c r="PLV1" t="s">
        <v>12174</v>
      </c>
      <c r="PLW1" t="s">
        <v>12175</v>
      </c>
      <c r="PLX1" t="s">
        <v>12176</v>
      </c>
      <c r="PLY1" t="s">
        <v>12177</v>
      </c>
      <c r="PLZ1" t="s">
        <v>12178</v>
      </c>
      <c r="PMA1" t="s">
        <v>12179</v>
      </c>
      <c r="PMB1" t="s">
        <v>12180</v>
      </c>
      <c r="PMC1" t="s">
        <v>12181</v>
      </c>
      <c r="PMD1" t="s">
        <v>12182</v>
      </c>
      <c r="PME1" t="s">
        <v>12183</v>
      </c>
      <c r="PMF1" t="s">
        <v>12184</v>
      </c>
      <c r="PMG1" t="s">
        <v>12185</v>
      </c>
      <c r="PMH1" t="s">
        <v>12186</v>
      </c>
      <c r="PMI1" t="s">
        <v>12187</v>
      </c>
      <c r="PMJ1" t="s">
        <v>12188</v>
      </c>
      <c r="PMK1" t="s">
        <v>12189</v>
      </c>
      <c r="PML1" t="s">
        <v>12190</v>
      </c>
      <c r="PMM1" t="s">
        <v>12191</v>
      </c>
      <c r="PMN1" t="s">
        <v>12192</v>
      </c>
      <c r="PMO1" t="s">
        <v>12193</v>
      </c>
      <c r="PMP1" t="s">
        <v>12194</v>
      </c>
      <c r="PMQ1" t="s">
        <v>12195</v>
      </c>
      <c r="PMR1" t="s">
        <v>12196</v>
      </c>
      <c r="PMS1" t="s">
        <v>12197</v>
      </c>
      <c r="PMT1" t="s">
        <v>12198</v>
      </c>
      <c r="PMU1" t="s">
        <v>12199</v>
      </c>
      <c r="PMV1" t="s">
        <v>12200</v>
      </c>
      <c r="PMW1" t="s">
        <v>12201</v>
      </c>
      <c r="PMX1" t="s">
        <v>12202</v>
      </c>
      <c r="PMY1" t="s">
        <v>12203</v>
      </c>
      <c r="PMZ1" t="s">
        <v>12204</v>
      </c>
      <c r="PNA1" t="s">
        <v>12205</v>
      </c>
      <c r="PNB1" t="s">
        <v>12206</v>
      </c>
      <c r="PNC1" t="s">
        <v>12207</v>
      </c>
      <c r="PND1" t="s">
        <v>12208</v>
      </c>
      <c r="PNE1" t="s">
        <v>12209</v>
      </c>
      <c r="PNF1" t="s">
        <v>12210</v>
      </c>
      <c r="PNG1" t="s">
        <v>12211</v>
      </c>
      <c r="PNH1" t="s">
        <v>12212</v>
      </c>
      <c r="PNI1" t="s">
        <v>12213</v>
      </c>
      <c r="PNJ1" t="s">
        <v>12214</v>
      </c>
      <c r="PNK1" t="s">
        <v>12215</v>
      </c>
      <c r="PNL1" t="s">
        <v>12216</v>
      </c>
      <c r="PNM1" t="s">
        <v>12217</v>
      </c>
      <c r="PNN1" t="s">
        <v>12218</v>
      </c>
      <c r="PNO1" t="s">
        <v>12219</v>
      </c>
      <c r="PNP1" t="s">
        <v>12220</v>
      </c>
      <c r="PNQ1" t="s">
        <v>12221</v>
      </c>
      <c r="PNR1" t="s">
        <v>12222</v>
      </c>
      <c r="PNS1" t="s">
        <v>12223</v>
      </c>
      <c r="PNT1" t="s">
        <v>12224</v>
      </c>
      <c r="PNU1" t="s">
        <v>12225</v>
      </c>
      <c r="PNV1" t="s">
        <v>12226</v>
      </c>
      <c r="PNW1" t="s">
        <v>12227</v>
      </c>
      <c r="PNX1" t="s">
        <v>12228</v>
      </c>
      <c r="PNY1" t="s">
        <v>12229</v>
      </c>
      <c r="PNZ1" t="s">
        <v>12230</v>
      </c>
      <c r="POA1" t="s">
        <v>12231</v>
      </c>
      <c r="POB1" t="s">
        <v>12232</v>
      </c>
      <c r="POC1" t="s">
        <v>12233</v>
      </c>
      <c r="POD1" t="s">
        <v>12234</v>
      </c>
      <c r="POE1" t="s">
        <v>12235</v>
      </c>
      <c r="POF1" t="s">
        <v>12236</v>
      </c>
      <c r="POG1" t="s">
        <v>12237</v>
      </c>
      <c r="POH1" t="s">
        <v>12238</v>
      </c>
      <c r="POI1" t="s">
        <v>12239</v>
      </c>
      <c r="POJ1" t="s">
        <v>12240</v>
      </c>
      <c r="POK1" t="s">
        <v>12241</v>
      </c>
      <c r="POL1" t="s">
        <v>12242</v>
      </c>
      <c r="POM1" t="s">
        <v>12243</v>
      </c>
      <c r="PON1" t="s">
        <v>12244</v>
      </c>
      <c r="POO1" t="s">
        <v>12245</v>
      </c>
      <c r="POP1" t="s">
        <v>12246</v>
      </c>
      <c r="POQ1" t="s">
        <v>12247</v>
      </c>
      <c r="POR1" t="s">
        <v>12248</v>
      </c>
      <c r="POS1" t="s">
        <v>12249</v>
      </c>
      <c r="POT1" t="s">
        <v>12250</v>
      </c>
      <c r="POU1" t="s">
        <v>12251</v>
      </c>
      <c r="POV1" t="s">
        <v>12252</v>
      </c>
      <c r="POW1" t="s">
        <v>12253</v>
      </c>
      <c r="POX1" t="s">
        <v>12254</v>
      </c>
      <c r="POY1" t="s">
        <v>12255</v>
      </c>
      <c r="POZ1" t="s">
        <v>12256</v>
      </c>
      <c r="PPA1" t="s">
        <v>12257</v>
      </c>
      <c r="PPB1" t="s">
        <v>12258</v>
      </c>
      <c r="PPC1" t="s">
        <v>12259</v>
      </c>
      <c r="PPD1" t="s">
        <v>12260</v>
      </c>
      <c r="PPE1" t="s">
        <v>12261</v>
      </c>
      <c r="PPF1" t="s">
        <v>12262</v>
      </c>
      <c r="PPG1" t="s">
        <v>12263</v>
      </c>
      <c r="PPH1" t="s">
        <v>12264</v>
      </c>
      <c r="PPI1" t="s">
        <v>12265</v>
      </c>
      <c r="PPJ1" t="s">
        <v>12266</v>
      </c>
      <c r="PPK1" t="s">
        <v>12267</v>
      </c>
      <c r="PPL1" t="s">
        <v>12268</v>
      </c>
      <c r="PPM1" t="s">
        <v>12269</v>
      </c>
      <c r="PPN1" t="s">
        <v>12270</v>
      </c>
      <c r="PPO1" t="s">
        <v>12271</v>
      </c>
      <c r="PPP1" t="s">
        <v>12272</v>
      </c>
      <c r="PPQ1" t="s">
        <v>12273</v>
      </c>
      <c r="PPR1" t="s">
        <v>12274</v>
      </c>
      <c r="PPS1" t="s">
        <v>12275</v>
      </c>
      <c r="PPT1" t="s">
        <v>12276</v>
      </c>
      <c r="PPU1" t="s">
        <v>12277</v>
      </c>
      <c r="PPV1" t="s">
        <v>12278</v>
      </c>
      <c r="PPW1" t="s">
        <v>12279</v>
      </c>
      <c r="PPX1" t="s">
        <v>12280</v>
      </c>
      <c r="PPY1" t="s">
        <v>12281</v>
      </c>
      <c r="PPZ1" t="s">
        <v>12282</v>
      </c>
      <c r="PQA1" t="s">
        <v>12283</v>
      </c>
      <c r="PQB1" t="s">
        <v>12284</v>
      </c>
      <c r="PQC1" t="s">
        <v>12285</v>
      </c>
      <c r="PQD1" t="s">
        <v>12286</v>
      </c>
      <c r="PQE1" t="s">
        <v>12287</v>
      </c>
      <c r="PQF1" t="s">
        <v>12288</v>
      </c>
      <c r="PQG1" t="s">
        <v>12289</v>
      </c>
      <c r="PQH1" t="s">
        <v>12290</v>
      </c>
      <c r="PQI1" t="s">
        <v>12291</v>
      </c>
      <c r="PQJ1" t="s">
        <v>12292</v>
      </c>
      <c r="PQK1" t="s">
        <v>12293</v>
      </c>
      <c r="PQL1" t="s">
        <v>12294</v>
      </c>
      <c r="PQM1" t="s">
        <v>12295</v>
      </c>
      <c r="PQN1" t="s">
        <v>12296</v>
      </c>
      <c r="PQO1" t="s">
        <v>12297</v>
      </c>
      <c r="PQP1" t="s">
        <v>12298</v>
      </c>
      <c r="PQQ1" t="s">
        <v>12299</v>
      </c>
      <c r="PQR1" t="s">
        <v>12300</v>
      </c>
      <c r="PQS1" t="s">
        <v>12301</v>
      </c>
      <c r="PQT1" t="s">
        <v>12302</v>
      </c>
      <c r="PQU1" t="s">
        <v>12303</v>
      </c>
      <c r="PQV1" t="s">
        <v>12304</v>
      </c>
      <c r="PQW1" t="s">
        <v>12305</v>
      </c>
      <c r="PQX1" t="s">
        <v>12306</v>
      </c>
      <c r="PQY1" t="s">
        <v>12307</v>
      </c>
      <c r="PQZ1" t="s">
        <v>12308</v>
      </c>
      <c r="PRA1" t="s">
        <v>12309</v>
      </c>
      <c r="PRB1" t="s">
        <v>12310</v>
      </c>
      <c r="PRC1" t="s">
        <v>12311</v>
      </c>
      <c r="PRD1" t="s">
        <v>12312</v>
      </c>
      <c r="PRE1" t="s">
        <v>12313</v>
      </c>
      <c r="PRF1" t="s">
        <v>12314</v>
      </c>
      <c r="PRG1" t="s">
        <v>12315</v>
      </c>
      <c r="PRH1" t="s">
        <v>12316</v>
      </c>
      <c r="PRI1" t="s">
        <v>12317</v>
      </c>
      <c r="PRJ1" t="s">
        <v>12318</v>
      </c>
      <c r="PRK1" t="s">
        <v>12319</v>
      </c>
      <c r="PRL1" t="s">
        <v>12320</v>
      </c>
      <c r="PRM1" t="s">
        <v>12321</v>
      </c>
      <c r="PRN1" t="s">
        <v>12322</v>
      </c>
      <c r="PRO1" t="s">
        <v>12323</v>
      </c>
      <c r="PRP1" t="s">
        <v>12324</v>
      </c>
      <c r="PRQ1" t="s">
        <v>12325</v>
      </c>
      <c r="PRR1" t="s">
        <v>12326</v>
      </c>
      <c r="PRS1" t="s">
        <v>12327</v>
      </c>
      <c r="PRT1" t="s">
        <v>12328</v>
      </c>
      <c r="PRU1" t="s">
        <v>12329</v>
      </c>
      <c r="PRV1" t="s">
        <v>12330</v>
      </c>
      <c r="PRW1" t="s">
        <v>12331</v>
      </c>
      <c r="PRX1" t="s">
        <v>12332</v>
      </c>
      <c r="PRY1" t="s">
        <v>12333</v>
      </c>
      <c r="PRZ1" t="s">
        <v>12334</v>
      </c>
      <c r="PSA1" t="s">
        <v>12335</v>
      </c>
      <c r="PSB1" t="s">
        <v>12336</v>
      </c>
      <c r="PSC1" t="s">
        <v>12337</v>
      </c>
      <c r="PSD1" t="s">
        <v>12338</v>
      </c>
      <c r="PSE1" t="s">
        <v>12339</v>
      </c>
      <c r="PSF1" t="s">
        <v>12340</v>
      </c>
      <c r="PSG1" t="s">
        <v>12341</v>
      </c>
      <c r="PSH1" t="s">
        <v>12342</v>
      </c>
      <c r="PSI1" t="s">
        <v>12343</v>
      </c>
      <c r="PSJ1" t="s">
        <v>12344</v>
      </c>
      <c r="PSK1" t="s">
        <v>12345</v>
      </c>
      <c r="PSL1" t="s">
        <v>12346</v>
      </c>
      <c r="PSM1" t="s">
        <v>12347</v>
      </c>
      <c r="PSN1" t="s">
        <v>12348</v>
      </c>
      <c r="PSO1" t="s">
        <v>12349</v>
      </c>
      <c r="PSP1" t="s">
        <v>12350</v>
      </c>
      <c r="PSQ1" t="s">
        <v>12351</v>
      </c>
      <c r="PSR1" t="s">
        <v>12352</v>
      </c>
      <c r="PSS1" t="s">
        <v>12353</v>
      </c>
      <c r="PST1" t="s">
        <v>12354</v>
      </c>
      <c r="PSU1" t="s">
        <v>12355</v>
      </c>
      <c r="PSV1" t="s">
        <v>12356</v>
      </c>
      <c r="PSW1" t="s">
        <v>12357</v>
      </c>
      <c r="PSX1" t="s">
        <v>12358</v>
      </c>
      <c r="PSY1" t="s">
        <v>12359</v>
      </c>
      <c r="PSZ1" t="s">
        <v>12360</v>
      </c>
      <c r="PTA1" t="s">
        <v>12361</v>
      </c>
      <c r="PTB1" t="s">
        <v>12362</v>
      </c>
      <c r="PTC1" t="s">
        <v>12363</v>
      </c>
      <c r="PTD1" t="s">
        <v>12364</v>
      </c>
      <c r="PTE1" t="s">
        <v>12365</v>
      </c>
      <c r="PTF1" t="s">
        <v>12366</v>
      </c>
      <c r="PTG1" t="s">
        <v>12367</v>
      </c>
      <c r="PTH1" t="s">
        <v>12368</v>
      </c>
      <c r="PTI1" t="s">
        <v>12369</v>
      </c>
      <c r="PTJ1" t="s">
        <v>12370</v>
      </c>
      <c r="PTK1" t="s">
        <v>12371</v>
      </c>
      <c r="PTL1" t="s">
        <v>12372</v>
      </c>
      <c r="PTM1" t="s">
        <v>12373</v>
      </c>
      <c r="PTN1" t="s">
        <v>12374</v>
      </c>
      <c r="PTO1" t="s">
        <v>12375</v>
      </c>
      <c r="PTP1" t="s">
        <v>12376</v>
      </c>
      <c r="PTQ1" t="s">
        <v>12377</v>
      </c>
      <c r="PTR1" t="s">
        <v>12378</v>
      </c>
      <c r="PTS1" t="s">
        <v>12379</v>
      </c>
      <c r="PTT1" t="s">
        <v>12380</v>
      </c>
      <c r="PTU1" t="s">
        <v>12381</v>
      </c>
      <c r="PTV1" t="s">
        <v>12382</v>
      </c>
      <c r="PTW1" t="s">
        <v>12383</v>
      </c>
      <c r="PTX1" t="s">
        <v>12384</v>
      </c>
      <c r="PTY1" t="s">
        <v>12385</v>
      </c>
      <c r="PTZ1" t="s">
        <v>12386</v>
      </c>
      <c r="PUA1" t="s">
        <v>12387</v>
      </c>
      <c r="PUB1" t="s">
        <v>12388</v>
      </c>
      <c r="PUC1" t="s">
        <v>12389</v>
      </c>
      <c r="PUD1" t="s">
        <v>12390</v>
      </c>
      <c r="PUE1" t="s">
        <v>12391</v>
      </c>
      <c r="PUF1" t="s">
        <v>12392</v>
      </c>
      <c r="PUG1" t="s">
        <v>12393</v>
      </c>
      <c r="PUH1" t="s">
        <v>12394</v>
      </c>
      <c r="PUI1" t="s">
        <v>12395</v>
      </c>
      <c r="PUJ1" t="s">
        <v>12396</v>
      </c>
      <c r="PUK1" t="s">
        <v>12397</v>
      </c>
      <c r="PUL1" t="s">
        <v>12398</v>
      </c>
      <c r="PUM1" t="s">
        <v>12399</v>
      </c>
      <c r="PUN1" t="s">
        <v>12400</v>
      </c>
      <c r="PUO1" t="s">
        <v>12401</v>
      </c>
      <c r="PUP1" t="s">
        <v>12402</v>
      </c>
      <c r="PUQ1" t="s">
        <v>12403</v>
      </c>
      <c r="PUR1" t="s">
        <v>12404</v>
      </c>
      <c r="PUS1" t="s">
        <v>12405</v>
      </c>
      <c r="PUT1" t="s">
        <v>12406</v>
      </c>
      <c r="PUU1" t="s">
        <v>12407</v>
      </c>
      <c r="PUV1" t="s">
        <v>12408</v>
      </c>
      <c r="PUW1" t="s">
        <v>12409</v>
      </c>
      <c r="PUX1" t="s">
        <v>12410</v>
      </c>
      <c r="PUY1" t="s">
        <v>12411</v>
      </c>
      <c r="PUZ1" t="s">
        <v>12412</v>
      </c>
      <c r="PVA1" t="s">
        <v>12413</v>
      </c>
      <c r="PVB1" t="s">
        <v>12414</v>
      </c>
      <c r="PVC1" t="s">
        <v>12415</v>
      </c>
      <c r="PVD1" t="s">
        <v>12416</v>
      </c>
      <c r="PVE1" t="s">
        <v>12417</v>
      </c>
      <c r="PVF1" t="s">
        <v>12418</v>
      </c>
      <c r="PVG1" t="s">
        <v>12419</v>
      </c>
      <c r="PVH1" t="s">
        <v>12420</v>
      </c>
      <c r="PVI1" t="s">
        <v>12421</v>
      </c>
      <c r="PVJ1" t="s">
        <v>12422</v>
      </c>
      <c r="PVK1" t="s">
        <v>12423</v>
      </c>
      <c r="PVL1" t="s">
        <v>12424</v>
      </c>
      <c r="PVM1" t="s">
        <v>12425</v>
      </c>
      <c r="PVN1" t="s">
        <v>12426</v>
      </c>
      <c r="PVO1" t="s">
        <v>12427</v>
      </c>
      <c r="PVP1" t="s">
        <v>12428</v>
      </c>
      <c r="PVQ1" t="s">
        <v>12429</v>
      </c>
      <c r="PVR1" t="s">
        <v>12430</v>
      </c>
      <c r="PVS1" t="s">
        <v>12431</v>
      </c>
      <c r="PVT1" t="s">
        <v>12432</v>
      </c>
      <c r="PVU1" t="s">
        <v>12433</v>
      </c>
      <c r="PVV1" t="s">
        <v>12434</v>
      </c>
      <c r="PVW1" t="s">
        <v>12435</v>
      </c>
      <c r="PVX1" t="s">
        <v>12436</v>
      </c>
      <c r="PVY1" t="s">
        <v>12437</v>
      </c>
      <c r="PVZ1" t="s">
        <v>12438</v>
      </c>
      <c r="PWA1" t="s">
        <v>12439</v>
      </c>
      <c r="PWB1" t="s">
        <v>12440</v>
      </c>
      <c r="PWC1" t="s">
        <v>12441</v>
      </c>
      <c r="PWD1" t="s">
        <v>12442</v>
      </c>
      <c r="PWE1" t="s">
        <v>12443</v>
      </c>
      <c r="PWF1" t="s">
        <v>12444</v>
      </c>
      <c r="PWG1" t="s">
        <v>12445</v>
      </c>
      <c r="PWH1" t="s">
        <v>12446</v>
      </c>
      <c r="PWI1" t="s">
        <v>12447</v>
      </c>
      <c r="PWJ1" t="s">
        <v>12448</v>
      </c>
      <c r="PWK1" t="s">
        <v>12449</v>
      </c>
      <c r="PWL1" t="s">
        <v>12450</v>
      </c>
      <c r="PWM1" t="s">
        <v>12451</v>
      </c>
      <c r="PWN1" t="s">
        <v>12452</v>
      </c>
      <c r="PWO1" t="s">
        <v>12453</v>
      </c>
      <c r="PWP1" t="s">
        <v>12454</v>
      </c>
      <c r="PWQ1" t="s">
        <v>12455</v>
      </c>
      <c r="PWR1" t="s">
        <v>12456</v>
      </c>
      <c r="PWS1" t="s">
        <v>12457</v>
      </c>
      <c r="PWT1" t="s">
        <v>12458</v>
      </c>
      <c r="PWU1" t="s">
        <v>12459</v>
      </c>
      <c r="PWV1" t="s">
        <v>12460</v>
      </c>
      <c r="PWW1" t="s">
        <v>12461</v>
      </c>
      <c r="PWX1" t="s">
        <v>12462</v>
      </c>
      <c r="PWY1" t="s">
        <v>12463</v>
      </c>
      <c r="PWZ1" t="s">
        <v>12464</v>
      </c>
      <c r="PXA1" t="s">
        <v>12465</v>
      </c>
      <c r="PXB1" t="s">
        <v>12466</v>
      </c>
      <c r="PXC1" t="s">
        <v>12467</v>
      </c>
      <c r="PXD1" t="s">
        <v>12468</v>
      </c>
      <c r="PXE1" t="s">
        <v>12469</v>
      </c>
      <c r="PXF1" t="s">
        <v>12470</v>
      </c>
      <c r="PXG1" t="s">
        <v>12471</v>
      </c>
      <c r="PXH1" t="s">
        <v>12472</v>
      </c>
      <c r="PXI1" t="s">
        <v>12473</v>
      </c>
      <c r="PXJ1" t="s">
        <v>12474</v>
      </c>
      <c r="PXK1" t="s">
        <v>12475</v>
      </c>
      <c r="PXL1" t="s">
        <v>12476</v>
      </c>
      <c r="PXM1" t="s">
        <v>12477</v>
      </c>
      <c r="PXN1" t="s">
        <v>12478</v>
      </c>
      <c r="PXO1" t="s">
        <v>12479</v>
      </c>
      <c r="PXP1" t="s">
        <v>12480</v>
      </c>
      <c r="PXQ1" t="s">
        <v>12481</v>
      </c>
      <c r="PXR1" t="s">
        <v>12482</v>
      </c>
      <c r="PXS1" t="s">
        <v>12483</v>
      </c>
      <c r="PXT1" t="s">
        <v>12484</v>
      </c>
      <c r="PXU1" t="s">
        <v>12485</v>
      </c>
      <c r="PXV1" t="s">
        <v>12486</v>
      </c>
      <c r="PXW1" t="s">
        <v>12487</v>
      </c>
      <c r="PXX1" t="s">
        <v>12488</v>
      </c>
      <c r="PXY1" t="s">
        <v>12489</v>
      </c>
      <c r="PXZ1" t="s">
        <v>12490</v>
      </c>
      <c r="PYA1" t="s">
        <v>12491</v>
      </c>
      <c r="PYB1" t="s">
        <v>12492</v>
      </c>
      <c r="PYC1" t="s">
        <v>12493</v>
      </c>
      <c r="PYD1" t="s">
        <v>12494</v>
      </c>
      <c r="PYE1" t="s">
        <v>12495</v>
      </c>
      <c r="PYF1" t="s">
        <v>12496</v>
      </c>
      <c r="PYG1" t="s">
        <v>12497</v>
      </c>
      <c r="PYH1" t="s">
        <v>12498</v>
      </c>
      <c r="PYI1" t="s">
        <v>12499</v>
      </c>
      <c r="PYJ1" t="s">
        <v>12500</v>
      </c>
      <c r="PYK1" t="s">
        <v>12501</v>
      </c>
      <c r="PYL1" t="s">
        <v>12502</v>
      </c>
      <c r="PYM1" t="s">
        <v>12503</v>
      </c>
      <c r="PYN1" t="s">
        <v>12504</v>
      </c>
      <c r="PYO1" t="s">
        <v>12505</v>
      </c>
      <c r="PYP1" t="s">
        <v>12506</v>
      </c>
      <c r="PYQ1" t="s">
        <v>12507</v>
      </c>
      <c r="PYR1" t="s">
        <v>12508</v>
      </c>
      <c r="PYS1" t="s">
        <v>12509</v>
      </c>
      <c r="PYT1" t="s">
        <v>12510</v>
      </c>
      <c r="PYU1" t="s">
        <v>12511</v>
      </c>
      <c r="PYV1" t="s">
        <v>12512</v>
      </c>
      <c r="PYW1" t="s">
        <v>12513</v>
      </c>
      <c r="PYX1" t="s">
        <v>12514</v>
      </c>
      <c r="PYY1" t="s">
        <v>12515</v>
      </c>
      <c r="PYZ1" t="s">
        <v>12516</v>
      </c>
      <c r="PZA1" t="s">
        <v>12517</v>
      </c>
      <c r="PZB1" t="s">
        <v>12518</v>
      </c>
      <c r="PZC1" t="s">
        <v>12519</v>
      </c>
      <c r="PZD1" t="s">
        <v>12520</v>
      </c>
      <c r="PZE1" t="s">
        <v>12521</v>
      </c>
      <c r="PZF1" t="s">
        <v>12522</v>
      </c>
      <c r="PZG1" t="s">
        <v>12523</v>
      </c>
      <c r="PZH1" t="s">
        <v>12524</v>
      </c>
      <c r="PZI1" t="s">
        <v>12525</v>
      </c>
      <c r="PZJ1" t="s">
        <v>12526</v>
      </c>
      <c r="PZK1" t="s">
        <v>12527</v>
      </c>
      <c r="PZL1" t="s">
        <v>12528</v>
      </c>
      <c r="PZM1" t="s">
        <v>12529</v>
      </c>
      <c r="PZN1" t="s">
        <v>12530</v>
      </c>
      <c r="PZO1" t="s">
        <v>12531</v>
      </c>
      <c r="PZP1" t="s">
        <v>12532</v>
      </c>
      <c r="PZQ1" t="s">
        <v>12533</v>
      </c>
      <c r="PZR1" t="s">
        <v>12534</v>
      </c>
      <c r="PZS1" t="s">
        <v>12535</v>
      </c>
      <c r="PZT1" t="s">
        <v>12536</v>
      </c>
      <c r="PZU1" t="s">
        <v>12537</v>
      </c>
      <c r="PZV1" t="s">
        <v>12538</v>
      </c>
      <c r="PZW1" t="s">
        <v>12539</v>
      </c>
      <c r="PZX1" t="s">
        <v>12540</v>
      </c>
      <c r="PZY1" t="s">
        <v>12541</v>
      </c>
      <c r="PZZ1" t="s">
        <v>12542</v>
      </c>
      <c r="QAA1" t="s">
        <v>12543</v>
      </c>
      <c r="QAB1" t="s">
        <v>12544</v>
      </c>
      <c r="QAC1" t="s">
        <v>12545</v>
      </c>
      <c r="QAD1" t="s">
        <v>12546</v>
      </c>
      <c r="QAE1" t="s">
        <v>12547</v>
      </c>
      <c r="QAF1" t="s">
        <v>12548</v>
      </c>
      <c r="QAG1" t="s">
        <v>12549</v>
      </c>
      <c r="QAH1" t="s">
        <v>12550</v>
      </c>
      <c r="QAI1" t="s">
        <v>12551</v>
      </c>
      <c r="QAJ1" t="s">
        <v>12552</v>
      </c>
      <c r="QAK1" t="s">
        <v>12553</v>
      </c>
      <c r="QAL1" t="s">
        <v>12554</v>
      </c>
      <c r="QAM1" t="s">
        <v>12555</v>
      </c>
      <c r="QAN1" t="s">
        <v>12556</v>
      </c>
      <c r="QAO1" t="s">
        <v>12557</v>
      </c>
      <c r="QAP1" t="s">
        <v>12558</v>
      </c>
      <c r="QAQ1" t="s">
        <v>12559</v>
      </c>
      <c r="QAR1" t="s">
        <v>12560</v>
      </c>
      <c r="QAS1" t="s">
        <v>12561</v>
      </c>
      <c r="QAT1" t="s">
        <v>12562</v>
      </c>
      <c r="QAU1" t="s">
        <v>12563</v>
      </c>
      <c r="QAV1" t="s">
        <v>12564</v>
      </c>
      <c r="QAW1" t="s">
        <v>12565</v>
      </c>
      <c r="QAX1" t="s">
        <v>12566</v>
      </c>
      <c r="QAY1" t="s">
        <v>12567</v>
      </c>
      <c r="QAZ1" t="s">
        <v>12568</v>
      </c>
      <c r="QBA1" t="s">
        <v>12569</v>
      </c>
      <c r="QBB1" t="s">
        <v>12570</v>
      </c>
      <c r="QBC1" t="s">
        <v>12571</v>
      </c>
      <c r="QBD1" t="s">
        <v>12572</v>
      </c>
      <c r="QBE1" t="s">
        <v>12573</v>
      </c>
      <c r="QBF1" t="s">
        <v>12574</v>
      </c>
      <c r="QBG1" t="s">
        <v>12575</v>
      </c>
      <c r="QBH1" t="s">
        <v>12576</v>
      </c>
      <c r="QBI1" t="s">
        <v>12577</v>
      </c>
      <c r="QBJ1" t="s">
        <v>12578</v>
      </c>
      <c r="QBK1" t="s">
        <v>12579</v>
      </c>
      <c r="QBL1" t="s">
        <v>12580</v>
      </c>
      <c r="QBM1" t="s">
        <v>12581</v>
      </c>
      <c r="QBN1" t="s">
        <v>12582</v>
      </c>
      <c r="QBO1" t="s">
        <v>12583</v>
      </c>
      <c r="QBP1" t="s">
        <v>12584</v>
      </c>
      <c r="QBQ1" t="s">
        <v>12585</v>
      </c>
      <c r="QBR1" t="s">
        <v>12586</v>
      </c>
      <c r="QBS1" t="s">
        <v>12587</v>
      </c>
      <c r="QBT1" t="s">
        <v>12588</v>
      </c>
      <c r="QBU1" t="s">
        <v>12589</v>
      </c>
      <c r="QBV1" t="s">
        <v>12590</v>
      </c>
      <c r="QBW1" t="s">
        <v>12591</v>
      </c>
      <c r="QBX1" t="s">
        <v>12592</v>
      </c>
      <c r="QBY1" t="s">
        <v>12593</v>
      </c>
      <c r="QBZ1" t="s">
        <v>12594</v>
      </c>
      <c r="QCA1" t="s">
        <v>12595</v>
      </c>
      <c r="QCB1" t="s">
        <v>12596</v>
      </c>
      <c r="QCC1" t="s">
        <v>12597</v>
      </c>
      <c r="QCD1" t="s">
        <v>12598</v>
      </c>
      <c r="QCE1" t="s">
        <v>12599</v>
      </c>
      <c r="QCF1" t="s">
        <v>12600</v>
      </c>
      <c r="QCG1" t="s">
        <v>12601</v>
      </c>
      <c r="QCH1" t="s">
        <v>12602</v>
      </c>
      <c r="QCI1" t="s">
        <v>12603</v>
      </c>
      <c r="QCJ1" t="s">
        <v>12604</v>
      </c>
      <c r="QCK1" t="s">
        <v>12605</v>
      </c>
      <c r="QCL1" t="s">
        <v>12606</v>
      </c>
      <c r="QCM1" t="s">
        <v>12607</v>
      </c>
      <c r="QCN1" t="s">
        <v>12608</v>
      </c>
      <c r="QCO1" t="s">
        <v>12609</v>
      </c>
      <c r="QCP1" t="s">
        <v>12610</v>
      </c>
      <c r="QCQ1" t="s">
        <v>12611</v>
      </c>
      <c r="QCR1" t="s">
        <v>12612</v>
      </c>
      <c r="QCS1" t="s">
        <v>12613</v>
      </c>
      <c r="QCT1" t="s">
        <v>12614</v>
      </c>
      <c r="QCU1" t="s">
        <v>12615</v>
      </c>
      <c r="QCV1" t="s">
        <v>12616</v>
      </c>
      <c r="QCW1" t="s">
        <v>12617</v>
      </c>
      <c r="QCX1" t="s">
        <v>12618</v>
      </c>
      <c r="QCY1" t="s">
        <v>12619</v>
      </c>
      <c r="QCZ1" t="s">
        <v>12620</v>
      </c>
      <c r="QDA1" t="s">
        <v>12621</v>
      </c>
      <c r="QDB1" t="s">
        <v>12622</v>
      </c>
      <c r="QDC1" t="s">
        <v>12623</v>
      </c>
      <c r="QDD1" t="s">
        <v>12624</v>
      </c>
      <c r="QDE1" t="s">
        <v>12625</v>
      </c>
      <c r="QDF1" t="s">
        <v>12626</v>
      </c>
      <c r="QDG1" t="s">
        <v>12627</v>
      </c>
      <c r="QDH1" t="s">
        <v>12628</v>
      </c>
      <c r="QDI1" t="s">
        <v>12629</v>
      </c>
      <c r="QDJ1" t="s">
        <v>12630</v>
      </c>
      <c r="QDK1" t="s">
        <v>12631</v>
      </c>
      <c r="QDL1" t="s">
        <v>12632</v>
      </c>
      <c r="QDM1" t="s">
        <v>12633</v>
      </c>
      <c r="QDN1" t="s">
        <v>12634</v>
      </c>
      <c r="QDO1" t="s">
        <v>12635</v>
      </c>
      <c r="QDP1" t="s">
        <v>12636</v>
      </c>
      <c r="QDQ1" t="s">
        <v>12637</v>
      </c>
      <c r="QDR1" t="s">
        <v>12638</v>
      </c>
      <c r="QDS1" t="s">
        <v>12639</v>
      </c>
      <c r="QDT1" t="s">
        <v>12640</v>
      </c>
      <c r="QDU1" t="s">
        <v>12641</v>
      </c>
      <c r="QDV1" t="s">
        <v>12642</v>
      </c>
      <c r="QDW1" t="s">
        <v>12643</v>
      </c>
      <c r="QDX1" t="s">
        <v>12644</v>
      </c>
      <c r="QDY1" t="s">
        <v>12645</v>
      </c>
      <c r="QDZ1" t="s">
        <v>12646</v>
      </c>
      <c r="QEA1" t="s">
        <v>12647</v>
      </c>
      <c r="QEB1" t="s">
        <v>12648</v>
      </c>
      <c r="QEC1" t="s">
        <v>12649</v>
      </c>
      <c r="QED1" t="s">
        <v>12650</v>
      </c>
      <c r="QEE1" t="s">
        <v>12651</v>
      </c>
      <c r="QEF1" t="s">
        <v>12652</v>
      </c>
      <c r="QEG1" t="s">
        <v>12653</v>
      </c>
      <c r="QEH1" t="s">
        <v>12654</v>
      </c>
      <c r="QEI1" t="s">
        <v>12655</v>
      </c>
      <c r="QEJ1" t="s">
        <v>12656</v>
      </c>
      <c r="QEK1" t="s">
        <v>12657</v>
      </c>
      <c r="QEL1" t="s">
        <v>12658</v>
      </c>
      <c r="QEM1" t="s">
        <v>12659</v>
      </c>
      <c r="QEN1" t="s">
        <v>12660</v>
      </c>
      <c r="QEO1" t="s">
        <v>12661</v>
      </c>
      <c r="QEP1" t="s">
        <v>12662</v>
      </c>
      <c r="QEQ1" t="s">
        <v>12663</v>
      </c>
      <c r="QER1" t="s">
        <v>12664</v>
      </c>
      <c r="QES1" t="s">
        <v>12665</v>
      </c>
      <c r="QET1" t="s">
        <v>12666</v>
      </c>
      <c r="QEU1" t="s">
        <v>12667</v>
      </c>
      <c r="QEV1" t="s">
        <v>12668</v>
      </c>
      <c r="QEW1" t="s">
        <v>12669</v>
      </c>
      <c r="QEX1" t="s">
        <v>12670</v>
      </c>
      <c r="QEY1" t="s">
        <v>12671</v>
      </c>
      <c r="QEZ1" t="s">
        <v>12672</v>
      </c>
      <c r="QFA1" t="s">
        <v>12673</v>
      </c>
      <c r="QFB1" t="s">
        <v>12674</v>
      </c>
      <c r="QFC1" t="s">
        <v>12675</v>
      </c>
      <c r="QFD1" t="s">
        <v>12676</v>
      </c>
      <c r="QFE1" t="s">
        <v>12677</v>
      </c>
      <c r="QFF1" t="s">
        <v>12678</v>
      </c>
      <c r="QFG1" t="s">
        <v>12679</v>
      </c>
      <c r="QFH1" t="s">
        <v>12680</v>
      </c>
      <c r="QFI1" t="s">
        <v>12681</v>
      </c>
      <c r="QFJ1" t="s">
        <v>12682</v>
      </c>
      <c r="QFK1" t="s">
        <v>12683</v>
      </c>
      <c r="QFL1" t="s">
        <v>12684</v>
      </c>
      <c r="QFM1" t="s">
        <v>12685</v>
      </c>
      <c r="QFN1" t="s">
        <v>12686</v>
      </c>
      <c r="QFO1" t="s">
        <v>12687</v>
      </c>
      <c r="QFP1" t="s">
        <v>12688</v>
      </c>
      <c r="QFQ1" t="s">
        <v>12689</v>
      </c>
      <c r="QFR1" t="s">
        <v>12690</v>
      </c>
      <c r="QFS1" t="s">
        <v>12691</v>
      </c>
      <c r="QFT1" t="s">
        <v>12692</v>
      </c>
      <c r="QFU1" t="s">
        <v>12693</v>
      </c>
      <c r="QFV1" t="s">
        <v>12694</v>
      </c>
      <c r="QFW1" t="s">
        <v>12695</v>
      </c>
      <c r="QFX1" t="s">
        <v>12696</v>
      </c>
      <c r="QFY1" t="s">
        <v>12697</v>
      </c>
      <c r="QFZ1" t="s">
        <v>12698</v>
      </c>
      <c r="QGA1" t="s">
        <v>12699</v>
      </c>
      <c r="QGB1" t="s">
        <v>12700</v>
      </c>
      <c r="QGC1" t="s">
        <v>12701</v>
      </c>
      <c r="QGD1" t="s">
        <v>12702</v>
      </c>
      <c r="QGE1" t="s">
        <v>12703</v>
      </c>
      <c r="QGF1" t="s">
        <v>12704</v>
      </c>
      <c r="QGG1" t="s">
        <v>12705</v>
      </c>
      <c r="QGH1" t="s">
        <v>12706</v>
      </c>
      <c r="QGI1" t="s">
        <v>12707</v>
      </c>
      <c r="QGJ1" t="s">
        <v>12708</v>
      </c>
      <c r="QGK1" t="s">
        <v>12709</v>
      </c>
      <c r="QGL1" t="s">
        <v>12710</v>
      </c>
      <c r="QGM1" t="s">
        <v>12711</v>
      </c>
      <c r="QGN1" t="s">
        <v>12712</v>
      </c>
      <c r="QGO1" t="s">
        <v>12713</v>
      </c>
      <c r="QGP1" t="s">
        <v>12714</v>
      </c>
      <c r="QGQ1" t="s">
        <v>12715</v>
      </c>
      <c r="QGR1" t="s">
        <v>12716</v>
      </c>
      <c r="QGS1" t="s">
        <v>12717</v>
      </c>
      <c r="QGT1" t="s">
        <v>12718</v>
      </c>
      <c r="QGU1" t="s">
        <v>12719</v>
      </c>
      <c r="QGV1" t="s">
        <v>12720</v>
      </c>
      <c r="QGW1" t="s">
        <v>12721</v>
      </c>
      <c r="QGX1" t="s">
        <v>12722</v>
      </c>
      <c r="QGY1" t="s">
        <v>12723</v>
      </c>
      <c r="QGZ1" t="s">
        <v>12724</v>
      </c>
      <c r="QHA1" t="s">
        <v>12725</v>
      </c>
      <c r="QHB1" t="s">
        <v>12726</v>
      </c>
      <c r="QHC1" t="s">
        <v>12727</v>
      </c>
      <c r="QHD1" t="s">
        <v>12728</v>
      </c>
      <c r="QHE1" t="s">
        <v>12729</v>
      </c>
      <c r="QHF1" t="s">
        <v>12730</v>
      </c>
      <c r="QHG1" t="s">
        <v>12731</v>
      </c>
      <c r="QHH1" t="s">
        <v>12732</v>
      </c>
      <c r="QHI1" t="s">
        <v>12733</v>
      </c>
      <c r="QHJ1" t="s">
        <v>12734</v>
      </c>
      <c r="QHK1" t="s">
        <v>12735</v>
      </c>
      <c r="QHL1" t="s">
        <v>12736</v>
      </c>
      <c r="QHM1" t="s">
        <v>12737</v>
      </c>
      <c r="QHN1" t="s">
        <v>12738</v>
      </c>
      <c r="QHO1" t="s">
        <v>12739</v>
      </c>
      <c r="QHP1" t="s">
        <v>12740</v>
      </c>
      <c r="QHQ1" t="s">
        <v>12741</v>
      </c>
      <c r="QHR1" t="s">
        <v>12742</v>
      </c>
      <c r="QHS1" t="s">
        <v>12743</v>
      </c>
      <c r="QHT1" t="s">
        <v>12744</v>
      </c>
      <c r="QHU1" t="s">
        <v>12745</v>
      </c>
      <c r="QHV1" t="s">
        <v>12746</v>
      </c>
      <c r="QHW1" t="s">
        <v>12747</v>
      </c>
      <c r="QHX1" t="s">
        <v>12748</v>
      </c>
      <c r="QHY1" t="s">
        <v>12749</v>
      </c>
      <c r="QHZ1" t="s">
        <v>12750</v>
      </c>
      <c r="QIA1" t="s">
        <v>12751</v>
      </c>
      <c r="QIB1" t="s">
        <v>12752</v>
      </c>
      <c r="QIC1" t="s">
        <v>12753</v>
      </c>
      <c r="QID1" t="s">
        <v>12754</v>
      </c>
      <c r="QIE1" t="s">
        <v>12755</v>
      </c>
      <c r="QIF1" t="s">
        <v>12756</v>
      </c>
      <c r="QIG1" t="s">
        <v>12757</v>
      </c>
      <c r="QIH1" t="s">
        <v>12758</v>
      </c>
      <c r="QII1" t="s">
        <v>12759</v>
      </c>
      <c r="QIJ1" t="s">
        <v>12760</v>
      </c>
      <c r="QIK1" t="s">
        <v>12761</v>
      </c>
      <c r="QIL1" t="s">
        <v>12762</v>
      </c>
      <c r="QIM1" t="s">
        <v>12763</v>
      </c>
      <c r="QIN1" t="s">
        <v>12764</v>
      </c>
      <c r="QIO1" t="s">
        <v>12765</v>
      </c>
      <c r="QIP1" t="s">
        <v>12766</v>
      </c>
      <c r="QIQ1" t="s">
        <v>12767</v>
      </c>
      <c r="QIR1" t="s">
        <v>12768</v>
      </c>
      <c r="QIS1" t="s">
        <v>12769</v>
      </c>
      <c r="QIT1" t="s">
        <v>12770</v>
      </c>
      <c r="QIU1" t="s">
        <v>12771</v>
      </c>
      <c r="QIV1" t="s">
        <v>12772</v>
      </c>
      <c r="QIW1" t="s">
        <v>12773</v>
      </c>
      <c r="QIX1" t="s">
        <v>12774</v>
      </c>
      <c r="QIY1" t="s">
        <v>12775</v>
      </c>
      <c r="QIZ1" t="s">
        <v>12776</v>
      </c>
      <c r="QJA1" t="s">
        <v>12777</v>
      </c>
      <c r="QJB1" t="s">
        <v>12778</v>
      </c>
      <c r="QJC1" t="s">
        <v>12779</v>
      </c>
      <c r="QJD1" t="s">
        <v>12780</v>
      </c>
      <c r="QJE1" t="s">
        <v>12781</v>
      </c>
      <c r="QJF1" t="s">
        <v>12782</v>
      </c>
      <c r="QJG1" t="s">
        <v>12783</v>
      </c>
      <c r="QJH1" t="s">
        <v>12784</v>
      </c>
      <c r="QJI1" t="s">
        <v>12785</v>
      </c>
      <c r="QJJ1" t="s">
        <v>12786</v>
      </c>
      <c r="QJK1" t="s">
        <v>12787</v>
      </c>
      <c r="QJL1" t="s">
        <v>12788</v>
      </c>
      <c r="QJM1" t="s">
        <v>12789</v>
      </c>
      <c r="QJN1" t="s">
        <v>12790</v>
      </c>
      <c r="QJO1" t="s">
        <v>12791</v>
      </c>
      <c r="QJP1" t="s">
        <v>12792</v>
      </c>
      <c r="QJQ1" t="s">
        <v>12793</v>
      </c>
      <c r="QJR1" t="s">
        <v>12794</v>
      </c>
      <c r="QJS1" t="s">
        <v>12795</v>
      </c>
      <c r="QJT1" t="s">
        <v>12796</v>
      </c>
      <c r="QJU1" t="s">
        <v>12797</v>
      </c>
      <c r="QJV1" t="s">
        <v>12798</v>
      </c>
      <c r="QJW1" t="s">
        <v>12799</v>
      </c>
      <c r="QJX1" t="s">
        <v>12800</v>
      </c>
      <c r="QJY1" t="s">
        <v>12801</v>
      </c>
      <c r="QJZ1" t="s">
        <v>12802</v>
      </c>
      <c r="QKA1" t="s">
        <v>12803</v>
      </c>
      <c r="QKB1" t="s">
        <v>12804</v>
      </c>
      <c r="QKC1" t="s">
        <v>12805</v>
      </c>
      <c r="QKD1" t="s">
        <v>12806</v>
      </c>
      <c r="QKE1" t="s">
        <v>12807</v>
      </c>
      <c r="QKF1" t="s">
        <v>12808</v>
      </c>
      <c r="QKG1" t="s">
        <v>12809</v>
      </c>
      <c r="QKH1" t="s">
        <v>12810</v>
      </c>
      <c r="QKI1" t="s">
        <v>12811</v>
      </c>
      <c r="QKJ1" t="s">
        <v>12812</v>
      </c>
      <c r="QKK1" t="s">
        <v>12813</v>
      </c>
      <c r="QKL1" t="s">
        <v>12814</v>
      </c>
      <c r="QKM1" t="s">
        <v>12815</v>
      </c>
      <c r="QKN1" t="s">
        <v>12816</v>
      </c>
      <c r="QKO1" t="s">
        <v>12817</v>
      </c>
      <c r="QKP1" t="s">
        <v>12818</v>
      </c>
      <c r="QKQ1" t="s">
        <v>12819</v>
      </c>
      <c r="QKR1" t="s">
        <v>12820</v>
      </c>
      <c r="QKS1" t="s">
        <v>12821</v>
      </c>
      <c r="QKT1" t="s">
        <v>12822</v>
      </c>
      <c r="QKU1" t="s">
        <v>12823</v>
      </c>
      <c r="QKV1" t="s">
        <v>12824</v>
      </c>
      <c r="QKW1" t="s">
        <v>12825</v>
      </c>
      <c r="QKX1" t="s">
        <v>12826</v>
      </c>
      <c r="QKY1" t="s">
        <v>12827</v>
      </c>
      <c r="QKZ1" t="s">
        <v>12828</v>
      </c>
      <c r="QLA1" t="s">
        <v>12829</v>
      </c>
      <c r="QLB1" t="s">
        <v>12830</v>
      </c>
      <c r="QLC1" t="s">
        <v>12831</v>
      </c>
      <c r="QLD1" t="s">
        <v>12832</v>
      </c>
      <c r="QLE1" t="s">
        <v>12833</v>
      </c>
      <c r="QLF1" t="s">
        <v>12834</v>
      </c>
      <c r="QLG1" t="s">
        <v>12835</v>
      </c>
      <c r="QLH1" t="s">
        <v>12836</v>
      </c>
      <c r="QLI1" t="s">
        <v>12837</v>
      </c>
      <c r="QLJ1" t="s">
        <v>12838</v>
      </c>
      <c r="QLK1" t="s">
        <v>12839</v>
      </c>
      <c r="QLL1" t="s">
        <v>12840</v>
      </c>
      <c r="QLM1" t="s">
        <v>12841</v>
      </c>
      <c r="QLN1" t="s">
        <v>12842</v>
      </c>
      <c r="QLO1" t="s">
        <v>12843</v>
      </c>
      <c r="QLP1" t="s">
        <v>12844</v>
      </c>
      <c r="QLQ1" t="s">
        <v>12845</v>
      </c>
      <c r="QLR1" t="s">
        <v>12846</v>
      </c>
      <c r="QLS1" t="s">
        <v>12847</v>
      </c>
      <c r="QLT1" t="s">
        <v>12848</v>
      </c>
      <c r="QLU1" t="s">
        <v>12849</v>
      </c>
      <c r="QLV1" t="s">
        <v>12850</v>
      </c>
      <c r="QLW1" t="s">
        <v>12851</v>
      </c>
      <c r="QLX1" t="s">
        <v>12852</v>
      </c>
      <c r="QLY1" t="s">
        <v>12853</v>
      </c>
      <c r="QLZ1" t="s">
        <v>12854</v>
      </c>
      <c r="QMA1" t="s">
        <v>12855</v>
      </c>
      <c r="QMB1" t="s">
        <v>12856</v>
      </c>
      <c r="QMC1" t="s">
        <v>12857</v>
      </c>
      <c r="QMD1" t="s">
        <v>12858</v>
      </c>
      <c r="QME1" t="s">
        <v>12859</v>
      </c>
      <c r="QMF1" t="s">
        <v>12860</v>
      </c>
      <c r="QMG1" t="s">
        <v>12861</v>
      </c>
      <c r="QMH1" t="s">
        <v>12862</v>
      </c>
      <c r="QMI1" t="s">
        <v>12863</v>
      </c>
      <c r="QMJ1" t="s">
        <v>12864</v>
      </c>
      <c r="QMK1" t="s">
        <v>12865</v>
      </c>
      <c r="QML1" t="s">
        <v>12866</v>
      </c>
      <c r="QMM1" t="s">
        <v>12867</v>
      </c>
      <c r="QMN1" t="s">
        <v>12868</v>
      </c>
      <c r="QMO1" t="s">
        <v>12869</v>
      </c>
      <c r="QMP1" t="s">
        <v>12870</v>
      </c>
      <c r="QMQ1" t="s">
        <v>12871</v>
      </c>
      <c r="QMR1" t="s">
        <v>12872</v>
      </c>
      <c r="QMS1" t="s">
        <v>12873</v>
      </c>
      <c r="QMT1" t="s">
        <v>12874</v>
      </c>
      <c r="QMU1" t="s">
        <v>12875</v>
      </c>
      <c r="QMV1" t="s">
        <v>12876</v>
      </c>
      <c r="QMW1" t="s">
        <v>12877</v>
      </c>
      <c r="QMX1" t="s">
        <v>12878</v>
      </c>
      <c r="QMY1" t="s">
        <v>12879</v>
      </c>
      <c r="QMZ1" t="s">
        <v>12880</v>
      </c>
      <c r="QNA1" t="s">
        <v>12881</v>
      </c>
      <c r="QNB1" t="s">
        <v>12882</v>
      </c>
      <c r="QNC1" t="s">
        <v>12883</v>
      </c>
      <c r="QND1" t="s">
        <v>12884</v>
      </c>
      <c r="QNE1" t="s">
        <v>12885</v>
      </c>
      <c r="QNF1" t="s">
        <v>12886</v>
      </c>
      <c r="QNG1" t="s">
        <v>12887</v>
      </c>
      <c r="QNH1" t="s">
        <v>12888</v>
      </c>
      <c r="QNI1" t="s">
        <v>12889</v>
      </c>
      <c r="QNJ1" t="s">
        <v>12890</v>
      </c>
      <c r="QNK1" t="s">
        <v>12891</v>
      </c>
      <c r="QNL1" t="s">
        <v>12892</v>
      </c>
      <c r="QNM1" t="s">
        <v>12893</v>
      </c>
      <c r="QNN1" t="s">
        <v>12894</v>
      </c>
      <c r="QNO1" t="s">
        <v>12895</v>
      </c>
      <c r="QNP1" t="s">
        <v>12896</v>
      </c>
      <c r="QNQ1" t="s">
        <v>12897</v>
      </c>
      <c r="QNR1" t="s">
        <v>12898</v>
      </c>
      <c r="QNS1" t="s">
        <v>12899</v>
      </c>
      <c r="QNT1" t="s">
        <v>12900</v>
      </c>
      <c r="QNU1" t="s">
        <v>12901</v>
      </c>
      <c r="QNV1" t="s">
        <v>12902</v>
      </c>
      <c r="QNW1" t="s">
        <v>12903</v>
      </c>
      <c r="QNX1" t="s">
        <v>12904</v>
      </c>
      <c r="QNY1" t="s">
        <v>12905</v>
      </c>
      <c r="QNZ1" t="s">
        <v>12906</v>
      </c>
      <c r="QOA1" t="s">
        <v>12907</v>
      </c>
      <c r="QOB1" t="s">
        <v>12908</v>
      </c>
      <c r="QOC1" t="s">
        <v>12909</v>
      </c>
      <c r="QOD1" t="s">
        <v>12910</v>
      </c>
      <c r="QOE1" t="s">
        <v>12911</v>
      </c>
      <c r="QOF1" t="s">
        <v>12912</v>
      </c>
      <c r="QOG1" t="s">
        <v>12913</v>
      </c>
      <c r="QOH1" t="s">
        <v>12914</v>
      </c>
      <c r="QOI1" t="s">
        <v>12915</v>
      </c>
      <c r="QOJ1" t="s">
        <v>12916</v>
      </c>
      <c r="QOK1" t="s">
        <v>12917</v>
      </c>
      <c r="QOL1" t="s">
        <v>12918</v>
      </c>
      <c r="QOM1" t="s">
        <v>12919</v>
      </c>
      <c r="QON1" t="s">
        <v>12920</v>
      </c>
      <c r="QOO1" t="s">
        <v>12921</v>
      </c>
      <c r="QOP1" t="s">
        <v>12922</v>
      </c>
      <c r="QOQ1" t="s">
        <v>12923</v>
      </c>
      <c r="QOR1" t="s">
        <v>12924</v>
      </c>
      <c r="QOS1" t="s">
        <v>12925</v>
      </c>
      <c r="QOT1" t="s">
        <v>12926</v>
      </c>
      <c r="QOU1" t="s">
        <v>12927</v>
      </c>
      <c r="QOV1" t="s">
        <v>12928</v>
      </c>
      <c r="QOW1" t="s">
        <v>12929</v>
      </c>
      <c r="QOX1" t="s">
        <v>12930</v>
      </c>
      <c r="QOY1" t="s">
        <v>12931</v>
      </c>
      <c r="QOZ1" t="s">
        <v>12932</v>
      </c>
      <c r="QPA1" t="s">
        <v>12933</v>
      </c>
      <c r="QPB1" t="s">
        <v>12934</v>
      </c>
      <c r="QPC1" t="s">
        <v>12935</v>
      </c>
      <c r="QPD1" t="s">
        <v>12936</v>
      </c>
      <c r="QPE1" t="s">
        <v>12937</v>
      </c>
      <c r="QPF1" t="s">
        <v>12938</v>
      </c>
      <c r="QPG1" t="s">
        <v>12939</v>
      </c>
      <c r="QPH1" t="s">
        <v>12940</v>
      </c>
      <c r="QPI1" t="s">
        <v>12941</v>
      </c>
      <c r="QPJ1" t="s">
        <v>12942</v>
      </c>
      <c r="QPK1" t="s">
        <v>12943</v>
      </c>
      <c r="QPL1" t="s">
        <v>12944</v>
      </c>
      <c r="QPM1" t="s">
        <v>12945</v>
      </c>
      <c r="QPN1" t="s">
        <v>12946</v>
      </c>
      <c r="QPO1" t="s">
        <v>12947</v>
      </c>
      <c r="QPP1" t="s">
        <v>12948</v>
      </c>
      <c r="QPQ1" t="s">
        <v>12949</v>
      </c>
      <c r="QPR1" t="s">
        <v>12950</v>
      </c>
      <c r="QPS1" t="s">
        <v>12951</v>
      </c>
      <c r="QPT1" t="s">
        <v>12952</v>
      </c>
      <c r="QPU1" t="s">
        <v>12953</v>
      </c>
      <c r="QPV1" t="s">
        <v>12954</v>
      </c>
      <c r="QPW1" t="s">
        <v>12955</v>
      </c>
      <c r="QPX1" t="s">
        <v>12956</v>
      </c>
      <c r="QPY1" t="s">
        <v>12957</v>
      </c>
      <c r="QPZ1" t="s">
        <v>12958</v>
      </c>
      <c r="QQA1" t="s">
        <v>12959</v>
      </c>
      <c r="QQB1" t="s">
        <v>12960</v>
      </c>
      <c r="QQC1" t="s">
        <v>12961</v>
      </c>
      <c r="QQD1" t="s">
        <v>12962</v>
      </c>
      <c r="QQE1" t="s">
        <v>12963</v>
      </c>
      <c r="QQF1" t="s">
        <v>12964</v>
      </c>
      <c r="QQG1" t="s">
        <v>12965</v>
      </c>
      <c r="QQH1" t="s">
        <v>12966</v>
      </c>
      <c r="QQI1" t="s">
        <v>12967</v>
      </c>
      <c r="QQJ1" t="s">
        <v>12968</v>
      </c>
      <c r="QQK1" t="s">
        <v>12969</v>
      </c>
      <c r="QQL1" t="s">
        <v>12970</v>
      </c>
      <c r="QQM1" t="s">
        <v>12971</v>
      </c>
      <c r="QQN1" t="s">
        <v>12972</v>
      </c>
      <c r="QQO1" t="s">
        <v>12973</v>
      </c>
      <c r="QQP1" t="s">
        <v>12974</v>
      </c>
      <c r="QQQ1" t="s">
        <v>12975</v>
      </c>
      <c r="QQR1" t="s">
        <v>12976</v>
      </c>
      <c r="QQS1" t="s">
        <v>12977</v>
      </c>
      <c r="QQT1" t="s">
        <v>12978</v>
      </c>
      <c r="QQU1" t="s">
        <v>12979</v>
      </c>
      <c r="QQV1" t="s">
        <v>12980</v>
      </c>
      <c r="QQW1" t="s">
        <v>12981</v>
      </c>
      <c r="QQX1" t="s">
        <v>12982</v>
      </c>
      <c r="QQY1" t="s">
        <v>12983</v>
      </c>
      <c r="QQZ1" t="s">
        <v>12984</v>
      </c>
      <c r="QRA1" t="s">
        <v>12985</v>
      </c>
      <c r="QRB1" t="s">
        <v>12986</v>
      </c>
      <c r="QRC1" t="s">
        <v>12987</v>
      </c>
      <c r="QRD1" t="s">
        <v>12988</v>
      </c>
      <c r="QRE1" t="s">
        <v>12989</v>
      </c>
      <c r="QRF1" t="s">
        <v>12990</v>
      </c>
      <c r="QRG1" t="s">
        <v>12991</v>
      </c>
      <c r="QRH1" t="s">
        <v>12992</v>
      </c>
      <c r="QRI1" t="s">
        <v>12993</v>
      </c>
      <c r="QRJ1" t="s">
        <v>12994</v>
      </c>
      <c r="QRK1" t="s">
        <v>12995</v>
      </c>
      <c r="QRL1" t="s">
        <v>12996</v>
      </c>
      <c r="QRM1" t="s">
        <v>12997</v>
      </c>
      <c r="QRN1" t="s">
        <v>12998</v>
      </c>
      <c r="QRO1" t="s">
        <v>12999</v>
      </c>
      <c r="QRP1" t="s">
        <v>13000</v>
      </c>
      <c r="QRQ1" t="s">
        <v>13001</v>
      </c>
      <c r="QRR1" t="s">
        <v>13002</v>
      </c>
      <c r="QRS1" t="s">
        <v>13003</v>
      </c>
      <c r="QRT1" t="s">
        <v>13004</v>
      </c>
      <c r="QRU1" t="s">
        <v>13005</v>
      </c>
      <c r="QRV1" t="s">
        <v>13006</v>
      </c>
      <c r="QRW1" t="s">
        <v>13007</v>
      </c>
      <c r="QRX1" t="s">
        <v>13008</v>
      </c>
      <c r="QRY1" t="s">
        <v>13009</v>
      </c>
      <c r="QRZ1" t="s">
        <v>13010</v>
      </c>
      <c r="QSA1" t="s">
        <v>13011</v>
      </c>
      <c r="QSB1" t="s">
        <v>13012</v>
      </c>
      <c r="QSC1" t="s">
        <v>13013</v>
      </c>
      <c r="QSD1" t="s">
        <v>13014</v>
      </c>
      <c r="QSE1" t="s">
        <v>13015</v>
      </c>
      <c r="QSF1" t="s">
        <v>13016</v>
      </c>
      <c r="QSG1" t="s">
        <v>13017</v>
      </c>
      <c r="QSH1" t="s">
        <v>13018</v>
      </c>
      <c r="QSI1" t="s">
        <v>13019</v>
      </c>
      <c r="QSJ1" t="s">
        <v>13020</v>
      </c>
      <c r="QSK1" t="s">
        <v>13021</v>
      </c>
      <c r="QSL1" t="s">
        <v>13022</v>
      </c>
      <c r="QSM1" t="s">
        <v>13023</v>
      </c>
      <c r="QSN1" t="s">
        <v>13024</v>
      </c>
      <c r="QSO1" t="s">
        <v>13025</v>
      </c>
      <c r="QSP1" t="s">
        <v>13026</v>
      </c>
      <c r="QSQ1" t="s">
        <v>13027</v>
      </c>
      <c r="QSR1" t="s">
        <v>13028</v>
      </c>
      <c r="QSS1" t="s">
        <v>13029</v>
      </c>
      <c r="QST1" t="s">
        <v>13030</v>
      </c>
      <c r="QSU1" t="s">
        <v>13031</v>
      </c>
      <c r="QSV1" t="s">
        <v>13032</v>
      </c>
      <c r="QSW1" t="s">
        <v>13033</v>
      </c>
      <c r="QSX1" t="s">
        <v>13034</v>
      </c>
      <c r="QSY1" t="s">
        <v>13035</v>
      </c>
      <c r="QSZ1" t="s">
        <v>13036</v>
      </c>
      <c r="QTA1" t="s">
        <v>13037</v>
      </c>
      <c r="QTB1" t="s">
        <v>13038</v>
      </c>
      <c r="QTC1" t="s">
        <v>13039</v>
      </c>
      <c r="QTD1" t="s">
        <v>13040</v>
      </c>
      <c r="QTE1" t="s">
        <v>13041</v>
      </c>
      <c r="QTF1" t="s">
        <v>13042</v>
      </c>
      <c r="QTG1" t="s">
        <v>13043</v>
      </c>
      <c r="QTH1" t="s">
        <v>13044</v>
      </c>
      <c r="QTI1" t="s">
        <v>13045</v>
      </c>
      <c r="QTJ1" t="s">
        <v>13046</v>
      </c>
      <c r="QTK1" t="s">
        <v>13047</v>
      </c>
      <c r="QTL1" t="s">
        <v>13048</v>
      </c>
      <c r="QTM1" t="s">
        <v>13049</v>
      </c>
      <c r="QTN1" t="s">
        <v>13050</v>
      </c>
      <c r="QTO1" t="s">
        <v>13051</v>
      </c>
      <c r="QTP1" t="s">
        <v>13052</v>
      </c>
      <c r="QTQ1" t="s">
        <v>13053</v>
      </c>
      <c r="QTR1" t="s">
        <v>13054</v>
      </c>
      <c r="QTS1" t="s">
        <v>13055</v>
      </c>
      <c r="QTT1" t="s">
        <v>13056</v>
      </c>
      <c r="QTU1" t="s">
        <v>13057</v>
      </c>
      <c r="QTV1" t="s">
        <v>13058</v>
      </c>
      <c r="QTW1" t="s">
        <v>13059</v>
      </c>
      <c r="QTX1" t="s">
        <v>13060</v>
      </c>
      <c r="QTY1" t="s">
        <v>13061</v>
      </c>
      <c r="QTZ1" t="s">
        <v>13062</v>
      </c>
      <c r="QUA1" t="s">
        <v>13063</v>
      </c>
      <c r="QUB1" t="s">
        <v>13064</v>
      </c>
      <c r="QUC1" t="s">
        <v>13065</v>
      </c>
      <c r="QUD1" t="s">
        <v>13066</v>
      </c>
      <c r="QUE1" t="s">
        <v>13067</v>
      </c>
      <c r="QUF1" t="s">
        <v>13068</v>
      </c>
      <c r="QUG1" t="s">
        <v>13069</v>
      </c>
      <c r="QUH1" t="s">
        <v>13070</v>
      </c>
      <c r="QUI1" t="s">
        <v>13071</v>
      </c>
      <c r="QUJ1" t="s">
        <v>13072</v>
      </c>
      <c r="QUK1" t="s">
        <v>13073</v>
      </c>
      <c r="QUL1" t="s">
        <v>13074</v>
      </c>
      <c r="QUM1" t="s">
        <v>13075</v>
      </c>
      <c r="QUN1" t="s">
        <v>13076</v>
      </c>
      <c r="QUO1" t="s">
        <v>13077</v>
      </c>
      <c r="QUP1" t="s">
        <v>13078</v>
      </c>
      <c r="QUQ1" t="s">
        <v>13079</v>
      </c>
      <c r="QUR1" t="s">
        <v>13080</v>
      </c>
      <c r="QUS1" t="s">
        <v>13081</v>
      </c>
      <c r="QUT1" t="s">
        <v>13082</v>
      </c>
      <c r="QUU1" t="s">
        <v>13083</v>
      </c>
      <c r="QUV1" t="s">
        <v>13084</v>
      </c>
      <c r="QUW1" t="s">
        <v>13085</v>
      </c>
      <c r="QUX1" t="s">
        <v>13086</v>
      </c>
      <c r="QUY1" t="s">
        <v>13087</v>
      </c>
      <c r="QUZ1" t="s">
        <v>13088</v>
      </c>
      <c r="QVA1" t="s">
        <v>13089</v>
      </c>
      <c r="QVB1" t="s">
        <v>13090</v>
      </c>
      <c r="QVC1" t="s">
        <v>13091</v>
      </c>
      <c r="QVD1" t="s">
        <v>13092</v>
      </c>
      <c r="QVE1" t="s">
        <v>13093</v>
      </c>
      <c r="QVF1" t="s">
        <v>13094</v>
      </c>
      <c r="QVG1" t="s">
        <v>13095</v>
      </c>
      <c r="QVH1" t="s">
        <v>13096</v>
      </c>
      <c r="QVI1" t="s">
        <v>13097</v>
      </c>
      <c r="QVJ1" t="s">
        <v>13098</v>
      </c>
      <c r="QVK1" t="s">
        <v>13099</v>
      </c>
      <c r="QVL1" t="s">
        <v>13100</v>
      </c>
      <c r="QVM1" t="s">
        <v>13101</v>
      </c>
      <c r="QVN1" t="s">
        <v>13102</v>
      </c>
      <c r="QVO1" t="s">
        <v>13103</v>
      </c>
      <c r="QVP1" t="s">
        <v>13104</v>
      </c>
      <c r="QVQ1" t="s">
        <v>13105</v>
      </c>
      <c r="QVR1" t="s">
        <v>13106</v>
      </c>
      <c r="QVS1" t="s">
        <v>13107</v>
      </c>
      <c r="QVT1" t="s">
        <v>13108</v>
      </c>
      <c r="QVU1" t="s">
        <v>13109</v>
      </c>
      <c r="QVV1" t="s">
        <v>13110</v>
      </c>
      <c r="QVW1" t="s">
        <v>13111</v>
      </c>
      <c r="QVX1" t="s">
        <v>13112</v>
      </c>
      <c r="QVY1" t="s">
        <v>13113</v>
      </c>
      <c r="QVZ1" t="s">
        <v>13114</v>
      </c>
      <c r="QWA1" t="s">
        <v>13115</v>
      </c>
      <c r="QWB1" t="s">
        <v>13116</v>
      </c>
      <c r="QWC1" t="s">
        <v>13117</v>
      </c>
      <c r="QWD1" t="s">
        <v>13118</v>
      </c>
      <c r="QWE1" t="s">
        <v>13119</v>
      </c>
      <c r="QWF1" t="s">
        <v>13120</v>
      </c>
      <c r="QWG1" t="s">
        <v>13121</v>
      </c>
      <c r="QWH1" t="s">
        <v>13122</v>
      </c>
      <c r="QWI1" t="s">
        <v>13123</v>
      </c>
      <c r="QWJ1" t="s">
        <v>13124</v>
      </c>
      <c r="QWK1" t="s">
        <v>13125</v>
      </c>
      <c r="QWL1" t="s">
        <v>13126</v>
      </c>
      <c r="QWM1" t="s">
        <v>13127</v>
      </c>
      <c r="QWN1" t="s">
        <v>13128</v>
      </c>
      <c r="QWO1" t="s">
        <v>13129</v>
      </c>
      <c r="QWP1" t="s">
        <v>13130</v>
      </c>
      <c r="QWQ1" t="s">
        <v>13131</v>
      </c>
      <c r="QWR1" t="s">
        <v>13132</v>
      </c>
      <c r="QWS1" t="s">
        <v>13133</v>
      </c>
      <c r="QWT1" t="s">
        <v>13134</v>
      </c>
      <c r="QWU1" t="s">
        <v>13135</v>
      </c>
      <c r="QWV1" t="s">
        <v>13136</v>
      </c>
      <c r="QWW1" t="s">
        <v>13137</v>
      </c>
      <c r="QWX1" t="s">
        <v>13138</v>
      </c>
      <c r="QWY1" t="s">
        <v>13139</v>
      </c>
      <c r="QWZ1" t="s">
        <v>13140</v>
      </c>
      <c r="QXA1" t="s">
        <v>13141</v>
      </c>
      <c r="QXB1" t="s">
        <v>13142</v>
      </c>
      <c r="QXC1" t="s">
        <v>13143</v>
      </c>
      <c r="QXD1" t="s">
        <v>13144</v>
      </c>
      <c r="QXE1" t="s">
        <v>13145</v>
      </c>
      <c r="QXF1" t="s">
        <v>13146</v>
      </c>
      <c r="QXG1" t="s">
        <v>13147</v>
      </c>
      <c r="QXH1" t="s">
        <v>13148</v>
      </c>
      <c r="QXI1" t="s">
        <v>13149</v>
      </c>
      <c r="QXJ1" t="s">
        <v>13150</v>
      </c>
      <c r="QXK1" t="s">
        <v>13151</v>
      </c>
      <c r="QXL1" t="s">
        <v>13152</v>
      </c>
      <c r="QXM1" t="s">
        <v>13153</v>
      </c>
      <c r="QXN1" t="s">
        <v>13154</v>
      </c>
      <c r="QXO1" t="s">
        <v>13155</v>
      </c>
      <c r="QXP1" t="s">
        <v>13156</v>
      </c>
      <c r="QXQ1" t="s">
        <v>13157</v>
      </c>
      <c r="QXR1" t="s">
        <v>13158</v>
      </c>
      <c r="QXS1" t="s">
        <v>13159</v>
      </c>
      <c r="QXT1" t="s">
        <v>13160</v>
      </c>
      <c r="QXU1" t="s">
        <v>13161</v>
      </c>
      <c r="QXV1" t="s">
        <v>13162</v>
      </c>
      <c r="QXW1" t="s">
        <v>13163</v>
      </c>
      <c r="QXX1" t="s">
        <v>13164</v>
      </c>
      <c r="QXY1" t="s">
        <v>13165</v>
      </c>
      <c r="QXZ1" t="s">
        <v>13166</v>
      </c>
      <c r="QYA1" t="s">
        <v>13167</v>
      </c>
      <c r="QYB1" t="s">
        <v>13168</v>
      </c>
      <c r="QYC1" t="s">
        <v>13169</v>
      </c>
      <c r="QYD1" t="s">
        <v>13170</v>
      </c>
      <c r="QYE1" t="s">
        <v>13171</v>
      </c>
      <c r="QYF1" t="s">
        <v>13172</v>
      </c>
      <c r="QYG1" t="s">
        <v>13173</v>
      </c>
      <c r="QYH1" t="s">
        <v>13174</v>
      </c>
      <c r="QYI1" t="s">
        <v>13175</v>
      </c>
      <c r="QYJ1" t="s">
        <v>13176</v>
      </c>
      <c r="QYK1" t="s">
        <v>13177</v>
      </c>
      <c r="QYL1" t="s">
        <v>13178</v>
      </c>
      <c r="QYM1" t="s">
        <v>13179</v>
      </c>
      <c r="QYN1" t="s">
        <v>13180</v>
      </c>
      <c r="QYO1" t="s">
        <v>13181</v>
      </c>
      <c r="QYP1" t="s">
        <v>13182</v>
      </c>
      <c r="QYQ1" t="s">
        <v>13183</v>
      </c>
      <c r="QYR1" t="s">
        <v>13184</v>
      </c>
      <c r="QYS1" t="s">
        <v>13185</v>
      </c>
      <c r="QYT1" t="s">
        <v>13186</v>
      </c>
      <c r="QYU1" t="s">
        <v>13187</v>
      </c>
      <c r="QYV1" t="s">
        <v>13188</v>
      </c>
      <c r="QYW1" t="s">
        <v>13189</v>
      </c>
      <c r="QYX1" t="s">
        <v>13190</v>
      </c>
      <c r="QYY1" t="s">
        <v>13191</v>
      </c>
      <c r="QYZ1" t="s">
        <v>13192</v>
      </c>
      <c r="QZA1" t="s">
        <v>13193</v>
      </c>
      <c r="QZB1" t="s">
        <v>13194</v>
      </c>
      <c r="QZC1" t="s">
        <v>13195</v>
      </c>
      <c r="QZD1" t="s">
        <v>13196</v>
      </c>
      <c r="QZE1" t="s">
        <v>13197</v>
      </c>
      <c r="QZF1" t="s">
        <v>13198</v>
      </c>
      <c r="QZG1" t="s">
        <v>13199</v>
      </c>
      <c r="QZH1" t="s">
        <v>13200</v>
      </c>
      <c r="QZI1" t="s">
        <v>13201</v>
      </c>
      <c r="QZJ1" t="s">
        <v>13202</v>
      </c>
      <c r="QZK1" t="s">
        <v>13203</v>
      </c>
      <c r="QZL1" t="s">
        <v>13204</v>
      </c>
      <c r="QZM1" t="s">
        <v>13205</v>
      </c>
      <c r="QZN1" t="s">
        <v>13206</v>
      </c>
      <c r="QZO1" t="s">
        <v>13207</v>
      </c>
      <c r="QZP1" t="s">
        <v>13208</v>
      </c>
      <c r="QZQ1" t="s">
        <v>13209</v>
      </c>
      <c r="QZR1" t="s">
        <v>13210</v>
      </c>
      <c r="QZS1" t="s">
        <v>13211</v>
      </c>
      <c r="QZT1" t="s">
        <v>13212</v>
      </c>
      <c r="QZU1" t="s">
        <v>13213</v>
      </c>
      <c r="QZV1" t="s">
        <v>13214</v>
      </c>
      <c r="QZW1" t="s">
        <v>13215</v>
      </c>
      <c r="QZX1" t="s">
        <v>13216</v>
      </c>
      <c r="QZY1" t="s">
        <v>13217</v>
      </c>
      <c r="QZZ1" t="s">
        <v>13218</v>
      </c>
      <c r="RAA1" t="s">
        <v>13219</v>
      </c>
      <c r="RAB1" t="s">
        <v>13220</v>
      </c>
      <c r="RAC1" t="s">
        <v>13221</v>
      </c>
      <c r="RAD1" t="s">
        <v>13222</v>
      </c>
      <c r="RAE1" t="s">
        <v>13223</v>
      </c>
      <c r="RAF1" t="s">
        <v>13224</v>
      </c>
      <c r="RAG1" t="s">
        <v>13225</v>
      </c>
      <c r="RAH1" t="s">
        <v>13226</v>
      </c>
      <c r="RAI1" t="s">
        <v>13227</v>
      </c>
      <c r="RAJ1" t="s">
        <v>13228</v>
      </c>
      <c r="RAK1" t="s">
        <v>13229</v>
      </c>
      <c r="RAL1" t="s">
        <v>13230</v>
      </c>
      <c r="RAM1" t="s">
        <v>13231</v>
      </c>
      <c r="RAN1" t="s">
        <v>13232</v>
      </c>
      <c r="RAO1" t="s">
        <v>13233</v>
      </c>
      <c r="RAP1" t="s">
        <v>13234</v>
      </c>
      <c r="RAQ1" t="s">
        <v>13235</v>
      </c>
      <c r="RAR1" t="s">
        <v>13236</v>
      </c>
      <c r="RAS1" t="s">
        <v>13237</v>
      </c>
      <c r="RAT1" t="s">
        <v>13238</v>
      </c>
      <c r="RAU1" t="s">
        <v>13239</v>
      </c>
      <c r="RAV1" t="s">
        <v>13240</v>
      </c>
      <c r="RAW1" t="s">
        <v>13241</v>
      </c>
      <c r="RAX1" t="s">
        <v>13242</v>
      </c>
      <c r="RAY1" t="s">
        <v>13243</v>
      </c>
      <c r="RAZ1" t="s">
        <v>13244</v>
      </c>
      <c r="RBA1" t="s">
        <v>13245</v>
      </c>
      <c r="RBB1" t="s">
        <v>13246</v>
      </c>
      <c r="RBC1" t="s">
        <v>13247</v>
      </c>
      <c r="RBD1" t="s">
        <v>13248</v>
      </c>
      <c r="RBE1" t="s">
        <v>13249</v>
      </c>
      <c r="RBF1" t="s">
        <v>13250</v>
      </c>
      <c r="RBG1" t="s">
        <v>13251</v>
      </c>
      <c r="RBH1" t="s">
        <v>13252</v>
      </c>
      <c r="RBI1" t="s">
        <v>13253</v>
      </c>
      <c r="RBJ1" t="s">
        <v>13254</v>
      </c>
      <c r="RBK1" t="s">
        <v>13255</v>
      </c>
      <c r="RBL1" t="s">
        <v>13256</v>
      </c>
      <c r="RBM1" t="s">
        <v>13257</v>
      </c>
      <c r="RBN1" t="s">
        <v>13258</v>
      </c>
      <c r="RBO1" t="s">
        <v>13259</v>
      </c>
      <c r="RBP1" t="s">
        <v>13260</v>
      </c>
      <c r="RBQ1" t="s">
        <v>13261</v>
      </c>
      <c r="RBR1" t="s">
        <v>13262</v>
      </c>
      <c r="RBS1" t="s">
        <v>13263</v>
      </c>
      <c r="RBT1" t="s">
        <v>13264</v>
      </c>
      <c r="RBU1" t="s">
        <v>13265</v>
      </c>
      <c r="RBV1" t="s">
        <v>13266</v>
      </c>
      <c r="RBW1" t="s">
        <v>13267</v>
      </c>
      <c r="RBX1" t="s">
        <v>13268</v>
      </c>
      <c r="RBY1" t="s">
        <v>13269</v>
      </c>
      <c r="RBZ1" t="s">
        <v>13270</v>
      </c>
      <c r="RCA1" t="s">
        <v>13271</v>
      </c>
      <c r="RCB1" t="s">
        <v>13272</v>
      </c>
      <c r="RCC1" t="s">
        <v>13273</v>
      </c>
      <c r="RCD1" t="s">
        <v>13274</v>
      </c>
      <c r="RCE1" t="s">
        <v>13275</v>
      </c>
      <c r="RCF1" t="s">
        <v>13276</v>
      </c>
      <c r="RCG1" t="s">
        <v>13277</v>
      </c>
      <c r="RCH1" t="s">
        <v>13278</v>
      </c>
      <c r="RCI1" t="s">
        <v>13279</v>
      </c>
      <c r="RCJ1" t="s">
        <v>13280</v>
      </c>
      <c r="RCK1" t="s">
        <v>13281</v>
      </c>
      <c r="RCL1" t="s">
        <v>13282</v>
      </c>
      <c r="RCM1" t="s">
        <v>13283</v>
      </c>
      <c r="RCN1" t="s">
        <v>13284</v>
      </c>
      <c r="RCO1" t="s">
        <v>13285</v>
      </c>
      <c r="RCP1" t="s">
        <v>13286</v>
      </c>
      <c r="RCQ1" t="s">
        <v>13287</v>
      </c>
      <c r="RCR1" t="s">
        <v>13288</v>
      </c>
      <c r="RCS1" t="s">
        <v>13289</v>
      </c>
      <c r="RCT1" t="s">
        <v>13290</v>
      </c>
      <c r="RCU1" t="s">
        <v>13291</v>
      </c>
      <c r="RCV1" t="s">
        <v>13292</v>
      </c>
      <c r="RCW1" t="s">
        <v>13293</v>
      </c>
      <c r="RCX1" t="s">
        <v>13294</v>
      </c>
      <c r="RCY1" t="s">
        <v>13295</v>
      </c>
      <c r="RCZ1" t="s">
        <v>13296</v>
      </c>
      <c r="RDA1" t="s">
        <v>13297</v>
      </c>
      <c r="RDB1" t="s">
        <v>13298</v>
      </c>
      <c r="RDC1" t="s">
        <v>13299</v>
      </c>
      <c r="RDD1" t="s">
        <v>13300</v>
      </c>
      <c r="RDE1" t="s">
        <v>13301</v>
      </c>
      <c r="RDF1" t="s">
        <v>13302</v>
      </c>
      <c r="RDG1" t="s">
        <v>13303</v>
      </c>
      <c r="RDH1" t="s">
        <v>13304</v>
      </c>
      <c r="RDI1" t="s">
        <v>13305</v>
      </c>
      <c r="RDJ1" t="s">
        <v>13306</v>
      </c>
      <c r="RDK1" t="s">
        <v>13307</v>
      </c>
      <c r="RDL1" t="s">
        <v>13308</v>
      </c>
      <c r="RDM1" t="s">
        <v>13309</v>
      </c>
      <c r="RDN1" t="s">
        <v>13310</v>
      </c>
      <c r="RDO1" t="s">
        <v>13311</v>
      </c>
      <c r="RDP1" t="s">
        <v>13312</v>
      </c>
      <c r="RDQ1" t="s">
        <v>13313</v>
      </c>
      <c r="RDR1" t="s">
        <v>13314</v>
      </c>
      <c r="RDS1" t="s">
        <v>13315</v>
      </c>
      <c r="RDT1" t="s">
        <v>13316</v>
      </c>
      <c r="RDU1" t="s">
        <v>13317</v>
      </c>
      <c r="RDV1" t="s">
        <v>13318</v>
      </c>
      <c r="RDW1" t="s">
        <v>13319</v>
      </c>
      <c r="RDX1" t="s">
        <v>13320</v>
      </c>
      <c r="RDY1" t="s">
        <v>13321</v>
      </c>
      <c r="RDZ1" t="s">
        <v>13322</v>
      </c>
      <c r="REA1" t="s">
        <v>13323</v>
      </c>
      <c r="REB1" t="s">
        <v>13324</v>
      </c>
      <c r="REC1" t="s">
        <v>13325</v>
      </c>
      <c r="RED1" t="s">
        <v>13326</v>
      </c>
      <c r="REE1" t="s">
        <v>13327</v>
      </c>
      <c r="REF1" t="s">
        <v>13328</v>
      </c>
      <c r="REG1" t="s">
        <v>13329</v>
      </c>
      <c r="REH1" t="s">
        <v>13330</v>
      </c>
      <c r="REI1" t="s">
        <v>13331</v>
      </c>
      <c r="REJ1" t="s">
        <v>13332</v>
      </c>
      <c r="REK1" t="s">
        <v>13333</v>
      </c>
      <c r="REL1" t="s">
        <v>13334</v>
      </c>
      <c r="REM1" t="s">
        <v>13335</v>
      </c>
      <c r="REN1" t="s">
        <v>13336</v>
      </c>
      <c r="REO1" t="s">
        <v>13337</v>
      </c>
      <c r="REP1" t="s">
        <v>13338</v>
      </c>
      <c r="REQ1" t="s">
        <v>13339</v>
      </c>
      <c r="RER1" t="s">
        <v>13340</v>
      </c>
      <c r="RES1" t="s">
        <v>13341</v>
      </c>
      <c r="RET1" t="s">
        <v>13342</v>
      </c>
      <c r="REU1" t="s">
        <v>13343</v>
      </c>
      <c r="REV1" t="s">
        <v>13344</v>
      </c>
      <c r="REW1" t="s">
        <v>13345</v>
      </c>
      <c r="REX1" t="s">
        <v>13346</v>
      </c>
      <c r="REY1" t="s">
        <v>13347</v>
      </c>
      <c r="REZ1" t="s">
        <v>13348</v>
      </c>
      <c r="RFA1" t="s">
        <v>13349</v>
      </c>
      <c r="RFB1" t="s">
        <v>13350</v>
      </c>
      <c r="RFC1" t="s">
        <v>13351</v>
      </c>
      <c r="RFD1" t="s">
        <v>13352</v>
      </c>
      <c r="RFE1" t="s">
        <v>13353</v>
      </c>
      <c r="RFF1" t="s">
        <v>13354</v>
      </c>
      <c r="RFG1" t="s">
        <v>13355</v>
      </c>
      <c r="RFH1" t="s">
        <v>13356</v>
      </c>
      <c r="RFI1" t="s">
        <v>13357</v>
      </c>
      <c r="RFJ1" t="s">
        <v>13358</v>
      </c>
      <c r="RFK1" t="s">
        <v>13359</v>
      </c>
      <c r="RFL1" t="s">
        <v>13360</v>
      </c>
      <c r="RFM1" t="s">
        <v>13361</v>
      </c>
      <c r="RFN1" t="s">
        <v>13362</v>
      </c>
      <c r="RFO1" t="s">
        <v>13363</v>
      </c>
      <c r="RFP1" t="s">
        <v>13364</v>
      </c>
      <c r="RFQ1" t="s">
        <v>13365</v>
      </c>
      <c r="RFR1" t="s">
        <v>13366</v>
      </c>
      <c r="RFS1" t="s">
        <v>13367</v>
      </c>
      <c r="RFT1" t="s">
        <v>13368</v>
      </c>
      <c r="RFU1" t="s">
        <v>13369</v>
      </c>
      <c r="RFV1" t="s">
        <v>13370</v>
      </c>
      <c r="RFW1" t="s">
        <v>13371</v>
      </c>
      <c r="RFX1" t="s">
        <v>13372</v>
      </c>
      <c r="RFY1" t="s">
        <v>13373</v>
      </c>
      <c r="RFZ1" t="s">
        <v>13374</v>
      </c>
      <c r="RGA1" t="s">
        <v>13375</v>
      </c>
      <c r="RGB1" t="s">
        <v>13376</v>
      </c>
      <c r="RGC1" t="s">
        <v>13377</v>
      </c>
      <c r="RGD1" t="s">
        <v>13378</v>
      </c>
      <c r="RGE1" t="s">
        <v>13379</v>
      </c>
      <c r="RGF1" t="s">
        <v>13380</v>
      </c>
      <c r="RGG1" t="s">
        <v>13381</v>
      </c>
      <c r="RGH1" t="s">
        <v>13382</v>
      </c>
      <c r="RGI1" t="s">
        <v>13383</v>
      </c>
      <c r="RGJ1" t="s">
        <v>13384</v>
      </c>
      <c r="RGK1" t="s">
        <v>13385</v>
      </c>
      <c r="RGL1" t="s">
        <v>13386</v>
      </c>
      <c r="RGM1" t="s">
        <v>13387</v>
      </c>
      <c r="RGN1" t="s">
        <v>13388</v>
      </c>
      <c r="RGO1" t="s">
        <v>13389</v>
      </c>
      <c r="RGP1" t="s">
        <v>13390</v>
      </c>
      <c r="RGQ1" t="s">
        <v>13391</v>
      </c>
      <c r="RGR1" t="s">
        <v>13392</v>
      </c>
      <c r="RGS1" t="s">
        <v>13393</v>
      </c>
      <c r="RGT1" t="s">
        <v>13394</v>
      </c>
      <c r="RGU1" t="s">
        <v>13395</v>
      </c>
      <c r="RGV1" t="s">
        <v>13396</v>
      </c>
      <c r="RGW1" t="s">
        <v>13397</v>
      </c>
      <c r="RGX1" t="s">
        <v>13398</v>
      </c>
      <c r="RGY1" t="s">
        <v>13399</v>
      </c>
      <c r="RGZ1" t="s">
        <v>13400</v>
      </c>
      <c r="RHA1" t="s">
        <v>13401</v>
      </c>
      <c r="RHB1" t="s">
        <v>13402</v>
      </c>
      <c r="RHC1" t="s">
        <v>13403</v>
      </c>
      <c r="RHD1" t="s">
        <v>13404</v>
      </c>
      <c r="RHE1" t="s">
        <v>13405</v>
      </c>
      <c r="RHF1" t="s">
        <v>13406</v>
      </c>
      <c r="RHG1" t="s">
        <v>13407</v>
      </c>
      <c r="RHH1" t="s">
        <v>13408</v>
      </c>
      <c r="RHI1" t="s">
        <v>13409</v>
      </c>
      <c r="RHJ1" t="s">
        <v>13410</v>
      </c>
      <c r="RHK1" t="s">
        <v>13411</v>
      </c>
      <c r="RHL1" t="s">
        <v>13412</v>
      </c>
      <c r="RHM1" t="s">
        <v>13413</v>
      </c>
      <c r="RHN1" t="s">
        <v>13414</v>
      </c>
      <c r="RHO1" t="s">
        <v>13415</v>
      </c>
      <c r="RHP1" t="s">
        <v>13416</v>
      </c>
      <c r="RHQ1" t="s">
        <v>13417</v>
      </c>
      <c r="RHR1" t="s">
        <v>13418</v>
      </c>
      <c r="RHS1" t="s">
        <v>13419</v>
      </c>
      <c r="RHT1" t="s">
        <v>13420</v>
      </c>
      <c r="RHU1" t="s">
        <v>13421</v>
      </c>
      <c r="RHV1" t="s">
        <v>13422</v>
      </c>
      <c r="RHW1" t="s">
        <v>13423</v>
      </c>
      <c r="RHX1" t="s">
        <v>13424</v>
      </c>
      <c r="RHY1" t="s">
        <v>13425</v>
      </c>
      <c r="RHZ1" t="s">
        <v>13426</v>
      </c>
      <c r="RIA1" t="s">
        <v>13427</v>
      </c>
      <c r="RIB1" t="s">
        <v>13428</v>
      </c>
      <c r="RIC1" t="s">
        <v>13429</v>
      </c>
      <c r="RID1" t="s">
        <v>13430</v>
      </c>
      <c r="RIE1" t="s">
        <v>13431</v>
      </c>
      <c r="RIF1" t="s">
        <v>13432</v>
      </c>
      <c r="RIG1" t="s">
        <v>13433</v>
      </c>
      <c r="RIH1" t="s">
        <v>13434</v>
      </c>
      <c r="RII1" t="s">
        <v>13435</v>
      </c>
      <c r="RIJ1" t="s">
        <v>13436</v>
      </c>
      <c r="RIK1" t="s">
        <v>13437</v>
      </c>
      <c r="RIL1" t="s">
        <v>13438</v>
      </c>
      <c r="RIM1" t="s">
        <v>13439</v>
      </c>
      <c r="RIN1" t="s">
        <v>13440</v>
      </c>
      <c r="RIO1" t="s">
        <v>13441</v>
      </c>
      <c r="RIP1" t="s">
        <v>13442</v>
      </c>
      <c r="RIQ1" t="s">
        <v>13443</v>
      </c>
      <c r="RIR1" t="s">
        <v>13444</v>
      </c>
      <c r="RIS1" t="s">
        <v>13445</v>
      </c>
      <c r="RIT1" t="s">
        <v>13446</v>
      </c>
      <c r="RIU1" t="s">
        <v>13447</v>
      </c>
      <c r="RIV1" t="s">
        <v>13448</v>
      </c>
      <c r="RIW1" t="s">
        <v>13449</v>
      </c>
      <c r="RIX1" t="s">
        <v>13450</v>
      </c>
      <c r="RIY1" t="s">
        <v>13451</v>
      </c>
      <c r="RIZ1" t="s">
        <v>13452</v>
      </c>
      <c r="RJA1" t="s">
        <v>13453</v>
      </c>
      <c r="RJB1" t="s">
        <v>13454</v>
      </c>
      <c r="RJC1" t="s">
        <v>13455</v>
      </c>
      <c r="RJD1" t="s">
        <v>13456</v>
      </c>
      <c r="RJE1" t="s">
        <v>13457</v>
      </c>
      <c r="RJF1" t="s">
        <v>13458</v>
      </c>
      <c r="RJG1" t="s">
        <v>13459</v>
      </c>
      <c r="RJH1" t="s">
        <v>13460</v>
      </c>
      <c r="RJI1" t="s">
        <v>13461</v>
      </c>
      <c r="RJJ1" t="s">
        <v>13462</v>
      </c>
      <c r="RJK1" t="s">
        <v>13463</v>
      </c>
      <c r="RJL1" t="s">
        <v>13464</v>
      </c>
      <c r="RJM1" t="s">
        <v>13465</v>
      </c>
      <c r="RJN1" t="s">
        <v>13466</v>
      </c>
      <c r="RJO1" t="s">
        <v>13467</v>
      </c>
      <c r="RJP1" t="s">
        <v>13468</v>
      </c>
      <c r="RJQ1" t="s">
        <v>13469</v>
      </c>
      <c r="RJR1" t="s">
        <v>13470</v>
      </c>
      <c r="RJS1" t="s">
        <v>13471</v>
      </c>
      <c r="RJT1" t="s">
        <v>13472</v>
      </c>
      <c r="RJU1" t="s">
        <v>13473</v>
      </c>
      <c r="RJV1" t="s">
        <v>13474</v>
      </c>
      <c r="RJW1" t="s">
        <v>13475</v>
      </c>
      <c r="RJX1" t="s">
        <v>13476</v>
      </c>
      <c r="RJY1" t="s">
        <v>13477</v>
      </c>
      <c r="RJZ1" t="s">
        <v>13478</v>
      </c>
      <c r="RKA1" t="s">
        <v>13479</v>
      </c>
      <c r="RKB1" t="s">
        <v>13480</v>
      </c>
      <c r="RKC1" t="s">
        <v>13481</v>
      </c>
      <c r="RKD1" t="s">
        <v>13482</v>
      </c>
      <c r="RKE1" t="s">
        <v>13483</v>
      </c>
      <c r="RKF1" t="s">
        <v>13484</v>
      </c>
      <c r="RKG1" t="s">
        <v>13485</v>
      </c>
      <c r="RKH1" t="s">
        <v>13486</v>
      </c>
      <c r="RKI1" t="s">
        <v>13487</v>
      </c>
      <c r="RKJ1" t="s">
        <v>13488</v>
      </c>
      <c r="RKK1" t="s">
        <v>13489</v>
      </c>
      <c r="RKL1" t="s">
        <v>13490</v>
      </c>
      <c r="RKM1" t="s">
        <v>13491</v>
      </c>
      <c r="RKN1" t="s">
        <v>13492</v>
      </c>
      <c r="RKO1" t="s">
        <v>13493</v>
      </c>
      <c r="RKP1" t="s">
        <v>13494</v>
      </c>
      <c r="RKQ1" t="s">
        <v>13495</v>
      </c>
      <c r="RKR1" t="s">
        <v>13496</v>
      </c>
      <c r="RKS1" t="s">
        <v>13497</v>
      </c>
      <c r="RKT1" t="s">
        <v>13498</v>
      </c>
      <c r="RKU1" t="s">
        <v>13499</v>
      </c>
      <c r="RKV1" t="s">
        <v>13500</v>
      </c>
      <c r="RKW1" t="s">
        <v>13501</v>
      </c>
      <c r="RKX1" t="s">
        <v>13502</v>
      </c>
      <c r="RKY1" t="s">
        <v>13503</v>
      </c>
      <c r="RKZ1" t="s">
        <v>13504</v>
      </c>
      <c r="RLA1" t="s">
        <v>13505</v>
      </c>
      <c r="RLB1" t="s">
        <v>13506</v>
      </c>
      <c r="RLC1" t="s">
        <v>13507</v>
      </c>
      <c r="RLD1" t="s">
        <v>13508</v>
      </c>
      <c r="RLE1" t="s">
        <v>13509</v>
      </c>
      <c r="RLF1" t="s">
        <v>13510</v>
      </c>
      <c r="RLG1" t="s">
        <v>13511</v>
      </c>
      <c r="RLH1" t="s">
        <v>13512</v>
      </c>
      <c r="RLI1" t="s">
        <v>13513</v>
      </c>
      <c r="RLJ1" t="s">
        <v>13514</v>
      </c>
      <c r="RLK1" t="s">
        <v>13515</v>
      </c>
      <c r="RLL1" t="s">
        <v>13516</v>
      </c>
      <c r="RLM1" t="s">
        <v>13517</v>
      </c>
      <c r="RLN1" t="s">
        <v>13518</v>
      </c>
      <c r="RLO1" t="s">
        <v>13519</v>
      </c>
      <c r="RLP1" t="s">
        <v>13520</v>
      </c>
      <c r="RLQ1" t="s">
        <v>13521</v>
      </c>
      <c r="RLR1" t="s">
        <v>13522</v>
      </c>
      <c r="RLS1" t="s">
        <v>13523</v>
      </c>
      <c r="RLT1" t="s">
        <v>13524</v>
      </c>
      <c r="RLU1" t="s">
        <v>13525</v>
      </c>
      <c r="RLV1" t="s">
        <v>13526</v>
      </c>
      <c r="RLW1" t="s">
        <v>13527</v>
      </c>
      <c r="RLX1" t="s">
        <v>13528</v>
      </c>
      <c r="RLY1" t="s">
        <v>13529</v>
      </c>
      <c r="RLZ1" t="s">
        <v>13530</v>
      </c>
      <c r="RMA1" t="s">
        <v>13531</v>
      </c>
      <c r="RMB1" t="s">
        <v>13532</v>
      </c>
      <c r="RMC1" t="s">
        <v>13533</v>
      </c>
      <c r="RMD1" t="s">
        <v>13534</v>
      </c>
      <c r="RME1" t="s">
        <v>13535</v>
      </c>
      <c r="RMF1" t="s">
        <v>13536</v>
      </c>
      <c r="RMG1" t="s">
        <v>13537</v>
      </c>
      <c r="RMH1" t="s">
        <v>13538</v>
      </c>
      <c r="RMI1" t="s">
        <v>13539</v>
      </c>
      <c r="RMJ1" t="s">
        <v>13540</v>
      </c>
      <c r="RMK1" t="s">
        <v>13541</v>
      </c>
      <c r="RML1" t="s">
        <v>13542</v>
      </c>
      <c r="RMM1" t="s">
        <v>13543</v>
      </c>
      <c r="RMN1" t="s">
        <v>13544</v>
      </c>
      <c r="RMO1" t="s">
        <v>13545</v>
      </c>
      <c r="RMP1" t="s">
        <v>13546</v>
      </c>
      <c r="RMQ1" t="s">
        <v>13547</v>
      </c>
      <c r="RMR1" t="s">
        <v>13548</v>
      </c>
      <c r="RMS1" t="s">
        <v>13549</v>
      </c>
      <c r="RMT1" t="s">
        <v>13550</v>
      </c>
      <c r="RMU1" t="s">
        <v>13551</v>
      </c>
      <c r="RMV1" t="s">
        <v>13552</v>
      </c>
      <c r="RMW1" t="s">
        <v>13553</v>
      </c>
      <c r="RMX1" t="s">
        <v>13554</v>
      </c>
      <c r="RMY1" t="s">
        <v>13555</v>
      </c>
      <c r="RMZ1" t="s">
        <v>13556</v>
      </c>
      <c r="RNA1" t="s">
        <v>13557</v>
      </c>
      <c r="RNB1" t="s">
        <v>13558</v>
      </c>
      <c r="RNC1" t="s">
        <v>13559</v>
      </c>
      <c r="RND1" t="s">
        <v>13560</v>
      </c>
      <c r="RNE1" t="s">
        <v>13561</v>
      </c>
      <c r="RNF1" t="s">
        <v>13562</v>
      </c>
      <c r="RNG1" t="s">
        <v>13563</v>
      </c>
      <c r="RNH1" t="s">
        <v>13564</v>
      </c>
      <c r="RNI1" t="s">
        <v>13565</v>
      </c>
      <c r="RNJ1" t="s">
        <v>13566</v>
      </c>
      <c r="RNK1" t="s">
        <v>13567</v>
      </c>
      <c r="RNL1" t="s">
        <v>13568</v>
      </c>
      <c r="RNM1" t="s">
        <v>13569</v>
      </c>
      <c r="RNN1" t="s">
        <v>13570</v>
      </c>
      <c r="RNO1" t="s">
        <v>13571</v>
      </c>
      <c r="RNP1" t="s">
        <v>13572</v>
      </c>
      <c r="RNQ1" t="s">
        <v>13573</v>
      </c>
      <c r="RNR1" t="s">
        <v>13574</v>
      </c>
      <c r="RNS1" t="s">
        <v>13575</v>
      </c>
      <c r="RNT1" t="s">
        <v>13576</v>
      </c>
      <c r="RNU1" t="s">
        <v>13577</v>
      </c>
      <c r="RNV1" t="s">
        <v>13578</v>
      </c>
      <c r="RNW1" t="s">
        <v>13579</v>
      </c>
      <c r="RNX1" t="s">
        <v>13580</v>
      </c>
      <c r="RNY1" t="s">
        <v>13581</v>
      </c>
      <c r="RNZ1" t="s">
        <v>13582</v>
      </c>
      <c r="ROA1" t="s">
        <v>13583</v>
      </c>
      <c r="ROB1" t="s">
        <v>13584</v>
      </c>
      <c r="ROC1" t="s">
        <v>13585</v>
      </c>
      <c r="ROD1" t="s">
        <v>13586</v>
      </c>
      <c r="ROE1" t="s">
        <v>13587</v>
      </c>
      <c r="ROF1" t="s">
        <v>13588</v>
      </c>
      <c r="ROG1" t="s">
        <v>13589</v>
      </c>
      <c r="ROH1" t="s">
        <v>13590</v>
      </c>
      <c r="ROI1" t="s">
        <v>13591</v>
      </c>
      <c r="ROJ1" t="s">
        <v>13592</v>
      </c>
      <c r="ROK1" t="s">
        <v>13593</v>
      </c>
      <c r="ROL1" t="s">
        <v>13594</v>
      </c>
      <c r="ROM1" t="s">
        <v>13595</v>
      </c>
      <c r="RON1" t="s">
        <v>13596</v>
      </c>
      <c r="ROO1" t="s">
        <v>13597</v>
      </c>
      <c r="ROP1" t="s">
        <v>13598</v>
      </c>
      <c r="ROQ1" t="s">
        <v>13599</v>
      </c>
      <c r="ROR1" t="s">
        <v>13600</v>
      </c>
      <c r="ROS1" t="s">
        <v>13601</v>
      </c>
      <c r="ROT1" t="s">
        <v>13602</v>
      </c>
      <c r="ROU1" t="s">
        <v>13603</v>
      </c>
      <c r="ROV1" t="s">
        <v>13604</v>
      </c>
      <c r="ROW1" t="s">
        <v>13605</v>
      </c>
      <c r="ROX1" t="s">
        <v>13606</v>
      </c>
      <c r="ROY1" t="s">
        <v>13607</v>
      </c>
      <c r="ROZ1" t="s">
        <v>13608</v>
      </c>
      <c r="RPA1" t="s">
        <v>13609</v>
      </c>
      <c r="RPB1" t="s">
        <v>13610</v>
      </c>
      <c r="RPC1" t="s">
        <v>13611</v>
      </c>
      <c r="RPD1" t="s">
        <v>13612</v>
      </c>
      <c r="RPE1" t="s">
        <v>13613</v>
      </c>
      <c r="RPF1" t="s">
        <v>13614</v>
      </c>
      <c r="RPG1" t="s">
        <v>13615</v>
      </c>
      <c r="RPH1" t="s">
        <v>13616</v>
      </c>
      <c r="RPI1" t="s">
        <v>13617</v>
      </c>
      <c r="RPJ1" t="s">
        <v>13618</v>
      </c>
      <c r="RPK1" t="s">
        <v>13619</v>
      </c>
      <c r="RPL1" t="s">
        <v>13620</v>
      </c>
      <c r="RPM1" t="s">
        <v>13621</v>
      </c>
      <c r="RPN1" t="s">
        <v>13622</v>
      </c>
      <c r="RPO1" t="s">
        <v>13623</v>
      </c>
      <c r="RPP1" t="s">
        <v>13624</v>
      </c>
      <c r="RPQ1" t="s">
        <v>13625</v>
      </c>
      <c r="RPR1" t="s">
        <v>13626</v>
      </c>
      <c r="RPS1" t="s">
        <v>13627</v>
      </c>
      <c r="RPT1" t="s">
        <v>13628</v>
      </c>
      <c r="RPU1" t="s">
        <v>13629</v>
      </c>
      <c r="RPV1" t="s">
        <v>13630</v>
      </c>
      <c r="RPW1" t="s">
        <v>13631</v>
      </c>
      <c r="RPX1" t="s">
        <v>13632</v>
      </c>
      <c r="RPY1" t="s">
        <v>13633</v>
      </c>
      <c r="RPZ1" t="s">
        <v>13634</v>
      </c>
      <c r="RQA1" t="s">
        <v>13635</v>
      </c>
      <c r="RQB1" t="s">
        <v>13636</v>
      </c>
      <c r="RQC1" t="s">
        <v>13637</v>
      </c>
      <c r="RQD1" t="s">
        <v>13638</v>
      </c>
      <c r="RQE1" t="s">
        <v>13639</v>
      </c>
      <c r="RQF1" t="s">
        <v>13640</v>
      </c>
      <c r="RQG1" t="s">
        <v>13641</v>
      </c>
      <c r="RQH1" t="s">
        <v>13642</v>
      </c>
      <c r="RQI1" t="s">
        <v>13643</v>
      </c>
      <c r="RQJ1" t="s">
        <v>13644</v>
      </c>
      <c r="RQK1" t="s">
        <v>13645</v>
      </c>
      <c r="RQL1" t="s">
        <v>13646</v>
      </c>
      <c r="RQM1" t="s">
        <v>13647</v>
      </c>
      <c r="RQN1" t="s">
        <v>13648</v>
      </c>
      <c r="RQO1" t="s">
        <v>13649</v>
      </c>
      <c r="RQP1" t="s">
        <v>13650</v>
      </c>
      <c r="RQQ1" t="s">
        <v>13651</v>
      </c>
      <c r="RQR1" t="s">
        <v>13652</v>
      </c>
      <c r="RQS1" t="s">
        <v>13653</v>
      </c>
      <c r="RQT1" t="s">
        <v>13654</v>
      </c>
      <c r="RQU1" t="s">
        <v>13655</v>
      </c>
      <c r="RQV1" t="s">
        <v>13656</v>
      </c>
      <c r="RQW1" t="s">
        <v>13657</v>
      </c>
      <c r="RQX1" t="s">
        <v>13658</v>
      </c>
      <c r="RQY1" t="s">
        <v>13659</v>
      </c>
      <c r="RQZ1" t="s">
        <v>13660</v>
      </c>
      <c r="RRA1" t="s">
        <v>13661</v>
      </c>
      <c r="RRB1" t="s">
        <v>13662</v>
      </c>
      <c r="RRC1" t="s">
        <v>13663</v>
      </c>
      <c r="RRD1" t="s">
        <v>13664</v>
      </c>
      <c r="RRE1" t="s">
        <v>13665</v>
      </c>
      <c r="RRF1" t="s">
        <v>13666</v>
      </c>
      <c r="RRG1" t="s">
        <v>13667</v>
      </c>
      <c r="RRH1" t="s">
        <v>13668</v>
      </c>
      <c r="RRI1" t="s">
        <v>13669</v>
      </c>
      <c r="RRJ1" t="s">
        <v>13670</v>
      </c>
      <c r="RRK1" t="s">
        <v>13671</v>
      </c>
      <c r="RRL1" t="s">
        <v>13672</v>
      </c>
      <c r="RRM1" t="s">
        <v>13673</v>
      </c>
      <c r="RRN1" t="s">
        <v>13674</v>
      </c>
      <c r="RRO1" t="s">
        <v>13675</v>
      </c>
      <c r="RRP1" t="s">
        <v>13676</v>
      </c>
      <c r="RRQ1" t="s">
        <v>13677</v>
      </c>
      <c r="RRR1" t="s">
        <v>13678</v>
      </c>
      <c r="RRS1" t="s">
        <v>13679</v>
      </c>
      <c r="RRT1" t="s">
        <v>13680</v>
      </c>
      <c r="RRU1" t="s">
        <v>13681</v>
      </c>
      <c r="RRV1" t="s">
        <v>13682</v>
      </c>
      <c r="RRW1" t="s">
        <v>13683</v>
      </c>
      <c r="RRX1" t="s">
        <v>13684</v>
      </c>
      <c r="RRY1" t="s">
        <v>13685</v>
      </c>
      <c r="RRZ1" t="s">
        <v>13686</v>
      </c>
      <c r="RSA1" t="s">
        <v>13687</v>
      </c>
      <c r="RSB1" t="s">
        <v>13688</v>
      </c>
      <c r="RSC1" t="s">
        <v>13689</v>
      </c>
      <c r="RSD1" t="s">
        <v>13690</v>
      </c>
      <c r="RSE1" t="s">
        <v>13691</v>
      </c>
      <c r="RSF1" t="s">
        <v>13692</v>
      </c>
      <c r="RSG1" t="s">
        <v>13693</v>
      </c>
      <c r="RSH1" t="s">
        <v>13694</v>
      </c>
      <c r="RSI1" t="s">
        <v>13695</v>
      </c>
      <c r="RSJ1" t="s">
        <v>13696</v>
      </c>
      <c r="RSK1" t="s">
        <v>13697</v>
      </c>
      <c r="RSL1" t="s">
        <v>13698</v>
      </c>
      <c r="RSM1" t="s">
        <v>13699</v>
      </c>
      <c r="RSN1" t="s">
        <v>13700</v>
      </c>
      <c r="RSO1" t="s">
        <v>13701</v>
      </c>
      <c r="RSP1" t="s">
        <v>13702</v>
      </c>
      <c r="RSQ1" t="s">
        <v>13703</v>
      </c>
      <c r="RSR1" t="s">
        <v>13704</v>
      </c>
      <c r="RSS1" t="s">
        <v>13705</v>
      </c>
      <c r="RST1" t="s">
        <v>13706</v>
      </c>
      <c r="RSU1" t="s">
        <v>13707</v>
      </c>
      <c r="RSV1" t="s">
        <v>13708</v>
      </c>
      <c r="RSW1" t="s">
        <v>13709</v>
      </c>
      <c r="RSX1" t="s">
        <v>13710</v>
      </c>
      <c r="RSY1" t="s">
        <v>13711</v>
      </c>
      <c r="RSZ1" t="s">
        <v>13712</v>
      </c>
      <c r="RTA1" t="s">
        <v>13713</v>
      </c>
      <c r="RTB1" t="s">
        <v>13714</v>
      </c>
      <c r="RTC1" t="s">
        <v>13715</v>
      </c>
      <c r="RTD1" t="s">
        <v>13716</v>
      </c>
      <c r="RTE1" t="s">
        <v>13717</v>
      </c>
      <c r="RTF1" t="s">
        <v>13718</v>
      </c>
      <c r="RTG1" t="s">
        <v>13719</v>
      </c>
      <c r="RTH1" t="s">
        <v>13720</v>
      </c>
      <c r="RTI1" t="s">
        <v>13721</v>
      </c>
      <c r="RTJ1" t="s">
        <v>13722</v>
      </c>
      <c r="RTK1" t="s">
        <v>13723</v>
      </c>
      <c r="RTL1" t="s">
        <v>13724</v>
      </c>
      <c r="RTM1" t="s">
        <v>13725</v>
      </c>
      <c r="RTN1" t="s">
        <v>13726</v>
      </c>
      <c r="RTO1" t="s">
        <v>13727</v>
      </c>
      <c r="RTP1" t="s">
        <v>13728</v>
      </c>
      <c r="RTQ1" t="s">
        <v>13729</v>
      </c>
      <c r="RTR1" t="s">
        <v>13730</v>
      </c>
      <c r="RTS1" t="s">
        <v>13731</v>
      </c>
      <c r="RTT1" t="s">
        <v>13732</v>
      </c>
      <c r="RTU1" t="s">
        <v>13733</v>
      </c>
      <c r="RTV1" t="s">
        <v>13734</v>
      </c>
      <c r="RTW1" t="s">
        <v>13735</v>
      </c>
      <c r="RTX1" t="s">
        <v>13736</v>
      </c>
      <c r="RTY1" t="s">
        <v>13737</v>
      </c>
      <c r="RTZ1" t="s">
        <v>13738</v>
      </c>
      <c r="RUA1" t="s">
        <v>13739</v>
      </c>
      <c r="RUB1" t="s">
        <v>13740</v>
      </c>
      <c r="RUC1" t="s">
        <v>13741</v>
      </c>
      <c r="RUD1" t="s">
        <v>13742</v>
      </c>
      <c r="RUE1" t="s">
        <v>13743</v>
      </c>
      <c r="RUF1" t="s">
        <v>13744</v>
      </c>
      <c r="RUG1" t="s">
        <v>13745</v>
      </c>
      <c r="RUH1" t="s">
        <v>13746</v>
      </c>
      <c r="RUI1" t="s">
        <v>13747</v>
      </c>
      <c r="RUJ1" t="s">
        <v>13748</v>
      </c>
      <c r="RUK1" t="s">
        <v>13749</v>
      </c>
      <c r="RUL1" t="s">
        <v>13750</v>
      </c>
      <c r="RUM1" t="s">
        <v>13751</v>
      </c>
      <c r="RUN1" t="s">
        <v>13752</v>
      </c>
      <c r="RUO1" t="s">
        <v>13753</v>
      </c>
      <c r="RUP1" t="s">
        <v>13754</v>
      </c>
      <c r="RUQ1" t="s">
        <v>13755</v>
      </c>
      <c r="RUR1" t="s">
        <v>13756</v>
      </c>
      <c r="RUS1" t="s">
        <v>13757</v>
      </c>
      <c r="RUT1" t="s">
        <v>13758</v>
      </c>
      <c r="RUU1" t="s">
        <v>13759</v>
      </c>
      <c r="RUV1" t="s">
        <v>13760</v>
      </c>
      <c r="RUW1" t="s">
        <v>13761</v>
      </c>
      <c r="RUX1" t="s">
        <v>13762</v>
      </c>
      <c r="RUY1" t="s">
        <v>13763</v>
      </c>
      <c r="RUZ1" t="s">
        <v>13764</v>
      </c>
      <c r="RVA1" t="s">
        <v>13765</v>
      </c>
      <c r="RVB1" t="s">
        <v>13766</v>
      </c>
      <c r="RVC1" t="s">
        <v>13767</v>
      </c>
      <c r="RVD1" t="s">
        <v>13768</v>
      </c>
      <c r="RVE1" t="s">
        <v>13769</v>
      </c>
      <c r="RVF1" t="s">
        <v>13770</v>
      </c>
      <c r="RVG1" t="s">
        <v>13771</v>
      </c>
      <c r="RVH1" t="s">
        <v>13772</v>
      </c>
      <c r="RVI1" t="s">
        <v>13773</v>
      </c>
      <c r="RVJ1" t="s">
        <v>13774</v>
      </c>
      <c r="RVK1" t="s">
        <v>13775</v>
      </c>
      <c r="RVL1" t="s">
        <v>13776</v>
      </c>
      <c r="RVM1" t="s">
        <v>13777</v>
      </c>
      <c r="RVN1" t="s">
        <v>13778</v>
      </c>
      <c r="RVO1" t="s">
        <v>13779</v>
      </c>
      <c r="RVP1" t="s">
        <v>13780</v>
      </c>
      <c r="RVQ1" t="s">
        <v>13781</v>
      </c>
      <c r="RVR1" t="s">
        <v>13782</v>
      </c>
      <c r="RVS1" t="s">
        <v>13783</v>
      </c>
      <c r="RVT1" t="s">
        <v>13784</v>
      </c>
      <c r="RVU1" t="s">
        <v>13785</v>
      </c>
      <c r="RVV1" t="s">
        <v>13786</v>
      </c>
      <c r="RVW1" t="s">
        <v>13787</v>
      </c>
      <c r="RVX1" t="s">
        <v>13788</v>
      </c>
      <c r="RVY1" t="s">
        <v>13789</v>
      </c>
      <c r="RVZ1" t="s">
        <v>13790</v>
      </c>
      <c r="RWA1" t="s">
        <v>13791</v>
      </c>
      <c r="RWB1" t="s">
        <v>13792</v>
      </c>
      <c r="RWC1" t="s">
        <v>13793</v>
      </c>
      <c r="RWD1" t="s">
        <v>13794</v>
      </c>
      <c r="RWE1" t="s">
        <v>13795</v>
      </c>
      <c r="RWF1" t="s">
        <v>13796</v>
      </c>
      <c r="RWG1" t="s">
        <v>13797</v>
      </c>
      <c r="RWH1" t="s">
        <v>13798</v>
      </c>
      <c r="RWI1" t="s">
        <v>13799</v>
      </c>
      <c r="RWJ1" t="s">
        <v>13800</v>
      </c>
      <c r="RWK1" t="s">
        <v>13801</v>
      </c>
      <c r="RWL1" t="s">
        <v>13802</v>
      </c>
      <c r="RWM1" t="s">
        <v>13803</v>
      </c>
      <c r="RWN1" t="s">
        <v>13804</v>
      </c>
      <c r="RWO1" t="s">
        <v>13805</v>
      </c>
      <c r="RWP1" t="s">
        <v>13806</v>
      </c>
      <c r="RWQ1" t="s">
        <v>13807</v>
      </c>
      <c r="RWR1" t="s">
        <v>13808</v>
      </c>
      <c r="RWS1" t="s">
        <v>13809</v>
      </c>
      <c r="RWT1" t="s">
        <v>13810</v>
      </c>
      <c r="RWU1" t="s">
        <v>13811</v>
      </c>
      <c r="RWV1" t="s">
        <v>13812</v>
      </c>
      <c r="RWW1" t="s">
        <v>13813</v>
      </c>
      <c r="RWX1" t="s">
        <v>13814</v>
      </c>
      <c r="RWY1" t="s">
        <v>13815</v>
      </c>
      <c r="RWZ1" t="s">
        <v>13816</v>
      </c>
      <c r="RXA1" t="s">
        <v>13817</v>
      </c>
      <c r="RXB1" t="s">
        <v>13818</v>
      </c>
      <c r="RXC1" t="s">
        <v>13819</v>
      </c>
      <c r="RXD1" t="s">
        <v>13820</v>
      </c>
      <c r="RXE1" t="s">
        <v>13821</v>
      </c>
      <c r="RXF1" t="s">
        <v>13822</v>
      </c>
      <c r="RXG1" t="s">
        <v>13823</v>
      </c>
      <c r="RXH1" t="s">
        <v>13824</v>
      </c>
      <c r="RXI1" t="s">
        <v>13825</v>
      </c>
      <c r="RXJ1" t="s">
        <v>13826</v>
      </c>
      <c r="RXK1" t="s">
        <v>13827</v>
      </c>
      <c r="RXL1" t="s">
        <v>13828</v>
      </c>
      <c r="RXM1" t="s">
        <v>13829</v>
      </c>
      <c r="RXN1" t="s">
        <v>13830</v>
      </c>
      <c r="RXO1" t="s">
        <v>13831</v>
      </c>
      <c r="RXP1" t="s">
        <v>13832</v>
      </c>
      <c r="RXQ1" t="s">
        <v>13833</v>
      </c>
      <c r="RXR1" t="s">
        <v>13834</v>
      </c>
      <c r="RXS1" t="s">
        <v>13835</v>
      </c>
      <c r="RXT1" t="s">
        <v>13836</v>
      </c>
      <c r="RXU1" t="s">
        <v>13837</v>
      </c>
      <c r="RXV1" t="s">
        <v>13838</v>
      </c>
      <c r="RXW1" t="s">
        <v>13839</v>
      </c>
      <c r="RXX1" t="s">
        <v>13840</v>
      </c>
      <c r="RXY1" t="s">
        <v>13841</v>
      </c>
      <c r="RXZ1" t="s">
        <v>13842</v>
      </c>
      <c r="RYA1" t="s">
        <v>13843</v>
      </c>
      <c r="RYB1" t="s">
        <v>13844</v>
      </c>
      <c r="RYC1" t="s">
        <v>13845</v>
      </c>
      <c r="RYD1" t="s">
        <v>13846</v>
      </c>
      <c r="RYE1" t="s">
        <v>13847</v>
      </c>
      <c r="RYF1" t="s">
        <v>13848</v>
      </c>
      <c r="RYG1" t="s">
        <v>13849</v>
      </c>
      <c r="RYH1" t="s">
        <v>13850</v>
      </c>
      <c r="RYI1" t="s">
        <v>13851</v>
      </c>
      <c r="RYJ1" t="s">
        <v>13852</v>
      </c>
      <c r="RYK1" t="s">
        <v>13853</v>
      </c>
      <c r="RYL1" t="s">
        <v>13854</v>
      </c>
      <c r="RYM1" t="s">
        <v>13855</v>
      </c>
      <c r="RYN1" t="s">
        <v>13856</v>
      </c>
      <c r="RYO1" t="s">
        <v>13857</v>
      </c>
      <c r="RYP1" t="s">
        <v>13858</v>
      </c>
      <c r="RYQ1" t="s">
        <v>13859</v>
      </c>
      <c r="RYR1" t="s">
        <v>13860</v>
      </c>
      <c r="RYS1" t="s">
        <v>13861</v>
      </c>
      <c r="RYT1" t="s">
        <v>13862</v>
      </c>
      <c r="RYU1" t="s">
        <v>13863</v>
      </c>
      <c r="RYV1" t="s">
        <v>13864</v>
      </c>
      <c r="RYW1" t="s">
        <v>13865</v>
      </c>
      <c r="RYX1" t="s">
        <v>13866</v>
      </c>
      <c r="RYY1" t="s">
        <v>13867</v>
      </c>
      <c r="RYZ1" t="s">
        <v>13868</v>
      </c>
      <c r="RZA1" t="s">
        <v>13869</v>
      </c>
      <c r="RZB1" t="s">
        <v>13870</v>
      </c>
      <c r="RZC1" t="s">
        <v>13871</v>
      </c>
      <c r="RZD1" t="s">
        <v>13872</v>
      </c>
      <c r="RZE1" t="s">
        <v>13873</v>
      </c>
      <c r="RZF1" t="s">
        <v>13874</v>
      </c>
      <c r="RZG1" t="s">
        <v>13875</v>
      </c>
      <c r="RZH1" t="s">
        <v>13876</v>
      </c>
      <c r="RZI1" t="s">
        <v>13877</v>
      </c>
      <c r="RZJ1" t="s">
        <v>13878</v>
      </c>
      <c r="RZK1" t="s">
        <v>13879</v>
      </c>
      <c r="RZL1" t="s">
        <v>13880</v>
      </c>
      <c r="RZM1" t="s">
        <v>13881</v>
      </c>
      <c r="RZN1" t="s">
        <v>13882</v>
      </c>
      <c r="RZO1" t="s">
        <v>13883</v>
      </c>
      <c r="RZP1" t="s">
        <v>13884</v>
      </c>
      <c r="RZQ1" t="s">
        <v>13885</v>
      </c>
      <c r="RZR1" t="s">
        <v>13886</v>
      </c>
      <c r="RZS1" t="s">
        <v>13887</v>
      </c>
      <c r="RZT1" t="s">
        <v>13888</v>
      </c>
      <c r="RZU1" t="s">
        <v>13889</v>
      </c>
      <c r="RZV1" t="s">
        <v>13890</v>
      </c>
      <c r="RZW1" t="s">
        <v>13891</v>
      </c>
      <c r="RZX1" t="s">
        <v>13892</v>
      </c>
      <c r="RZY1" t="s">
        <v>13893</v>
      </c>
      <c r="RZZ1" t="s">
        <v>13894</v>
      </c>
      <c r="SAA1" t="s">
        <v>13895</v>
      </c>
      <c r="SAB1" t="s">
        <v>13896</v>
      </c>
      <c r="SAC1" t="s">
        <v>13897</v>
      </c>
      <c r="SAD1" t="s">
        <v>13898</v>
      </c>
      <c r="SAE1" t="s">
        <v>13899</v>
      </c>
      <c r="SAF1" t="s">
        <v>13900</v>
      </c>
      <c r="SAG1" t="s">
        <v>13901</v>
      </c>
      <c r="SAH1" t="s">
        <v>13902</v>
      </c>
      <c r="SAI1" t="s">
        <v>13903</v>
      </c>
      <c r="SAJ1" t="s">
        <v>13904</v>
      </c>
      <c r="SAK1" t="s">
        <v>13905</v>
      </c>
      <c r="SAL1" t="s">
        <v>13906</v>
      </c>
      <c r="SAM1" t="s">
        <v>13907</v>
      </c>
      <c r="SAN1" t="s">
        <v>13908</v>
      </c>
      <c r="SAO1" t="s">
        <v>13909</v>
      </c>
      <c r="SAP1" t="s">
        <v>13910</v>
      </c>
      <c r="SAQ1" t="s">
        <v>13911</v>
      </c>
      <c r="SAR1" t="s">
        <v>13912</v>
      </c>
      <c r="SAS1" t="s">
        <v>13913</v>
      </c>
      <c r="SAT1" t="s">
        <v>13914</v>
      </c>
      <c r="SAU1" t="s">
        <v>13915</v>
      </c>
      <c r="SAV1" t="s">
        <v>13916</v>
      </c>
      <c r="SAW1" t="s">
        <v>13917</v>
      </c>
      <c r="SAX1" t="s">
        <v>13918</v>
      </c>
      <c r="SAY1" t="s">
        <v>13919</v>
      </c>
      <c r="SAZ1" t="s">
        <v>13920</v>
      </c>
      <c r="SBA1" t="s">
        <v>13921</v>
      </c>
      <c r="SBB1" t="s">
        <v>13922</v>
      </c>
      <c r="SBC1" t="s">
        <v>13923</v>
      </c>
      <c r="SBD1" t="s">
        <v>13924</v>
      </c>
      <c r="SBE1" t="s">
        <v>13925</v>
      </c>
      <c r="SBF1" t="s">
        <v>13926</v>
      </c>
      <c r="SBG1" t="s">
        <v>13927</v>
      </c>
      <c r="SBH1" t="s">
        <v>13928</v>
      </c>
      <c r="SBI1" t="s">
        <v>13929</v>
      </c>
      <c r="SBJ1" t="s">
        <v>13930</v>
      </c>
      <c r="SBK1" t="s">
        <v>13931</v>
      </c>
      <c r="SBL1" t="s">
        <v>13932</v>
      </c>
      <c r="SBM1" t="s">
        <v>13933</v>
      </c>
      <c r="SBN1" t="s">
        <v>13934</v>
      </c>
      <c r="SBO1" t="s">
        <v>13935</v>
      </c>
      <c r="SBP1" t="s">
        <v>13936</v>
      </c>
      <c r="SBQ1" t="s">
        <v>13937</v>
      </c>
      <c r="SBR1" t="s">
        <v>13938</v>
      </c>
      <c r="SBS1" t="s">
        <v>13939</v>
      </c>
      <c r="SBT1" t="s">
        <v>13940</v>
      </c>
      <c r="SBU1" t="s">
        <v>13941</v>
      </c>
      <c r="SBV1" t="s">
        <v>13942</v>
      </c>
      <c r="SBW1" t="s">
        <v>13943</v>
      </c>
      <c r="SBX1" t="s">
        <v>13944</v>
      </c>
      <c r="SBY1" t="s">
        <v>13945</v>
      </c>
      <c r="SBZ1" t="s">
        <v>13946</v>
      </c>
      <c r="SCA1" t="s">
        <v>13947</v>
      </c>
      <c r="SCB1" t="s">
        <v>13948</v>
      </c>
      <c r="SCC1" t="s">
        <v>13949</v>
      </c>
      <c r="SCD1" t="s">
        <v>13950</v>
      </c>
      <c r="SCE1" t="s">
        <v>13951</v>
      </c>
      <c r="SCF1" t="s">
        <v>13952</v>
      </c>
      <c r="SCG1" t="s">
        <v>13953</v>
      </c>
      <c r="SCH1" t="s">
        <v>13954</v>
      </c>
      <c r="SCI1" t="s">
        <v>13955</v>
      </c>
      <c r="SCJ1" t="s">
        <v>13956</v>
      </c>
      <c r="SCK1" t="s">
        <v>13957</v>
      </c>
      <c r="SCL1" t="s">
        <v>13958</v>
      </c>
      <c r="SCM1" t="s">
        <v>13959</v>
      </c>
      <c r="SCN1" t="s">
        <v>13960</v>
      </c>
      <c r="SCO1" t="s">
        <v>13961</v>
      </c>
      <c r="SCP1" t="s">
        <v>13962</v>
      </c>
      <c r="SCQ1" t="s">
        <v>13963</v>
      </c>
      <c r="SCR1" t="s">
        <v>13964</v>
      </c>
      <c r="SCS1" t="s">
        <v>13965</v>
      </c>
      <c r="SCT1" t="s">
        <v>13966</v>
      </c>
      <c r="SCU1" t="s">
        <v>13967</v>
      </c>
      <c r="SCV1" t="s">
        <v>13968</v>
      </c>
      <c r="SCW1" t="s">
        <v>13969</v>
      </c>
      <c r="SCX1" t="s">
        <v>13970</v>
      </c>
      <c r="SCY1" t="s">
        <v>13971</v>
      </c>
      <c r="SCZ1" t="s">
        <v>13972</v>
      </c>
      <c r="SDA1" t="s">
        <v>13973</v>
      </c>
      <c r="SDB1" t="s">
        <v>13974</v>
      </c>
      <c r="SDC1" t="s">
        <v>13975</v>
      </c>
      <c r="SDD1" t="s">
        <v>13976</v>
      </c>
      <c r="SDE1" t="s">
        <v>13977</v>
      </c>
      <c r="SDF1" t="s">
        <v>13978</v>
      </c>
      <c r="SDG1" t="s">
        <v>13979</v>
      </c>
      <c r="SDH1" t="s">
        <v>13980</v>
      </c>
      <c r="SDI1" t="s">
        <v>13981</v>
      </c>
      <c r="SDJ1" t="s">
        <v>13982</v>
      </c>
      <c r="SDK1" t="s">
        <v>13983</v>
      </c>
      <c r="SDL1" t="s">
        <v>13984</v>
      </c>
      <c r="SDM1" t="s">
        <v>13985</v>
      </c>
      <c r="SDN1" t="s">
        <v>13986</v>
      </c>
      <c r="SDO1" t="s">
        <v>13987</v>
      </c>
      <c r="SDP1" t="s">
        <v>13988</v>
      </c>
      <c r="SDQ1" t="s">
        <v>13989</v>
      </c>
      <c r="SDR1" t="s">
        <v>13990</v>
      </c>
      <c r="SDS1" t="s">
        <v>13991</v>
      </c>
      <c r="SDT1" t="s">
        <v>13992</v>
      </c>
      <c r="SDU1" t="s">
        <v>13993</v>
      </c>
      <c r="SDV1" t="s">
        <v>13994</v>
      </c>
      <c r="SDW1" t="s">
        <v>13995</v>
      </c>
      <c r="SDX1" t="s">
        <v>13996</v>
      </c>
      <c r="SDY1" t="s">
        <v>13997</v>
      </c>
      <c r="SDZ1" t="s">
        <v>13998</v>
      </c>
      <c r="SEA1" t="s">
        <v>13999</v>
      </c>
      <c r="SEB1" t="s">
        <v>14000</v>
      </c>
      <c r="SEC1" t="s">
        <v>14001</v>
      </c>
      <c r="SED1" t="s">
        <v>14002</v>
      </c>
      <c r="SEE1" t="s">
        <v>14003</v>
      </c>
      <c r="SEF1" t="s">
        <v>14004</v>
      </c>
      <c r="SEG1" t="s">
        <v>14005</v>
      </c>
      <c r="SEH1" t="s">
        <v>14006</v>
      </c>
      <c r="SEI1" t="s">
        <v>14007</v>
      </c>
      <c r="SEJ1" t="s">
        <v>14008</v>
      </c>
      <c r="SEK1" t="s">
        <v>14009</v>
      </c>
      <c r="SEL1" t="s">
        <v>14010</v>
      </c>
      <c r="SEM1" t="s">
        <v>14011</v>
      </c>
      <c r="SEN1" t="s">
        <v>14012</v>
      </c>
      <c r="SEO1" t="s">
        <v>14013</v>
      </c>
      <c r="SEP1" t="s">
        <v>14014</v>
      </c>
      <c r="SEQ1" t="s">
        <v>14015</v>
      </c>
      <c r="SER1" t="s">
        <v>14016</v>
      </c>
      <c r="SES1" t="s">
        <v>14017</v>
      </c>
      <c r="SET1" t="s">
        <v>14018</v>
      </c>
      <c r="SEU1" t="s">
        <v>14019</v>
      </c>
      <c r="SEV1" t="s">
        <v>14020</v>
      </c>
      <c r="SEW1" t="s">
        <v>14021</v>
      </c>
      <c r="SEX1" t="s">
        <v>14022</v>
      </c>
      <c r="SEY1" t="s">
        <v>14023</v>
      </c>
      <c r="SEZ1" t="s">
        <v>14024</v>
      </c>
      <c r="SFA1" t="s">
        <v>14025</v>
      </c>
      <c r="SFB1" t="s">
        <v>14026</v>
      </c>
      <c r="SFC1" t="s">
        <v>14027</v>
      </c>
      <c r="SFD1" t="s">
        <v>14028</v>
      </c>
      <c r="SFE1" t="s">
        <v>14029</v>
      </c>
      <c r="SFF1" t="s">
        <v>14030</v>
      </c>
      <c r="SFG1" t="s">
        <v>14031</v>
      </c>
      <c r="SFH1" t="s">
        <v>14032</v>
      </c>
      <c r="SFI1" t="s">
        <v>14033</v>
      </c>
      <c r="SFJ1" t="s">
        <v>14034</v>
      </c>
      <c r="SFK1" t="s">
        <v>14035</v>
      </c>
      <c r="SFL1" t="s">
        <v>14036</v>
      </c>
      <c r="SFM1" t="s">
        <v>14037</v>
      </c>
      <c r="SFN1" t="s">
        <v>14038</v>
      </c>
      <c r="SFO1" t="s">
        <v>14039</v>
      </c>
      <c r="SFP1" t="s">
        <v>14040</v>
      </c>
      <c r="SFQ1" t="s">
        <v>14041</v>
      </c>
      <c r="SFR1" t="s">
        <v>14042</v>
      </c>
      <c r="SFS1" t="s">
        <v>14043</v>
      </c>
      <c r="SFT1" t="s">
        <v>14044</v>
      </c>
      <c r="SFU1" t="s">
        <v>14045</v>
      </c>
      <c r="SFV1" t="s">
        <v>14046</v>
      </c>
      <c r="SFW1" t="s">
        <v>14047</v>
      </c>
      <c r="SFX1" t="s">
        <v>14048</v>
      </c>
      <c r="SFY1" t="s">
        <v>14049</v>
      </c>
      <c r="SFZ1" t="s">
        <v>14050</v>
      </c>
      <c r="SGA1" t="s">
        <v>14051</v>
      </c>
      <c r="SGB1" t="s">
        <v>14052</v>
      </c>
      <c r="SGC1" t="s">
        <v>14053</v>
      </c>
      <c r="SGD1" t="s">
        <v>14054</v>
      </c>
      <c r="SGE1" t="s">
        <v>14055</v>
      </c>
      <c r="SGF1" t="s">
        <v>14056</v>
      </c>
      <c r="SGG1" t="s">
        <v>14057</v>
      </c>
      <c r="SGH1" t="s">
        <v>14058</v>
      </c>
      <c r="SGI1" t="s">
        <v>14059</v>
      </c>
      <c r="SGJ1" t="s">
        <v>14060</v>
      </c>
      <c r="SGK1" t="s">
        <v>14061</v>
      </c>
      <c r="SGL1" t="s">
        <v>14062</v>
      </c>
      <c r="SGM1" t="s">
        <v>14063</v>
      </c>
      <c r="SGN1" t="s">
        <v>14064</v>
      </c>
      <c r="SGO1" t="s">
        <v>14065</v>
      </c>
      <c r="SGP1" t="s">
        <v>14066</v>
      </c>
      <c r="SGQ1" t="s">
        <v>14067</v>
      </c>
      <c r="SGR1" t="s">
        <v>14068</v>
      </c>
      <c r="SGS1" t="s">
        <v>14069</v>
      </c>
      <c r="SGT1" t="s">
        <v>14070</v>
      </c>
      <c r="SGU1" t="s">
        <v>14071</v>
      </c>
      <c r="SGV1" t="s">
        <v>14072</v>
      </c>
      <c r="SGW1" t="s">
        <v>14073</v>
      </c>
      <c r="SGX1" t="s">
        <v>14074</v>
      </c>
      <c r="SGY1" t="s">
        <v>14075</v>
      </c>
      <c r="SGZ1" t="s">
        <v>14076</v>
      </c>
      <c r="SHA1" t="s">
        <v>14077</v>
      </c>
      <c r="SHB1" t="s">
        <v>14078</v>
      </c>
      <c r="SHC1" t="s">
        <v>14079</v>
      </c>
      <c r="SHD1" t="s">
        <v>14080</v>
      </c>
      <c r="SHE1" t="s">
        <v>14081</v>
      </c>
      <c r="SHF1" t="s">
        <v>14082</v>
      </c>
      <c r="SHG1" t="s">
        <v>14083</v>
      </c>
      <c r="SHH1" t="s">
        <v>14084</v>
      </c>
      <c r="SHI1" t="s">
        <v>14085</v>
      </c>
      <c r="SHJ1" t="s">
        <v>14086</v>
      </c>
      <c r="SHK1" t="s">
        <v>14087</v>
      </c>
      <c r="SHL1" t="s">
        <v>14088</v>
      </c>
      <c r="SHM1" t="s">
        <v>14089</v>
      </c>
      <c r="SHN1" t="s">
        <v>14090</v>
      </c>
      <c r="SHO1" t="s">
        <v>14091</v>
      </c>
      <c r="SHP1" t="s">
        <v>14092</v>
      </c>
      <c r="SHQ1" t="s">
        <v>14093</v>
      </c>
      <c r="SHR1" t="s">
        <v>14094</v>
      </c>
      <c r="SHS1" t="s">
        <v>14095</v>
      </c>
      <c r="SHT1" t="s">
        <v>14096</v>
      </c>
      <c r="SHU1" t="s">
        <v>14097</v>
      </c>
      <c r="SHV1" t="s">
        <v>14098</v>
      </c>
      <c r="SHW1" t="s">
        <v>14099</v>
      </c>
      <c r="SHX1" t="s">
        <v>14100</v>
      </c>
      <c r="SHY1" t="s">
        <v>14101</v>
      </c>
      <c r="SHZ1" t="s">
        <v>14102</v>
      </c>
      <c r="SIA1" t="s">
        <v>14103</v>
      </c>
      <c r="SIB1" t="s">
        <v>14104</v>
      </c>
      <c r="SIC1" t="s">
        <v>14105</v>
      </c>
      <c r="SID1" t="s">
        <v>14106</v>
      </c>
      <c r="SIE1" t="s">
        <v>14107</v>
      </c>
      <c r="SIF1" t="s">
        <v>14108</v>
      </c>
      <c r="SIG1" t="s">
        <v>14109</v>
      </c>
      <c r="SIH1" t="s">
        <v>14110</v>
      </c>
      <c r="SII1" t="s">
        <v>14111</v>
      </c>
      <c r="SIJ1" t="s">
        <v>14112</v>
      </c>
      <c r="SIK1" t="s">
        <v>14113</v>
      </c>
      <c r="SIL1" t="s">
        <v>14114</v>
      </c>
      <c r="SIM1" t="s">
        <v>14115</v>
      </c>
      <c r="SIN1" t="s">
        <v>14116</v>
      </c>
      <c r="SIO1" t="s">
        <v>14117</v>
      </c>
      <c r="SIP1" t="s">
        <v>14118</v>
      </c>
      <c r="SIQ1" t="s">
        <v>14119</v>
      </c>
      <c r="SIR1" t="s">
        <v>14120</v>
      </c>
      <c r="SIS1" t="s">
        <v>14121</v>
      </c>
      <c r="SIT1" t="s">
        <v>14122</v>
      </c>
      <c r="SIU1" t="s">
        <v>14123</v>
      </c>
      <c r="SIV1" t="s">
        <v>14124</v>
      </c>
      <c r="SIW1" t="s">
        <v>14125</v>
      </c>
      <c r="SIX1" t="s">
        <v>14126</v>
      </c>
      <c r="SIY1" t="s">
        <v>14127</v>
      </c>
      <c r="SIZ1" t="s">
        <v>14128</v>
      </c>
      <c r="SJA1" t="s">
        <v>14129</v>
      </c>
      <c r="SJB1" t="s">
        <v>14130</v>
      </c>
      <c r="SJC1" t="s">
        <v>14131</v>
      </c>
      <c r="SJD1" t="s">
        <v>14132</v>
      </c>
      <c r="SJE1" t="s">
        <v>14133</v>
      </c>
      <c r="SJF1" t="s">
        <v>14134</v>
      </c>
      <c r="SJG1" t="s">
        <v>14135</v>
      </c>
      <c r="SJH1" t="s">
        <v>14136</v>
      </c>
      <c r="SJI1" t="s">
        <v>14137</v>
      </c>
      <c r="SJJ1" t="s">
        <v>14138</v>
      </c>
      <c r="SJK1" t="s">
        <v>14139</v>
      </c>
      <c r="SJL1" t="s">
        <v>14140</v>
      </c>
      <c r="SJM1" t="s">
        <v>14141</v>
      </c>
      <c r="SJN1" t="s">
        <v>14142</v>
      </c>
      <c r="SJO1" t="s">
        <v>14143</v>
      </c>
      <c r="SJP1" t="s">
        <v>14144</v>
      </c>
      <c r="SJQ1" t="s">
        <v>14145</v>
      </c>
      <c r="SJR1" t="s">
        <v>14146</v>
      </c>
      <c r="SJS1" t="s">
        <v>14147</v>
      </c>
      <c r="SJT1" t="s">
        <v>14148</v>
      </c>
      <c r="SJU1" t="s">
        <v>14149</v>
      </c>
      <c r="SJV1" t="s">
        <v>14150</v>
      </c>
      <c r="SJW1" t="s">
        <v>14151</v>
      </c>
      <c r="SJX1" t="s">
        <v>14152</v>
      </c>
      <c r="SJY1" t="s">
        <v>14153</v>
      </c>
      <c r="SJZ1" t="s">
        <v>14154</v>
      </c>
      <c r="SKA1" t="s">
        <v>14155</v>
      </c>
      <c r="SKB1" t="s">
        <v>14156</v>
      </c>
      <c r="SKC1" t="s">
        <v>14157</v>
      </c>
      <c r="SKD1" t="s">
        <v>14158</v>
      </c>
      <c r="SKE1" t="s">
        <v>14159</v>
      </c>
      <c r="SKF1" t="s">
        <v>14160</v>
      </c>
      <c r="SKG1" t="s">
        <v>14161</v>
      </c>
      <c r="SKH1" t="s">
        <v>14162</v>
      </c>
      <c r="SKI1" t="s">
        <v>14163</v>
      </c>
      <c r="SKJ1" t="s">
        <v>14164</v>
      </c>
      <c r="SKK1" t="s">
        <v>14165</v>
      </c>
      <c r="SKL1" t="s">
        <v>14166</v>
      </c>
      <c r="SKM1" t="s">
        <v>14167</v>
      </c>
      <c r="SKN1" t="s">
        <v>14168</v>
      </c>
      <c r="SKO1" t="s">
        <v>14169</v>
      </c>
      <c r="SKP1" t="s">
        <v>14170</v>
      </c>
      <c r="SKQ1" t="s">
        <v>14171</v>
      </c>
      <c r="SKR1" t="s">
        <v>14172</v>
      </c>
      <c r="SKS1" t="s">
        <v>14173</v>
      </c>
      <c r="SKT1" t="s">
        <v>14174</v>
      </c>
      <c r="SKU1" t="s">
        <v>14175</v>
      </c>
      <c r="SKV1" t="s">
        <v>14176</v>
      </c>
      <c r="SKW1" t="s">
        <v>14177</v>
      </c>
      <c r="SKX1" t="s">
        <v>14178</v>
      </c>
      <c r="SKY1" t="s">
        <v>14179</v>
      </c>
      <c r="SKZ1" t="s">
        <v>14180</v>
      </c>
      <c r="SLA1" t="s">
        <v>14181</v>
      </c>
      <c r="SLB1" t="s">
        <v>14182</v>
      </c>
      <c r="SLC1" t="s">
        <v>14183</v>
      </c>
      <c r="SLD1" t="s">
        <v>14184</v>
      </c>
      <c r="SLE1" t="s">
        <v>14185</v>
      </c>
      <c r="SLF1" t="s">
        <v>14186</v>
      </c>
      <c r="SLG1" t="s">
        <v>14187</v>
      </c>
      <c r="SLH1" t="s">
        <v>14188</v>
      </c>
      <c r="SLI1" t="s">
        <v>14189</v>
      </c>
      <c r="SLJ1" t="s">
        <v>14190</v>
      </c>
      <c r="SLK1" t="s">
        <v>14191</v>
      </c>
      <c r="SLL1" t="s">
        <v>14192</v>
      </c>
      <c r="SLM1" t="s">
        <v>14193</v>
      </c>
      <c r="SLN1" t="s">
        <v>14194</v>
      </c>
      <c r="SLO1" t="s">
        <v>14195</v>
      </c>
      <c r="SLP1" t="s">
        <v>14196</v>
      </c>
      <c r="SLQ1" t="s">
        <v>14197</v>
      </c>
      <c r="SLR1" t="s">
        <v>14198</v>
      </c>
      <c r="SLS1" t="s">
        <v>14199</v>
      </c>
      <c r="SLT1" t="s">
        <v>14200</v>
      </c>
      <c r="SLU1" t="s">
        <v>14201</v>
      </c>
      <c r="SLV1" t="s">
        <v>14202</v>
      </c>
      <c r="SLW1" t="s">
        <v>14203</v>
      </c>
      <c r="SLX1" t="s">
        <v>14204</v>
      </c>
      <c r="SLY1" t="s">
        <v>14205</v>
      </c>
      <c r="SLZ1" t="s">
        <v>14206</v>
      </c>
      <c r="SMA1" t="s">
        <v>14207</v>
      </c>
      <c r="SMB1" t="s">
        <v>14208</v>
      </c>
      <c r="SMC1" t="s">
        <v>14209</v>
      </c>
      <c r="SMD1" t="s">
        <v>14210</v>
      </c>
      <c r="SME1" t="s">
        <v>14211</v>
      </c>
      <c r="SMF1" t="s">
        <v>14212</v>
      </c>
      <c r="SMG1" t="s">
        <v>14213</v>
      </c>
      <c r="SMH1" t="s">
        <v>14214</v>
      </c>
      <c r="SMI1" t="s">
        <v>14215</v>
      </c>
      <c r="SMJ1" t="s">
        <v>14216</v>
      </c>
      <c r="SMK1" t="s">
        <v>14217</v>
      </c>
      <c r="SML1" t="s">
        <v>14218</v>
      </c>
      <c r="SMM1" t="s">
        <v>14219</v>
      </c>
      <c r="SMN1" t="s">
        <v>14220</v>
      </c>
      <c r="SMO1" t="s">
        <v>14221</v>
      </c>
      <c r="SMP1" t="s">
        <v>14222</v>
      </c>
      <c r="SMQ1" t="s">
        <v>14223</v>
      </c>
      <c r="SMR1" t="s">
        <v>14224</v>
      </c>
      <c r="SMS1" t="s">
        <v>14225</v>
      </c>
      <c r="SMT1" t="s">
        <v>14226</v>
      </c>
      <c r="SMU1" t="s">
        <v>14227</v>
      </c>
      <c r="SMV1" t="s">
        <v>14228</v>
      </c>
      <c r="SMW1" t="s">
        <v>14229</v>
      </c>
      <c r="SMX1" t="s">
        <v>14230</v>
      </c>
      <c r="SMY1" t="s">
        <v>14231</v>
      </c>
      <c r="SMZ1" t="s">
        <v>14232</v>
      </c>
      <c r="SNA1" t="s">
        <v>14233</v>
      </c>
      <c r="SNB1" t="s">
        <v>14234</v>
      </c>
      <c r="SNC1" t="s">
        <v>14235</v>
      </c>
      <c r="SND1" t="s">
        <v>14236</v>
      </c>
      <c r="SNE1" t="s">
        <v>14237</v>
      </c>
      <c r="SNF1" t="s">
        <v>14238</v>
      </c>
      <c r="SNG1" t="s">
        <v>14239</v>
      </c>
      <c r="SNH1" t="s">
        <v>14240</v>
      </c>
      <c r="SNI1" t="s">
        <v>14241</v>
      </c>
      <c r="SNJ1" t="s">
        <v>14242</v>
      </c>
      <c r="SNK1" t="s">
        <v>14243</v>
      </c>
      <c r="SNL1" t="s">
        <v>14244</v>
      </c>
      <c r="SNM1" t="s">
        <v>14245</v>
      </c>
      <c r="SNN1" t="s">
        <v>14246</v>
      </c>
      <c r="SNO1" t="s">
        <v>14247</v>
      </c>
      <c r="SNP1" t="s">
        <v>14248</v>
      </c>
      <c r="SNQ1" t="s">
        <v>14249</v>
      </c>
      <c r="SNR1" t="s">
        <v>14250</v>
      </c>
      <c r="SNS1" t="s">
        <v>14251</v>
      </c>
      <c r="SNT1" t="s">
        <v>14252</v>
      </c>
      <c r="SNU1" t="s">
        <v>14253</v>
      </c>
      <c r="SNV1" t="s">
        <v>14254</v>
      </c>
      <c r="SNW1" t="s">
        <v>14255</v>
      </c>
      <c r="SNX1" t="s">
        <v>14256</v>
      </c>
      <c r="SNY1" t="s">
        <v>14257</v>
      </c>
      <c r="SNZ1" t="s">
        <v>14258</v>
      </c>
      <c r="SOA1" t="s">
        <v>14259</v>
      </c>
      <c r="SOB1" t="s">
        <v>14260</v>
      </c>
      <c r="SOC1" t="s">
        <v>14261</v>
      </c>
      <c r="SOD1" t="s">
        <v>14262</v>
      </c>
      <c r="SOE1" t="s">
        <v>14263</v>
      </c>
      <c r="SOF1" t="s">
        <v>14264</v>
      </c>
      <c r="SOG1" t="s">
        <v>14265</v>
      </c>
      <c r="SOH1" t="s">
        <v>14266</v>
      </c>
      <c r="SOI1" t="s">
        <v>14267</v>
      </c>
      <c r="SOJ1" t="s">
        <v>14268</v>
      </c>
      <c r="SOK1" t="s">
        <v>14269</v>
      </c>
      <c r="SOL1" t="s">
        <v>14270</v>
      </c>
      <c r="SOM1" t="s">
        <v>14271</v>
      </c>
      <c r="SON1" t="s">
        <v>14272</v>
      </c>
      <c r="SOO1" t="s">
        <v>14273</v>
      </c>
      <c r="SOP1" t="s">
        <v>14274</v>
      </c>
      <c r="SOQ1" t="s">
        <v>14275</v>
      </c>
      <c r="SOR1" t="s">
        <v>14276</v>
      </c>
      <c r="SOS1" t="s">
        <v>14277</v>
      </c>
      <c r="SOT1" t="s">
        <v>14278</v>
      </c>
      <c r="SOU1" t="s">
        <v>14279</v>
      </c>
      <c r="SOV1" t="s">
        <v>14280</v>
      </c>
      <c r="SOW1" t="s">
        <v>14281</v>
      </c>
      <c r="SOX1" t="s">
        <v>14282</v>
      </c>
      <c r="SOY1" t="s">
        <v>14283</v>
      </c>
      <c r="SOZ1" t="s">
        <v>14284</v>
      </c>
      <c r="SPA1" t="s">
        <v>14285</v>
      </c>
      <c r="SPB1" t="s">
        <v>14286</v>
      </c>
      <c r="SPC1" t="s">
        <v>14287</v>
      </c>
      <c r="SPD1" t="s">
        <v>14288</v>
      </c>
      <c r="SPE1" t="s">
        <v>14289</v>
      </c>
      <c r="SPF1" t="s">
        <v>14290</v>
      </c>
      <c r="SPG1" t="s">
        <v>14291</v>
      </c>
      <c r="SPH1" t="s">
        <v>14292</v>
      </c>
      <c r="SPI1" t="s">
        <v>14293</v>
      </c>
      <c r="SPJ1" t="s">
        <v>14294</v>
      </c>
      <c r="SPK1" t="s">
        <v>14295</v>
      </c>
      <c r="SPL1" t="s">
        <v>14296</v>
      </c>
      <c r="SPM1" t="s">
        <v>14297</v>
      </c>
      <c r="SPN1" t="s">
        <v>14298</v>
      </c>
      <c r="SPO1" t="s">
        <v>14299</v>
      </c>
      <c r="SPP1" t="s">
        <v>14300</v>
      </c>
      <c r="SPQ1" t="s">
        <v>14301</v>
      </c>
      <c r="SPR1" t="s">
        <v>14302</v>
      </c>
      <c r="SPS1" t="s">
        <v>14303</v>
      </c>
      <c r="SPT1" t="s">
        <v>14304</v>
      </c>
      <c r="SPU1" t="s">
        <v>14305</v>
      </c>
      <c r="SPV1" t="s">
        <v>14306</v>
      </c>
      <c r="SPW1" t="s">
        <v>14307</v>
      </c>
      <c r="SPX1" t="s">
        <v>14308</v>
      </c>
      <c r="SPY1" t="s">
        <v>14309</v>
      </c>
      <c r="SPZ1" t="s">
        <v>14310</v>
      </c>
      <c r="SQA1" t="s">
        <v>14311</v>
      </c>
      <c r="SQB1" t="s">
        <v>14312</v>
      </c>
      <c r="SQC1" t="s">
        <v>14313</v>
      </c>
      <c r="SQD1" t="s">
        <v>14314</v>
      </c>
      <c r="SQE1" t="s">
        <v>14315</v>
      </c>
      <c r="SQF1" t="s">
        <v>14316</v>
      </c>
      <c r="SQG1" t="s">
        <v>14317</v>
      </c>
      <c r="SQH1" t="s">
        <v>14318</v>
      </c>
      <c r="SQI1" t="s">
        <v>14319</v>
      </c>
      <c r="SQJ1" t="s">
        <v>14320</v>
      </c>
      <c r="SQK1" t="s">
        <v>14321</v>
      </c>
      <c r="SQL1" t="s">
        <v>14322</v>
      </c>
      <c r="SQM1" t="s">
        <v>14323</v>
      </c>
      <c r="SQN1" t="s">
        <v>14324</v>
      </c>
      <c r="SQO1" t="s">
        <v>14325</v>
      </c>
      <c r="SQP1" t="s">
        <v>14326</v>
      </c>
      <c r="SQQ1" t="s">
        <v>14327</v>
      </c>
      <c r="SQR1" t="s">
        <v>14328</v>
      </c>
      <c r="SQS1" t="s">
        <v>14329</v>
      </c>
      <c r="SQT1" t="s">
        <v>14330</v>
      </c>
      <c r="SQU1" t="s">
        <v>14331</v>
      </c>
      <c r="SQV1" t="s">
        <v>14332</v>
      </c>
      <c r="SQW1" t="s">
        <v>14333</v>
      </c>
      <c r="SQX1" t="s">
        <v>14334</v>
      </c>
      <c r="SQY1" t="s">
        <v>14335</v>
      </c>
      <c r="SQZ1" t="s">
        <v>14336</v>
      </c>
      <c r="SRA1" t="s">
        <v>14337</v>
      </c>
      <c r="SRB1" t="s">
        <v>14338</v>
      </c>
      <c r="SRC1" t="s">
        <v>14339</v>
      </c>
      <c r="SRD1" t="s">
        <v>14340</v>
      </c>
      <c r="SRE1" t="s">
        <v>14341</v>
      </c>
      <c r="SRF1" t="s">
        <v>14342</v>
      </c>
      <c r="SRG1" t="s">
        <v>14343</v>
      </c>
      <c r="SRH1" t="s">
        <v>14344</v>
      </c>
      <c r="SRI1" t="s">
        <v>14345</v>
      </c>
      <c r="SRJ1" t="s">
        <v>14346</v>
      </c>
      <c r="SRK1" t="s">
        <v>14347</v>
      </c>
      <c r="SRL1" t="s">
        <v>14348</v>
      </c>
      <c r="SRM1" t="s">
        <v>14349</v>
      </c>
      <c r="SRN1" t="s">
        <v>14350</v>
      </c>
      <c r="SRO1" t="s">
        <v>14351</v>
      </c>
      <c r="SRP1" t="s">
        <v>14352</v>
      </c>
      <c r="SRQ1" t="s">
        <v>14353</v>
      </c>
      <c r="SRR1" t="s">
        <v>14354</v>
      </c>
      <c r="SRS1" t="s">
        <v>14355</v>
      </c>
      <c r="SRT1" t="s">
        <v>14356</v>
      </c>
      <c r="SRU1" t="s">
        <v>14357</v>
      </c>
      <c r="SRV1" t="s">
        <v>14358</v>
      </c>
      <c r="SRW1" t="s">
        <v>14359</v>
      </c>
      <c r="SRX1" t="s">
        <v>14360</v>
      </c>
      <c r="SRY1" t="s">
        <v>14361</v>
      </c>
      <c r="SRZ1" t="s">
        <v>14362</v>
      </c>
      <c r="SSA1" t="s">
        <v>14363</v>
      </c>
      <c r="SSB1" t="s">
        <v>14364</v>
      </c>
      <c r="SSC1" t="s">
        <v>14365</v>
      </c>
      <c r="SSD1" t="s">
        <v>14366</v>
      </c>
      <c r="SSE1" t="s">
        <v>14367</v>
      </c>
      <c r="SSF1" t="s">
        <v>14368</v>
      </c>
      <c r="SSG1" t="s">
        <v>14369</v>
      </c>
      <c r="SSH1" t="s">
        <v>14370</v>
      </c>
      <c r="SSI1" t="s">
        <v>14371</v>
      </c>
      <c r="SSJ1" t="s">
        <v>14372</v>
      </c>
      <c r="SSK1" t="s">
        <v>14373</v>
      </c>
      <c r="SSL1" t="s">
        <v>14374</v>
      </c>
      <c r="SSM1" t="s">
        <v>14375</v>
      </c>
      <c r="SSN1" t="s">
        <v>14376</v>
      </c>
      <c r="SSO1" t="s">
        <v>14377</v>
      </c>
      <c r="SSP1" t="s">
        <v>14378</v>
      </c>
      <c r="SSQ1" t="s">
        <v>14379</v>
      </c>
      <c r="SSR1" t="s">
        <v>14380</v>
      </c>
      <c r="SSS1" t="s">
        <v>14381</v>
      </c>
      <c r="SST1" t="s">
        <v>14382</v>
      </c>
      <c r="SSU1" t="s">
        <v>14383</v>
      </c>
      <c r="SSV1" t="s">
        <v>14384</v>
      </c>
      <c r="SSW1" t="s">
        <v>14385</v>
      </c>
      <c r="SSX1" t="s">
        <v>14386</v>
      </c>
      <c r="SSY1" t="s">
        <v>14387</v>
      </c>
      <c r="SSZ1" t="s">
        <v>14388</v>
      </c>
      <c r="STA1" t="s">
        <v>14389</v>
      </c>
      <c r="STB1" t="s">
        <v>14390</v>
      </c>
      <c r="STC1" t="s">
        <v>14391</v>
      </c>
      <c r="STD1" t="s">
        <v>14392</v>
      </c>
      <c r="STE1" t="s">
        <v>14393</v>
      </c>
      <c r="STF1" t="s">
        <v>14394</v>
      </c>
      <c r="STG1" t="s">
        <v>14395</v>
      </c>
      <c r="STH1" t="s">
        <v>14396</v>
      </c>
      <c r="STI1" t="s">
        <v>14397</v>
      </c>
      <c r="STJ1" t="s">
        <v>14398</v>
      </c>
      <c r="STK1" t="s">
        <v>14399</v>
      </c>
      <c r="STL1" t="s">
        <v>14400</v>
      </c>
      <c r="STM1" t="s">
        <v>14401</v>
      </c>
      <c r="STN1" t="s">
        <v>14402</v>
      </c>
      <c r="STO1" t="s">
        <v>14403</v>
      </c>
      <c r="STP1" t="s">
        <v>14404</v>
      </c>
      <c r="STQ1" t="s">
        <v>14405</v>
      </c>
      <c r="STR1" t="s">
        <v>14406</v>
      </c>
      <c r="STS1" t="s">
        <v>14407</v>
      </c>
      <c r="STT1" t="s">
        <v>14408</v>
      </c>
      <c r="STU1" t="s">
        <v>14409</v>
      </c>
      <c r="STV1" t="s">
        <v>14410</v>
      </c>
      <c r="STW1" t="s">
        <v>14411</v>
      </c>
      <c r="STX1" t="s">
        <v>14412</v>
      </c>
      <c r="STY1" t="s">
        <v>14413</v>
      </c>
      <c r="STZ1" t="s">
        <v>14414</v>
      </c>
      <c r="SUA1" t="s">
        <v>14415</v>
      </c>
      <c r="SUB1" t="s">
        <v>14416</v>
      </c>
      <c r="SUC1" t="s">
        <v>14417</v>
      </c>
      <c r="SUD1" t="s">
        <v>14418</v>
      </c>
      <c r="SUE1" t="s">
        <v>14419</v>
      </c>
      <c r="SUF1" t="s">
        <v>14420</v>
      </c>
      <c r="SUG1" t="s">
        <v>14421</v>
      </c>
      <c r="SUH1" t="s">
        <v>14422</v>
      </c>
      <c r="SUI1" t="s">
        <v>14423</v>
      </c>
      <c r="SUJ1" t="s">
        <v>14424</v>
      </c>
      <c r="SUK1" t="s">
        <v>14425</v>
      </c>
      <c r="SUL1" t="s">
        <v>14426</v>
      </c>
      <c r="SUM1" t="s">
        <v>14427</v>
      </c>
      <c r="SUN1" t="s">
        <v>14428</v>
      </c>
      <c r="SUO1" t="s">
        <v>14429</v>
      </c>
      <c r="SUP1" t="s">
        <v>14430</v>
      </c>
      <c r="SUQ1" t="s">
        <v>14431</v>
      </c>
      <c r="SUR1" t="s">
        <v>14432</v>
      </c>
      <c r="SUS1" t="s">
        <v>14433</v>
      </c>
      <c r="SUT1" t="s">
        <v>14434</v>
      </c>
      <c r="SUU1" t="s">
        <v>14435</v>
      </c>
      <c r="SUV1" t="s">
        <v>14436</v>
      </c>
      <c r="SUW1" t="s">
        <v>14437</v>
      </c>
      <c r="SUX1" t="s">
        <v>14438</v>
      </c>
      <c r="SUY1" t="s">
        <v>14439</v>
      </c>
      <c r="SUZ1" t="s">
        <v>14440</v>
      </c>
      <c r="SVA1" t="s">
        <v>14441</v>
      </c>
      <c r="SVB1" t="s">
        <v>14442</v>
      </c>
      <c r="SVC1" t="s">
        <v>14443</v>
      </c>
      <c r="SVD1" t="s">
        <v>14444</v>
      </c>
      <c r="SVE1" t="s">
        <v>14445</v>
      </c>
      <c r="SVF1" t="s">
        <v>14446</v>
      </c>
      <c r="SVG1" t="s">
        <v>14447</v>
      </c>
      <c r="SVH1" t="s">
        <v>14448</v>
      </c>
      <c r="SVI1" t="s">
        <v>14449</v>
      </c>
      <c r="SVJ1" t="s">
        <v>14450</v>
      </c>
      <c r="SVK1" t="s">
        <v>14451</v>
      </c>
      <c r="SVL1" t="s">
        <v>14452</v>
      </c>
      <c r="SVM1" t="s">
        <v>14453</v>
      </c>
      <c r="SVN1" t="s">
        <v>14454</v>
      </c>
      <c r="SVO1" t="s">
        <v>14455</v>
      </c>
      <c r="SVP1" t="s">
        <v>14456</v>
      </c>
      <c r="SVQ1" t="s">
        <v>14457</v>
      </c>
      <c r="SVR1" t="s">
        <v>14458</v>
      </c>
      <c r="SVS1" t="s">
        <v>14459</v>
      </c>
      <c r="SVT1" t="s">
        <v>14460</v>
      </c>
      <c r="SVU1" t="s">
        <v>14461</v>
      </c>
      <c r="SVV1" t="s">
        <v>14462</v>
      </c>
      <c r="SVW1" t="s">
        <v>14463</v>
      </c>
      <c r="SVX1" t="s">
        <v>14464</v>
      </c>
      <c r="SVY1" t="s">
        <v>14465</v>
      </c>
      <c r="SVZ1" t="s">
        <v>14466</v>
      </c>
      <c r="SWA1" t="s">
        <v>14467</v>
      </c>
      <c r="SWB1" t="s">
        <v>14468</v>
      </c>
      <c r="SWC1" t="s">
        <v>14469</v>
      </c>
      <c r="SWD1" t="s">
        <v>14470</v>
      </c>
      <c r="SWE1" t="s">
        <v>14471</v>
      </c>
      <c r="SWF1" t="s">
        <v>14472</v>
      </c>
      <c r="SWG1" t="s">
        <v>14473</v>
      </c>
      <c r="SWH1" t="s">
        <v>14474</v>
      </c>
      <c r="SWI1" t="s">
        <v>14475</v>
      </c>
      <c r="SWJ1" t="s">
        <v>14476</v>
      </c>
      <c r="SWK1" t="s">
        <v>14477</v>
      </c>
      <c r="SWL1" t="s">
        <v>14478</v>
      </c>
      <c r="SWM1" t="s">
        <v>14479</v>
      </c>
      <c r="SWN1" t="s">
        <v>14480</v>
      </c>
      <c r="SWO1" t="s">
        <v>14481</v>
      </c>
      <c r="SWP1" t="s">
        <v>14482</v>
      </c>
      <c r="SWQ1" t="s">
        <v>14483</v>
      </c>
      <c r="SWR1" t="s">
        <v>14484</v>
      </c>
      <c r="SWS1" t="s">
        <v>14485</v>
      </c>
      <c r="SWT1" t="s">
        <v>14486</v>
      </c>
      <c r="SWU1" t="s">
        <v>14487</v>
      </c>
      <c r="SWV1" t="s">
        <v>14488</v>
      </c>
      <c r="SWW1" t="s">
        <v>14489</v>
      </c>
      <c r="SWX1" t="s">
        <v>14490</v>
      </c>
      <c r="SWY1" t="s">
        <v>14491</v>
      </c>
      <c r="SWZ1" t="s">
        <v>14492</v>
      </c>
      <c r="SXA1" t="s">
        <v>14493</v>
      </c>
      <c r="SXB1" t="s">
        <v>14494</v>
      </c>
      <c r="SXC1" t="s">
        <v>14495</v>
      </c>
      <c r="SXD1" t="s">
        <v>14496</v>
      </c>
      <c r="SXE1" t="s">
        <v>14497</v>
      </c>
      <c r="SXF1" t="s">
        <v>14498</v>
      </c>
      <c r="SXG1" t="s">
        <v>14499</v>
      </c>
      <c r="SXH1" t="s">
        <v>14500</v>
      </c>
      <c r="SXI1" t="s">
        <v>14501</v>
      </c>
      <c r="SXJ1" t="s">
        <v>14502</v>
      </c>
      <c r="SXK1" t="s">
        <v>14503</v>
      </c>
      <c r="SXL1" t="s">
        <v>14504</v>
      </c>
      <c r="SXM1" t="s">
        <v>14505</v>
      </c>
      <c r="SXN1" t="s">
        <v>14506</v>
      </c>
      <c r="SXO1" t="s">
        <v>14507</v>
      </c>
      <c r="SXP1" t="s">
        <v>14508</v>
      </c>
      <c r="SXQ1" t="s">
        <v>14509</v>
      </c>
      <c r="SXR1" t="s">
        <v>14510</v>
      </c>
      <c r="SXS1" t="s">
        <v>14511</v>
      </c>
      <c r="SXT1" t="s">
        <v>14512</v>
      </c>
      <c r="SXU1" t="s">
        <v>14513</v>
      </c>
      <c r="SXV1" t="s">
        <v>14514</v>
      </c>
      <c r="SXW1" t="s">
        <v>14515</v>
      </c>
      <c r="SXX1" t="s">
        <v>14516</v>
      </c>
      <c r="SXY1" t="s">
        <v>14517</v>
      </c>
      <c r="SXZ1" t="s">
        <v>14518</v>
      </c>
      <c r="SYA1" t="s">
        <v>14519</v>
      </c>
      <c r="SYB1" t="s">
        <v>14520</v>
      </c>
      <c r="SYC1" t="s">
        <v>14521</v>
      </c>
      <c r="SYD1" t="s">
        <v>14522</v>
      </c>
      <c r="SYE1" t="s">
        <v>14523</v>
      </c>
      <c r="SYF1" t="s">
        <v>14524</v>
      </c>
      <c r="SYG1" t="s">
        <v>14525</v>
      </c>
      <c r="SYH1" t="s">
        <v>14526</v>
      </c>
      <c r="SYI1" t="s">
        <v>14527</v>
      </c>
      <c r="SYJ1" t="s">
        <v>14528</v>
      </c>
      <c r="SYK1" t="s">
        <v>14529</v>
      </c>
      <c r="SYL1" t="s">
        <v>14530</v>
      </c>
      <c r="SYM1" t="s">
        <v>14531</v>
      </c>
      <c r="SYN1" t="s">
        <v>14532</v>
      </c>
      <c r="SYO1" t="s">
        <v>14533</v>
      </c>
      <c r="SYP1" t="s">
        <v>14534</v>
      </c>
      <c r="SYQ1" t="s">
        <v>14535</v>
      </c>
      <c r="SYR1" t="s">
        <v>14536</v>
      </c>
      <c r="SYS1" t="s">
        <v>14537</v>
      </c>
      <c r="SYT1" t="s">
        <v>14538</v>
      </c>
      <c r="SYU1" t="s">
        <v>14539</v>
      </c>
      <c r="SYV1" t="s">
        <v>14540</v>
      </c>
      <c r="SYW1" t="s">
        <v>14541</v>
      </c>
      <c r="SYX1" t="s">
        <v>14542</v>
      </c>
      <c r="SYY1" t="s">
        <v>14543</v>
      </c>
      <c r="SYZ1" t="s">
        <v>14544</v>
      </c>
      <c r="SZA1" t="s">
        <v>14545</v>
      </c>
      <c r="SZB1" t="s">
        <v>14546</v>
      </c>
      <c r="SZC1" t="s">
        <v>14547</v>
      </c>
      <c r="SZD1" t="s">
        <v>14548</v>
      </c>
      <c r="SZE1" t="s">
        <v>14549</v>
      </c>
      <c r="SZF1" t="s">
        <v>14550</v>
      </c>
      <c r="SZG1" t="s">
        <v>14551</v>
      </c>
      <c r="SZH1" t="s">
        <v>14552</v>
      </c>
      <c r="SZI1" t="s">
        <v>14553</v>
      </c>
      <c r="SZJ1" t="s">
        <v>14554</v>
      </c>
      <c r="SZK1" t="s">
        <v>14555</v>
      </c>
      <c r="SZL1" t="s">
        <v>14556</v>
      </c>
      <c r="SZM1" t="s">
        <v>14557</v>
      </c>
      <c r="SZN1" t="s">
        <v>14558</v>
      </c>
      <c r="SZO1" t="s">
        <v>14559</v>
      </c>
      <c r="SZP1" t="s">
        <v>14560</v>
      </c>
      <c r="SZQ1" t="s">
        <v>14561</v>
      </c>
      <c r="SZR1" t="s">
        <v>14562</v>
      </c>
      <c r="SZS1" t="s">
        <v>14563</v>
      </c>
      <c r="SZT1" t="s">
        <v>14564</v>
      </c>
      <c r="SZU1" t="s">
        <v>14565</v>
      </c>
      <c r="SZV1" t="s">
        <v>14566</v>
      </c>
      <c r="SZW1" t="s">
        <v>14567</v>
      </c>
      <c r="SZX1" t="s">
        <v>14568</v>
      </c>
      <c r="SZY1" t="s">
        <v>14569</v>
      </c>
      <c r="SZZ1" t="s">
        <v>14570</v>
      </c>
      <c r="TAA1" t="s">
        <v>14571</v>
      </c>
      <c r="TAB1" t="s">
        <v>14572</v>
      </c>
      <c r="TAC1" t="s">
        <v>14573</v>
      </c>
      <c r="TAD1" t="s">
        <v>14574</v>
      </c>
      <c r="TAE1" t="s">
        <v>14575</v>
      </c>
      <c r="TAF1" t="s">
        <v>14576</v>
      </c>
      <c r="TAG1" t="s">
        <v>14577</v>
      </c>
      <c r="TAH1" t="s">
        <v>14578</v>
      </c>
      <c r="TAI1" t="s">
        <v>14579</v>
      </c>
      <c r="TAJ1" t="s">
        <v>14580</v>
      </c>
      <c r="TAK1" t="s">
        <v>14581</v>
      </c>
      <c r="TAL1" t="s">
        <v>14582</v>
      </c>
      <c r="TAM1" t="s">
        <v>14583</v>
      </c>
      <c r="TAN1" t="s">
        <v>14584</v>
      </c>
      <c r="TAO1" t="s">
        <v>14585</v>
      </c>
      <c r="TAP1" t="s">
        <v>14586</v>
      </c>
      <c r="TAQ1" t="s">
        <v>14587</v>
      </c>
      <c r="TAR1" t="s">
        <v>14588</v>
      </c>
      <c r="TAS1" t="s">
        <v>14589</v>
      </c>
      <c r="TAT1" t="s">
        <v>14590</v>
      </c>
      <c r="TAU1" t="s">
        <v>14591</v>
      </c>
      <c r="TAV1" t="s">
        <v>14592</v>
      </c>
      <c r="TAW1" t="s">
        <v>14593</v>
      </c>
      <c r="TAX1" t="s">
        <v>14594</v>
      </c>
      <c r="TAY1" t="s">
        <v>14595</v>
      </c>
      <c r="TAZ1" t="s">
        <v>14596</v>
      </c>
      <c r="TBA1" t="s">
        <v>14597</v>
      </c>
      <c r="TBB1" t="s">
        <v>14598</v>
      </c>
      <c r="TBC1" t="s">
        <v>14599</v>
      </c>
      <c r="TBD1" t="s">
        <v>14600</v>
      </c>
      <c r="TBE1" t="s">
        <v>14601</v>
      </c>
      <c r="TBF1" t="s">
        <v>14602</v>
      </c>
      <c r="TBG1" t="s">
        <v>14603</v>
      </c>
      <c r="TBH1" t="s">
        <v>14604</v>
      </c>
      <c r="TBI1" t="s">
        <v>14605</v>
      </c>
      <c r="TBJ1" t="s">
        <v>14606</v>
      </c>
      <c r="TBK1" t="s">
        <v>14607</v>
      </c>
      <c r="TBL1" t="s">
        <v>14608</v>
      </c>
      <c r="TBM1" t="s">
        <v>14609</v>
      </c>
      <c r="TBN1" t="s">
        <v>14610</v>
      </c>
      <c r="TBO1" t="s">
        <v>14611</v>
      </c>
      <c r="TBP1" t="s">
        <v>14612</v>
      </c>
      <c r="TBQ1" t="s">
        <v>14613</v>
      </c>
      <c r="TBR1" t="s">
        <v>14614</v>
      </c>
      <c r="TBS1" t="s">
        <v>14615</v>
      </c>
      <c r="TBT1" t="s">
        <v>14616</v>
      </c>
      <c r="TBU1" t="s">
        <v>14617</v>
      </c>
      <c r="TBV1" t="s">
        <v>14618</v>
      </c>
      <c r="TBW1" t="s">
        <v>14619</v>
      </c>
      <c r="TBX1" t="s">
        <v>14620</v>
      </c>
      <c r="TBY1" t="s">
        <v>14621</v>
      </c>
      <c r="TBZ1" t="s">
        <v>14622</v>
      </c>
      <c r="TCA1" t="s">
        <v>14623</v>
      </c>
      <c r="TCB1" t="s">
        <v>14624</v>
      </c>
      <c r="TCC1" t="s">
        <v>14625</v>
      </c>
      <c r="TCD1" t="s">
        <v>14626</v>
      </c>
      <c r="TCE1" t="s">
        <v>14627</v>
      </c>
      <c r="TCF1" t="s">
        <v>14628</v>
      </c>
      <c r="TCG1" t="s">
        <v>14629</v>
      </c>
      <c r="TCH1" t="s">
        <v>14630</v>
      </c>
      <c r="TCI1" t="s">
        <v>14631</v>
      </c>
      <c r="TCJ1" t="s">
        <v>14632</v>
      </c>
      <c r="TCK1" t="s">
        <v>14633</v>
      </c>
      <c r="TCL1" t="s">
        <v>14634</v>
      </c>
      <c r="TCM1" t="s">
        <v>14635</v>
      </c>
      <c r="TCN1" t="s">
        <v>14636</v>
      </c>
      <c r="TCO1" t="s">
        <v>14637</v>
      </c>
      <c r="TCP1" t="s">
        <v>14638</v>
      </c>
      <c r="TCQ1" t="s">
        <v>14639</v>
      </c>
      <c r="TCR1" t="s">
        <v>14640</v>
      </c>
      <c r="TCS1" t="s">
        <v>14641</v>
      </c>
      <c r="TCT1" t="s">
        <v>14642</v>
      </c>
      <c r="TCU1" t="s">
        <v>14643</v>
      </c>
      <c r="TCV1" t="s">
        <v>14644</v>
      </c>
      <c r="TCW1" t="s">
        <v>14645</v>
      </c>
      <c r="TCX1" t="s">
        <v>14646</v>
      </c>
      <c r="TCY1" t="s">
        <v>14647</v>
      </c>
      <c r="TCZ1" t="s">
        <v>14648</v>
      </c>
      <c r="TDA1" t="s">
        <v>14649</v>
      </c>
      <c r="TDB1" t="s">
        <v>14650</v>
      </c>
      <c r="TDC1" t="s">
        <v>14651</v>
      </c>
      <c r="TDD1" t="s">
        <v>14652</v>
      </c>
      <c r="TDE1" t="s">
        <v>14653</v>
      </c>
      <c r="TDF1" t="s">
        <v>14654</v>
      </c>
      <c r="TDG1" t="s">
        <v>14655</v>
      </c>
      <c r="TDH1" t="s">
        <v>14656</v>
      </c>
      <c r="TDI1" t="s">
        <v>14657</v>
      </c>
      <c r="TDJ1" t="s">
        <v>14658</v>
      </c>
      <c r="TDK1" t="s">
        <v>14659</v>
      </c>
      <c r="TDL1" t="s">
        <v>14660</v>
      </c>
      <c r="TDM1" t="s">
        <v>14661</v>
      </c>
      <c r="TDN1" t="s">
        <v>14662</v>
      </c>
      <c r="TDO1" t="s">
        <v>14663</v>
      </c>
      <c r="TDP1" t="s">
        <v>14664</v>
      </c>
      <c r="TDQ1" t="s">
        <v>14665</v>
      </c>
      <c r="TDR1" t="s">
        <v>14666</v>
      </c>
      <c r="TDS1" t="s">
        <v>14667</v>
      </c>
      <c r="TDT1" t="s">
        <v>14668</v>
      </c>
      <c r="TDU1" t="s">
        <v>14669</v>
      </c>
      <c r="TDV1" t="s">
        <v>14670</v>
      </c>
      <c r="TDW1" t="s">
        <v>14671</v>
      </c>
      <c r="TDX1" t="s">
        <v>14672</v>
      </c>
      <c r="TDY1" t="s">
        <v>14673</v>
      </c>
      <c r="TDZ1" t="s">
        <v>14674</v>
      </c>
      <c r="TEA1" t="s">
        <v>14675</v>
      </c>
      <c r="TEB1" t="s">
        <v>14676</v>
      </c>
      <c r="TEC1" t="s">
        <v>14677</v>
      </c>
      <c r="TED1" t="s">
        <v>14678</v>
      </c>
      <c r="TEE1" t="s">
        <v>14679</v>
      </c>
      <c r="TEF1" t="s">
        <v>14680</v>
      </c>
      <c r="TEG1" t="s">
        <v>14681</v>
      </c>
      <c r="TEH1" t="s">
        <v>14682</v>
      </c>
      <c r="TEI1" t="s">
        <v>14683</v>
      </c>
      <c r="TEJ1" t="s">
        <v>14684</v>
      </c>
      <c r="TEK1" t="s">
        <v>14685</v>
      </c>
      <c r="TEL1" t="s">
        <v>14686</v>
      </c>
      <c r="TEM1" t="s">
        <v>14687</v>
      </c>
      <c r="TEN1" t="s">
        <v>14688</v>
      </c>
      <c r="TEO1" t="s">
        <v>14689</v>
      </c>
      <c r="TEP1" t="s">
        <v>14690</v>
      </c>
      <c r="TEQ1" t="s">
        <v>14691</v>
      </c>
      <c r="TER1" t="s">
        <v>14692</v>
      </c>
      <c r="TES1" t="s">
        <v>14693</v>
      </c>
      <c r="TET1" t="s">
        <v>14694</v>
      </c>
      <c r="TEU1" t="s">
        <v>14695</v>
      </c>
      <c r="TEV1" t="s">
        <v>14696</v>
      </c>
      <c r="TEW1" t="s">
        <v>14697</v>
      </c>
      <c r="TEX1" t="s">
        <v>14698</v>
      </c>
      <c r="TEY1" t="s">
        <v>14699</v>
      </c>
      <c r="TEZ1" t="s">
        <v>14700</v>
      </c>
      <c r="TFA1" t="s">
        <v>14701</v>
      </c>
      <c r="TFB1" t="s">
        <v>14702</v>
      </c>
      <c r="TFC1" t="s">
        <v>14703</v>
      </c>
      <c r="TFD1" t="s">
        <v>14704</v>
      </c>
      <c r="TFE1" t="s">
        <v>14705</v>
      </c>
      <c r="TFF1" t="s">
        <v>14706</v>
      </c>
      <c r="TFG1" t="s">
        <v>14707</v>
      </c>
      <c r="TFH1" t="s">
        <v>14708</v>
      </c>
      <c r="TFI1" t="s">
        <v>14709</v>
      </c>
      <c r="TFJ1" t="s">
        <v>14710</v>
      </c>
      <c r="TFK1" t="s">
        <v>14711</v>
      </c>
      <c r="TFL1" t="s">
        <v>14712</v>
      </c>
      <c r="TFM1" t="s">
        <v>14713</v>
      </c>
      <c r="TFN1" t="s">
        <v>14714</v>
      </c>
      <c r="TFO1" t="s">
        <v>14715</v>
      </c>
      <c r="TFP1" t="s">
        <v>14716</v>
      </c>
      <c r="TFQ1" t="s">
        <v>14717</v>
      </c>
      <c r="TFR1" t="s">
        <v>14718</v>
      </c>
      <c r="TFS1" t="s">
        <v>14719</v>
      </c>
      <c r="TFT1" t="s">
        <v>14720</v>
      </c>
      <c r="TFU1" t="s">
        <v>14721</v>
      </c>
      <c r="TFV1" t="s">
        <v>14722</v>
      </c>
      <c r="TFW1" t="s">
        <v>14723</v>
      </c>
      <c r="TFX1" t="s">
        <v>14724</v>
      </c>
      <c r="TFY1" t="s">
        <v>14725</v>
      </c>
      <c r="TFZ1" t="s">
        <v>14726</v>
      </c>
      <c r="TGA1" t="s">
        <v>14727</v>
      </c>
      <c r="TGB1" t="s">
        <v>14728</v>
      </c>
      <c r="TGC1" t="s">
        <v>14729</v>
      </c>
      <c r="TGD1" t="s">
        <v>14730</v>
      </c>
      <c r="TGE1" t="s">
        <v>14731</v>
      </c>
      <c r="TGF1" t="s">
        <v>14732</v>
      </c>
      <c r="TGG1" t="s">
        <v>14733</v>
      </c>
      <c r="TGH1" t="s">
        <v>14734</v>
      </c>
      <c r="TGI1" t="s">
        <v>14735</v>
      </c>
      <c r="TGJ1" t="s">
        <v>14736</v>
      </c>
      <c r="TGK1" t="s">
        <v>14737</v>
      </c>
      <c r="TGL1" t="s">
        <v>14738</v>
      </c>
      <c r="TGM1" t="s">
        <v>14739</v>
      </c>
      <c r="TGN1" t="s">
        <v>14740</v>
      </c>
      <c r="TGO1" t="s">
        <v>14741</v>
      </c>
      <c r="TGP1" t="s">
        <v>14742</v>
      </c>
      <c r="TGQ1" t="s">
        <v>14743</v>
      </c>
      <c r="TGR1" t="s">
        <v>14744</v>
      </c>
      <c r="TGS1" t="s">
        <v>14745</v>
      </c>
      <c r="TGT1" t="s">
        <v>14746</v>
      </c>
      <c r="TGU1" t="s">
        <v>14747</v>
      </c>
      <c r="TGV1" t="s">
        <v>14748</v>
      </c>
      <c r="TGW1" t="s">
        <v>14749</v>
      </c>
      <c r="TGX1" t="s">
        <v>14750</v>
      </c>
      <c r="TGY1" t="s">
        <v>14751</v>
      </c>
      <c r="TGZ1" t="s">
        <v>14752</v>
      </c>
      <c r="THA1" t="s">
        <v>14753</v>
      </c>
      <c r="THB1" t="s">
        <v>14754</v>
      </c>
      <c r="THC1" t="s">
        <v>14755</v>
      </c>
      <c r="THD1" t="s">
        <v>14756</v>
      </c>
      <c r="THE1" t="s">
        <v>14757</v>
      </c>
      <c r="THF1" t="s">
        <v>14758</v>
      </c>
      <c r="THG1" t="s">
        <v>14759</v>
      </c>
      <c r="THH1" t="s">
        <v>14760</v>
      </c>
      <c r="THI1" t="s">
        <v>14761</v>
      </c>
      <c r="THJ1" t="s">
        <v>14762</v>
      </c>
      <c r="THK1" t="s">
        <v>14763</v>
      </c>
      <c r="THL1" t="s">
        <v>14764</v>
      </c>
      <c r="THM1" t="s">
        <v>14765</v>
      </c>
      <c r="THN1" t="s">
        <v>14766</v>
      </c>
      <c r="THO1" t="s">
        <v>14767</v>
      </c>
      <c r="THP1" t="s">
        <v>14768</v>
      </c>
      <c r="THQ1" t="s">
        <v>14769</v>
      </c>
      <c r="THR1" t="s">
        <v>14770</v>
      </c>
      <c r="THS1" t="s">
        <v>14771</v>
      </c>
      <c r="THT1" t="s">
        <v>14772</v>
      </c>
      <c r="THU1" t="s">
        <v>14773</v>
      </c>
      <c r="THV1" t="s">
        <v>14774</v>
      </c>
      <c r="THW1" t="s">
        <v>14775</v>
      </c>
      <c r="THX1" t="s">
        <v>14776</v>
      </c>
      <c r="THY1" t="s">
        <v>14777</v>
      </c>
      <c r="THZ1" t="s">
        <v>14778</v>
      </c>
      <c r="TIA1" t="s">
        <v>14779</v>
      </c>
      <c r="TIB1" t="s">
        <v>14780</v>
      </c>
      <c r="TIC1" t="s">
        <v>14781</v>
      </c>
      <c r="TID1" t="s">
        <v>14782</v>
      </c>
      <c r="TIE1" t="s">
        <v>14783</v>
      </c>
      <c r="TIF1" t="s">
        <v>14784</v>
      </c>
      <c r="TIG1" t="s">
        <v>14785</v>
      </c>
      <c r="TIH1" t="s">
        <v>14786</v>
      </c>
      <c r="TII1" t="s">
        <v>14787</v>
      </c>
      <c r="TIJ1" t="s">
        <v>14788</v>
      </c>
      <c r="TIK1" t="s">
        <v>14789</v>
      </c>
      <c r="TIL1" t="s">
        <v>14790</v>
      </c>
      <c r="TIM1" t="s">
        <v>14791</v>
      </c>
      <c r="TIN1" t="s">
        <v>14792</v>
      </c>
      <c r="TIO1" t="s">
        <v>14793</v>
      </c>
      <c r="TIP1" t="s">
        <v>14794</v>
      </c>
      <c r="TIQ1" t="s">
        <v>14795</v>
      </c>
      <c r="TIR1" t="s">
        <v>14796</v>
      </c>
      <c r="TIS1" t="s">
        <v>14797</v>
      </c>
      <c r="TIT1" t="s">
        <v>14798</v>
      </c>
      <c r="TIU1" t="s">
        <v>14799</v>
      </c>
      <c r="TIV1" t="s">
        <v>14800</v>
      </c>
      <c r="TIW1" t="s">
        <v>14801</v>
      </c>
      <c r="TIX1" t="s">
        <v>14802</v>
      </c>
      <c r="TIY1" t="s">
        <v>14803</v>
      </c>
      <c r="TIZ1" t="s">
        <v>14804</v>
      </c>
      <c r="TJA1" t="s">
        <v>14805</v>
      </c>
      <c r="TJB1" t="s">
        <v>14806</v>
      </c>
      <c r="TJC1" t="s">
        <v>14807</v>
      </c>
      <c r="TJD1" t="s">
        <v>14808</v>
      </c>
      <c r="TJE1" t="s">
        <v>14809</v>
      </c>
      <c r="TJF1" t="s">
        <v>14810</v>
      </c>
      <c r="TJG1" t="s">
        <v>14811</v>
      </c>
      <c r="TJH1" t="s">
        <v>14812</v>
      </c>
      <c r="TJI1" t="s">
        <v>14813</v>
      </c>
      <c r="TJJ1" t="s">
        <v>14814</v>
      </c>
      <c r="TJK1" t="s">
        <v>14815</v>
      </c>
      <c r="TJL1" t="s">
        <v>14816</v>
      </c>
      <c r="TJM1" t="s">
        <v>14817</v>
      </c>
      <c r="TJN1" t="s">
        <v>14818</v>
      </c>
      <c r="TJO1" t="s">
        <v>14819</v>
      </c>
      <c r="TJP1" t="s">
        <v>14820</v>
      </c>
      <c r="TJQ1" t="s">
        <v>14821</v>
      </c>
      <c r="TJR1" t="s">
        <v>14822</v>
      </c>
      <c r="TJS1" t="s">
        <v>14823</v>
      </c>
      <c r="TJT1" t="s">
        <v>14824</v>
      </c>
      <c r="TJU1" t="s">
        <v>14825</v>
      </c>
      <c r="TJV1" t="s">
        <v>14826</v>
      </c>
      <c r="TJW1" t="s">
        <v>14827</v>
      </c>
      <c r="TJX1" t="s">
        <v>14828</v>
      </c>
      <c r="TJY1" t="s">
        <v>14829</v>
      </c>
      <c r="TJZ1" t="s">
        <v>14830</v>
      </c>
      <c r="TKA1" t="s">
        <v>14831</v>
      </c>
      <c r="TKB1" t="s">
        <v>14832</v>
      </c>
      <c r="TKC1" t="s">
        <v>14833</v>
      </c>
      <c r="TKD1" t="s">
        <v>14834</v>
      </c>
      <c r="TKE1" t="s">
        <v>14835</v>
      </c>
      <c r="TKF1" t="s">
        <v>14836</v>
      </c>
      <c r="TKG1" t="s">
        <v>14837</v>
      </c>
      <c r="TKH1" t="s">
        <v>14838</v>
      </c>
      <c r="TKI1" t="s">
        <v>14839</v>
      </c>
      <c r="TKJ1" t="s">
        <v>14840</v>
      </c>
      <c r="TKK1" t="s">
        <v>14841</v>
      </c>
      <c r="TKL1" t="s">
        <v>14842</v>
      </c>
      <c r="TKM1" t="s">
        <v>14843</v>
      </c>
      <c r="TKN1" t="s">
        <v>14844</v>
      </c>
      <c r="TKO1" t="s">
        <v>14845</v>
      </c>
      <c r="TKP1" t="s">
        <v>14846</v>
      </c>
      <c r="TKQ1" t="s">
        <v>14847</v>
      </c>
      <c r="TKR1" t="s">
        <v>14848</v>
      </c>
      <c r="TKS1" t="s">
        <v>14849</v>
      </c>
      <c r="TKT1" t="s">
        <v>14850</v>
      </c>
      <c r="TKU1" t="s">
        <v>14851</v>
      </c>
      <c r="TKV1" t="s">
        <v>14852</v>
      </c>
      <c r="TKW1" t="s">
        <v>14853</v>
      </c>
      <c r="TKX1" t="s">
        <v>14854</v>
      </c>
      <c r="TKY1" t="s">
        <v>14855</v>
      </c>
      <c r="TKZ1" t="s">
        <v>14856</v>
      </c>
      <c r="TLA1" t="s">
        <v>14857</v>
      </c>
      <c r="TLB1" t="s">
        <v>14858</v>
      </c>
      <c r="TLC1" t="s">
        <v>14859</v>
      </c>
      <c r="TLD1" t="s">
        <v>14860</v>
      </c>
      <c r="TLE1" t="s">
        <v>14861</v>
      </c>
      <c r="TLF1" t="s">
        <v>14862</v>
      </c>
      <c r="TLG1" t="s">
        <v>14863</v>
      </c>
      <c r="TLH1" t="s">
        <v>14864</v>
      </c>
      <c r="TLI1" t="s">
        <v>14865</v>
      </c>
      <c r="TLJ1" t="s">
        <v>14866</v>
      </c>
      <c r="TLK1" t="s">
        <v>14867</v>
      </c>
      <c r="TLL1" t="s">
        <v>14868</v>
      </c>
      <c r="TLM1" t="s">
        <v>14869</v>
      </c>
      <c r="TLN1" t="s">
        <v>14870</v>
      </c>
      <c r="TLO1" t="s">
        <v>14871</v>
      </c>
      <c r="TLP1" t="s">
        <v>14872</v>
      </c>
      <c r="TLQ1" t="s">
        <v>14873</v>
      </c>
      <c r="TLR1" t="s">
        <v>14874</v>
      </c>
      <c r="TLS1" t="s">
        <v>14875</v>
      </c>
      <c r="TLT1" t="s">
        <v>14876</v>
      </c>
      <c r="TLU1" t="s">
        <v>14877</v>
      </c>
      <c r="TLV1" t="s">
        <v>14878</v>
      </c>
      <c r="TLW1" t="s">
        <v>14879</v>
      </c>
      <c r="TLX1" t="s">
        <v>14880</v>
      </c>
      <c r="TLY1" t="s">
        <v>14881</v>
      </c>
      <c r="TLZ1" t="s">
        <v>14882</v>
      </c>
      <c r="TMA1" t="s">
        <v>14883</v>
      </c>
      <c r="TMB1" t="s">
        <v>14884</v>
      </c>
      <c r="TMC1" t="s">
        <v>14885</v>
      </c>
      <c r="TMD1" t="s">
        <v>14886</v>
      </c>
      <c r="TME1" t="s">
        <v>14887</v>
      </c>
      <c r="TMF1" t="s">
        <v>14888</v>
      </c>
      <c r="TMG1" t="s">
        <v>14889</v>
      </c>
      <c r="TMH1" t="s">
        <v>14890</v>
      </c>
      <c r="TMI1" t="s">
        <v>14891</v>
      </c>
      <c r="TMJ1" t="s">
        <v>14892</v>
      </c>
      <c r="TMK1" t="s">
        <v>14893</v>
      </c>
      <c r="TML1" t="s">
        <v>14894</v>
      </c>
      <c r="TMM1" t="s">
        <v>14895</v>
      </c>
      <c r="TMN1" t="s">
        <v>14896</v>
      </c>
      <c r="TMO1" t="s">
        <v>14897</v>
      </c>
      <c r="TMP1" t="s">
        <v>14898</v>
      </c>
      <c r="TMQ1" t="s">
        <v>14899</v>
      </c>
      <c r="TMR1" t="s">
        <v>14900</v>
      </c>
      <c r="TMS1" t="s">
        <v>14901</v>
      </c>
      <c r="TMT1" t="s">
        <v>14902</v>
      </c>
      <c r="TMU1" t="s">
        <v>14903</v>
      </c>
      <c r="TMV1" t="s">
        <v>14904</v>
      </c>
      <c r="TMW1" t="s">
        <v>14905</v>
      </c>
      <c r="TMX1" t="s">
        <v>14906</v>
      </c>
      <c r="TMY1" t="s">
        <v>14907</v>
      </c>
      <c r="TMZ1" t="s">
        <v>14908</v>
      </c>
      <c r="TNA1" t="s">
        <v>14909</v>
      </c>
      <c r="TNB1" t="s">
        <v>14910</v>
      </c>
      <c r="TNC1" t="s">
        <v>14911</v>
      </c>
      <c r="TND1" t="s">
        <v>14912</v>
      </c>
      <c r="TNE1" t="s">
        <v>14913</v>
      </c>
      <c r="TNF1" t="s">
        <v>14914</v>
      </c>
      <c r="TNG1" t="s">
        <v>14915</v>
      </c>
      <c r="TNH1" t="s">
        <v>14916</v>
      </c>
      <c r="TNI1" t="s">
        <v>14917</v>
      </c>
      <c r="TNJ1" t="s">
        <v>14918</v>
      </c>
      <c r="TNK1" t="s">
        <v>14919</v>
      </c>
      <c r="TNL1" t="s">
        <v>14920</v>
      </c>
      <c r="TNM1" t="s">
        <v>14921</v>
      </c>
      <c r="TNN1" t="s">
        <v>14922</v>
      </c>
      <c r="TNO1" t="s">
        <v>14923</v>
      </c>
      <c r="TNP1" t="s">
        <v>14924</v>
      </c>
      <c r="TNQ1" t="s">
        <v>14925</v>
      </c>
      <c r="TNR1" t="s">
        <v>14926</v>
      </c>
      <c r="TNS1" t="s">
        <v>14927</v>
      </c>
      <c r="TNT1" t="s">
        <v>14928</v>
      </c>
      <c r="TNU1" t="s">
        <v>14929</v>
      </c>
      <c r="TNV1" t="s">
        <v>14930</v>
      </c>
      <c r="TNW1" t="s">
        <v>14931</v>
      </c>
      <c r="TNX1" t="s">
        <v>14932</v>
      </c>
      <c r="TNY1" t="s">
        <v>14933</v>
      </c>
      <c r="TNZ1" t="s">
        <v>14934</v>
      </c>
      <c r="TOA1" t="s">
        <v>14935</v>
      </c>
      <c r="TOB1" t="s">
        <v>14936</v>
      </c>
      <c r="TOC1" t="s">
        <v>14937</v>
      </c>
      <c r="TOD1" t="s">
        <v>14938</v>
      </c>
      <c r="TOE1" t="s">
        <v>14939</v>
      </c>
      <c r="TOF1" t="s">
        <v>14940</v>
      </c>
      <c r="TOG1" t="s">
        <v>14941</v>
      </c>
      <c r="TOH1" t="s">
        <v>14942</v>
      </c>
      <c r="TOI1" t="s">
        <v>14943</v>
      </c>
      <c r="TOJ1" t="s">
        <v>14944</v>
      </c>
      <c r="TOK1" t="s">
        <v>14945</v>
      </c>
      <c r="TOL1" t="s">
        <v>14946</v>
      </c>
      <c r="TOM1" t="s">
        <v>14947</v>
      </c>
      <c r="TON1" t="s">
        <v>14948</v>
      </c>
      <c r="TOO1" t="s">
        <v>14949</v>
      </c>
      <c r="TOP1" t="s">
        <v>14950</v>
      </c>
      <c r="TOQ1" t="s">
        <v>14951</v>
      </c>
      <c r="TOR1" t="s">
        <v>14952</v>
      </c>
      <c r="TOS1" t="s">
        <v>14953</v>
      </c>
      <c r="TOT1" t="s">
        <v>14954</v>
      </c>
      <c r="TOU1" t="s">
        <v>14955</v>
      </c>
      <c r="TOV1" t="s">
        <v>14956</v>
      </c>
      <c r="TOW1" t="s">
        <v>14957</v>
      </c>
      <c r="TOX1" t="s">
        <v>14958</v>
      </c>
      <c r="TOY1" t="s">
        <v>14959</v>
      </c>
      <c r="TOZ1" t="s">
        <v>14960</v>
      </c>
      <c r="TPA1" t="s">
        <v>14961</v>
      </c>
      <c r="TPB1" t="s">
        <v>14962</v>
      </c>
      <c r="TPC1" t="s">
        <v>14963</v>
      </c>
      <c r="TPD1" t="s">
        <v>14964</v>
      </c>
      <c r="TPE1" t="s">
        <v>14965</v>
      </c>
      <c r="TPF1" t="s">
        <v>14966</v>
      </c>
      <c r="TPG1" t="s">
        <v>14967</v>
      </c>
      <c r="TPH1" t="s">
        <v>14968</v>
      </c>
      <c r="TPI1" t="s">
        <v>14969</v>
      </c>
      <c r="TPJ1" t="s">
        <v>14970</v>
      </c>
      <c r="TPK1" t="s">
        <v>14971</v>
      </c>
      <c r="TPL1" t="s">
        <v>14972</v>
      </c>
      <c r="TPM1" t="s">
        <v>14973</v>
      </c>
      <c r="TPN1" t="s">
        <v>14974</v>
      </c>
      <c r="TPO1" t="s">
        <v>14975</v>
      </c>
      <c r="TPP1" t="s">
        <v>14976</v>
      </c>
      <c r="TPQ1" t="s">
        <v>14977</v>
      </c>
      <c r="TPR1" t="s">
        <v>14978</v>
      </c>
      <c r="TPS1" t="s">
        <v>14979</v>
      </c>
      <c r="TPT1" t="s">
        <v>14980</v>
      </c>
      <c r="TPU1" t="s">
        <v>14981</v>
      </c>
      <c r="TPV1" t="s">
        <v>14982</v>
      </c>
      <c r="TPW1" t="s">
        <v>14983</v>
      </c>
      <c r="TPX1" t="s">
        <v>14984</v>
      </c>
      <c r="TPY1" t="s">
        <v>14985</v>
      </c>
      <c r="TPZ1" t="s">
        <v>14986</v>
      </c>
      <c r="TQA1" t="s">
        <v>14987</v>
      </c>
      <c r="TQB1" t="s">
        <v>14988</v>
      </c>
      <c r="TQC1" t="s">
        <v>14989</v>
      </c>
      <c r="TQD1" t="s">
        <v>14990</v>
      </c>
      <c r="TQE1" t="s">
        <v>14991</v>
      </c>
      <c r="TQF1" t="s">
        <v>14992</v>
      </c>
      <c r="TQG1" t="s">
        <v>14993</v>
      </c>
      <c r="TQH1" t="s">
        <v>14994</v>
      </c>
      <c r="TQI1" t="s">
        <v>14995</v>
      </c>
      <c r="TQJ1" t="s">
        <v>14996</v>
      </c>
      <c r="TQK1" t="s">
        <v>14997</v>
      </c>
      <c r="TQL1" t="s">
        <v>14998</v>
      </c>
      <c r="TQM1" t="s">
        <v>14999</v>
      </c>
      <c r="TQN1" t="s">
        <v>15000</v>
      </c>
      <c r="TQO1" t="s">
        <v>15001</v>
      </c>
      <c r="TQP1" t="s">
        <v>15002</v>
      </c>
      <c r="TQQ1" t="s">
        <v>15003</v>
      </c>
      <c r="TQR1" t="s">
        <v>15004</v>
      </c>
      <c r="TQS1" t="s">
        <v>15005</v>
      </c>
      <c r="TQT1" t="s">
        <v>15006</v>
      </c>
      <c r="TQU1" t="s">
        <v>15007</v>
      </c>
      <c r="TQV1" t="s">
        <v>15008</v>
      </c>
      <c r="TQW1" t="s">
        <v>15009</v>
      </c>
      <c r="TQX1" t="s">
        <v>15010</v>
      </c>
      <c r="TQY1" t="s">
        <v>15011</v>
      </c>
      <c r="TQZ1" t="s">
        <v>15012</v>
      </c>
      <c r="TRA1" t="s">
        <v>15013</v>
      </c>
      <c r="TRB1" t="s">
        <v>15014</v>
      </c>
      <c r="TRC1" t="s">
        <v>15015</v>
      </c>
      <c r="TRD1" t="s">
        <v>15016</v>
      </c>
      <c r="TRE1" t="s">
        <v>15017</v>
      </c>
      <c r="TRF1" t="s">
        <v>15018</v>
      </c>
      <c r="TRG1" t="s">
        <v>15019</v>
      </c>
      <c r="TRH1" t="s">
        <v>15020</v>
      </c>
      <c r="TRI1" t="s">
        <v>15021</v>
      </c>
      <c r="TRJ1" t="s">
        <v>15022</v>
      </c>
      <c r="TRK1" t="s">
        <v>15023</v>
      </c>
      <c r="TRL1" t="s">
        <v>15024</v>
      </c>
      <c r="TRM1" t="s">
        <v>15025</v>
      </c>
      <c r="TRN1" t="s">
        <v>15026</v>
      </c>
      <c r="TRO1" t="s">
        <v>15027</v>
      </c>
      <c r="TRP1" t="s">
        <v>15028</v>
      </c>
      <c r="TRQ1" t="s">
        <v>15029</v>
      </c>
      <c r="TRR1" t="s">
        <v>15030</v>
      </c>
      <c r="TRS1" t="s">
        <v>15031</v>
      </c>
      <c r="TRT1" t="s">
        <v>15032</v>
      </c>
      <c r="TRU1" t="s">
        <v>15033</v>
      </c>
      <c r="TRV1" t="s">
        <v>15034</v>
      </c>
      <c r="TRW1" t="s">
        <v>15035</v>
      </c>
      <c r="TRX1" t="s">
        <v>15036</v>
      </c>
      <c r="TRY1" t="s">
        <v>15037</v>
      </c>
      <c r="TRZ1" t="s">
        <v>15038</v>
      </c>
      <c r="TSA1" t="s">
        <v>15039</v>
      </c>
      <c r="TSB1" t="s">
        <v>15040</v>
      </c>
      <c r="TSC1" t="s">
        <v>15041</v>
      </c>
      <c r="TSD1" t="s">
        <v>15042</v>
      </c>
      <c r="TSE1" t="s">
        <v>15043</v>
      </c>
      <c r="TSF1" t="s">
        <v>15044</v>
      </c>
      <c r="TSG1" t="s">
        <v>15045</v>
      </c>
      <c r="TSH1" t="s">
        <v>15046</v>
      </c>
      <c r="TSI1" t="s">
        <v>15047</v>
      </c>
      <c r="TSJ1" t="s">
        <v>15048</v>
      </c>
      <c r="TSK1" t="s">
        <v>15049</v>
      </c>
      <c r="TSL1" t="s">
        <v>15050</v>
      </c>
      <c r="TSM1" t="s">
        <v>15051</v>
      </c>
      <c r="TSN1" t="s">
        <v>15052</v>
      </c>
      <c r="TSO1" t="s">
        <v>15053</v>
      </c>
      <c r="TSP1" t="s">
        <v>15054</v>
      </c>
      <c r="TSQ1" t="s">
        <v>15055</v>
      </c>
      <c r="TSR1" t="s">
        <v>15056</v>
      </c>
      <c r="TSS1" t="s">
        <v>15057</v>
      </c>
      <c r="TST1" t="s">
        <v>15058</v>
      </c>
      <c r="TSU1" t="s">
        <v>15059</v>
      </c>
      <c r="TSV1" t="s">
        <v>15060</v>
      </c>
      <c r="TSW1" t="s">
        <v>15061</v>
      </c>
      <c r="TSX1" t="s">
        <v>15062</v>
      </c>
      <c r="TSY1" t="s">
        <v>15063</v>
      </c>
      <c r="TSZ1" t="s">
        <v>15064</v>
      </c>
      <c r="TTA1" t="s">
        <v>15065</v>
      </c>
      <c r="TTB1" t="s">
        <v>15066</v>
      </c>
      <c r="TTC1" t="s">
        <v>15067</v>
      </c>
      <c r="TTD1" t="s">
        <v>15068</v>
      </c>
      <c r="TTE1" t="s">
        <v>15069</v>
      </c>
      <c r="TTF1" t="s">
        <v>15070</v>
      </c>
      <c r="TTG1" t="s">
        <v>15071</v>
      </c>
      <c r="TTH1" t="s">
        <v>15072</v>
      </c>
      <c r="TTI1" t="s">
        <v>15073</v>
      </c>
      <c r="TTJ1" t="s">
        <v>15074</v>
      </c>
      <c r="TTK1" t="s">
        <v>15075</v>
      </c>
      <c r="TTL1" t="s">
        <v>15076</v>
      </c>
      <c r="TTM1" t="s">
        <v>15077</v>
      </c>
      <c r="TTN1" t="s">
        <v>15078</v>
      </c>
      <c r="TTO1" t="s">
        <v>15079</v>
      </c>
      <c r="TTP1" t="s">
        <v>15080</v>
      </c>
      <c r="TTQ1" t="s">
        <v>15081</v>
      </c>
      <c r="TTR1" t="s">
        <v>15082</v>
      </c>
      <c r="TTS1" t="s">
        <v>15083</v>
      </c>
      <c r="TTT1" t="s">
        <v>15084</v>
      </c>
      <c r="TTU1" t="s">
        <v>15085</v>
      </c>
      <c r="TTV1" t="s">
        <v>15086</v>
      </c>
      <c r="TTW1" t="s">
        <v>15087</v>
      </c>
      <c r="TTX1" t="s">
        <v>15088</v>
      </c>
      <c r="TTY1" t="s">
        <v>15089</v>
      </c>
      <c r="TTZ1" t="s">
        <v>15090</v>
      </c>
      <c r="TUA1" t="s">
        <v>15091</v>
      </c>
      <c r="TUB1" t="s">
        <v>15092</v>
      </c>
      <c r="TUC1" t="s">
        <v>15093</v>
      </c>
      <c r="TUD1" t="s">
        <v>15094</v>
      </c>
      <c r="TUE1" t="s">
        <v>15095</v>
      </c>
      <c r="TUF1" t="s">
        <v>15096</v>
      </c>
      <c r="TUG1" t="s">
        <v>15097</v>
      </c>
      <c r="TUH1" t="s">
        <v>15098</v>
      </c>
      <c r="TUI1" t="s">
        <v>15099</v>
      </c>
      <c r="TUJ1" t="s">
        <v>15100</v>
      </c>
      <c r="TUK1" t="s">
        <v>15101</v>
      </c>
      <c r="TUL1" t="s">
        <v>15102</v>
      </c>
      <c r="TUM1" t="s">
        <v>15103</v>
      </c>
      <c r="TUN1" t="s">
        <v>15104</v>
      </c>
      <c r="TUO1" t="s">
        <v>15105</v>
      </c>
      <c r="TUP1" t="s">
        <v>15106</v>
      </c>
      <c r="TUQ1" t="s">
        <v>15107</v>
      </c>
      <c r="TUR1" t="s">
        <v>15108</v>
      </c>
      <c r="TUS1" t="s">
        <v>15109</v>
      </c>
      <c r="TUT1" t="s">
        <v>15110</v>
      </c>
      <c r="TUU1" t="s">
        <v>15111</v>
      </c>
      <c r="TUV1" t="s">
        <v>15112</v>
      </c>
      <c r="TUW1" t="s">
        <v>15113</v>
      </c>
      <c r="TUX1" t="s">
        <v>15114</v>
      </c>
      <c r="TUY1" t="s">
        <v>15115</v>
      </c>
      <c r="TUZ1" t="s">
        <v>15116</v>
      </c>
      <c r="TVA1" t="s">
        <v>15117</v>
      </c>
      <c r="TVB1" t="s">
        <v>15118</v>
      </c>
      <c r="TVC1" t="s">
        <v>15119</v>
      </c>
      <c r="TVD1" t="s">
        <v>15120</v>
      </c>
      <c r="TVE1" t="s">
        <v>15121</v>
      </c>
      <c r="TVF1" t="s">
        <v>15122</v>
      </c>
      <c r="TVG1" t="s">
        <v>15123</v>
      </c>
      <c r="TVH1" t="s">
        <v>15124</v>
      </c>
      <c r="TVI1" t="s">
        <v>15125</v>
      </c>
      <c r="TVJ1" t="s">
        <v>15126</v>
      </c>
      <c r="TVK1" t="s">
        <v>15127</v>
      </c>
      <c r="TVL1" t="s">
        <v>15128</v>
      </c>
      <c r="TVM1" t="s">
        <v>15129</v>
      </c>
      <c r="TVN1" t="s">
        <v>15130</v>
      </c>
      <c r="TVO1" t="s">
        <v>15131</v>
      </c>
      <c r="TVP1" t="s">
        <v>15132</v>
      </c>
      <c r="TVQ1" t="s">
        <v>15133</v>
      </c>
      <c r="TVR1" t="s">
        <v>15134</v>
      </c>
      <c r="TVS1" t="s">
        <v>15135</v>
      </c>
      <c r="TVT1" t="s">
        <v>15136</v>
      </c>
      <c r="TVU1" t="s">
        <v>15137</v>
      </c>
      <c r="TVV1" t="s">
        <v>15138</v>
      </c>
      <c r="TVW1" t="s">
        <v>15139</v>
      </c>
      <c r="TVX1" t="s">
        <v>15140</v>
      </c>
      <c r="TVY1" t="s">
        <v>15141</v>
      </c>
      <c r="TVZ1" t="s">
        <v>15142</v>
      </c>
      <c r="TWA1" t="s">
        <v>15143</v>
      </c>
      <c r="TWB1" t="s">
        <v>15144</v>
      </c>
      <c r="TWC1" t="s">
        <v>15145</v>
      </c>
      <c r="TWD1" t="s">
        <v>15146</v>
      </c>
      <c r="TWE1" t="s">
        <v>15147</v>
      </c>
      <c r="TWF1" t="s">
        <v>15148</v>
      </c>
      <c r="TWG1" t="s">
        <v>15149</v>
      </c>
      <c r="TWH1" t="s">
        <v>15150</v>
      </c>
      <c r="TWI1" t="s">
        <v>15151</v>
      </c>
      <c r="TWJ1" t="s">
        <v>15152</v>
      </c>
      <c r="TWK1" t="s">
        <v>15153</v>
      </c>
      <c r="TWL1" t="s">
        <v>15154</v>
      </c>
      <c r="TWM1" t="s">
        <v>15155</v>
      </c>
      <c r="TWN1" t="s">
        <v>15156</v>
      </c>
      <c r="TWO1" t="s">
        <v>15157</v>
      </c>
      <c r="TWP1" t="s">
        <v>15158</v>
      </c>
      <c r="TWQ1" t="s">
        <v>15159</v>
      </c>
      <c r="TWR1" t="s">
        <v>15160</v>
      </c>
      <c r="TWS1" t="s">
        <v>15161</v>
      </c>
      <c r="TWT1" t="s">
        <v>15162</v>
      </c>
      <c r="TWU1" t="s">
        <v>15163</v>
      </c>
      <c r="TWV1" t="s">
        <v>15164</v>
      </c>
      <c r="TWW1" t="s">
        <v>15165</v>
      </c>
      <c r="TWX1" t="s">
        <v>15166</v>
      </c>
      <c r="TWY1" t="s">
        <v>15167</v>
      </c>
      <c r="TWZ1" t="s">
        <v>15168</v>
      </c>
      <c r="TXA1" t="s">
        <v>15169</v>
      </c>
      <c r="TXB1" t="s">
        <v>15170</v>
      </c>
      <c r="TXC1" t="s">
        <v>15171</v>
      </c>
      <c r="TXD1" t="s">
        <v>15172</v>
      </c>
      <c r="TXE1" t="s">
        <v>15173</v>
      </c>
      <c r="TXF1" t="s">
        <v>15174</v>
      </c>
      <c r="TXG1" t="s">
        <v>15175</v>
      </c>
      <c r="TXH1" t="s">
        <v>15176</v>
      </c>
      <c r="TXI1" t="s">
        <v>15177</v>
      </c>
      <c r="TXJ1" t="s">
        <v>15178</v>
      </c>
      <c r="TXK1" t="s">
        <v>15179</v>
      </c>
      <c r="TXL1" t="s">
        <v>15180</v>
      </c>
      <c r="TXM1" t="s">
        <v>15181</v>
      </c>
      <c r="TXN1" t="s">
        <v>15182</v>
      </c>
      <c r="TXO1" t="s">
        <v>15183</v>
      </c>
      <c r="TXP1" t="s">
        <v>15184</v>
      </c>
      <c r="TXQ1" t="s">
        <v>15185</v>
      </c>
      <c r="TXR1" t="s">
        <v>15186</v>
      </c>
      <c r="TXS1" t="s">
        <v>15187</v>
      </c>
      <c r="TXT1" t="s">
        <v>15188</v>
      </c>
      <c r="TXU1" t="s">
        <v>15189</v>
      </c>
      <c r="TXV1" t="s">
        <v>15190</v>
      </c>
      <c r="TXW1" t="s">
        <v>15191</v>
      </c>
      <c r="TXX1" t="s">
        <v>15192</v>
      </c>
      <c r="TXY1" t="s">
        <v>15193</v>
      </c>
      <c r="TXZ1" t="s">
        <v>15194</v>
      </c>
      <c r="TYA1" t="s">
        <v>15195</v>
      </c>
      <c r="TYB1" t="s">
        <v>15196</v>
      </c>
      <c r="TYC1" t="s">
        <v>15197</v>
      </c>
      <c r="TYD1" t="s">
        <v>15198</v>
      </c>
      <c r="TYE1" t="s">
        <v>15199</v>
      </c>
      <c r="TYF1" t="s">
        <v>15200</v>
      </c>
      <c r="TYG1" t="s">
        <v>15201</v>
      </c>
      <c r="TYH1" t="s">
        <v>15202</v>
      </c>
      <c r="TYI1" t="s">
        <v>15203</v>
      </c>
      <c r="TYJ1" t="s">
        <v>15204</v>
      </c>
      <c r="TYK1" t="s">
        <v>15205</v>
      </c>
      <c r="TYL1" t="s">
        <v>15206</v>
      </c>
      <c r="TYM1" t="s">
        <v>15207</v>
      </c>
      <c r="TYN1" t="s">
        <v>15208</v>
      </c>
      <c r="TYO1" t="s">
        <v>15209</v>
      </c>
      <c r="TYP1" t="s">
        <v>15210</v>
      </c>
      <c r="TYQ1" t="s">
        <v>15211</v>
      </c>
      <c r="TYR1" t="s">
        <v>15212</v>
      </c>
      <c r="TYS1" t="s">
        <v>15213</v>
      </c>
      <c r="TYT1" t="s">
        <v>15214</v>
      </c>
      <c r="TYU1" t="s">
        <v>15215</v>
      </c>
      <c r="TYV1" t="s">
        <v>15216</v>
      </c>
      <c r="TYW1" t="s">
        <v>15217</v>
      </c>
      <c r="TYX1" t="s">
        <v>15218</v>
      </c>
      <c r="TYY1" t="s">
        <v>15219</v>
      </c>
      <c r="TYZ1" t="s">
        <v>15220</v>
      </c>
      <c r="TZA1" t="s">
        <v>15221</v>
      </c>
      <c r="TZB1" t="s">
        <v>15222</v>
      </c>
      <c r="TZC1" t="s">
        <v>15223</v>
      </c>
      <c r="TZD1" t="s">
        <v>15224</v>
      </c>
      <c r="TZE1" t="s">
        <v>15225</v>
      </c>
      <c r="TZF1" t="s">
        <v>15226</v>
      </c>
      <c r="TZG1" t="s">
        <v>15227</v>
      </c>
      <c r="TZH1" t="s">
        <v>15228</v>
      </c>
      <c r="TZI1" t="s">
        <v>15229</v>
      </c>
      <c r="TZJ1" t="s">
        <v>15230</v>
      </c>
      <c r="TZK1" t="s">
        <v>15231</v>
      </c>
      <c r="TZL1" t="s">
        <v>15232</v>
      </c>
      <c r="TZM1" t="s">
        <v>15233</v>
      </c>
      <c r="TZN1" t="s">
        <v>15234</v>
      </c>
      <c r="TZO1" t="s">
        <v>15235</v>
      </c>
      <c r="TZP1" t="s">
        <v>15236</v>
      </c>
      <c r="TZQ1" t="s">
        <v>15237</v>
      </c>
      <c r="TZR1" t="s">
        <v>15238</v>
      </c>
      <c r="TZS1" t="s">
        <v>15239</v>
      </c>
      <c r="TZT1" t="s">
        <v>15240</v>
      </c>
      <c r="TZU1" t="s">
        <v>15241</v>
      </c>
      <c r="TZV1" t="s">
        <v>15242</v>
      </c>
      <c r="TZW1" t="s">
        <v>15243</v>
      </c>
      <c r="TZX1" t="s">
        <v>15244</v>
      </c>
      <c r="TZY1" t="s">
        <v>15245</v>
      </c>
      <c r="TZZ1" t="s">
        <v>15246</v>
      </c>
      <c r="UAA1" t="s">
        <v>15247</v>
      </c>
      <c r="UAB1" t="s">
        <v>15248</v>
      </c>
      <c r="UAC1" t="s">
        <v>15249</v>
      </c>
      <c r="UAD1" t="s">
        <v>15250</v>
      </c>
      <c r="UAE1" t="s">
        <v>15251</v>
      </c>
      <c r="UAF1" t="s">
        <v>15252</v>
      </c>
      <c r="UAG1" t="s">
        <v>15253</v>
      </c>
      <c r="UAH1" t="s">
        <v>15254</v>
      </c>
      <c r="UAI1" t="s">
        <v>15255</v>
      </c>
      <c r="UAJ1" t="s">
        <v>15256</v>
      </c>
      <c r="UAK1" t="s">
        <v>15257</v>
      </c>
      <c r="UAL1" t="s">
        <v>15258</v>
      </c>
      <c r="UAM1" t="s">
        <v>15259</v>
      </c>
      <c r="UAN1" t="s">
        <v>15260</v>
      </c>
      <c r="UAO1" t="s">
        <v>15261</v>
      </c>
      <c r="UAP1" t="s">
        <v>15262</v>
      </c>
      <c r="UAQ1" t="s">
        <v>15263</v>
      </c>
      <c r="UAR1" t="s">
        <v>15264</v>
      </c>
      <c r="UAS1" t="s">
        <v>15265</v>
      </c>
      <c r="UAT1" t="s">
        <v>15266</v>
      </c>
      <c r="UAU1" t="s">
        <v>15267</v>
      </c>
      <c r="UAV1" t="s">
        <v>15268</v>
      </c>
      <c r="UAW1" t="s">
        <v>15269</v>
      </c>
      <c r="UAX1" t="s">
        <v>15270</v>
      </c>
      <c r="UAY1" t="s">
        <v>15271</v>
      </c>
      <c r="UAZ1" t="s">
        <v>15272</v>
      </c>
      <c r="UBA1" t="s">
        <v>15273</v>
      </c>
      <c r="UBB1" t="s">
        <v>15274</v>
      </c>
      <c r="UBC1" t="s">
        <v>15275</v>
      </c>
      <c r="UBD1" t="s">
        <v>15276</v>
      </c>
      <c r="UBE1" t="s">
        <v>15277</v>
      </c>
      <c r="UBF1" t="s">
        <v>15278</v>
      </c>
      <c r="UBG1" t="s">
        <v>15279</v>
      </c>
      <c r="UBH1" t="s">
        <v>15280</v>
      </c>
      <c r="UBI1" t="s">
        <v>15281</v>
      </c>
      <c r="UBJ1" t="s">
        <v>15282</v>
      </c>
      <c r="UBK1" t="s">
        <v>15283</v>
      </c>
      <c r="UBL1" t="s">
        <v>15284</v>
      </c>
      <c r="UBM1" t="s">
        <v>15285</v>
      </c>
      <c r="UBN1" t="s">
        <v>15286</v>
      </c>
      <c r="UBO1" t="s">
        <v>15287</v>
      </c>
      <c r="UBP1" t="s">
        <v>15288</v>
      </c>
      <c r="UBQ1" t="s">
        <v>15289</v>
      </c>
      <c r="UBR1" t="s">
        <v>15290</v>
      </c>
      <c r="UBS1" t="s">
        <v>15291</v>
      </c>
      <c r="UBT1" t="s">
        <v>15292</v>
      </c>
      <c r="UBU1" t="s">
        <v>15293</v>
      </c>
      <c r="UBV1" t="s">
        <v>15294</v>
      </c>
      <c r="UBW1" t="s">
        <v>15295</v>
      </c>
      <c r="UBX1" t="s">
        <v>15296</v>
      </c>
      <c r="UBY1" t="s">
        <v>15297</v>
      </c>
      <c r="UBZ1" t="s">
        <v>15298</v>
      </c>
      <c r="UCA1" t="s">
        <v>15299</v>
      </c>
      <c r="UCB1" t="s">
        <v>15300</v>
      </c>
      <c r="UCC1" t="s">
        <v>15301</v>
      </c>
      <c r="UCD1" t="s">
        <v>15302</v>
      </c>
      <c r="UCE1" t="s">
        <v>15303</v>
      </c>
      <c r="UCF1" t="s">
        <v>15304</v>
      </c>
      <c r="UCG1" t="s">
        <v>15305</v>
      </c>
      <c r="UCH1" t="s">
        <v>15306</v>
      </c>
      <c r="UCI1" t="s">
        <v>15307</v>
      </c>
      <c r="UCJ1" t="s">
        <v>15308</v>
      </c>
      <c r="UCK1" t="s">
        <v>15309</v>
      </c>
      <c r="UCL1" t="s">
        <v>15310</v>
      </c>
      <c r="UCM1" t="s">
        <v>15311</v>
      </c>
      <c r="UCN1" t="s">
        <v>15312</v>
      </c>
      <c r="UCO1" t="s">
        <v>15313</v>
      </c>
      <c r="UCP1" t="s">
        <v>15314</v>
      </c>
      <c r="UCQ1" t="s">
        <v>15315</v>
      </c>
      <c r="UCR1" t="s">
        <v>15316</v>
      </c>
      <c r="UCS1" t="s">
        <v>15317</v>
      </c>
      <c r="UCT1" t="s">
        <v>15318</v>
      </c>
      <c r="UCU1" t="s">
        <v>15319</v>
      </c>
      <c r="UCV1" t="s">
        <v>15320</v>
      </c>
      <c r="UCW1" t="s">
        <v>15321</v>
      </c>
      <c r="UCX1" t="s">
        <v>15322</v>
      </c>
      <c r="UCY1" t="s">
        <v>15323</v>
      </c>
      <c r="UCZ1" t="s">
        <v>15324</v>
      </c>
      <c r="UDA1" t="s">
        <v>15325</v>
      </c>
      <c r="UDB1" t="s">
        <v>15326</v>
      </c>
      <c r="UDC1" t="s">
        <v>15327</v>
      </c>
      <c r="UDD1" t="s">
        <v>15328</v>
      </c>
      <c r="UDE1" t="s">
        <v>15329</v>
      </c>
      <c r="UDF1" t="s">
        <v>15330</v>
      </c>
      <c r="UDG1" t="s">
        <v>15331</v>
      </c>
      <c r="UDH1" t="s">
        <v>15332</v>
      </c>
      <c r="UDI1" t="s">
        <v>15333</v>
      </c>
      <c r="UDJ1" t="s">
        <v>15334</v>
      </c>
      <c r="UDK1" t="s">
        <v>15335</v>
      </c>
      <c r="UDL1" t="s">
        <v>15336</v>
      </c>
      <c r="UDM1" t="s">
        <v>15337</v>
      </c>
      <c r="UDN1" t="s">
        <v>15338</v>
      </c>
      <c r="UDO1" t="s">
        <v>15339</v>
      </c>
      <c r="UDP1" t="s">
        <v>15340</v>
      </c>
      <c r="UDQ1" t="s">
        <v>15341</v>
      </c>
      <c r="UDR1" t="s">
        <v>15342</v>
      </c>
      <c r="UDS1" t="s">
        <v>15343</v>
      </c>
      <c r="UDT1" t="s">
        <v>15344</v>
      </c>
      <c r="UDU1" t="s">
        <v>15345</v>
      </c>
      <c r="UDV1" t="s">
        <v>15346</v>
      </c>
      <c r="UDW1" t="s">
        <v>15347</v>
      </c>
      <c r="UDX1" t="s">
        <v>15348</v>
      </c>
      <c r="UDY1" t="s">
        <v>15349</v>
      </c>
      <c r="UDZ1" t="s">
        <v>15350</v>
      </c>
      <c r="UEA1" t="s">
        <v>15351</v>
      </c>
      <c r="UEB1" t="s">
        <v>15352</v>
      </c>
      <c r="UEC1" t="s">
        <v>15353</v>
      </c>
      <c r="UED1" t="s">
        <v>15354</v>
      </c>
      <c r="UEE1" t="s">
        <v>15355</v>
      </c>
      <c r="UEF1" t="s">
        <v>15356</v>
      </c>
      <c r="UEG1" t="s">
        <v>15357</v>
      </c>
      <c r="UEH1" t="s">
        <v>15358</v>
      </c>
      <c r="UEI1" t="s">
        <v>15359</v>
      </c>
      <c r="UEJ1" t="s">
        <v>15360</v>
      </c>
      <c r="UEK1" t="s">
        <v>15361</v>
      </c>
      <c r="UEL1" t="s">
        <v>15362</v>
      </c>
      <c r="UEM1" t="s">
        <v>15363</v>
      </c>
      <c r="UEN1" t="s">
        <v>15364</v>
      </c>
      <c r="UEO1" t="s">
        <v>15365</v>
      </c>
      <c r="UEP1" t="s">
        <v>15366</v>
      </c>
      <c r="UEQ1" t="s">
        <v>15367</v>
      </c>
      <c r="UER1" t="s">
        <v>15368</v>
      </c>
      <c r="UES1" t="s">
        <v>15369</v>
      </c>
      <c r="UET1" t="s">
        <v>15370</v>
      </c>
      <c r="UEU1" t="s">
        <v>15371</v>
      </c>
      <c r="UEV1" t="s">
        <v>15372</v>
      </c>
      <c r="UEW1" t="s">
        <v>15373</v>
      </c>
      <c r="UEX1" t="s">
        <v>15374</v>
      </c>
      <c r="UEY1" t="s">
        <v>15375</v>
      </c>
      <c r="UEZ1" t="s">
        <v>15376</v>
      </c>
      <c r="UFA1" t="s">
        <v>15377</v>
      </c>
      <c r="UFB1" t="s">
        <v>15378</v>
      </c>
      <c r="UFC1" t="s">
        <v>15379</v>
      </c>
      <c r="UFD1" t="s">
        <v>15380</v>
      </c>
      <c r="UFE1" t="s">
        <v>15381</v>
      </c>
      <c r="UFF1" t="s">
        <v>15382</v>
      </c>
      <c r="UFG1" t="s">
        <v>15383</v>
      </c>
      <c r="UFH1" t="s">
        <v>15384</v>
      </c>
      <c r="UFI1" t="s">
        <v>15385</v>
      </c>
      <c r="UFJ1" t="s">
        <v>15386</v>
      </c>
      <c r="UFK1" t="s">
        <v>15387</v>
      </c>
      <c r="UFL1" t="s">
        <v>15388</v>
      </c>
      <c r="UFM1" t="s">
        <v>15389</v>
      </c>
      <c r="UFN1" t="s">
        <v>15390</v>
      </c>
      <c r="UFO1" t="s">
        <v>15391</v>
      </c>
      <c r="UFP1" t="s">
        <v>15392</v>
      </c>
      <c r="UFQ1" t="s">
        <v>15393</v>
      </c>
      <c r="UFR1" t="s">
        <v>15394</v>
      </c>
      <c r="UFS1" t="s">
        <v>15395</v>
      </c>
      <c r="UFT1" t="s">
        <v>15396</v>
      </c>
      <c r="UFU1" t="s">
        <v>15397</v>
      </c>
      <c r="UFV1" t="s">
        <v>15398</v>
      </c>
      <c r="UFW1" t="s">
        <v>15399</v>
      </c>
      <c r="UFX1" t="s">
        <v>15400</v>
      </c>
      <c r="UFY1" t="s">
        <v>15401</v>
      </c>
      <c r="UFZ1" t="s">
        <v>15402</v>
      </c>
      <c r="UGA1" t="s">
        <v>15403</v>
      </c>
      <c r="UGB1" t="s">
        <v>15404</v>
      </c>
      <c r="UGC1" t="s">
        <v>15405</v>
      </c>
      <c r="UGD1" t="s">
        <v>15406</v>
      </c>
      <c r="UGE1" t="s">
        <v>15407</v>
      </c>
      <c r="UGF1" t="s">
        <v>15408</v>
      </c>
      <c r="UGG1" t="s">
        <v>15409</v>
      </c>
      <c r="UGH1" t="s">
        <v>15410</v>
      </c>
      <c r="UGI1" t="s">
        <v>15411</v>
      </c>
      <c r="UGJ1" t="s">
        <v>15412</v>
      </c>
      <c r="UGK1" t="s">
        <v>15413</v>
      </c>
      <c r="UGL1" t="s">
        <v>15414</v>
      </c>
      <c r="UGM1" t="s">
        <v>15415</v>
      </c>
      <c r="UGN1" t="s">
        <v>15416</v>
      </c>
      <c r="UGO1" t="s">
        <v>15417</v>
      </c>
      <c r="UGP1" t="s">
        <v>15418</v>
      </c>
      <c r="UGQ1" t="s">
        <v>15419</v>
      </c>
      <c r="UGR1" t="s">
        <v>15420</v>
      </c>
      <c r="UGS1" t="s">
        <v>15421</v>
      </c>
      <c r="UGT1" t="s">
        <v>15422</v>
      </c>
      <c r="UGU1" t="s">
        <v>15423</v>
      </c>
      <c r="UGV1" t="s">
        <v>15424</v>
      </c>
      <c r="UGW1" t="s">
        <v>15425</v>
      </c>
      <c r="UGX1" t="s">
        <v>15426</v>
      </c>
      <c r="UGY1" t="s">
        <v>15427</v>
      </c>
      <c r="UGZ1" t="s">
        <v>15428</v>
      </c>
      <c r="UHA1" t="s">
        <v>15429</v>
      </c>
      <c r="UHB1" t="s">
        <v>15430</v>
      </c>
      <c r="UHC1" t="s">
        <v>15431</v>
      </c>
      <c r="UHD1" t="s">
        <v>15432</v>
      </c>
      <c r="UHE1" t="s">
        <v>15433</v>
      </c>
      <c r="UHF1" t="s">
        <v>15434</v>
      </c>
      <c r="UHG1" t="s">
        <v>15435</v>
      </c>
      <c r="UHH1" t="s">
        <v>15436</v>
      </c>
      <c r="UHI1" t="s">
        <v>15437</v>
      </c>
      <c r="UHJ1" t="s">
        <v>15438</v>
      </c>
      <c r="UHK1" t="s">
        <v>15439</v>
      </c>
      <c r="UHL1" t="s">
        <v>15440</v>
      </c>
      <c r="UHM1" t="s">
        <v>15441</v>
      </c>
      <c r="UHN1" t="s">
        <v>15442</v>
      </c>
      <c r="UHO1" t="s">
        <v>15443</v>
      </c>
      <c r="UHP1" t="s">
        <v>15444</v>
      </c>
      <c r="UHQ1" t="s">
        <v>15445</v>
      </c>
      <c r="UHR1" t="s">
        <v>15446</v>
      </c>
      <c r="UHS1" t="s">
        <v>15447</v>
      </c>
      <c r="UHT1" t="s">
        <v>15448</v>
      </c>
      <c r="UHU1" t="s">
        <v>15449</v>
      </c>
      <c r="UHV1" t="s">
        <v>15450</v>
      </c>
      <c r="UHW1" t="s">
        <v>15451</v>
      </c>
      <c r="UHX1" t="s">
        <v>15452</v>
      </c>
      <c r="UHY1" t="s">
        <v>15453</v>
      </c>
      <c r="UHZ1" t="s">
        <v>15454</v>
      </c>
      <c r="UIA1" t="s">
        <v>15455</v>
      </c>
      <c r="UIB1" t="s">
        <v>15456</v>
      </c>
      <c r="UIC1" t="s">
        <v>15457</v>
      </c>
      <c r="UID1" t="s">
        <v>15458</v>
      </c>
      <c r="UIE1" t="s">
        <v>15459</v>
      </c>
      <c r="UIF1" t="s">
        <v>15460</v>
      </c>
      <c r="UIG1" t="s">
        <v>15461</v>
      </c>
      <c r="UIH1" t="s">
        <v>15462</v>
      </c>
      <c r="UII1" t="s">
        <v>15463</v>
      </c>
      <c r="UIJ1" t="s">
        <v>15464</v>
      </c>
      <c r="UIK1" t="s">
        <v>15465</v>
      </c>
      <c r="UIL1" t="s">
        <v>15466</v>
      </c>
      <c r="UIM1" t="s">
        <v>15467</v>
      </c>
      <c r="UIN1" t="s">
        <v>15468</v>
      </c>
      <c r="UIO1" t="s">
        <v>15469</v>
      </c>
      <c r="UIP1" t="s">
        <v>15470</v>
      </c>
      <c r="UIQ1" t="s">
        <v>15471</v>
      </c>
      <c r="UIR1" t="s">
        <v>15472</v>
      </c>
      <c r="UIS1" t="s">
        <v>15473</v>
      </c>
      <c r="UIT1" t="s">
        <v>15474</v>
      </c>
      <c r="UIU1" t="s">
        <v>15475</v>
      </c>
      <c r="UIV1" t="s">
        <v>15476</v>
      </c>
      <c r="UIW1" t="s">
        <v>15477</v>
      </c>
      <c r="UIX1" t="s">
        <v>15478</v>
      </c>
      <c r="UIY1" t="s">
        <v>15479</v>
      </c>
      <c r="UIZ1" t="s">
        <v>15480</v>
      </c>
      <c r="UJA1" t="s">
        <v>15481</v>
      </c>
      <c r="UJB1" t="s">
        <v>15482</v>
      </c>
      <c r="UJC1" t="s">
        <v>15483</v>
      </c>
      <c r="UJD1" t="s">
        <v>15484</v>
      </c>
      <c r="UJE1" t="s">
        <v>15485</v>
      </c>
      <c r="UJF1" t="s">
        <v>15486</v>
      </c>
      <c r="UJG1" t="s">
        <v>15487</v>
      </c>
      <c r="UJH1" t="s">
        <v>15488</v>
      </c>
      <c r="UJI1" t="s">
        <v>15489</v>
      </c>
      <c r="UJJ1" t="s">
        <v>15490</v>
      </c>
      <c r="UJK1" t="s">
        <v>15491</v>
      </c>
      <c r="UJL1" t="s">
        <v>15492</v>
      </c>
      <c r="UJM1" t="s">
        <v>15493</v>
      </c>
      <c r="UJN1" t="s">
        <v>15494</v>
      </c>
      <c r="UJO1" t="s">
        <v>15495</v>
      </c>
      <c r="UJP1" t="s">
        <v>15496</v>
      </c>
      <c r="UJQ1" t="s">
        <v>15497</v>
      </c>
      <c r="UJR1" t="s">
        <v>15498</v>
      </c>
      <c r="UJS1" t="s">
        <v>15499</v>
      </c>
      <c r="UJT1" t="s">
        <v>15500</v>
      </c>
      <c r="UJU1" t="s">
        <v>15501</v>
      </c>
      <c r="UJV1" t="s">
        <v>15502</v>
      </c>
      <c r="UJW1" t="s">
        <v>15503</v>
      </c>
      <c r="UJX1" t="s">
        <v>15504</v>
      </c>
      <c r="UJY1" t="s">
        <v>15505</v>
      </c>
      <c r="UJZ1" t="s">
        <v>15506</v>
      </c>
      <c r="UKA1" t="s">
        <v>15507</v>
      </c>
      <c r="UKB1" t="s">
        <v>15508</v>
      </c>
      <c r="UKC1" t="s">
        <v>15509</v>
      </c>
      <c r="UKD1" t="s">
        <v>15510</v>
      </c>
      <c r="UKE1" t="s">
        <v>15511</v>
      </c>
      <c r="UKF1" t="s">
        <v>15512</v>
      </c>
      <c r="UKG1" t="s">
        <v>15513</v>
      </c>
      <c r="UKH1" t="s">
        <v>15514</v>
      </c>
      <c r="UKI1" t="s">
        <v>15515</v>
      </c>
      <c r="UKJ1" t="s">
        <v>15516</v>
      </c>
      <c r="UKK1" t="s">
        <v>15517</v>
      </c>
      <c r="UKL1" t="s">
        <v>15518</v>
      </c>
      <c r="UKM1" t="s">
        <v>15519</v>
      </c>
      <c r="UKN1" t="s">
        <v>15520</v>
      </c>
      <c r="UKO1" t="s">
        <v>15521</v>
      </c>
      <c r="UKP1" t="s">
        <v>15522</v>
      </c>
      <c r="UKQ1" t="s">
        <v>15523</v>
      </c>
      <c r="UKR1" t="s">
        <v>15524</v>
      </c>
      <c r="UKS1" t="s">
        <v>15525</v>
      </c>
      <c r="UKT1" t="s">
        <v>15526</v>
      </c>
      <c r="UKU1" t="s">
        <v>15527</v>
      </c>
      <c r="UKV1" t="s">
        <v>15528</v>
      </c>
      <c r="UKW1" t="s">
        <v>15529</v>
      </c>
      <c r="UKX1" t="s">
        <v>15530</v>
      </c>
      <c r="UKY1" t="s">
        <v>15531</v>
      </c>
      <c r="UKZ1" t="s">
        <v>15532</v>
      </c>
      <c r="ULA1" t="s">
        <v>15533</v>
      </c>
      <c r="ULB1" t="s">
        <v>15534</v>
      </c>
      <c r="ULC1" t="s">
        <v>15535</v>
      </c>
      <c r="ULD1" t="s">
        <v>15536</v>
      </c>
      <c r="ULE1" t="s">
        <v>15537</v>
      </c>
      <c r="ULF1" t="s">
        <v>15538</v>
      </c>
      <c r="ULG1" t="s">
        <v>15539</v>
      </c>
      <c r="ULH1" t="s">
        <v>15540</v>
      </c>
      <c r="ULI1" t="s">
        <v>15541</v>
      </c>
      <c r="ULJ1" t="s">
        <v>15542</v>
      </c>
      <c r="ULK1" t="s">
        <v>15543</v>
      </c>
      <c r="ULL1" t="s">
        <v>15544</v>
      </c>
      <c r="ULM1" t="s">
        <v>15545</v>
      </c>
      <c r="ULN1" t="s">
        <v>15546</v>
      </c>
      <c r="ULO1" t="s">
        <v>15547</v>
      </c>
      <c r="ULP1" t="s">
        <v>15548</v>
      </c>
      <c r="ULQ1" t="s">
        <v>15549</v>
      </c>
      <c r="ULR1" t="s">
        <v>15550</v>
      </c>
      <c r="ULS1" t="s">
        <v>15551</v>
      </c>
      <c r="ULT1" t="s">
        <v>15552</v>
      </c>
      <c r="ULU1" t="s">
        <v>15553</v>
      </c>
      <c r="ULV1" t="s">
        <v>15554</v>
      </c>
      <c r="ULW1" t="s">
        <v>15555</v>
      </c>
      <c r="ULX1" t="s">
        <v>15556</v>
      </c>
      <c r="ULY1" t="s">
        <v>15557</v>
      </c>
      <c r="ULZ1" t="s">
        <v>15558</v>
      </c>
      <c r="UMA1" t="s">
        <v>15559</v>
      </c>
      <c r="UMB1" t="s">
        <v>15560</v>
      </c>
      <c r="UMC1" t="s">
        <v>15561</v>
      </c>
      <c r="UMD1" t="s">
        <v>15562</v>
      </c>
      <c r="UME1" t="s">
        <v>15563</v>
      </c>
      <c r="UMF1" t="s">
        <v>15564</v>
      </c>
      <c r="UMG1" t="s">
        <v>15565</v>
      </c>
      <c r="UMH1" t="s">
        <v>15566</v>
      </c>
      <c r="UMI1" t="s">
        <v>15567</v>
      </c>
      <c r="UMJ1" t="s">
        <v>15568</v>
      </c>
      <c r="UMK1" t="s">
        <v>15569</v>
      </c>
      <c r="UML1" t="s">
        <v>15570</v>
      </c>
      <c r="UMM1" t="s">
        <v>15571</v>
      </c>
      <c r="UMN1" t="s">
        <v>15572</v>
      </c>
      <c r="UMO1" t="s">
        <v>15573</v>
      </c>
      <c r="UMP1" t="s">
        <v>15574</v>
      </c>
      <c r="UMQ1" t="s">
        <v>15575</v>
      </c>
      <c r="UMR1" t="s">
        <v>15576</v>
      </c>
      <c r="UMS1" t="s">
        <v>15577</v>
      </c>
      <c r="UMT1" t="s">
        <v>15578</v>
      </c>
      <c r="UMU1" t="s">
        <v>15579</v>
      </c>
      <c r="UMV1" t="s">
        <v>15580</v>
      </c>
      <c r="UMW1" t="s">
        <v>15581</v>
      </c>
      <c r="UMX1" t="s">
        <v>15582</v>
      </c>
      <c r="UMY1" t="s">
        <v>15583</v>
      </c>
      <c r="UMZ1" t="s">
        <v>15584</v>
      </c>
      <c r="UNA1" t="s">
        <v>15585</v>
      </c>
      <c r="UNB1" t="s">
        <v>15586</v>
      </c>
      <c r="UNC1" t="s">
        <v>15587</v>
      </c>
      <c r="UND1" t="s">
        <v>15588</v>
      </c>
      <c r="UNE1" t="s">
        <v>15589</v>
      </c>
      <c r="UNF1" t="s">
        <v>15590</v>
      </c>
      <c r="UNG1" t="s">
        <v>15591</v>
      </c>
      <c r="UNH1" t="s">
        <v>15592</v>
      </c>
      <c r="UNI1" t="s">
        <v>15593</v>
      </c>
      <c r="UNJ1" t="s">
        <v>15594</v>
      </c>
      <c r="UNK1" t="s">
        <v>15595</v>
      </c>
      <c r="UNL1" t="s">
        <v>15596</v>
      </c>
      <c r="UNM1" t="s">
        <v>15597</v>
      </c>
      <c r="UNN1" t="s">
        <v>15598</v>
      </c>
      <c r="UNO1" t="s">
        <v>15599</v>
      </c>
      <c r="UNP1" t="s">
        <v>15600</v>
      </c>
      <c r="UNQ1" t="s">
        <v>15601</v>
      </c>
      <c r="UNR1" t="s">
        <v>15602</v>
      </c>
      <c r="UNS1" t="s">
        <v>15603</v>
      </c>
      <c r="UNT1" t="s">
        <v>15604</v>
      </c>
      <c r="UNU1" t="s">
        <v>15605</v>
      </c>
      <c r="UNV1" t="s">
        <v>15606</v>
      </c>
      <c r="UNW1" t="s">
        <v>15607</v>
      </c>
      <c r="UNX1" t="s">
        <v>15608</v>
      </c>
      <c r="UNY1" t="s">
        <v>15609</v>
      </c>
      <c r="UNZ1" t="s">
        <v>15610</v>
      </c>
      <c r="UOA1" t="s">
        <v>15611</v>
      </c>
      <c r="UOB1" t="s">
        <v>15612</v>
      </c>
      <c r="UOC1" t="s">
        <v>15613</v>
      </c>
      <c r="UOD1" t="s">
        <v>15614</v>
      </c>
      <c r="UOE1" t="s">
        <v>15615</v>
      </c>
      <c r="UOF1" t="s">
        <v>15616</v>
      </c>
      <c r="UOG1" t="s">
        <v>15617</v>
      </c>
      <c r="UOH1" t="s">
        <v>15618</v>
      </c>
      <c r="UOI1" t="s">
        <v>15619</v>
      </c>
      <c r="UOJ1" t="s">
        <v>15620</v>
      </c>
      <c r="UOK1" t="s">
        <v>15621</v>
      </c>
      <c r="UOL1" t="s">
        <v>15622</v>
      </c>
      <c r="UOM1" t="s">
        <v>15623</v>
      </c>
      <c r="UON1" t="s">
        <v>15624</v>
      </c>
      <c r="UOO1" t="s">
        <v>15625</v>
      </c>
      <c r="UOP1" t="s">
        <v>15626</v>
      </c>
      <c r="UOQ1" t="s">
        <v>15627</v>
      </c>
      <c r="UOR1" t="s">
        <v>15628</v>
      </c>
      <c r="UOS1" t="s">
        <v>15629</v>
      </c>
      <c r="UOT1" t="s">
        <v>15630</v>
      </c>
      <c r="UOU1" t="s">
        <v>15631</v>
      </c>
      <c r="UOV1" t="s">
        <v>15632</v>
      </c>
      <c r="UOW1" t="s">
        <v>15633</v>
      </c>
      <c r="UOX1" t="s">
        <v>15634</v>
      </c>
      <c r="UOY1" t="s">
        <v>15635</v>
      </c>
      <c r="UOZ1" t="s">
        <v>15636</v>
      </c>
      <c r="UPA1" t="s">
        <v>15637</v>
      </c>
      <c r="UPB1" t="s">
        <v>15638</v>
      </c>
      <c r="UPC1" t="s">
        <v>15639</v>
      </c>
      <c r="UPD1" t="s">
        <v>15640</v>
      </c>
      <c r="UPE1" t="s">
        <v>15641</v>
      </c>
      <c r="UPF1" t="s">
        <v>15642</v>
      </c>
      <c r="UPG1" t="s">
        <v>15643</v>
      </c>
      <c r="UPH1" t="s">
        <v>15644</v>
      </c>
      <c r="UPI1" t="s">
        <v>15645</v>
      </c>
      <c r="UPJ1" t="s">
        <v>15646</v>
      </c>
      <c r="UPK1" t="s">
        <v>15647</v>
      </c>
      <c r="UPL1" t="s">
        <v>15648</v>
      </c>
      <c r="UPM1" t="s">
        <v>15649</v>
      </c>
      <c r="UPN1" t="s">
        <v>15650</v>
      </c>
      <c r="UPO1" t="s">
        <v>15651</v>
      </c>
      <c r="UPP1" t="s">
        <v>15652</v>
      </c>
      <c r="UPQ1" t="s">
        <v>15653</v>
      </c>
      <c r="UPR1" t="s">
        <v>15654</v>
      </c>
      <c r="UPS1" t="s">
        <v>15655</v>
      </c>
      <c r="UPT1" t="s">
        <v>15656</v>
      </c>
      <c r="UPU1" t="s">
        <v>15657</v>
      </c>
      <c r="UPV1" t="s">
        <v>15658</v>
      </c>
      <c r="UPW1" t="s">
        <v>15659</v>
      </c>
      <c r="UPX1" t="s">
        <v>15660</v>
      </c>
      <c r="UPY1" t="s">
        <v>15661</v>
      </c>
      <c r="UPZ1" t="s">
        <v>15662</v>
      </c>
      <c r="UQA1" t="s">
        <v>15663</v>
      </c>
      <c r="UQB1" t="s">
        <v>15664</v>
      </c>
      <c r="UQC1" t="s">
        <v>15665</v>
      </c>
      <c r="UQD1" t="s">
        <v>15666</v>
      </c>
      <c r="UQE1" t="s">
        <v>15667</v>
      </c>
      <c r="UQF1" t="s">
        <v>15668</v>
      </c>
      <c r="UQG1" t="s">
        <v>15669</v>
      </c>
      <c r="UQH1" t="s">
        <v>15670</v>
      </c>
      <c r="UQI1" t="s">
        <v>15671</v>
      </c>
      <c r="UQJ1" t="s">
        <v>15672</v>
      </c>
      <c r="UQK1" t="s">
        <v>15673</v>
      </c>
      <c r="UQL1" t="s">
        <v>15674</v>
      </c>
      <c r="UQM1" t="s">
        <v>15675</v>
      </c>
      <c r="UQN1" t="s">
        <v>15676</v>
      </c>
      <c r="UQO1" t="s">
        <v>15677</v>
      </c>
      <c r="UQP1" t="s">
        <v>15678</v>
      </c>
      <c r="UQQ1" t="s">
        <v>15679</v>
      </c>
      <c r="UQR1" t="s">
        <v>15680</v>
      </c>
      <c r="UQS1" t="s">
        <v>15681</v>
      </c>
      <c r="UQT1" t="s">
        <v>15682</v>
      </c>
      <c r="UQU1" t="s">
        <v>15683</v>
      </c>
      <c r="UQV1" t="s">
        <v>15684</v>
      </c>
      <c r="UQW1" t="s">
        <v>15685</v>
      </c>
      <c r="UQX1" t="s">
        <v>15686</v>
      </c>
      <c r="UQY1" t="s">
        <v>15687</v>
      </c>
      <c r="UQZ1" t="s">
        <v>15688</v>
      </c>
      <c r="URA1" t="s">
        <v>15689</v>
      </c>
      <c r="URB1" t="s">
        <v>15690</v>
      </c>
      <c r="URC1" t="s">
        <v>15691</v>
      </c>
      <c r="URD1" t="s">
        <v>15692</v>
      </c>
      <c r="URE1" t="s">
        <v>15693</v>
      </c>
      <c r="URF1" t="s">
        <v>15694</v>
      </c>
      <c r="URG1" t="s">
        <v>15695</v>
      </c>
      <c r="URH1" t="s">
        <v>15696</v>
      </c>
      <c r="URI1" t="s">
        <v>15697</v>
      </c>
      <c r="URJ1" t="s">
        <v>15698</v>
      </c>
      <c r="URK1" t="s">
        <v>15699</v>
      </c>
      <c r="URL1" t="s">
        <v>15700</v>
      </c>
      <c r="URM1" t="s">
        <v>15701</v>
      </c>
      <c r="URN1" t="s">
        <v>15702</v>
      </c>
      <c r="URO1" t="s">
        <v>15703</v>
      </c>
      <c r="URP1" t="s">
        <v>15704</v>
      </c>
      <c r="URQ1" t="s">
        <v>15705</v>
      </c>
      <c r="URR1" t="s">
        <v>15706</v>
      </c>
      <c r="URS1" t="s">
        <v>15707</v>
      </c>
      <c r="URT1" t="s">
        <v>15708</v>
      </c>
      <c r="URU1" t="s">
        <v>15709</v>
      </c>
      <c r="URV1" t="s">
        <v>15710</v>
      </c>
      <c r="URW1" t="s">
        <v>15711</v>
      </c>
      <c r="URX1" t="s">
        <v>15712</v>
      </c>
      <c r="URY1" t="s">
        <v>15713</v>
      </c>
      <c r="URZ1" t="s">
        <v>15714</v>
      </c>
      <c r="USA1" t="s">
        <v>15715</v>
      </c>
      <c r="USB1" t="s">
        <v>15716</v>
      </c>
      <c r="USC1" t="s">
        <v>15717</v>
      </c>
      <c r="USD1" t="s">
        <v>15718</v>
      </c>
      <c r="USE1" t="s">
        <v>15719</v>
      </c>
      <c r="USF1" t="s">
        <v>15720</v>
      </c>
      <c r="USG1" t="s">
        <v>15721</v>
      </c>
      <c r="USH1" t="s">
        <v>15722</v>
      </c>
      <c r="USI1" t="s">
        <v>15723</v>
      </c>
      <c r="USJ1" t="s">
        <v>15724</v>
      </c>
      <c r="USK1" t="s">
        <v>15725</v>
      </c>
      <c r="USL1" t="s">
        <v>15726</v>
      </c>
      <c r="USM1" t="s">
        <v>15727</v>
      </c>
      <c r="USN1" t="s">
        <v>15728</v>
      </c>
      <c r="USO1" t="s">
        <v>15729</v>
      </c>
      <c r="USP1" t="s">
        <v>15730</v>
      </c>
      <c r="USQ1" t="s">
        <v>15731</v>
      </c>
      <c r="USR1" t="s">
        <v>15732</v>
      </c>
      <c r="USS1" t="s">
        <v>15733</v>
      </c>
      <c r="UST1" t="s">
        <v>15734</v>
      </c>
      <c r="USU1" t="s">
        <v>15735</v>
      </c>
      <c r="USV1" t="s">
        <v>15736</v>
      </c>
      <c r="USW1" t="s">
        <v>15737</v>
      </c>
      <c r="USX1" t="s">
        <v>15738</v>
      </c>
      <c r="USY1" t="s">
        <v>15739</v>
      </c>
      <c r="USZ1" t="s">
        <v>15740</v>
      </c>
      <c r="UTA1" t="s">
        <v>15741</v>
      </c>
      <c r="UTB1" t="s">
        <v>15742</v>
      </c>
      <c r="UTC1" t="s">
        <v>15743</v>
      </c>
      <c r="UTD1" t="s">
        <v>15744</v>
      </c>
      <c r="UTE1" t="s">
        <v>15745</v>
      </c>
      <c r="UTF1" t="s">
        <v>15746</v>
      </c>
      <c r="UTG1" t="s">
        <v>15747</v>
      </c>
      <c r="UTH1" t="s">
        <v>15748</v>
      </c>
      <c r="UTI1" t="s">
        <v>15749</v>
      </c>
      <c r="UTJ1" t="s">
        <v>15750</v>
      </c>
      <c r="UTK1" t="s">
        <v>15751</v>
      </c>
      <c r="UTL1" t="s">
        <v>15752</v>
      </c>
      <c r="UTM1" t="s">
        <v>15753</v>
      </c>
      <c r="UTN1" t="s">
        <v>15754</v>
      </c>
      <c r="UTO1" t="s">
        <v>15755</v>
      </c>
      <c r="UTP1" t="s">
        <v>15756</v>
      </c>
      <c r="UTQ1" t="s">
        <v>15757</v>
      </c>
      <c r="UTR1" t="s">
        <v>15758</v>
      </c>
      <c r="UTS1" t="s">
        <v>15759</v>
      </c>
      <c r="UTT1" t="s">
        <v>15760</v>
      </c>
      <c r="UTU1" t="s">
        <v>15761</v>
      </c>
      <c r="UTV1" t="s">
        <v>15762</v>
      </c>
      <c r="UTW1" t="s">
        <v>15763</v>
      </c>
      <c r="UTX1" t="s">
        <v>15764</v>
      </c>
      <c r="UTY1" t="s">
        <v>15765</v>
      </c>
      <c r="UTZ1" t="s">
        <v>15766</v>
      </c>
      <c r="UUA1" t="s">
        <v>15767</v>
      </c>
      <c r="UUB1" t="s">
        <v>15768</v>
      </c>
      <c r="UUC1" t="s">
        <v>15769</v>
      </c>
      <c r="UUD1" t="s">
        <v>15770</v>
      </c>
      <c r="UUE1" t="s">
        <v>15771</v>
      </c>
      <c r="UUF1" t="s">
        <v>15772</v>
      </c>
      <c r="UUG1" t="s">
        <v>15773</v>
      </c>
      <c r="UUH1" t="s">
        <v>15774</v>
      </c>
      <c r="UUI1" t="s">
        <v>15775</v>
      </c>
      <c r="UUJ1" t="s">
        <v>15776</v>
      </c>
      <c r="UUK1" t="s">
        <v>15777</v>
      </c>
      <c r="UUL1" t="s">
        <v>15778</v>
      </c>
      <c r="UUM1" t="s">
        <v>15779</v>
      </c>
      <c r="UUN1" t="s">
        <v>15780</v>
      </c>
      <c r="UUO1" t="s">
        <v>15781</v>
      </c>
      <c r="UUP1" t="s">
        <v>15782</v>
      </c>
      <c r="UUQ1" t="s">
        <v>15783</v>
      </c>
      <c r="UUR1" t="s">
        <v>15784</v>
      </c>
      <c r="UUS1" t="s">
        <v>15785</v>
      </c>
      <c r="UUT1" t="s">
        <v>15786</v>
      </c>
      <c r="UUU1" t="s">
        <v>15787</v>
      </c>
      <c r="UUV1" t="s">
        <v>15788</v>
      </c>
      <c r="UUW1" t="s">
        <v>15789</v>
      </c>
      <c r="UUX1" t="s">
        <v>15790</v>
      </c>
      <c r="UUY1" t="s">
        <v>15791</v>
      </c>
      <c r="UUZ1" t="s">
        <v>15792</v>
      </c>
      <c r="UVA1" t="s">
        <v>15793</v>
      </c>
      <c r="UVB1" t="s">
        <v>15794</v>
      </c>
      <c r="UVC1" t="s">
        <v>15795</v>
      </c>
      <c r="UVD1" t="s">
        <v>15796</v>
      </c>
      <c r="UVE1" t="s">
        <v>15797</v>
      </c>
      <c r="UVF1" t="s">
        <v>15798</v>
      </c>
      <c r="UVG1" t="s">
        <v>15799</v>
      </c>
      <c r="UVH1" t="s">
        <v>15800</v>
      </c>
      <c r="UVI1" t="s">
        <v>15801</v>
      </c>
      <c r="UVJ1" t="s">
        <v>15802</v>
      </c>
      <c r="UVK1" t="s">
        <v>15803</v>
      </c>
      <c r="UVL1" t="s">
        <v>15804</v>
      </c>
      <c r="UVM1" t="s">
        <v>15805</v>
      </c>
      <c r="UVN1" t="s">
        <v>15806</v>
      </c>
      <c r="UVO1" t="s">
        <v>15807</v>
      </c>
      <c r="UVP1" t="s">
        <v>15808</v>
      </c>
      <c r="UVQ1" t="s">
        <v>15809</v>
      </c>
      <c r="UVR1" t="s">
        <v>15810</v>
      </c>
      <c r="UVS1" t="s">
        <v>15811</v>
      </c>
      <c r="UVT1" t="s">
        <v>15812</v>
      </c>
      <c r="UVU1" t="s">
        <v>15813</v>
      </c>
      <c r="UVV1" t="s">
        <v>15814</v>
      </c>
      <c r="UVW1" t="s">
        <v>15815</v>
      </c>
      <c r="UVX1" t="s">
        <v>15816</v>
      </c>
      <c r="UVY1" t="s">
        <v>15817</v>
      </c>
      <c r="UVZ1" t="s">
        <v>15818</v>
      </c>
      <c r="UWA1" t="s">
        <v>15819</v>
      </c>
      <c r="UWB1" t="s">
        <v>15820</v>
      </c>
      <c r="UWC1" t="s">
        <v>15821</v>
      </c>
      <c r="UWD1" t="s">
        <v>15822</v>
      </c>
      <c r="UWE1" t="s">
        <v>15823</v>
      </c>
      <c r="UWF1" t="s">
        <v>15824</v>
      </c>
      <c r="UWG1" t="s">
        <v>15825</v>
      </c>
      <c r="UWH1" t="s">
        <v>15826</v>
      </c>
      <c r="UWI1" t="s">
        <v>15827</v>
      </c>
      <c r="UWJ1" t="s">
        <v>15828</v>
      </c>
      <c r="UWK1" t="s">
        <v>15829</v>
      </c>
      <c r="UWL1" t="s">
        <v>15830</v>
      </c>
      <c r="UWM1" t="s">
        <v>15831</v>
      </c>
      <c r="UWN1" t="s">
        <v>15832</v>
      </c>
      <c r="UWO1" t="s">
        <v>15833</v>
      </c>
      <c r="UWP1" t="s">
        <v>15834</v>
      </c>
      <c r="UWQ1" t="s">
        <v>15835</v>
      </c>
      <c r="UWR1" t="s">
        <v>15836</v>
      </c>
      <c r="UWS1" t="s">
        <v>15837</v>
      </c>
      <c r="UWT1" t="s">
        <v>15838</v>
      </c>
      <c r="UWU1" t="s">
        <v>15839</v>
      </c>
      <c r="UWV1" t="s">
        <v>15840</v>
      </c>
      <c r="UWW1" t="s">
        <v>15841</v>
      </c>
      <c r="UWX1" t="s">
        <v>15842</v>
      </c>
      <c r="UWY1" t="s">
        <v>15843</v>
      </c>
      <c r="UWZ1" t="s">
        <v>15844</v>
      </c>
      <c r="UXA1" t="s">
        <v>15845</v>
      </c>
      <c r="UXB1" t="s">
        <v>15846</v>
      </c>
      <c r="UXC1" t="s">
        <v>15847</v>
      </c>
      <c r="UXD1" t="s">
        <v>15848</v>
      </c>
      <c r="UXE1" t="s">
        <v>15849</v>
      </c>
      <c r="UXF1" t="s">
        <v>15850</v>
      </c>
      <c r="UXG1" t="s">
        <v>15851</v>
      </c>
      <c r="UXH1" t="s">
        <v>15852</v>
      </c>
      <c r="UXI1" t="s">
        <v>15853</v>
      </c>
      <c r="UXJ1" t="s">
        <v>15854</v>
      </c>
      <c r="UXK1" t="s">
        <v>15855</v>
      </c>
      <c r="UXL1" t="s">
        <v>15856</v>
      </c>
      <c r="UXM1" t="s">
        <v>15857</v>
      </c>
      <c r="UXN1" t="s">
        <v>15858</v>
      </c>
      <c r="UXO1" t="s">
        <v>15859</v>
      </c>
      <c r="UXP1" t="s">
        <v>15860</v>
      </c>
      <c r="UXQ1" t="s">
        <v>15861</v>
      </c>
      <c r="UXR1" t="s">
        <v>15862</v>
      </c>
      <c r="UXS1" t="s">
        <v>15863</v>
      </c>
      <c r="UXT1" t="s">
        <v>15864</v>
      </c>
      <c r="UXU1" t="s">
        <v>15865</v>
      </c>
      <c r="UXV1" t="s">
        <v>15866</v>
      </c>
      <c r="UXW1" t="s">
        <v>15867</v>
      </c>
      <c r="UXX1" t="s">
        <v>15868</v>
      </c>
      <c r="UXY1" t="s">
        <v>15869</v>
      </c>
      <c r="UXZ1" t="s">
        <v>15870</v>
      </c>
      <c r="UYA1" t="s">
        <v>15871</v>
      </c>
      <c r="UYB1" t="s">
        <v>15872</v>
      </c>
      <c r="UYC1" t="s">
        <v>15873</v>
      </c>
      <c r="UYD1" t="s">
        <v>15874</v>
      </c>
      <c r="UYE1" t="s">
        <v>15875</v>
      </c>
      <c r="UYF1" t="s">
        <v>15876</v>
      </c>
      <c r="UYG1" t="s">
        <v>15877</v>
      </c>
      <c r="UYH1" t="s">
        <v>15878</v>
      </c>
      <c r="UYI1" t="s">
        <v>15879</v>
      </c>
      <c r="UYJ1" t="s">
        <v>15880</v>
      </c>
      <c r="UYK1" t="s">
        <v>15881</v>
      </c>
      <c r="UYL1" t="s">
        <v>15882</v>
      </c>
      <c r="UYM1" t="s">
        <v>15883</v>
      </c>
      <c r="UYN1" t="s">
        <v>15884</v>
      </c>
      <c r="UYO1" t="s">
        <v>15885</v>
      </c>
      <c r="UYP1" t="s">
        <v>15886</v>
      </c>
      <c r="UYQ1" t="s">
        <v>15887</v>
      </c>
      <c r="UYR1" t="s">
        <v>15888</v>
      </c>
      <c r="UYS1" t="s">
        <v>15889</v>
      </c>
      <c r="UYT1" t="s">
        <v>15890</v>
      </c>
      <c r="UYU1" t="s">
        <v>15891</v>
      </c>
      <c r="UYV1" t="s">
        <v>15892</v>
      </c>
      <c r="UYW1" t="s">
        <v>15893</v>
      </c>
      <c r="UYX1" t="s">
        <v>15894</v>
      </c>
      <c r="UYY1" t="s">
        <v>15895</v>
      </c>
      <c r="UYZ1" t="s">
        <v>15896</v>
      </c>
      <c r="UZA1" t="s">
        <v>15897</v>
      </c>
      <c r="UZB1" t="s">
        <v>15898</v>
      </c>
      <c r="UZC1" t="s">
        <v>15899</v>
      </c>
      <c r="UZD1" t="s">
        <v>15900</v>
      </c>
      <c r="UZE1" t="s">
        <v>15901</v>
      </c>
      <c r="UZF1" t="s">
        <v>15902</v>
      </c>
      <c r="UZG1" t="s">
        <v>15903</v>
      </c>
      <c r="UZH1" t="s">
        <v>15904</v>
      </c>
      <c r="UZI1" t="s">
        <v>15905</v>
      </c>
      <c r="UZJ1" t="s">
        <v>15906</v>
      </c>
      <c r="UZK1" t="s">
        <v>15907</v>
      </c>
      <c r="UZL1" t="s">
        <v>15908</v>
      </c>
      <c r="UZM1" t="s">
        <v>15909</v>
      </c>
      <c r="UZN1" t="s">
        <v>15910</v>
      </c>
      <c r="UZO1" t="s">
        <v>15911</v>
      </c>
      <c r="UZP1" t="s">
        <v>15912</v>
      </c>
      <c r="UZQ1" t="s">
        <v>15913</v>
      </c>
      <c r="UZR1" t="s">
        <v>15914</v>
      </c>
      <c r="UZS1" t="s">
        <v>15915</v>
      </c>
      <c r="UZT1" t="s">
        <v>15916</v>
      </c>
      <c r="UZU1" t="s">
        <v>15917</v>
      </c>
      <c r="UZV1" t="s">
        <v>15918</v>
      </c>
      <c r="UZW1" t="s">
        <v>15919</v>
      </c>
      <c r="UZX1" t="s">
        <v>15920</v>
      </c>
      <c r="UZY1" t="s">
        <v>15921</v>
      </c>
      <c r="UZZ1" t="s">
        <v>15922</v>
      </c>
      <c r="VAA1" t="s">
        <v>15923</v>
      </c>
      <c r="VAB1" t="s">
        <v>15924</v>
      </c>
      <c r="VAC1" t="s">
        <v>15925</v>
      </c>
      <c r="VAD1" t="s">
        <v>15926</v>
      </c>
      <c r="VAE1" t="s">
        <v>15927</v>
      </c>
      <c r="VAF1" t="s">
        <v>15928</v>
      </c>
      <c r="VAG1" t="s">
        <v>15929</v>
      </c>
      <c r="VAH1" t="s">
        <v>15930</v>
      </c>
      <c r="VAI1" t="s">
        <v>15931</v>
      </c>
      <c r="VAJ1" t="s">
        <v>15932</v>
      </c>
      <c r="VAK1" t="s">
        <v>15933</v>
      </c>
      <c r="VAL1" t="s">
        <v>15934</v>
      </c>
      <c r="VAM1" t="s">
        <v>15935</v>
      </c>
      <c r="VAN1" t="s">
        <v>15936</v>
      </c>
      <c r="VAO1" t="s">
        <v>15937</v>
      </c>
      <c r="VAP1" t="s">
        <v>15938</v>
      </c>
      <c r="VAQ1" t="s">
        <v>15939</v>
      </c>
      <c r="VAR1" t="s">
        <v>15940</v>
      </c>
      <c r="VAS1" t="s">
        <v>15941</v>
      </c>
      <c r="VAT1" t="s">
        <v>15942</v>
      </c>
      <c r="VAU1" t="s">
        <v>15943</v>
      </c>
      <c r="VAV1" t="s">
        <v>15944</v>
      </c>
      <c r="VAW1" t="s">
        <v>15945</v>
      </c>
      <c r="VAX1" t="s">
        <v>15946</v>
      </c>
      <c r="VAY1" t="s">
        <v>15947</v>
      </c>
      <c r="VAZ1" t="s">
        <v>15948</v>
      </c>
      <c r="VBA1" t="s">
        <v>15949</v>
      </c>
      <c r="VBB1" t="s">
        <v>15950</v>
      </c>
      <c r="VBC1" t="s">
        <v>15951</v>
      </c>
      <c r="VBD1" t="s">
        <v>15952</v>
      </c>
      <c r="VBE1" t="s">
        <v>15953</v>
      </c>
      <c r="VBF1" t="s">
        <v>15954</v>
      </c>
      <c r="VBG1" t="s">
        <v>15955</v>
      </c>
      <c r="VBH1" t="s">
        <v>15956</v>
      </c>
      <c r="VBI1" t="s">
        <v>15957</v>
      </c>
      <c r="VBJ1" t="s">
        <v>15958</v>
      </c>
      <c r="VBK1" t="s">
        <v>15959</v>
      </c>
      <c r="VBL1" t="s">
        <v>15960</v>
      </c>
      <c r="VBM1" t="s">
        <v>15961</v>
      </c>
      <c r="VBN1" t="s">
        <v>15962</v>
      </c>
      <c r="VBO1" t="s">
        <v>15963</v>
      </c>
      <c r="VBP1" t="s">
        <v>15964</v>
      </c>
      <c r="VBQ1" t="s">
        <v>15965</v>
      </c>
      <c r="VBR1" t="s">
        <v>15966</v>
      </c>
      <c r="VBS1" t="s">
        <v>15967</v>
      </c>
      <c r="VBT1" t="s">
        <v>15968</v>
      </c>
      <c r="VBU1" t="s">
        <v>15969</v>
      </c>
      <c r="VBV1" t="s">
        <v>15970</v>
      </c>
      <c r="VBW1" t="s">
        <v>15971</v>
      </c>
      <c r="VBX1" t="s">
        <v>15972</v>
      </c>
      <c r="VBY1" t="s">
        <v>15973</v>
      </c>
      <c r="VBZ1" t="s">
        <v>15974</v>
      </c>
      <c r="VCA1" t="s">
        <v>15975</v>
      </c>
      <c r="VCB1" t="s">
        <v>15976</v>
      </c>
      <c r="VCC1" t="s">
        <v>15977</v>
      </c>
      <c r="VCD1" t="s">
        <v>15978</v>
      </c>
      <c r="VCE1" t="s">
        <v>15979</v>
      </c>
      <c r="VCF1" t="s">
        <v>15980</v>
      </c>
      <c r="VCG1" t="s">
        <v>15981</v>
      </c>
      <c r="VCH1" t="s">
        <v>15982</v>
      </c>
      <c r="VCI1" t="s">
        <v>15983</v>
      </c>
      <c r="VCJ1" t="s">
        <v>15984</v>
      </c>
      <c r="VCK1" t="s">
        <v>15985</v>
      </c>
      <c r="VCL1" t="s">
        <v>15986</v>
      </c>
      <c r="VCM1" t="s">
        <v>15987</v>
      </c>
      <c r="VCN1" t="s">
        <v>15988</v>
      </c>
      <c r="VCO1" t="s">
        <v>15989</v>
      </c>
      <c r="VCP1" t="s">
        <v>15990</v>
      </c>
      <c r="VCQ1" t="s">
        <v>15991</v>
      </c>
      <c r="VCR1" t="s">
        <v>15992</v>
      </c>
      <c r="VCS1" t="s">
        <v>15993</v>
      </c>
      <c r="VCT1" t="s">
        <v>15994</v>
      </c>
      <c r="VCU1" t="s">
        <v>15995</v>
      </c>
      <c r="VCV1" t="s">
        <v>15996</v>
      </c>
      <c r="VCW1" t="s">
        <v>15997</v>
      </c>
      <c r="VCX1" t="s">
        <v>15998</v>
      </c>
      <c r="VCY1" t="s">
        <v>15999</v>
      </c>
      <c r="VCZ1" t="s">
        <v>16000</v>
      </c>
      <c r="VDA1" t="s">
        <v>16001</v>
      </c>
      <c r="VDB1" t="s">
        <v>16002</v>
      </c>
      <c r="VDC1" t="s">
        <v>16003</v>
      </c>
      <c r="VDD1" t="s">
        <v>16004</v>
      </c>
      <c r="VDE1" t="s">
        <v>16005</v>
      </c>
      <c r="VDF1" t="s">
        <v>16006</v>
      </c>
      <c r="VDG1" t="s">
        <v>16007</v>
      </c>
      <c r="VDH1" t="s">
        <v>16008</v>
      </c>
      <c r="VDI1" t="s">
        <v>16009</v>
      </c>
      <c r="VDJ1" t="s">
        <v>16010</v>
      </c>
      <c r="VDK1" t="s">
        <v>16011</v>
      </c>
      <c r="VDL1" t="s">
        <v>16012</v>
      </c>
      <c r="VDM1" t="s">
        <v>16013</v>
      </c>
      <c r="VDN1" t="s">
        <v>16014</v>
      </c>
      <c r="VDO1" t="s">
        <v>16015</v>
      </c>
      <c r="VDP1" t="s">
        <v>16016</v>
      </c>
      <c r="VDQ1" t="s">
        <v>16017</v>
      </c>
      <c r="VDR1" t="s">
        <v>16018</v>
      </c>
      <c r="VDS1" t="s">
        <v>16019</v>
      </c>
      <c r="VDT1" t="s">
        <v>16020</v>
      </c>
      <c r="VDU1" t="s">
        <v>16021</v>
      </c>
      <c r="VDV1" t="s">
        <v>16022</v>
      </c>
      <c r="VDW1" t="s">
        <v>16023</v>
      </c>
      <c r="VDX1" t="s">
        <v>16024</v>
      </c>
      <c r="VDY1" t="s">
        <v>16025</v>
      </c>
      <c r="VDZ1" t="s">
        <v>16026</v>
      </c>
      <c r="VEA1" t="s">
        <v>16027</v>
      </c>
      <c r="VEB1" t="s">
        <v>16028</v>
      </c>
      <c r="VEC1" t="s">
        <v>16029</v>
      </c>
      <c r="VED1" t="s">
        <v>16030</v>
      </c>
      <c r="VEE1" t="s">
        <v>16031</v>
      </c>
      <c r="VEF1" t="s">
        <v>16032</v>
      </c>
      <c r="VEG1" t="s">
        <v>16033</v>
      </c>
      <c r="VEH1" t="s">
        <v>16034</v>
      </c>
      <c r="VEI1" t="s">
        <v>16035</v>
      </c>
      <c r="VEJ1" t="s">
        <v>16036</v>
      </c>
      <c r="VEK1" t="s">
        <v>16037</v>
      </c>
      <c r="VEL1" t="s">
        <v>16038</v>
      </c>
      <c r="VEM1" t="s">
        <v>16039</v>
      </c>
      <c r="VEN1" t="s">
        <v>16040</v>
      </c>
      <c r="VEO1" t="s">
        <v>16041</v>
      </c>
      <c r="VEP1" t="s">
        <v>16042</v>
      </c>
      <c r="VEQ1" t="s">
        <v>16043</v>
      </c>
      <c r="VER1" t="s">
        <v>16044</v>
      </c>
      <c r="VES1" t="s">
        <v>16045</v>
      </c>
      <c r="VET1" t="s">
        <v>16046</v>
      </c>
      <c r="VEU1" t="s">
        <v>16047</v>
      </c>
      <c r="VEV1" t="s">
        <v>16048</v>
      </c>
      <c r="VEW1" t="s">
        <v>16049</v>
      </c>
      <c r="VEX1" t="s">
        <v>16050</v>
      </c>
      <c r="VEY1" t="s">
        <v>16051</v>
      </c>
      <c r="VEZ1" t="s">
        <v>16052</v>
      </c>
      <c r="VFA1" t="s">
        <v>16053</v>
      </c>
      <c r="VFB1" t="s">
        <v>16054</v>
      </c>
      <c r="VFC1" t="s">
        <v>16055</v>
      </c>
      <c r="VFD1" t="s">
        <v>16056</v>
      </c>
      <c r="VFE1" t="s">
        <v>16057</v>
      </c>
      <c r="VFF1" t="s">
        <v>16058</v>
      </c>
      <c r="VFG1" t="s">
        <v>16059</v>
      </c>
      <c r="VFH1" t="s">
        <v>16060</v>
      </c>
      <c r="VFI1" t="s">
        <v>16061</v>
      </c>
      <c r="VFJ1" t="s">
        <v>16062</v>
      </c>
      <c r="VFK1" t="s">
        <v>16063</v>
      </c>
      <c r="VFL1" t="s">
        <v>16064</v>
      </c>
      <c r="VFM1" t="s">
        <v>16065</v>
      </c>
      <c r="VFN1" t="s">
        <v>16066</v>
      </c>
      <c r="VFO1" t="s">
        <v>16067</v>
      </c>
      <c r="VFP1" t="s">
        <v>16068</v>
      </c>
      <c r="VFQ1" t="s">
        <v>16069</v>
      </c>
      <c r="VFR1" t="s">
        <v>16070</v>
      </c>
      <c r="VFS1" t="s">
        <v>16071</v>
      </c>
      <c r="VFT1" t="s">
        <v>16072</v>
      </c>
      <c r="VFU1" t="s">
        <v>16073</v>
      </c>
      <c r="VFV1" t="s">
        <v>16074</v>
      </c>
      <c r="VFW1" t="s">
        <v>16075</v>
      </c>
      <c r="VFX1" t="s">
        <v>16076</v>
      </c>
      <c r="VFY1" t="s">
        <v>16077</v>
      </c>
      <c r="VFZ1" t="s">
        <v>16078</v>
      </c>
      <c r="VGA1" t="s">
        <v>16079</v>
      </c>
      <c r="VGB1" t="s">
        <v>16080</v>
      </c>
      <c r="VGC1" t="s">
        <v>16081</v>
      </c>
      <c r="VGD1" t="s">
        <v>16082</v>
      </c>
      <c r="VGE1" t="s">
        <v>16083</v>
      </c>
      <c r="VGF1" t="s">
        <v>16084</v>
      </c>
      <c r="VGG1" t="s">
        <v>16085</v>
      </c>
      <c r="VGH1" t="s">
        <v>16086</v>
      </c>
      <c r="VGI1" t="s">
        <v>16087</v>
      </c>
      <c r="VGJ1" t="s">
        <v>16088</v>
      </c>
      <c r="VGK1" t="s">
        <v>16089</v>
      </c>
      <c r="VGL1" t="s">
        <v>16090</v>
      </c>
      <c r="VGM1" t="s">
        <v>16091</v>
      </c>
      <c r="VGN1" t="s">
        <v>16092</v>
      </c>
      <c r="VGO1" t="s">
        <v>16093</v>
      </c>
      <c r="VGP1" t="s">
        <v>16094</v>
      </c>
      <c r="VGQ1" t="s">
        <v>16095</v>
      </c>
      <c r="VGR1" t="s">
        <v>16096</v>
      </c>
      <c r="VGS1" t="s">
        <v>16097</v>
      </c>
      <c r="VGT1" t="s">
        <v>16098</v>
      </c>
      <c r="VGU1" t="s">
        <v>16099</v>
      </c>
      <c r="VGV1" t="s">
        <v>16100</v>
      </c>
      <c r="VGW1" t="s">
        <v>16101</v>
      </c>
      <c r="VGX1" t="s">
        <v>16102</v>
      </c>
      <c r="VGY1" t="s">
        <v>16103</v>
      </c>
      <c r="VGZ1" t="s">
        <v>16104</v>
      </c>
      <c r="VHA1" t="s">
        <v>16105</v>
      </c>
      <c r="VHB1" t="s">
        <v>16106</v>
      </c>
      <c r="VHC1" t="s">
        <v>16107</v>
      </c>
      <c r="VHD1" t="s">
        <v>16108</v>
      </c>
      <c r="VHE1" t="s">
        <v>16109</v>
      </c>
      <c r="VHF1" t="s">
        <v>16110</v>
      </c>
      <c r="VHG1" t="s">
        <v>16111</v>
      </c>
      <c r="VHH1" t="s">
        <v>16112</v>
      </c>
      <c r="VHI1" t="s">
        <v>16113</v>
      </c>
      <c r="VHJ1" t="s">
        <v>16114</v>
      </c>
      <c r="VHK1" t="s">
        <v>16115</v>
      </c>
      <c r="VHL1" t="s">
        <v>16116</v>
      </c>
      <c r="VHM1" t="s">
        <v>16117</v>
      </c>
      <c r="VHN1" t="s">
        <v>16118</v>
      </c>
      <c r="VHO1" t="s">
        <v>16119</v>
      </c>
      <c r="VHP1" t="s">
        <v>16120</v>
      </c>
      <c r="VHQ1" t="s">
        <v>16121</v>
      </c>
      <c r="VHR1" t="s">
        <v>16122</v>
      </c>
      <c r="VHS1" t="s">
        <v>16123</v>
      </c>
      <c r="VHT1" t="s">
        <v>16124</v>
      </c>
      <c r="VHU1" t="s">
        <v>16125</v>
      </c>
      <c r="VHV1" t="s">
        <v>16126</v>
      </c>
      <c r="VHW1" t="s">
        <v>16127</v>
      </c>
      <c r="VHX1" t="s">
        <v>16128</v>
      </c>
      <c r="VHY1" t="s">
        <v>16129</v>
      </c>
      <c r="VHZ1" t="s">
        <v>16130</v>
      </c>
      <c r="VIA1" t="s">
        <v>16131</v>
      </c>
      <c r="VIB1" t="s">
        <v>16132</v>
      </c>
      <c r="VIC1" t="s">
        <v>16133</v>
      </c>
      <c r="VID1" t="s">
        <v>16134</v>
      </c>
      <c r="VIE1" t="s">
        <v>16135</v>
      </c>
      <c r="VIF1" t="s">
        <v>16136</v>
      </c>
      <c r="VIG1" t="s">
        <v>16137</v>
      </c>
      <c r="VIH1" t="s">
        <v>16138</v>
      </c>
      <c r="VII1" t="s">
        <v>16139</v>
      </c>
      <c r="VIJ1" t="s">
        <v>16140</v>
      </c>
      <c r="VIK1" t="s">
        <v>16141</v>
      </c>
      <c r="VIL1" t="s">
        <v>16142</v>
      </c>
      <c r="VIM1" t="s">
        <v>16143</v>
      </c>
      <c r="VIN1" t="s">
        <v>16144</v>
      </c>
      <c r="VIO1" t="s">
        <v>16145</v>
      </c>
      <c r="VIP1" t="s">
        <v>16146</v>
      </c>
      <c r="VIQ1" t="s">
        <v>16147</v>
      </c>
      <c r="VIR1" t="s">
        <v>16148</v>
      </c>
      <c r="VIS1" t="s">
        <v>16149</v>
      </c>
      <c r="VIT1" t="s">
        <v>16150</v>
      </c>
      <c r="VIU1" t="s">
        <v>16151</v>
      </c>
      <c r="VIV1" t="s">
        <v>16152</v>
      </c>
      <c r="VIW1" t="s">
        <v>16153</v>
      </c>
      <c r="VIX1" t="s">
        <v>16154</v>
      </c>
      <c r="VIY1" t="s">
        <v>16155</v>
      </c>
      <c r="VIZ1" t="s">
        <v>16156</v>
      </c>
      <c r="VJA1" t="s">
        <v>16157</v>
      </c>
      <c r="VJB1" t="s">
        <v>16158</v>
      </c>
      <c r="VJC1" t="s">
        <v>16159</v>
      </c>
      <c r="VJD1" t="s">
        <v>16160</v>
      </c>
      <c r="VJE1" t="s">
        <v>16161</v>
      </c>
      <c r="VJF1" t="s">
        <v>16162</v>
      </c>
      <c r="VJG1" t="s">
        <v>16163</v>
      </c>
      <c r="VJH1" t="s">
        <v>16164</v>
      </c>
      <c r="VJI1" t="s">
        <v>16165</v>
      </c>
      <c r="VJJ1" t="s">
        <v>16166</v>
      </c>
      <c r="VJK1" t="s">
        <v>16167</v>
      </c>
      <c r="VJL1" t="s">
        <v>16168</v>
      </c>
      <c r="VJM1" t="s">
        <v>16169</v>
      </c>
      <c r="VJN1" t="s">
        <v>16170</v>
      </c>
      <c r="VJO1" t="s">
        <v>16171</v>
      </c>
      <c r="VJP1" t="s">
        <v>16172</v>
      </c>
      <c r="VJQ1" t="s">
        <v>16173</v>
      </c>
      <c r="VJR1" t="s">
        <v>16174</v>
      </c>
      <c r="VJS1" t="s">
        <v>16175</v>
      </c>
      <c r="VJT1" t="s">
        <v>16176</v>
      </c>
      <c r="VJU1" t="s">
        <v>16177</v>
      </c>
      <c r="VJV1" t="s">
        <v>16178</v>
      </c>
      <c r="VJW1" t="s">
        <v>16179</v>
      </c>
      <c r="VJX1" t="s">
        <v>16180</v>
      </c>
      <c r="VJY1" t="s">
        <v>16181</v>
      </c>
      <c r="VJZ1" t="s">
        <v>16182</v>
      </c>
      <c r="VKA1" t="s">
        <v>16183</v>
      </c>
      <c r="VKB1" t="s">
        <v>16184</v>
      </c>
      <c r="VKC1" t="s">
        <v>16185</v>
      </c>
      <c r="VKD1" t="s">
        <v>16186</v>
      </c>
      <c r="VKE1" t="s">
        <v>16187</v>
      </c>
      <c r="VKF1" t="s">
        <v>16188</v>
      </c>
      <c r="VKG1" t="s">
        <v>16189</v>
      </c>
      <c r="VKH1" t="s">
        <v>16190</v>
      </c>
      <c r="VKI1" t="s">
        <v>16191</v>
      </c>
      <c r="VKJ1" t="s">
        <v>16192</v>
      </c>
      <c r="VKK1" t="s">
        <v>16193</v>
      </c>
      <c r="VKL1" t="s">
        <v>16194</v>
      </c>
      <c r="VKM1" t="s">
        <v>16195</v>
      </c>
      <c r="VKN1" t="s">
        <v>16196</v>
      </c>
      <c r="VKO1" t="s">
        <v>16197</v>
      </c>
      <c r="VKP1" t="s">
        <v>16198</v>
      </c>
      <c r="VKQ1" t="s">
        <v>16199</v>
      </c>
      <c r="VKR1" t="s">
        <v>16200</v>
      </c>
      <c r="VKS1" t="s">
        <v>16201</v>
      </c>
      <c r="VKT1" t="s">
        <v>16202</v>
      </c>
      <c r="VKU1" t="s">
        <v>16203</v>
      </c>
      <c r="VKV1" t="s">
        <v>16204</v>
      </c>
      <c r="VKW1" t="s">
        <v>16205</v>
      </c>
      <c r="VKX1" t="s">
        <v>16206</v>
      </c>
      <c r="VKY1" t="s">
        <v>16207</v>
      </c>
      <c r="VKZ1" t="s">
        <v>16208</v>
      </c>
      <c r="VLA1" t="s">
        <v>16209</v>
      </c>
      <c r="VLB1" t="s">
        <v>16210</v>
      </c>
      <c r="VLC1" t="s">
        <v>16211</v>
      </c>
      <c r="VLD1" t="s">
        <v>16212</v>
      </c>
      <c r="VLE1" t="s">
        <v>16213</v>
      </c>
      <c r="VLF1" t="s">
        <v>16214</v>
      </c>
      <c r="VLG1" t="s">
        <v>16215</v>
      </c>
      <c r="VLH1" t="s">
        <v>16216</v>
      </c>
      <c r="VLI1" t="s">
        <v>16217</v>
      </c>
      <c r="VLJ1" t="s">
        <v>16218</v>
      </c>
      <c r="VLK1" t="s">
        <v>16219</v>
      </c>
      <c r="VLL1" t="s">
        <v>16220</v>
      </c>
      <c r="VLM1" t="s">
        <v>16221</v>
      </c>
      <c r="VLN1" t="s">
        <v>16222</v>
      </c>
      <c r="VLO1" t="s">
        <v>16223</v>
      </c>
      <c r="VLP1" t="s">
        <v>16224</v>
      </c>
      <c r="VLQ1" t="s">
        <v>16225</v>
      </c>
      <c r="VLR1" t="s">
        <v>16226</v>
      </c>
      <c r="VLS1" t="s">
        <v>16227</v>
      </c>
      <c r="VLT1" t="s">
        <v>16228</v>
      </c>
      <c r="VLU1" t="s">
        <v>16229</v>
      </c>
      <c r="VLV1" t="s">
        <v>16230</v>
      </c>
      <c r="VLW1" t="s">
        <v>16231</v>
      </c>
      <c r="VLX1" t="s">
        <v>16232</v>
      </c>
      <c r="VLY1" t="s">
        <v>16233</v>
      </c>
      <c r="VLZ1" t="s">
        <v>16234</v>
      </c>
      <c r="VMA1" t="s">
        <v>16235</v>
      </c>
      <c r="VMB1" t="s">
        <v>16236</v>
      </c>
      <c r="VMC1" t="s">
        <v>16237</v>
      </c>
      <c r="VMD1" t="s">
        <v>16238</v>
      </c>
      <c r="VME1" t="s">
        <v>16239</v>
      </c>
      <c r="VMF1" t="s">
        <v>16240</v>
      </c>
      <c r="VMG1" t="s">
        <v>16241</v>
      </c>
      <c r="VMH1" t="s">
        <v>16242</v>
      </c>
      <c r="VMI1" t="s">
        <v>16243</v>
      </c>
      <c r="VMJ1" t="s">
        <v>16244</v>
      </c>
      <c r="VMK1" t="s">
        <v>16245</v>
      </c>
      <c r="VML1" t="s">
        <v>16246</v>
      </c>
      <c r="VMM1" t="s">
        <v>16247</v>
      </c>
      <c r="VMN1" t="s">
        <v>16248</v>
      </c>
      <c r="VMO1" t="s">
        <v>16249</v>
      </c>
      <c r="VMP1" t="s">
        <v>16250</v>
      </c>
      <c r="VMQ1" t="s">
        <v>16251</v>
      </c>
      <c r="VMR1" t="s">
        <v>16252</v>
      </c>
      <c r="VMS1" t="s">
        <v>16253</v>
      </c>
      <c r="VMT1" t="s">
        <v>16254</v>
      </c>
      <c r="VMU1" t="s">
        <v>16255</v>
      </c>
      <c r="VMV1" t="s">
        <v>16256</v>
      </c>
      <c r="VMW1" t="s">
        <v>16257</v>
      </c>
      <c r="VMX1" t="s">
        <v>16258</v>
      </c>
      <c r="VMY1" t="s">
        <v>16259</v>
      </c>
      <c r="VMZ1" t="s">
        <v>16260</v>
      </c>
      <c r="VNA1" t="s">
        <v>16261</v>
      </c>
      <c r="VNB1" t="s">
        <v>16262</v>
      </c>
      <c r="VNC1" t="s">
        <v>16263</v>
      </c>
      <c r="VND1" t="s">
        <v>16264</v>
      </c>
      <c r="VNE1" t="s">
        <v>16265</v>
      </c>
      <c r="VNF1" t="s">
        <v>16266</v>
      </c>
      <c r="VNG1" t="s">
        <v>16267</v>
      </c>
      <c r="VNH1" t="s">
        <v>16268</v>
      </c>
      <c r="VNI1" t="s">
        <v>16269</v>
      </c>
      <c r="VNJ1" t="s">
        <v>16270</v>
      </c>
      <c r="VNK1" t="s">
        <v>16271</v>
      </c>
      <c r="VNL1" t="s">
        <v>16272</v>
      </c>
      <c r="VNM1" t="s">
        <v>16273</v>
      </c>
      <c r="VNN1" t="s">
        <v>16274</v>
      </c>
      <c r="VNO1" t="s">
        <v>16275</v>
      </c>
      <c r="VNP1" t="s">
        <v>16276</v>
      </c>
      <c r="VNQ1" t="s">
        <v>16277</v>
      </c>
      <c r="VNR1" t="s">
        <v>16278</v>
      </c>
      <c r="VNS1" t="s">
        <v>16279</v>
      </c>
      <c r="VNT1" t="s">
        <v>16280</v>
      </c>
      <c r="VNU1" t="s">
        <v>16281</v>
      </c>
      <c r="VNV1" t="s">
        <v>16282</v>
      </c>
      <c r="VNW1" t="s">
        <v>16283</v>
      </c>
      <c r="VNX1" t="s">
        <v>16284</v>
      </c>
      <c r="VNY1" t="s">
        <v>16285</v>
      </c>
      <c r="VNZ1" t="s">
        <v>16286</v>
      </c>
      <c r="VOA1" t="s">
        <v>16287</v>
      </c>
      <c r="VOB1" t="s">
        <v>16288</v>
      </c>
      <c r="VOC1" t="s">
        <v>16289</v>
      </c>
      <c r="VOD1" t="s">
        <v>16290</v>
      </c>
      <c r="VOE1" t="s">
        <v>16291</v>
      </c>
      <c r="VOF1" t="s">
        <v>16292</v>
      </c>
      <c r="VOG1" t="s">
        <v>16293</v>
      </c>
      <c r="VOH1" t="s">
        <v>16294</v>
      </c>
      <c r="VOI1" t="s">
        <v>16295</v>
      </c>
      <c r="VOJ1" t="s">
        <v>16296</v>
      </c>
      <c r="VOK1" t="s">
        <v>16297</v>
      </c>
      <c r="VOL1" t="s">
        <v>16298</v>
      </c>
      <c r="VOM1" t="s">
        <v>16299</v>
      </c>
      <c r="VON1" t="s">
        <v>16300</v>
      </c>
      <c r="VOO1" t="s">
        <v>16301</v>
      </c>
      <c r="VOP1" t="s">
        <v>16302</v>
      </c>
      <c r="VOQ1" t="s">
        <v>16303</v>
      </c>
      <c r="VOR1" t="s">
        <v>16304</v>
      </c>
      <c r="VOS1" t="s">
        <v>16305</v>
      </c>
      <c r="VOT1" t="s">
        <v>16306</v>
      </c>
      <c r="VOU1" t="s">
        <v>16307</v>
      </c>
      <c r="VOV1" t="s">
        <v>16308</v>
      </c>
      <c r="VOW1" t="s">
        <v>16309</v>
      </c>
      <c r="VOX1" t="s">
        <v>16310</v>
      </c>
      <c r="VOY1" t="s">
        <v>16311</v>
      </c>
      <c r="VOZ1" t="s">
        <v>16312</v>
      </c>
      <c r="VPA1" t="s">
        <v>16313</v>
      </c>
      <c r="VPB1" t="s">
        <v>16314</v>
      </c>
      <c r="VPC1" t="s">
        <v>16315</v>
      </c>
      <c r="VPD1" t="s">
        <v>16316</v>
      </c>
      <c r="VPE1" t="s">
        <v>16317</v>
      </c>
      <c r="VPF1" t="s">
        <v>16318</v>
      </c>
      <c r="VPG1" t="s">
        <v>16319</v>
      </c>
      <c r="VPH1" t="s">
        <v>16320</v>
      </c>
      <c r="VPI1" t="s">
        <v>16321</v>
      </c>
      <c r="VPJ1" t="s">
        <v>16322</v>
      </c>
      <c r="VPK1" t="s">
        <v>16323</v>
      </c>
      <c r="VPL1" t="s">
        <v>16324</v>
      </c>
      <c r="VPM1" t="s">
        <v>16325</v>
      </c>
      <c r="VPN1" t="s">
        <v>16326</v>
      </c>
      <c r="VPO1" t="s">
        <v>16327</v>
      </c>
      <c r="VPP1" t="s">
        <v>16328</v>
      </c>
      <c r="VPQ1" t="s">
        <v>16329</v>
      </c>
      <c r="VPR1" t="s">
        <v>16330</v>
      </c>
      <c r="VPS1" t="s">
        <v>16331</v>
      </c>
      <c r="VPT1" t="s">
        <v>16332</v>
      </c>
      <c r="VPU1" t="s">
        <v>16333</v>
      </c>
      <c r="VPV1" t="s">
        <v>16334</v>
      </c>
      <c r="VPW1" t="s">
        <v>16335</v>
      </c>
      <c r="VPX1" t="s">
        <v>16336</v>
      </c>
      <c r="VPY1" t="s">
        <v>16337</v>
      </c>
      <c r="VPZ1" t="s">
        <v>16338</v>
      </c>
      <c r="VQA1" t="s">
        <v>16339</v>
      </c>
      <c r="VQB1" t="s">
        <v>16340</v>
      </c>
      <c r="VQC1" t="s">
        <v>16341</v>
      </c>
      <c r="VQD1" t="s">
        <v>16342</v>
      </c>
      <c r="VQE1" t="s">
        <v>16343</v>
      </c>
      <c r="VQF1" t="s">
        <v>16344</v>
      </c>
      <c r="VQG1" t="s">
        <v>16345</v>
      </c>
      <c r="VQH1" t="s">
        <v>16346</v>
      </c>
      <c r="VQI1" t="s">
        <v>16347</v>
      </c>
      <c r="VQJ1" t="s">
        <v>16348</v>
      </c>
      <c r="VQK1" t="s">
        <v>16349</v>
      </c>
      <c r="VQL1" t="s">
        <v>16350</v>
      </c>
      <c r="VQM1" t="s">
        <v>16351</v>
      </c>
      <c r="VQN1" t="s">
        <v>16352</v>
      </c>
      <c r="VQO1" t="s">
        <v>16353</v>
      </c>
      <c r="VQP1" t="s">
        <v>16354</v>
      </c>
      <c r="VQQ1" t="s">
        <v>16355</v>
      </c>
      <c r="VQR1" t="s">
        <v>16356</v>
      </c>
      <c r="VQS1" t="s">
        <v>16357</v>
      </c>
      <c r="VQT1" t="s">
        <v>16358</v>
      </c>
      <c r="VQU1" t="s">
        <v>16359</v>
      </c>
      <c r="VQV1" t="s">
        <v>16360</v>
      </c>
      <c r="VQW1" t="s">
        <v>16361</v>
      </c>
      <c r="VQX1" t="s">
        <v>16362</v>
      </c>
      <c r="VQY1" t="s">
        <v>16363</v>
      </c>
      <c r="VQZ1" t="s">
        <v>16364</v>
      </c>
      <c r="VRA1" t="s">
        <v>16365</v>
      </c>
      <c r="VRB1" t="s">
        <v>16366</v>
      </c>
      <c r="VRC1" t="s">
        <v>16367</v>
      </c>
      <c r="VRD1" t="s">
        <v>16368</v>
      </c>
      <c r="VRE1" t="s">
        <v>16369</v>
      </c>
      <c r="VRF1" t="s">
        <v>16370</v>
      </c>
      <c r="VRG1" t="s">
        <v>16371</v>
      </c>
      <c r="VRH1" t="s">
        <v>16372</v>
      </c>
      <c r="VRI1" t="s">
        <v>16373</v>
      </c>
      <c r="VRJ1" t="s">
        <v>16374</v>
      </c>
      <c r="VRK1" t="s">
        <v>16375</v>
      </c>
      <c r="VRL1" t="s">
        <v>16376</v>
      </c>
      <c r="VRM1" t="s">
        <v>16377</v>
      </c>
      <c r="VRN1" t="s">
        <v>16378</v>
      </c>
      <c r="VRO1" t="s">
        <v>16379</v>
      </c>
      <c r="VRP1" t="s">
        <v>16380</v>
      </c>
      <c r="VRQ1" t="s">
        <v>16381</v>
      </c>
      <c r="VRR1" t="s">
        <v>16382</v>
      </c>
      <c r="VRS1" t="s">
        <v>16383</v>
      </c>
      <c r="VRT1" t="s">
        <v>16384</v>
      </c>
      <c r="VRU1" t="s">
        <v>16385</v>
      </c>
      <c r="VRV1" t="s">
        <v>16386</v>
      </c>
      <c r="VRW1" t="s">
        <v>16387</v>
      </c>
      <c r="VRX1" t="s">
        <v>16388</v>
      </c>
      <c r="VRY1" t="s">
        <v>16389</v>
      </c>
      <c r="VRZ1" t="s">
        <v>16390</v>
      </c>
      <c r="VSA1" t="s">
        <v>16391</v>
      </c>
      <c r="VSB1" t="s">
        <v>16392</v>
      </c>
      <c r="VSC1" t="s">
        <v>16393</v>
      </c>
      <c r="VSD1" t="s">
        <v>16394</v>
      </c>
      <c r="VSE1" t="s">
        <v>16395</v>
      </c>
      <c r="VSF1" t="s">
        <v>16396</v>
      </c>
      <c r="VSG1" t="s">
        <v>16397</v>
      </c>
      <c r="VSH1" t="s">
        <v>16398</v>
      </c>
      <c r="VSI1" t="s">
        <v>16399</v>
      </c>
      <c r="VSJ1" t="s">
        <v>16400</v>
      </c>
      <c r="VSK1" t="s">
        <v>16401</v>
      </c>
      <c r="VSL1" t="s">
        <v>16402</v>
      </c>
      <c r="VSM1" t="s">
        <v>16403</v>
      </c>
      <c r="VSN1" t="s">
        <v>16404</v>
      </c>
      <c r="VSO1" t="s">
        <v>16405</v>
      </c>
      <c r="VSP1" t="s">
        <v>16406</v>
      </c>
      <c r="VSQ1" t="s">
        <v>16407</v>
      </c>
      <c r="VSR1" t="s">
        <v>16408</v>
      </c>
      <c r="VSS1" t="s">
        <v>16409</v>
      </c>
      <c r="VST1" t="s">
        <v>16410</v>
      </c>
      <c r="VSU1" t="s">
        <v>16411</v>
      </c>
      <c r="VSV1" t="s">
        <v>16412</v>
      </c>
      <c r="VSW1" t="s">
        <v>16413</v>
      </c>
      <c r="VSX1" t="s">
        <v>16414</v>
      </c>
      <c r="VSY1" t="s">
        <v>16415</v>
      </c>
      <c r="VSZ1" t="s">
        <v>16416</v>
      </c>
      <c r="VTA1" t="s">
        <v>16417</v>
      </c>
      <c r="VTB1" t="s">
        <v>16418</v>
      </c>
      <c r="VTC1" t="s">
        <v>16419</v>
      </c>
      <c r="VTD1" t="s">
        <v>16420</v>
      </c>
      <c r="VTE1" t="s">
        <v>16421</v>
      </c>
      <c r="VTF1" t="s">
        <v>16422</v>
      </c>
      <c r="VTG1" t="s">
        <v>16423</v>
      </c>
      <c r="VTH1" t="s">
        <v>16424</v>
      </c>
      <c r="VTI1" t="s">
        <v>16425</v>
      </c>
      <c r="VTJ1" t="s">
        <v>16426</v>
      </c>
      <c r="VTK1" t="s">
        <v>16427</v>
      </c>
      <c r="VTL1" t="s">
        <v>16428</v>
      </c>
      <c r="VTM1" t="s">
        <v>16429</v>
      </c>
      <c r="VTN1" t="s">
        <v>16430</v>
      </c>
      <c r="VTO1" t="s">
        <v>16431</v>
      </c>
      <c r="VTP1" t="s">
        <v>16432</v>
      </c>
      <c r="VTQ1" t="s">
        <v>16433</v>
      </c>
      <c r="VTR1" t="s">
        <v>16434</v>
      </c>
      <c r="VTS1" t="s">
        <v>16435</v>
      </c>
      <c r="VTT1" t="s">
        <v>16436</v>
      </c>
      <c r="VTU1" t="s">
        <v>16437</v>
      </c>
      <c r="VTV1" t="s">
        <v>16438</v>
      </c>
      <c r="VTW1" t="s">
        <v>16439</v>
      </c>
      <c r="VTX1" t="s">
        <v>16440</v>
      </c>
      <c r="VTY1" t="s">
        <v>16441</v>
      </c>
      <c r="VTZ1" t="s">
        <v>16442</v>
      </c>
      <c r="VUA1" t="s">
        <v>16443</v>
      </c>
      <c r="VUB1" t="s">
        <v>16444</v>
      </c>
      <c r="VUC1" t="s">
        <v>16445</v>
      </c>
      <c r="VUD1" t="s">
        <v>16446</v>
      </c>
      <c r="VUE1" t="s">
        <v>16447</v>
      </c>
      <c r="VUF1" t="s">
        <v>16448</v>
      </c>
      <c r="VUG1" t="s">
        <v>16449</v>
      </c>
      <c r="VUH1" t="s">
        <v>16450</v>
      </c>
      <c r="VUI1" t="s">
        <v>16451</v>
      </c>
      <c r="VUJ1" t="s">
        <v>16452</v>
      </c>
      <c r="VUK1" t="s">
        <v>16453</v>
      </c>
      <c r="VUL1" t="s">
        <v>16454</v>
      </c>
      <c r="VUM1" t="s">
        <v>16455</v>
      </c>
      <c r="VUN1" t="s">
        <v>16456</v>
      </c>
      <c r="VUO1" t="s">
        <v>16457</v>
      </c>
      <c r="VUP1" t="s">
        <v>16458</v>
      </c>
      <c r="VUQ1" t="s">
        <v>16459</v>
      </c>
      <c r="VUR1" t="s">
        <v>16460</v>
      </c>
      <c r="VUS1" t="s">
        <v>16461</v>
      </c>
      <c r="VUT1" t="s">
        <v>16462</v>
      </c>
      <c r="VUU1" t="s">
        <v>16463</v>
      </c>
      <c r="VUV1" t="s">
        <v>16464</v>
      </c>
      <c r="VUW1" t="s">
        <v>16465</v>
      </c>
      <c r="VUX1" t="s">
        <v>16466</v>
      </c>
      <c r="VUY1" t="s">
        <v>16467</v>
      </c>
      <c r="VUZ1" t="s">
        <v>16468</v>
      </c>
      <c r="VVA1" t="s">
        <v>16469</v>
      </c>
      <c r="VVB1" t="s">
        <v>16470</v>
      </c>
      <c r="VVC1" t="s">
        <v>16471</v>
      </c>
      <c r="VVD1" t="s">
        <v>16472</v>
      </c>
      <c r="VVE1" t="s">
        <v>16473</v>
      </c>
      <c r="VVF1" t="s">
        <v>16474</v>
      </c>
      <c r="VVG1" t="s">
        <v>16475</v>
      </c>
      <c r="VVH1" t="s">
        <v>16476</v>
      </c>
      <c r="VVI1" t="s">
        <v>16477</v>
      </c>
      <c r="VVJ1" t="s">
        <v>16478</v>
      </c>
      <c r="VVK1" t="s">
        <v>16479</v>
      </c>
      <c r="VVL1" t="s">
        <v>16480</v>
      </c>
      <c r="VVM1" t="s">
        <v>16481</v>
      </c>
      <c r="VVN1" t="s">
        <v>16482</v>
      </c>
      <c r="VVO1" t="s">
        <v>16483</v>
      </c>
      <c r="VVP1" t="s">
        <v>16484</v>
      </c>
      <c r="VVQ1" t="s">
        <v>16485</v>
      </c>
      <c r="VVR1" t="s">
        <v>16486</v>
      </c>
      <c r="VVS1" t="s">
        <v>16487</v>
      </c>
      <c r="VVT1" t="s">
        <v>16488</v>
      </c>
      <c r="VVU1" t="s">
        <v>16489</v>
      </c>
      <c r="VVV1" t="s">
        <v>16490</v>
      </c>
      <c r="VVW1" t="s">
        <v>16491</v>
      </c>
      <c r="VVX1" t="s">
        <v>16492</v>
      </c>
      <c r="VVY1" t="s">
        <v>16493</v>
      </c>
      <c r="VVZ1" t="s">
        <v>16494</v>
      </c>
      <c r="VWA1" t="s">
        <v>16495</v>
      </c>
      <c r="VWB1" t="s">
        <v>16496</v>
      </c>
      <c r="VWC1" t="s">
        <v>16497</v>
      </c>
      <c r="VWD1" t="s">
        <v>16498</v>
      </c>
      <c r="VWE1" t="s">
        <v>16499</v>
      </c>
      <c r="VWF1" t="s">
        <v>16500</v>
      </c>
      <c r="VWG1" t="s">
        <v>16501</v>
      </c>
      <c r="VWH1" t="s">
        <v>16502</v>
      </c>
      <c r="VWI1" t="s">
        <v>16503</v>
      </c>
      <c r="VWJ1" t="s">
        <v>16504</v>
      </c>
      <c r="VWK1" t="s">
        <v>16505</v>
      </c>
      <c r="VWL1" t="s">
        <v>16506</v>
      </c>
      <c r="VWM1" t="s">
        <v>16507</v>
      </c>
      <c r="VWN1" t="s">
        <v>16508</v>
      </c>
      <c r="VWO1" t="s">
        <v>16509</v>
      </c>
      <c r="VWP1" t="s">
        <v>16510</v>
      </c>
      <c r="VWQ1" t="s">
        <v>16511</v>
      </c>
      <c r="VWR1" t="s">
        <v>16512</v>
      </c>
      <c r="VWS1" t="s">
        <v>16513</v>
      </c>
      <c r="VWT1" t="s">
        <v>16514</v>
      </c>
      <c r="VWU1" t="s">
        <v>16515</v>
      </c>
      <c r="VWV1" t="s">
        <v>16516</v>
      </c>
      <c r="VWW1" t="s">
        <v>16517</v>
      </c>
      <c r="VWX1" t="s">
        <v>16518</v>
      </c>
      <c r="VWY1" t="s">
        <v>16519</v>
      </c>
      <c r="VWZ1" t="s">
        <v>16520</v>
      </c>
      <c r="VXA1" t="s">
        <v>16521</v>
      </c>
      <c r="VXB1" t="s">
        <v>16522</v>
      </c>
      <c r="VXC1" t="s">
        <v>16523</v>
      </c>
      <c r="VXD1" t="s">
        <v>16524</v>
      </c>
      <c r="VXE1" t="s">
        <v>16525</v>
      </c>
      <c r="VXF1" t="s">
        <v>16526</v>
      </c>
      <c r="VXG1" t="s">
        <v>16527</v>
      </c>
      <c r="VXH1" t="s">
        <v>16528</v>
      </c>
      <c r="VXI1" t="s">
        <v>16529</v>
      </c>
      <c r="VXJ1" t="s">
        <v>16530</v>
      </c>
      <c r="VXK1" t="s">
        <v>16531</v>
      </c>
      <c r="VXL1" t="s">
        <v>16532</v>
      </c>
      <c r="VXM1" t="s">
        <v>16533</v>
      </c>
      <c r="VXN1" t="s">
        <v>16534</v>
      </c>
      <c r="VXO1" t="s">
        <v>16535</v>
      </c>
      <c r="VXP1" t="s">
        <v>16536</v>
      </c>
      <c r="VXQ1" t="s">
        <v>16537</v>
      </c>
      <c r="VXR1" t="s">
        <v>16538</v>
      </c>
      <c r="VXS1" t="s">
        <v>16539</v>
      </c>
      <c r="VXT1" t="s">
        <v>16540</v>
      </c>
      <c r="VXU1" t="s">
        <v>16541</v>
      </c>
      <c r="VXV1" t="s">
        <v>16542</v>
      </c>
      <c r="VXW1" t="s">
        <v>16543</v>
      </c>
      <c r="VXX1" t="s">
        <v>16544</v>
      </c>
      <c r="VXY1" t="s">
        <v>16545</v>
      </c>
      <c r="VXZ1" t="s">
        <v>16546</v>
      </c>
      <c r="VYA1" t="s">
        <v>16547</v>
      </c>
      <c r="VYB1" t="s">
        <v>16548</v>
      </c>
      <c r="VYC1" t="s">
        <v>16549</v>
      </c>
      <c r="VYD1" t="s">
        <v>16550</v>
      </c>
      <c r="VYE1" t="s">
        <v>16551</v>
      </c>
      <c r="VYF1" t="s">
        <v>16552</v>
      </c>
      <c r="VYG1" t="s">
        <v>16553</v>
      </c>
      <c r="VYH1" t="s">
        <v>16554</v>
      </c>
      <c r="VYI1" t="s">
        <v>16555</v>
      </c>
      <c r="VYJ1" t="s">
        <v>16556</v>
      </c>
      <c r="VYK1" t="s">
        <v>16557</v>
      </c>
      <c r="VYL1" t="s">
        <v>16558</v>
      </c>
      <c r="VYM1" t="s">
        <v>16559</v>
      </c>
      <c r="VYN1" t="s">
        <v>16560</v>
      </c>
      <c r="VYO1" t="s">
        <v>16561</v>
      </c>
      <c r="VYP1" t="s">
        <v>16562</v>
      </c>
      <c r="VYQ1" t="s">
        <v>16563</v>
      </c>
      <c r="VYR1" t="s">
        <v>16564</v>
      </c>
      <c r="VYS1" t="s">
        <v>16565</v>
      </c>
      <c r="VYT1" t="s">
        <v>16566</v>
      </c>
      <c r="VYU1" t="s">
        <v>16567</v>
      </c>
      <c r="VYV1" t="s">
        <v>16568</v>
      </c>
      <c r="VYW1" t="s">
        <v>16569</v>
      </c>
      <c r="VYX1" t="s">
        <v>16570</v>
      </c>
      <c r="VYY1" t="s">
        <v>16571</v>
      </c>
      <c r="VYZ1" t="s">
        <v>16572</v>
      </c>
      <c r="VZA1" t="s">
        <v>16573</v>
      </c>
      <c r="VZB1" t="s">
        <v>16574</v>
      </c>
      <c r="VZC1" t="s">
        <v>16575</v>
      </c>
      <c r="VZD1" t="s">
        <v>16576</v>
      </c>
      <c r="VZE1" t="s">
        <v>16577</v>
      </c>
      <c r="VZF1" t="s">
        <v>16578</v>
      </c>
      <c r="VZG1" t="s">
        <v>16579</v>
      </c>
      <c r="VZH1" t="s">
        <v>16580</v>
      </c>
      <c r="VZI1" t="s">
        <v>16581</v>
      </c>
      <c r="VZJ1" t="s">
        <v>16582</v>
      </c>
      <c r="VZK1" t="s">
        <v>16583</v>
      </c>
      <c r="VZL1" t="s">
        <v>16584</v>
      </c>
      <c r="VZM1" t="s">
        <v>16585</v>
      </c>
      <c r="VZN1" t="s">
        <v>16586</v>
      </c>
      <c r="VZO1" t="s">
        <v>16587</v>
      </c>
      <c r="VZP1" t="s">
        <v>16588</v>
      </c>
      <c r="VZQ1" t="s">
        <v>16589</v>
      </c>
      <c r="VZR1" t="s">
        <v>16590</v>
      </c>
      <c r="VZS1" t="s">
        <v>16591</v>
      </c>
      <c r="VZT1" t="s">
        <v>16592</v>
      </c>
      <c r="VZU1" t="s">
        <v>16593</v>
      </c>
      <c r="VZV1" t="s">
        <v>16594</v>
      </c>
      <c r="VZW1" t="s">
        <v>16595</v>
      </c>
      <c r="VZX1" t="s">
        <v>16596</v>
      </c>
      <c r="VZY1" t="s">
        <v>16597</v>
      </c>
      <c r="VZZ1" t="s">
        <v>16598</v>
      </c>
      <c r="WAA1" t="s">
        <v>16599</v>
      </c>
      <c r="WAB1" t="s">
        <v>16600</v>
      </c>
      <c r="WAC1" t="s">
        <v>16601</v>
      </c>
      <c r="WAD1" t="s">
        <v>16602</v>
      </c>
      <c r="WAE1" t="s">
        <v>16603</v>
      </c>
      <c r="WAF1" t="s">
        <v>16604</v>
      </c>
      <c r="WAG1" t="s">
        <v>16605</v>
      </c>
      <c r="WAH1" t="s">
        <v>16606</v>
      </c>
      <c r="WAI1" t="s">
        <v>16607</v>
      </c>
      <c r="WAJ1" t="s">
        <v>16608</v>
      </c>
      <c r="WAK1" t="s">
        <v>16609</v>
      </c>
      <c r="WAL1" t="s">
        <v>16610</v>
      </c>
      <c r="WAM1" t="s">
        <v>16611</v>
      </c>
      <c r="WAN1" t="s">
        <v>16612</v>
      </c>
      <c r="WAO1" t="s">
        <v>16613</v>
      </c>
      <c r="WAP1" t="s">
        <v>16614</v>
      </c>
      <c r="WAQ1" t="s">
        <v>16615</v>
      </c>
      <c r="WAR1" t="s">
        <v>16616</v>
      </c>
      <c r="WAS1" t="s">
        <v>16617</v>
      </c>
      <c r="WAT1" t="s">
        <v>16618</v>
      </c>
      <c r="WAU1" t="s">
        <v>16619</v>
      </c>
      <c r="WAV1" t="s">
        <v>16620</v>
      </c>
      <c r="WAW1" t="s">
        <v>16621</v>
      </c>
      <c r="WAX1" t="s">
        <v>16622</v>
      </c>
      <c r="WAY1" t="s">
        <v>16623</v>
      </c>
      <c r="WAZ1" t="s">
        <v>16624</v>
      </c>
      <c r="WBA1" t="s">
        <v>16625</v>
      </c>
      <c r="WBB1" t="s">
        <v>16626</v>
      </c>
      <c r="WBC1" t="s">
        <v>16627</v>
      </c>
      <c r="WBD1" t="s">
        <v>16628</v>
      </c>
      <c r="WBE1" t="s">
        <v>16629</v>
      </c>
      <c r="WBF1" t="s">
        <v>16630</v>
      </c>
      <c r="WBG1" t="s">
        <v>16631</v>
      </c>
      <c r="WBH1" t="s">
        <v>16632</v>
      </c>
      <c r="WBI1" t="s">
        <v>16633</v>
      </c>
      <c r="WBJ1" t="s">
        <v>16634</v>
      </c>
      <c r="WBK1" t="s">
        <v>16635</v>
      </c>
      <c r="WBL1" t="s">
        <v>16636</v>
      </c>
      <c r="WBM1" t="s">
        <v>16637</v>
      </c>
      <c r="WBN1" t="s">
        <v>16638</v>
      </c>
      <c r="WBO1" t="s">
        <v>16639</v>
      </c>
      <c r="WBP1" t="s">
        <v>16640</v>
      </c>
      <c r="WBQ1" t="s">
        <v>16641</v>
      </c>
      <c r="WBR1" t="s">
        <v>16642</v>
      </c>
      <c r="WBS1" t="s">
        <v>16643</v>
      </c>
      <c r="WBT1" t="s">
        <v>16644</v>
      </c>
      <c r="WBU1" t="s">
        <v>16645</v>
      </c>
      <c r="WBV1" t="s">
        <v>16646</v>
      </c>
      <c r="WBW1" t="s">
        <v>16647</v>
      </c>
      <c r="WBX1" t="s">
        <v>16648</v>
      </c>
      <c r="WBY1" t="s">
        <v>16649</v>
      </c>
      <c r="WBZ1" t="s">
        <v>16650</v>
      </c>
      <c r="WCA1" t="s">
        <v>16651</v>
      </c>
      <c r="WCB1" t="s">
        <v>16652</v>
      </c>
      <c r="WCC1" t="s">
        <v>16653</v>
      </c>
      <c r="WCD1" t="s">
        <v>16654</v>
      </c>
      <c r="WCE1" t="s">
        <v>16655</v>
      </c>
      <c r="WCF1" t="s">
        <v>16656</v>
      </c>
      <c r="WCG1" t="s">
        <v>16657</v>
      </c>
      <c r="WCH1" t="s">
        <v>16658</v>
      </c>
      <c r="WCI1" t="s">
        <v>16659</v>
      </c>
      <c r="WCJ1" t="s">
        <v>16660</v>
      </c>
      <c r="WCK1" t="s">
        <v>16661</v>
      </c>
      <c r="WCL1" t="s">
        <v>16662</v>
      </c>
      <c r="WCM1" t="s">
        <v>16663</v>
      </c>
      <c r="WCN1" t="s">
        <v>16664</v>
      </c>
      <c r="WCO1" t="s">
        <v>16665</v>
      </c>
      <c r="WCP1" t="s">
        <v>16666</v>
      </c>
      <c r="WCQ1" t="s">
        <v>16667</v>
      </c>
      <c r="WCR1" t="s">
        <v>16668</v>
      </c>
      <c r="WCS1" t="s">
        <v>16669</v>
      </c>
      <c r="WCT1" t="s">
        <v>16670</v>
      </c>
      <c r="WCU1" t="s">
        <v>16671</v>
      </c>
      <c r="WCV1" t="s">
        <v>16672</v>
      </c>
      <c r="WCW1" t="s">
        <v>16673</v>
      </c>
      <c r="WCX1" t="s">
        <v>16674</v>
      </c>
      <c r="WCY1" t="s">
        <v>16675</v>
      </c>
      <c r="WCZ1" t="s">
        <v>16676</v>
      </c>
      <c r="WDA1" t="s">
        <v>16677</v>
      </c>
      <c r="WDB1" t="s">
        <v>16678</v>
      </c>
      <c r="WDC1" t="s">
        <v>16679</v>
      </c>
      <c r="WDD1" t="s">
        <v>16680</v>
      </c>
      <c r="WDE1" t="s">
        <v>16681</v>
      </c>
      <c r="WDF1" t="s">
        <v>16682</v>
      </c>
      <c r="WDG1" t="s">
        <v>16683</v>
      </c>
      <c r="WDH1" t="s">
        <v>16684</v>
      </c>
      <c r="WDI1" t="s">
        <v>16685</v>
      </c>
      <c r="WDJ1" t="s">
        <v>16686</v>
      </c>
      <c r="WDK1" t="s">
        <v>16687</v>
      </c>
      <c r="WDL1" t="s">
        <v>16688</v>
      </c>
      <c r="WDM1" t="s">
        <v>16689</v>
      </c>
      <c r="WDN1" t="s">
        <v>16690</v>
      </c>
      <c r="WDO1" t="s">
        <v>16691</v>
      </c>
      <c r="WDP1" t="s">
        <v>16692</v>
      </c>
      <c r="WDQ1" t="s">
        <v>16693</v>
      </c>
      <c r="WDR1" t="s">
        <v>16694</v>
      </c>
      <c r="WDS1" t="s">
        <v>16695</v>
      </c>
      <c r="WDT1" t="s">
        <v>16696</v>
      </c>
      <c r="WDU1" t="s">
        <v>16697</v>
      </c>
      <c r="WDV1" t="s">
        <v>16698</v>
      </c>
      <c r="WDW1" t="s">
        <v>16699</v>
      </c>
      <c r="WDX1" t="s">
        <v>16700</v>
      </c>
      <c r="WDY1" t="s">
        <v>16701</v>
      </c>
      <c r="WDZ1" t="s">
        <v>16702</v>
      </c>
      <c r="WEA1" t="s">
        <v>16703</v>
      </c>
      <c r="WEB1" t="s">
        <v>16704</v>
      </c>
      <c r="WEC1" t="s">
        <v>16705</v>
      </c>
      <c r="WED1" t="s">
        <v>16706</v>
      </c>
      <c r="WEE1" t="s">
        <v>16707</v>
      </c>
      <c r="WEF1" t="s">
        <v>16708</v>
      </c>
      <c r="WEG1" t="s">
        <v>16709</v>
      </c>
      <c r="WEH1" t="s">
        <v>16710</v>
      </c>
      <c r="WEI1" t="s">
        <v>16711</v>
      </c>
      <c r="WEJ1" t="s">
        <v>16712</v>
      </c>
      <c r="WEK1" t="s">
        <v>16713</v>
      </c>
      <c r="WEL1" t="s">
        <v>16714</v>
      </c>
      <c r="WEM1" t="s">
        <v>16715</v>
      </c>
      <c r="WEN1" t="s">
        <v>16716</v>
      </c>
      <c r="WEO1" t="s">
        <v>16717</v>
      </c>
      <c r="WEP1" t="s">
        <v>16718</v>
      </c>
      <c r="WEQ1" t="s">
        <v>16719</v>
      </c>
      <c r="WER1" t="s">
        <v>16720</v>
      </c>
      <c r="WES1" t="s">
        <v>16721</v>
      </c>
      <c r="WET1" t="s">
        <v>16722</v>
      </c>
      <c r="WEU1" t="s">
        <v>16723</v>
      </c>
      <c r="WEV1" t="s">
        <v>16724</v>
      </c>
      <c r="WEW1" t="s">
        <v>16725</v>
      </c>
      <c r="WEX1" t="s">
        <v>16726</v>
      </c>
      <c r="WEY1" t="s">
        <v>16727</v>
      </c>
      <c r="WEZ1" t="s">
        <v>16728</v>
      </c>
      <c r="WFA1" t="s">
        <v>16729</v>
      </c>
      <c r="WFB1" t="s">
        <v>16730</v>
      </c>
      <c r="WFC1" t="s">
        <v>16731</v>
      </c>
      <c r="WFD1" t="s">
        <v>16732</v>
      </c>
      <c r="WFE1" t="s">
        <v>16733</v>
      </c>
      <c r="WFF1" t="s">
        <v>16734</v>
      </c>
      <c r="WFG1" t="s">
        <v>16735</v>
      </c>
      <c r="WFH1" t="s">
        <v>16736</v>
      </c>
      <c r="WFI1" t="s">
        <v>16737</v>
      </c>
      <c r="WFJ1" t="s">
        <v>16738</v>
      </c>
      <c r="WFK1" t="s">
        <v>16739</v>
      </c>
      <c r="WFL1" t="s">
        <v>16740</v>
      </c>
      <c r="WFM1" t="s">
        <v>16741</v>
      </c>
      <c r="WFN1" t="s">
        <v>16742</v>
      </c>
      <c r="WFO1" t="s">
        <v>16743</v>
      </c>
      <c r="WFP1" t="s">
        <v>16744</v>
      </c>
      <c r="WFQ1" t="s">
        <v>16745</v>
      </c>
      <c r="WFR1" t="s">
        <v>16746</v>
      </c>
      <c r="WFS1" t="s">
        <v>16747</v>
      </c>
      <c r="WFT1" t="s">
        <v>16748</v>
      </c>
      <c r="WFU1" t="s">
        <v>16749</v>
      </c>
      <c r="WFV1" t="s">
        <v>16750</v>
      </c>
      <c r="WFW1" t="s">
        <v>16751</v>
      </c>
      <c r="WFX1" t="s">
        <v>16752</v>
      </c>
      <c r="WFY1" t="s">
        <v>16753</v>
      </c>
      <c r="WFZ1" t="s">
        <v>16754</v>
      </c>
      <c r="WGA1" t="s">
        <v>16755</v>
      </c>
      <c r="WGB1" t="s">
        <v>16756</v>
      </c>
      <c r="WGC1" t="s">
        <v>16757</v>
      </c>
      <c r="WGD1" t="s">
        <v>16758</v>
      </c>
      <c r="WGE1" t="s">
        <v>16759</v>
      </c>
      <c r="WGF1" t="s">
        <v>16760</v>
      </c>
      <c r="WGG1" t="s">
        <v>16761</v>
      </c>
      <c r="WGH1" t="s">
        <v>16762</v>
      </c>
      <c r="WGI1" t="s">
        <v>16763</v>
      </c>
      <c r="WGJ1" t="s">
        <v>16764</v>
      </c>
      <c r="WGK1" t="s">
        <v>16765</v>
      </c>
      <c r="WGL1" t="s">
        <v>16766</v>
      </c>
      <c r="WGM1" t="s">
        <v>16767</v>
      </c>
      <c r="WGN1" t="s">
        <v>16768</v>
      </c>
      <c r="WGO1" t="s">
        <v>16769</v>
      </c>
      <c r="WGP1" t="s">
        <v>16770</v>
      </c>
      <c r="WGQ1" t="s">
        <v>16771</v>
      </c>
      <c r="WGR1" t="s">
        <v>16772</v>
      </c>
      <c r="WGS1" t="s">
        <v>16773</v>
      </c>
      <c r="WGT1" t="s">
        <v>16774</v>
      </c>
      <c r="WGU1" t="s">
        <v>16775</v>
      </c>
      <c r="WGV1" t="s">
        <v>16776</v>
      </c>
      <c r="WGW1" t="s">
        <v>16777</v>
      </c>
      <c r="WGX1" t="s">
        <v>16778</v>
      </c>
      <c r="WGY1" t="s">
        <v>16779</v>
      </c>
      <c r="WGZ1" t="s">
        <v>16780</v>
      </c>
      <c r="WHA1" t="s">
        <v>16781</v>
      </c>
      <c r="WHB1" t="s">
        <v>16782</v>
      </c>
      <c r="WHC1" t="s">
        <v>16783</v>
      </c>
      <c r="WHD1" t="s">
        <v>16784</v>
      </c>
      <c r="WHE1" t="s">
        <v>16785</v>
      </c>
      <c r="WHF1" t="s">
        <v>16786</v>
      </c>
      <c r="WHG1" t="s">
        <v>16787</v>
      </c>
      <c r="WHH1" t="s">
        <v>16788</v>
      </c>
      <c r="WHI1" t="s">
        <v>16789</v>
      </c>
      <c r="WHJ1" t="s">
        <v>16790</v>
      </c>
      <c r="WHK1" t="s">
        <v>16791</v>
      </c>
      <c r="WHL1" t="s">
        <v>16792</v>
      </c>
      <c r="WHM1" t="s">
        <v>16793</v>
      </c>
      <c r="WHN1" t="s">
        <v>16794</v>
      </c>
      <c r="WHO1" t="s">
        <v>16795</v>
      </c>
      <c r="WHP1" t="s">
        <v>16796</v>
      </c>
      <c r="WHQ1" t="s">
        <v>16797</v>
      </c>
      <c r="WHR1" t="s">
        <v>16798</v>
      </c>
      <c r="WHS1" t="s">
        <v>16799</v>
      </c>
      <c r="WHT1" t="s">
        <v>16800</v>
      </c>
      <c r="WHU1" t="s">
        <v>16801</v>
      </c>
      <c r="WHV1" t="s">
        <v>16802</v>
      </c>
      <c r="WHW1" t="s">
        <v>16803</v>
      </c>
      <c r="WHX1" t="s">
        <v>16804</v>
      </c>
      <c r="WHY1" t="s">
        <v>16805</v>
      </c>
      <c r="WHZ1" t="s">
        <v>16806</v>
      </c>
      <c r="WIA1" t="s">
        <v>16807</v>
      </c>
      <c r="WIB1" t="s">
        <v>16808</v>
      </c>
      <c r="WIC1" t="s">
        <v>16809</v>
      </c>
      <c r="WID1" t="s">
        <v>16810</v>
      </c>
      <c r="WIE1" t="s">
        <v>16811</v>
      </c>
      <c r="WIF1" t="s">
        <v>16812</v>
      </c>
      <c r="WIG1" t="s">
        <v>16813</v>
      </c>
      <c r="WIH1" t="s">
        <v>16814</v>
      </c>
      <c r="WII1" t="s">
        <v>16815</v>
      </c>
      <c r="WIJ1" t="s">
        <v>16816</v>
      </c>
      <c r="WIK1" t="s">
        <v>16817</v>
      </c>
      <c r="WIL1" t="s">
        <v>16818</v>
      </c>
      <c r="WIM1" t="s">
        <v>16819</v>
      </c>
      <c r="WIN1" t="s">
        <v>16820</v>
      </c>
      <c r="WIO1" t="s">
        <v>16821</v>
      </c>
      <c r="WIP1" t="s">
        <v>16822</v>
      </c>
      <c r="WIQ1" t="s">
        <v>16823</v>
      </c>
      <c r="WIR1" t="s">
        <v>16824</v>
      </c>
      <c r="WIS1" t="s">
        <v>16825</v>
      </c>
      <c r="WIT1" t="s">
        <v>16826</v>
      </c>
      <c r="WIU1" t="s">
        <v>16827</v>
      </c>
      <c r="WIV1" t="s">
        <v>16828</v>
      </c>
      <c r="WIW1" t="s">
        <v>16829</v>
      </c>
      <c r="WIX1" t="s">
        <v>16830</v>
      </c>
      <c r="WIY1" t="s">
        <v>16831</v>
      </c>
      <c r="WIZ1" t="s">
        <v>16832</v>
      </c>
      <c r="WJA1" t="s">
        <v>16833</v>
      </c>
      <c r="WJB1" t="s">
        <v>16834</v>
      </c>
      <c r="WJC1" t="s">
        <v>16835</v>
      </c>
      <c r="WJD1" t="s">
        <v>16836</v>
      </c>
      <c r="WJE1" t="s">
        <v>16837</v>
      </c>
      <c r="WJF1" t="s">
        <v>16838</v>
      </c>
      <c r="WJG1" t="s">
        <v>16839</v>
      </c>
      <c r="WJH1" t="s">
        <v>16840</v>
      </c>
      <c r="WJI1" t="s">
        <v>16841</v>
      </c>
      <c r="WJJ1" t="s">
        <v>16842</v>
      </c>
      <c r="WJK1" t="s">
        <v>16843</v>
      </c>
      <c r="WJL1" t="s">
        <v>16844</v>
      </c>
      <c r="WJM1" t="s">
        <v>16845</v>
      </c>
      <c r="WJN1" t="s">
        <v>16846</v>
      </c>
      <c r="WJO1" t="s">
        <v>16847</v>
      </c>
      <c r="WJP1" t="s">
        <v>16848</v>
      </c>
      <c r="WJQ1" t="s">
        <v>16849</v>
      </c>
      <c r="WJR1" t="s">
        <v>16850</v>
      </c>
      <c r="WJS1" t="s">
        <v>16851</v>
      </c>
      <c r="WJT1" t="s">
        <v>16852</v>
      </c>
      <c r="WJU1" t="s">
        <v>16853</v>
      </c>
      <c r="WJV1" t="s">
        <v>16854</v>
      </c>
      <c r="WJW1" t="s">
        <v>16855</v>
      </c>
      <c r="WJX1" t="s">
        <v>16856</v>
      </c>
      <c r="WJY1" t="s">
        <v>16857</v>
      </c>
      <c r="WJZ1" t="s">
        <v>16858</v>
      </c>
      <c r="WKA1" t="s">
        <v>16859</v>
      </c>
      <c r="WKB1" t="s">
        <v>16860</v>
      </c>
      <c r="WKC1" t="s">
        <v>16861</v>
      </c>
      <c r="WKD1" t="s">
        <v>16862</v>
      </c>
      <c r="WKE1" t="s">
        <v>16863</v>
      </c>
      <c r="WKF1" t="s">
        <v>16864</v>
      </c>
      <c r="WKG1" t="s">
        <v>16865</v>
      </c>
      <c r="WKH1" t="s">
        <v>16866</v>
      </c>
      <c r="WKI1" t="s">
        <v>16867</v>
      </c>
      <c r="WKJ1" t="s">
        <v>16868</v>
      </c>
      <c r="WKK1" t="s">
        <v>16869</v>
      </c>
      <c r="WKL1" t="s">
        <v>16870</v>
      </c>
      <c r="WKM1" t="s">
        <v>16871</v>
      </c>
      <c r="WKN1" t="s">
        <v>16872</v>
      </c>
      <c r="WKO1" t="s">
        <v>16873</v>
      </c>
      <c r="WKP1" t="s">
        <v>16874</v>
      </c>
      <c r="WKQ1" t="s">
        <v>16875</v>
      </c>
      <c r="WKR1" t="s">
        <v>16876</v>
      </c>
      <c r="WKS1" t="s">
        <v>16877</v>
      </c>
      <c r="WKT1" t="s">
        <v>16878</v>
      </c>
      <c r="WKU1" t="s">
        <v>16879</v>
      </c>
      <c r="WKV1" t="s">
        <v>16880</v>
      </c>
      <c r="WKW1" t="s">
        <v>16881</v>
      </c>
      <c r="WKX1" t="s">
        <v>16882</v>
      </c>
      <c r="WKY1" t="s">
        <v>16883</v>
      </c>
      <c r="WKZ1" t="s">
        <v>16884</v>
      </c>
      <c r="WLA1" t="s">
        <v>16885</v>
      </c>
      <c r="WLB1" t="s">
        <v>16886</v>
      </c>
      <c r="WLC1" t="s">
        <v>16887</v>
      </c>
      <c r="WLD1" t="s">
        <v>16888</v>
      </c>
      <c r="WLE1" t="s">
        <v>16889</v>
      </c>
      <c r="WLF1" t="s">
        <v>16890</v>
      </c>
      <c r="WLG1" t="s">
        <v>16891</v>
      </c>
      <c r="WLH1" t="s">
        <v>16892</v>
      </c>
      <c r="WLI1" t="s">
        <v>16893</v>
      </c>
      <c r="WLJ1" t="s">
        <v>16894</v>
      </c>
      <c r="WLK1" t="s">
        <v>16895</v>
      </c>
      <c r="WLL1" t="s">
        <v>16896</v>
      </c>
      <c r="WLM1" t="s">
        <v>16897</v>
      </c>
      <c r="WLN1" t="s">
        <v>16898</v>
      </c>
      <c r="WLO1" t="s">
        <v>16899</v>
      </c>
      <c r="WLP1" t="s">
        <v>16900</v>
      </c>
      <c r="WLQ1" t="s">
        <v>16901</v>
      </c>
      <c r="WLR1" t="s">
        <v>16902</v>
      </c>
      <c r="WLS1" t="s">
        <v>16903</v>
      </c>
      <c r="WLT1" t="s">
        <v>16904</v>
      </c>
      <c r="WLU1" t="s">
        <v>16905</v>
      </c>
      <c r="WLV1" t="s">
        <v>16906</v>
      </c>
      <c r="WLW1" t="s">
        <v>16907</v>
      </c>
      <c r="WLX1" t="s">
        <v>16908</v>
      </c>
      <c r="WLY1" t="s">
        <v>16909</v>
      </c>
      <c r="WLZ1" t="s">
        <v>16910</v>
      </c>
      <c r="WMA1" t="s">
        <v>16911</v>
      </c>
      <c r="WMB1" t="s">
        <v>16912</v>
      </c>
      <c r="WMC1" t="s">
        <v>16913</v>
      </c>
      <c r="WMD1" t="s">
        <v>16914</v>
      </c>
      <c r="WME1" t="s">
        <v>16915</v>
      </c>
      <c r="WMF1" t="s">
        <v>16916</v>
      </c>
      <c r="WMG1" t="s">
        <v>16917</v>
      </c>
      <c r="WMH1" t="s">
        <v>16918</v>
      </c>
      <c r="WMI1" t="s">
        <v>16919</v>
      </c>
      <c r="WMJ1" t="s">
        <v>16920</v>
      </c>
      <c r="WMK1" t="s">
        <v>16921</v>
      </c>
      <c r="WML1" t="s">
        <v>16922</v>
      </c>
      <c r="WMM1" t="s">
        <v>16923</v>
      </c>
      <c r="WMN1" t="s">
        <v>16924</v>
      </c>
      <c r="WMO1" t="s">
        <v>16925</v>
      </c>
      <c r="WMP1" t="s">
        <v>16926</v>
      </c>
      <c r="WMQ1" t="s">
        <v>16927</v>
      </c>
      <c r="WMR1" t="s">
        <v>16928</v>
      </c>
      <c r="WMS1" t="s">
        <v>16929</v>
      </c>
      <c r="WMT1" t="s">
        <v>16930</v>
      </c>
      <c r="WMU1" t="s">
        <v>16931</v>
      </c>
      <c r="WMV1" t="s">
        <v>16932</v>
      </c>
      <c r="WMW1" t="s">
        <v>16933</v>
      </c>
      <c r="WMX1" t="s">
        <v>16934</v>
      </c>
      <c r="WMY1" t="s">
        <v>16935</v>
      </c>
      <c r="WMZ1" t="s">
        <v>16936</v>
      </c>
      <c r="WNA1" t="s">
        <v>16937</v>
      </c>
      <c r="WNB1" t="s">
        <v>16938</v>
      </c>
      <c r="WNC1" t="s">
        <v>16939</v>
      </c>
      <c r="WND1" t="s">
        <v>16940</v>
      </c>
      <c r="WNE1" t="s">
        <v>16941</v>
      </c>
      <c r="WNF1" t="s">
        <v>16942</v>
      </c>
      <c r="WNG1" t="s">
        <v>16943</v>
      </c>
      <c r="WNH1" t="s">
        <v>16944</v>
      </c>
      <c r="WNI1" t="s">
        <v>16945</v>
      </c>
      <c r="WNJ1" t="s">
        <v>16946</v>
      </c>
      <c r="WNK1" t="s">
        <v>16947</v>
      </c>
      <c r="WNL1" t="s">
        <v>16948</v>
      </c>
      <c r="WNM1" t="s">
        <v>16949</v>
      </c>
      <c r="WNN1" t="s">
        <v>16950</v>
      </c>
      <c r="WNO1" t="s">
        <v>16951</v>
      </c>
      <c r="WNP1" t="s">
        <v>16952</v>
      </c>
      <c r="WNQ1" t="s">
        <v>16953</v>
      </c>
      <c r="WNR1" t="s">
        <v>16954</v>
      </c>
      <c r="WNS1" t="s">
        <v>16955</v>
      </c>
      <c r="WNT1" t="s">
        <v>16956</v>
      </c>
      <c r="WNU1" t="s">
        <v>16957</v>
      </c>
      <c r="WNV1" t="s">
        <v>16958</v>
      </c>
      <c r="WNW1" t="s">
        <v>16959</v>
      </c>
      <c r="WNX1" t="s">
        <v>16960</v>
      </c>
      <c r="WNY1" t="s">
        <v>16961</v>
      </c>
      <c r="WNZ1" t="s">
        <v>16962</v>
      </c>
      <c r="WOA1" t="s">
        <v>16963</v>
      </c>
      <c r="WOB1" t="s">
        <v>16964</v>
      </c>
      <c r="WOC1" t="s">
        <v>16965</v>
      </c>
      <c r="WOD1" t="s">
        <v>16966</v>
      </c>
      <c r="WOE1" t="s">
        <v>16967</v>
      </c>
      <c r="WOF1" t="s">
        <v>16968</v>
      </c>
      <c r="WOG1" t="s">
        <v>16969</v>
      </c>
      <c r="WOH1" t="s">
        <v>16970</v>
      </c>
      <c r="WOI1" t="s">
        <v>16971</v>
      </c>
      <c r="WOJ1" t="s">
        <v>16972</v>
      </c>
      <c r="WOK1" t="s">
        <v>16973</v>
      </c>
      <c r="WOL1" t="s">
        <v>16974</v>
      </c>
      <c r="WOM1" t="s">
        <v>16975</v>
      </c>
      <c r="WON1" t="s">
        <v>16976</v>
      </c>
      <c r="WOO1" t="s">
        <v>16977</v>
      </c>
      <c r="WOP1" t="s">
        <v>16978</v>
      </c>
      <c r="WOQ1" t="s">
        <v>16979</v>
      </c>
      <c r="WOR1" t="s">
        <v>16980</v>
      </c>
      <c r="WOS1" t="s">
        <v>16981</v>
      </c>
      <c r="WOT1" t="s">
        <v>16982</v>
      </c>
      <c r="WOU1" t="s">
        <v>16983</v>
      </c>
      <c r="WOV1" t="s">
        <v>16984</v>
      </c>
      <c r="WOW1" t="s">
        <v>16985</v>
      </c>
      <c r="WOX1" t="s">
        <v>16986</v>
      </c>
      <c r="WOY1" t="s">
        <v>16987</v>
      </c>
      <c r="WOZ1" t="s">
        <v>16988</v>
      </c>
      <c r="WPA1" t="s">
        <v>16989</v>
      </c>
      <c r="WPB1" t="s">
        <v>16990</v>
      </c>
      <c r="WPC1" t="s">
        <v>16991</v>
      </c>
      <c r="WPD1" t="s">
        <v>16992</v>
      </c>
      <c r="WPE1" t="s">
        <v>16993</v>
      </c>
      <c r="WPF1" t="s">
        <v>16994</v>
      </c>
      <c r="WPG1" t="s">
        <v>16995</v>
      </c>
      <c r="WPH1" t="s">
        <v>16996</v>
      </c>
      <c r="WPI1" t="s">
        <v>16997</v>
      </c>
      <c r="WPJ1" t="s">
        <v>16998</v>
      </c>
      <c r="WPK1" t="s">
        <v>16999</v>
      </c>
      <c r="WPL1" t="s">
        <v>17000</v>
      </c>
      <c r="WPM1" t="s">
        <v>17001</v>
      </c>
      <c r="WPN1" t="s">
        <v>17002</v>
      </c>
      <c r="WPO1" t="s">
        <v>17003</v>
      </c>
      <c r="WPP1" t="s">
        <v>17004</v>
      </c>
      <c r="WPQ1" t="s">
        <v>17005</v>
      </c>
      <c r="WPR1" t="s">
        <v>17006</v>
      </c>
      <c r="WPS1" t="s">
        <v>17007</v>
      </c>
      <c r="WPT1" t="s">
        <v>17008</v>
      </c>
      <c r="WPU1" t="s">
        <v>17009</v>
      </c>
      <c r="WPV1" t="s">
        <v>17010</v>
      </c>
      <c r="WPW1" t="s">
        <v>17011</v>
      </c>
      <c r="WPX1" t="s">
        <v>17012</v>
      </c>
      <c r="WPY1" t="s">
        <v>17013</v>
      </c>
      <c r="WPZ1" t="s">
        <v>17014</v>
      </c>
      <c r="WQA1" t="s">
        <v>17015</v>
      </c>
      <c r="WQB1" t="s">
        <v>17016</v>
      </c>
      <c r="WQC1" t="s">
        <v>17017</v>
      </c>
      <c r="WQD1" t="s">
        <v>17018</v>
      </c>
      <c r="WQE1" t="s">
        <v>17019</v>
      </c>
      <c r="WQF1" t="s">
        <v>17020</v>
      </c>
      <c r="WQG1" t="s">
        <v>17021</v>
      </c>
      <c r="WQH1" t="s">
        <v>17022</v>
      </c>
      <c r="WQI1" t="s">
        <v>17023</v>
      </c>
      <c r="WQJ1" t="s">
        <v>17024</v>
      </c>
      <c r="WQK1" t="s">
        <v>17025</v>
      </c>
      <c r="WQL1" t="s">
        <v>17026</v>
      </c>
      <c r="WQM1" t="s">
        <v>17027</v>
      </c>
      <c r="WQN1" t="s">
        <v>17028</v>
      </c>
      <c r="WQO1" t="s">
        <v>17029</v>
      </c>
      <c r="WQP1" t="s">
        <v>17030</v>
      </c>
      <c r="WQQ1" t="s">
        <v>17031</v>
      </c>
      <c r="WQR1" t="s">
        <v>17032</v>
      </c>
      <c r="WQS1" t="s">
        <v>17033</v>
      </c>
      <c r="WQT1" t="s">
        <v>17034</v>
      </c>
      <c r="WQU1" t="s">
        <v>17035</v>
      </c>
      <c r="WQV1" t="s">
        <v>17036</v>
      </c>
      <c r="WQW1" t="s">
        <v>17037</v>
      </c>
      <c r="WQX1" t="s">
        <v>17038</v>
      </c>
      <c r="WQY1" t="s">
        <v>17039</v>
      </c>
      <c r="WQZ1" t="s">
        <v>17040</v>
      </c>
      <c r="WRA1" t="s">
        <v>17041</v>
      </c>
      <c r="WRB1" t="s">
        <v>17042</v>
      </c>
      <c r="WRC1" t="s">
        <v>17043</v>
      </c>
      <c r="WRD1" t="s">
        <v>17044</v>
      </c>
      <c r="WRE1" t="s">
        <v>17045</v>
      </c>
      <c r="WRF1" t="s">
        <v>17046</v>
      </c>
      <c r="WRG1" t="s">
        <v>17047</v>
      </c>
      <c r="WRH1" t="s">
        <v>17048</v>
      </c>
      <c r="WRI1" t="s">
        <v>17049</v>
      </c>
      <c r="WRJ1" t="s">
        <v>17050</v>
      </c>
      <c r="WRK1" t="s">
        <v>17051</v>
      </c>
      <c r="WRL1" t="s">
        <v>17052</v>
      </c>
      <c r="WRM1" t="s">
        <v>17053</v>
      </c>
      <c r="WRN1" t="s">
        <v>17054</v>
      </c>
      <c r="WRO1" t="s">
        <v>17055</v>
      </c>
      <c r="WRP1" t="s">
        <v>17056</v>
      </c>
      <c r="WRQ1" t="s">
        <v>17057</v>
      </c>
      <c r="WRR1" t="s">
        <v>17058</v>
      </c>
      <c r="WRS1" t="s">
        <v>17059</v>
      </c>
      <c r="WRT1" t="s">
        <v>17060</v>
      </c>
      <c r="WRU1" t="s">
        <v>17061</v>
      </c>
      <c r="WRV1" t="s">
        <v>17062</v>
      </c>
      <c r="WRW1" t="s">
        <v>17063</v>
      </c>
      <c r="WRX1" t="s">
        <v>17064</v>
      </c>
      <c r="WRY1" t="s">
        <v>17065</v>
      </c>
      <c r="WRZ1" t="s">
        <v>17066</v>
      </c>
      <c r="WSA1" t="s">
        <v>17067</v>
      </c>
      <c r="WSB1" t="s">
        <v>17068</v>
      </c>
      <c r="WSC1" t="s">
        <v>17069</v>
      </c>
      <c r="WSD1" t="s">
        <v>17070</v>
      </c>
      <c r="WSE1" t="s">
        <v>17071</v>
      </c>
      <c r="WSF1" t="s">
        <v>17072</v>
      </c>
      <c r="WSG1" t="s">
        <v>17073</v>
      </c>
      <c r="WSH1" t="s">
        <v>17074</v>
      </c>
      <c r="WSI1" t="s">
        <v>17075</v>
      </c>
      <c r="WSJ1" t="s">
        <v>17076</v>
      </c>
      <c r="WSK1" t="s">
        <v>17077</v>
      </c>
      <c r="WSL1" t="s">
        <v>17078</v>
      </c>
      <c r="WSM1" t="s">
        <v>17079</v>
      </c>
      <c r="WSN1" t="s">
        <v>17080</v>
      </c>
      <c r="WSO1" t="s">
        <v>17081</v>
      </c>
      <c r="WSP1" t="s">
        <v>17082</v>
      </c>
      <c r="WSQ1" t="s">
        <v>17083</v>
      </c>
      <c r="WSR1" t="s">
        <v>17084</v>
      </c>
      <c r="WSS1" t="s">
        <v>17085</v>
      </c>
      <c r="WST1" t="s">
        <v>17086</v>
      </c>
      <c r="WSU1" t="s">
        <v>17087</v>
      </c>
      <c r="WSV1" t="s">
        <v>17088</v>
      </c>
      <c r="WSW1" t="s">
        <v>17089</v>
      </c>
      <c r="WSX1" t="s">
        <v>17090</v>
      </c>
      <c r="WSY1" t="s">
        <v>17091</v>
      </c>
      <c r="WSZ1" t="s">
        <v>17092</v>
      </c>
      <c r="WTA1" t="s">
        <v>17093</v>
      </c>
      <c r="WTB1" t="s">
        <v>17094</v>
      </c>
      <c r="WTC1" t="s">
        <v>17095</v>
      </c>
      <c r="WTD1" t="s">
        <v>17096</v>
      </c>
      <c r="WTE1" t="s">
        <v>17097</v>
      </c>
      <c r="WTF1" t="s">
        <v>17098</v>
      </c>
      <c r="WTG1" t="s">
        <v>17099</v>
      </c>
      <c r="WTH1" t="s">
        <v>17100</v>
      </c>
      <c r="WTI1" t="s">
        <v>17101</v>
      </c>
      <c r="WTJ1" t="s">
        <v>17102</v>
      </c>
      <c r="WTK1" t="s">
        <v>17103</v>
      </c>
      <c r="WTL1" t="s">
        <v>17104</v>
      </c>
      <c r="WTM1" t="s">
        <v>17105</v>
      </c>
      <c r="WTN1" t="s">
        <v>17106</v>
      </c>
      <c r="WTO1" t="s">
        <v>17107</v>
      </c>
      <c r="WTP1" t="s">
        <v>17108</v>
      </c>
      <c r="WTQ1" t="s">
        <v>17109</v>
      </c>
      <c r="WTR1" t="s">
        <v>17110</v>
      </c>
      <c r="WTS1" t="s">
        <v>17111</v>
      </c>
      <c r="WTT1" t="s">
        <v>17112</v>
      </c>
      <c r="WTU1" t="s">
        <v>17113</v>
      </c>
      <c r="WTV1" t="s">
        <v>17114</v>
      </c>
      <c r="WTW1" t="s">
        <v>17115</v>
      </c>
      <c r="WTX1" t="s">
        <v>17116</v>
      </c>
      <c r="WTY1" t="s">
        <v>17117</v>
      </c>
      <c r="WTZ1" t="s">
        <v>17118</v>
      </c>
      <c r="WUA1" t="s">
        <v>17119</v>
      </c>
      <c r="WUB1" t="s">
        <v>17120</v>
      </c>
      <c r="WUC1" t="s">
        <v>17121</v>
      </c>
      <c r="WUD1" t="s">
        <v>17122</v>
      </c>
      <c r="WUE1" t="s">
        <v>17123</v>
      </c>
      <c r="WUF1" t="s">
        <v>17124</v>
      </c>
      <c r="WUG1" t="s">
        <v>17125</v>
      </c>
      <c r="WUH1" t="s">
        <v>17126</v>
      </c>
      <c r="WUI1" t="s">
        <v>17127</v>
      </c>
      <c r="WUJ1" t="s">
        <v>17128</v>
      </c>
      <c r="WUK1" t="s">
        <v>17129</v>
      </c>
      <c r="WUL1" t="s">
        <v>17130</v>
      </c>
      <c r="WUM1" t="s">
        <v>17131</v>
      </c>
      <c r="WUN1" t="s">
        <v>17132</v>
      </c>
      <c r="WUO1" t="s">
        <v>17133</v>
      </c>
      <c r="WUP1" t="s">
        <v>17134</v>
      </c>
      <c r="WUQ1" t="s">
        <v>17135</v>
      </c>
      <c r="WUR1" t="s">
        <v>17136</v>
      </c>
      <c r="WUS1" t="s">
        <v>17137</v>
      </c>
      <c r="WUT1" t="s">
        <v>17138</v>
      </c>
      <c r="WUU1" t="s">
        <v>17139</v>
      </c>
      <c r="WUV1" t="s">
        <v>17140</v>
      </c>
      <c r="WUW1" t="s">
        <v>17141</v>
      </c>
      <c r="WUX1" t="s">
        <v>17142</v>
      </c>
      <c r="WUY1" t="s">
        <v>17143</v>
      </c>
      <c r="WUZ1" t="s">
        <v>17144</v>
      </c>
      <c r="WVA1" t="s">
        <v>17145</v>
      </c>
      <c r="WVB1" t="s">
        <v>17146</v>
      </c>
      <c r="WVC1" t="s">
        <v>17147</v>
      </c>
      <c r="WVD1" t="s">
        <v>17148</v>
      </c>
      <c r="WVE1" t="s">
        <v>17149</v>
      </c>
      <c r="WVF1" t="s">
        <v>17150</v>
      </c>
      <c r="WVG1" t="s">
        <v>17151</v>
      </c>
      <c r="WVH1" t="s">
        <v>17152</v>
      </c>
      <c r="WVI1" t="s">
        <v>17153</v>
      </c>
      <c r="WVJ1" t="s">
        <v>17154</v>
      </c>
      <c r="WVK1" t="s">
        <v>17155</v>
      </c>
      <c r="WVL1" t="s">
        <v>17156</v>
      </c>
      <c r="WVM1" t="s">
        <v>17157</v>
      </c>
      <c r="WVN1" t="s">
        <v>17158</v>
      </c>
      <c r="WVO1" t="s">
        <v>17159</v>
      </c>
      <c r="WVP1" t="s">
        <v>17160</v>
      </c>
      <c r="WVQ1" t="s">
        <v>17161</v>
      </c>
      <c r="WVR1" t="s">
        <v>17162</v>
      </c>
      <c r="WVS1" t="s">
        <v>17163</v>
      </c>
      <c r="WVT1" t="s">
        <v>17164</v>
      </c>
      <c r="WVU1" t="s">
        <v>17165</v>
      </c>
      <c r="WVV1" t="s">
        <v>17166</v>
      </c>
      <c r="WVW1" t="s">
        <v>17167</v>
      </c>
      <c r="WVX1" t="s">
        <v>17168</v>
      </c>
      <c r="WVY1" t="s">
        <v>17169</v>
      </c>
      <c r="WVZ1" t="s">
        <v>17170</v>
      </c>
      <c r="WWA1" t="s">
        <v>17171</v>
      </c>
      <c r="WWB1" t="s">
        <v>17172</v>
      </c>
      <c r="WWC1" t="s">
        <v>17173</v>
      </c>
      <c r="WWD1" t="s">
        <v>17174</v>
      </c>
      <c r="WWE1" t="s">
        <v>17175</v>
      </c>
      <c r="WWF1" t="s">
        <v>17176</v>
      </c>
      <c r="WWG1" t="s">
        <v>17177</v>
      </c>
      <c r="WWH1" t="s">
        <v>17178</v>
      </c>
      <c r="WWI1" t="s">
        <v>17179</v>
      </c>
      <c r="WWJ1" t="s">
        <v>17180</v>
      </c>
      <c r="WWK1" t="s">
        <v>17181</v>
      </c>
      <c r="WWL1" t="s">
        <v>17182</v>
      </c>
      <c r="WWM1" t="s">
        <v>17183</v>
      </c>
      <c r="WWN1" t="s">
        <v>17184</v>
      </c>
      <c r="WWO1" t="s">
        <v>17185</v>
      </c>
      <c r="WWP1" t="s">
        <v>17186</v>
      </c>
      <c r="WWQ1" t="s">
        <v>17187</v>
      </c>
      <c r="WWR1" t="s">
        <v>17188</v>
      </c>
      <c r="WWS1" t="s">
        <v>17189</v>
      </c>
      <c r="WWT1" t="s">
        <v>17190</v>
      </c>
      <c r="WWU1" t="s">
        <v>17191</v>
      </c>
      <c r="WWV1" t="s">
        <v>17192</v>
      </c>
      <c r="WWW1" t="s">
        <v>17193</v>
      </c>
      <c r="WWX1" t="s">
        <v>17194</v>
      </c>
      <c r="WWY1" t="s">
        <v>17195</v>
      </c>
      <c r="WWZ1" t="s">
        <v>17196</v>
      </c>
      <c r="WXA1" t="s">
        <v>17197</v>
      </c>
      <c r="WXB1" t="s">
        <v>17198</v>
      </c>
      <c r="WXC1" t="s">
        <v>17199</v>
      </c>
      <c r="WXD1" t="s">
        <v>17200</v>
      </c>
      <c r="WXE1" t="s">
        <v>17201</v>
      </c>
      <c r="WXF1" t="s">
        <v>17202</v>
      </c>
      <c r="WXG1" t="s">
        <v>17203</v>
      </c>
      <c r="WXH1" t="s">
        <v>17204</v>
      </c>
      <c r="WXI1" t="s">
        <v>17205</v>
      </c>
      <c r="WXJ1" t="s">
        <v>17206</v>
      </c>
      <c r="WXK1" t="s">
        <v>17207</v>
      </c>
      <c r="WXL1" t="s">
        <v>17208</v>
      </c>
      <c r="WXM1" t="s">
        <v>17209</v>
      </c>
      <c r="WXN1" t="s">
        <v>17210</v>
      </c>
      <c r="WXO1" t="s">
        <v>17211</v>
      </c>
      <c r="WXP1" t="s">
        <v>17212</v>
      </c>
      <c r="WXQ1" t="s">
        <v>17213</v>
      </c>
      <c r="WXR1" t="s">
        <v>17214</v>
      </c>
      <c r="WXS1" t="s">
        <v>17215</v>
      </c>
      <c r="WXT1" t="s">
        <v>17216</v>
      </c>
      <c r="WXU1" t="s">
        <v>17217</v>
      </c>
      <c r="WXV1" t="s">
        <v>17218</v>
      </c>
      <c r="WXW1" t="s">
        <v>17219</v>
      </c>
      <c r="WXX1" t="s">
        <v>17220</v>
      </c>
      <c r="WXY1" t="s">
        <v>17221</v>
      </c>
      <c r="WXZ1" t="s">
        <v>17222</v>
      </c>
      <c r="WYA1" t="s">
        <v>17223</v>
      </c>
      <c r="WYB1" t="s">
        <v>17224</v>
      </c>
      <c r="WYC1" t="s">
        <v>17225</v>
      </c>
      <c r="WYD1" t="s">
        <v>17226</v>
      </c>
      <c r="WYE1" t="s">
        <v>17227</v>
      </c>
      <c r="WYF1" t="s">
        <v>17228</v>
      </c>
      <c r="WYG1" t="s">
        <v>17229</v>
      </c>
      <c r="WYH1" t="s">
        <v>17230</v>
      </c>
      <c r="WYI1" t="s">
        <v>17231</v>
      </c>
      <c r="WYJ1" t="s">
        <v>17232</v>
      </c>
      <c r="WYK1" t="s">
        <v>17233</v>
      </c>
      <c r="WYL1" t="s">
        <v>17234</v>
      </c>
      <c r="WYM1" t="s">
        <v>17235</v>
      </c>
      <c r="WYN1" t="s">
        <v>17236</v>
      </c>
      <c r="WYO1" t="s">
        <v>17237</v>
      </c>
      <c r="WYP1" t="s">
        <v>17238</v>
      </c>
      <c r="WYQ1" t="s">
        <v>17239</v>
      </c>
      <c r="WYR1" t="s">
        <v>17240</v>
      </c>
      <c r="WYS1" t="s">
        <v>17241</v>
      </c>
      <c r="WYT1" t="s">
        <v>17242</v>
      </c>
      <c r="WYU1" t="s">
        <v>17243</v>
      </c>
      <c r="WYV1" t="s">
        <v>17244</v>
      </c>
      <c r="WYW1" t="s">
        <v>17245</v>
      </c>
      <c r="WYX1" t="s">
        <v>17246</v>
      </c>
      <c r="WYY1" t="s">
        <v>17247</v>
      </c>
      <c r="WYZ1" t="s">
        <v>17248</v>
      </c>
      <c r="WZA1" t="s">
        <v>17249</v>
      </c>
      <c r="WZB1" t="s">
        <v>17250</v>
      </c>
      <c r="WZC1" t="s">
        <v>17251</v>
      </c>
      <c r="WZD1" t="s">
        <v>17252</v>
      </c>
      <c r="WZE1" t="s">
        <v>17253</v>
      </c>
      <c r="WZF1" t="s">
        <v>17254</v>
      </c>
      <c r="WZG1" t="s">
        <v>17255</v>
      </c>
      <c r="WZH1" t="s">
        <v>17256</v>
      </c>
      <c r="WZI1" t="s">
        <v>17257</v>
      </c>
      <c r="WZJ1" t="s">
        <v>17258</v>
      </c>
      <c r="WZK1" t="s">
        <v>17259</v>
      </c>
      <c r="WZL1" t="s">
        <v>17260</v>
      </c>
      <c r="WZM1" t="s">
        <v>17261</v>
      </c>
      <c r="WZN1" t="s">
        <v>17262</v>
      </c>
      <c r="WZO1" t="s">
        <v>17263</v>
      </c>
      <c r="WZP1" t="s">
        <v>17264</v>
      </c>
      <c r="WZQ1" t="s">
        <v>17265</v>
      </c>
      <c r="WZR1" t="s">
        <v>17266</v>
      </c>
      <c r="WZS1" t="s">
        <v>17267</v>
      </c>
      <c r="WZT1" t="s">
        <v>17268</v>
      </c>
      <c r="WZU1" t="s">
        <v>17269</v>
      </c>
      <c r="WZV1" t="s">
        <v>17270</v>
      </c>
      <c r="WZW1" t="s">
        <v>17271</v>
      </c>
      <c r="WZX1" t="s">
        <v>17272</v>
      </c>
      <c r="WZY1" t="s">
        <v>17273</v>
      </c>
      <c r="WZZ1" t="s">
        <v>17274</v>
      </c>
      <c r="XAA1" t="s">
        <v>17275</v>
      </c>
      <c r="XAB1" t="s">
        <v>17276</v>
      </c>
      <c r="XAC1" t="s">
        <v>17277</v>
      </c>
      <c r="XAD1" t="s">
        <v>17278</v>
      </c>
      <c r="XAE1" t="s">
        <v>17279</v>
      </c>
      <c r="XAF1" t="s">
        <v>17280</v>
      </c>
      <c r="XAG1" t="s">
        <v>17281</v>
      </c>
      <c r="XAH1" t="s">
        <v>17282</v>
      </c>
      <c r="XAI1" t="s">
        <v>17283</v>
      </c>
      <c r="XAJ1" t="s">
        <v>17284</v>
      </c>
      <c r="XAK1" t="s">
        <v>17285</v>
      </c>
      <c r="XAL1" t="s">
        <v>17286</v>
      </c>
      <c r="XAM1" t="s">
        <v>17287</v>
      </c>
      <c r="XAN1" t="s">
        <v>17288</v>
      </c>
      <c r="XAO1" t="s">
        <v>17289</v>
      </c>
      <c r="XAP1" t="s">
        <v>17290</v>
      </c>
      <c r="XAQ1" t="s">
        <v>17291</v>
      </c>
      <c r="XAR1" t="s">
        <v>17292</v>
      </c>
      <c r="XAS1" t="s">
        <v>17293</v>
      </c>
      <c r="XAT1" t="s">
        <v>17294</v>
      </c>
      <c r="XAU1" t="s">
        <v>17295</v>
      </c>
      <c r="XAV1" t="s">
        <v>17296</v>
      </c>
      <c r="XAW1" t="s">
        <v>17297</v>
      </c>
      <c r="XAX1" t="s">
        <v>17298</v>
      </c>
      <c r="XAY1" t="s">
        <v>17299</v>
      </c>
      <c r="XAZ1" t="s">
        <v>17300</v>
      </c>
      <c r="XBA1" t="s">
        <v>17301</v>
      </c>
      <c r="XBB1" t="s">
        <v>17302</v>
      </c>
      <c r="XBC1" t="s">
        <v>17303</v>
      </c>
      <c r="XBD1" t="s">
        <v>17304</v>
      </c>
      <c r="XBE1" t="s">
        <v>17305</v>
      </c>
      <c r="XBF1" t="s">
        <v>17306</v>
      </c>
      <c r="XBG1" t="s">
        <v>17307</v>
      </c>
      <c r="XBH1" t="s">
        <v>17308</v>
      </c>
      <c r="XBI1" t="s">
        <v>17309</v>
      </c>
      <c r="XBJ1" t="s">
        <v>17310</v>
      </c>
      <c r="XBK1" t="s">
        <v>17311</v>
      </c>
      <c r="XBL1" t="s">
        <v>17312</v>
      </c>
      <c r="XBM1" t="s">
        <v>17313</v>
      </c>
      <c r="XBN1" t="s">
        <v>17314</v>
      </c>
      <c r="XBO1" t="s">
        <v>17315</v>
      </c>
      <c r="XBP1" t="s">
        <v>17316</v>
      </c>
      <c r="XBQ1" t="s">
        <v>17317</v>
      </c>
      <c r="XBR1" t="s">
        <v>17318</v>
      </c>
      <c r="XBS1" t="s">
        <v>17319</v>
      </c>
      <c r="XBT1" t="s">
        <v>17320</v>
      </c>
      <c r="XBU1" t="s">
        <v>17321</v>
      </c>
      <c r="XBV1" t="s">
        <v>17322</v>
      </c>
      <c r="XBW1" t="s">
        <v>17323</v>
      </c>
      <c r="XBX1" t="s">
        <v>17324</v>
      </c>
      <c r="XBY1" t="s">
        <v>17325</v>
      </c>
      <c r="XBZ1" t="s">
        <v>17326</v>
      </c>
      <c r="XCA1" t="s">
        <v>17327</v>
      </c>
      <c r="XCB1" t="s">
        <v>17328</v>
      </c>
      <c r="XCC1" t="s">
        <v>17329</v>
      </c>
      <c r="XCD1" t="s">
        <v>17330</v>
      </c>
      <c r="XCE1" t="s">
        <v>17331</v>
      </c>
      <c r="XCF1" t="s">
        <v>17332</v>
      </c>
      <c r="XCG1" t="s">
        <v>17333</v>
      </c>
      <c r="XCH1" t="s">
        <v>17334</v>
      </c>
      <c r="XCI1" t="s">
        <v>17335</v>
      </c>
      <c r="XCJ1" t="s">
        <v>17336</v>
      </c>
      <c r="XCK1" t="s">
        <v>17337</v>
      </c>
      <c r="XCL1" t="s">
        <v>17338</v>
      </c>
      <c r="XCM1" t="s">
        <v>17339</v>
      </c>
      <c r="XCN1" t="s">
        <v>17340</v>
      </c>
      <c r="XCO1" t="s">
        <v>17341</v>
      </c>
      <c r="XCP1" t="s">
        <v>17342</v>
      </c>
      <c r="XCQ1" t="s">
        <v>17343</v>
      </c>
      <c r="XCR1" t="s">
        <v>17344</v>
      </c>
      <c r="XCS1" t="s">
        <v>17345</v>
      </c>
      <c r="XCT1" t="s">
        <v>17346</v>
      </c>
      <c r="XCU1" t="s">
        <v>17347</v>
      </c>
      <c r="XCV1" t="s">
        <v>17348</v>
      </c>
      <c r="XCW1" t="s">
        <v>17349</v>
      </c>
      <c r="XCX1" t="s">
        <v>17350</v>
      </c>
      <c r="XCY1" t="s">
        <v>17351</v>
      </c>
      <c r="XCZ1" t="s">
        <v>17352</v>
      </c>
      <c r="XDA1" t="s">
        <v>17353</v>
      </c>
      <c r="XDB1" t="s">
        <v>17354</v>
      </c>
      <c r="XDC1" t="s">
        <v>17355</v>
      </c>
      <c r="XDD1" t="s">
        <v>17356</v>
      </c>
      <c r="XDE1" t="s">
        <v>17357</v>
      </c>
      <c r="XDF1" t="s">
        <v>17358</v>
      </c>
      <c r="XDG1" t="s">
        <v>17359</v>
      </c>
      <c r="XDH1" t="s">
        <v>17360</v>
      </c>
      <c r="XDI1" t="s">
        <v>17361</v>
      </c>
      <c r="XDJ1" t="s">
        <v>17362</v>
      </c>
      <c r="XDK1" t="s">
        <v>17363</v>
      </c>
      <c r="XDL1" t="s">
        <v>17364</v>
      </c>
      <c r="XDM1" t="s">
        <v>17365</v>
      </c>
      <c r="XDN1" t="s">
        <v>17366</v>
      </c>
      <c r="XDO1" t="s">
        <v>17367</v>
      </c>
      <c r="XDP1" t="s">
        <v>17368</v>
      </c>
      <c r="XDQ1" t="s">
        <v>17369</v>
      </c>
      <c r="XDR1" t="s">
        <v>17370</v>
      </c>
      <c r="XDS1" t="s">
        <v>17371</v>
      </c>
      <c r="XDT1" t="s">
        <v>17372</v>
      </c>
      <c r="XDU1" t="s">
        <v>17373</v>
      </c>
      <c r="XDV1" t="s">
        <v>17374</v>
      </c>
      <c r="XDW1" t="s">
        <v>17375</v>
      </c>
      <c r="XDX1" t="s">
        <v>17376</v>
      </c>
      <c r="XDY1" t="s">
        <v>17377</v>
      </c>
      <c r="XDZ1" t="s">
        <v>17378</v>
      </c>
      <c r="XEA1" t="s">
        <v>17379</v>
      </c>
      <c r="XEB1" t="s">
        <v>17380</v>
      </c>
      <c r="XEC1" t="s">
        <v>17381</v>
      </c>
      <c r="XED1" t="s">
        <v>17382</v>
      </c>
      <c r="XEE1" t="s">
        <v>17383</v>
      </c>
      <c r="XEF1" t="s">
        <v>17384</v>
      </c>
      <c r="XEG1" t="s">
        <v>17385</v>
      </c>
      <c r="XEH1" t="s">
        <v>17386</v>
      </c>
      <c r="XEI1" t="s">
        <v>17387</v>
      </c>
      <c r="XEJ1" t="s">
        <v>17388</v>
      </c>
      <c r="XEK1" t="s">
        <v>17389</v>
      </c>
      <c r="XEL1" t="s">
        <v>17390</v>
      </c>
      <c r="XEM1" t="s">
        <v>17391</v>
      </c>
      <c r="XEN1" t="s">
        <v>17392</v>
      </c>
      <c r="XEO1" t="s">
        <v>17393</v>
      </c>
      <c r="XEP1" t="s">
        <v>17394</v>
      </c>
      <c r="XEQ1" t="s">
        <v>17395</v>
      </c>
      <c r="XER1" t="s">
        <v>17396</v>
      </c>
      <c r="XES1" t="s">
        <v>17397</v>
      </c>
      <c r="XET1" t="s">
        <v>17398</v>
      </c>
      <c r="XEU1" t="s">
        <v>17399</v>
      </c>
      <c r="XEV1" t="s">
        <v>17400</v>
      </c>
      <c r="XEW1" t="s">
        <v>17401</v>
      </c>
      <c r="XEX1" t="s">
        <v>17402</v>
      </c>
      <c r="XEY1" t="s">
        <v>17403</v>
      </c>
      <c r="XEZ1" t="s">
        <v>17404</v>
      </c>
      <c r="XFA1" t="s">
        <v>17405</v>
      </c>
      <c r="XFB1" t="s">
        <v>17406</v>
      </c>
      <c r="XFC1" t="s">
        <v>17407</v>
      </c>
      <c r="XFD1" t="s">
        <v>17408</v>
      </c>
    </row>
    <row r="2" spans="1:16384" s="461" customFormat="1" x14ac:dyDescent="0.35">
      <c r="A2" s="461" t="s">
        <v>241</v>
      </c>
      <c r="B2" s="461" t="s">
        <v>875</v>
      </c>
      <c r="C2" s="461">
        <v>3</v>
      </c>
      <c r="D2" s="461">
        <v>8</v>
      </c>
      <c r="E2" s="461">
        <v>0</v>
      </c>
      <c r="F2" s="461">
        <v>2</v>
      </c>
      <c r="G2" s="461">
        <v>0</v>
      </c>
      <c r="H2" s="461">
        <v>13</v>
      </c>
    </row>
    <row r="3" spans="1:16384" s="461" customFormat="1" x14ac:dyDescent="0.35">
      <c r="A3" s="461" t="s">
        <v>241</v>
      </c>
      <c r="B3" s="461" t="s">
        <v>876</v>
      </c>
      <c r="C3" s="461">
        <v>0</v>
      </c>
      <c r="D3" s="461">
        <v>0</v>
      </c>
      <c r="E3" s="461">
        <v>0</v>
      </c>
      <c r="F3" s="461">
        <v>4</v>
      </c>
      <c r="G3" s="461">
        <v>0</v>
      </c>
      <c r="H3" s="461">
        <v>4</v>
      </c>
    </row>
    <row r="4" spans="1:16384" s="461" customFormat="1" x14ac:dyDescent="0.35">
      <c r="A4" s="461" t="s">
        <v>241</v>
      </c>
      <c r="B4" s="461" t="s">
        <v>190</v>
      </c>
      <c r="C4" s="461">
        <v>4</v>
      </c>
      <c r="D4" s="461">
        <v>2</v>
      </c>
      <c r="E4" s="461">
        <v>0</v>
      </c>
      <c r="F4" s="461">
        <v>1</v>
      </c>
      <c r="G4" s="461">
        <v>0</v>
      </c>
      <c r="H4" s="461">
        <v>7</v>
      </c>
    </row>
    <row r="5" spans="1:16384" s="461" customFormat="1" x14ac:dyDescent="0.35">
      <c r="A5" s="461" t="s">
        <v>241</v>
      </c>
      <c r="B5" s="461" t="s">
        <v>877</v>
      </c>
      <c r="C5" s="461">
        <v>13</v>
      </c>
      <c r="D5" s="461">
        <v>144</v>
      </c>
      <c r="E5" s="461">
        <v>9</v>
      </c>
      <c r="F5" s="461">
        <v>49</v>
      </c>
      <c r="G5" s="461">
        <v>32</v>
      </c>
      <c r="H5" s="461">
        <v>247</v>
      </c>
    </row>
    <row r="6" spans="1:16384" s="461" customFormat="1" x14ac:dyDescent="0.35">
      <c r="A6" s="461" t="s">
        <v>241</v>
      </c>
      <c r="B6" s="461" t="s">
        <v>878</v>
      </c>
      <c r="C6" s="461">
        <v>46</v>
      </c>
      <c r="D6" s="461">
        <v>12</v>
      </c>
      <c r="E6" s="461">
        <v>1</v>
      </c>
      <c r="F6" s="461">
        <v>3</v>
      </c>
      <c r="G6" s="461">
        <v>3</v>
      </c>
      <c r="H6" s="461">
        <v>65</v>
      </c>
    </row>
    <row r="7" spans="1:16384" s="461" customFormat="1" x14ac:dyDescent="0.35">
      <c r="A7" s="461" t="s">
        <v>241</v>
      </c>
      <c r="B7" s="461" t="s">
        <v>879</v>
      </c>
      <c r="C7" s="461">
        <v>110</v>
      </c>
      <c r="D7" s="461">
        <v>18</v>
      </c>
      <c r="E7" s="461">
        <v>4</v>
      </c>
      <c r="F7" s="461">
        <v>12</v>
      </c>
      <c r="G7" s="461">
        <v>3</v>
      </c>
      <c r="H7" s="461">
        <v>147</v>
      </c>
    </row>
    <row r="8" spans="1:16384" s="461" customFormat="1" x14ac:dyDescent="0.35">
      <c r="A8" s="461" t="s">
        <v>241</v>
      </c>
      <c r="B8" s="461" t="s">
        <v>880</v>
      </c>
      <c r="C8" s="461">
        <v>0</v>
      </c>
      <c r="D8" s="461">
        <v>0</v>
      </c>
      <c r="E8" s="461">
        <v>0</v>
      </c>
      <c r="F8" s="461">
        <v>12</v>
      </c>
      <c r="G8" s="461">
        <v>0</v>
      </c>
      <c r="H8" s="461">
        <v>12</v>
      </c>
    </row>
    <row r="9" spans="1:16384" s="461" customFormat="1" x14ac:dyDescent="0.35">
      <c r="A9" s="461" t="s">
        <v>241</v>
      </c>
      <c r="B9" s="461" t="s">
        <v>881</v>
      </c>
      <c r="C9" s="461">
        <v>8</v>
      </c>
      <c r="D9" s="461">
        <v>4</v>
      </c>
      <c r="E9" s="461">
        <v>0</v>
      </c>
      <c r="F9" s="461">
        <v>1</v>
      </c>
      <c r="G9" s="461">
        <v>0</v>
      </c>
      <c r="H9" s="461">
        <v>13</v>
      </c>
    </row>
    <row r="10" spans="1:16384" s="461" customFormat="1" x14ac:dyDescent="0.35">
      <c r="A10" s="461" t="s">
        <v>241</v>
      </c>
      <c r="B10" s="461" t="s">
        <v>882</v>
      </c>
      <c r="C10" s="461">
        <v>2</v>
      </c>
      <c r="D10" s="461">
        <v>0</v>
      </c>
      <c r="E10" s="461">
        <v>0</v>
      </c>
      <c r="F10" s="461">
        <v>0</v>
      </c>
      <c r="G10" s="461">
        <v>0</v>
      </c>
      <c r="H10" s="461">
        <v>2</v>
      </c>
    </row>
    <row r="11" spans="1:16384" s="461" customFormat="1" x14ac:dyDescent="0.35">
      <c r="A11" s="461" t="s">
        <v>241</v>
      </c>
      <c r="B11" s="461" t="s">
        <v>883</v>
      </c>
      <c r="C11" s="461">
        <v>0</v>
      </c>
      <c r="D11" s="461">
        <v>0</v>
      </c>
      <c r="E11" s="461">
        <v>0</v>
      </c>
      <c r="F11" s="461">
        <v>47</v>
      </c>
      <c r="G11" s="461">
        <v>0</v>
      </c>
      <c r="H11" s="461">
        <v>47</v>
      </c>
    </row>
    <row r="12" spans="1:16384" s="461" customFormat="1" x14ac:dyDescent="0.35">
      <c r="A12" s="461" t="s">
        <v>241</v>
      </c>
      <c r="B12" s="461" t="s">
        <v>884</v>
      </c>
      <c r="C12" s="461">
        <v>0</v>
      </c>
      <c r="D12" s="461">
        <v>0</v>
      </c>
      <c r="E12" s="461">
        <v>0</v>
      </c>
      <c r="F12" s="461">
        <v>17</v>
      </c>
      <c r="G12" s="461">
        <v>0</v>
      </c>
      <c r="H12" s="461">
        <v>17</v>
      </c>
    </row>
    <row r="13" spans="1:16384" s="461" customFormat="1" hidden="1" x14ac:dyDescent="0.35">
      <c r="A13" s="461" t="s">
        <v>773</v>
      </c>
      <c r="B13" s="461" t="s">
        <v>875</v>
      </c>
      <c r="C13" s="461">
        <v>4</v>
      </c>
      <c r="D13" s="461">
        <v>2</v>
      </c>
      <c r="E13" s="461">
        <v>0</v>
      </c>
      <c r="F13" s="461">
        <v>1</v>
      </c>
      <c r="G13" s="461">
        <v>0</v>
      </c>
      <c r="H13" s="461">
        <v>7</v>
      </c>
    </row>
    <row r="14" spans="1:16384" s="461" customFormat="1" hidden="1" x14ac:dyDescent="0.35">
      <c r="A14" s="461" t="s">
        <v>773</v>
      </c>
      <c r="B14" s="461" t="s">
        <v>876</v>
      </c>
      <c r="C14" s="461">
        <v>0</v>
      </c>
      <c r="D14" s="461">
        <v>0</v>
      </c>
      <c r="E14" s="461">
        <v>0</v>
      </c>
      <c r="F14" s="461">
        <v>7</v>
      </c>
      <c r="G14" s="461">
        <v>0</v>
      </c>
      <c r="H14" s="461">
        <v>7</v>
      </c>
    </row>
    <row r="15" spans="1:16384" s="461" customFormat="1" hidden="1" x14ac:dyDescent="0.35">
      <c r="A15" s="461" t="s">
        <v>773</v>
      </c>
      <c r="B15" s="461" t="s">
        <v>190</v>
      </c>
      <c r="C15" s="461">
        <v>2</v>
      </c>
      <c r="D15" s="461">
        <v>4</v>
      </c>
      <c r="E15" s="461">
        <v>1</v>
      </c>
      <c r="F15" s="461">
        <v>0</v>
      </c>
      <c r="G15" s="461">
        <v>2</v>
      </c>
      <c r="H15" s="461">
        <v>9</v>
      </c>
    </row>
    <row r="16" spans="1:16384" s="461" customFormat="1" hidden="1" x14ac:dyDescent="0.35">
      <c r="A16" s="461" t="s">
        <v>773</v>
      </c>
      <c r="B16" s="461" t="s">
        <v>877</v>
      </c>
      <c r="C16" s="461">
        <v>21</v>
      </c>
      <c r="D16" s="461">
        <v>163</v>
      </c>
      <c r="E16" s="461">
        <v>5</v>
      </c>
      <c r="F16" s="461">
        <v>29</v>
      </c>
      <c r="G16" s="461">
        <v>18</v>
      </c>
      <c r="H16" s="461">
        <v>236</v>
      </c>
    </row>
    <row r="17" spans="1:8" s="461" customFormat="1" hidden="1" x14ac:dyDescent="0.35">
      <c r="A17" s="461" t="s">
        <v>773</v>
      </c>
      <c r="B17" s="461" t="s">
        <v>878</v>
      </c>
      <c r="C17" s="461">
        <v>16</v>
      </c>
      <c r="D17" s="461">
        <v>3</v>
      </c>
      <c r="E17" s="461">
        <v>0</v>
      </c>
      <c r="F17" s="461">
        <v>1</v>
      </c>
      <c r="G17" s="461">
        <v>1</v>
      </c>
      <c r="H17" s="461">
        <v>21</v>
      </c>
    </row>
    <row r="18" spans="1:8" s="461" customFormat="1" hidden="1" x14ac:dyDescent="0.35">
      <c r="A18" s="461" t="s">
        <v>773</v>
      </c>
      <c r="B18" s="461" t="s">
        <v>879</v>
      </c>
      <c r="C18" s="461">
        <v>152</v>
      </c>
      <c r="D18" s="461">
        <v>41</v>
      </c>
      <c r="E18" s="461">
        <v>6</v>
      </c>
      <c r="F18" s="461">
        <v>14</v>
      </c>
      <c r="G18" s="461">
        <v>4</v>
      </c>
      <c r="H18" s="461">
        <v>217</v>
      </c>
    </row>
    <row r="19" spans="1:8" s="461" customFormat="1" hidden="1" x14ac:dyDescent="0.35">
      <c r="A19" s="461" t="s">
        <v>773</v>
      </c>
      <c r="B19" s="461" t="s">
        <v>880</v>
      </c>
    </row>
    <row r="20" spans="1:8" s="461" customFormat="1" hidden="1" x14ac:dyDescent="0.35">
      <c r="A20" s="461" t="s">
        <v>773</v>
      </c>
      <c r="B20" s="461" t="s">
        <v>881</v>
      </c>
      <c r="C20" s="461">
        <v>7</v>
      </c>
      <c r="D20" s="461">
        <v>5</v>
      </c>
      <c r="E20" s="461">
        <v>1</v>
      </c>
      <c r="F20" s="461">
        <v>1</v>
      </c>
      <c r="G20" s="461">
        <v>0</v>
      </c>
      <c r="H20" s="461">
        <v>14</v>
      </c>
    </row>
    <row r="21" spans="1:8" s="461" customFormat="1" hidden="1" x14ac:dyDescent="0.35">
      <c r="A21" t="s">
        <v>773</v>
      </c>
      <c r="B21" t="s">
        <v>882</v>
      </c>
    </row>
    <row r="22" spans="1:8" s="461" customFormat="1" hidden="1" x14ac:dyDescent="0.35">
      <c r="A22" t="s">
        <v>773</v>
      </c>
      <c r="B22" s="461" t="s">
        <v>1039</v>
      </c>
    </row>
    <row r="23" spans="1:8" s="461" customFormat="1" hidden="1" x14ac:dyDescent="0.35">
      <c r="A23" t="s">
        <v>773</v>
      </c>
      <c r="B23" t="s">
        <v>884</v>
      </c>
      <c r="C23"/>
      <c r="D23"/>
      <c r="E23"/>
      <c r="F23"/>
      <c r="G23"/>
      <c r="H23"/>
    </row>
    <row r="24" spans="1:8" s="461" customFormat="1" hidden="1" x14ac:dyDescent="0.35">
      <c r="A24" s="461" t="s">
        <v>951</v>
      </c>
      <c r="B24" s="461" t="s">
        <v>875</v>
      </c>
      <c r="C24" s="461">
        <v>3</v>
      </c>
      <c r="D24" s="461">
        <v>6</v>
      </c>
      <c r="E24" s="461">
        <v>2</v>
      </c>
      <c r="F24" s="461">
        <v>1</v>
      </c>
      <c r="G24" s="461">
        <v>0</v>
      </c>
      <c r="H24" s="461">
        <v>12</v>
      </c>
    </row>
    <row r="25" spans="1:8" s="461" customFormat="1" hidden="1" x14ac:dyDescent="0.35">
      <c r="A25" s="461" t="s">
        <v>951</v>
      </c>
      <c r="B25" s="461" t="s">
        <v>876</v>
      </c>
      <c r="C25" s="461">
        <v>0</v>
      </c>
      <c r="D25" s="461">
        <v>0</v>
      </c>
      <c r="E25" s="461">
        <v>2</v>
      </c>
      <c r="F25" s="461">
        <v>7</v>
      </c>
      <c r="G25" s="461">
        <v>0</v>
      </c>
      <c r="H25" s="461">
        <v>9</v>
      </c>
    </row>
    <row r="26" spans="1:8" s="461" customFormat="1" hidden="1" x14ac:dyDescent="0.35">
      <c r="A26" s="461" t="s">
        <v>951</v>
      </c>
      <c r="B26" s="461" t="s">
        <v>190</v>
      </c>
      <c r="C26" s="461">
        <v>2</v>
      </c>
      <c r="D26" s="461">
        <v>3</v>
      </c>
      <c r="E26" s="461">
        <v>0</v>
      </c>
      <c r="F26" s="461">
        <v>2</v>
      </c>
      <c r="G26" s="461">
        <v>0</v>
      </c>
      <c r="H26" s="461">
        <v>7</v>
      </c>
    </row>
    <row r="27" spans="1:8" s="461" customFormat="1" hidden="1" x14ac:dyDescent="0.35">
      <c r="A27" s="461" t="s">
        <v>951</v>
      </c>
      <c r="B27" s="461" t="s">
        <v>877</v>
      </c>
      <c r="C27" s="461">
        <v>8</v>
      </c>
      <c r="D27" s="461">
        <v>130</v>
      </c>
      <c r="E27" s="461">
        <v>0</v>
      </c>
      <c r="F27" s="461">
        <v>20</v>
      </c>
      <c r="G27" s="461">
        <v>17</v>
      </c>
      <c r="H27" s="461">
        <v>175</v>
      </c>
    </row>
    <row r="28" spans="1:8" s="461" customFormat="1" hidden="1" x14ac:dyDescent="0.35">
      <c r="A28" s="461" t="s">
        <v>951</v>
      </c>
      <c r="B28" s="461" t="s">
        <v>878</v>
      </c>
    </row>
    <row r="29" spans="1:8" s="461" customFormat="1" hidden="1" x14ac:dyDescent="0.35">
      <c r="A29" s="461" t="s">
        <v>951</v>
      </c>
      <c r="B29" s="461" t="s">
        <v>879</v>
      </c>
      <c r="C29" s="461">
        <v>175</v>
      </c>
      <c r="D29" s="461">
        <v>44</v>
      </c>
      <c r="E29" s="461">
        <v>5</v>
      </c>
      <c r="F29" s="461">
        <v>13</v>
      </c>
      <c r="G29" s="461">
        <v>2</v>
      </c>
      <c r="H29" s="461">
        <v>239</v>
      </c>
    </row>
    <row r="30" spans="1:8" s="461" customFormat="1" hidden="1" x14ac:dyDescent="0.35">
      <c r="A30" s="461" t="s">
        <v>951</v>
      </c>
      <c r="B30" s="461" t="s">
        <v>880</v>
      </c>
      <c r="C30" s="461">
        <v>0</v>
      </c>
      <c r="D30" s="461">
        <v>1</v>
      </c>
      <c r="E30" s="461">
        <v>0</v>
      </c>
      <c r="F30" s="461">
        <v>0</v>
      </c>
      <c r="G30" s="461">
        <v>1</v>
      </c>
      <c r="H30" s="461">
        <v>2</v>
      </c>
    </row>
    <row r="31" spans="1:8" s="461" customFormat="1" hidden="1" x14ac:dyDescent="0.35">
      <c r="A31" s="461" t="s">
        <v>951</v>
      </c>
      <c r="B31" s="461" t="s">
        <v>881</v>
      </c>
      <c r="C31">
        <v>5</v>
      </c>
      <c r="D31">
        <v>5</v>
      </c>
      <c r="E31">
        <v>1</v>
      </c>
      <c r="F31">
        <v>1</v>
      </c>
      <c r="G31">
        <v>0</v>
      </c>
      <c r="H31">
        <v>12</v>
      </c>
    </row>
    <row r="32" spans="1:8" s="461" customFormat="1" hidden="1" x14ac:dyDescent="0.35">
      <c r="A32" s="461" t="s">
        <v>951</v>
      </c>
      <c r="B32" s="461" t="s">
        <v>882</v>
      </c>
      <c r="C32"/>
      <c r="D32"/>
      <c r="E32"/>
      <c r="F32"/>
      <c r="G32"/>
      <c r="H32"/>
    </row>
    <row r="33" spans="1:8" s="461" customFormat="1" hidden="1" x14ac:dyDescent="0.35">
      <c r="A33" s="461" t="s">
        <v>951</v>
      </c>
      <c r="B33" s="461" t="s">
        <v>883</v>
      </c>
      <c r="C33"/>
      <c r="D33"/>
      <c r="E33"/>
      <c r="F33"/>
      <c r="G33"/>
      <c r="H33"/>
    </row>
    <row r="34" spans="1:8" s="461" customFormat="1" hidden="1" x14ac:dyDescent="0.35">
      <c r="A34" s="461" t="s">
        <v>951</v>
      </c>
      <c r="B34" s="461" t="s">
        <v>884</v>
      </c>
      <c r="C34"/>
      <c r="D34"/>
      <c r="E34"/>
      <c r="F34"/>
      <c r="G34"/>
      <c r="H34"/>
    </row>
    <row r="35" spans="1:8" x14ac:dyDescent="0.35">
      <c r="A35" s="461"/>
      <c r="B35" s="461"/>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33"/>
  <sheetViews>
    <sheetView showGridLines="0" workbookViewId="0">
      <pane ySplit="2" topLeftCell="A3" activePane="bottomLeft" state="frozen"/>
      <selection pane="bottomLeft" sqref="A1:C1"/>
    </sheetView>
  </sheetViews>
  <sheetFormatPr defaultRowHeight="14.5" x14ac:dyDescent="0.35"/>
  <cols>
    <col min="1" max="1" width="35.81640625" customWidth="1"/>
    <col min="2" max="13" width="12.1796875" customWidth="1"/>
  </cols>
  <sheetData>
    <row r="1" spans="1:13" ht="15.5" x14ac:dyDescent="0.35">
      <c r="A1" s="1160" t="s">
        <v>439</v>
      </c>
      <c r="B1" s="1160"/>
      <c r="C1" s="1160"/>
    </row>
    <row r="2" spans="1:13" ht="15.5" x14ac:dyDescent="0.35">
      <c r="A2" s="601" t="s">
        <v>509</v>
      </c>
      <c r="B2" s="538"/>
      <c r="C2" s="538"/>
    </row>
    <row r="4" spans="1:13" ht="15.5" x14ac:dyDescent="0.35">
      <c r="A4" s="1170" t="s">
        <v>489</v>
      </c>
      <c r="B4" s="1170"/>
      <c r="C4" s="1170"/>
      <c r="D4" s="1170"/>
      <c r="E4" s="1170"/>
      <c r="F4" s="1170"/>
      <c r="G4" s="1170"/>
      <c r="H4" s="1170"/>
    </row>
    <row r="5" spans="1:13" ht="15.75" customHeight="1" x14ac:dyDescent="0.35">
      <c r="A5" t="s">
        <v>445</v>
      </c>
      <c r="B5" s="520"/>
      <c r="C5" s="520"/>
      <c r="D5" s="520"/>
      <c r="E5" s="520"/>
      <c r="F5" s="520"/>
      <c r="G5" s="520"/>
      <c r="H5" s="520"/>
    </row>
    <row r="6" spans="1:13" ht="15.5" x14ac:dyDescent="0.35">
      <c r="A6" t="s">
        <v>320</v>
      </c>
      <c r="B6" t="s">
        <v>695</v>
      </c>
      <c r="C6" s="520"/>
      <c r="D6" s="520"/>
      <c r="E6" s="520"/>
      <c r="F6" s="520"/>
      <c r="G6" s="520"/>
      <c r="H6" s="520"/>
    </row>
    <row r="7" spans="1:13" ht="15.5" x14ac:dyDescent="0.35">
      <c r="A7" t="s">
        <v>321</v>
      </c>
      <c r="B7" t="s">
        <v>323</v>
      </c>
      <c r="C7" s="520"/>
      <c r="D7" s="520"/>
      <c r="E7" s="520"/>
      <c r="F7" s="520"/>
      <c r="G7" s="520"/>
      <c r="H7" s="520"/>
    </row>
    <row r="8" spans="1:13" x14ac:dyDescent="0.35">
      <c r="A8" t="s">
        <v>322</v>
      </c>
      <c r="B8" t="s">
        <v>324</v>
      </c>
    </row>
    <row r="10" spans="1:13" x14ac:dyDescent="0.35">
      <c r="A10" s="359" t="s">
        <v>1</v>
      </c>
    </row>
    <row r="11" spans="1:13" x14ac:dyDescent="0.35">
      <c r="A11" t="str">
        <f>leaverspivot!B1</f>
        <v>2020-21</v>
      </c>
    </row>
    <row r="12" spans="1:13" s="563" customFormat="1" ht="29" x14ac:dyDescent="0.35">
      <c r="A12" s="598" t="s">
        <v>482</v>
      </c>
      <c r="B12" s="616" t="s">
        <v>27</v>
      </c>
      <c r="C12" s="616" t="s">
        <v>28</v>
      </c>
      <c r="D12" s="616" t="s">
        <v>2</v>
      </c>
      <c r="E12" s="616" t="s">
        <v>3</v>
      </c>
      <c r="F12" s="616" t="s">
        <v>481</v>
      </c>
      <c r="G12" s="616" t="s">
        <v>10</v>
      </c>
      <c r="H12"/>
      <c r="I12"/>
      <c r="J12"/>
      <c r="K12"/>
      <c r="L12"/>
      <c r="M12"/>
    </row>
    <row r="13" spans="1:13" x14ac:dyDescent="0.35">
      <c r="A13" s="750" t="s">
        <v>875</v>
      </c>
      <c r="B13" s="789">
        <f>leaverspivot!B4</f>
        <v>3</v>
      </c>
      <c r="C13" s="789">
        <f>leaverspivot!C4</f>
        <v>6</v>
      </c>
      <c r="D13" s="789">
        <f>leaverspivot!D4</f>
        <v>2</v>
      </c>
      <c r="E13" s="789">
        <f>leaverspivot!E4</f>
        <v>1</v>
      </c>
      <c r="F13" s="789">
        <f>leaverspivot!F4</f>
        <v>0</v>
      </c>
      <c r="G13" s="789">
        <f>SUM(B13:F13)</f>
        <v>12</v>
      </c>
    </row>
    <row r="14" spans="1:13" x14ac:dyDescent="0.35">
      <c r="A14" s="750" t="s">
        <v>876</v>
      </c>
      <c r="B14" s="789">
        <f>leaverspivot!B5</f>
        <v>0</v>
      </c>
      <c r="C14" s="789">
        <f>leaverspivot!C5</f>
        <v>0</v>
      </c>
      <c r="D14" s="789">
        <f>leaverspivot!D5</f>
        <v>2</v>
      </c>
      <c r="E14" s="789">
        <f>leaverspivot!E5</f>
        <v>7</v>
      </c>
      <c r="F14" s="789">
        <f>leaverspivot!F5</f>
        <v>0</v>
      </c>
      <c r="G14" s="789">
        <f t="shared" ref="G14:G23" si="0">SUM(B14:F14)</f>
        <v>9</v>
      </c>
    </row>
    <row r="15" spans="1:13" x14ac:dyDescent="0.35">
      <c r="A15" s="750" t="s">
        <v>190</v>
      </c>
      <c r="B15" s="789">
        <f>leaverspivot!B6</f>
        <v>2</v>
      </c>
      <c r="C15" s="789">
        <f>leaverspivot!C6</f>
        <v>3</v>
      </c>
      <c r="D15" s="789">
        <f>leaverspivot!D6</f>
        <v>0</v>
      </c>
      <c r="E15" s="789">
        <f>leaverspivot!E6</f>
        <v>2</v>
      </c>
      <c r="F15" s="789">
        <f>leaverspivot!F6</f>
        <v>0</v>
      </c>
      <c r="G15" s="789">
        <f t="shared" si="0"/>
        <v>7</v>
      </c>
    </row>
    <row r="16" spans="1:13" x14ac:dyDescent="0.35">
      <c r="A16" s="750" t="s">
        <v>877</v>
      </c>
      <c r="B16" s="789">
        <f>leaverspivot!B7</f>
        <v>8</v>
      </c>
      <c r="C16" s="789">
        <f>leaverspivot!C7</f>
        <v>130</v>
      </c>
      <c r="D16" s="789">
        <f>leaverspivot!D7</f>
        <v>0</v>
      </c>
      <c r="E16" s="789">
        <f>leaverspivot!E7</f>
        <v>20</v>
      </c>
      <c r="F16" s="789">
        <f>leaverspivot!F7</f>
        <v>17</v>
      </c>
      <c r="G16" s="789">
        <f t="shared" si="0"/>
        <v>175</v>
      </c>
    </row>
    <row r="17" spans="1:13" x14ac:dyDescent="0.35">
      <c r="A17" s="750" t="s">
        <v>878</v>
      </c>
      <c r="B17" s="789">
        <f>leaverspivot!B8</f>
        <v>0</v>
      </c>
      <c r="C17" s="789">
        <f>leaverspivot!C8</f>
        <v>0</v>
      </c>
      <c r="D17" s="789">
        <f>leaverspivot!D8</f>
        <v>0</v>
      </c>
      <c r="E17" s="789">
        <f>leaverspivot!E8</f>
        <v>0</v>
      </c>
      <c r="F17" s="789">
        <f>leaverspivot!F8</f>
        <v>0</v>
      </c>
      <c r="G17" s="789">
        <f t="shared" si="0"/>
        <v>0</v>
      </c>
    </row>
    <row r="18" spans="1:13" x14ac:dyDescent="0.35">
      <c r="A18" s="750" t="s">
        <v>879</v>
      </c>
      <c r="B18" s="789">
        <f>leaverspivot!B9</f>
        <v>175</v>
      </c>
      <c r="C18" s="789">
        <f>leaverspivot!C9</f>
        <v>44</v>
      </c>
      <c r="D18" s="789">
        <f>leaverspivot!D9</f>
        <v>5</v>
      </c>
      <c r="E18" s="789">
        <f>leaverspivot!E9</f>
        <v>13</v>
      </c>
      <c r="F18" s="789">
        <f>leaverspivot!F9</f>
        <v>2</v>
      </c>
      <c r="G18" s="789">
        <f t="shared" si="0"/>
        <v>239</v>
      </c>
    </row>
    <row r="19" spans="1:13" x14ac:dyDescent="0.35">
      <c r="A19" s="750" t="s">
        <v>880</v>
      </c>
      <c r="B19" s="789">
        <f>leaverspivot!B10</f>
        <v>0</v>
      </c>
      <c r="C19" s="789">
        <f>leaverspivot!C10</f>
        <v>1</v>
      </c>
      <c r="D19" s="789">
        <f>leaverspivot!D10</f>
        <v>0</v>
      </c>
      <c r="E19" s="789">
        <f>leaverspivot!E10</f>
        <v>0</v>
      </c>
      <c r="F19" s="789">
        <f>leaverspivot!F10</f>
        <v>1</v>
      </c>
      <c r="G19" s="789">
        <f t="shared" si="0"/>
        <v>2</v>
      </c>
    </row>
    <row r="20" spans="1:13" x14ac:dyDescent="0.35">
      <c r="A20" s="750" t="s">
        <v>881</v>
      </c>
      <c r="B20" s="789">
        <f>leaverspivot!B11</f>
        <v>5</v>
      </c>
      <c r="C20" s="789">
        <f>leaverspivot!C11</f>
        <v>5</v>
      </c>
      <c r="D20" s="789">
        <f>leaverspivot!D11</f>
        <v>1</v>
      </c>
      <c r="E20" s="789">
        <f>leaverspivot!E11</f>
        <v>1</v>
      </c>
      <c r="F20" s="789">
        <f>leaverspivot!F11</f>
        <v>0</v>
      </c>
      <c r="G20" s="789">
        <f t="shared" si="0"/>
        <v>12</v>
      </c>
    </row>
    <row r="21" spans="1:13" x14ac:dyDescent="0.35">
      <c r="A21" s="750" t="s">
        <v>882</v>
      </c>
      <c r="B21" s="789">
        <f>leaverspivot!B12</f>
        <v>0</v>
      </c>
      <c r="C21" s="789">
        <f>leaverspivot!C12</f>
        <v>0</v>
      </c>
      <c r="D21" s="789">
        <f>leaverspivot!D12</f>
        <v>0</v>
      </c>
      <c r="E21" s="789">
        <f>leaverspivot!E12</f>
        <v>0</v>
      </c>
      <c r="F21" s="789">
        <f>leaverspivot!F12</f>
        <v>0</v>
      </c>
      <c r="G21" s="789">
        <f t="shared" si="0"/>
        <v>0</v>
      </c>
    </row>
    <row r="22" spans="1:13" x14ac:dyDescent="0.35">
      <c r="A22" s="750" t="s">
        <v>883</v>
      </c>
      <c r="B22" s="789">
        <f>leaverspivot!B13</f>
        <v>0</v>
      </c>
      <c r="C22" s="789">
        <f>leaverspivot!C13</f>
        <v>0</v>
      </c>
      <c r="D22" s="789">
        <f>leaverspivot!D13</f>
        <v>0</v>
      </c>
      <c r="E22" s="789">
        <f>leaverspivot!E13</f>
        <v>0</v>
      </c>
      <c r="F22" s="789">
        <f>leaverspivot!F13</f>
        <v>0</v>
      </c>
      <c r="G22" s="789">
        <f t="shared" si="0"/>
        <v>0</v>
      </c>
    </row>
    <row r="23" spans="1:13" x14ac:dyDescent="0.35">
      <c r="A23" s="750" t="s">
        <v>884</v>
      </c>
      <c r="B23" s="789">
        <f>leaverspivot!B14</f>
        <v>0</v>
      </c>
      <c r="C23" s="789">
        <f>leaverspivot!C14</f>
        <v>0</v>
      </c>
      <c r="D23" s="789">
        <f>leaverspivot!D14</f>
        <v>0</v>
      </c>
      <c r="E23" s="789">
        <f>leaverspivot!E14</f>
        <v>0</v>
      </c>
      <c r="F23" s="789">
        <f>leaverspivot!F14</f>
        <v>0</v>
      </c>
      <c r="G23" s="789">
        <f t="shared" si="0"/>
        <v>0</v>
      </c>
    </row>
    <row r="24" spans="1:13" ht="15" thickBot="1" x14ac:dyDescent="0.4">
      <c r="A24" s="596" t="s">
        <v>357</v>
      </c>
      <c r="B24" s="596">
        <f t="shared" ref="B24:G24" si="1">SUM(B13:B23)</f>
        <v>193</v>
      </c>
      <c r="C24" s="596">
        <f t="shared" si="1"/>
        <v>189</v>
      </c>
      <c r="D24" s="596">
        <f t="shared" si="1"/>
        <v>10</v>
      </c>
      <c r="E24" s="596">
        <f>SUM(E13:E23)</f>
        <v>44</v>
      </c>
      <c r="F24" s="596">
        <f>SUM(F13:F23)</f>
        <v>20</v>
      </c>
      <c r="G24" s="596">
        <f t="shared" si="1"/>
        <v>456</v>
      </c>
    </row>
    <row r="26" spans="1:13" x14ac:dyDescent="0.35">
      <c r="A26" s="390" t="s">
        <v>8</v>
      </c>
    </row>
    <row r="27" spans="1:13" ht="30.75" customHeight="1" x14ac:dyDescent="0.35">
      <c r="A27" s="1163" t="s">
        <v>739</v>
      </c>
      <c r="B27" s="1163"/>
      <c r="C27" s="1163"/>
      <c r="D27" s="1163"/>
      <c r="E27" s="1163"/>
      <c r="F27" s="1163"/>
      <c r="G27" s="1163"/>
      <c r="H27" s="1163"/>
      <c r="I27" s="1163"/>
      <c r="J27" s="1163"/>
      <c r="K27" s="1163"/>
      <c r="L27" s="1163"/>
      <c r="M27" s="1163"/>
    </row>
    <row r="28" spans="1:13" x14ac:dyDescent="0.35">
      <c r="A28" t="s">
        <v>740</v>
      </c>
    </row>
    <row r="31" spans="1:13" ht="15" customHeight="1" x14ac:dyDescent="0.35"/>
    <row r="33" spans="2:8" x14ac:dyDescent="0.35">
      <c r="B33" s="684"/>
      <c r="C33" s="684"/>
      <c r="D33" s="684"/>
      <c r="E33" s="684"/>
      <c r="F33" s="684"/>
      <c r="G33" s="684"/>
      <c r="H33" s="684"/>
    </row>
  </sheetData>
  <sheetProtection algorithmName="SHA-512" hashValue="n0BQ9v45jSkQeGt6mtZZC4oVIEOuHVbkDwNGHodrrNh3sPQ8pQaxRI2XSFadGZI4uM0Y6PyVgVe8FmbQbIc8/w==" saltValue="xtwRIgYXQ43Z3ZbaSio0VA==" spinCount="100000" sheet="1" scenarios="1" formatCells="0" formatColumns="0" formatRows="0" sort="0" autoFilter="0" pivotTables="0"/>
  <mergeCells count="3">
    <mergeCell ref="A1:C1"/>
    <mergeCell ref="A4:H4"/>
    <mergeCell ref="A27:M27"/>
  </mergeCells>
  <hyperlinks>
    <hyperlink ref="A2" location="'Table of Contents'!A1" display="Back to Table of Contents"/>
  </hyperlink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H6"/>
  <sheetViews>
    <sheetView showGridLines="0" zoomScale="107" zoomScaleNormal="70" workbookViewId="0">
      <pane ySplit="2" topLeftCell="A4" activePane="bottomLeft" state="frozen"/>
      <selection pane="bottomLeft" sqref="A1:C1"/>
    </sheetView>
  </sheetViews>
  <sheetFormatPr defaultRowHeight="14.5" x14ac:dyDescent="0.35"/>
  <sheetData>
    <row r="1" spans="1:8" ht="15.5" x14ac:dyDescent="0.35">
      <c r="A1" s="1160" t="s">
        <v>439</v>
      </c>
      <c r="B1" s="1160"/>
      <c r="C1" s="1160"/>
    </row>
    <row r="2" spans="1:8" ht="15.5" x14ac:dyDescent="0.35">
      <c r="A2" s="601" t="s">
        <v>509</v>
      </c>
      <c r="B2" s="538"/>
      <c r="C2" s="538"/>
    </row>
    <row r="4" spans="1:8" ht="15.5" x14ac:dyDescent="0.35">
      <c r="A4" s="1170" t="s">
        <v>491</v>
      </c>
      <c r="B4" s="1170"/>
      <c r="C4" s="1170"/>
      <c r="D4" s="1170"/>
      <c r="E4" s="1170"/>
      <c r="F4" s="1170"/>
      <c r="G4" s="1170"/>
      <c r="H4" s="1170"/>
    </row>
    <row r="5" spans="1:8" x14ac:dyDescent="0.35">
      <c r="A5" s="686" t="s">
        <v>723</v>
      </c>
    </row>
    <row r="6" spans="1:8" x14ac:dyDescent="0.35">
      <c r="A6" s="686" t="s">
        <v>656</v>
      </c>
    </row>
  </sheetData>
  <sheetProtection algorithmName="SHA-512" hashValue="/DigZ6XDxpE/pE7DXT3s369nR5WrpVJT36zRVHxoLCtajgWkL71Vu5jLdZeg1cMS8rUNWLFfoKt0jgRxr7cNsQ==" saltValue="MZEyYV/1gg/f+DSgdY9/QQ=="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0866141732283472" right="0.70866141732283472" top="0.74803149606299213" bottom="0.74803149606299213" header="0.31496062992125984" footer="0.31496062992125984"/>
  <pageSetup paperSize="9" scale="6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
  <sheetViews>
    <sheetView showGridLines="0" workbookViewId="0">
      <pane ySplit="2" topLeftCell="A3" activePane="bottomLeft" state="frozen"/>
      <selection pane="bottomLeft" sqref="A1:C1"/>
    </sheetView>
  </sheetViews>
  <sheetFormatPr defaultRowHeight="14.5" x14ac:dyDescent="0.35"/>
  <sheetData>
    <row r="1" spans="1:8" ht="15.5" x14ac:dyDescent="0.35">
      <c r="A1" s="1160" t="s">
        <v>439</v>
      </c>
      <c r="B1" s="1160"/>
      <c r="C1" s="1160"/>
    </row>
    <row r="2" spans="1:8" ht="15.5" x14ac:dyDescent="0.35">
      <c r="A2" s="601" t="s">
        <v>509</v>
      </c>
      <c r="B2" s="538"/>
      <c r="C2" s="538"/>
    </row>
    <row r="4" spans="1:8" ht="15.5" x14ac:dyDescent="0.35">
      <c r="A4" s="1170" t="s">
        <v>492</v>
      </c>
      <c r="B4" s="1170"/>
      <c r="C4" s="1170"/>
      <c r="D4" s="1170"/>
      <c r="E4" s="1170"/>
      <c r="F4" s="1170"/>
      <c r="G4" s="1170"/>
      <c r="H4" s="1170"/>
    </row>
    <row r="5" spans="1:8" x14ac:dyDescent="0.35">
      <c r="A5" s="686" t="s">
        <v>723</v>
      </c>
    </row>
    <row r="6" spans="1:8" x14ac:dyDescent="0.35">
      <c r="A6" s="686" t="s">
        <v>657</v>
      </c>
    </row>
  </sheetData>
  <sheetProtection algorithmName="SHA-512" hashValue="/kXoJQWaClOT49eOW77algwTP/3C21yfL/Rkjp4I1acJUOkQk/J6vQBewz/mkkRpDVeTiwgqxgH+Ch3MkzJTjQ==" saltValue="mE0rJmZo/f3cNRW/aQDtJg==" spinCount="100000" sheet="1" scenarios="1" formatCells="0" formatColumns="0" formatRows="0" sort="0" autoFilter="0" pivotTables="0"/>
  <mergeCells count="2">
    <mergeCell ref="A1:C1"/>
    <mergeCell ref="A4:H4"/>
  </mergeCells>
  <hyperlinks>
    <hyperlink ref="A2" location="'Table of Contents'!A1" display="Back to Table of Contents"/>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Version_x0020_Number xmlns="361c438b-452b-4051-9cda-3a6b8527f04f" xsi:nil="true"/>
    <Effective_x0020_Date xmlns="361c438b-452b-4051-9cda-3a6b8527f04f">2023-09-18T23:00:00+00:00</Effective_x0020_Date>
    <Abbreviation_x0028_s_x0029_ xmlns="361c438b-452b-4051-9cda-3a6b8527f04f">
      <Value>132</Value>
    </Abbreviation_x0028_s_x0029_>
    <TaxCatchAll xmlns="361c438b-452b-4051-9cda-3a6b8527f04f">
      <Value>2077</Value>
      <Value>40</Value>
    </TaxCatchAll>
    <External xmlns="361c438b-452b-4051-9cda-3a6b8527f04f">true</External>
    <Publication_x0020_Scheme_x0020_Class xmlns="361c438b-452b-4051-9cda-3a6b8527f04f">How we are performing</Publication_x0020_Scheme_x0020_Class>
    <Security_x0020_Classification xmlns="361c438b-452b-4051-9cda-3a6b8527f04f">Official</Security_x0020_Classification>
    <Doc_x0020_Type xmlns="361c438b-452b-4051-9cda-3a6b8527f04f">Report</Doc_x0020_Type>
    <TaxKeywordTaxHTField xmlns="361c438b-452b-4051-9cda-3a6b8527f04f">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4fdbaa0e-82da-4f02-8c00-4c1730b59b67</TermId>
        </TermInfo>
      </Terms>
    </TaxKeywordTaxHTField>
    <Approver xmlns="361c438b-452b-4051-9cda-3a6b8527f04f">
      <UserInfo>
        <DisplayName/>
        <AccountId xsi:nil="true"/>
        <AccountType/>
      </UserInfo>
    </Approver>
    <Review_x0020_Period xmlns="361c438b-452b-4051-9cda-3a6b8527f04f">3 years</Review_x0020_Period>
    <Sub_x0020_Class_x0020_Heading xmlns="361c438b-452b-4051-9cda-3a6b8527f04f" xsi:nil="true"/>
    <Document_x0020_Status xmlns="361c438b-452b-4051-9cda-3a6b8527f04f">Live</Document_x0020_Status>
    <lcf76f155ced4ddcb4097134ff3c332f xmlns="858ae7c7-9454-45c7-a50c-4c9144226ea3" xsi:nil="true"/>
    <Summary xmlns="361c438b-452b-4051-9cda-3a6b8527f04f" xsi:nil="true"/>
    <_dlc_DocId xmlns="361c438b-452b-4051-9cda-3a6b8527f04f">CORPDL-747745404-482</_dlc_DocId>
    <_dlc_DocIdUrl xmlns="361c438b-452b-4051-9cda-3a6b8527f04f">
      <Url>https://firescotland.sharepoint.com/sites/SFRSDocumentLibrary/_layouts/15/DocIdRedir.aspx?ID=CORPDL-747745404-482</Url>
      <Description>CORPDL-747745404-482</Description>
    </_dlc_DocIdUrl>
    <Related_x0020_PDF xmlns="361c438b-452b-4051-9cda-3a6b8527f04f">
      <Url xsi:nil="true"/>
      <Description xsi:nil="true"/>
    </Related_x0020_PDF>
    <Published_x0020_to_x0020_website xmlns="361c438b-452b-4051-9cda-3a6b8527f04f">false</Published_x0020_to_x0020_website>
    <_dlc_DocIdPersistId xmlns="361c438b-452b-4051-9cda-3a6b8527f04f" xsi:nil="true"/>
    <TaxCatchAllLabel xmlns="361c438b-452b-4051-9cda-3a6b8527f04f" xsi:nil="true"/>
    <DocumentReadyForApproval xmlns="361c438b-452b-4051-9cda-3a6b8527f04f">false</DocumentReadyForApproval>
    <Intranet_x0020_content xmlns="361c438b-452b-4051-9cda-3a6b8527f04f">true</Intranet_x0020_content>
    <Related_x0020_Intranet_x0020_page xmlns="361c438b-452b-4051-9cda-3a6b8527f04f">
      <Url xsi:nil="true"/>
      <Description xsi:nil="true"/>
    </Related_x0020_Intranet_x0020_page>
    <Delete xmlns="361c438b-452b-4051-9cda-3a6b8527f04f">false</Delete>
    <xPDF xmlns="858ae7c7-9454-45c7-a50c-4c9144226ea3">false</xPDF>
    <ProperReviewDate xmlns="858ae7c7-9454-45c7-a50c-4c9144226ea3">2026-09-18T23:00:00+00:00</ProperReviewDate>
    <k383230df22e4c6daee9d7a3c1495057 xmlns="361c438b-452b-4051-9cda-3a6b8527f04f">
      <Terms xmlns="http://schemas.microsoft.com/office/infopath/2007/PartnerControls">
        <TermInfo xmlns="http://schemas.microsoft.com/office/infopath/2007/PartnerControls">
          <TermName xmlns="http://schemas.microsoft.com/office/infopath/2007/PartnerControls">Strategic Planning, Performance and Communications (SPPC)</TermName>
          <TermId xmlns="http://schemas.microsoft.com/office/infopath/2007/PartnerControls">c9dfca0c-2d79-4a95-9878-54827f0e6791</TermId>
        </TermInfo>
      </Terms>
    </k383230df22e4c6daee9d7a3c1495057>
    <ActivePublishDate xmlns="858ae7c7-9454-45c7-a50c-4c9144226ea3">2023-09-18T23:00:00+00:00</ActivePublishDate>
    <RelatedWebsitePage xmlns="858ae7c7-9454-45c7-a50c-4c9144226ea3">
      <Url xsi:nil="true"/>
      <Description xsi:nil="true"/>
    </RelatedWebsitePage>
    <InitialPublishDate xmlns="858ae7c7-9454-45c7-a50c-4c9144226ea3">2023-09-18T23:00:00+00:00</InitialPublishDat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ation" ma:contentTypeID="0x0101004D3BEEE8C71E0441ABCD602B2883CF2303002F0AEBBF2B74A8408CFDD78D345B4A87" ma:contentTypeVersion="40" ma:contentTypeDescription="" ma:contentTypeScope="" ma:versionID="c6e4704b09f64b7ce45b4f8301f5c7b6">
  <xsd:schema xmlns:xsd="http://www.w3.org/2001/XMLSchema" xmlns:xs="http://www.w3.org/2001/XMLSchema" xmlns:p="http://schemas.microsoft.com/office/2006/metadata/properties" xmlns:ns1="361c438b-452b-4051-9cda-3a6b8527f04f" xmlns:ns3="858ae7c7-9454-45c7-a50c-4c9144226ea3" targetNamespace="http://schemas.microsoft.com/office/2006/metadata/properties" ma:root="true" ma:fieldsID="5081fa8bb0d0f42b20b415282392dcec" ns1:_="" ns3:_="">
    <xsd:import namespace="361c438b-452b-4051-9cda-3a6b8527f04f"/>
    <xsd:import namespace="858ae7c7-9454-45c7-a50c-4c9144226ea3"/>
    <xsd:element name="properties">
      <xsd:complexType>
        <xsd:sequence>
          <xsd:element name="documentManagement">
            <xsd:complexType>
              <xsd:all>
                <xsd:element ref="ns1:Doc_x0020_Type" minOccurs="0"/>
                <xsd:element ref="ns1:_dlc_DocIdUrl" minOccurs="0"/>
                <xsd:element ref="ns1:Summary" minOccurs="0"/>
                <xsd:element ref="ns1:Document_x0020_Status" minOccurs="0"/>
                <xsd:element ref="ns1:Security_x0020_Classification" minOccurs="0"/>
                <xsd:element ref="ns1:Abbreviation_x0028_s_x0029_" minOccurs="0"/>
                <xsd:element ref="ns1:Version_x0020_Number" minOccurs="0"/>
                <xsd:element ref="ns1:Effective_x0020_Date" minOccurs="0"/>
                <xsd:element ref="ns1:Review_x0020_Period" minOccurs="0"/>
                <xsd:element ref="ns3:ProperReviewDate" minOccurs="0"/>
                <xsd:element ref="ns1:Intranet_x0020_content" minOccurs="0"/>
                <xsd:element ref="ns1:Related_x0020_Intranet_x0020_page" minOccurs="0"/>
                <xsd:element ref="ns1:Published_x0020_to_x0020_website" minOccurs="0"/>
                <xsd:element ref="ns1:Publication_x0020_Scheme_x0020_Class" minOccurs="0"/>
                <xsd:element ref="ns1:Sub_x0020_Class_x0020_Heading" minOccurs="0"/>
                <xsd:element ref="ns1:Related_x0020_PDF" minOccurs="0"/>
                <xsd:element ref="ns1:DocumentReadyForApproval" minOccurs="0"/>
                <xsd:element ref="ns1:Delete" minOccurs="0"/>
                <xsd:element ref="ns1:External" minOccurs="0"/>
                <xsd:element ref="ns1:_dlc_DocId" minOccurs="0"/>
                <xsd:element ref="ns1:_dlc_DocIdPersistId" minOccurs="0"/>
                <xsd:element ref="ns1:TaxKeywordTaxHTField" minOccurs="0"/>
                <xsd:element ref="ns1:TaxCatchAll" minOccurs="0"/>
                <xsd:element ref="ns3:lcf76f155ced4ddcb4097134ff3c332f" minOccurs="0"/>
                <xsd:element ref="ns1:TaxCatchAllLabel" minOccurs="0"/>
                <xsd:element ref="ns3:MediaServiceSearchProperties" minOccurs="0"/>
                <xsd:element ref="ns3:xPDF" minOccurs="0"/>
                <xsd:element ref="ns1:SharedWithUsers" minOccurs="0"/>
                <xsd:element ref="ns1:SharedWithDetails" minOccurs="0"/>
                <xsd:element ref="ns1:Approver" minOccurs="0"/>
                <xsd:element ref="ns1:k383230df22e4c6daee9d7a3c1495057" minOccurs="0"/>
                <xsd:element ref="ns3:RelatedWebsitePage" minOccurs="0"/>
                <xsd:element ref="ns3:InitialPublishDate" minOccurs="0"/>
                <xsd:element ref="ns3:ActivePublish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1c438b-452b-4051-9cda-3a6b8527f04f" elementFormDefault="qualified">
    <xsd:import namespace="http://schemas.microsoft.com/office/2006/documentManagement/types"/>
    <xsd:import namespace="http://schemas.microsoft.com/office/infopath/2007/PartnerControls"/>
    <xsd:element name="Doc_x0020_Type" ma:index="0" nillable="true" ma:displayName="Doc Type" ma:format="Dropdown" ma:indexed="true" ma:internalName="Doc_x0020_Type">
      <xsd:simpleType>
        <xsd:restriction base="dms:Choice">
          <xsd:enumeration value="Awareness Briefing (AB)"/>
          <xsd:enumeration value="Board Paper"/>
          <xsd:enumeration value="Campaign Material"/>
          <xsd:enumeration value="Consultation"/>
          <xsd:enumeration value="Control Operating Procedure (COP)"/>
          <xsd:enumeration value="Equality and Human Rights Impact Assessment (EHRIA)"/>
          <xsd:enumeration value="Equipment Information Card (EIC)"/>
          <xsd:enumeration value="Executive Meeting"/>
          <xsd:enumeration value="Form"/>
          <xsd:enumeration value="Framework"/>
          <xsd:enumeration value="Frequently Asked Questions (FAQs)"/>
          <xsd:enumeration value="Frontline Update (FU)"/>
          <xsd:enumeration value="General Information Note (GIN)"/>
          <xsd:enumeration value="Generic Risk Assessment (GRA)"/>
          <xsd:enumeration value="Guidance"/>
          <xsd:enumeration value="Leaflet / Poster"/>
          <xsd:enumeration value="Magazine / Newsletter"/>
          <xsd:enumeration value="Management Arrangement (MA)"/>
          <xsd:enumeration value="Memorandum of Understanding (MOU)"/>
          <xsd:enumeration value="National Training Standard (NTS)"/>
          <xsd:enumeration value="Operational Aide Memoire (OAM)"/>
          <xsd:enumeration value="Periodic Inspection and Testing Sheet (PIT)"/>
          <xsd:enumeration value="Plan"/>
          <xsd:enumeration value="Policy"/>
          <xsd:enumeration value="Policy and Operational Guidance (POG)"/>
          <xsd:enumeration value="Presentation"/>
          <xsd:enumeration value="Privacy Notice"/>
          <xsd:enumeration value="Procedure"/>
          <xsd:enumeration value="Report"/>
          <xsd:enumeration value="Risk Assessment"/>
          <xsd:enumeration value="Risk Information Card"/>
          <xsd:enumeration value="Risk Register"/>
          <xsd:enumeration value="Safe System of Work (SSOW)"/>
          <xsd:enumeration value="Standard Operating Procedure (SOP)"/>
          <xsd:enumeration value="Strategy"/>
          <xsd:enumeration value="Structure"/>
          <xsd:enumeration value="Task Card"/>
          <xsd:enumeration value="Technical Information Note (TIN)"/>
          <xsd:enumeration value="Template"/>
          <xsd:enumeration value="Terms of Reference (ToR)"/>
          <xsd:enumeration value="Toolkit"/>
          <xsd:enumeration value="Urgent Instruction (UI)"/>
        </xsd:restriction>
      </xsd:simpleType>
    </xsd:element>
    <xsd:element name="_dlc_DocIdUrl" ma:index="1"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Summary" ma:index="4" nillable="true" ma:displayName="Summary" ma:internalName="Summary" ma:readOnly="false">
      <xsd:simpleType>
        <xsd:restriction base="dms:Note">
          <xsd:maxLength value="255"/>
        </xsd:restriction>
      </xsd:simpleType>
    </xsd:element>
    <xsd:element name="Document_x0020_Status" ma:index="6" nillable="true" ma:displayName="Document Status" ma:default="Unpublished" ma:format="Dropdown" ma:indexed="true" ma:internalName="Document_x0020_Status" ma:readOnly="false">
      <xsd:simpleType>
        <xsd:restriction base="dms:Choice">
          <xsd:enumeration value="Unpublished"/>
          <xsd:enumeration value="Out for quality check"/>
          <xsd:enumeration value="Out for approval"/>
          <xsd:enumeration value="Out for familiarization"/>
          <xsd:enumeration value="Ready for publication"/>
          <xsd:enumeration value="Live"/>
        </xsd:restriction>
      </xsd:simpleType>
    </xsd:element>
    <xsd:element name="Security_x0020_Classification" ma:index="7" nillable="true" ma:displayName="Security Classification" ma:default="Official" ma:format="Dropdown" ma:internalName="Security_x0020_Classification" ma:readOnly="false">
      <xsd:simpleType>
        <xsd:restriction base="dms:Choice">
          <xsd:enumeration value="Official"/>
          <xsd:enumeration value="Official Internal"/>
        </xsd:restriction>
      </xsd:simpleType>
    </xsd:element>
    <xsd:element name="Abbreviation_x0028_s_x0029_" ma:index="8" nillable="true" ma:displayName="Abbreviation(s)" ma:list="{cb5a0069-96fc-49cd-a8ec-b11d3665ab89}" ma:internalName="Abbreviation_x0028_s_x0029_" ma:readOnly="false" ma:showField="Full_x0020_Title"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Version_x0020_Number" ma:index="10" nillable="true" ma:displayName="Version Number" ma:decimals="2" ma:indexed="true" ma:internalName="Version_x0020_Number" ma:readOnly="false" ma:percentage="FALSE">
      <xsd:simpleType>
        <xsd:restriction base="dms:Number"/>
      </xsd:simpleType>
    </xsd:element>
    <xsd:element name="Effective_x0020_Date" ma:index="11" nillable="true" ma:displayName="Effective Date" ma:format="DateOnly" ma:indexed="true" ma:internalName="Effective_x0020_Date">
      <xsd:simpleType>
        <xsd:restriction base="dms:DateTime"/>
      </xsd:simpleType>
    </xsd:element>
    <xsd:element name="Review_x0020_Period" ma:index="12" nillable="true" ma:displayName="Review Period" ma:default="3 years" ma:format="Dropdown" ma:internalName="Review_x0020_Period" ma:readOnly="false">
      <xsd:simpleType>
        <xsd:restriction base="dms:Choice">
          <xsd:enumeration value="3 months"/>
          <xsd:enumeration value="6 months"/>
          <xsd:enumeration value="1 year"/>
          <xsd:enumeration value="3 years"/>
          <xsd:enumeration value="5 years"/>
        </xsd:restriction>
      </xsd:simpleType>
    </xsd:element>
    <xsd:element name="Intranet_x0020_content" ma:index="15" nillable="true" ma:displayName="Intranet content" ma:default="0" ma:indexed="true" ma:internalName="Intranet_x0020_content">
      <xsd:simpleType>
        <xsd:restriction base="dms:Boolean"/>
      </xsd:simpleType>
    </xsd:element>
    <xsd:element name="Related_x0020_Intranet_x0020_page" ma:index="16" nillable="true" ma:displayName="Related Intranet page" ma:format="Hyperlink" ma:internalName="Related_x0020_Intranet_x0020_p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ublished_x0020_to_x0020_website" ma:index="17" nillable="true" ma:displayName="Published to website" ma:default="0" ma:internalName="Published_x0020_to_x0020_website" ma:readOnly="false">
      <xsd:simpleType>
        <xsd:restriction base="dms:Boolean"/>
      </xsd:simpleType>
    </xsd:element>
    <xsd:element name="Publication_x0020_Scheme_x0020_Class" ma:index="18" nillable="true" ma:displayName="Publication Scheme Class" ma:format="Dropdown" ma:internalName="Publication_x0020_Scheme_x0020_Class" ma:readOnly="false">
      <xsd:simpleType>
        <xsd:restriction base="dms:Choice">
          <xsd:enumeration value="About SFRS"/>
          <xsd:enumeration value="How we are performing"/>
          <xsd:enumeration value="How we deliver our functions and services"/>
          <xsd:enumeration value="How we manage our human, physical and information resources"/>
          <xsd:enumeration value="How we procure goods and services from external providers"/>
          <xsd:enumeration value="How we take decisions and what we have decided"/>
          <xsd:enumeration value="What we spend and how we spend it"/>
          <xsd:enumeration value="Our commercial publications"/>
          <xsd:enumeration value="Our open data"/>
        </xsd:restriction>
      </xsd:simpleType>
    </xsd:element>
    <xsd:element name="Sub_x0020_Class_x0020_Heading" ma:index="19" nillable="true" ma:displayName="Sub Class Heading" ma:format="Dropdown" ma:internalName="Sub_x0020_Class_x0020_Heading" ma:readOnly="false">
      <xsd:simpleType>
        <xsd:restriction base="dms:Choice">
          <xsd:enumeration value="External relations/Working with others"/>
          <xsd:enumeration value="Functions"/>
          <xsd:enumeration value="General Information about SFRS"/>
          <xsd:enumeration value="Governance and Accountability/ Corporate planning"/>
          <xsd:enumeration value="How we are run"/>
          <xsd:enumeration value="Human resources"/>
          <xsd:enumeration value="Information resources"/>
          <xsd:enumeration value="Physical resources"/>
          <xsd:enumeration value="Services"/>
        </xsd:restriction>
      </xsd:simpleType>
    </xsd:element>
    <xsd:element name="Related_x0020_PDF" ma:index="21" nillable="true" ma:displayName="Related PDF" ma:format="Hyperlink" ma:internalName="Related_x0020_PDF"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DocumentReadyForApproval" ma:index="23" nillable="true" ma:displayName="Document ready to progress" ma:default="0" ma:indexed="true" ma:internalName="DocumentReadyForApproval" ma:readOnly="false">
      <xsd:simpleType>
        <xsd:restriction base="dms:Boolean"/>
      </xsd:simpleType>
    </xsd:element>
    <xsd:element name="Delete" ma:index="24" nillable="true" ma:displayName="Withdraw" ma:default="0" ma:internalName="Delete" ma:readOnly="false">
      <xsd:simpleType>
        <xsd:restriction base="dms:Boolean"/>
      </xsd:simpleType>
    </xsd:element>
    <xsd:element name="External" ma:index="25" nillable="true" ma:displayName="External" ma:default="0" ma:hidden="true" ma:indexed="true" ma:internalName="External" ma:readOnly="false">
      <xsd:simpleType>
        <xsd:restriction base="dms:Boolean"/>
      </xsd:simpleType>
    </xsd:element>
    <xsd:element name="_dlc_DocId" ma:index="26" nillable="true" ma:displayName="Document ID Value" ma:description="The value of the document ID assigned to this item." ma:hidden="true" ma:indexed="true" ma:internalName="_dlc_DocId" ma:readOnly="false">
      <xsd:simpleType>
        <xsd:restriction base="dms:Text"/>
      </xsd:simpleType>
    </xsd:element>
    <xsd:element name="_dlc_DocIdPersistId" ma:index="27" nillable="true" ma:displayName="Persist ID" ma:description="Keep ID on add." ma:hidden="true" ma:internalName="_dlc_DocIdPersistId" ma:readOnly="false">
      <xsd:simpleType>
        <xsd:restriction base="dms:Boolean"/>
      </xsd:simpleType>
    </xsd:element>
    <xsd:element name="TaxKeywordTaxHTField" ma:index="28" nillable="true" ma:taxonomy="true" ma:internalName="TaxKeywordTaxHTField" ma:taxonomyFieldName="TaxKeyword" ma:displayName="Enterprise Keywords" ma:readOnly="false" ma:fieldId="{23f27201-bee3-471e-b2e7-b64fd8b7ca38}" ma:taxonomyMulti="true" ma:sspId="b512196b-5a0a-432a-bb17-e1b4922fa624" ma:termSetId="00000000-0000-0000-0000-000000000000" ma:anchorId="00000000-0000-0000-0000-000000000000" ma:open="true" ma:isKeyword="true">
      <xsd:complexType>
        <xsd:sequence>
          <xsd:element ref="pc:Terms" minOccurs="0" maxOccurs="1"/>
        </xsd:sequence>
      </xsd:complexType>
    </xsd:element>
    <xsd:element name="TaxCatchAll" ma:index="29" nillable="true" ma:displayName="Taxonomy Catch All Column" ma:hidden="true" ma:list="{27df03d8-9a97-46e6-9e9c-10932c826c7e}" ma:internalName="TaxCatchAll" ma:readOnly="false" ma:showField="CatchAllData"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27df03d8-9a97-46e6-9e9c-10932c826c7e}" ma:internalName="TaxCatchAllLabel" ma:readOnly="false" ma:showField="CatchAllDataLabel" ma:web="361c438b-452b-4051-9cda-3a6b8527f04f">
      <xsd:complexType>
        <xsd:complexContent>
          <xsd:extension base="dms:MultiChoiceLookup">
            <xsd:sequence>
              <xsd:element name="Value" type="dms:Lookup" maxOccurs="unbounded" minOccurs="0" nillable="true"/>
            </xsd:sequence>
          </xsd:extension>
        </xsd:complexContent>
      </xsd:complexType>
    </xsd:element>
    <xsd:element name="SharedWithUsers" ma:index="40"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1" nillable="true" ma:displayName="Shared With Details" ma:hidden="true" ma:internalName="SharedWithDetails" ma:readOnly="true">
      <xsd:simpleType>
        <xsd:restriction base="dms:Note"/>
      </xsd:simpleType>
    </xsd:element>
    <xsd:element name="Approver" ma:index="42" nillable="true" ma:displayName="Approver" ma:hidden="true" ma:list="UserInfo" ma:SharePointGroup="0" ma:internalName="Approv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k383230df22e4c6daee9d7a3c1495057" ma:index="44" nillable="true" ma:taxonomy="true" ma:internalName="k383230df22e4c6daee9d7a3c1495057" ma:taxonomyFieldName="Directorate" ma:displayName="Directorate" ma:readOnly="false" ma:default="" ma:fieldId="{4383230d-f22e-4c6d-aee9-d7a3c1495057}" ma:taxonomyMulti="true" ma:sspId="b512196b-5a0a-432a-bb17-e1b4922fa624" ma:termSetId="118f2308-ed62-41c1-a4cd-b6e6f40956a9"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58ae7c7-9454-45c7-a50c-4c9144226ea3" elementFormDefault="qualified">
    <xsd:import namespace="http://schemas.microsoft.com/office/2006/documentManagement/types"/>
    <xsd:import namespace="http://schemas.microsoft.com/office/infopath/2007/PartnerControls"/>
    <xsd:element name="ProperReviewDate" ma:index="14" nillable="true" ma:displayName="Proper Review Date" ma:format="DateOnly" ma:indexed="true" ma:internalName="ProperReviewDate" ma:readOnly="false">
      <xsd:simpleType>
        <xsd:restriction base="dms:DateTime"/>
      </xsd:simpleType>
    </xsd:element>
    <xsd:element name="lcf76f155ced4ddcb4097134ff3c332f" ma:index="30" nillable="true" ma:displayName="Image Tags_0" ma:hidden="true" ma:internalName="lcf76f155ced4ddcb4097134ff3c332f" ma:readOnly="false">
      <xsd:simpleType>
        <xsd:restriction base="dms:Note"/>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xPDF" ma:index="39" nillable="true" ma:displayName="xPDF" ma:default="0" ma:format="Dropdown" ma:hidden="true" ma:internalName="xPDF" ma:readOnly="false">
      <xsd:simpleType>
        <xsd:restriction base="dms:Boolean"/>
      </xsd:simpleType>
    </xsd:element>
    <xsd:element name="RelatedWebsitePage" ma:index="45" nillable="true" ma:displayName="Related Website Page" ma:format="Hyperlink" ma:internalName="RelatedWebsitePage">
      <xsd:complexType>
        <xsd:complexContent>
          <xsd:extension base="dms:URL">
            <xsd:sequence>
              <xsd:element name="Url" type="dms:ValidUrl" minOccurs="0" nillable="true"/>
              <xsd:element name="Description" type="xsd:string" nillable="true"/>
            </xsd:sequence>
          </xsd:extension>
        </xsd:complexContent>
      </xsd:complexType>
    </xsd:element>
    <xsd:element name="InitialPublishDate" ma:index="46" nillable="true" ma:displayName="Initial Publish Date" ma:default="[today]" ma:format="DateOnly" ma:internalName="InitialPublishDate">
      <xsd:simpleType>
        <xsd:restriction base="dms:DateTime"/>
      </xsd:simpleType>
    </xsd:element>
    <xsd:element name="ActivePublishDate" ma:index="47" nillable="true" ma:displayName="Active Publish Date" ma:format="DateOnly" ma:internalName="ActivePublish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3" ma:displayName="Title"/>
        <xsd:element ref="dc:subject" minOccurs="0" maxOccurs="1"/>
        <xsd:element ref="dc:description" minOccurs="0" maxOccurs="1" ma:index="22"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b 5 a 5 9 3 b e - b 7 6 e - 4 1 d 4 - b e f 5 - f 7 a 3 2 7 5 c 8 6 b 1 "   x m l n s = " h t t p : / / s c h e m a s . m i c r o s o f t . c o m / D a t a M a s h u p " > A A A A A M k O A A B Q S w M E F A A C A A g A 4 H Q b U 8 e 5 7 U m n A A A A + A A A A B I A H A B D b 2 5 m a W c v U G F j a 2 F n Z S 5 4 b W w g o h g A K K A U A A A A A A A A A A A A A A A A A A A A A A A A A A A A h Y + 9 D o I w G E V f h X S n P 8 C A 5 K M k O r h I Y m J i X J t a o R G K o c X y b g 4 + k q 8 g i a J u j v f k D O c + b n c o x r Y J r q q 3 u j M 5 Y p i i Q B n Z H b W p c j S 4 U 5 i i g s N W y L O o V D D J x m a j P e a o d u 6 S E e K 9 x z 7 G X V + R i F J G D u V m J 2 v V C v S R 9 X 8 5 1 M Y 6 Y a R C H P a v G B 7 h Z I G T N G Y 4 T h m Q G U O p z V e J p m J M g f x A W A 2 N G 3 r F l Q n X S y D z B P J + w Z 9 Q S w M E F A A C A A g A 4 H Q b 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B 0 G 1 N 1 2 y 9 6 w A s A A N 5 t A A A T A B w A R m 9 y b X V s Y X M v U 2 V j d G l v b j E u b S C i G A A o o B Q A A A A A A A A A A A A A A A A A A A A A A A A A A A D t X W 1 v 2 z g S / l 6 g / 4 H w 4 o A E i H O W k 7 j b v e s C r p 2 0 x a V N z n Z b L H q F w c h M L F S W d B K V N A j y 3 4 + U K I u S K I m i K L e 7 l 3 5 I Z Z m c l 2 e G w + G Q k g N k Y s t 1 w D z + 3 / j H 8 2 f P n w V r 6 K M V + K U 3 Q 9 d g / u 7 9 1 H O 9 H n g F b I S f P w P k 3 9 w N f R O R O / P / 2 o d T i O E V D N B e L + g H f t C / H R j / 8 V Z B 7 w D 0 Z u P L 3 v 5 B 3 I f Q W j J a t G N E 4 e H L 3 F y j D X x F O f U O 3 m G 0 e d V L G H 5 9 / E J J f 2 X 9 f + l d W r c u J n J N X D v c O F S g B b y y 0 W F 0 f y + + X v j Q C a 5 d f x M 3 W t x 7 K N j j W B + A h 4 e I w 3 A w H C z / H V o O t m x E Z M W k J c D o O 3 5 8 J I I j p / / m N R E d n F s B P p y S P 5 Z j d s P j S 6 H l V 8 J X 2 L 9 H Y W E y z c P N / v N n l l M C T t a O Z o A w + O h f Q W c W + t A G e 8 P 9 1 v a k N J c c z a J N a Y v E q G n D o l 1 n a O P e E j l f 2 9 D 5 B m b u X Z D a d o 5 s 4 p n 0 3 l 6 O 4 Q F A 0 F w D x 8 U x I O + C 0 4 2 H 7 / e i D z H J 9 x C b a 8 u 5 o S J Q C 5 m u v z o 8 s 5 C 9 + g T t k B h t S Z B + 6 B H N n N C 2 H / f 3 M 4 g K x K p E d X l h m q F n o d X 0 D t k 2 Y R v o x r j I Q R p 1 g X C a 7 F C k / J N Y J h m 1 l 7 7 r I R 9 b S J M 9 i n R r r C A Q p I D 9 3 P X p 6 M 2 B T m 7 u l f A 8 I D H m D w R 9 I u K F v 0 L + 4 T g w k b M i m D 4 + Z s D i K V e g N L a h v 9 G M U E x T E h 0 m Q I J M q o K A Z I U e n 6 z A w s G S o E T g w H r 1 y d K W 1 C s n U I 1 + 2 d a 1 9 u p G z y z t R v a T 1 T P b O q u n 5 4 H L y 9 P p 8 r P r f 7 u 2 2 Y h o p Z 3 n L b M U B T p 5 X q J R j n l R k w I 5 s f z j c E V s q U 3 4 m F y 9 5 I x t g x C T 5 U A j y 9 n 8 d C K M L I X J 4 g K v k c + y j s J 8 w W 7 v Z Z k f P P Q u f b S x A h I 5 a U p E F R 4 O B i / 7 x i C + N A Z 9 w 2 C X R t 8 Y s s t h 3 z h i l 0 d 9 4 5 h d H v e N E 3 Z 5 0 j d G 7 H L U N 1 6 w y x d 9 4 1 d 2 + W v f e M k u X / a H j N t w 0 B 8 a v U f h D J P V r s r M y / O x Z k s T i r L G p s z L 3 X T b p l L + i x C b 7 g b p V o K R l d Y k E a N W H d Z Q r N M H F 1 u m h g k / 4 c n o 1 W u R M C 4 X n 7 W Q s U U H P p V S b m o R K R 9 L 2 0 r p l 4 S B r r T c h p m m u m 4 F k 9 Y 4 6 S H W e 2 Y F 3 7 Q p S Y n V a x S x L B e f f p 2 V d e 2 7 K / B 2 t n x D g j 3 y l z P X b h 8 M K M 1 l l q Z A c t o q k T 0 n Q F E B A U m x H u M b f f I T W v V y U 4 Y N Z l 2 O d k U y T 5 d B l P s M O j e o R b L P o a J l + f 9 n Q I Z L V j w b m o R Z t L p M u b H 7 0 d 1 8 k t L 7 S P 0 L 0 C y h 9 0 / 6 l z X 2 k 1 4 L 9 B 0 f 8 C K U M j R K O e Y E O + i N R g A 6 K 0 C S D 6 J y 7 / f R q B n f j 4 6 X q Q N x y L K v o o w m z c v y g l J Q G d 6 9 z 2 s y t r B F J u 8 L k q d D W h + E d u Q H C E P L I Z 2 m I b 4 H 8 / u A 2 D l z / 4 w s 2 v u 0 J 7 0 7 c R 3 s u 1 H H e e h 5 B G M w x / D 6 m t 7 4 R A R x M C L K 0 o r Y G G P f u g p x 1 C 1 G J O P d R e 3 E P j 5 H / i 2 Z Y 7 X 5 O K N X 7 + c J Y w V f Z 1 0 r l / X t / P m C + B Q 4 p u 7 8 + 3 G 5 O y e 6 n i P n B q / B H h U m 2 N f i 2 / G A O q H j 6 a Q 5 / 2 x 6 n h V B 7 A b n C B K V 2 y c X i Y k Y v X o 3 S B g r u A H r W h P 2 Z g g G r g O u X R / Q D u S 2 h p k h G p S k 4 1 s E V 6 Y b a i g q b H 0 7 T 1 l i J B W E K c 8 E C m 0 l 9 d M 6 D 2 r V s U n c y B O R j S D x A n f h e n n q 3 y w v H z s M 4 e J 4 2 7 c a 7 7 P F q X a U C U 1 5 f K k A L Z A l 3 e U w n a z p d E x w o T W N L U 3 h b l G + I P K Q T I 2 E w z s H j 4 4 P a b t o r K f T Z + 6 L 2 X Q e T b R s n s 1 / K 5 6 j c 6 2 i K X 5 R n O K 5 Z t k w k t G x 1 u 6 d j L C / n u 0 l r C B v 0 m q 3 K P U m o f 9 l A o Y D N 6 K 8 M v 4 i z S g z S F D t c g K J s s T H / P S e 5 S U d z 4 + e 4 n l 3 8 Z x 6 H X M 6 X S C n J O v R 5 d g r w J r 2 1 r B x V k R E R 6 W u K K q 4 S l e K C 1 + h U 4 K G E K h N P G m Q I J / O 0 S 2 y S x r Z t 6 J v B M 4 q i C X 0 i 9 J d g 4 m 7 Q i W F + u p Q 8 Q a 5 N z 7 0 1 p Y 5 x 3 5 o 4 t D X W d o q 0 J Y p c R U F U j C d g E y H C 8 j B 8 W 8 f t p N T b 2 6 6 2 I b O q n Q l l / O V q h V c V Y S f b 6 B t j 3 0 E 9 Y b 2 L V n J u J 6 K o R r U t x T a j j F 9 I 4 m j 4 1 I m Y k r R V 3 z J K M v z I K 0 Y F U R n s Y C v A Z F 0 g C s F s S J Q V G 5 a 0 L 8 L F 0 O 7 p 5 J 4 F H V g 2 U d p y S p O g R f l t a 6 o A R O P K 1 V V A W d U I p d V R Q a 5 x k W 4 Y r k t K z 2 H c X Z A F h Q R D 0 q t + w J y G w K Z n Y A G w 4 7 2 k 4 2 H 8 v 6 f G 0 q J B R d s J / u 1 b 9 3 A F Q L v o Q N v Y r y j M M N 9 f u O 7 o c f f I P E h O o X J 3 f p M T 0 j x N y Y + u u M / n 1 k + u r Z u 1 r i B T S t M 2 k V 6 l 6 M r Z + i W i V 6 O R E 2 s P d 1 4 t n u P U G Q R D R l h x F 3 r Z L W l K I m e 6 h S 1 7 d x + d m o G 2 e d F x F s r a B z N e t h 4 A U r P R N Z M s A L G P 2 C W / R G h h 1 O v 3 M n K J u e u V h o N B + 1 0 r t 8 F e a I S Q 5 c X Q W X 0 c v 1 1 A B v J 0 R 5 Z t k d P S 1 s B 8 n W c w M 3 t / q e U p Y 8 V c M I o r b h y R H 6 a 8 s y k A y e e N P H h S T s X n k h 5 c F M P J H m v f l h 4 o v W 4 Z E R Q A I b v X z O 2 9 c R D M o m d L U 4 7 m Z V 5 u l I z c 0 Y Q B f B y J H 6 u S a c T l P O E 5 S a f t j j n a e z E U S d Z n s t k 6 a s x / I n o S 4 V C o W B q Y V F E S m O I z H N I q g Z d o Z g c A m q M Y i K Y B h Q Z q R 1 V u x V q r U e / z a d j 8 j 9 f c u 2 s z h o n N Z p z M 9 m E T D 0 L q 7 E e K 8 i 0 H R 7 U b 7 o 4 E p u j W w 9 X X h A F 3 H I k 1 A C k X 1 2 6 A S a R 6 F Y D v q d 4 7 V i m h e + 1 I b u l W I 9 p y l w B z W 3 n 6 I k Z K / i j s S c q r g 9 e N F k f X N s I Y b C N I m 1 B j s g t E 3 I C h K M G C c R b t g 3 g z X L Q M N H F C J y 7 J r T H I V 6 7 v g 5 n i 6 X M E q 1 D I y d C Y 0 y y / W t G b 9 Q Y p L J p W t J z y 7 Q u M g W l L E F T h v C D s o P W O w / F e m B U e E z r g l P L R y Z 2 4 3 o f O 1 / L l f M W C G 7 o O d J V / P H S d 6 9 R E G w 3 m u Y e M i 1 o W w E G C 2 T S k B f f p x 8 A t 8 U 0 X m 0 s h 7 S K N 6 n a 7 k l M r Q B e W T b x 3 O W / H P f O 0 X e 8 I k d Y 4 o R F X h S V Q x Y 5 G n J l o 6 l 1 a 6 1 Q 8 Y 0 X u X N l B d 8 A y a E y w c Z h 9 G z + E v w d G I M B e y W F E 2 6 u k F / O 2 K j k n B M y Y l 6 y O a n A e 9 i A t 5 F j z p 0 6 U + B 8 1 I D z M O a c 7 r 0 q 8 D t u w O 8 o 5 p e O P g V + J w 3 4 H c f 8 + F 1 k B Y 6 j B h x P Y o 5 x C F H i 9 q I B t x H H D e y h 7 6 Y d 0 r E I b m O F 6 R M I 1 T L w I S 4 v R m 2 A + + D i z m J c Q r t R m N s K 1 C 7 S J W S e g t 1 T s H s K d v + X w S 6 4 A 7 c 2 D V 4 6 K i f B 3 T I h J g p n w V 0 S z b Y s B f v 5 s u k 2 z 4 0 k 2 + d j k G T V u Z V V T / m N E y 1 2 z o s y a H n 8 K z 0 V q f 3 J j Z / z w G X j I 9 / I g z 7 e I A c v 9 T 8 n J y I u M W + L R F K Z u A V 0 q i p b O q D T 6 m Z d w i d 5 C l U W y 9 g d H 6 V D Q P 7 c a G V h I l n u Q 1 x W v v 3 o W F i v R X U + 5 J c l 2 8 i C i o 9 7 Z S n U l X O r 8 R X b 1 C g Y N f 8 Q m D r H S o s 2 P 0 e d k V r o t P L P a k W v L H t 7 N v + 0 X C A n 9 J G 2 t w x F L x M T E B Z 4 C / + y M p E o T d / F J 6 B B U Y r v t B h V E V a X 8 Q v R 6 K s v l r Q Q Z 2 n I m y K p B Y R r s B K J U s B K e t F W J k S U i r I 3 A w S 7 W r G d A O y C 6 G 1 j u 1 m k G U b E c L S z t Z n x g j I 8 U t R Q Y X F 2 F G k 4 U m S o s D q L 3 m a h y k 9 h b T a 2 b T B D A f n C w d J + W j W p F 9 Z k m l 7 o S V 8 c v G S v k e z o j b S V L G q i S r V 4 T W N x J b V u j m a q 1 K s K P O J B C v r g v R t g Q N I P 3 6 L f D w d / 2 1 U I H O 4 s + B 3 t L O o d 7 y z c n R D T n S O o x X Y K w Y 8 G o / T 5 S 8 V a z U n j 6 K H v v e F P E e Q p g j x F k L 9 u B G G v d + 4 y / y h j I R M 9 S s V T i h 5 l 1 J 6 i x 1 P 0 e I o e z a J H 5 Y 9 d d P C z J R 3 / p E Z N + K j 8 F Y 0 / Q f Q 4 h / 4 N i m 0 W n S / c W Q F n S J j H 7 2 Z v z V w l o h D u Y 9 O k h + T o V m S 0 z 0 T Q u X M U R V A J N U Q E a h e s g b 1 i / O E Q i H / Y Z 1 f R Z 5 T q 3 o K x Y g 2 o d d g b l Z b I Z x D T N 6 e T f K L 9 M e 2 0 U s 1 R l S m O 8 0 I o V c Y 5 A j X 7 V B M 3 d E y r z Y N g B e z 0 4 9 Y A s 1 Z 4 1 W 0 B K Y H 1 P 1 B L A Q I t A B Q A A g A I A O B 0 G 1 P H u e 1 J p w A A A P g A A A A S A A A A A A A A A A A A A A A A A A A A A A B D b 2 5 m a W c v U G F j a 2 F n Z S 5 4 b W x Q S w E C L Q A U A A I A C A D g d B t T D 8 r p q 6 Q A A A D p A A A A E w A A A A A A A A A A A A A A A A D z A A A A W 0 N v b n R l b n R f V H l w Z X N d L n h t b F B L A Q I t A B Q A A g A I A O B 0 G 1 N 1 2 y 9 6 w A s A A N 5 t A A A T A A A A A A A A A A A A A A A A A O Q B A A B G b 3 J t d W x h c y 9 T Z W N 0 a W 9 u M S 5 t U E s F B g A A A A A D A A M A w g A A A P E N 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L B A w A A A A A A s M E D 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J l Z i U y M F N J T U R w b 3 A 8 L 0 l 0 Z W 1 Q Y X R o P j w v S X R l b U x v Y 2 F 0 a W 9 u P j x T d G F i b G V F b n R y a W V z P j x F b n R y e S B U e X B l P S J J c 1 B y a X Z h d G U i I F Z h b H V l P S J s M C 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F N 0 Y X R 1 c y I g V m F s d W U 9 I n N D b 2 1 w b G V 0 Z S I g L z 4 8 R W 5 0 c n k g V H l w Z T 0 i R m l s b E N v d W 5 0 I i B W Y W x 1 Z T 0 i b D g i I C 8 + P E V u d H J 5 I F R 5 c G U 9 I k Z p b G x F c n J v c k N v d W 5 0 I i B W Y W x 1 Z T 0 i b D A i I C 8 + P E V u d H J 5 I F R 5 c G U 9 I k Z p b G x D b 2 x 1 b W 5 U e X B l c y I g V m F s d W U 9 I n N C U V V G Q l F V R i I g L z 4 8 R W 5 0 c n k g V H l w Z T 0 i R m l s b E N v b H V t b k 5 h b W V z I i B W Y W x 1 Z T 0 i c 1 s m c X V v d D t Z Z W F y J n F 1 b 3 Q 7 L C Z x d W 9 0 O z E m c X V v d D s s J n F 1 b 3 Q 7 M i Z x d W 9 0 O y w m c X V v d D s z J n F 1 b 3 Q 7 L C Z x d W 9 0 O z Q m c X V v d D s s J n F 1 b 3 Q 7 N S Z x d W 9 0 O 1 0 i I C 8 + P E V u d H J 5 I F R 5 c G U 9 I k Z p b G x F c n J v c k N v Z G U i I F Z h b H V l P S J z V W 5 r b m 9 3 b i I g L z 4 8 R W 5 0 c n k g V H l w Z T 0 i R m l s b E x h c 3 R V c G R h d G V k I i B W Y W x 1 Z T 0 i Z D I w M j E t M D c t M D F U M T U 6 M z c 6 M T E u N z c 3 N j c 4 M F o i I C 8 + P E V u d H J 5 I F R 5 c G U 9 I l J l b G F 0 a W 9 u c 2 h p c E l u Z m 9 D b 2 5 0 Y W l u Z X I i I F Z h b H V l P S J z e y Z x d W 9 0 O 2 N v b H V t b k N v d W 5 0 J n F 1 b 3 Q 7 O j Y s J n F 1 b 3 Q 7 a 2 V 5 Q 2 9 s d W 1 u T m F t Z X M m c X V v d D s 6 W 1 0 s J n F 1 b 3 Q 7 c X V l c n l S Z W x h d G l v b n N o a X B z J n F 1 b 3 Q 7 O l t d L C Z x d W 9 0 O 2 N v b H V t b k l k Z W 5 0 a X R p Z X M m c X V v d D s 6 W y Z x d W 9 0 O 1 N l Y 3 R p b 2 4 x L 1 J l Z i B T S U 1 E c G 9 w L 1 B p d m 9 0 Z W Q g Q 2 9 s d W 1 u L n t Z Z W F y L D B 9 J n F 1 b 3 Q 7 L C Z x d W 9 0 O 1 N l Y 3 R p b 2 4 x L 1 J l Z i B T S U 1 E c G 9 w L 1 B p d m 9 0 Z W Q g Q 2 9 s d W 1 u L n s x L D F 9 J n F 1 b 3 Q 7 L C Z x d W 9 0 O 1 N l Y 3 R p b 2 4 x L 1 J l Z i B T S U 1 E c G 9 w L 1 B p d m 9 0 Z W Q g Q 2 9 s d W 1 u L n s y L D J 9 J n F 1 b 3 Q 7 L C Z x d W 9 0 O 1 N l Y 3 R p b 2 4 x L 1 J l Z i B T S U 1 E c G 9 w L 1 B p d m 9 0 Z W Q g Q 2 9 s d W 1 u L n s z L D N 9 J n F 1 b 3 Q 7 L C Z x d W 9 0 O 1 N l Y 3 R p b 2 4 x L 1 J l Z i B T S U 1 E c G 9 w L 1 B p d m 9 0 Z W Q g Q 2 9 s d W 1 u L n s 0 L D R 9 J n F 1 b 3 Q 7 L C Z x d W 9 0 O 1 N l Y 3 R p b 2 4 x L 1 J l Z i B T S U 1 E c G 9 w L 1 B p d m 9 0 Z W Q g Q 2 9 s d W 1 u L n s 1 L D V 9 J n F 1 b 3 Q 7 X S w m c X V v d D t D b 2 x 1 b W 5 D b 3 V u d C Z x d W 9 0 O z o 2 L C Z x d W 9 0 O 0 t l e U N v b H V t b k 5 h b W V z J n F 1 b 3 Q 7 O l t d L C Z x d W 9 0 O 0 N v b H V t b k l k Z W 5 0 a X R p Z X M m c X V v d D s 6 W y Z x d W 9 0 O 1 N l Y 3 R p b 2 4 x L 1 J l Z i B T S U 1 E c G 9 w L 1 B p d m 9 0 Z W Q g Q 2 9 s d W 1 u L n t Z Z W F y L D B 9 J n F 1 b 3 Q 7 L C Z x d W 9 0 O 1 N l Y 3 R p b 2 4 x L 1 J l Z i B T S U 1 E c G 9 w L 1 B p d m 9 0 Z W Q g Q 2 9 s d W 1 u L n s x L D F 9 J n F 1 b 3 Q 7 L C Z x d W 9 0 O 1 N l Y 3 R p b 2 4 x L 1 J l Z i B T S U 1 E c G 9 w L 1 B p d m 9 0 Z W Q g Q 2 9 s d W 1 u L n s y L D J 9 J n F 1 b 3 Q 7 L C Z x d W 9 0 O 1 N l Y 3 R p b 2 4 x L 1 J l Z i B T S U 1 E c G 9 w L 1 B p d m 9 0 Z W Q g Q 2 9 s d W 1 u L n s z L D N 9 J n F 1 b 3 Q 7 L C Z x d W 9 0 O 1 N l Y 3 R p b 2 4 x L 1 J l Z i B T S U 1 E c G 9 w L 1 B p d m 9 0 Z W Q g Q 2 9 s d W 1 u L n s 0 L D R 9 J n F 1 b 3 Q 7 L C Z x d W 9 0 O 1 N l Y 3 R p b 2 4 x L 1 J l Z i B T S U 1 E c G 9 w L 1 B p d m 9 0 Z W Q g Q 2 9 s d W 1 u L n s 1 L D V 9 J n F 1 b 3 Q 7 X S w m c X V v d D t S Z W x h d G l v b n N o a X B J b m Z v J n F 1 b 3 Q 7 O l t d f S I g L z 4 8 R W 5 0 c n k g V H l w Z T 0 i R m l s b G V k Q 2 9 t c G x l d G V S Z X N 1 b H R U b 1 d v c m t z a G V l d C I g V m F s d W U 9 I m w x I i A v P j x F b n R y e S B U e X B l P S J B Z G R l Z F R v R G F 0 Y U 1 v Z G V s I i B W Y W x 1 Z T 0 i b D A i I C 8 + P E V u d H J 5 I F R 5 c G U 9 I l J l Y 2 9 2 Z X J 5 V G F y Z 2 V 0 U 2 h l Z X Q i I F Z h b H V l P S J z U 2 h l Z X Q 2 I i A v P j x F b n R y e S B U e X B l P S J S Z W N v d m V y e V R h c m d l d E N v b H V t b i I g V m F s d W U 9 I m w x I i A v P j x F b n R y e S B U e X B l P S J S Z W N v d m V y e V R h c m d l d F J v d y I g V m F s d W U 9 I m w x I i A v P j x F b n R y e S B U e X B l P S J R d W V y e U l E I i B W Y W x 1 Z T 0 i c z U x Z D E 5 Z j M 0 L T d k M j Q t N G M z N y 1 i O G U 2 L T c 4 O D F j Z T d h Z j A z Z S I g L z 4 8 L 1 N 0 Y W J s Z U V u d H J p Z X M + P C 9 J d G V t P j x J d G V t P j x J d G V t T G 9 j Y X R p b 2 4 + P E l 0 Z W 1 U e X B l P k Z v c m 1 1 b G E 8 L 0 l 0 Z W 1 U e X B l P j x J d G V t U G F 0 a D 5 T Z W N 0 a W 9 u M S 9 S Z W Y l M j B T S U 1 E c G 9 w L 1 N v d X J j Z T w v S X R l b V B h d G g + P C 9 J d G V t T G 9 j Y X R p b 2 4 + P F N 0 Y W J s Z U V u d H J p Z X M g L z 4 8 L 0 l 0 Z W 0 + P E l 0 Z W 0 + P E l 0 Z W 1 M b 2 N h d G l v b j 4 8 S X R l b V R 5 c G U + R m 9 y b X V s Y T w v S X R l b V R 5 c G U + P E l 0 Z W 1 Q Y X R o P l N l Y 3 R p b 2 4 x L 1 J l Z i U y M F N J T U R w b 3 A v U m V m X 1 N J T U R w b 3 A 8 L 0 l 0 Z W 1 Q Y X R o P j w v S X R l b U x v Y 2 F 0 a W 9 u P j x T d G F i b G V F b n R y a W V z I C 8 + P C 9 J d G V t P j x J d G V t P j x J d G V t T G 9 j Y X R p b 2 4 + P E l 0 Z W 1 U e X B l P k Z v c m 1 1 b G E 8 L 0 l 0 Z W 1 U e X B l P j x J d G V t U G F 0 a D 5 T Z W N 0 a W 9 u M S 9 S Z W Y l M j B T S U 1 E c G 9 w L 1 B p d m 9 0 Z W Q l M j B D b 2 x 1 b W 4 8 L 0 l 0 Z W 1 Q Y X R o P j w v S X R l b U x v Y 2 F 0 a W 9 u P j x T d G F i b G V F b n R y a W V z I C 8 + P C 9 J d G V t P j x J d G V t P j x J d G V t T G 9 j Y X R p b 2 4 + P E l 0 Z W 1 U e X B l P k Z v c m 1 1 b G E 8 L 0 l 0 Z W 1 U e X B l P j x J d G V t U G F 0 a D 5 T Z W N 0 a W 9 u M S 9 j c 2 V 0 J T I w V X J i Y W 5 S d X J h b C U y M C g y K T w v S X R l b V B h d G g + P C 9 J d G V t T G 9 j Y X R p b 2 4 + P F N 0 Y W J s Z U V u d H J p Z X M + P E V u d H J 5 I F R 5 c G U 9 I k l z U H J p d m F 0 Z S I g V m F s d W U 9 I m w w I i A v P j x F b n R y e S B U e X B l P S J O Y W 1 l V X B k Y X R l Z E F m d G V y R m l s b C I g V m F s d W U 9 I m w w I i A v P j x F b n R y e S B U e X B l P S J C d W Z m Z X J O Z X h 0 U m V m c m V z a C I g V m F s d W U 9 I m w x I i A v P j x F b n R y e S B U e X B l P S J S Z X N 1 b H R U e X B l I i B W Y W x 1 Z T 0 i c 1 R h Y m x l I i A v P j x F b n R y e S B U e X B l P S J G a W x s R W 5 h Y m x l Z C I g V m F s d W U 9 I m w x I i A v P j x F b n R y e S B U e X B l P S J G a W x s T 2 J q Z W N 0 V H l w Z S I g V m F s d W U 9 I n N U Y W J s Z S I g L z 4 8 R W 5 0 c n k g V H l w Z T 0 i R m l s b F R v R G F 0 Y U 1 v Z G V s R W 5 h Y m x l Z C I g V m F s d W U 9 I m w w I i A v P j x F b n R y e S B U e X B l P S J G a W x s R X J y b 3 J D b 3 V u d C I g V m F s d W U 9 I m w w I i A v P j x F b n R y e S B U e X B l P S J G a W x s Q 2 9 s d W 1 u V H l w Z X M i I F Z h b H V l P S J z Q m d J Q 0 F n S U N B Z 0 k 9 I i A v P j x F b n R y e S B U e X B l P S J G a W x s Q 2 9 s d W 1 u T m F t Z X M i I F Z h b H V l P S J z W y Z x d W 9 0 O 1 l l Y X I m c X V v d D s s J n F 1 b 3 Q 7 M S A t I E x h c m d l I F V y Y m F u I E F y Z W F z J n F 1 b 3 Q 7 L C Z x d W 9 0 O z I g L S B P d G h l c i B V c m J h b i B B c m V h c y Z x d W 9 0 O y w m c X V v d D s z I C 0 g Q W N j Z X N z a W J s Z S B T b W F s b C B U b 3 d u c y Z x d W 9 0 O y w m c X V v d D s 0 I C 0 g U m V t b 3 R l I F N t Y W x s I F R v d 2 5 z J n F 1 b 3 Q 7 L C Z x d W 9 0 O z U g L S B B Y 2 N l c 3 N p Y m x l I F J 1 c m F s J n F 1 b 3 Q 7 L C Z x d W 9 0 O z Y g L S B S Z W 1 v d G U g U n V y Y W w m c X V v d D s s J n F 1 b 3 Q 7 Q W x s I F N j b 3 R s Y W 5 k J n F 1 b 3 Q 7 X S I g L z 4 8 R W 5 0 c n k g V H l w Z T 0 i R m l s b E V y c m 9 y Q 2 9 k Z S I g V m F s d W U 9 I n N V b m t u b 3 d u I i A v P j x F b n R y e S B U e X B l P S J G a W x s T G F z d F V w Z G F 0 Z W Q i I F Z h b H V l P S J k M j A y M S 0 w N y 0 y M 1 Q w O T o x M z o x M i 4 y N D Y 2 M j M 3 W i I g L z 4 8 R W 5 0 c n k g V H l w Z T 0 i U m V s Y X R p b 2 5 z a G l w S W 5 m b 0 N v b n R h a W 5 l c i I g V m F s d W U 9 I n N 7 J n F 1 b 3 Q 7 Y 2 9 s d W 1 u Q 2 9 1 b n Q m c X V v d D s 6 O C w m c X V v d D t r Z X l D b 2 x 1 b W 5 O Y W 1 l c y Z x d W 9 0 O z p b X S w m c X V v d D t x d W V y e V J l b G F 0 a W 9 u c 2 h p c H M m c X V v d D s 6 W 1 0 s J n F 1 b 3 Q 7 Y 2 9 s d W 1 u S W R l b n R p d G l l c y Z x d W 9 0 O z p b J n F 1 b 3 Q 7 U 2 V y d m V y L k R h d G F i Y X N l X F w v M i 9 T U U w v c y 1 z c n M t d j A x X F x c X H B k c z t S Q V A v Y 3 N l d C 9 j c 2 V 0 L l V y Y m F u U n V y Y W w u e 1 l l Y X I s M H 0 m c X V v d D s s J n F 1 b 3 Q 7 U 2 V y d m V y L k R h d G F i Y X N l X F w v M i 9 T U U w v c y 1 z c n M t d j A x X F x c X H B k c z t S Q V A v Y 3 N l d C 9 j c 2 V 0 L l V y Y m F u U n V y Y W w u e z E g L S B M Y X J n Z S B V c m J h b i B B c m V h c y w x f S Z x d W 9 0 O y w m c X V v d D t T Z X J 2 Z X I u R G F 0 Y W J h c 2 V c X C 8 y L 1 N R T C 9 z L X N y c y 1 2 M D F c X F x c c G R z O 1 J B U C 9 j c 2 V 0 L 2 N z Z X Q u V X J i Y W 5 S d X J h b C 5 7 M i A t I E 9 0 a G V y I F V y Y m F u I E F y Z W F z L D J 9 J n F 1 b 3 Q 7 L C Z x d W 9 0 O 1 N l c n Z l c i 5 E Y X R h Y m F z Z V x c L z I v U 1 F M L 3 M t c 3 J z L X Y w M V x c X F x w Z H M 7 U k F Q L 2 N z Z X Q v Y 3 N l d C 5 V c m J h b l J 1 c m F s L n s z I C 0 g Q W N j Z X N z a W J s Z S B T b W F s b C B U b 3 d u c y w z f S Z x d W 9 0 O y w m c X V v d D t T Z X J 2 Z X I u R G F 0 Y W J h c 2 V c X C 8 y L 1 N R T C 9 z L X N y c y 1 2 M D F c X F x c c G R z O 1 J B U C 9 j c 2 V 0 L 2 N z Z X Q u V X J i Y W 5 S d X J h b C 5 7 N C A t I F J l b W 9 0 Z S B T b W F s b C B U b 3 d u c y w 0 f S Z x d W 9 0 O y w m c X V v d D t T Z X J 2 Z X I u R G F 0 Y W J h c 2 V c X C 8 y L 1 N R T C 9 z L X N y c y 1 2 M D F c X F x c c G R z O 1 J B U C 9 j c 2 V 0 L 2 N z Z X Q u V X J i Y W 5 S d X J h b C 5 7 N S A t I E F j Y 2 V z c 2 l i b G U g U n V y Y W w s N X 0 m c X V v d D s s J n F 1 b 3 Q 7 U 2 V y d m V y L k R h d G F i Y X N l X F w v M i 9 T U U w v c y 1 z c n M t d j A x X F x c X H B k c z t S Q V A v Y 3 N l d C 9 j c 2 V 0 L l V y Y m F u U n V y Y W w u e z Y g L S B S Z W 1 v d G U g U n V y Y W w s N n 0 m c X V v d D s s J n F 1 b 3 Q 7 U 2 V y d m V y L k R h d G F i Y X N l X F w v M i 9 T U U w v c y 1 z c n M t d j A x X F x c X H B k c z t S Q V A v Y 3 N l d C 9 j c 2 V 0 L l V y Y m F u U n V y Y W w u e 0 F s b C B T Y 2 9 0 b G F u Z C w 3 f S Z x d W 9 0 O 1 0 s J n F 1 b 3 Q 7 Q 2 9 s d W 1 u Q 2 9 1 b n Q m c X V v d D s 6 O C w m c X V v d D t L Z X l D b 2 x 1 b W 5 O Y W 1 l c y Z x d W 9 0 O z p b X S w m c X V v d D t D b 2 x 1 b W 5 J Z G V u d G l 0 a W V z J n F 1 b 3 Q 7 O l s m c X V v d D t T Z X J 2 Z X I u R G F 0 Y W J h c 2 V c X C 8 y L 1 N R T C 9 z L X N y c y 1 2 M D F c X F x c c G R z O 1 J B U C 9 j c 2 V 0 L 2 N z Z X Q u V X J i Y W 5 S d X J h b C 5 7 W W V h c i w w f S Z x d W 9 0 O y w m c X V v d D t T Z X J 2 Z X I u R G F 0 Y W J h c 2 V c X C 8 y L 1 N R T C 9 z L X N y c y 1 2 M D F c X F x c c G R z O 1 J B U C 9 j c 2 V 0 L 2 N z Z X Q u V X J i Y W 5 S d X J h b C 5 7 M S A t I E x h c m d l I F V y Y m F u I E F y Z W F z L D F 9 J n F 1 b 3 Q 7 L C Z x d W 9 0 O 1 N l c n Z l c i 5 E Y X R h Y m F z Z V x c L z I v U 1 F M L 3 M t c 3 J z L X Y w M V x c X F x w Z H M 7 U k F Q L 2 N z Z X Q v Y 3 N l d C 5 V c m J h b l J 1 c m F s L n s y I C 0 g T 3 R o Z X I g V X J i Y W 4 g Q X J l Y X M s M n 0 m c X V v d D s s J n F 1 b 3 Q 7 U 2 V y d m V y L k R h d G F i Y X N l X F w v M i 9 T U U w v c y 1 z c n M t d j A x X F x c X H B k c z t S Q V A v Y 3 N l d C 9 j c 2 V 0 L l V y Y m F u U n V y Y W w u e z M g L S B B Y 2 N l c 3 N p Y m x l I F N t Y W x s I F R v d 2 5 z L D N 9 J n F 1 b 3 Q 7 L C Z x d W 9 0 O 1 N l c n Z l c i 5 E Y X R h Y m F z Z V x c L z I v U 1 F M L 3 M t c 3 J z L X Y w M V x c X F x w Z H M 7 U k F Q L 2 N z Z X Q v Y 3 N l d C 5 V c m J h b l J 1 c m F s L n s 0 I C 0 g U m V t b 3 R l I F N t Y W x s I F R v d 2 5 z L D R 9 J n F 1 b 3 Q 7 L C Z x d W 9 0 O 1 N l c n Z l c i 5 E Y X R h Y m F z Z V x c L z I v U 1 F M L 3 M t c 3 J z L X Y w M V x c X F x w Z H M 7 U k F Q L 2 N z Z X Q v Y 3 N l d C 5 V c m J h b l J 1 c m F s L n s 1 I C 0 g Q W N j Z X N z a W J s Z S B S d X J h b C w 1 f S Z x d W 9 0 O y w m c X V v d D t T Z X J 2 Z X I u R G F 0 Y W J h c 2 V c X C 8 y L 1 N R T C 9 z L X N y c y 1 2 M D F c X F x c c G R z O 1 J B U C 9 j c 2 V 0 L 2 N z Z X Q u V X J i Y W 5 S d X J h b C 5 7 N i A t I F J l b W 9 0 Z S B S d X J h b C w 2 f S Z x d W 9 0 O y w m c X V v d D t T Z X J 2 Z X I u R G F 0 Y W J h c 2 V c X C 8 y L 1 N R T C 9 z L X N y c y 1 2 M D F c X F x c c G R z O 1 J B U C 9 j c 2 V 0 L 2 N z Z X Q u V X J i Y W 5 S d X J h b C 5 7 Q W x s I F N j b 3 R s Y W 5 k L D d 9 J n F 1 b 3 Q 7 X S w m c X V v d D t S Z W x h d G l v b n N o a X B J b m Z v J n F 1 b 3 Q 7 O l t d f S I g L z 4 8 R W 5 0 c n k g V H l w Z T 0 i R m l s b F R h c m d l d C I g V m F s d W U 9 I n N j c 2 V 0 X 1 V y Y m F u U n V y Y W x f X z I i I C 8 + P E V u d H J 5 I F R 5 c G U 9 I k Z p b G x l Z E N v b X B s Z X R l U m V z d W x 0 V G 9 X b 3 J r c 2 h l Z X Q i I F Z h b H V l P S J s M S I g L z 4 8 R W 5 0 c n k g V H l w Z T 0 i Q W R k Z W R U b 0 R h d G F N b 2 R l b C I g V m F s d W U 9 I m w w I i A v P j x F b n R y e S B U e X B l P S J S Z W N v d m V y e V R h c m d l d F J v d y I g V m F s d W U 9 I m w x M C I g L z 4 8 R W 5 0 c n k g V H l w Z T 0 i U m V j b 3 Z l c n l U Y X J n Z X R D b 2 x 1 b W 4 i I F Z h b H V l P S J s M S I g L z 4 8 R W 5 0 c n k g V H l w Z T 0 i U m V j b 3 Z l c n l U Y X J n Z X R T a G V l d C I g V m F s d W U 9 I n N S d X J h b G l 0 e S I g L z 4 8 R W 5 0 c n k g V H l w Z T 0 i R m l s b E N v d W 5 0 I i B W Y W x 1 Z T 0 i b D c i I C 8 + P E V u d H J 5 I F R 5 c G U 9 I k x v Y W R l Z F R v Q W 5 h b H l z a X N T Z X J 2 a W N l c y I g V m F s d W U 9 I m w w I i A v P j x F b n R y e S B U e X B l P S J G a W x s U 3 R h d H V z I i B W Y W x 1 Z T 0 i c 0 N v b X B s Z X R l I i A v P j x F b n R y e S B U e X B l P S J R d W V y e U l E I i B W Y W x 1 Z T 0 i c z U 4 Z T M 4 M m M 0 L T k x M G Q t N G Q 4 M S 0 5 N D Q x L T g 5 Y z N k M z Y 4 N 2 U 2 M i I g L z 4 8 L 1 N 0 Y W J s Z U V u d H J p Z X M + P C 9 J d G V t P j x J d G V t P j x J d G V t T G 9 j Y X R p b 2 4 + P E l 0 Z W 1 U e X B l P k Z v c m 1 1 b G E 8 L 0 l 0 Z W 1 U e X B l P j x J d G V t U G F 0 a D 5 T Z W N 0 a W 9 u M S 9 j c 2 V 0 J T I w V X J i Y W 5 S d X J h b C U y M C g y K S 9 T b 3 V y Y 2 U 8 L 0 l 0 Z W 1 Q Y X R o P j w v S X R l b U x v Y 2 F 0 a W 9 u P j x T d G F i b G V F b n R y a W V z I C 8 + P C 9 J d G V t P j x J d G V t P j x J d G V t T G 9 j Y X R p b 2 4 + P E l 0 Z W 1 U e X B l P k Z v c m 1 1 b G E 8 L 0 l 0 Z W 1 U e X B l P j x J d G V t U G F 0 a D 5 T Z W N 0 a W 9 u M S 9 j c 2 V 0 J T I w V X J i Y W 5 S d X J h b C U y M C g y K S 9 j c 2 V 0 X 1 V y Y m F u U n V y Y W w 8 L 0 l 0 Z W 1 Q Y X R o P j w v S X R l b U x v Y 2 F 0 a W 9 u P j x T d G F i b G V F b n R y a W V z I C 8 + P C 9 J d G V t P j x J d G V t P j x J d G V t T G 9 j Y X R p b 2 4 + P E l 0 Z W 1 U e X B l P k Z v c m 1 1 b G E 8 L 0 l 0 Z W 1 U e X B l P j x J d G V t U G F 0 a D 5 T Z W N 0 a W 9 u M S 9 j c 2 V 0 J T I w V X J i Y W 5 S d X J h b C U y M C g y K S 9 S Z W 1 v d m V k J T I w Q m x h b m s l M j B S b 3 d z P C 9 J d G V t U G F 0 a D 4 8 L 0 l 0 Z W 1 M b 2 N h d G l v b j 4 8 U 3 R h Y m x l R W 5 0 c m l l c y A v P j w v S X R l b T 4 8 S X R l b T 4 8 S X R l b U x v Y 2 F 0 a W 9 u P j x J d G V t V H l w Z T 5 G b 3 J t d W x h P C 9 J d G V t V H l w Z T 4 8 S X R l b V B h d G g + U 2 V j d G l v b j E v Y 3 N l d C U y M F V y Y m F u U n V y Y W x f T 2 N j d X B p Z W R E d 2 V s b G l u Z 3 M 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E N v d W 5 0 I i B W Y W x 1 Z T 0 i b D c i I C 8 + P E V u d H J 5 I F R 5 c G U 9 I k Z p b G x F c n J v c k N v d W 5 0 I i B W Y W x 1 Z T 0 i b D A i I C 8 + P E V u d H J 5 I F R 5 c G U 9 I k Z p b G x D b 2 x 1 b W 5 U e X B l c y I g V m F s d W U 9 I n N C Z 1 V G Q l F V R k J R V T 0 i I C 8 + P E V u d H J 5 I F R 5 c G U 9 I k Z p b G x D b 2 x 1 b W 5 O Y W 1 l c y I g V m F s d W U 9 I n N b J n F 1 b 3 Q 7 W W V h c i Z x d W 9 0 O y w m c X V v d D s x I C 0 g T G F y Z 2 U g V X J i Y W 4 g Q X J l Y X M m c X V v d D s s J n F 1 b 3 Q 7 M i A t I E 9 0 a G V y I F V y Y m F u I E F y Z W F z J n F 1 b 3 Q 7 L C Z x d W 9 0 O z M g L S B B Y 2 N l c 3 N p Y m x l I F N t Y W x s I F R v d 2 5 z J n F 1 b 3 Q 7 L C Z x d W 9 0 O z Q g L S B S Z W 1 v d G U g U 2 1 h b G w g V G 9 3 b n M m c X V v d D s s J n F 1 b 3 Q 7 N S A t I E F j Y 2 V z c 2 l i b G U g U n V y Y W w m c X V v d D s s J n F 1 b 3 Q 7 N i A t I F J l b W 9 0 Z S B S d X J h b C Z x d W 9 0 O y w m c X V v d D t B b G w g U 2 N v d G x h b m Q m c X V v d D t d I i A v P j x F b n R y e S B U e X B l P S J G a W x s R X J y b 3 J D b 2 R l I i B W Y W x 1 Z T 0 i c 1 V u a 2 5 v d 2 4 i I C 8 + P E V u d H J 5 I F R 5 c G U 9 I k Z p b G x M Y X N 0 V X B k Y X R l Z C I g V m F s d W U 9 I m Q y M D I x L T A 3 L T I z V D A 5 O j E z O j E y L j E 2 M T k x M D d a I i A v P j x F b n R y e S B U e X B l P S J S Z W x h d G l v b n N o a X B J b m Z v Q 2 9 u d G F p b m V y I i B W Y W x 1 Z T 0 i c 3 s m c X V v d D t j b 2 x 1 b W 5 D b 3 V u d C Z x d W 9 0 O z o 4 L C Z x d W 9 0 O 2 t l e U N v b H V t b k 5 h b W V z J n F 1 b 3 Q 7 O l t d L C Z x d W 9 0 O 3 F 1 Z X J 5 U m V s Y X R p b 2 5 z a G l w c y Z x d W 9 0 O z p b X S w m c X V v d D t j b 2 x 1 b W 5 J Z G V u d G l 0 a W V z J n F 1 b 3 Q 7 O l s m c X V v d D t T Z X J 2 Z X I u R G F 0 Y W J h c 2 V c X C 8 y L 1 N R T C 9 z L X N y c y 1 2 M D F c X F x c c G R z O 1 J B U C 9 j c 2 V 0 L 2 N z Z X Q u V X J i Y W 5 S d X J h b F 9 P Y 2 N 1 c G l l Z E R 3 Z W x s a W 5 n c y 5 7 W W V h c i w w f S Z x d W 9 0 O y w m c X V v d D t T Z X J 2 Z X I u R G F 0 Y W J h c 2 V c X C 8 y L 1 N R T C 9 z L X N y c y 1 2 M D F c X F x c c G R z O 1 J B U C 9 j c 2 V 0 L 2 N z Z X Q u V X J i Y W 5 S d X J h b F 9 P Y 2 N 1 c G l l Z E R 3 Z W x s a W 5 n c y 5 7 M S A t I E x h c m d l I F V y Y m F u I E F y Z W F z L D F 9 J n F 1 b 3 Q 7 L C Z x d W 9 0 O 1 N l c n Z l c i 5 E Y X R h Y m F z Z V x c L z I v U 1 F M L 3 M t c 3 J z L X Y w M V x c X F x w Z H M 7 U k F Q L 2 N z Z X Q v Y 3 N l d C 5 V c m J h b l J 1 c m F s X 0 9 j Y 3 V w a W V k R H d l b G x p b m d z L n s y I C 0 g T 3 R o Z X I g V X J i Y W 4 g Q X J l Y X M s M n 0 m c X V v d D s s J n F 1 b 3 Q 7 U 2 V y d m V y L k R h d G F i Y X N l X F w v M i 9 T U U w v c y 1 z c n M t d j A x X F x c X H B k c z t S Q V A v Y 3 N l d C 9 j c 2 V 0 L l V y Y m F u U n V y Y W x f T 2 N j d X B p Z W R E d 2 V s b G l u Z 3 M u e z M g L S B B Y 2 N l c 3 N p Y m x l I F N t Y W x s I F R v d 2 5 z L D N 9 J n F 1 b 3 Q 7 L C Z x d W 9 0 O 1 N l c n Z l c i 5 E Y X R h Y m F z Z V x c L z I v U 1 F M L 3 M t c 3 J z L X Y w M V x c X F x w Z H M 7 U k F Q L 2 N z Z X Q v Y 3 N l d C 5 V c m J h b l J 1 c m F s X 0 9 j Y 3 V w a W V k R H d l b G x p b m d z L n s 0 I C 0 g U m V t b 3 R l I F N t Y W x s I F R v d 2 5 z L D R 9 J n F 1 b 3 Q 7 L C Z x d W 9 0 O 1 N l c n Z l c i 5 E Y X R h Y m F z Z V x c L z I v U 1 F M L 3 M t c 3 J z L X Y w M V x c X F x w Z H M 7 U k F Q L 2 N z Z X Q v Y 3 N l d C 5 V c m J h b l J 1 c m F s X 0 9 j Y 3 V w a W V k R H d l b G x p b m d z L n s 1 I C 0 g Q W N j Z X N z a W J s Z S B S d X J h b C w 1 f S Z x d W 9 0 O y w m c X V v d D t T Z X J 2 Z X I u R G F 0 Y W J h c 2 V c X C 8 y L 1 N R T C 9 z L X N y c y 1 2 M D F c X F x c c G R z O 1 J B U C 9 j c 2 V 0 L 2 N z Z X Q u V X J i Y W 5 S d X J h b F 9 P Y 2 N 1 c G l l Z E R 3 Z W x s a W 5 n c y 5 7 N i A t I F J l b W 9 0 Z S B S d X J h b C w 2 f S Z x d W 9 0 O y w m c X V v d D t T Z X J 2 Z X I u R G F 0 Y W J h c 2 V c X C 8 y L 1 N R T C 9 z L X N y c y 1 2 M D F c X F x c c G R z O 1 J B U C 9 j c 2 V 0 L 2 N z Z X Q u V X J i Y W 5 S d X J h b F 9 P Y 2 N 1 c G l l Z E R 3 Z W x s a W 5 n c y 5 7 Q W x s I F N j b 3 R s Y W 5 k L D d 9 J n F 1 b 3 Q 7 X S w m c X V v d D t D b 2 x 1 b W 5 D b 3 V u d C Z x d W 9 0 O z o 4 L C Z x d W 9 0 O 0 t l e U N v b H V t b k 5 h b W V z J n F 1 b 3 Q 7 O l t d L C Z x d W 9 0 O 0 N v b H V t b k l k Z W 5 0 a X R p Z X M m c X V v d D s 6 W y Z x d W 9 0 O 1 N l c n Z l c i 5 E Y X R h Y m F z Z V x c L z I v U 1 F M L 3 M t c 3 J z L X Y w M V x c X F x w Z H M 7 U k F Q L 2 N z Z X Q v Y 3 N l d C 5 V c m J h b l J 1 c m F s X 0 9 j Y 3 V w a W V k R H d l b G x p b m d z L n t Z Z W F y L D B 9 J n F 1 b 3 Q 7 L C Z x d W 9 0 O 1 N l c n Z l c i 5 E Y X R h Y m F z Z V x c L z I v U 1 F M L 3 M t c 3 J z L X Y w M V x c X F x w Z H M 7 U k F Q L 2 N z Z X Q v Y 3 N l d C 5 V c m J h b l J 1 c m F s X 0 9 j Y 3 V w a W V k R H d l b G x p b m d z L n s x I C 0 g T G F y Z 2 U g V X J i Y W 4 g Q X J l Y X M s M X 0 m c X V v d D s s J n F 1 b 3 Q 7 U 2 V y d m V y L k R h d G F i Y X N l X F w v M i 9 T U U w v c y 1 z c n M t d j A x X F x c X H B k c z t S Q V A v Y 3 N l d C 9 j c 2 V 0 L l V y Y m F u U n V y Y W x f T 2 N j d X B p Z W R E d 2 V s b G l u Z 3 M u e z I g L S B P d G h l c i B V c m J h b i B B c m V h c y w y f S Z x d W 9 0 O y w m c X V v d D t T Z X J 2 Z X I u R G F 0 Y W J h c 2 V c X C 8 y L 1 N R T C 9 z L X N y c y 1 2 M D F c X F x c c G R z O 1 J B U C 9 j c 2 V 0 L 2 N z Z X Q u V X J i Y W 5 S d X J h b F 9 P Y 2 N 1 c G l l Z E R 3 Z W x s a W 5 n c y 5 7 M y A t I E F j Y 2 V z c 2 l i b G U g U 2 1 h b G w g V G 9 3 b n M s M 3 0 m c X V v d D s s J n F 1 b 3 Q 7 U 2 V y d m V y L k R h d G F i Y X N l X F w v M i 9 T U U w v c y 1 z c n M t d j A x X F x c X H B k c z t S Q V A v Y 3 N l d C 9 j c 2 V 0 L l V y Y m F u U n V y Y W x f T 2 N j d X B p Z W R E d 2 V s b G l u Z 3 M u e z Q g L S B S Z W 1 v d G U g U 2 1 h b G w g V G 9 3 b n M s N H 0 m c X V v d D s s J n F 1 b 3 Q 7 U 2 V y d m V y L k R h d G F i Y X N l X F w v M i 9 T U U w v c y 1 z c n M t d j A x X F x c X H B k c z t S Q V A v Y 3 N l d C 9 j c 2 V 0 L l V y Y m F u U n V y Y W x f T 2 N j d X B p Z W R E d 2 V s b G l u Z 3 M u e z U g L S B B Y 2 N l c 3 N p Y m x l I F J 1 c m F s L D V 9 J n F 1 b 3 Q 7 L C Z x d W 9 0 O 1 N l c n Z l c i 5 E Y X R h Y m F z Z V x c L z I v U 1 F M L 3 M t c 3 J z L X Y w M V x c X F x w Z H M 7 U k F Q L 2 N z Z X Q v Y 3 N l d C 5 V c m J h b l J 1 c m F s X 0 9 j Y 3 V w a W V k R H d l b G x p b m d z L n s 2 I C 0 g U m V t b 3 R l I F J 1 c m F s L D Z 9 J n F 1 b 3 Q 7 L C Z x d W 9 0 O 1 N l c n Z l c i 5 E Y X R h Y m F z Z V x c L z I v U 1 F M L 3 M t c 3 J z L X Y w M V x c X F x w Z H M 7 U k F Q L 2 N z Z X Q v Y 3 N l d C 5 V c m J h b l J 1 c m F s X 0 9 j Y 3 V w a W V k R H d l b G x p b m d z L n t B b G w g U 2 N v d G x h b m Q s N 3 0 m c X V v d D t d L C Z x d W 9 0 O 1 J l b G F 0 a W 9 u c 2 h p c E l u Z m 8 m c X V v d D s 6 W 1 1 9 I i A v P j x F b n R y e S B U e X B l P S J G a W x s Z W R D b 2 1 w b G V 0 Z V J l c 3 V s d F R v V 2 9 y a 3 N o Z W V 0 I i B W Y W x 1 Z T 0 i b D E i I C 8 + P E V u d H J 5 I F R 5 c G U 9 I k F k Z G V k V G 9 E Y X R h T W 9 k Z W w i I F Z h b H V l P S J s M C I g L z 4 8 R W 5 0 c n k g V H l w Z T 0 i U m V j b 3 Z l c n l U Y X J n Z X R T a G V l d C I g V m F s d W U 9 I n N S d X J h b G l 0 e S I g L z 4 8 R W 5 0 c n k g V H l w Z T 0 i U m V j b 3 Z l c n l U Y X J n Z X R D b 2 x 1 b W 4 i I F Z h b H V l P S J s M S I g L z 4 8 R W 5 0 c n k g V H l w Z T 0 i U m V j b 3 Z l c n l U Y X J n Z X R S b 3 c i I F Z h b H V l P S J s M z A i I C 8 + P E V u d H J 5 I F R 5 c G U 9 I k Z p b G x T d G F 0 d X M i I F Z h b H V l P S J z Q 2 9 t c G x l d G U i I C 8 + P E V u d H J 5 I F R 5 c G U 9 I l F 1 Z X J 5 S U Q i I F Z h b H V l P S J z Y m Y y N G V l N j Q t N z V l Z S 0 0 Z T I 0 L W I x Z j Y t Z D Z k Y j Z k Y z k w N T k 1 I i A v P j w v U 3 R h Y m x l R W 5 0 c m l l c z 4 8 L 0 l 0 Z W 0 + P E l 0 Z W 0 + P E l 0 Z W 1 M b 2 N h d G l v b j 4 8 S X R l b V R 5 c G U + R m 9 y b X V s Y T w v S X R l b V R 5 c G U + P E l 0 Z W 1 Q Y X R o P l N l Y 3 R p b 2 4 x L 2 N z Z X Q l M j B V c m J h b l J 1 c m F s X 0 9 j Y 3 V w a W V k R H d l b G x p b m d z L 1 N v d X J j Z T w v S X R l b V B h d G g + P C 9 J d G V t T G 9 j Y X R p b 2 4 + P F N 0 Y W J s Z U V u d H J p Z X M g L z 4 8 L 0 l 0 Z W 0 + P E l 0 Z W 0 + P E l 0 Z W 1 M b 2 N h d G l v b j 4 8 S X R l b V R 5 c G U + R m 9 y b X V s Y T w v S X R l b V R 5 c G U + P E l 0 Z W 1 Q Y X R o P l N l Y 3 R p b 2 4 x L 2 N z Z X Q l M j B V c m J h b l J 1 c m F s X 0 9 j Y 3 V w a W V k R H d l b G x p b m d z L 2 N z Z X R f V X J i Y W 5 S d X J h b F 9 P Y 2 N 1 c G l l Z E R 3 Z W x s a W 5 n c z w v S X R l b V B h d G g + P C 9 J d G V t T G 9 j Y X R p b 2 4 + P F N 0 Y W J s Z U V u d H J p Z X M g L z 4 8 L 0 l 0 Z W 0 + P E l 0 Z W 0 + P E l 0 Z W 1 M b 2 N h d G l v b j 4 8 S X R l b V R 5 c G U + R m 9 y b X V s Y T w v S X R l b V R 5 c G U + P E l 0 Z W 1 Q Y X R o P l N l Y 3 R p b 2 4 x L 2 N z Z X Q l M j B V c m J h b l J 1 c m F s X 0 9 j Y 3 V w a W V k R H d l b G x p b m d z L 1 J l b W 9 2 Z W Q l M j B C b G F u a y U y M F J v d 3 M 8 L 0 l 0 Z W 1 Q Y X R o P j w v S X R l b U x v Y 2 F 0 a W 9 u P j x T d G F i b G V F b n R y a W V z I C 8 + P C 9 J d G V t P j x J d G V t P j x J d G V t T G 9 j Y X R p b 2 4 + P E l 0 Z W 1 U e X B l P k Z v c m 1 1 b G E 8 L 0 l 0 Z W 1 U e X B l P j x J d G V t U G F 0 a D 5 T Z W N 0 a W 9 u M S 9 j c 2 V 0 J T I w R G l z d G l u Y 3 R Q c m 9 w Z X J 0 a W V z 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T d G F 0 d X M i I F Z h b H V l P S J z Q 2 9 t c G x l d G U i I C 8 + P E V u d H J 5 I F R 5 c G U 9 I k Z p b G x D b 3 V u d C I g V m F s d W U 9 I m w 4 I i A v P j x F b n R y e S B U e X B l P S J G a W x s R X J y b 3 J D b 3 V u d C I g V m F s d W U 9 I m w w I i A v P j x F b n R y e S B U e X B l P S J G a W x s Q 2 9 s d W 1 u V H l w Z X M i I F Z h b H V l P S J z Q m d J Q 0 F n S T 0 i I C 8 + P E V u d H J 5 I F R 5 c G U 9 I k Z p b G x D b 2 x 1 b W 5 O Y W 1 l c y I g V m F s d W U 9 I n N b J n F 1 b 3 Q 7 W W V h c i Z x d W 9 0 O y w m c X V v d D t J b i B P b m U g W W V h c i Z x d W 9 0 O y w m c X V v d D t P d m V y I F R o c m V l I F l l Y X J z J n F 1 b 3 Q 7 L C Z x d W 9 0 O 0 9 2 Z X I g R m l 2 Z S B Z Z W F y c y Z x d W 9 0 O y w m c X V v d D t O b 2 4 t c m V w Z W F 0 I F Z p c 2 l 0 c y Z x d W 9 0 O 1 0 i I C 8 + P E V u d H J 5 I F R 5 c G U 9 I k Z p b G x F c n J v c k N v Z G U i I F Z h b H V l P S J z V W 5 r b m 9 3 b i I g L z 4 8 R W 5 0 c n k g V H l w Z T 0 i R m l s b G V k Q 2 9 t c G x l d G V S Z X N 1 b H R U b 1 d v c m t z a G V l d C I g V m F s d W U 9 I m w x I i A v P j x F b n R y e S B U e X B l P S J B Z G R l Z F R v R G F 0 Y U 1 v Z G V s I i B W Y W x 1 Z T 0 i b D A i I C 8 + P E V u d H J 5 I F R 5 c G U 9 I l J l Y 2 9 2 Z X J 5 V G F y Z 2 V 0 U 2 h l Z X Q i I F Z h b H V l P S J z R G l z d G l u Y 3 Q g U H J v c G V y d G l l c y I g L z 4 8 R W 5 0 c n k g V H l w Z T 0 i U m V j b 3 Z l c n l U Y X J n Z X R D b 2 x 1 b W 4 i I F Z h b H V l P S J s M S I g L z 4 8 R W 5 0 c n k g V H l w Z T 0 i U m V j b 3 Z l c n l U Y X J n Z X R S b 3 c i I F Z h b H V l P S J s M T A i I C 8 + P E V u d H J 5 I F R 5 c G U 9 I k Z p b G x M Y X N 0 V X B k Y X R l Z C I g V m F s d W U 9 I m Q y M D I x L T A 4 L T E z V D E 1 O j I 3 O j Q y L j c 3 O T U 4 N D B a I i A v P j x F b n R y e S B U e X B l P S J G a W x s V G F y Z 2 V 0 I i B W Y W x 1 Z T 0 i c 2 N z Z X R f R G l z d G l u Y 3 R Q c m 9 w Z X J 0 a W V z I i A v P j x F b n R y e S B U e X B l P S J R d W V y e U l E I i B W Y W x 1 Z T 0 i c z M 3 Z D E z Y m I y L W F h M 2 I t N D k x N C 0 4 M m E 5 L W R j O T k 5 N m I z N T h l Y y I g L z 4 8 R W 5 0 c n k g V H l w Z T 0 i U m V s Y X R p b 2 5 z a G l w S W 5 m b 0 N v b n R h a W 5 l c i I g V m F s d W U 9 I n N 7 J n F 1 b 3 Q 7 Y 2 9 s d W 1 u Q 2 9 1 b n Q m c X V v d D s 6 N S w m c X V v d D t r Z X l D b 2 x 1 b W 5 O Y W 1 l c y Z x d W 9 0 O z p b X S w m c X V v d D t x d W V y e V J l b G F 0 a W 9 u c 2 h p c H M m c X V v d D s 6 W 1 0 s J n F 1 b 3 Q 7 Y 2 9 s d W 1 u S W R l b n R p d G l l c y Z x d W 9 0 O z p b J n F 1 b 3 Q 7 U 2 V y d m V y L k R h d G F i Y X N l X F w v M i 9 T U U w v c y 1 z c n M t d j A x X F x c X H B k c z t S Q V A v Y 3 N l d C 9 j c 2 V 0 L k R p c 3 R p b m N 0 U H J v c G V y d G l l c y 5 7 W W V h c i w w f S Z x d W 9 0 O y w m c X V v d D t T Z X J 2 Z X I u R G F 0 Y W J h c 2 V c X C 8 y L 1 N R T C 9 z L X N y c y 1 2 M D F c X F x c c G R z O 1 J B U C 9 j c 2 V 0 L 2 N z Z X Q u R G l z d G l u Y 3 R Q c m 9 w Z X J 0 a W V z L n t J b i B P b m U g W W V h c i w x f S Z x d W 9 0 O y w m c X V v d D t T Z X J 2 Z X I u R G F 0 Y W J h c 2 V c X C 8 y L 1 N R T C 9 z L X N y c y 1 2 M D F c X F x c c G R z O 1 J B U C 9 j c 2 V 0 L 2 N z Z X Q u R G l z d G l u Y 3 R Q c m 9 w Z X J 0 a W V z L n t P d m V y I F R o c m V l I F l l Y X J z L D J 9 J n F 1 b 3 Q 7 L C Z x d W 9 0 O 1 N l c n Z l c i 5 E Y X R h Y m F z Z V x c L z I v U 1 F M L 3 M t c 3 J z L X Y w M V x c X F x w Z H M 7 U k F Q L 2 N z Z X Q v Y 3 N l d C 5 E a X N 0 a W 5 j d F B y b 3 B l c n R p Z X M u e 0 9 2 Z X I g R m l 2 Z S B Z Z W F y c y w z f S Z x d W 9 0 O y w m c X V v d D t T Z X J 2 Z X I u R G F 0 Y W J h c 2 V c X C 8 y L 1 N R T C 9 z L X N y c y 1 2 M D F c X F x c c G R z O 1 J B U C 9 j c 2 V 0 L 2 N z Z X Q u R G l z d G l u Y 3 R Q c m 9 w Z X J 0 a W V z L n t O b 2 4 t c m V w Z W F 0 I F Z p c 2 l 0 c y w 0 f S Z x d W 9 0 O 1 0 s J n F 1 b 3 Q 7 Q 2 9 s d W 1 u Q 2 9 1 b n Q m c X V v d D s 6 N S w m c X V v d D t L Z X l D b 2 x 1 b W 5 O Y W 1 l c y Z x d W 9 0 O z p b X S w m c X V v d D t D b 2 x 1 b W 5 J Z G V u d G l 0 a W V z J n F 1 b 3 Q 7 O l s m c X V v d D t T Z X J 2 Z X I u R G F 0 Y W J h c 2 V c X C 8 y L 1 N R T C 9 z L X N y c y 1 2 M D F c X F x c c G R z O 1 J B U C 9 j c 2 V 0 L 2 N z Z X Q u R G l z d G l u Y 3 R Q c m 9 w Z X J 0 a W V z L n t Z Z W F y L D B 9 J n F 1 b 3 Q 7 L C Z x d W 9 0 O 1 N l c n Z l c i 5 E Y X R h Y m F z Z V x c L z I v U 1 F M L 3 M t c 3 J z L X Y w M V x c X F x w Z H M 7 U k F Q L 2 N z Z X Q v Y 3 N l d C 5 E a X N 0 a W 5 j d F B y b 3 B l c n R p Z X M u e 0 l u I E 9 u Z S B Z Z W F y L D F 9 J n F 1 b 3 Q 7 L C Z x d W 9 0 O 1 N l c n Z l c i 5 E Y X R h Y m F z Z V x c L z I v U 1 F M L 3 M t c 3 J z L X Y w M V x c X F x w Z H M 7 U k F Q L 2 N z Z X Q v Y 3 N l d C 5 E a X N 0 a W 5 j d F B y b 3 B l c n R p Z X M u e 0 9 2 Z X I g V G h y Z W U g W W V h c n M s M n 0 m c X V v d D s s J n F 1 b 3 Q 7 U 2 V y d m V y L k R h d G F i Y X N l X F w v M i 9 T U U w v c y 1 z c n M t d j A x X F x c X H B k c z t S Q V A v Y 3 N l d C 9 j c 2 V 0 L k R p c 3 R p b m N 0 U H J v c G V y d G l l c y 5 7 T 3 Z l c i B G a X Z l I F l l Y X J z L D N 9 J n F 1 b 3 Q 7 L C Z x d W 9 0 O 1 N l c n Z l c i 5 E Y X R h Y m F z Z V x c L z I v U 1 F M L 3 M t c 3 J z L X Y w M V x c X F x w Z H M 7 U k F Q L 2 N z Z X Q v Y 3 N l d C 5 E a X N 0 a W 5 j d F B y b 3 B l c n R p Z X M u e 0 5 v b i 1 y Z X B l Y X Q g V m l z a X R z L D R 9 J n F 1 b 3 Q 7 X S w m c X V v d D t S Z W x h d G l v b n N o a X B J b m Z v J n F 1 b 3 Q 7 O l t d f S I g L z 4 8 L 1 N 0 Y W J s Z U V u d H J p Z X M + P C 9 J d G V t P j x J d G V t P j x J d G V t T G 9 j Y X R p b 2 4 + P E l 0 Z W 1 U e X B l P k Z v c m 1 1 b G E 8 L 0 l 0 Z W 1 U e X B l P j x J d G V t U G F 0 a D 5 T Z W N 0 a W 9 u M S 9 j c 2 V 0 J T I w R G l z d G l u Y 3 R Q c m 9 w Z X J 0 a W V z L 1 N v d X J j Z T w v S X R l b V B h d G g + P C 9 J d G V t T G 9 j Y X R p b 2 4 + P F N 0 Y W J s Z U V u d H J p Z X M g L z 4 8 L 0 l 0 Z W 0 + P E l 0 Z W 0 + P E l 0 Z W 1 M b 2 N h d G l v b j 4 8 S X R l b V R 5 c G U + R m 9 y b X V s Y T w v S X R l b V R 5 c G U + P E l 0 Z W 1 Q Y X R o P l N l Y 3 R p b 2 4 x L 2 N z Z X Q l M j B E a X N 0 a W 5 j d F B y b 3 B l c n R p Z X M v Y 3 N l d F 9 E a X N 0 a W 5 j d F B y b 3 B l c n R p Z X M 8 L 0 l 0 Z W 1 Q Y X R o P j w v S X R l b U x v Y 2 F 0 a W 9 u P j x T d G F i b G V F b n R y a W V z I C 8 + P C 9 J d G V t P j x J d G V t P j x J d G V t T G 9 j Y X R p b 2 4 + P E l 0 Z W 1 U e X B l P k Z v c m 1 1 b G E 8 L 0 l 0 Z W 1 U e X B l P j x J d G V t U G F 0 a D 5 T Z W N 0 a W 9 u M S 9 j c 2 V 0 J T I w R G l z d G l u Y 3 R B b G F y b X M 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E x h c 3 R V c G R h d G V k I i B W Y W x 1 Z T 0 i Z D I w M j E t M D c t M j N U M D k 6 M T M 6 M D k u N j U 2 M D U 0 M l o i I C 8 + P E V u d H J 5 I F R 5 c G U 9 I k Z p b G x F c n J v c k N v Z G U i I F Z h b H V l P S J z V W 5 r b m 9 3 b i I g L z 4 8 R W 5 0 c n k g V H l w Z T 0 i R m l s b E N v b H V t b k 5 h b W V z I i B W Y W x 1 Z T 0 i c 1 s m c X V v d D t Z Z W F y J n F 1 b 3 Q 7 L C Z x d W 9 0 O 0 l u I E 9 u Z S B Z Z W F y J n F 1 b 3 Q 7 L C Z x d W 9 0 O 0 9 2 Z X I g V G h y Z W U g W W V h c n M m c X V v d D s s J n F 1 b 3 Q 7 T 3 Z l c i B G a X Z l I F l l Y X J z J n F 1 b 3 Q 7 X S I g L z 4 8 R W 5 0 c n k g V H l w Z T 0 i R m l s b E N v b H V t b l R 5 c G V z I i B W Y W x 1 Z T 0 i c 0 J n S U N B Z z 0 9 I i A v P j x F b n R y e S B U e X B l P S J G a W x s R X J y b 3 J D b 3 V u d C I g V m F s d W U 9 I m w w I i A v P j x F b n R y e S B U e X B l P S J G a W x s Q 2 9 1 b n Q i I F Z h b H V l P S J s O C I g L z 4 8 R W 5 0 c n k g V H l w Z T 0 i R m l s b F N 0 Y X R 1 c y I g V m F s d W U 9 I n N D b 2 1 w b G V 0 Z S I g L z 4 8 R W 5 0 c n k g V H l w Z T 0 i R m l s b G V k Q 2 9 t c G x l d G V S Z X N 1 b H R U b 1 d v c m t z a G V l d C I g V m F s d W U 9 I m w x I i A v P j x F b n R y e S B U e X B l P S J B Z G R l Z F R v R G F 0 Y U 1 v Z G V s I i B W Y W x 1 Z T 0 i b D A i I C 8 + P E V u d H J 5 I F R 5 c G U 9 I l J l Y 2 9 2 Z X J 5 V G F y Z 2 V 0 U 2 h l Z X Q i I F Z h b H V l P S J z R G l z d G l u Y 3 Q g U H J v c G V y d G l l c y I g L z 4 8 R W 5 0 c n k g V H l w Z T 0 i U m V j b 3 Z l c n l U Y X J n Z X R D b 2 x 1 b W 4 i I F Z h b H V l P S J s M S I g L z 4 8 R W 5 0 c n k g V H l w Z T 0 i U m V j b 3 Z l c n l U Y X J n Z X R S b 3 c i I F Z h b H V l P S J s M z E i I C 8 + P E V u d H J 5 I F R 5 c G U 9 I k Z p b G x U Y X J n Z X Q i I F Z h b H V l P S J z Y 3 N l d F 9 E a X N 0 a W 5 j d E F s Y X J t c y I g L z 4 8 R W 5 0 c n k g V H l w Z T 0 i U m V s Y X R p b 2 5 z a G l w S W 5 m b 0 N v b n R h a W 5 l c i I g V m F s d W U 9 I n N 7 J n F 1 b 3 Q 7 Y 2 9 s d W 1 u Q 2 9 1 b n Q m c X V v d D s 6 N C w m c X V v d D t r Z X l D b 2 x 1 b W 5 O Y W 1 l c y Z x d W 9 0 O z p b X S w m c X V v d D t x d W V y e V J l b G F 0 a W 9 u c 2 h p c H M m c X V v d D s 6 W 1 0 s J n F 1 b 3 Q 7 Y 2 9 s d W 1 u S W R l b n R p d G l l c y Z x d W 9 0 O z p b J n F 1 b 3 Q 7 U 2 V y d m V y L k R h d G F i Y X N l X F w v M i 9 T U U w v c y 1 z c n M t d j A x X F x c X H B k c z t S Q V A v Y 3 N l d C 9 j c 2 V 0 L k R p c 3 R p b m N 0 Q W x h c m 1 z L n t Z Z W F y L D B 9 J n F 1 b 3 Q 7 L C Z x d W 9 0 O 1 N l c n Z l c i 5 E Y X R h Y m F z Z V x c L z I v U 1 F M L 3 M t c 3 J z L X Y w M V x c X F x w Z H M 7 U k F Q L 2 N z Z X Q v Y 3 N l d C 5 E a X N 0 a W 5 j d E F s Y X J t c y 5 7 S W 4 g T 2 5 l I F l l Y X I s M X 0 m c X V v d D s s J n F 1 b 3 Q 7 U 2 V y d m V y L k R h d G F i Y X N l X F w v M i 9 T U U w v c y 1 z c n M t d j A x X F x c X H B k c z t S Q V A v Y 3 N l d C 9 j c 2 V 0 L k R p c 3 R p b m N 0 Q W x h c m 1 z L n t P d m V y I F R o c m V l I F l l Y X J z L D J 9 J n F 1 b 3 Q 7 L C Z x d W 9 0 O 1 N l c n Z l c i 5 E Y X R h Y m F z Z V x c L z I v U 1 F M L 3 M t c 3 J z L X Y w M V x c X F x w Z H M 7 U k F Q L 2 N z Z X Q v Y 3 N l d C 5 E a X N 0 a W 5 j d E F s Y X J t c y 5 7 T 3 Z l c i B G a X Z l I F l l Y X J z L D N 9 J n F 1 b 3 Q 7 X S w m c X V v d D t D b 2 x 1 b W 5 D b 3 V u d C Z x d W 9 0 O z o 0 L C Z x d W 9 0 O 0 t l e U N v b H V t b k 5 h b W V z J n F 1 b 3 Q 7 O l t d L C Z x d W 9 0 O 0 N v b H V t b k l k Z W 5 0 a X R p Z X M m c X V v d D s 6 W y Z x d W 9 0 O 1 N l c n Z l c i 5 E Y X R h Y m F z Z V x c L z I v U 1 F M L 3 M t c 3 J z L X Y w M V x c X F x w Z H M 7 U k F Q L 2 N z Z X Q v Y 3 N l d C 5 E a X N 0 a W 5 j d E F s Y X J t c y 5 7 W W V h c i w w f S Z x d W 9 0 O y w m c X V v d D t T Z X J 2 Z X I u R G F 0 Y W J h c 2 V c X C 8 y L 1 N R T C 9 z L X N y c y 1 2 M D F c X F x c c G R z O 1 J B U C 9 j c 2 V 0 L 2 N z Z X Q u R G l z d G l u Y 3 R B b G F y b X M u e 0 l u I E 9 u Z S B Z Z W F y L D F 9 J n F 1 b 3 Q 7 L C Z x d W 9 0 O 1 N l c n Z l c i 5 E Y X R h Y m F z Z V x c L z I v U 1 F M L 3 M t c 3 J z L X Y w M V x c X F x w Z H M 7 U k F Q L 2 N z Z X Q v Y 3 N l d C 5 E a X N 0 a W 5 j d E F s Y X J t c y 5 7 T 3 Z l c i B U a H J l Z S B Z Z W F y c y w y f S Z x d W 9 0 O y w m c X V v d D t T Z X J 2 Z X I u R G F 0 Y W J h c 2 V c X C 8 y L 1 N R T C 9 z L X N y c y 1 2 M D F c X F x c c G R z O 1 J B U C 9 j c 2 V 0 L 2 N z Z X Q u R G l z d G l u Y 3 R B b G F y b X M u e 0 9 2 Z X I g R m l 2 Z S B Z Z W F y c y w z f S Z x d W 9 0 O 1 0 s J n F 1 b 3 Q 7 U m V s Y X R p b 2 5 z a G l w S W 5 m b y Z x d W 9 0 O z p b X X 0 i I C 8 + P E V u d H J 5 I F R 5 c G U 9 I l F 1 Z X J 5 S U Q i I F Z h b H V l P S J z M m U 3 M 2 Y 3 N m Y t M z Q z M y 0 0 N G U 4 L W I y Y j g t Z D R m M m Z m N z E 0 Y W Y 4 I i A v P j w v U 3 R h Y m x l R W 5 0 c m l l c z 4 8 L 0 l 0 Z W 0 + P E l 0 Z W 0 + P E l 0 Z W 1 M b 2 N h d G l v b j 4 8 S X R l b V R 5 c G U + R m 9 y b X V s Y T w v S X R l b V R 5 c G U + P E l 0 Z W 1 Q Y X R o P l N l Y 3 R p b 2 4 x L 2 N z Z X Q l M j B E a X N 0 a W 5 j d E F s Y X J t c y 9 T b 3 V y Y 2 U 8 L 0 l 0 Z W 1 Q Y X R o P j w v S X R l b U x v Y 2 F 0 a W 9 u P j x T d G F i b G V F b n R y a W V z I C 8 + P C 9 J d G V t P j x J d G V t P j x J d G V t T G 9 j Y X R p b 2 4 + P E l 0 Z W 1 U e X B l P k Z v c m 1 1 b G E 8 L 0 l 0 Z W 1 U e X B l P j x J d G V t U G F 0 a D 5 T Z W N 0 a W 9 u M S 9 j c 2 V 0 J T I w R G l z d G l u Y 3 R B b G F y b X M v Y 3 N l d F 9 E a X N 0 a W 5 j d E F s Y X J t c z w v S X R l b V B h d G g + P C 9 J d G V t T G 9 j Y X R p b 2 4 + P F N 0 Y W J s Z U V u d H J p Z X M g L z 4 8 L 0 l 0 Z W 0 + P E l 0 Z W 0 + P E l 0 Z W 1 M b 2 N h d G l v b j 4 8 S X R l b V R 5 c G U + R m 9 y b X V s Y T w v S X R l b V R 5 c G U + P E l 0 Z W 1 Q Y X R o P l N l Y 3 R p b 2 4 x L 2 N z Z X Q l M j B E a X N 0 a W 5 j d F Z p c 2 l 0 c 1 9 w Z X J j Z W 5 0 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F c n J v c k N v Z G U i I F Z h b H V l P S J z V W 5 r b m 9 3 b i I g L z 4 8 R W 5 0 c n k g V H l w Z T 0 i R m l s b E N v b H V t b k 5 h b W V z I i B W Y W x 1 Z T 0 i c 1 s m c X V v d D t Z Z W F y J n F 1 b 3 Q 7 L C Z x d W 9 0 O 0 l u I E 9 u Z S B Z Z W F y J n F 1 b 3 Q 7 L C Z x d W 9 0 O 0 9 2 Z X I g V G h y Z W U g W W V h c n M m c X V v d D s s J n F 1 b 3 Q 7 T 3 Z l c i B G a X Z l I F l l Y X J z J n F 1 b 3 Q 7 X S I g L z 4 8 R W 5 0 c n k g V H l w Z T 0 i R m l s b E N v b H V t b l R 5 c G V z I i B W Y W x 1 Z T 0 i c 0 J n V U Z C U T 0 9 I i A v P j x F b n R y e S B U e X B l P S J G a W x s R X J y b 3 J D b 3 V u d C I g V m F s d W U 9 I m w w I i A v P j x F b n R y e S B U e X B l P S J G a W x s Q 2 9 1 b n Q i I F Z h b H V l P S J s O C I g L z 4 8 R W 5 0 c n k g V H l w Z T 0 i R m l s b F N 0 Y X R 1 c y I g V m F s d W U 9 I n N D b 2 1 w b G V 0 Z S I g L z 4 8 R W 5 0 c n k g V H l w Z T 0 i R m l s b F R h c m d l d C I g V m F s d W U 9 I n N j c 2 V 0 X 0 R p c 3 R p b m N 0 V m l z a X R z X 3 B l c m N l b n Q i I C 8 + P E V u d H J 5 I F R 5 c G U 9 I k Z p b G x l Z E N v b X B s Z X R l U m V z d W x 0 V G 9 X b 3 J r c 2 h l Z X Q i I F Z h b H V l P S J s M S I g L z 4 8 R W 5 0 c n k g V H l w Z T 0 i Q W R k Z W R U b 0 R h d G F N b 2 R l b C I g V m F s d W U 9 I m w w I i A v P j x F b n R y e S B U e X B l P S J S Z W N v d m V y e V R h c m d l d F N o Z W V 0 I i B W Y W x 1 Z T 0 i c 0 R p c 3 R p b m N 0 I F B y b 3 B l c n Q u I F B v c H V s L i I g L z 4 8 R W 5 0 c n k g V H l w Z T 0 i U m V j b 3 Z l c n l U Y X J n Z X R D b 2 x 1 b W 4 i I F Z h b H V l P S J s M S I g L z 4 8 R W 5 0 c n k g V H l w Z T 0 i U m V j b 3 Z l c n l U Y X J n Z X R S b 3 c i I F Z h b H V l P S J s M T A i I C 8 + P E V u d H J 5 I F R 5 c G U 9 I k Z p b G x M Y X N 0 V X B k Y X R l Z C I g V m F s d W U 9 I m Q y M D I x L T A 3 L T I z V D A 5 O j E z O j E w L j A w M z U 3 O D h a I i A v P j x F b n R y e S B U e X B l P S J R d W V y e U l E I i B W Y W x 1 Z T 0 i c z I 4 N j M 0 O D l m L T U 4 M W Q t N D V k M C 1 i N 2 Q 2 L T A 3 Y T F h O G U w N j E w Z S I g L z 4 8 R W 5 0 c n k g V H l w Z T 0 i U m V s Y X R p b 2 5 z a G l w S W 5 m b 0 N v b n R h a W 5 l c i I g V m F s d W U 9 I n N 7 J n F 1 b 3 Q 7 Y 2 9 s d W 1 u Q 2 9 1 b n Q m c X V v d D s 6 N C w m c X V v d D t r Z X l D b 2 x 1 b W 5 O Y W 1 l c y Z x d W 9 0 O z p b X S w m c X V v d D t x d W V y e V J l b G F 0 a W 9 u c 2 h p c H M m c X V v d D s 6 W 1 0 s J n F 1 b 3 Q 7 Y 2 9 s d W 1 u S W R l b n R p d G l l c y Z x d W 9 0 O z p b J n F 1 b 3 Q 7 U 2 V y d m V y L k R h d G F i Y X N l X F w v M i 9 T U U w v c y 1 z c n M t d j A x X F x c X H B k c z t S Q V A v Y 3 N l d C 9 j c 2 V 0 L k R p c 3 R p b m N 0 V m l z a X R z X 3 B l c m N l b n Q u e 1 l l Y X I s M H 0 m c X V v d D s s J n F 1 b 3 Q 7 U 2 V y d m V y L k R h d G F i Y X N l X F w v M i 9 T U U w v c y 1 z c n M t d j A x X F x c X H B k c z t S Q V A v Y 3 N l d C 9 j c 2 V 0 L k R p c 3 R p b m N 0 V m l z a X R z X 3 B l c m N l b n Q u e 0 l u I E 9 u Z S B Z Z W F y L D F 9 J n F 1 b 3 Q 7 L C Z x d W 9 0 O 1 N l c n Z l c i 5 E Y X R h Y m F z Z V x c L z I v U 1 F M L 3 M t c 3 J z L X Y w M V x c X F x w Z H M 7 U k F Q L 2 N z Z X Q v Y 3 N l d C 5 E a X N 0 a W 5 j d F Z p c 2 l 0 c 1 9 w Z X J j Z W 5 0 L n t P d m V y I F R o c m V l I F l l Y X J z L D J 9 J n F 1 b 3 Q 7 L C Z x d W 9 0 O 1 N l c n Z l c i 5 E Y X R h Y m F z Z V x c L z I v U 1 F M L 3 M t c 3 J z L X Y w M V x c X F x w Z H M 7 U k F Q L 2 N z Z X Q v Y 3 N l d C 5 E a X N 0 a W 5 j d F Z p c 2 l 0 c 1 9 w Z X J j Z W 5 0 L n t P d m V y I E Z p d m U g W W V h c n M s M 3 0 m c X V v d D t d L C Z x d W 9 0 O 0 N v b H V t b k N v d W 5 0 J n F 1 b 3 Q 7 O j Q s J n F 1 b 3 Q 7 S 2 V 5 Q 2 9 s d W 1 u T m F t Z X M m c X V v d D s 6 W 1 0 s J n F 1 b 3 Q 7 Q 2 9 s d W 1 u S W R l b n R p d G l l c y Z x d W 9 0 O z p b J n F 1 b 3 Q 7 U 2 V y d m V y L k R h d G F i Y X N l X F w v M i 9 T U U w v c y 1 z c n M t d j A x X F x c X H B k c z t S Q V A v Y 3 N l d C 9 j c 2 V 0 L k R p c 3 R p b m N 0 V m l z a X R z X 3 B l c m N l b n Q u e 1 l l Y X I s M H 0 m c X V v d D s s J n F 1 b 3 Q 7 U 2 V y d m V y L k R h d G F i Y X N l X F w v M i 9 T U U w v c y 1 z c n M t d j A x X F x c X H B k c z t S Q V A v Y 3 N l d C 9 j c 2 V 0 L k R p c 3 R p b m N 0 V m l z a X R z X 3 B l c m N l b n Q u e 0 l u I E 9 u Z S B Z Z W F y L D F 9 J n F 1 b 3 Q 7 L C Z x d W 9 0 O 1 N l c n Z l c i 5 E Y X R h Y m F z Z V x c L z I v U 1 F M L 3 M t c 3 J z L X Y w M V x c X F x w Z H M 7 U k F Q L 2 N z Z X Q v Y 3 N l d C 5 E a X N 0 a W 5 j d F Z p c 2 l 0 c 1 9 w Z X J j Z W 5 0 L n t P d m V y I F R o c m V l I F l l Y X J z L D J 9 J n F 1 b 3 Q 7 L C Z x d W 9 0 O 1 N l c n Z l c i 5 E Y X R h Y m F z Z V x c L z I v U 1 F M L 3 M t c 3 J z L X Y w M V x c X F x w Z H M 7 U k F Q L 2 N z Z X Q v Y 3 N l d C 5 E a X N 0 a W 5 j d F Z p c 2 l 0 c 1 9 w Z X J j Z W 5 0 L n t P d m V y I E Z p d m U g W W V h c n M s M 3 0 m c X V v d D t d L C Z x d W 9 0 O 1 J l b G F 0 a W 9 u c 2 h p c E l u Z m 8 m c X V v d D s 6 W 1 1 9 I i A v P j w v U 3 R h Y m x l R W 5 0 c m l l c z 4 8 L 0 l 0 Z W 0 + P E l 0 Z W 0 + P E l 0 Z W 1 M b 2 N h d G l v b j 4 8 S X R l b V R 5 c G U + R m 9 y b X V s Y T w v S X R l b V R 5 c G U + P E l 0 Z W 1 Q Y X R o P l N l Y 3 R p b 2 4 x L 2 N z Z X Q l M j B E a X N 0 a W 5 j d F Z p c 2 l 0 c 1 9 w Z X J j Z W 5 0 L 1 N v d X J j Z T w v S X R l b V B h d G g + P C 9 J d G V t T G 9 j Y X R p b 2 4 + P F N 0 Y W J s Z U V u d H J p Z X M g L z 4 8 L 0 l 0 Z W 0 + P E l 0 Z W 0 + P E l 0 Z W 1 M b 2 N h d G l v b j 4 8 S X R l b V R 5 c G U + R m 9 y b X V s Y T w v S X R l b V R 5 c G U + P E l 0 Z W 1 Q Y X R o P l N l Y 3 R p b 2 4 x L 2 N z Z X Q l M j B E a X N 0 a W 5 j d F Z p c 2 l 0 c 1 9 w Z X J j Z W 5 0 L 2 N z Z X R f R G l z d G l u Y 3 R W a X N p d H N f c G V y Y 2 V u d D w v S X R l b V B h d G g + P C 9 J d G V t T G 9 j Y X R p b 2 4 + P F N 0 Y W J s Z U V u d H J p Z X M g L z 4 8 L 0 l 0 Z W 0 + P E l 0 Z W 0 + P E l 0 Z W 1 M b 2 N h d G l v b j 4 8 S X R l b V R 5 c G U + R m 9 y b X V s Y T w v S X R l b V R 5 c G U + P E l 0 Z W 1 Q Y X R o P l N l Y 3 R p b 2 4 x L 2 N z Z X Q l M j B E a X N 0 a W 5 j d E F s Y X J t c 1 9 w Z X J j Z W 5 0 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M Y X N 0 V X B k Y X R l Z C I g V m F s d W U 9 I m Q y M D I x L T A 3 L T I z V D A 5 O j E z O j A 5 L j g y N T A x M D d a I i A v P j x F b n R y e S B U e X B l P S J G a W x s R X J y b 3 J D b 2 R l I i B W Y W x 1 Z T 0 i c 1 V u a 2 5 v d 2 4 i I C 8 + P E V u d H J 5 I F R 5 c G U 9 I k Z p b G x D b 2 x 1 b W 5 O Y W 1 l c y I g V m F s d W U 9 I n N b J n F 1 b 3 Q 7 W W V h c i Z x d W 9 0 O y w m c X V v d D t J b i B P b m U g W W V h c i Z x d W 9 0 O y w m c X V v d D t P d m V y I F R o c m V l I F l l Y X J z J n F 1 b 3 Q 7 L C Z x d W 9 0 O 0 9 2 Z X I g R m l 2 Z S B Z Z W F y c y Z x d W 9 0 O 1 0 i I C 8 + P E V u d H J 5 I F R 5 c G U 9 I k Z p b G x D b 2 x 1 b W 5 U e X B l c y I g V m F s d W U 9 I n N C Z 1 V G Q l E 9 P S I g L z 4 8 R W 5 0 c n k g V H l w Z T 0 i R m l s b E V y c m 9 y Q 2 9 1 b n Q i I F Z h b H V l P S J s M C I g L z 4 8 R W 5 0 c n k g V H l w Z T 0 i R m l s b E N v d W 5 0 I i B W Y W x 1 Z T 0 i b D g i I C 8 + P E V u d H J 5 I F R 5 c G U 9 I k Z p b G x T d G F 0 d X M i I F Z h b H V l P S J z Q 2 9 t c G x l d G U i I C 8 + P E V u d H J 5 I F R 5 c G U 9 I k Z p b G x l Z E N v b X B s Z X R l U m V z d W x 0 V G 9 X b 3 J r c 2 h l Z X Q i I F Z h b H V l P S J s M S I g L z 4 8 R W 5 0 c n k g V H l w Z T 0 i Q W R k Z W R U b 0 R h d G F N b 2 R l b C I g V m F s d W U 9 I m w w I i A v P j x F b n R y e S B U e X B l P S J S Z W N v d m V y e V R h c m d l d F N o Z W V 0 I i B W Y W x 1 Z T 0 i c 0 R p c 3 R p b m N 0 I F B y b 3 B l c n Q u I F B v c H V s L i I g L z 4 8 R W 5 0 c n k g V H l w Z T 0 i U m V j b 3 Z l c n l U Y X J n Z X R D b 2 x 1 b W 4 i I F Z h b H V l P S J s M S I g L z 4 8 R W 5 0 c n k g V H l w Z T 0 i U m V j b 3 Z l c n l U Y X J n Z X R S b 3 c i I F Z h b H V l P S J s M z A i I C 8 + P E V u d H J 5 I F R 5 c G U 9 I k Z p b G x U Y X J n Z X Q i I F Z h b H V l P S J z Y 3 N l d F 9 E a X N 0 a W 5 j d E F s Y X J t c 1 9 w Z X J j Z W 5 0 I i A v P j x F b n R y e S B U e X B l P S J S Z W x h d G l v b n N o a X B J b m Z v Q 2 9 u d G F p b m V y I i B W Y W x 1 Z T 0 i c 3 s m c X V v d D t j b 2 x 1 b W 5 D b 3 V u d C Z x d W 9 0 O z o 0 L C Z x d W 9 0 O 2 t l e U N v b H V t b k 5 h b W V z J n F 1 b 3 Q 7 O l t d L C Z x d W 9 0 O 3 F 1 Z X J 5 U m V s Y X R p b 2 5 z a G l w c y Z x d W 9 0 O z p b X S w m c X V v d D t j b 2 x 1 b W 5 J Z G V u d G l 0 a W V z J n F 1 b 3 Q 7 O l s m c X V v d D t T Z X J 2 Z X I u R G F 0 Y W J h c 2 V c X C 8 y L 1 N R T C 9 z L X N y c y 1 2 M D F c X F x c c G R z O 1 J B U C 9 j c 2 V 0 L 2 N z Z X Q u R G l z d G l u Y 3 R B b G F y b X N f c G V y Y 2 V u d C 5 7 W W V h c i w w f S Z x d W 9 0 O y w m c X V v d D t T Z X J 2 Z X I u R G F 0 Y W J h c 2 V c X C 8 y L 1 N R T C 9 z L X N y c y 1 2 M D F c X F x c c G R z O 1 J B U C 9 j c 2 V 0 L 2 N z Z X Q u R G l z d G l u Y 3 R B b G F y b X N f c G V y Y 2 V u d C 5 7 S W 4 g T 2 5 l I F l l Y X I s M X 0 m c X V v d D s s J n F 1 b 3 Q 7 U 2 V y d m V y L k R h d G F i Y X N l X F w v M i 9 T U U w v c y 1 z c n M t d j A x X F x c X H B k c z t S Q V A v Y 3 N l d C 9 j c 2 V 0 L k R p c 3 R p b m N 0 Q W x h c m 1 z X 3 B l c m N l b n Q u e 0 9 2 Z X I g V G h y Z W U g W W V h c n M s M n 0 m c X V v d D s s J n F 1 b 3 Q 7 U 2 V y d m V y L k R h d G F i Y X N l X F w v M i 9 T U U w v c y 1 z c n M t d j A x X F x c X H B k c z t S Q V A v Y 3 N l d C 9 j c 2 V 0 L k R p c 3 R p b m N 0 Q W x h c m 1 z X 3 B l c m N l b n Q u e 0 9 2 Z X I g R m l 2 Z S B Z Z W F y c y w z f S Z x d W 9 0 O 1 0 s J n F 1 b 3 Q 7 Q 2 9 s d W 1 u Q 2 9 1 b n Q m c X V v d D s 6 N C w m c X V v d D t L Z X l D b 2 x 1 b W 5 O Y W 1 l c y Z x d W 9 0 O z p b X S w m c X V v d D t D b 2 x 1 b W 5 J Z G V u d G l 0 a W V z J n F 1 b 3 Q 7 O l s m c X V v d D t T Z X J 2 Z X I u R G F 0 Y W J h c 2 V c X C 8 y L 1 N R T C 9 z L X N y c y 1 2 M D F c X F x c c G R z O 1 J B U C 9 j c 2 V 0 L 2 N z Z X Q u R G l z d G l u Y 3 R B b G F y b X N f c G V y Y 2 V u d C 5 7 W W V h c i w w f S Z x d W 9 0 O y w m c X V v d D t T Z X J 2 Z X I u R G F 0 Y W J h c 2 V c X C 8 y L 1 N R T C 9 z L X N y c y 1 2 M D F c X F x c c G R z O 1 J B U C 9 j c 2 V 0 L 2 N z Z X Q u R G l z d G l u Y 3 R B b G F y b X N f c G V y Y 2 V u d C 5 7 S W 4 g T 2 5 l I F l l Y X I s M X 0 m c X V v d D s s J n F 1 b 3 Q 7 U 2 V y d m V y L k R h d G F i Y X N l X F w v M i 9 T U U w v c y 1 z c n M t d j A x X F x c X H B k c z t S Q V A v Y 3 N l d C 9 j c 2 V 0 L k R p c 3 R p b m N 0 Q W x h c m 1 z X 3 B l c m N l b n Q u e 0 9 2 Z X I g V G h y Z W U g W W V h c n M s M n 0 m c X V v d D s s J n F 1 b 3 Q 7 U 2 V y d m V y L k R h d G F i Y X N l X F w v M i 9 T U U w v c y 1 z c n M t d j A x X F x c X H B k c z t S Q V A v Y 3 N l d C 9 j c 2 V 0 L k R p c 3 R p b m N 0 Q W x h c m 1 z X 3 B l c m N l b n Q u e 0 9 2 Z X I g R m l 2 Z S B Z Z W F y c y w z f S Z x d W 9 0 O 1 0 s J n F 1 b 3 Q 7 U m V s Y X R p b 2 5 z a G l w S W 5 m b y Z x d W 9 0 O z p b X X 0 i I C 8 + P E V u d H J 5 I F R 5 c G U 9 I l F 1 Z X J 5 S U Q i I F Z h b H V l P S J z Y m M x M W I 4 M W Y t N j Q 5 N i 0 0 Z m E z L T k 2 M T c t O W R l Y j k x Z m U w O T E x I i A v P j w v U 3 R h Y m x l R W 5 0 c m l l c z 4 8 L 0 l 0 Z W 0 + P E l 0 Z W 0 + P E l 0 Z W 1 M b 2 N h d G l v b j 4 8 S X R l b V R 5 c G U + R m 9 y b X V s Y T w v S X R l b V R 5 c G U + P E l 0 Z W 1 Q Y X R o P l N l Y 3 R p b 2 4 x L 2 N z Z X Q l M j B E a X N 0 a W 5 j d E F s Y X J t c 1 9 w Z X J j Z W 5 0 L 1 N v d X J j Z T w v S X R l b V B h d G g + P C 9 J d G V t T G 9 j Y X R p b 2 4 + P F N 0 Y W J s Z U V u d H J p Z X M g L z 4 8 L 0 l 0 Z W 0 + P E l 0 Z W 0 + P E l 0 Z W 1 M b 2 N h d G l v b j 4 8 S X R l b V R 5 c G U + R m 9 y b X V s Y T w v S X R l b V R 5 c G U + P E l 0 Z W 1 Q Y X R o P l N l Y 3 R p b 2 4 x L 2 N z Z X Q l M j B E a X N 0 a W 5 j d E F s Y X J t c 1 9 w Z X J j Z W 5 0 L 2 N z Z X R f R G l z d G l u Y 3 R B b G F y b X N f c G V y Y 2 V u d D w v S X R l b V B h d G g + P C 9 J d G V t T G 9 j Y X R p b 2 4 + P F N 0 Y W J s Z U V u d H J p Z X M g L z 4 8 L 0 l 0 Z W 0 + P E l 0 Z W 0 + P E l 0 Z W 1 M b 2 N h d G l v b j 4 8 S X R l b V R 5 c G U + R m 9 y b X V s Y T w v S X R l b V R 5 c G U + P E l 0 Z W 1 Q Y X R o P l N l Y 3 R p b 2 4 x L 3 B w J T I w U F B F R F 9 X b 3 J r Z m x v d 3 M 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E x h c 3 R V c G R h d G V k I i B W Y W x 1 Z T 0 i Z D I w M j E t M D c t M j d U M D k 6 M T M 6 M z c u N z k 4 N z k 4 M F o i I C 8 + P E V u d H J 5 I F R 5 c G U 9 I k Z p b G x F c n J v c k N v Z G U i I F Z h b H V l P S J z V W 5 r b m 9 3 b i I g L z 4 8 R W 5 0 c n k g V H l w Z T 0 i R m l s b E N v b H V t b k 5 h b W V z I i B W Y W x 1 Z T 0 i c 1 s m c X V v d D t Z Z W F y J n F 1 b 3 Q 7 L C Z x d W 9 0 O 0 F 1 Z G l 0 c y Z x d W 9 0 O y w m c X V v d D t Q b 3 N 0 I E Z p c m U g U 2 h v c n Q g Q X V k a X R z J n F 1 b 3 Q 7 L C Z x d W 9 0 O 1 N p d G U g V m l z a X R z J n F 1 b 3 Q 7 L C Z x d W 9 0 O 0 N v b n N 1 b H R h d G l v b n M m c X V v d D s s J n F 1 b 3 Q 7 R m l y Z S B F b m d p b m V l c m l u Z y B D b 2 5 z d W x 0 Y X R p b 2 4 m c X V v d D t d I i A v P j x F b n R y e S B U e X B l P S J G a W x s Q 2 9 s d W 1 u V H l w Z X M i I F Z h b H V l P S J z Q m d V R k J R V U Y i I C 8 + P E V u d H J 5 I F R 5 c G U 9 I k Z p b G x F c n J v c k N v d W 5 0 I i B W Y W x 1 Z T 0 i b D A i I C 8 + P E V u d H J 5 I F R 5 c G U 9 I k Z p b G x D b 3 V u d C I g V m F s d W U 9 I m w 3 I i A v P j x F b n R y e S B U e X B l P S J G a W x s Z W R D b 2 1 w b G V 0 Z V J l c 3 V s d F R v V 2 9 y a 3 N o Z W V 0 I i B W Y W x 1 Z T 0 i b D E i I C 8 + P E V u d H J 5 I F R 5 c G U 9 I k F k Z G V k V G 9 E Y X R h T W 9 k Z W w i I F Z h b H V l P S J s M C I g L z 4 8 R W 5 0 c n k g V H l w Z T 0 i U m V j b 3 Z l c n l U Y X J n Z X R T a G V l d C I g V m F s d W U 9 I n N X b 3 J r Z m x v d 3 M i I C 8 + P E V u d H J 5 I F R 5 c G U 9 I l J l Y 2 9 2 Z X J 5 V G F y Z 2 V 0 Q 2 9 s d W 1 u I i B W Y W x 1 Z T 0 i b D E i I C 8 + P E V u d H J 5 I F R 5 c G U 9 I l J l Y 2 9 2 Z X J 5 V G F y Z 2 V 0 U m 9 3 I i B W Y W x 1 Z T 0 i b D k i I C 8 + P E V u d H J 5 I F R 5 c G U 9 I k Z p b G x T d G F 0 d X M i I F Z h b H V l P S J z Q 2 9 t c G x l d G U i I C 8 + P E V u d H J 5 I F R 5 c G U 9 I l F 1 Z X J 5 S U Q i I F Z h b H V l P S J z Z D k 1 Y z l l Y j E t M T M 1 N C 0 0 O W I w L T k y M G U t N m E 2 M T k w M j Y 1 O D U w I i A v P j x F b n R y e S B U e X B l P S J G a W x s V G F y Z 2 V 0 I i B W Y W x 1 Z T 0 i c 3 B w X 1 B Q R U R f V 2 9 y a 2 Z s b 3 d z I i A v P j x F b n R y e S B U e X B l P S J S Z W x h d G l v b n N o a X B J b m Z v Q 2 9 u d G F p b m V y I i B W Y W x 1 Z T 0 i c 3 s m c X V v d D t j b 2 x 1 b W 5 D b 3 V u d C Z x d W 9 0 O z o 2 L C Z x d W 9 0 O 2 t l e U N v b H V t b k 5 h b W V z J n F 1 b 3 Q 7 O l t d L C Z x d W 9 0 O 3 F 1 Z X J 5 U m V s Y X R p b 2 5 z a G l w c y Z x d W 9 0 O z p b X S w m c X V v d D t j b 2 x 1 b W 5 J Z G V u d G l 0 a W V z J n F 1 b 3 Q 7 O l s m c X V v d D t T Z X J 2 Z X I u R G F 0 Y W J h c 2 V c X C 8 y L 1 N R T C 9 z L X N y c y 1 2 M D F c X F x c c G R z O 1 J B U C 9 w c C 9 w c C 5 Q U E V E X 1 d v c m t m b G 9 3 c y 5 7 W W V h c i w w f S Z x d W 9 0 O y w m c X V v d D t T Z X J 2 Z X I u R G F 0 Y W J h c 2 V c X C 8 y L 1 N R T C 9 z L X N y c y 1 2 M D F c X F x c c G R z O 1 J B U C 9 w c C 9 w c C 5 Q U E V E X 1 d v c m t m b G 9 3 c y 5 7 Q X V k a X R z L D F 9 J n F 1 b 3 Q 7 L C Z x d W 9 0 O 1 N l c n Z l c i 5 E Y X R h Y m F z Z V x c L z I v U 1 F M L 3 M t c 3 J z L X Y w M V x c X F x w Z H M 7 U k F Q L 3 B w L 3 B w L l B Q R U R f V 2 9 y a 2 Z s b 3 d z L n t Q b 3 N 0 I E Z p c m U g U 2 h v c n Q g Q X V k a X R z L D J 9 J n F 1 b 3 Q 7 L C Z x d W 9 0 O 1 N l c n Z l c i 5 E Y X R h Y m F z Z V x c L z I v U 1 F M L 3 M t c 3 J z L X Y w M V x c X F x w Z H M 7 U k F Q L 3 B w L 3 B w L l B Q R U R f V 2 9 y a 2 Z s b 3 d z L n t T a X R l I F Z p c 2 l 0 c y w z f S Z x d W 9 0 O y w m c X V v d D t T Z X J 2 Z X I u R G F 0 Y W J h c 2 V c X C 8 y L 1 N R T C 9 z L X N y c y 1 2 M D F c X F x c c G R z O 1 J B U C 9 w c C 9 w c C 5 Q U E V E X 1 d v c m t m b G 9 3 c y 5 7 Q 2 9 u c 3 V s d G F 0 a W 9 u c y w 0 f S Z x d W 9 0 O y w m c X V v d D t T Z X J 2 Z X I u R G F 0 Y W J h c 2 V c X C 8 y L 1 N R T C 9 z L X N y c y 1 2 M D F c X F x c c G R z O 1 J B U C 9 w c C 9 w c C 5 Q U E V E X 1 d v c m t m b G 9 3 c y 5 7 R m l y Z S B F b m d p b m V l c m l u Z y B D b 2 5 z d W x 0 Y X R p b 2 4 s N X 0 m c X V v d D t d L C Z x d W 9 0 O 0 N v b H V t b k N v d W 5 0 J n F 1 b 3 Q 7 O j Y s J n F 1 b 3 Q 7 S 2 V 5 Q 2 9 s d W 1 u T m F t Z X M m c X V v d D s 6 W 1 0 s J n F 1 b 3 Q 7 Q 2 9 s d W 1 u S W R l b n R p d G l l c y Z x d W 9 0 O z p b J n F 1 b 3 Q 7 U 2 V y d m V y L k R h d G F i Y X N l X F w v M i 9 T U U w v c y 1 z c n M t d j A x X F x c X H B k c z t S Q V A v c H A v c H A u U F B F R F 9 X b 3 J r Z m x v d 3 M u e 1 l l Y X I s M H 0 m c X V v d D s s J n F 1 b 3 Q 7 U 2 V y d m V y L k R h d G F i Y X N l X F w v M i 9 T U U w v c y 1 z c n M t d j A x X F x c X H B k c z t S Q V A v c H A v c H A u U F B F R F 9 X b 3 J r Z m x v d 3 M u e 0 F 1 Z G l 0 c y w x f S Z x d W 9 0 O y w m c X V v d D t T Z X J 2 Z X I u R G F 0 Y W J h c 2 V c X C 8 y L 1 N R T C 9 z L X N y c y 1 2 M D F c X F x c c G R z O 1 J B U C 9 w c C 9 w c C 5 Q U E V E X 1 d v c m t m b G 9 3 c y 5 7 U G 9 z d C B G a X J l I F N o b 3 J 0 I E F 1 Z G l 0 c y w y f S Z x d W 9 0 O y w m c X V v d D t T Z X J 2 Z X I u R G F 0 Y W J h c 2 V c X C 8 y L 1 N R T C 9 z L X N y c y 1 2 M D F c X F x c c G R z O 1 J B U C 9 w c C 9 w c C 5 Q U E V E X 1 d v c m t m b G 9 3 c y 5 7 U 2 l 0 Z S B W a X N p d H M s M 3 0 m c X V v d D s s J n F 1 b 3 Q 7 U 2 V y d m V y L k R h d G F i Y X N l X F w v M i 9 T U U w v c y 1 z c n M t d j A x X F x c X H B k c z t S Q V A v c H A v c H A u U F B F R F 9 X b 3 J r Z m x v d 3 M u e 0 N v b n N 1 b H R h d G l v b n M s N H 0 m c X V v d D s s J n F 1 b 3 Q 7 U 2 V y d m V y L k R h d G F i Y X N l X F w v M i 9 T U U w v c y 1 z c n M t d j A x X F x c X H B k c z t S Q V A v c H A v c H A u U F B F R F 9 X b 3 J r Z m x v d 3 M u e 0 Z p c m U g R W 5 n a W 5 l Z X J p b m c g Q 2 9 u c 3 V s d G F 0 a W 9 u L D V 9 J n F 1 b 3 Q 7 X S w m c X V v d D t S Z W x h d G l v b n N o a X B J b m Z v J n F 1 b 3 Q 7 O l t d f S I g L z 4 8 L 1 N 0 Y W J s Z U V u d H J p Z X M + P C 9 J d G V t P j x J d G V t P j x J d G V t T G 9 j Y X R p b 2 4 + P E l 0 Z W 1 U e X B l P k Z v c m 1 1 b G E 8 L 0 l 0 Z W 1 U e X B l P j x J d G V t U G F 0 a D 5 T Z W N 0 a W 9 u M S 9 w c C U y M F B Q R U R f V 2 9 y a 2 Z s b 3 d z L 1 N v d X J j Z T w v S X R l b V B h d G g + P C 9 J d G V t T G 9 j Y X R p b 2 4 + P F N 0 Y W J s Z U V u d H J p Z X M g L z 4 8 L 0 l 0 Z W 0 + P E l 0 Z W 0 + P E l 0 Z W 1 M b 2 N h d G l v b j 4 8 S X R l b V R 5 c G U + R m 9 y b X V s Y T w v S X R l b V R 5 c G U + P E l 0 Z W 1 Q Y X R o P l N l Y 3 R p b 2 4 x L 3 B w J T I w U F B F R F 9 X b 3 J r Z m x v d 3 M v c H B f U F B F R F 9 X b 3 J r Z m x v d 3 M 8 L 0 l 0 Z W 1 Q Y X R o P j w v S X R l b U x v Y 2 F 0 a W 9 u P j x T d G F i b G V F b n R y a W V z I C 8 + P C 9 J d G V t P j x J d G V t P j x J d G V t T G 9 j Y X R p b 2 4 + P E l 0 Z W 1 U e X B l P k Z v c m 1 1 b G E 8 L 0 l 0 Z W 1 U e X B l P j x J d G V t U G F 0 a D 5 T Z W N 0 a W 9 u M S 9 w c C U y M F B Q R U R f Q X V k a X R z 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Z p b G x M Y X N 0 V X B k Y X R l Z C I g V m F s d W U 9 I m Q y M D I x L T A 3 L T I 3 V D A 5 O j E z O j Q 2 L j E 5 M D I 4 N z l a I i A v P j x F b n R y e S B U e X B l P S J G a W x s R X J y b 3 J D b 2 R l I i B W Y W x 1 Z T 0 i c 1 V u a 2 5 v d 2 4 i I C 8 + P E V u d H J 5 I F R 5 c G U 9 I k Z p b G x D b 2 x 1 b W 5 O Y W 1 l c y I g V m F s d W U 9 I n N b J n F 1 b 3 Q 7 U H J l b W l z Z X M g d H l w Z S Z x d W 9 0 O y w m c X V v d D s y M D A 5 L T E w J n F 1 b 3 Q 7 L C Z x d W 9 0 O z I w M T A t M T E m c X V v d D s s J n F 1 b 3 Q 7 M j A x M S 0 x M i Z x d W 9 0 O y w m c X V v d D s y M D E y L T E z J n F 1 b 3 Q 7 L C Z x d W 9 0 O z I w M T M t M T Q m c X V v d D s s J n F 1 b 3 Q 7 M j A x N C 0 x N S Z x d W 9 0 O y w m c X V v d D s y M D E 1 L T E 2 J n F 1 b 3 Q 7 L C Z x d W 9 0 O z I w M T Y t M T c m c X V v d D s s J n F 1 b 3 Q 7 M j A x N y 0 x O C Z x d W 9 0 O y w m c X V v d D s y M D E 4 L T E 5 J n F 1 b 3 Q 7 L C Z x d W 9 0 O z I w M T k t M j A m c X V v d D s s J n F 1 b 3 Q 7 M j A y M C 0 y M S Z x d W 9 0 O 1 0 i I C 8 + P E V u d H J 5 I F R 5 c G U 9 I k Z p b G x D b 2 x 1 b W 5 U e X B l c y I g V m F s d W U 9 I n N C Z 1 V G Q l F V R k J R V U Z C U V V G Q l E 9 P S I g L z 4 8 R W 5 0 c n k g V H l w Z T 0 i R m l s b E V y c m 9 y Q 2 9 1 b n Q i I F Z h b H V l P S J s M C I g L z 4 8 R W 5 0 c n k g V H l w Z T 0 i R m l s b E N v d W 5 0 I i B W Y W x 1 Z T 0 i b D E 1 I i A v P j x F b n R y e S B U e X B l P S J G a W x s Z W R D b 2 1 w b G V 0 Z V J l c 3 V s d F R v V 2 9 y a 3 N o Z W V 0 I i B W Y W x 1 Z T 0 i b D E i I C 8 + P E V u d H J 5 I F R 5 c G U 9 I k F k Z G V k V G 9 E Y X R h T W 9 k Z W w i I F Z h b H V l P S J s M C I g L z 4 8 R W 5 0 c n k g V H l w Z T 0 i U m V j b 3 Z l c n l U Y X J n Z X R T a G V l d C I g V m F s d W U 9 I n N B d W R p d H M i I C 8 + P E V u d H J 5 I F R 5 c G U 9 I l J l Y 2 9 2 Z X J 5 V G F y Z 2 V 0 Q 2 9 s d W 1 u I i B W Y W x 1 Z T 0 i b D E i I C 8 + P E V u d H J 5 I F R 5 c G U 9 I l J l Y 2 9 2 Z X J 5 V G F y Z 2 V 0 U m 9 3 I i B W Y W x 1 Z T 0 i b D k i I C 8 + P E V u d H J 5 I F R 5 c G U 9 I k Z p b G x T d G F 0 d X M i I F Z h b H V l P S J z Q 2 9 t c G x l d G U i I C 8 + P E V u d H J 5 I F R 5 c G U 9 I l F 1 Z X J 5 S U Q i I F Z h b H V l P S J z Z W I 4 Z j Y 5 Y m M t Y m Q 5 Z i 0 0 Z D E 2 L W J j Y T A t M j A 0 Z m J m Z T Y 1 Y j A y I i A v P j x F b n R y e S B U e X B l P S J G a W x s V G F y Z 2 V 0 I i B W Y W x 1 Z T 0 i c 3 B w X 1 B Q R U R f Q X V k a X R z I i A v P j x F b n R y e S B U e X B l P S J S Z W x h d G l v b n N o a X B J b m Z v Q 2 9 u d G F p b m V y I i B W Y W x 1 Z T 0 i c 3 s m c X V v d D t j b 2 x 1 b W 5 D b 3 V u d C Z x d W 9 0 O z o x M y w m c X V v d D t r Z X l D b 2 x 1 b W 5 O Y W 1 l c y Z x d W 9 0 O z p b X S w m c X V v d D t x d W V y e V J l b G F 0 a W 9 u c 2 h p c H M m c X V v d D s 6 W 1 0 s J n F 1 b 3 Q 7 Y 2 9 s d W 1 u S W R l b n R p d G l l c y Z x d W 9 0 O z p b J n F 1 b 3 Q 7 U 2 V y d m V y L k R h d G F i Y X N l X F w v M i 9 T U U w v c y 1 z c n M t d j A x X F x c X H B k c z t S Q V A v c H A v c H A u U F B F R F 9 B d W R p d H M u e 1 B y Z W 1 p c 2 V z I H R 5 c G U s M X 0 m c X V v d D s s J n F 1 b 3 Q 7 U 2 V y d m V y L k R h d G F i Y X N l X F w v M i 9 T U U w v c y 1 z c n M t d j A x X F x c X H B k c z t S Q V A v c H A v c H A u U F B F R F 9 B d W R p d H M u e z I w M D k t M T A s M 3 0 m c X V v d D s s J n F 1 b 3 Q 7 U 2 V y d m V y L k R h d G F i Y X N l X F w v M i 9 T U U w v c y 1 z c n M t d j A x X F x c X H B k c z t S Q V A v c H A v c H A u U F B F R F 9 B d W R p d H M u e z I w M T A t M T E s N H 0 m c X V v d D s s J n F 1 b 3 Q 7 U 2 V y d m V y L k R h d G F i Y X N l X F w v M i 9 T U U w v c y 1 z c n M t d j A x X F x c X H B k c z t S Q V A v c H A v c H A u U F B F R F 9 B d W R p d H M u e z I w M T E t M T I s N X 0 m c X V v d D s s J n F 1 b 3 Q 7 U 2 V y d m V y L k R h d G F i Y X N l X F w v M i 9 T U U w v c y 1 z c n M t d j A x X F x c X H B k c z t S Q V A v c H A v c H A u U F B F R F 9 B d W R p d H M u e z I w M T I t M T M s N n 0 m c X V v d D s s J n F 1 b 3 Q 7 U 2 V y d m V y L k R h d G F i Y X N l X F w v M i 9 T U U w v c y 1 z c n M t d j A x X F x c X H B k c z t S Q V A v c H A v c H A u U F B F R F 9 B d W R p d H M u e z I w M T M t M T Q s N 3 0 m c X V v d D s s J n F 1 b 3 Q 7 U 2 V y d m V y L k R h d G F i Y X N l X F w v M i 9 T U U w v c y 1 z c n M t d j A x X F x c X H B k c z t S Q V A v c H A v c H A u U F B F R F 9 B d W R p d H M u e z I w M T Q t M T U s O H 0 m c X V v d D s s J n F 1 b 3 Q 7 U 2 V y d m V y L k R h d G F i Y X N l X F w v M i 9 T U U w v c y 1 z c n M t d j A x X F x c X H B k c z t S Q V A v c H A v c H A u U F B F R F 9 B d W R p d H M u e z I w M T U t M T Y s O X 0 m c X V v d D s s J n F 1 b 3 Q 7 U 2 V y d m V y L k R h d G F i Y X N l X F w v M i 9 T U U w v c y 1 z c n M t d j A x X F x c X H B k c z t S Q V A v c H A v c H A u U F B F R F 9 B d W R p d H M u e z I w M T Y t M T c s M T B 9 J n F 1 b 3 Q 7 L C Z x d W 9 0 O 1 N l c n Z l c i 5 E Y X R h Y m F z Z V x c L z I v U 1 F M L 3 M t c 3 J z L X Y w M V x c X F x w Z H M 7 U k F Q L 3 B w L 3 B w L l B Q R U R f Q X V k a X R z L n s y M D E 3 L T E 4 L D E x f S Z x d W 9 0 O y w m c X V v d D t T Z X J 2 Z X I u R G F 0 Y W J h c 2 V c X C 8 y L 1 N R T C 9 z L X N y c y 1 2 M D F c X F x c c G R z O 1 J B U C 9 w c C 9 w c C 5 Q U E V E X 0 F 1 Z G l 0 c y 5 7 M j A x O C 0 x O S w x M n 0 m c X V v d D s s J n F 1 b 3 Q 7 U 2 V y d m V y L k R h d G F i Y X N l X F w v M i 9 T U U w v c y 1 z c n M t d j A x X F x c X H B k c z t S Q V A v c H A v c H A u U F B F R F 9 B d W R p d H M u e z I w M T k t M j A s M T N 9 J n F 1 b 3 Q 7 L C Z x d W 9 0 O 1 N l c n Z l c i 5 E Y X R h Y m F z Z V x c L z I v U 1 F M L 3 M t c 3 J z L X Y w M V x c X F x w Z H M 7 U k F Q L 3 B w L 3 B w L l B Q R U R f Q X V k a X R z L n s y M D I w L T I x L D E 0 f S Z x d W 9 0 O 1 0 s J n F 1 b 3 Q 7 Q 2 9 s d W 1 u Q 2 9 1 b n Q m c X V v d D s 6 M T M s J n F 1 b 3 Q 7 S 2 V 5 Q 2 9 s d W 1 u T m F t Z X M m c X V v d D s 6 W 1 0 s J n F 1 b 3 Q 7 Q 2 9 s d W 1 u S W R l b n R p d G l l c y Z x d W 9 0 O z p b J n F 1 b 3 Q 7 U 2 V y d m V y L k R h d G F i Y X N l X F w v M i 9 T U U w v c y 1 z c n M t d j A x X F x c X H B k c z t S Q V A v c H A v c H A u U F B F R F 9 B d W R p d H M u e 1 B y Z W 1 p c 2 V z I H R 5 c G U s M X 0 m c X V v d D s s J n F 1 b 3 Q 7 U 2 V y d m V y L k R h d G F i Y X N l X F w v M i 9 T U U w v c y 1 z c n M t d j A x X F x c X H B k c z t S Q V A v c H A v c H A u U F B F R F 9 B d W R p d H M u e z I w M D k t M T A s M 3 0 m c X V v d D s s J n F 1 b 3 Q 7 U 2 V y d m V y L k R h d G F i Y X N l X F w v M i 9 T U U w v c y 1 z c n M t d j A x X F x c X H B k c z t S Q V A v c H A v c H A u U F B F R F 9 B d W R p d H M u e z I w M T A t M T E s N H 0 m c X V v d D s s J n F 1 b 3 Q 7 U 2 V y d m V y L k R h d G F i Y X N l X F w v M i 9 T U U w v c y 1 z c n M t d j A x X F x c X H B k c z t S Q V A v c H A v c H A u U F B F R F 9 B d W R p d H M u e z I w M T E t M T I s N X 0 m c X V v d D s s J n F 1 b 3 Q 7 U 2 V y d m V y L k R h d G F i Y X N l X F w v M i 9 T U U w v c y 1 z c n M t d j A x X F x c X H B k c z t S Q V A v c H A v c H A u U F B F R F 9 B d W R p d H M u e z I w M T I t M T M s N n 0 m c X V v d D s s J n F 1 b 3 Q 7 U 2 V y d m V y L k R h d G F i Y X N l X F w v M i 9 T U U w v c y 1 z c n M t d j A x X F x c X H B k c z t S Q V A v c H A v c H A u U F B F R F 9 B d W R p d H M u e z I w M T M t M T Q s N 3 0 m c X V v d D s s J n F 1 b 3 Q 7 U 2 V y d m V y L k R h d G F i Y X N l X F w v M i 9 T U U w v c y 1 z c n M t d j A x X F x c X H B k c z t S Q V A v c H A v c H A u U F B F R F 9 B d W R p d H M u e z I w M T Q t M T U s O H 0 m c X V v d D s s J n F 1 b 3 Q 7 U 2 V y d m V y L k R h d G F i Y X N l X F w v M i 9 T U U w v c y 1 z c n M t d j A x X F x c X H B k c z t S Q V A v c H A v c H A u U F B F R F 9 B d W R p d H M u e z I w M T U t M T Y s O X 0 m c X V v d D s s J n F 1 b 3 Q 7 U 2 V y d m V y L k R h d G F i Y X N l X F w v M i 9 T U U w v c y 1 z c n M t d j A x X F x c X H B k c z t S Q V A v c H A v c H A u U F B F R F 9 B d W R p d H M u e z I w M T Y t M T c s M T B 9 J n F 1 b 3 Q 7 L C Z x d W 9 0 O 1 N l c n Z l c i 5 E Y X R h Y m F z Z V x c L z I v U 1 F M L 3 M t c 3 J z L X Y w M V x c X F x w Z H M 7 U k F Q L 3 B w L 3 B w L l B Q R U R f Q X V k a X R z L n s y M D E 3 L T E 4 L D E x f S Z x d W 9 0 O y w m c X V v d D t T Z X J 2 Z X I u R G F 0 Y W J h c 2 V c X C 8 y L 1 N R T C 9 z L X N y c y 1 2 M D F c X F x c c G R z O 1 J B U C 9 w c C 9 w c C 5 Q U E V E X 0 F 1 Z G l 0 c y 5 7 M j A x O C 0 x O S w x M n 0 m c X V v d D s s J n F 1 b 3 Q 7 U 2 V y d m V y L k R h d G F i Y X N l X F w v M i 9 T U U w v c y 1 z c n M t d j A x X F x c X H B k c z t S Q V A v c H A v c H A u U F B F R F 9 B d W R p d H M u e z I w M T k t M j A s M T N 9 J n F 1 b 3 Q 7 L C Z x d W 9 0 O 1 N l c n Z l c i 5 E Y X R h Y m F z Z V x c L z I v U 1 F M L 3 M t c 3 J z L X Y w M V x c X F x w Z H M 7 U k F Q L 3 B w L 3 B w L l B Q R U R f Q X V k a X R z L n s y M D I w L T I x L D E 0 f S Z x d W 9 0 O 1 0 s J n F 1 b 3 Q 7 U m V s Y X R p b 2 5 z a G l w S W 5 m b y Z x d W 9 0 O z p b X X 0 i I C 8 + P C 9 T d G F i b G V F b n R y a W V z P j w v S X R l b T 4 8 S X R l b T 4 8 S X R l b U x v Y 2 F 0 a W 9 u P j x J d G V t V H l w Z T 5 G b 3 J t d W x h P C 9 J d G V t V H l w Z T 4 8 S X R l b V B h d G g + U 2 V j d G l v b j E v c H A l M j B Q U E V E X 0 F 1 Z G l 0 c y 9 T b 3 V y Y 2 U 8 L 0 l 0 Z W 1 Q Y X R o P j w v S X R l b U x v Y 2 F 0 a W 9 u P j x T d G F i b G V F b n R y a W V z I C 8 + P C 9 J d G V t P j x J d G V t P j x J d G V t T G 9 j Y X R p b 2 4 + P E l 0 Z W 1 U e X B l P k Z v c m 1 1 b G E 8 L 0 l 0 Z W 1 U e X B l P j x J d G V t U G F 0 a D 5 T Z W N 0 a W 9 u M S 9 w c C U y M F B Q R U R f Q X V k a X R z L 3 B w X 1 B Q R U R f Q X V k a X R z P C 9 J d G V t U G F 0 a D 4 8 L 0 l 0 Z W 1 M b 2 N h d G l v b j 4 8 U 3 R h Y m x l R W 5 0 c m l l c y A v P j w v S X R l b T 4 8 S X R l b T 4 8 S X R l b U x v Y 2 F 0 a W 9 u P j x J d G V t V H l w Z T 5 G b 3 J t d W x h P C 9 J d G V t V H l w Z T 4 8 S X R l b V B h d G g + U 2 V j d G l v b j E v c H A l M j B Q U E V E X 0 F 1 Z G l 0 c y 9 T b 3 J 0 Z W Q l M j B S b 3 d z P C 9 J d G V t U G F 0 a D 4 8 L 0 l 0 Z W 1 M b 2 N h d G l v b j 4 8 U 3 R h Y m x l R W 5 0 c m l l c y A v P j w v S X R l b T 4 8 S X R l b T 4 8 S X R l b U x v Y 2 F 0 a W 9 u P j x J d G V t V H l w Z T 5 G b 3 J t d W x h P C 9 J d G V t V H l w Z T 4 8 S X R l b V B h d G g + U 2 V j d G l v b j E v c H A l M j B Q U E V E X 0 F 1 Z G l 0 c y 9 S Z W 1 v d m V k J T I w T 3 R o Z X I l M j B D b 2 x 1 b W 5 z P C 9 J d G V t U G F 0 a D 4 8 L 0 l 0 Z W 1 M b 2 N h d G l v b j 4 8 U 3 R h Y m x l R W 5 0 c m l l c y A v P j w v S X R l b T 4 8 S X R l b T 4 8 S X R l b U x v Y 2 F 0 a W 9 u P j x J d G V t V H l w Z T 5 G b 3 J t d W x h P C 9 J d G V t V H l w Z T 4 8 S X R l b V B h d G g + U 2 V j d G l v b j E v c H A l M j B Q U E V E X 0 F 1 Z G l 0 c 1 9 M Q 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R X J y b 3 J D b 3 V u d C I g V m F s d W U 9 I m w w I i A v P j x F b n R y e S B U e X B l P S J G a W x s Q 2 9 s d W 1 u V H l w Z X M i I F Z h b H V l P S J z Q m d Z R 0 J R V U Z C U V V G Q l F V R k J R V U Z C U V V G I i A v P j x F b n R y e S B U e X B l P S J G a W x s Q 2 9 s d W 1 u T m F t Z X M i I F Z h b H V l P S J z W y Z x d W 9 0 O 1 l l Y X I m c X V v d D s s J n F 1 b 3 Q 7 T G 9 j Y W w g Q X V 0 a G 9 y a X R 5 J n F 1 b 3 Q 7 L C Z x d W 9 0 O 0 x B I E N v Z G U m c X V v d D s s J n F 1 b 3 Q 7 S G 9 z c G l 0 Y W w g L y B Q c m l z b 2 4 m c X V v d D s s J n F 1 b 3 Q 7 Q 2 F y Z S B I b 2 1 l J n F 1 b 3 Q 7 L C Z x d W 9 0 O 0 h N T y Z x d W 9 0 O y w m c X V v d D t I b 3 N 0 Z W w m c X V v d D s s J n F 1 b 3 Q 7 S G 9 0 Z W w m c X V v d D s s J n F 1 b 3 Q 7 T 3 R o Z X I g U 2 x l Z X B p b m c g Q W N j b 2 1 t b 2 R h d G l v b i Z x d W 9 0 O y w m c X V v d D t G d X J 0 a G V y I E V k d W N h d G l v b i Z x d W 9 0 O y w m c X V v d D t Q d W J s a W M g Q n V p b G R p b m c m c X V v d D s s J n F 1 b 3 Q 7 T G l j Z W 5 z Z W Q g U H J l b W l z Z X M m c X V v d D s s J n F 1 b 3 Q 7 U 2 N o b 2 9 s J n F 1 b 3 Q 7 L C Z x d W 9 0 O 1 N o b 3 A m c X V v d D s s J n F 1 b 3 Q 7 T 3 R o Z X I g U 2 x l Z X B p b m c g Q W N j b 2 1 t J n F 1 b 3 Q 7 L C Z x d W 9 0 O 0 Z h Y 3 R v c n k g b 3 I g V 2 F y Z W h v d X N l J n F 1 b 3 Q 7 L C Z x d W 9 0 O 0 9 m Z m l j Z S Z x d W 9 0 O y w m c X V v d D t P d G h l c i B X b 3 J r c G x h Y 2 U m c X V v d D t d I i A v P j x F b n R y e S B U e X B l P S J G a W x s R X J y b 3 J D b 2 R l I i B W Y W x 1 Z T 0 i c 1 V u a 2 5 v d 2 4 i I C 8 + P E V u d H J 5 I F R 5 c G U 9 I k Z p b G x M Y X N 0 V X B k Y X R l Z C I g V m F s d W U 9 I m Q y M D I x L T A 3 L T I 3 V D A 5 O j E 0 O j I 0 L j I w M j Q x O D d a I i A v P j x F b n R y e S B U e X B l P S J S Z W x h d G l v b n N o a X B J b m Z v Q 2 9 u d G F p b m V y I i B W Y W x 1 Z T 0 i c 3 s m c X V v d D t j b 2 x 1 b W 5 D b 3 V u d C Z x d W 9 0 O z o x O C w m c X V v d D t r Z X l D b 2 x 1 b W 5 O Y W 1 l c y Z x d W 9 0 O z p b X S w m c X V v d D t x d W V y e V J l b G F 0 a W 9 u c 2 h p c H M m c X V v d D s 6 W 1 0 s J n F 1 b 3 Q 7 Y 2 9 s d W 1 u S W R l b n R p d G l l c y Z x d W 9 0 O z p b J n F 1 b 3 Q 7 U 2 V y d m V y L k R h d G F i Y X N l X F w v M i 9 T U U w v c y 1 z c n M t d j A x X F x c X H B k c z t S Q V A v c H A v c H A u U F B F R F 9 B d W R p d H N f T E E u e 1 l l Y X I s M H 0 m c X V v d D s s J n F 1 b 3 Q 7 U 2 V y d m V y L k R h d G F i Y X N l X F w v M i 9 T U U w v c y 1 z c n M t d j A x X F x c X H B k c z t S Q V A v c H A v c H A u U F B F R F 9 B d W R p d H N f T E E u e 0 x v Y 2 F s I E F 1 d G h v c m l 0 e S w x f S Z x d W 9 0 O y w m c X V v d D t T Z X J 2 Z X I u R G F 0 Y W J h c 2 V c X C 8 y L 1 N R T C 9 z L X N y c y 1 2 M D F c X F x c c G R z O 1 J B U C 9 w c C 9 w c C 5 Q U E V E X 0 F 1 Z G l 0 c 1 9 M Q S 5 7 T E E g Q 2 9 k Z S w y f S Z x d W 9 0 O y w m c X V v d D t T Z X J 2 Z X I u R G F 0 Y W J h c 2 V c X C 8 y L 1 N R T C 9 z L X N y c y 1 2 M D F c X F x c c G R z O 1 J B U C 9 w c C 9 w c C 5 Q U E V E X 0 F 1 Z G l 0 c 1 9 M Q S 5 7 S G 9 z c G l 0 Y W w g L y B Q c m l z b 2 4 s M 3 0 m c X V v d D s s J n F 1 b 3 Q 7 U 2 V y d m V y L k R h d G F i Y X N l X F w v M i 9 T U U w v c y 1 z c n M t d j A x X F x c X H B k c z t S Q V A v c H A v c H A u U F B F R F 9 B d W R p d H N f T E E u e 0 N h c m U g S G 9 t Z S w 0 f S Z x d W 9 0 O y w m c X V v d D t T Z X J 2 Z X I u R G F 0 Y W J h c 2 V c X C 8 y L 1 N R T C 9 z L X N y c y 1 2 M D F c X F x c c G R z O 1 J B U C 9 w c C 9 w c C 5 Q U E V E X 0 F 1 Z G l 0 c 1 9 M Q S 5 7 S E 1 P L D V 9 J n F 1 b 3 Q 7 L C Z x d W 9 0 O 1 N l c n Z l c i 5 E Y X R h Y m F z Z V x c L z I v U 1 F M L 3 M t c 3 J z L X Y w M V x c X F x w Z H M 7 U k F Q L 3 B w L 3 B w L l B Q R U R f Q X V k a X R z X 0 x B L n t I b 3 N 0 Z W w s N n 0 m c X V v d D s s J n F 1 b 3 Q 7 U 2 V y d m V y L k R h d G F i Y X N l X F w v M i 9 T U U w v c y 1 z c n M t d j A x X F x c X H B k c z t S Q V A v c H A v c H A u U F B F R F 9 B d W R p d H N f T E E u e 0 h v d G V s L D d 9 J n F 1 b 3 Q 7 L C Z x d W 9 0 O 1 N l c n Z l c i 5 E Y X R h Y m F z Z V x c L z I v U 1 F M L 3 M t c 3 J z L X Y w M V x c X F x w Z H M 7 U k F Q L 3 B w L 3 B w L l B Q R U R f Q X V k a X R z X 0 x B L n t P d G h l c i B T b G V l c G l u Z y B B Y 2 N v b W 1 v Z G F 0 a W 9 u L D h 9 J n F 1 b 3 Q 7 L C Z x d W 9 0 O 1 N l c n Z l c i 5 E Y X R h Y m F z Z V x c L z I v U 1 F M L 3 M t c 3 J z L X Y w M V x c X F x w Z H M 7 U k F Q L 3 B w L 3 B w L l B Q R U R f Q X V k a X R z X 0 x B L n t G d X J 0 a G V y I E V k d W N h d G l v b i w 5 f S Z x d W 9 0 O y w m c X V v d D t T Z X J 2 Z X I u R G F 0 Y W J h c 2 V c X C 8 y L 1 N R T C 9 z L X N y c y 1 2 M D F c X F x c c G R z O 1 J B U C 9 w c C 9 w c C 5 Q U E V E X 0 F 1 Z G l 0 c 1 9 M Q S 5 7 U H V i b G l j I E J 1 a W x k a W 5 n L D E w f S Z x d W 9 0 O y w m c X V v d D t T Z X J 2 Z X I u R G F 0 Y W J h c 2 V c X C 8 y L 1 N R T C 9 z L X N y c y 1 2 M D F c X F x c c G R z O 1 J B U C 9 w c C 9 w c C 5 Q U E V E X 0 F 1 Z G l 0 c 1 9 M Q S 5 7 T G l j Z W 5 z Z W Q g U H J l b W l z Z X M s M T F 9 J n F 1 b 3 Q 7 L C Z x d W 9 0 O 1 N l c n Z l c i 5 E Y X R h Y m F z Z V x c L z I v U 1 F M L 3 M t c 3 J z L X Y w M V x c X F x w Z H M 7 U k F Q L 3 B w L 3 B w L l B Q R U R f Q X V k a X R z X 0 x B L n t T Y 2 h v b 2 w s M T J 9 J n F 1 b 3 Q 7 L C Z x d W 9 0 O 1 N l c n Z l c i 5 E Y X R h Y m F z Z V x c L z I v U 1 F M L 3 M t c 3 J z L X Y w M V x c X F x w Z H M 7 U k F Q L 3 B w L 3 B w L l B Q R U R f Q X V k a X R z X 0 x B L n t T a G 9 w L D E z f S Z x d W 9 0 O y w m c X V v d D t T Z X J 2 Z X I u R G F 0 Y W J h c 2 V c X C 8 y L 1 N R T C 9 z L X N y c y 1 2 M D F c X F x c c G R z O 1 J B U C 9 w c C 9 w c C 5 Q U E V E X 0 F 1 Z G l 0 c 1 9 M Q S 5 7 T 3 R o Z X I g U 2 x l Z X B p b m c g Q W N j b 2 1 t L D E 0 f S Z x d W 9 0 O y w m c X V v d D t T Z X J 2 Z X I u R G F 0 Y W J h c 2 V c X C 8 y L 1 N R T C 9 z L X N y c y 1 2 M D F c X F x c c G R z O 1 J B U C 9 w c C 9 w c C 5 Q U E V E X 0 F 1 Z G l 0 c 1 9 M Q S 5 7 R m F j d G 9 y e S B v c i B X Y X J l a G 9 1 c 2 U s M T V 9 J n F 1 b 3 Q 7 L C Z x d W 9 0 O 1 N l c n Z l c i 5 E Y X R h Y m F z Z V x c L z I v U 1 F M L 3 M t c 3 J z L X Y w M V x c X F x w Z H M 7 U k F Q L 3 B w L 3 B w L l B Q R U R f Q X V k a X R z X 0 x B L n t P Z m Z p Y 2 U s M T Z 9 J n F 1 b 3 Q 7 L C Z x d W 9 0 O 1 N l c n Z l c i 5 E Y X R h Y m F z Z V x c L z I v U 1 F M L 3 M t c 3 J z L X Y w M V x c X F x w Z H M 7 U k F Q L 3 B w L 3 B w L l B Q R U R f Q X V k a X R z X 0 x B L n t P d G h l c i B X b 3 J r c G x h Y 2 U s M T d 9 J n F 1 b 3 Q 7 X S w m c X V v d D t D b 2 x 1 b W 5 D b 3 V u d C Z x d W 9 0 O z o x O C w m c X V v d D t L Z X l D b 2 x 1 b W 5 O Y W 1 l c y Z x d W 9 0 O z p b X S w m c X V v d D t D b 2 x 1 b W 5 J Z G V u d G l 0 a W V z J n F 1 b 3 Q 7 O l s m c X V v d D t T Z X J 2 Z X I u R G F 0 Y W J h c 2 V c X C 8 y L 1 N R T C 9 z L X N y c y 1 2 M D F c X F x c c G R z O 1 J B U C 9 w c C 9 w c C 5 Q U E V E X 0 F 1 Z G l 0 c 1 9 M Q S 5 7 W W V h c i w w f S Z x d W 9 0 O y w m c X V v d D t T Z X J 2 Z X I u R G F 0 Y W J h c 2 V c X C 8 y L 1 N R T C 9 z L X N y c y 1 2 M D F c X F x c c G R z O 1 J B U C 9 w c C 9 w c C 5 Q U E V E X 0 F 1 Z G l 0 c 1 9 M Q S 5 7 T G 9 j Y W w g Q X V 0 a G 9 y a X R 5 L D F 9 J n F 1 b 3 Q 7 L C Z x d W 9 0 O 1 N l c n Z l c i 5 E Y X R h Y m F z Z V x c L z I v U 1 F M L 3 M t c 3 J z L X Y w M V x c X F x w Z H M 7 U k F Q L 3 B w L 3 B w L l B Q R U R f Q X V k a X R z X 0 x B L n t M Q S B D b 2 R l L D J 9 J n F 1 b 3 Q 7 L C Z x d W 9 0 O 1 N l c n Z l c i 5 E Y X R h Y m F z Z V x c L z I v U 1 F M L 3 M t c 3 J z L X Y w M V x c X F x w Z H M 7 U k F Q L 3 B w L 3 B w L l B Q R U R f Q X V k a X R z X 0 x B L n t I b 3 N w a X R h b C A v I F B y a X N v b i w z f S Z x d W 9 0 O y w m c X V v d D t T Z X J 2 Z X I u R G F 0 Y W J h c 2 V c X C 8 y L 1 N R T C 9 z L X N y c y 1 2 M D F c X F x c c G R z O 1 J B U C 9 w c C 9 w c C 5 Q U E V E X 0 F 1 Z G l 0 c 1 9 M Q S 5 7 Q 2 F y Z S B I b 2 1 l L D R 9 J n F 1 b 3 Q 7 L C Z x d W 9 0 O 1 N l c n Z l c i 5 E Y X R h Y m F z Z V x c L z I v U 1 F M L 3 M t c 3 J z L X Y w M V x c X F x w Z H M 7 U k F Q L 3 B w L 3 B w L l B Q R U R f Q X V k a X R z X 0 x B L n t I T U 8 s N X 0 m c X V v d D s s J n F 1 b 3 Q 7 U 2 V y d m V y L k R h d G F i Y X N l X F w v M i 9 T U U w v c y 1 z c n M t d j A x X F x c X H B k c z t S Q V A v c H A v c H A u U F B F R F 9 B d W R p d H N f T E E u e 0 h v c 3 R l b C w 2 f S Z x d W 9 0 O y w m c X V v d D t T Z X J 2 Z X I u R G F 0 Y W J h c 2 V c X C 8 y L 1 N R T C 9 z L X N y c y 1 2 M D F c X F x c c G R z O 1 J B U C 9 w c C 9 w c C 5 Q U E V E X 0 F 1 Z G l 0 c 1 9 M Q S 5 7 S G 9 0 Z W w s N 3 0 m c X V v d D s s J n F 1 b 3 Q 7 U 2 V y d m V y L k R h d G F i Y X N l X F w v M i 9 T U U w v c y 1 z c n M t d j A x X F x c X H B k c z t S Q V A v c H A v c H A u U F B F R F 9 B d W R p d H N f T E E u e 0 9 0 a G V y I F N s Z W V w a W 5 n I E F j Y 2 9 t b W 9 k Y X R p b 2 4 s O H 0 m c X V v d D s s J n F 1 b 3 Q 7 U 2 V y d m V y L k R h d G F i Y X N l X F w v M i 9 T U U w v c y 1 z c n M t d j A x X F x c X H B k c z t S Q V A v c H A v c H A u U F B F R F 9 B d W R p d H N f T E E u e 0 Z 1 c n R o Z X I g R W R 1 Y 2 F 0 a W 9 u L D l 9 J n F 1 b 3 Q 7 L C Z x d W 9 0 O 1 N l c n Z l c i 5 E Y X R h Y m F z Z V x c L z I v U 1 F M L 3 M t c 3 J z L X Y w M V x c X F x w Z H M 7 U k F Q L 3 B w L 3 B w L l B Q R U R f Q X V k a X R z X 0 x B L n t Q d W J s a W M g Q n V p b G R p b m c s M T B 9 J n F 1 b 3 Q 7 L C Z x d W 9 0 O 1 N l c n Z l c i 5 E Y X R h Y m F z Z V x c L z I v U 1 F M L 3 M t c 3 J z L X Y w M V x c X F x w Z H M 7 U k F Q L 3 B w L 3 B w L l B Q R U R f Q X V k a X R z X 0 x B L n t M a W N l b n N l Z C B Q c m V t a X N l c y w x M X 0 m c X V v d D s s J n F 1 b 3 Q 7 U 2 V y d m V y L k R h d G F i Y X N l X F w v M i 9 T U U w v c y 1 z c n M t d j A x X F x c X H B k c z t S Q V A v c H A v c H A u U F B F R F 9 B d W R p d H N f T E E u e 1 N j a G 9 v b C w x M n 0 m c X V v d D s s J n F 1 b 3 Q 7 U 2 V y d m V y L k R h d G F i Y X N l X F w v M i 9 T U U w v c y 1 z c n M t d j A x X F x c X H B k c z t S Q V A v c H A v c H A u U F B F R F 9 B d W R p d H N f T E E u e 1 N o b 3 A s M T N 9 J n F 1 b 3 Q 7 L C Z x d W 9 0 O 1 N l c n Z l c i 5 E Y X R h Y m F z Z V x c L z I v U 1 F M L 3 M t c 3 J z L X Y w M V x c X F x w Z H M 7 U k F Q L 3 B w L 3 B w L l B Q R U R f Q X V k a X R z X 0 x B L n t P d G h l c i B T b G V l c G l u Z y B B Y 2 N v b W 0 s M T R 9 J n F 1 b 3 Q 7 L C Z x d W 9 0 O 1 N l c n Z l c i 5 E Y X R h Y m F z Z V x c L z I v U 1 F M L 3 M t c 3 J z L X Y w M V x c X F x w Z H M 7 U k F Q L 3 B w L 3 B w L l B Q R U R f Q X V k a X R z X 0 x B L n t G Y W N 0 b 3 J 5 I G 9 y I F d h c m V o b 3 V z Z S w x N X 0 m c X V v d D s s J n F 1 b 3 Q 7 U 2 V y d m V y L k R h d G F i Y X N l X F w v M i 9 T U U w v c y 1 z c n M t d j A x X F x c X H B k c z t S Q V A v c H A v c H A u U F B F R F 9 B d W R p d H N f T E E u e 0 9 m Z m l j Z S w x N n 0 m c X V v d D s s J n F 1 b 3 Q 7 U 2 V y d m V y L k R h d G F i Y X N l X F w v M i 9 T U U w v c y 1 z c n M t d j A x X F x c X H B k c z t S Q V A v c H A v c H A u U F B F R F 9 B d W R p d H N f T E E u e 0 9 0 a G V y I F d v c m t w b G F j Z S w x N 3 0 m c X V v d D t d L C Z x d W 9 0 O 1 J l b G F 0 a W 9 u c 2 h p c E l u Z m 8 m c X V v d D s 6 W 1 1 9 I i A v P j x F b n R y e S B U e X B l P S J G a W x s V G F y Z 2 V 0 I i B W Y W x 1 Z T 0 i c 3 B w X 1 B Q R U R f Q X V k a X R z X 0 x B I i A v P j x F b n R y e S B U e X B l P S J G a W x s Z W R D b 2 1 w b G V 0 Z V J l c 3 V s d F R v V 2 9 y a 3 N o Z W V 0 I i B W Y W x 1 Z T 0 i b D E i I C 8 + P E V u d H J 5 I F R 5 c G U 9 I k F k Z G V k V G 9 E Y X R h T W 9 k Z W w i I F Z h b H V l P S J s M C I g L z 4 8 R W 5 0 c n k g V H l w Z T 0 i U m V j b 3 Z l c n l U Y X J n Z X R T a G V l d C I g V m F s d W U 9 I n N T a G V l d D I i I C 8 + P E V u d H J 5 I F R 5 c G U 9 I l J l Y 2 9 2 Z X J 5 V G F y Z 2 V 0 Q 2 9 s d W 1 u I i B W Y W x 1 Z T 0 i b D E i I C 8 + P E V u d H J 5 I F R 5 c G U 9 I l J l Y 2 9 2 Z X J 5 V G F y Z 2 V 0 U m 9 3 I i B W Y W x 1 Z T 0 i b D E i I C 8 + P E V u d H J 5 I F R 5 c G U 9 I k Z p b G x D b 3 V u d C I g V m F s d W U 9 I m w y M j k i I C 8 + P E V u d H J 5 I F R 5 c G U 9 I l F 1 Z X J 5 S U Q i I F Z h b H V l P S J z N W E z M W Q w Y T Y t O D I y Y S 0 0 M W F i L T k z Z j Y t Y W R k N 2 Z l N T g 5 Y j c y I i A v P j x F b n R y e S B U e X B l P S J G a W x s U 3 R h d H V z I i B W Y W x 1 Z T 0 i c 0 N v b X B s Z X R l I i A v P j w v U 3 R h Y m x l R W 5 0 c m l l c z 4 8 L 0 l 0 Z W 0 + P E l 0 Z W 0 + P E l 0 Z W 1 M b 2 N h d G l v b j 4 8 S X R l b V R 5 c G U + R m 9 y b X V s Y T w v S X R l b V R 5 c G U + P E l 0 Z W 1 Q Y X R o P l N l Y 3 R p b 2 4 x L 3 B w J T I w U F B F R F 9 B d W R p d H N f T E E v U 2 9 1 c m N l P C 9 J d G V t U G F 0 a D 4 8 L 0 l 0 Z W 1 M b 2 N h d G l v b j 4 8 U 3 R h Y m x l R W 5 0 c m l l c y A v P j w v S X R l b T 4 8 S X R l b T 4 8 S X R l b U x v Y 2 F 0 a W 9 u P j x J d G V t V H l w Z T 5 G b 3 J t d W x h P C 9 J d G V t V H l w Z T 4 8 S X R l b V B h d G g + U 2 V j d G l v b j E v c H A l M j B Q U E V E X 0 F 1 Z G l 0 c 1 9 M Q S 9 w c F 9 Q U E V E X 0 F 1 Z G l 0 c 1 9 M Q T w v S X R l b V B h d G g + P C 9 J d G V t T G 9 j Y X R p b 2 4 + P F N 0 Y W J s Z U V u d H J p Z X M g L z 4 8 L 0 l 0 Z W 0 + P E l 0 Z W 0 + P E l 0 Z W 1 M b 2 N h d G l v b j 4 8 S X R l b V R 5 c G U + R m 9 y b X V s Y T w v S X R l b V R 5 c G U + P E l 0 Z W 1 Q Y X R o P l N l Y 3 R p b 2 4 x L 3 B w J T I w U F B F R F 9 B d W R p d H N f T 3 V 0 Y 2 9 t Z 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Q 2 9 s d W 1 u V H l w Z X M i I F Z h b H V l P S J z Q m d V R k J R V U Z C U V V G I i A v P j x F b n R y e S B U e X B l P S J G a W x s R X J y b 3 J D b 3 V u d C I g V m F s d W U 9 I m w w I i A v P j x F b n R y e S B U e X B l P S J G a W x s Q 2 9 1 b n Q i I F Z h b H V l P S J s M T I i I C 8 + P E V u d H J 5 I F R 5 c G U 9 I k Z p b G x T d G F 0 d X M i I F Z h b H V l P S J z Q 2 9 t c G x l d G U i I C 8 + P E V u d H J 5 I F R 5 c G U 9 I k Z p b G x U Y X J n Z X Q i I F Z h b H V l P S J z c H B f U F B F R F 9 B d W R p d H N f T 3 V 0 Y 2 9 t Z S I g L z 4 8 R W 5 0 c n k g V H l w Z T 0 i R m l s b E x h c 3 R V c G R h d G V k I i B W Y W x 1 Z T 0 i Z D I w M j E t M D g t M j B U M T Q 6 N D A 6 M D Q u M T g z N j k z N 1 o i I C 8 + P E V u d H J 5 I F R 5 c G U 9 I k Z p b G x l Z E N v b X B s Z X R l U m V z d W x 0 V G 9 X b 3 J r c 2 h l Z X Q i I F Z h b H V l P S J s M S I g L z 4 8 R W 5 0 c n k g V H l w Z T 0 i Q W R k Z W R U b 0 R h d G F N b 2 R l b C I g V m F s d W U 9 I m w w I i A v P j x F b n R y e S B U e X B l P S J S Z W N v d m V y e V R h c m d l d F N o Z W V 0 I i B W Y W x 1 Z T 0 i c 0 F 1 Z G l 0 c y B P d X R j b 2 1 l I i A v P j x F b n R y e S B U e X B l P S J S Z W N v d m V y e V R h c m d l d E N v b H V t b i I g V m F s d W U 9 I m w x I i A v P j x F b n R y e S B U e X B l P S J S Z W N v d m V y e V R h c m d l d F J v d y I g V m F s d W U 9 I m w x M C I g L z 4 8 R W 5 0 c n k g V H l w Z T 0 i R m l s b E V y c m 9 y Q 2 9 k Z S I g V m F s d W U 9 I n N V b m t u b 3 d u I i A v P j x F b n R y e S B U e X B l P S J G a W x s Q 2 9 s d W 1 u T m F t Z X M i I F Z h b H V l P S J z W y Z x d W 9 0 O 0 Z p c 1 l y J n F 1 b 3 Q 7 L C Z x d W 9 0 O 0 F f V G F s b H k m c X V v d D s s J n F 1 b 3 Q 7 Q V 9 I b 3 V y c y Z x d W 9 0 O y w m c X V v d D t C X 1 R h b G x 5 J n F 1 b 3 Q 7 L C Z x d W 9 0 O 0 J f S G 9 1 c n M m c X V v d D s s J n F 1 b 3 Q 7 R W 5 m b 3 J j Z W 1 l b n R f V G F s b H k m c X V v d D s s J n F 1 b 3 Q 7 R W 5 m b 3 J j Z W 1 l b n R f S G 9 1 c n M m c X V v d D s s J n F 1 b 3 Q 7 U H J v a G l i a X R p b 2 5 f V G F s b H k m c X V v d D s s J n F 1 b 3 Q 7 U H J v a G l i a X R p b 2 5 f S G 9 1 c n M m c X V v d D t d I i A v P j x F b n R y e S B U e X B l P S J R d W V y e U l E I i B W Y W x 1 Z T 0 i c z Y z N m U 1 Y j N m L T g x N m M t N D k z N y 1 h N D c x L T I 1 N G I 1 O W Y y O W V k N S I g L z 4 8 R W 5 0 c n k g V H l w Z T 0 i U m V s Y X R p b 2 5 z a G l w S W 5 m b 0 N v b n R h a W 5 l c i I g V m F s d W U 9 I n N 7 J n F 1 b 3 Q 7 Y 2 9 s d W 1 u Q 2 9 1 b n Q m c X V v d D s 6 O S w m c X V v d D t r Z X l D b 2 x 1 b W 5 O Y W 1 l c y Z x d W 9 0 O z p b X S w m c X V v d D t x d W V y e V J l b G F 0 a W 9 u c 2 h p c H M m c X V v d D s 6 W 1 0 s J n F 1 b 3 Q 7 Y 2 9 s d W 1 u S W R l b n R p d G l l c y Z x d W 9 0 O z p b J n F 1 b 3 Q 7 U 2 V y d m V y L k R h d G F i Y X N l X F w v M i 9 T U U w v c y 1 z c n M t d j A x X F x c X H B k c z t S Q V A v c H A v c H A u U F B F R F 9 B d W R p d H N f T 3 V 0 Y 2 9 t Z S 5 7 R m l z W X I s M H 0 m c X V v d D s s J n F 1 b 3 Q 7 U 2 V y d m V y L k R h d G F i Y X N l X F w v M i 9 T U U w v c y 1 z c n M t d j A x X F x c X H B k c z t S Q V A v c H A v c H A u U F B F R F 9 B d W R p d H N f T 3 V 0 Y 2 9 t Z S 5 7 Q V 9 U Y W x s e S w x f S Z x d W 9 0 O y w m c X V v d D t T Z X J 2 Z X I u R G F 0 Y W J h c 2 V c X C 8 y L 1 N R T C 9 z L X N y c y 1 2 M D F c X F x c c G R z O 1 J B U C 9 w c C 9 w c C 5 Q U E V E X 0 F 1 Z G l 0 c 1 9 P d X R j b 2 1 l L n t B X 0 h v d X J z L D J 9 J n F 1 b 3 Q 7 L C Z x d W 9 0 O 1 N l c n Z l c i 5 E Y X R h Y m F z Z V x c L z I v U 1 F M L 3 M t c 3 J z L X Y w M V x c X F x w Z H M 7 U k F Q L 3 B w L 3 B w L l B Q R U R f Q X V k a X R z X 0 9 1 d G N v b W U u e 0 J f V G F s b H k s M 3 0 m c X V v d D s s J n F 1 b 3 Q 7 U 2 V y d m V y L k R h d G F i Y X N l X F w v M i 9 T U U w v c y 1 z c n M t d j A x X F x c X H B k c z t S Q V A v c H A v c H A u U F B F R F 9 B d W R p d H N f T 3 V 0 Y 2 9 t Z S 5 7 Q l 9 I b 3 V y c y w 0 f S Z x d W 9 0 O y w m c X V v d D t T Z X J 2 Z X I u R G F 0 Y W J h c 2 V c X C 8 y L 1 N R T C 9 z L X N y c y 1 2 M D F c X F x c c G R z O 1 J B U C 9 w c C 9 w c C 5 Q U E V E X 0 F 1 Z G l 0 c 1 9 P d X R j b 2 1 l L n t F b m Z v c m N l b W V u d F 9 U Y W x s e S w 1 f S Z x d W 9 0 O y w m c X V v d D t T Z X J 2 Z X I u R G F 0 Y W J h c 2 V c X C 8 y L 1 N R T C 9 z L X N y c y 1 2 M D F c X F x c c G R z O 1 J B U C 9 w c C 9 w c C 5 Q U E V E X 0 F 1 Z G l 0 c 1 9 P d X R j b 2 1 l L n t F b m Z v c m N l b W V u d F 9 I b 3 V y c y w 2 f S Z x d W 9 0 O y w m c X V v d D t T Z X J 2 Z X I u R G F 0 Y W J h c 2 V c X C 8 y L 1 N R T C 9 z L X N y c y 1 2 M D F c X F x c c G R z O 1 J B U C 9 w c C 9 w c C 5 Q U E V E X 0 F 1 Z G l 0 c 1 9 P d X R j b 2 1 l L n t Q c m 9 o a W J p d G l v b l 9 U Y W x s e S w 3 f S Z x d W 9 0 O y w m c X V v d D t T Z X J 2 Z X I u R G F 0 Y W J h c 2 V c X C 8 y L 1 N R T C 9 z L X N y c y 1 2 M D F c X F x c c G R z O 1 J B U C 9 w c C 9 w c C 5 Q U E V E X 0 F 1 Z G l 0 c 1 9 P d X R j b 2 1 l L n t Q c m 9 o a W J p d G l v b l 9 I b 3 V y c y w 4 f S Z x d W 9 0 O 1 0 s J n F 1 b 3 Q 7 Q 2 9 s d W 1 u Q 2 9 1 b n Q m c X V v d D s 6 O S w m c X V v d D t L Z X l D b 2 x 1 b W 5 O Y W 1 l c y Z x d W 9 0 O z p b X S w m c X V v d D t D b 2 x 1 b W 5 J Z G V u d G l 0 a W V z J n F 1 b 3 Q 7 O l s m c X V v d D t T Z X J 2 Z X I u R G F 0 Y W J h c 2 V c X C 8 y L 1 N R T C 9 z L X N y c y 1 2 M D F c X F x c c G R z O 1 J B U C 9 w c C 9 w c C 5 Q U E V E X 0 F 1 Z G l 0 c 1 9 P d X R j b 2 1 l L n t G a X N Z c i w w f S Z x d W 9 0 O y w m c X V v d D t T Z X J 2 Z X I u R G F 0 Y W J h c 2 V c X C 8 y L 1 N R T C 9 z L X N y c y 1 2 M D F c X F x c c G R z O 1 J B U C 9 w c C 9 w c C 5 Q U E V E X 0 F 1 Z G l 0 c 1 9 P d X R j b 2 1 l L n t B X 1 R h b G x 5 L D F 9 J n F 1 b 3 Q 7 L C Z x d W 9 0 O 1 N l c n Z l c i 5 E Y X R h Y m F z Z V x c L z I v U 1 F M L 3 M t c 3 J z L X Y w M V x c X F x w Z H M 7 U k F Q L 3 B w L 3 B w L l B Q R U R f Q X V k a X R z X 0 9 1 d G N v b W U u e 0 F f S G 9 1 c n M s M n 0 m c X V v d D s s J n F 1 b 3 Q 7 U 2 V y d m V y L k R h d G F i Y X N l X F w v M i 9 T U U w v c y 1 z c n M t d j A x X F x c X H B k c z t S Q V A v c H A v c H A u U F B F R F 9 B d W R p d H N f T 3 V 0 Y 2 9 t Z S 5 7 Q l 9 U Y W x s e S w z f S Z x d W 9 0 O y w m c X V v d D t T Z X J 2 Z X I u R G F 0 Y W J h c 2 V c X C 8 y L 1 N R T C 9 z L X N y c y 1 2 M D F c X F x c c G R z O 1 J B U C 9 w c C 9 w c C 5 Q U E V E X 0 F 1 Z G l 0 c 1 9 P d X R j b 2 1 l L n t C X 0 h v d X J z L D R 9 J n F 1 b 3 Q 7 L C Z x d W 9 0 O 1 N l c n Z l c i 5 E Y X R h Y m F z Z V x c L z I v U 1 F M L 3 M t c 3 J z L X Y w M V x c X F x w Z H M 7 U k F Q L 3 B w L 3 B w L l B Q R U R f Q X V k a X R z X 0 9 1 d G N v b W U u e 0 V u Z m 9 y Y 2 V t Z W 5 0 X 1 R h b G x 5 L D V 9 J n F 1 b 3 Q 7 L C Z x d W 9 0 O 1 N l c n Z l c i 5 E Y X R h Y m F z Z V x c L z I v U 1 F M L 3 M t c 3 J z L X Y w M V x c X F x w Z H M 7 U k F Q L 3 B w L 3 B w L l B Q R U R f Q X V k a X R z X 0 9 1 d G N v b W U u e 0 V u Z m 9 y Y 2 V t Z W 5 0 X 0 h v d X J z L D Z 9 J n F 1 b 3 Q 7 L C Z x d W 9 0 O 1 N l c n Z l c i 5 E Y X R h Y m F z Z V x c L z I v U 1 F M L 3 M t c 3 J z L X Y w M V x c X F x w Z H M 7 U k F Q L 3 B w L 3 B w L l B Q R U R f Q X V k a X R z X 0 9 1 d G N v b W U u e 1 B y b 2 h p Y m l 0 a W 9 u X 1 R h b G x 5 L D d 9 J n F 1 b 3 Q 7 L C Z x d W 9 0 O 1 N l c n Z l c i 5 E Y X R h Y m F z Z V x c L z I v U 1 F M L 3 M t c 3 J z L X Y w M V x c X F x w Z H M 7 U k F Q L 3 B w L 3 B w L l B Q R U R f Q X V k a X R z X 0 9 1 d G N v b W U u e 1 B y b 2 h p Y m l 0 a W 9 u X 0 h v d X J z L D h 9 J n F 1 b 3 Q 7 X S w m c X V v d D t S Z W x h d G l v b n N o a X B J b m Z v J n F 1 b 3 Q 7 O l t d f S I g L z 4 8 L 1 N 0 Y W J s Z U V u d H J p Z X M + P C 9 J d G V t P j x J d G V t P j x J d G V t T G 9 j Y X R p b 2 4 + P E l 0 Z W 1 U e X B l P k Z v c m 1 1 b G E 8 L 0 l 0 Z W 1 U e X B l P j x J d G V t U G F 0 a D 5 T Z W N 0 a W 9 u M S 9 w c C U y M F B Q R U R f Q X V k a X R z X 0 9 1 d G N v b W U v U 2 9 1 c m N l P C 9 J d G V t U G F 0 a D 4 8 L 0 l 0 Z W 1 M b 2 N h d G l v b j 4 8 U 3 R h Y m x l R W 5 0 c m l l c y A v P j w v S X R l b T 4 8 S X R l b T 4 8 S X R l b U x v Y 2 F 0 a W 9 u P j x J d G V t V H l w Z T 5 G b 3 J t d W x h P C 9 J d G V t V H l w Z T 4 8 S X R l b V B h d G g + U 2 V j d G l v b j E v c H A l M j B Q U E V E X 0 F 1 Z G l 0 c 1 9 P d X R j b 2 1 l L 3 B w X 1 B Q R U R f Q X V k a X R z X 0 9 1 d G N v b W U 8 L 0 l 0 Z W 1 Q Y X R o P j w v S X R l b U x v Y 2 F 0 a W 9 u P j x T d G F i b G V F b n R y a W V z I C 8 + P C 9 J d G V t P j x J d G V t P j x J d G V t T G 9 j Y X R p b 2 4 + P E l 0 Z W 1 U e X B l P k Z v c m 1 1 b G E 8 L 0 l 0 Z W 1 U e X B l P j x J d G V t U G F 0 a D 5 T Z W N 0 a W 9 u M S 9 w c C U y M F B Q R U R f T m 9 0 a W N l c z 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Q 2 9 1 b n Q i I F Z h b H V l P S J s N y I g L z 4 8 R W 5 0 c n k g V H l w Z T 0 i R m l s b E V y c m 9 y Q 2 9 1 b n Q i I F Z h b H V l P S J s M C I g L z 4 8 R W 5 0 c n k g V H l w Z T 0 i R m l s b E N v b H V t b l R 5 c G V z I i B W Y W x 1 Z T 0 i c 0 J n S U N B Z z 0 9 I i A v P j x F b n R y e S B U e X B l P S J G a W x s Q 2 9 s d W 1 u T m F t Z X M i I F Z h b H V l P S J z W y Z x d W 9 0 O 1 l l Y X I m c X V v d D s s J n F 1 b 3 Q 7 R W 5 m b 3 J j Z W 1 l b n Q g T m 9 0 a W N l J n F 1 b 3 Q 7 L C Z x d W 9 0 O 1 B y b 2 h p Y m l 0 a W 9 u I E 5 v d G l j Z S Z x d W 9 0 O y w m c X V v d D t B b H R l c m F 0 a W 9 u c y B O b 3 R p Y 2 U m c X V v d D t d I i A v P j x F b n R y e S B U e X B l P S J G a W x s R X J y b 3 J D b 2 R l I i B W Y W x 1 Z T 0 i c 1 V u a 2 5 v d 2 4 i I C 8 + P E V u d H J 5 I F R 5 c G U 9 I k Z p b G x M Y X N 0 V X B k Y X R l Z C I g V m F s d W U 9 I m Q y M D I x L T A 3 L T I 3 V D A 5 O j E 1 O j Q 3 L j g y N z Y 0 N z h a I i A v P j x F b n R y e S B U e X B l P S J S Z W x h d G l v b n N o a X B J b m Z v Q 2 9 u d G F p b m V y I i B W Y W x 1 Z T 0 i c 3 s m c X V v d D t j b 2 x 1 b W 5 D b 3 V u d C Z x d W 9 0 O z o 0 L C Z x d W 9 0 O 2 t l e U N v b H V t b k 5 h b W V z J n F 1 b 3 Q 7 O l t d L C Z x d W 9 0 O 3 F 1 Z X J 5 U m V s Y X R p b 2 5 z a G l w c y Z x d W 9 0 O z p b X S w m c X V v d D t j b 2 x 1 b W 5 J Z G V u d G l 0 a W V z J n F 1 b 3 Q 7 O l s m c X V v d D t T Z X J 2 Z X I u R G F 0 Y W J h c 2 V c X C 8 y L 1 N R T C 9 z L X N y c y 1 2 M D F c X F x c c G R z O 1 J B U C 9 w c C 9 w c C 5 Q U E V E X 0 5 v d G l j Z X M u e 1 l l Y X I s M H 0 m c X V v d D s s J n F 1 b 3 Q 7 U 2 V y d m V y L k R h d G F i Y X N l X F w v M i 9 T U U w v c y 1 z c n M t d j A x X F x c X H B k c z t S Q V A v c H A v c H A u U F B F R F 9 O b 3 R p Y 2 V z L n t F b m Z v c m N l b W V u d C B O b 3 R p Y 2 U s M X 0 m c X V v d D s s J n F 1 b 3 Q 7 U 2 V y d m V y L k R h d G F i Y X N l X F w v M i 9 T U U w v c y 1 z c n M t d j A x X F x c X H B k c z t S Q V A v c H A v c H A u U F B F R F 9 O b 3 R p Y 2 V z L n t Q c m 9 o a W J p d G l v b i B O b 3 R p Y 2 U s M n 0 m c X V v d D s s J n F 1 b 3 Q 7 U 2 V y d m V y L k R h d G F i Y X N l X F w v M i 9 T U U w v c y 1 z c n M t d j A x X F x c X H B k c z t S Q V A v c H A v c H A u U F B F R F 9 O b 3 R p Y 2 V z L n t B b H R l c m F 0 a W 9 u c y B O b 3 R p Y 2 U s M 3 0 m c X V v d D t d L C Z x d W 9 0 O 0 N v b H V t b k N v d W 5 0 J n F 1 b 3 Q 7 O j Q s J n F 1 b 3 Q 7 S 2 V 5 Q 2 9 s d W 1 u T m F t Z X M m c X V v d D s 6 W 1 0 s J n F 1 b 3 Q 7 Q 2 9 s d W 1 u S W R l b n R p d G l l c y Z x d W 9 0 O z p b J n F 1 b 3 Q 7 U 2 V y d m V y L k R h d G F i Y X N l X F w v M i 9 T U U w v c y 1 z c n M t d j A x X F x c X H B k c z t S Q V A v c H A v c H A u U F B F R F 9 O b 3 R p Y 2 V z L n t Z Z W F y L D B 9 J n F 1 b 3 Q 7 L C Z x d W 9 0 O 1 N l c n Z l c i 5 E Y X R h Y m F z Z V x c L z I v U 1 F M L 3 M t c 3 J z L X Y w M V x c X F x w Z H M 7 U k F Q L 3 B w L 3 B w L l B Q R U R f T m 9 0 a W N l c y 5 7 R W 5 m b 3 J j Z W 1 l b n Q g T m 9 0 a W N l L D F 9 J n F 1 b 3 Q 7 L C Z x d W 9 0 O 1 N l c n Z l c i 5 E Y X R h Y m F z Z V x c L z I v U 1 F M L 3 M t c 3 J z L X Y w M V x c X F x w Z H M 7 U k F Q L 3 B w L 3 B w L l B Q R U R f T m 9 0 a W N l c y 5 7 U H J v a G l i a X R p b 2 4 g T m 9 0 a W N l L D J 9 J n F 1 b 3 Q 7 L C Z x d W 9 0 O 1 N l c n Z l c i 5 E Y X R h Y m F z Z V x c L z I v U 1 F M L 3 M t c 3 J z L X Y w M V x c X F x w Z H M 7 U k F Q L 3 B w L 3 B w L l B Q R U R f T m 9 0 a W N l c y 5 7 Q W x 0 Z X J h d G l v b n M g T m 9 0 a W N l L D N 9 J n F 1 b 3 Q 7 X S w m c X V v d D t S Z W x h d G l v b n N o a X B J b m Z v J n F 1 b 3 Q 7 O l t d f S I g L z 4 8 R W 5 0 c n k g V H l w Z T 0 i R m l s b G V k Q 2 9 t c G x l d G V S Z X N 1 b H R U b 1 d v c m t z a G V l d C I g V m F s d W U 9 I m w x I i A v P j x F b n R y e S B U e X B l P S J B Z G R l Z F R v R G F 0 Y U 1 v Z G V s I i B W Y W x 1 Z T 0 i b D A i I C 8 + P E V u d H J 5 I F R 5 c G U 9 I l J l Y 2 9 2 Z X J 5 V G F y Z 2 V 0 U 2 h l Z X Q i I F Z h b H V l P S J z T m 9 0 a W N l c y I g L z 4 8 R W 5 0 c n k g V H l w Z T 0 i U m V j b 3 Z l c n l U Y X J n Z X R D b 2 x 1 b W 4 i I F Z h b H V l P S J s M S I g L z 4 8 R W 5 0 c n k g V H l w Z T 0 i U m V j b 3 Z l c n l U Y X J n Z X R S b 3 c i I F Z h b H V l P S J s O S I g L z 4 8 R W 5 0 c n k g V H l w Z T 0 i R m l s b F R h c m d l d C I g V m F s d W U 9 I n N w c F 9 Q U E V E X 0 5 v d G l j Z X M i I C 8 + P E V u d H J 5 I F R 5 c G U 9 I k Z p b G x T d G F 0 d X M i I F Z h b H V l P S J z Q 2 9 t c G x l d G U i I C 8 + P E V u d H J 5 I F R 5 c G U 9 I l F 1 Z X J 5 S U Q i I F Z h b H V l P S J z N D c x Y W M 0 M G Q t Z j F i O S 0 0 Y W R m L W J l N 2 E t O G Q y N m U y N j I 5 Y j Q 3 I i A v P j w v U 3 R h Y m x l R W 5 0 c m l l c z 4 8 L 0 l 0 Z W 0 + P E l 0 Z W 0 + P E l 0 Z W 1 M b 2 N h d G l v b j 4 8 S X R l b V R 5 c G U + R m 9 y b X V s Y T w v S X R l b V R 5 c G U + P E l 0 Z W 1 Q Y X R o P l N l Y 3 R p b 2 4 x L 3 B w J T I w U F B F R F 9 O b 3 R p Y 2 V z L 1 N v d X J j Z T w v S X R l b V B h d G g + P C 9 J d G V t T G 9 j Y X R p b 2 4 + P F N 0 Y W J s Z U V u d H J p Z X M g L z 4 8 L 0 l 0 Z W 0 + P E l 0 Z W 0 + P E l 0 Z W 1 M b 2 N h d G l v b j 4 8 S X R l b V R 5 c G U + R m 9 y b X V s Y T w v S X R l b V R 5 c G U + P E l 0 Z W 1 Q Y X R o P l N l Y 3 R p b 2 4 x L 3 B w J T I w U F B F R F 9 O b 3 R p Y 2 V z L 3 B w X 1 B Q R U R f T m 9 0 a W N l c z w v S X R l b V B h d G g + P C 9 J d G V t T G 9 j Y X R p b 2 4 + P F N 0 Y W J s Z U V u d H J p Z X M g L z 4 8 L 0 l 0 Z W 0 + P E l 0 Z W 0 + P E l 0 Z W 1 M b 2 N h d G l v b j 4 8 S X R l b V R 5 c G U + R m 9 y b X V s Y T w v S X R l b V R 5 c G U + P E l 0 Z W 1 Q Y X R o P l N l Y 3 R p b 2 4 x L 3 B w J T I w U F B F R F 9 B d W R p d H N f T 3 V 0 Y 2 9 t Z V 9 M Q 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S Z W x h d G l v b n N o a X B J b m Z v Q 2 9 u d G F p b m V y I i B W Y W x 1 Z T 0 i c 3 s m c X V v d D t j b 2 x 1 b W 5 D b 3 V u d C Z x d W 9 0 O z o x M S w m c X V v d D t r Z X l D b 2 x 1 b W 5 O Y W 1 l c y Z x d W 9 0 O z p b X S w m c X V v d D t x d W V y e V J l b G F 0 a W 9 u c 2 h p c H M m c X V v d D s 6 W 1 0 s J n F 1 b 3 Q 7 Y 2 9 s d W 1 u S W R l b n R p d G l l c y Z x d W 9 0 O z p b J n F 1 b 3 Q 7 U 2 V y d m V y L k R h d G F i Y X N l X F w v M i 9 T U U w v c y 1 z c n M t d j A x X F x c X H B k c z t S Q V A v c H A v c H A u U F B F R F 9 B d W R p d H N f T 3 V 0 Y 2 9 t Z V 9 M Q S 5 7 R m l z W X I s M H 0 m c X V v d D s s J n F 1 b 3 Q 7 U 2 V y d m V y L k R h d G F i Y X N l X F w v M i 9 T U U w v c y 1 z c n M t d j A x X F x c X H B k c z t S Q V A v c H A v c H A u U F B F R F 9 B d W R p d H N f T 3 V 0 Y 2 9 t Z V 9 M Q S 5 7 Q 2 9 1 b m N p b C w x f S Z x d W 9 0 O y w m c X V v d D t T Z X J 2 Z X I u R G F 0 Y W J h c 2 V c X C 8 y L 1 N R T C 9 z L X N y c y 1 2 M D F c X F x c c G R z O 1 J B U C 9 w c C 9 w c C 5 Q U E V E X 0 F 1 Z G l 0 c 1 9 P d X R j b 2 1 l X 0 x B L n t H U 1 N D b 2 R l L D J 9 J n F 1 b 3 Q 7 L C Z x d W 9 0 O 1 N l c n Z l c i 5 E Y X R h Y m F z Z V x c L z I v U 1 F M L 3 M t c 3 J z L X Y w M V x c X F x w Z H M 7 U k F Q L 3 B w L 3 B w L l B Q R U R f Q X V k a X R z X 0 9 1 d G N v b W V f T E E u e 0 F f V G F s b H k s M 3 0 m c X V v d D s s J n F 1 b 3 Q 7 U 2 V y d m V y L k R h d G F i Y X N l X F w v M i 9 T U U w v c y 1 z c n M t d j A x X F x c X H B k c z t S Q V A v c H A v c H A u U F B F R F 9 B d W R p d H N f T 3 V 0 Y 2 9 t Z V 9 M Q S 5 7 Q V 9 I b 3 V y c y w 0 f S Z x d W 9 0 O y w m c X V v d D t T Z X J 2 Z X I u R G F 0 Y W J h c 2 V c X C 8 y L 1 N R T C 9 z L X N y c y 1 2 M D F c X F x c c G R z O 1 J B U C 9 w c C 9 w c C 5 Q U E V E X 0 F 1 Z G l 0 c 1 9 P d X R j b 2 1 l X 0 x B L n t C X 1 R h b G x 5 L D V 9 J n F 1 b 3 Q 7 L C Z x d W 9 0 O 1 N l c n Z l c i 5 E Y X R h Y m F z Z V x c L z I v U 1 F M L 3 M t c 3 J z L X Y w M V x c X F x w Z H M 7 U k F Q L 3 B w L 3 B w L l B Q R U R f Q X V k a X R z X 0 9 1 d G N v b W V f T E E u e 0 J f S G 9 1 c n M s N n 0 m c X V v d D s s J n F 1 b 3 Q 7 U 2 V y d m V y L k R h d G F i Y X N l X F w v M i 9 T U U w v c y 1 z c n M t d j A x X F x c X H B k c z t S Q V A v c H A v c H A u U F B F R F 9 B d W R p d H N f T 3 V 0 Y 2 9 t Z V 9 M Q S 5 7 R W 5 m b 3 J j Z W 1 l b n R f V G F s b H k s N 3 0 m c X V v d D s s J n F 1 b 3 Q 7 U 2 V y d m V y L k R h d G F i Y X N l X F w v M i 9 T U U w v c y 1 z c n M t d j A x X F x c X H B k c z t S Q V A v c H A v c H A u U F B F R F 9 B d W R p d H N f T 3 V 0 Y 2 9 t Z V 9 M Q S 5 7 R W 5 m b 3 J j Z W 1 l b n R f S G 9 1 c n M s O H 0 m c X V v d D s s J n F 1 b 3 Q 7 U 2 V y d m V y L k R h d G F i Y X N l X F w v M i 9 T U U w v c y 1 z c n M t d j A x X F x c X H B k c z t S Q V A v c H A v c H A u U F B F R F 9 B d W R p d H N f T 3 V 0 Y 2 9 t Z V 9 M Q S 5 7 U H J v a G l i a X R p b 2 5 f V G F s b H k s O X 0 m c X V v d D s s J n F 1 b 3 Q 7 U 2 V y d m V y L k R h d G F i Y X N l X F w v M i 9 T U U w v c y 1 z c n M t d j A x X F x c X H B k c z t S Q V A v c H A v c H A u U F B F R F 9 B d W R p d H N f T 3 V 0 Y 2 9 t Z V 9 M Q S 5 7 U H J v a G l i a X R p b 2 5 f S G 9 1 c n M s M T B 9 J n F 1 b 3 Q 7 X S w m c X V v d D t D b 2 x 1 b W 5 D b 3 V u d C Z x d W 9 0 O z o x M S w m c X V v d D t L Z X l D b 2 x 1 b W 5 O Y W 1 l c y Z x d W 9 0 O z p b X S w m c X V v d D t D b 2 x 1 b W 5 J Z G V u d G l 0 a W V z J n F 1 b 3 Q 7 O l s m c X V v d D t T Z X J 2 Z X I u R G F 0 Y W J h c 2 V c X C 8 y L 1 N R T C 9 z L X N y c y 1 2 M D F c X F x c c G R z O 1 J B U C 9 w c C 9 w c C 5 Q U E V E X 0 F 1 Z G l 0 c 1 9 P d X R j b 2 1 l X 0 x B L n t G a X N Z c i w w f S Z x d W 9 0 O y w m c X V v d D t T Z X J 2 Z X I u R G F 0 Y W J h c 2 V c X C 8 y L 1 N R T C 9 z L X N y c y 1 2 M D F c X F x c c G R z O 1 J B U C 9 w c C 9 w c C 5 Q U E V E X 0 F 1 Z G l 0 c 1 9 P d X R j b 2 1 l X 0 x B L n t D b 3 V u Y 2 l s L D F 9 J n F 1 b 3 Q 7 L C Z x d W 9 0 O 1 N l c n Z l c i 5 E Y X R h Y m F z Z V x c L z I v U 1 F M L 3 M t c 3 J z L X Y w M V x c X F x w Z H M 7 U k F Q L 3 B w L 3 B w L l B Q R U R f Q X V k a X R z X 0 9 1 d G N v b W V f T E E u e 0 d T U 0 N v Z G U s M n 0 m c X V v d D s s J n F 1 b 3 Q 7 U 2 V y d m V y L k R h d G F i Y X N l X F w v M i 9 T U U w v c y 1 z c n M t d j A x X F x c X H B k c z t S Q V A v c H A v c H A u U F B F R F 9 B d W R p d H N f T 3 V 0 Y 2 9 t Z V 9 M Q S 5 7 Q V 9 U Y W x s e S w z f S Z x d W 9 0 O y w m c X V v d D t T Z X J 2 Z X I u R G F 0 Y W J h c 2 V c X C 8 y L 1 N R T C 9 z L X N y c y 1 2 M D F c X F x c c G R z O 1 J B U C 9 w c C 9 w c C 5 Q U E V E X 0 F 1 Z G l 0 c 1 9 P d X R j b 2 1 l X 0 x B L n t B X 0 h v d X J z L D R 9 J n F 1 b 3 Q 7 L C Z x d W 9 0 O 1 N l c n Z l c i 5 E Y X R h Y m F z Z V x c L z I v U 1 F M L 3 M t c 3 J z L X Y w M V x c X F x w Z H M 7 U k F Q L 3 B w L 3 B w L l B Q R U R f Q X V k a X R z X 0 9 1 d G N v b W V f T E E u e 0 J f V G F s b H k s N X 0 m c X V v d D s s J n F 1 b 3 Q 7 U 2 V y d m V y L k R h d G F i Y X N l X F w v M i 9 T U U w v c y 1 z c n M t d j A x X F x c X H B k c z t S Q V A v c H A v c H A u U F B F R F 9 B d W R p d H N f T 3 V 0 Y 2 9 t Z V 9 M Q S 5 7 Q l 9 I b 3 V y c y w 2 f S Z x d W 9 0 O y w m c X V v d D t T Z X J 2 Z X I u R G F 0 Y W J h c 2 V c X C 8 y L 1 N R T C 9 z L X N y c y 1 2 M D F c X F x c c G R z O 1 J B U C 9 w c C 9 w c C 5 Q U E V E X 0 F 1 Z G l 0 c 1 9 P d X R j b 2 1 l X 0 x B L n t F b m Z v c m N l b W V u d F 9 U Y W x s e S w 3 f S Z x d W 9 0 O y w m c X V v d D t T Z X J 2 Z X I u R G F 0 Y W J h c 2 V c X C 8 y L 1 N R T C 9 z L X N y c y 1 2 M D F c X F x c c G R z O 1 J B U C 9 w c C 9 w c C 5 Q U E V E X 0 F 1 Z G l 0 c 1 9 P d X R j b 2 1 l X 0 x B L n t F b m Z v c m N l b W V u d F 9 I b 3 V y c y w 4 f S Z x d W 9 0 O y w m c X V v d D t T Z X J 2 Z X I u R G F 0 Y W J h c 2 V c X C 8 y L 1 N R T C 9 z L X N y c y 1 2 M D F c X F x c c G R z O 1 J B U C 9 w c C 9 w c C 5 Q U E V E X 0 F 1 Z G l 0 c 1 9 P d X R j b 2 1 l X 0 x B L n t Q c m 9 o a W J p d G l v b l 9 U Y W x s e S w 5 f S Z x d W 9 0 O y w m c X V v d D t T Z X J 2 Z X I u R G F 0 Y W J h c 2 V c X C 8 y L 1 N R T C 9 z L X N y c y 1 2 M D F c X F x c c G R z O 1 J B U C 9 w c C 9 w c C 5 Q U E V E X 0 F 1 Z G l 0 c 1 9 P d X R j b 2 1 l X 0 x B L n t Q c m 9 o a W J p d G l v b l 9 I b 3 V y c y w x M H 0 m c X V v d D t d L C Z x d W 9 0 O 1 J l b G F 0 a W 9 u c 2 h p c E l u Z m 8 m c X V v d D s 6 W 1 1 9 I i A v P j x F b n R y e S B U e X B l P S J G a W x s T G F z d F V w Z G F 0 Z W Q i I F Z h b H V l P S J k M j A y M S 0 w O C 0 y M 1 Q x O T o z M z o 0 N y 4 w N j U w M j I z W i I g L z 4 8 R W 5 0 c n k g V H l w Z T 0 i R m l s b E V y c m 9 y Q 2 9 k Z S I g V m F s d W U 9 I n N V b m t u b 3 d u I i A v P j x F b n R y e S B U e X B l P S J G a W x s Q 2 9 s d W 1 u T m F t Z X M i I F Z h b H V l P S J z W y Z x d W 9 0 O 0 Z p c 1 l y J n F 1 b 3 Q 7 L C Z x d W 9 0 O 0 N v d W 5 j a W w m c X V v d D s s J n F 1 b 3 Q 7 R 1 N T Q 2 9 k Z S Z x d W 9 0 O y w m c X V v d D t B X 1 R h b G x 5 J n F 1 b 3 Q 7 L C Z x d W 9 0 O 0 F f S G 9 1 c n M m c X V v d D s s J n F 1 b 3 Q 7 Q l 9 U Y W x s e S Z x d W 9 0 O y w m c X V v d D t C X 0 h v d X J z J n F 1 b 3 Q 7 L C Z x d W 9 0 O 0 V u Z m 9 y Y 2 V t Z W 5 0 X 1 R h b G x 5 J n F 1 b 3 Q 7 L C Z x d W 9 0 O 0 V u Z m 9 y Y 2 V t Z W 5 0 X 0 h v d X J z J n F 1 b 3 Q 7 L C Z x d W 9 0 O 1 B y b 2 h p Y m l 0 a W 9 u X 1 R h b G x 5 J n F 1 b 3 Q 7 L C Z x d W 9 0 O 1 B y b 2 h p Y m l 0 a W 9 u X 0 h v d X J z J n F 1 b 3 Q 7 X S I g L z 4 8 R W 5 0 c n k g V H l w Z T 0 i R m l s b E N v b H V t b l R 5 c G V z I i B W Y W x 1 Z T 0 i c 0 J n W U d C U V V G Q l F V R k J R V T 0 i I C 8 + P E V u d H J 5 I F R 5 c G U 9 I k Z p b G x F c n J v c k N v d W 5 0 I i B W Y W x 1 Z T 0 i b D A i I C 8 + P E V u d H J 5 I F R 5 c G U 9 I k Z p b G x l Z E N v b X B s Z X R l U m V z d W x 0 V G 9 X b 3 J r c 2 h l Z X Q i I F Z h b H V l P S J s M S I g L z 4 8 R W 5 0 c n k g V H l w Z T 0 i Q W R k Z W R U b 0 R h d G F N b 2 R l b C I g V m F s d W U 9 I m w w I i A v P j x F b n R y e S B U e X B l P S J S Z W N v d m V y e V R h c m d l d F N o Z W V 0 I i B W Y W x 1 Z T 0 i c 1 N o Z W V 0 N i I g L z 4 8 R W 5 0 c n k g V H l w Z T 0 i U m V j b 3 Z l c n l U Y X J n Z X R D b 2 x 1 b W 4 i I F Z h b H V l P S J s M S I g L z 4 8 R W 5 0 c n k g V H l w Z T 0 i U m V j b 3 Z l c n l U Y X J n Z X R S b 3 c i I F Z h b H V l P S J s M S I g L z 4 8 R W 5 0 c n k g V H l w Z T 0 i R m l s b E N v d W 5 0 I i B W Y W x 1 Z T 0 i b D I y M y I g L z 4 8 R W 5 0 c n k g V H l w Z T 0 i R m l s b F N 0 Y X R 1 c y I g V m F s d W U 9 I n N D b 2 1 w b G V 0 Z S I g L z 4 8 R W 5 0 c n k g V H l w Z T 0 i U X V l c n l J R C I g V m F s d W U 9 I n M 1 M D d k Z G R j M i 1 i Y z k 5 L T Q x M z I t O W Y 0 Z i 0 1 Y W Q 0 O W M 0 O T R i O D c i I C 8 + P E V u d H J 5 I F R 5 c G U 9 I k Z p b G x U Y X J n Z X Q i I F Z h b H V l P S J z c H B f U F B F R F 9 B d W R p d H N f T 3 V 0 Y 2 9 t Z V 9 M Q S I g L z 4 8 L 1 N 0 Y W J s Z U V u d H J p Z X M + P C 9 J d G V t P j x J d G V t P j x J d G V t T G 9 j Y X R p b 2 4 + P E l 0 Z W 1 U e X B l P k Z v c m 1 1 b G E 8 L 0 l 0 Z W 1 U e X B l P j x J d G V t U G F 0 a D 5 T Z W N 0 a W 9 u M S 9 w c C U y M F B Q R U R f Q X V k a X R z X 0 9 1 d G N v b W V f T E E v U 2 9 1 c m N l P C 9 J d G V t U G F 0 a D 4 8 L 0 l 0 Z W 1 M b 2 N h d G l v b j 4 8 U 3 R h Y m x l R W 5 0 c m l l c y A v P j w v S X R l b T 4 8 S X R l b T 4 8 S X R l b U x v Y 2 F 0 a W 9 u P j x J d G V t V H l w Z T 5 G b 3 J t d W x h P C 9 J d G V t V H l w Z T 4 8 S X R l b V B h d G g + U 2 V j d G l v b j E v c H A l M j B Q U E V E X 0 F 1 Z G l 0 c 1 9 P d X R j b 2 1 l X 0 x B L 3 B w X 1 B Q R U R f Q X V k a X R z X 0 9 1 d G N v b W V f T E E 8 L 0 l 0 Z W 1 Q Y X R o P j w v S X R l b U x v Y 2 F 0 a W 9 u P j x T d G F i b G V F b n R y a W V z I C 8 + P C 9 J d G V t P j x J d G V t P j x J d G V t T G 9 j Y X R p b 2 4 + P E l 0 Z W 1 U e X B l P k Z v c m 1 1 b G E 8 L 0 l 0 Z W 1 U e X B l P j x J d G V t U G F 0 a D 5 T Z W N 0 a W 9 u M S 9 w c C U y M F B Q R U R f Q X V k a X R z X 0 9 1 d G N v b W V f U H J l b W l z Z X M 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E V y c m 9 y Q 2 9 k Z S I g V m F s d W U 9 I n N V b m t u b 3 d u I i A v P j x F b n R y e S B U e X B l P S J G a W x s T G F z d F V w Z G F 0 Z W Q i I F Z h b H V l P S J k M j A y M S 0 w O C 0 y M F Q x N D o 0 O T o y M i 4 y N D g 4 N z k 3 W i I g L z 4 8 R W 5 0 c n k g V H l w Z T 0 i U m V s Y X R p b 2 5 z a G l w S W 5 m b 0 N v b n R h a W 5 l c i I g V m F s d W U 9 I n N 7 J n F 1 b 3 Q 7 Y 2 9 s d W 1 u Q 2 9 1 b n Q m c X V v d D s 6 M T E s J n F 1 b 3 Q 7 a 2 V 5 Q 2 9 s d W 1 u T m F t Z X M m c X V v d D s 6 W 1 0 s J n F 1 b 3 Q 7 c X V l c n l S Z W x h d G l v b n N o a X B z J n F 1 b 3 Q 7 O l t d L C Z x d W 9 0 O 2 N v b H V t b k l k Z W 5 0 a X R p Z X M m c X V v d D s 6 W y Z x d W 9 0 O 1 N l c n Z l c i 5 E Y X R h Y m F z Z V x c L z I v U 1 F M L 3 M t c 3 J z L X Y w M V x c X F x w Z H M 7 U k F Q L 3 B w L 3 B w L l B Q R U R f Q X V k a X R z X 0 9 1 d G N v b W V f U H J l b W l z Z X M u e 0 Z p c 1 l y L D B 9 J n F 1 b 3 Q 7 L C Z x d W 9 0 O 1 N l c n Z l c i 5 E Y X R h Y m F z Z V x c L z I v U 1 F M L 3 M t c 3 J z L X Y w M V x c X F x w Z H M 7 U k F Q L 3 B w L 3 B w L l B Q R U R f Q X V k a X R z X 0 9 1 d G N v b W V f U H J l b W l z Z X M u e 0 Z T R U M s M X 0 m c X V v d D s s J n F 1 b 3 Q 7 U 2 V y d m V y L k R h d G F i Y X N l X F w v M i 9 T U U w v c y 1 z c n M t d j A x X F x c X H B k c z t S Q V A v c H A v c H A u U F B F R F 9 B d W R p d H N f T 3 V 0 Y 2 9 t Z V 9 Q c m V t a X N l c y 5 7 V H l w Z S B v Z i B Q c m V t a X N l c y w y f S Z x d W 9 0 O y w m c X V v d D t T Z X J 2 Z X I u R G F 0 Y W J h c 2 V c X C 8 y L 1 N R T C 9 z L X N y c y 1 2 M D F c X F x c c G R z O 1 J B U C 9 w c C 9 w c C 5 Q U E V E X 0 F 1 Z G l 0 c 1 9 P d X R j b 2 1 l X 1 B y Z W 1 p c 2 V z L n t B X 1 R h b G x 5 L D N 9 J n F 1 b 3 Q 7 L C Z x d W 9 0 O 1 N l c n Z l c i 5 E Y X R h Y m F z Z V x c L z I v U 1 F M L 3 M t c 3 J z L X Y w M V x c X F x w Z H M 7 U k F Q L 3 B w L 3 B w L l B Q R U R f Q X V k a X R z X 0 9 1 d G N v b W V f U H J l b W l z Z X M u e 0 F f S G 9 1 c n M s N H 0 m c X V v d D s s J n F 1 b 3 Q 7 U 2 V y d m V y L k R h d G F i Y X N l X F w v M i 9 T U U w v c y 1 z c n M t d j A x X F x c X H B k c z t S Q V A v c H A v c H A u U F B F R F 9 B d W R p d H N f T 3 V 0 Y 2 9 t Z V 9 Q c m V t a X N l c y 5 7 Q l 9 U Y W x s e S w 1 f S Z x d W 9 0 O y w m c X V v d D t T Z X J 2 Z X I u R G F 0 Y W J h c 2 V c X C 8 y L 1 N R T C 9 z L X N y c y 1 2 M D F c X F x c c G R z O 1 J B U C 9 w c C 9 w c C 5 Q U E V E X 0 F 1 Z G l 0 c 1 9 P d X R j b 2 1 l X 1 B y Z W 1 p c 2 V z L n t C X 0 h v d X J z L D Z 9 J n F 1 b 3 Q 7 L C Z x d W 9 0 O 1 N l c n Z l c i 5 E Y X R h Y m F z Z V x c L z I v U 1 F M L 3 M t c 3 J z L X Y w M V x c X F x w Z H M 7 U k F Q L 3 B w L 3 B w L l B Q R U R f Q X V k a X R z X 0 9 1 d G N v b W V f U H J l b W l z Z X M u e 0 V u Z m 9 y Y 2 V t Z W 5 0 X 1 R h b G x 5 L D d 9 J n F 1 b 3 Q 7 L C Z x d W 9 0 O 1 N l c n Z l c i 5 E Y X R h Y m F z Z V x c L z I v U 1 F M L 3 M t c 3 J z L X Y w M V x c X F x w Z H M 7 U k F Q L 3 B w L 3 B w L l B Q R U R f Q X V k a X R z X 0 9 1 d G N v b W V f U H J l b W l z Z X M u e 0 V u Z m 9 y Y 2 V t Z W 5 0 X 0 h v d X J z L D h 9 J n F 1 b 3 Q 7 L C Z x d W 9 0 O 1 N l c n Z l c i 5 E Y X R h Y m F z Z V x c L z I v U 1 F M L 3 M t c 3 J z L X Y w M V x c X F x w Z H M 7 U k F Q L 3 B w L 3 B w L l B Q R U R f Q X V k a X R z X 0 9 1 d G N v b W V f U H J l b W l z Z X M u e 1 B y b 2 h p Y m l 0 a W 9 u X 1 R h b G x 5 L D l 9 J n F 1 b 3 Q 7 L C Z x d W 9 0 O 1 N l c n Z l c i 5 E Y X R h Y m F z Z V x c L z I v U 1 F M L 3 M t c 3 J z L X Y w M V x c X F x w Z H M 7 U k F Q L 3 B w L 3 B w L l B Q R U R f Q X V k a X R z X 0 9 1 d G N v b W V f U H J l b W l z Z X M u e 1 B y b 2 h p Y m l 0 a W 9 u X 0 h v d X J z L D E w f S Z x d W 9 0 O 1 0 s J n F 1 b 3 Q 7 Q 2 9 s d W 1 u Q 2 9 1 b n Q m c X V v d D s 6 M T E s J n F 1 b 3 Q 7 S 2 V 5 Q 2 9 s d W 1 u T m F t Z X M m c X V v d D s 6 W 1 0 s J n F 1 b 3 Q 7 Q 2 9 s d W 1 u S W R l b n R p d G l l c y Z x d W 9 0 O z p b J n F 1 b 3 Q 7 U 2 V y d m V y L k R h d G F i Y X N l X F w v M i 9 T U U w v c y 1 z c n M t d j A x X F x c X H B k c z t S Q V A v c H A v c H A u U F B F R F 9 B d W R p d H N f T 3 V 0 Y 2 9 t Z V 9 Q c m V t a X N l c y 5 7 R m l z W X I s M H 0 m c X V v d D s s J n F 1 b 3 Q 7 U 2 V y d m V y L k R h d G F i Y X N l X F w v M i 9 T U U w v c y 1 z c n M t d j A x X F x c X H B k c z t S Q V A v c H A v c H A u U F B F R F 9 B d W R p d H N f T 3 V 0 Y 2 9 t Z V 9 Q c m V t a X N l c y 5 7 R l N F Q y w x f S Z x d W 9 0 O y w m c X V v d D t T Z X J 2 Z X I u R G F 0 Y W J h c 2 V c X C 8 y L 1 N R T C 9 z L X N y c y 1 2 M D F c X F x c c G R z O 1 J B U C 9 w c C 9 w c C 5 Q U E V E X 0 F 1 Z G l 0 c 1 9 P d X R j b 2 1 l X 1 B y Z W 1 p c 2 V z L n t U e X B l I G 9 m I F B y Z W 1 p c 2 V z L D J 9 J n F 1 b 3 Q 7 L C Z x d W 9 0 O 1 N l c n Z l c i 5 E Y X R h Y m F z Z V x c L z I v U 1 F M L 3 M t c 3 J z L X Y w M V x c X F x w Z H M 7 U k F Q L 3 B w L 3 B w L l B Q R U R f Q X V k a X R z X 0 9 1 d G N v b W V f U H J l b W l z Z X M u e 0 F f V G F s b H k s M 3 0 m c X V v d D s s J n F 1 b 3 Q 7 U 2 V y d m V y L k R h d G F i Y X N l X F w v M i 9 T U U w v c y 1 z c n M t d j A x X F x c X H B k c z t S Q V A v c H A v c H A u U F B F R F 9 B d W R p d H N f T 3 V 0 Y 2 9 t Z V 9 Q c m V t a X N l c y 5 7 Q V 9 I b 3 V y c y w 0 f S Z x d W 9 0 O y w m c X V v d D t T Z X J 2 Z X I u R G F 0 Y W J h c 2 V c X C 8 y L 1 N R T C 9 z L X N y c y 1 2 M D F c X F x c c G R z O 1 J B U C 9 w c C 9 w c C 5 Q U E V E X 0 F 1 Z G l 0 c 1 9 P d X R j b 2 1 l X 1 B y Z W 1 p c 2 V z L n t C X 1 R h b G x 5 L D V 9 J n F 1 b 3 Q 7 L C Z x d W 9 0 O 1 N l c n Z l c i 5 E Y X R h Y m F z Z V x c L z I v U 1 F M L 3 M t c 3 J z L X Y w M V x c X F x w Z H M 7 U k F Q L 3 B w L 3 B w L l B Q R U R f Q X V k a X R z X 0 9 1 d G N v b W V f U H J l b W l z Z X M u e 0 J f S G 9 1 c n M s N n 0 m c X V v d D s s J n F 1 b 3 Q 7 U 2 V y d m V y L k R h d G F i Y X N l X F w v M i 9 T U U w v c y 1 z c n M t d j A x X F x c X H B k c z t S Q V A v c H A v c H A u U F B F R F 9 B d W R p d H N f T 3 V 0 Y 2 9 t Z V 9 Q c m V t a X N l c y 5 7 R W 5 m b 3 J j Z W 1 l b n R f V G F s b H k s N 3 0 m c X V v d D s s J n F 1 b 3 Q 7 U 2 V y d m V y L k R h d G F i Y X N l X F w v M i 9 T U U w v c y 1 z c n M t d j A x X F x c X H B k c z t S Q V A v c H A v c H A u U F B F R F 9 B d W R p d H N f T 3 V 0 Y 2 9 t Z V 9 Q c m V t a X N l c y 5 7 R W 5 m b 3 J j Z W 1 l b n R f S G 9 1 c n M s O H 0 m c X V v d D s s J n F 1 b 3 Q 7 U 2 V y d m V y L k R h d G F i Y X N l X F w v M i 9 T U U w v c y 1 z c n M t d j A x X F x c X H B k c z t S Q V A v c H A v c H A u U F B F R F 9 B d W R p d H N f T 3 V 0 Y 2 9 t Z V 9 Q c m V t a X N l c y 5 7 U H J v a G l i a X R p b 2 5 f V G F s b H k s O X 0 m c X V v d D s s J n F 1 b 3 Q 7 U 2 V y d m V y L k R h d G F i Y X N l X F w v M i 9 T U U w v c y 1 z c n M t d j A x X F x c X H B k c z t S Q V A v c H A v c H A u U F B F R F 9 B d W R p d H N f T 3 V 0 Y 2 9 t Z V 9 Q c m V t a X N l c y 5 7 U H J v a G l i a X R p b 2 5 f S G 9 1 c n M s M T B 9 J n F 1 b 3 Q 7 X S w m c X V v d D t S Z W x h d G l v b n N o a X B J b m Z v J n F 1 b 3 Q 7 O l t d f S I g L z 4 8 R W 5 0 c n k g V H l w Z T 0 i R m l s b F R h c m d l d C I g V m F s d W U 9 I n N w c F 9 Q U E V E X 0 F 1 Z G l 0 c 1 9 P d X R j b 2 1 l X 1 B y Z W 1 p c 2 V z I i A v P j x F b n R y e S B U e X B l P S J G a W x s Q 2 9 1 b n Q i I F Z h b H V l P S J s M T A 1 I i A v P j x F b n R y e S B U e X B l P S J G a W x s R X J y b 3 J D b 3 V u d C I g V m F s d W U 9 I m w w I i A v P j x F b n R y e S B U e X B l P S J G a W x s Z W R D b 2 1 w b G V 0 Z V J l c 3 V s d F R v V 2 9 y a 3 N o Z W V 0 I i B W Y W x 1 Z T 0 i b D E i I C 8 + P E V u d H J 5 I F R 5 c G U 9 I k F k Z G V k V G 9 E Y X R h T W 9 k Z W w i I F Z h b H V l P S J s M C I g L z 4 8 R W 5 0 c n k g V H l w Z T 0 i U m V j b 3 Z l c n l U Y X J n Z X R T a G V l d C I g V m F s d W U 9 I n N h d W R p d H N v d X R j b 2 1 l c H J l b W l z Z X M i I C 8 + P E V u d H J 5 I F R 5 c G U 9 I l J l Y 2 9 2 Z X J 5 V G F y Z 2 V 0 Q 2 9 s d W 1 u I i B W Y W x 1 Z T 0 i b D E i I C 8 + P E V u d H J 5 I F R 5 c G U 9 I l J l Y 2 9 2 Z X J 5 V G F y Z 2 V 0 U m 9 3 I i B W Y W x 1 Z T 0 i b D E i I C 8 + P E V u d H J 5 I F R 5 c G U 9 I k Z p b G x D b 2 x 1 b W 5 O Y W 1 l c y I g V m F s d W U 9 I n N b J n F 1 b 3 Q 7 R m l z W X I m c X V v d D s s J n F 1 b 3 Q 7 R l N F Q y Z x d W 9 0 O y w m c X V v d D t U e X B l I G 9 m I F B y Z W 1 p c 2 V z J n F 1 b 3 Q 7 L C Z x d W 9 0 O 0 F f V G F s b H k m c X V v d D s s J n F 1 b 3 Q 7 Q V 9 I b 3 V y c y Z x d W 9 0 O y w m c X V v d D t C X 1 R h b G x 5 J n F 1 b 3 Q 7 L C Z x d W 9 0 O 0 J f S G 9 1 c n M m c X V v d D s s J n F 1 b 3 Q 7 R W 5 m b 3 J j Z W 1 l b n R f V G F s b H k m c X V v d D s s J n F 1 b 3 Q 7 R W 5 m b 3 J j Z W 1 l b n R f S G 9 1 c n M m c X V v d D s s J n F 1 b 3 Q 7 U H J v a G l i a X R p b 2 5 f V G F s b H k m c X V v d D s s J n F 1 b 3 Q 7 U H J v a G l i a X R p b 2 5 f S G 9 1 c n M m c X V v d D t d I i A v P j x F b n R y e S B U e X B l P S J R d W V y e U l E I i B W Y W x 1 Z T 0 i c z h l Y W M y M D c 0 L T g w Y m Y t N D F h M C 1 h N m I x L T I w M T h k M m U 2 Y z N l O S I g L z 4 8 R W 5 0 c n k g V H l w Z T 0 i R m l s b E N v b H V t b l R 5 c G V z I i B W Y W x 1 Z T 0 i c 0 J n W U d C U V V G Q l F V R k J R V T 0 i I C 8 + P E V u d H J 5 I F R 5 c G U 9 I k Z p b G x T d G F 0 d X M i I F Z h b H V l P S J z Q 2 9 t c G x l d G U i I C 8 + P C 9 T d G F i b G V F b n R y a W V z P j w v S X R l b T 4 8 S X R l b T 4 8 S X R l b U x v Y 2 F 0 a W 9 u P j x J d G V t V H l w Z T 5 G b 3 J t d W x h P C 9 J d G V t V H l w Z T 4 8 S X R l b V B h d G g + U 2 V j d G l v b j E v c H A l M j B Q U E V E X 0 F 1 Z G l 0 c 1 9 P d X R j b 2 1 l X 1 B y Z W 1 p c 2 V z L 1 N v d X J j Z T w v S X R l b V B h d G g + P C 9 J d G V t T G 9 j Y X R p b 2 4 + P F N 0 Y W J s Z U V u d H J p Z X M g L z 4 8 L 0 l 0 Z W 0 + P E l 0 Z W 0 + P E l 0 Z W 1 M b 2 N h d G l v b j 4 8 S X R l b V R 5 c G U + R m 9 y b X V s Y T w v S X R l b V R 5 c G U + P E l 0 Z W 1 Q Y X R o P l N l Y 3 R p b 2 4 x L 3 B w J T I w U F B F R F 9 B d W R p d H N f T 3 V 0 Y 2 9 t Z V 9 Q c m V t a X N l c y 9 w c F 9 Q U E V E X 0 F 1 Z G l 0 c 1 9 P d X R j b 2 1 l X 1 B y Z W 1 p c 2 V z P C 9 J d G V t U G F 0 a D 4 8 L 0 l 0 Z W 1 M b 2 N h d G l v b j 4 8 U 3 R h Y m x l R W 5 0 c m l l c y A v P j w v S X R l b T 4 8 S X R l b T 4 8 S X R l b U x v Y 2 F 0 a W 9 u P j x J d G V t V H l w Z T 5 G b 3 J t d W x h P C 9 J d G V t V H l w Z T 4 8 S X R l b V B h d G g + U 2 V j d G l v b j E v c H A l M j B Q U E V E X 1 J p c 2 s 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R h c m d l d C I g V m F s d W U 9 I n N w c F 9 Q U E V E X 1 J p c 2 s i I C 8 + P E V u d H J 5 I F R 5 c G U 9 I l J l b G F 0 a W 9 u c 2 h p c E l u Z m 9 D b 2 5 0 Y W l u Z X I i I F Z h b H V l P S J z e y Z x d W 9 0 O 2 N v b H V t b k N v d W 5 0 J n F 1 b 3 Q 7 O j E w L C Z x d W 9 0 O 2 t l e U N v b H V t b k 5 h b W V z J n F 1 b 3 Q 7 O l t d L C Z x d W 9 0 O 3 F 1 Z X J 5 U m V s Y X R p b 2 5 z a G l w c y Z x d W 9 0 O z p b X S w m c X V v d D t j b 2 x 1 b W 5 J Z G V u d G l 0 a W V z J n F 1 b 3 Q 7 O l s m c X V v d D t T Z X J 2 Z X I u R G F 0 Y W J h c 2 V c X C 8 y L 1 N R T C 9 z L X N y c y 1 2 M D F c X F x c c G R z O 1 J B U C 9 w c C 9 w c C 5 Q U E V E X 1 J p c 2 s u e 1 l l Y X I s M H 0 m c X V v d D s s J n F 1 b 3 Q 7 U 2 V y d m V y L k R h d G F i Y X N l X F w v M i 9 T U U w v c y 1 z c n M t d j A x X F x c X H B k c z t S Q V A v c H A v c H A u U F B F R F 9 S a X N r L n t G U 0 V D L D F 9 J n F 1 b 3 Q 7 L C Z x d W 9 0 O 1 N l c n Z l c i 5 E Y X R h Y m F z Z V x c L z I v U 1 F M L 3 M t c 3 J z L X Y w M V x c X F x w Z H M 7 U k F Q L 3 B w L 3 B w L l B Q R U R f U m l z a y 5 7 U H J l b W l z Z X N U e X B l L D J 9 J n F 1 b 3 Q 7 L C Z x d W 9 0 O 1 N l c n Z l c i 5 E Y X R h Y m F z Z V x c L z I v U 1 F M L 3 M t c 3 J z L X Y w M V x c X F x w Z H M 7 U k F Q L 3 B w L 3 B w L l B Q R U R f U m l z a y 5 7 V k w s M 3 0 m c X V v d D s s J n F 1 b 3 Q 7 U 2 V y d m V y L k R h d G F i Y X N l X F w v M i 9 T U U w v c y 1 z c n M t d j A x X F x c X H B k c z t S Q V A v c H A v c H A u U F B F R F 9 S a X N r L n t M L D R 9 J n F 1 b 3 Q 7 L C Z x d W 9 0 O 1 N l c n Z l c i 5 E Y X R h Y m F z Z V x c L z I v U 1 F M L 3 M t c 3 J z L X Y w M V x c X F x w Z H M 7 U k F Q L 3 B w L 3 B w L l B Q R U R f U m l z a y 5 7 T S w 1 f S Z x d W 9 0 O y w m c X V v d D t T Z X J 2 Z X I u R G F 0 Y W J h c 2 V c X C 8 y L 1 N R T C 9 z L X N y c y 1 2 M D F c X F x c c G R z O 1 J B U C 9 w c C 9 w c C 5 Q U E V E X 1 J p c 2 s u e 0 g s N n 0 m c X V v d D s s J n F 1 b 3 Q 7 U 2 V y d m V y L k R h d G F i Y X N l X F w v M i 9 T U U w v c y 1 z c n M t d j A x X F x c X H B k c z t S Q V A v c H A v c H A u U F B F R F 9 S a X N r L n t W S C w 3 f S Z x d W 9 0 O y w m c X V v d D t T Z X J 2 Z X I u R G F 0 Y W J h c 2 V c X C 8 y L 1 N R T C 9 z L X N y c y 1 2 M D F c X F x c c G R z O 1 J B U C 9 w c C 9 w c C 5 Q U E V E X 1 J p c 2 s u e 0 5 v d C B L b m 9 3 b i w 4 f S Z x d W 9 0 O y w m c X V v d D t T Z X J 2 Z X I u R G F 0 Y W J h c 2 V c X C 8 y L 1 N R T C 9 z L X N y c y 1 2 M D F c X F x c c G R z O 1 J B U C 9 w c C 9 w c C 5 Q U E V E X 1 J p c 2 s u e 1 R v d G F s L D l 9 J n F 1 b 3 Q 7 X S w m c X V v d D t D b 2 x 1 b W 5 D b 3 V u d C Z x d W 9 0 O z o x M C w m c X V v d D t L Z X l D b 2 x 1 b W 5 O Y W 1 l c y Z x d W 9 0 O z p b X S w m c X V v d D t D b 2 x 1 b W 5 J Z G V u d G l 0 a W V z J n F 1 b 3 Q 7 O l s m c X V v d D t T Z X J 2 Z X I u R G F 0 Y W J h c 2 V c X C 8 y L 1 N R T C 9 z L X N y c y 1 2 M D F c X F x c c G R z O 1 J B U C 9 w c C 9 w c C 5 Q U E V E X 1 J p c 2 s u e 1 l l Y X I s M H 0 m c X V v d D s s J n F 1 b 3 Q 7 U 2 V y d m V y L k R h d G F i Y X N l X F w v M i 9 T U U w v c y 1 z c n M t d j A x X F x c X H B k c z t S Q V A v c H A v c H A u U F B F R F 9 S a X N r L n t G U 0 V D L D F 9 J n F 1 b 3 Q 7 L C Z x d W 9 0 O 1 N l c n Z l c i 5 E Y X R h Y m F z Z V x c L z I v U 1 F M L 3 M t c 3 J z L X Y w M V x c X F x w Z H M 7 U k F Q L 3 B w L 3 B w L l B Q R U R f U m l z a y 5 7 U H J l b W l z Z X N U e X B l L D J 9 J n F 1 b 3 Q 7 L C Z x d W 9 0 O 1 N l c n Z l c i 5 E Y X R h Y m F z Z V x c L z I v U 1 F M L 3 M t c 3 J z L X Y w M V x c X F x w Z H M 7 U k F Q L 3 B w L 3 B w L l B Q R U R f U m l z a y 5 7 V k w s M 3 0 m c X V v d D s s J n F 1 b 3 Q 7 U 2 V y d m V y L k R h d G F i Y X N l X F w v M i 9 T U U w v c y 1 z c n M t d j A x X F x c X H B k c z t S Q V A v c H A v c H A u U F B F R F 9 S a X N r L n t M L D R 9 J n F 1 b 3 Q 7 L C Z x d W 9 0 O 1 N l c n Z l c i 5 E Y X R h Y m F z Z V x c L z I v U 1 F M L 3 M t c 3 J z L X Y w M V x c X F x w Z H M 7 U k F Q L 3 B w L 3 B w L l B Q R U R f U m l z a y 5 7 T S w 1 f S Z x d W 9 0 O y w m c X V v d D t T Z X J 2 Z X I u R G F 0 Y W J h c 2 V c X C 8 y L 1 N R T C 9 z L X N y c y 1 2 M D F c X F x c c G R z O 1 J B U C 9 w c C 9 w c C 5 Q U E V E X 1 J p c 2 s u e 0 g s N n 0 m c X V v d D s s J n F 1 b 3 Q 7 U 2 V y d m V y L k R h d G F i Y X N l X F w v M i 9 T U U w v c y 1 z c n M t d j A x X F x c X H B k c z t S Q V A v c H A v c H A u U F B F R F 9 S a X N r L n t W S C w 3 f S Z x d W 9 0 O y w m c X V v d D t T Z X J 2 Z X I u R G F 0 Y W J h c 2 V c X C 8 y L 1 N R T C 9 z L X N y c y 1 2 M D F c X F x c c G R z O 1 J B U C 9 w c C 9 w c C 5 Q U E V E X 1 J p c 2 s u e 0 5 v d C B L b m 9 3 b i w 4 f S Z x d W 9 0 O y w m c X V v d D t T Z X J 2 Z X I u R G F 0 Y W J h c 2 V c X C 8 y L 1 N R T C 9 z L X N y c y 1 2 M D F c X F x c c G R z O 1 J B U C 9 w c C 9 w c C 5 Q U E V E X 1 J p c 2 s u e 1 R v d G F s L D l 9 J n F 1 b 3 Q 7 X S w m c X V v d D t S Z W x h d G l v b n N o a X B J b m Z v J n F 1 b 3 Q 7 O l t d f S I g L z 4 8 R W 5 0 c n k g V H l w Z T 0 i R m l s b E x h c 3 R V c G R h d G V k I i B W Y W x 1 Z T 0 i Z D I w M j E t M D c t M j d U M T Q 6 M z Y 6 M D U u M z c 1 M z U 4 N V o i I C 8 + P E V u d H J 5 I F R 5 c G U 9 I k Z p b G x F c n J v c k N v Z G U i I F Z h b H V l P S J z V W 5 r b m 9 3 b i I g L z 4 8 R W 5 0 c n k g V H l w Z T 0 i R m l s b E N v b H V t b k 5 h b W V z I i B W Y W x 1 Z T 0 i c 1 s m c X V v d D t Z Z W F y J n F 1 b 3 Q 7 L C Z x d W 9 0 O 0 Z T R U M m c X V v d D s s J n F 1 b 3 Q 7 U H J l b W l z Z X N U e X B l J n F 1 b 3 Q 7 L C Z x d W 9 0 O 1 Z M J n F 1 b 3 Q 7 L C Z x d W 9 0 O 0 w m c X V v d D s s J n F 1 b 3 Q 7 T S Z x d W 9 0 O y w m c X V v d D t I J n F 1 b 3 Q 7 L C Z x d W 9 0 O 1 Z I J n F 1 b 3 Q 7 L C Z x d W 9 0 O 0 5 v d C B L b m 9 3 b i Z x d W 9 0 O y w m c X V v d D t U b 3 R h b C Z x d W 9 0 O 1 0 i I C 8 + P E V u d H J 5 I F R 5 c G U 9 I k Z p b G x D b 2 x 1 b W 5 U e X B l c y I g V m F s d W U 9 I n N C Z 1 l H Q l F V R k J R V U N C U T 0 9 I i A v P j x F b n R y e S B U e X B l P S J G a W x s R X J y b 3 J D b 3 V u d C I g V m F s d W U 9 I m w w I i A v P j x F b n R y e S B U e X B l P S J G a W x s Z W R D b 2 1 w b G V 0 Z V J l c 3 V s d F R v V 2 9 y a 3 N o Z W V 0 I i B W Y W x 1 Z T 0 i b D E i I C 8 + P E V u d H J 5 I F R 5 c G U 9 I k F k Z G V k V G 9 E Y X R h T W 9 k Z W w i I F Z h b H V l P S J s M C I g L z 4 8 R W 5 0 c n k g V H l w Z T 0 i U m V j b 3 Z l c n l U Y X J n Z X R T a G V l d C I g V m F s d W U 9 I n N T a G V l d D M i I C 8 + P E V u d H J 5 I F R 5 c G U 9 I l J l Y 2 9 2 Z X J 5 V G F y Z 2 V 0 Q 2 9 s d W 1 u I i B W Y W x 1 Z T 0 i b D E i I C 8 + P E V u d H J 5 I F R 5 c G U 9 I l J l Y 2 9 2 Z X J 5 V G F y Z 2 V 0 U m 9 3 I i B W Y W x 1 Z T 0 i b D E i I C 8 + P E V u d H J 5 I F R 5 c G U 9 I k Z p b G x T d G F 0 d X M i I F Z h b H V l P S J z Q 2 9 t c G x l d G U i I C 8 + P E V u d H J 5 I F R 5 c G U 9 I k Z p b G x D b 3 V u d C I g V m F s d W U 9 I m w x M D U i I C 8 + P E V u d H J 5 I F R 5 c G U 9 I l F 1 Z X J 5 S U Q i I F Z h b H V l P S J z Z D Q y Z j k 1 O W M t Z G I x O C 0 0 M j U w L T g 5 O D A t Z T A z Y m E 0 Z j g y N T k 4 I i A v P j w v U 3 R h Y m x l R W 5 0 c m l l c z 4 8 L 0 l 0 Z W 0 + P E l 0 Z W 0 + P E l 0 Z W 1 M b 2 N h d G l v b j 4 8 S X R l b V R 5 c G U + R m 9 y b X V s Y T w v S X R l b V R 5 c G U + P E l 0 Z W 1 Q Y X R o P l N l Y 3 R p b 2 4 x L 3 B w J T I w U F B F R F 9 S a X N r L 1 N v d X J j Z T w v S X R l b V B h d G g + P C 9 J d G V t T G 9 j Y X R p b 2 4 + P F N 0 Y W J s Z U V u d H J p Z X M g L z 4 8 L 0 l 0 Z W 0 + P E l 0 Z W 0 + P E l 0 Z W 1 M b 2 N h d G l v b j 4 8 S X R l b V R 5 c G U + R m 9 y b X V s Y T w v S X R l b V R 5 c G U + P E l 0 Z W 1 Q Y X R o P l N l Y 3 R p b 2 4 x L 3 B w J T I w U F B F R F 9 S a X N r L 3 B w X 1 B Q R U R f U m l z a z w v S X R l b V B h d G g + P C 9 J d G V t T G 9 j Y X R p b 2 4 + P F N 0 Y W J s Z U V u d H J p Z X M g L z 4 8 L 0 l 0 Z W 0 + P E l 0 Z W 0 + P E l 0 Z W 1 M b 2 N h d G l v b j 4 8 S X R l b V R 5 c G U + R m 9 y b X V s Y T w v S X R l b V R 5 c G U + P E l 0 Z W 1 Q Y X R o P l N l Y 3 R p b 2 4 x L 2 h y b 2 Q l M j B I U l 9 H Z W 5 k Z X J f U m 9 s Z 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Q 2 9 1 b n Q i I F Z h b H V l P S J s M j A 2 I i A v P j x F b n R y e S B U e X B l P S J G a W x s R X J y b 3 J D b 3 V u d C I g V m F s d W U 9 I m w w I i A v P j x F b n R y e S B U e X B l P S J G a W x s Q 2 9 s d W 1 u V H l w Z X M i I F Z h b H V l P S J z Q m d Z R 0 J R V U Y i I C 8 + P E V u d H J 5 I F R 5 c G U 9 I k Z p b G x D b 2 x 1 b W 5 O Y W 1 l c y I g V m F s d W U 9 I n N b J n F 1 b 3 Q 7 W W V h c i Z x d W 9 0 O y w m c X V v d D t U e X B l J n F 1 b 3 Q 7 L C Z x d W 9 0 O 1 B v c 3 R D b 2 5 2 J n F 1 b 3 Q 7 L C Z x d W 9 0 O 1 R v d G F s J n F 1 b 3 Q 7 L C Z x d W 9 0 O 0 Z l b W F s Z S Z x d W 9 0 O y w m c X V v d D t N Y W x l J n F 1 b 3 Q 7 X S I g L z 4 8 R W 5 0 c n k g V H l w Z T 0 i R m l s b E V y c m 9 y Q 2 9 k Z S I g V m F s d W U 9 I n N V b m t u b 3 d u I i A v P j x F b n R y e S B U e X B l P S J G a W x s T G F z d F V w Z G F 0 Z W Q i I F Z h b H V l P S J k M j A y M S 0 w O C 0 y N V Q x N T o y M D o z N y 4 5 N z c 2 N D Y 4 W i I g L z 4 8 R W 5 0 c n k g V H l w Z T 0 i R m l s b F N 0 Y X R 1 c y I g V m F s d W U 9 I n N D b 2 1 w b G V 0 Z S I g L z 4 8 R W 5 0 c n k g V H l w Z T 0 i R m l s b G V k Q 2 9 t c G x l d G V S Z X N 1 b H R U b 1 d v c m t z a G V l d C I g V m F s d W U 9 I m w x I i A v P j x F b n R y e S B U e X B l P S J B Z G R l Z F R v R G F 0 Y U 1 v Z G V s I i B W Y W x 1 Z T 0 i b D A i I C 8 + P E V u d H J 5 I F R 5 c G U 9 I l J l Y 2 9 2 Z X J 5 V G F y Z 2 V 0 U 2 h l Z X Q i I F Z h b H V l P S J z U 2 h l Z X Q y I i A v P j x F b n R y e S B U e X B l P S J S Z W N v d m V y e V R h c m d l d E N v b H V t b i I g V m F s d W U 9 I m w x I i A v P j x F b n R y e S B U e X B l P S J S Z W N v d m V y e V R h c m d l d F J v d y I g V m F s d W U 9 I m w x I i A v P j x F b n R y e S B U e X B l P S J R d W V y e U l E I i B W Y W x 1 Z T 0 i c 2 Y w N m J h M z N j L T F l M m Y t N G I y M C 0 5 Z D M z L W I 5 O T M 5 Y 2 F i O T V k N S I g L z 4 8 R W 5 0 c n k g V H l w Z T 0 i R m l s b F R h c m d l d C I g V m F s d W U 9 I n N o c m 9 k X 0 h S X 0 d l b m R l c l 9 S b 2 x l I i A v P j x F b n R y e S B U e X B l P S J S Z W x h d G l v b n N o a X B J b m Z v Q 2 9 u d G F p b m V y I i B W Y W x 1 Z T 0 i c 3 s m c X V v d D t j b 2 x 1 b W 5 D b 3 V u d C Z x d W 9 0 O z o 2 L C Z x d W 9 0 O 2 t l e U N v b H V t b k 5 h b W V z J n F 1 b 3 Q 7 O l t d L C Z x d W 9 0 O 3 F 1 Z X J 5 U m V s Y X R p b 2 5 z a G l w c y Z x d W 9 0 O z p b X S w m c X V v d D t j b 2 x 1 b W 5 J Z G V u d G l 0 a W V z J n F 1 b 3 Q 7 O l s m c X V v d D t T Z X J 2 Z X I u R G F 0 Y W J h c 2 V c X C 8 y L 1 N R T C 9 z L X N y c y 1 2 M D F c X F x c c G R z O 1 J B U C 9 o c m 9 k L 2 h y b 2 Q u S F J f R 2 V u Z G V y X 1 J v b G U u e 1 l l Y X I s M H 0 m c X V v d D s s J n F 1 b 3 Q 7 U 2 V y d m V y L k R h d G F i Y X N l X F w v M i 9 T U U w v c y 1 z c n M t d j A x X F x c X H B k c z t S Q V A v a H J v Z C 9 o c m 9 k L k h S X 0 d l b m R l c l 9 S b 2 x l L n t U e X B l L D F 9 J n F 1 b 3 Q 7 L C Z x d W 9 0 O 1 N l c n Z l c i 5 E Y X R h Y m F z Z V x c L z I v U 1 F M L 3 M t c 3 J z L X Y w M V x c X F x w Z H M 7 U k F Q L 2 h y b 2 Q v a H J v Z C 5 I U l 9 H Z W 5 k Z X J f U m 9 s Z S 5 7 U G 9 z d E N v b n Y s M n 0 m c X V v d D s s J n F 1 b 3 Q 7 U 2 V y d m V y L k R h d G F i Y X N l X F w v M i 9 T U U w v c y 1 z c n M t d j A x X F x c X H B k c z t S Q V A v a H J v Z C 9 o c m 9 k L k h S X 0 d l b m R l c l 9 S b 2 x l L n t U b 3 R h b C w z f S Z x d W 9 0 O y w m c X V v d D t T Z X J 2 Z X I u R G F 0 Y W J h c 2 V c X C 8 y L 1 N R T C 9 z L X N y c y 1 2 M D F c X F x c c G R z O 1 J B U C 9 o c m 9 k L 2 h y b 2 Q u S F J f R 2 V u Z G V y X 1 J v b G U u e 0 Z l b W F s Z S w 0 f S Z x d W 9 0 O y w m c X V v d D t T Z X J 2 Z X I u R G F 0 Y W J h c 2 V c X C 8 y L 1 N R T C 9 z L X N y c y 1 2 M D F c X F x c c G R z O 1 J B U C 9 o c m 9 k L 2 h y b 2 Q u S F J f R 2 V u Z G V y X 1 J v b G U u e 0 1 h b G U s N X 0 m c X V v d D t d L C Z x d W 9 0 O 0 N v b H V t b k N v d W 5 0 J n F 1 b 3 Q 7 O j Y s J n F 1 b 3 Q 7 S 2 V 5 Q 2 9 s d W 1 u T m F t Z X M m c X V v d D s 6 W 1 0 s J n F 1 b 3 Q 7 Q 2 9 s d W 1 u S W R l b n R p d G l l c y Z x d W 9 0 O z p b J n F 1 b 3 Q 7 U 2 V y d m V y L k R h d G F i Y X N l X F w v M i 9 T U U w v c y 1 z c n M t d j A x X F x c X H B k c z t S Q V A v a H J v Z C 9 o c m 9 k L k h S X 0 d l b m R l c l 9 S b 2 x l L n t Z Z W F y L D B 9 J n F 1 b 3 Q 7 L C Z x d W 9 0 O 1 N l c n Z l c i 5 E Y X R h Y m F z Z V x c L z I v U 1 F M L 3 M t c 3 J z L X Y w M V x c X F x w Z H M 7 U k F Q L 2 h y b 2 Q v a H J v Z C 5 I U l 9 H Z W 5 k Z X J f U m 9 s Z S 5 7 V H l w Z S w x f S Z x d W 9 0 O y w m c X V v d D t T Z X J 2 Z X I u R G F 0 Y W J h c 2 V c X C 8 y L 1 N R T C 9 z L X N y c y 1 2 M D F c X F x c c G R z O 1 J B U C 9 o c m 9 k L 2 h y b 2 Q u S F J f R 2 V u Z G V y X 1 J v b G U u e 1 B v c 3 R D b 2 5 2 L D J 9 J n F 1 b 3 Q 7 L C Z x d W 9 0 O 1 N l c n Z l c i 5 E Y X R h Y m F z Z V x c L z I v U 1 F M L 3 M t c 3 J z L X Y w M V x c X F x w Z H M 7 U k F Q L 2 h y b 2 Q v a H J v Z C 5 I U l 9 H Z W 5 k Z X J f U m 9 s Z S 5 7 V G 9 0 Y W w s M 3 0 m c X V v d D s s J n F 1 b 3 Q 7 U 2 V y d m V y L k R h d G F i Y X N l X F w v M i 9 T U U w v c y 1 z c n M t d j A x X F x c X H B k c z t S Q V A v a H J v Z C 9 o c m 9 k L k h S X 0 d l b m R l c l 9 S b 2 x l L n t G Z W 1 h b G U s N H 0 m c X V v d D s s J n F 1 b 3 Q 7 U 2 V y d m V y L k R h d G F i Y X N l X F w v M i 9 T U U w v c y 1 z c n M t d j A x X F x c X H B k c z t S Q V A v a H J v Z C 9 o c m 9 k L k h S X 0 d l b m R l c l 9 S b 2 x l L n t N Y W x l L D V 9 J n F 1 b 3 Q 7 X S w m c X V v d D t S Z W x h d G l v b n N o a X B J b m Z v J n F 1 b 3 Q 7 O l t d f S I g L z 4 8 L 1 N 0 Y W J s Z U V u d H J p Z X M + P C 9 J d G V t P j x J d G V t P j x J d G V t T G 9 j Y X R p b 2 4 + P E l 0 Z W 1 U e X B l P k Z v c m 1 1 b G E 8 L 0 l 0 Z W 1 U e X B l P j x J d G V t U G F 0 a D 5 T Z W N 0 a W 9 u M S 9 o c m 9 k J T I w S F J f R 2 V u Z G V y X 1 J v b G U v U 2 9 1 c m N l P C 9 J d G V t U G F 0 a D 4 8 L 0 l 0 Z W 1 M b 2 N h d G l v b j 4 8 U 3 R h Y m x l R W 5 0 c m l l c y A v P j w v S X R l b T 4 8 S X R l b T 4 8 S X R l b U x v Y 2 F 0 a W 9 u P j x J d G V t V H l w Z T 5 G b 3 J t d W x h P C 9 J d G V t V H l w Z T 4 8 S X R l b V B h d G g + U 2 V j d G l v b j E v a H J v Z C U y M E h S X 0 d l b m R l c l 9 S b 2 x l L 2 h y b 2 R f S F J f R 2 V u Z G V y X 1 J v b G U 8 L 0 l 0 Z W 1 Q Y X R o P j w v S X R l b U x v Y 2 F 0 a W 9 u P j x T d G F i b G V F b n R y a W V z I C 8 + P C 9 J d G V t P j x J d G V t P j x J d G V t T G 9 j Y X R p b 2 4 + P E l 0 Z W 1 U e X B l P k Z v c m 1 1 b G E 8 L 0 l 0 Z W 1 U e X B l P j x J d G V t U G F 0 a D 5 T Z W N 0 a W 9 u M S 9 o c m 9 k J T I w S F J f Q W d l 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l J l b G F 0 a W 9 u c 2 h p c E l u Z m 9 D b 2 5 0 Y W l u Z X I i I F Z h b H V l P S J z e y Z x d W 9 0 O 2 N v b H V t b k N v d W 5 0 J n F 1 b 3 Q 7 O j g s J n F 1 b 3 Q 7 a 2 V 5 Q 2 9 s d W 1 u T m F t Z X M m c X V v d D s 6 W 1 0 s J n F 1 b 3 Q 7 c X V l c n l S Z W x h d G l v b n N o a X B z J n F 1 b 3 Q 7 O l t d L C Z x d W 9 0 O 2 N v b H V t b k l k Z W 5 0 a X R p Z X M m c X V v d D s 6 W y Z x d W 9 0 O 1 N l c n Z l c i 5 E Y X R h Y m F z Z V x c L z I v U 1 F M L 3 M t c 3 J z L X Y w M V x c X F x w Z H M 7 U k F Q L 2 h y b 2 Q v a H J v Z C 5 I U l 9 B Z 2 U u e 1 l l Y X I s M H 0 m c X V v d D s s J n F 1 b 3 Q 7 U 2 V y d m V y L k R h d G F i Y X N l X F w v M i 9 T U U w v c y 1 z c n M t d j A x X F x c X H B k c z t S Q V A v a H J v Z C 9 o c m 9 k L k h S X 0 F n Z S 5 7 Q W d l I F J h b m d l L D F 9 J n F 1 b 3 Q 7 L C Z x d W 9 0 O 1 N l c n Z l c i 5 E Y X R h Y m F z Z V x c L z I v U 1 F M L 3 M t c 3 J z L X Y w M V x c X F x w Z H M 7 U k F Q L 2 h y b 2 Q v a H J v Z C 5 I U l 9 B Z 2 U u e 1 d o b 2 x l d G l t Z S B P c G V y Y X R p b 2 5 h b C w y f S Z x d W 9 0 O y w m c X V v d D t T Z X J 2 Z X I u R G F 0 Y W J h c 2 V c X C 8 y L 1 N R T C 9 z L X N y c y 1 2 M D F c X F x c c G R z O 1 J B U C 9 o c m 9 k L 2 h y b 2 Q u S F J f Q W d l L n t S Z X R h a W 5 l Z C B E d X R 5 I F N 5 c 3 R l b S w z f S Z x d W 9 0 O y w m c X V v d D t T Z X J 2 Z X I u R G F 0 Y W J h c 2 V c X C 8 y L 1 N R T C 9 z L X N y c y 1 2 M D F c X F x c c G R z O 1 J B U C 9 o c m 9 k L 2 h y b 2 Q u S F J f Q W d l L n t S Z X R h a W 5 l Z C B G d W x s L X R p b W U s N H 0 m c X V v d D s s J n F 1 b 3 Q 7 U 2 V y d m V y L k R h d G F i Y X N l X F w v M i 9 T U U w v c y 1 z c n M t d j A x X F x c X H B k c z t S Q V A v a H J v Z C 9 o c m 9 k L k h S X 0 F n Z S 5 7 Q 2 9 u d H J v b C w 1 f S Z x d W 9 0 O y w m c X V v d D t T Z X J 2 Z X I u R G F 0 Y W J h c 2 V c X C 8 y L 1 N R T C 9 z L X N y c y 1 2 M D F c X F x c c G R z O 1 J B U C 9 o c m 9 k L 2 h y b 2 Q u S F J f Q W d l L n t T d X B w b 3 J 0 I F N 0 Y W Z m L D Z 9 J n F 1 b 3 Q 7 L C Z x d W 9 0 O 1 N l c n Z l c i 5 E Y X R h Y m F z Z V x c L z I v U 1 F M L 3 M t c 3 J z L X Y w M V x c X F x w Z H M 7 U k F Q L 2 h y b 2 Q v a H J v Z C 5 I U l 9 B Z 2 U u e 1 Z v b H V u d G V l c i w 3 f S Z x d W 9 0 O 1 0 s J n F 1 b 3 Q 7 Q 2 9 s d W 1 u Q 2 9 1 b n Q m c X V v d D s 6 O C w m c X V v d D t L Z X l D b 2 x 1 b W 5 O Y W 1 l c y Z x d W 9 0 O z p b X S w m c X V v d D t D b 2 x 1 b W 5 J Z G V u d G l 0 a W V z J n F 1 b 3 Q 7 O l s m c X V v d D t T Z X J 2 Z X I u R G F 0 Y W J h c 2 V c X C 8 y L 1 N R T C 9 z L X N y c y 1 2 M D F c X F x c c G R z O 1 J B U C 9 o c m 9 k L 2 h y b 2 Q u S F J f Q W d l L n t Z Z W F y L D B 9 J n F 1 b 3 Q 7 L C Z x d W 9 0 O 1 N l c n Z l c i 5 E Y X R h Y m F z Z V x c L z I v U 1 F M L 3 M t c 3 J z L X Y w M V x c X F x w Z H M 7 U k F Q L 2 h y b 2 Q v a H J v Z C 5 I U l 9 B Z 2 U u e 0 F n Z S B S Y W 5 n Z S w x f S Z x d W 9 0 O y w m c X V v d D t T Z X J 2 Z X I u R G F 0 Y W J h c 2 V c X C 8 y L 1 N R T C 9 z L X N y c y 1 2 M D F c X F x c c G R z O 1 J B U C 9 o c m 9 k L 2 h y b 2 Q u S F J f Q W d l L n t X a G 9 s Z X R p b W U g T 3 B l c m F 0 a W 9 u Y W w s M n 0 m c X V v d D s s J n F 1 b 3 Q 7 U 2 V y d m V y L k R h d G F i Y X N l X F w v M i 9 T U U w v c y 1 z c n M t d j A x X F x c X H B k c z t S Q V A v a H J v Z C 9 o c m 9 k L k h S X 0 F n Z S 5 7 U m V 0 Y W l u Z W Q g R H V 0 e S B T e X N 0 Z W 0 s M 3 0 m c X V v d D s s J n F 1 b 3 Q 7 U 2 V y d m V y L k R h d G F i Y X N l X F w v M i 9 T U U w v c y 1 z c n M t d j A x X F x c X H B k c z t S Q V A v a H J v Z C 9 o c m 9 k L k h S X 0 F n Z S 5 7 U m V 0 Y W l u Z W Q g R n V s b C 1 0 a W 1 l L D R 9 J n F 1 b 3 Q 7 L C Z x d W 9 0 O 1 N l c n Z l c i 5 E Y X R h Y m F z Z V x c L z I v U 1 F M L 3 M t c 3 J z L X Y w M V x c X F x w Z H M 7 U k F Q L 2 h y b 2 Q v a H J v Z C 5 I U l 9 B Z 2 U u e 0 N v b n R y b 2 w s N X 0 m c X V v d D s s J n F 1 b 3 Q 7 U 2 V y d m V y L k R h d G F i Y X N l X F w v M i 9 T U U w v c y 1 z c n M t d j A x X F x c X H B k c z t S Q V A v a H J v Z C 9 o c m 9 k L k h S X 0 F n Z S 5 7 U 3 V w c G 9 y d C B T d G F m Z i w 2 f S Z x d W 9 0 O y w m c X V v d D t T Z X J 2 Z X I u R G F 0 Y W J h c 2 V c X C 8 y L 1 N R T C 9 z L X N y c y 1 2 M D F c X F x c c G R z O 1 J B U C 9 o c m 9 k L 2 h y b 2 Q u S F J f Q W d l L n t W b 2 x 1 b n R l Z X I s N 3 0 m c X V v d D t d L C Z x d W 9 0 O 1 J l b G F 0 a W 9 u c 2 h p c E l u Z m 8 m c X V v d D s 6 W 1 1 9 I i A v P j x F b n R y e S B U e X B l P S J G a W x s T G F z d F V w Z G F 0 Z W Q i I F Z h b H V l P S J k M j A y M S 0 w O C 0 w N l Q x O D o x N z o w O S 4 1 M z U w M z Y w W i I g L z 4 8 R W 5 0 c n k g V H l w Z T 0 i R m l s b E V y c m 9 y Q 2 9 k Z S I g V m F s d W U 9 I n N V b m t u b 3 d u I i A v P j x F b n R y e S B U e X B l P S J G a W x s Q 2 9 s d W 1 u T m F t Z X M i I F Z h b H V l P S J z W y Z x d W 9 0 O 1 l l Y X I m c X V v d D s s J n F 1 b 3 Q 7 Q W d l I F J h b m d l J n F 1 b 3 Q 7 L C Z x d W 9 0 O 1 d o b 2 x l d G l t Z S B P c G V y Y X R p b 2 5 h b C Z x d W 9 0 O y w m c X V v d D t S Z X R h a W 5 l Z C B E d X R 5 I F N 5 c 3 R l b S Z x d W 9 0 O y w m c X V v d D t S Z X R h a W 5 l Z C B G d W x s L X R p b W U m c X V v d D s s J n F 1 b 3 Q 7 Q 2 9 u d H J v b C Z x d W 9 0 O y w m c X V v d D t T d X B w b 3 J 0 I F N 0 Y W Z m J n F 1 b 3 Q 7 L C Z x d W 9 0 O 1 Z v b H V u d G V l c i Z x d W 9 0 O 1 0 i I C 8 + P E V u d H J 5 I F R 5 c G U 9 I k Z p b G x F c n J v c k N v d W 5 0 I i B W Y W x 1 Z T 0 i b D A i I C 8 + P E V u d H J 5 I F R 5 c G U 9 I k Z p b G x D b 3 V u d C I g V m F s d W U 9 I m w 5 M y I g L z 4 8 R W 5 0 c n k g V H l w Z T 0 i R m l s b F N 0 Y X R 1 c y I g V m F s d W U 9 I n N D b 2 1 w b G V 0 Z S I g L z 4 8 R W 5 0 c n k g V H l w Z T 0 i R m l s b G V k Q 2 9 t c G x l d G V S Z X N 1 b H R U b 1 d v c m t z a G V l d C I g V m F s d W U 9 I m w x I i A v P j x F b n R y e S B U e X B l P S J B Z G R l Z F R v R G F 0 Y U 1 v Z G V s I i B W Y W x 1 Z T 0 i b D A i I C 8 + P E V u d H J 5 I F R 5 c G U 9 I l J l Y 2 9 2 Z X J 5 V G F y Z 2 V 0 U m 9 3 I i B W Y W x 1 Z T 0 i b D E i I C 8 + P E V u d H J 5 I F R 5 c G U 9 I l J l Y 2 9 2 Z X J 5 V G F y Z 2 V 0 Q 2 9 s d W 1 u I i B W Y W x 1 Z T 0 i b D E i I C 8 + P E V u d H J 5 I F R 5 c G U 9 I l J l Y 2 9 2 Z X J 5 V G F y Z 2 V 0 U 2 h l Z X Q i I F Z h b H V l P S J z U 2 h l Z X Q y I i A v P j x F b n R y e S B U e X B l P S J G a W x s Q 2 9 s d W 1 u V H l w Z X M i I F Z h b H V l P S J z Q m d Z R k J R S U Z C U V U 9 I i A v P j x F b n R y e S B U e X B l P S J R d W V y e U l E I i B W Y W x 1 Z T 0 i c 2 M 2 N j Q 1 N T Y 1 L W M 0 Y z Y t N D A 2 M i 0 5 M j E 2 L T Y x Z j R j Z j I 1 Z m E x Z S I g L z 4 8 L 1 N 0 Y W J s Z U V u d H J p Z X M + P C 9 J d G V t P j x J d G V t P j x J d G V t T G 9 j Y X R p b 2 4 + P E l 0 Z W 1 U e X B l P k Z v c m 1 1 b G E 8 L 0 l 0 Z W 1 U e X B l P j x J d G V t U G F 0 a D 5 T Z W N 0 a W 9 u M S 9 o c m 9 k J T I w S F J f Q W d l L 1 N v d X J j Z T w v S X R l b V B h d G g + P C 9 J d G V t T G 9 j Y X R p b 2 4 + P F N 0 Y W J s Z U V u d H J p Z X M g L z 4 8 L 0 l 0 Z W 0 + P E l 0 Z W 0 + P E l 0 Z W 1 M b 2 N h d G l v b j 4 8 S X R l b V R 5 c G U + R m 9 y b X V s Y T w v S X R l b V R 5 c G U + P E l 0 Z W 1 Q Y X R o P l N l Y 3 R p b 2 4 x L 2 h y b 2 Q l M j B I U l 9 B Z 2 U v a H J v Z F 9 I U l 9 B Z 2 U 8 L 0 l 0 Z W 1 Q Y X R o P j w v S X R l b U x v Y 2 F 0 a W 9 u P j x T d G F i b G V F b n R y a W V z I C 8 + P C 9 J d G V t P j x J d G V t P j x J d G V t T G 9 j Y X R p b 2 4 + P E l 0 Z W 1 U e X B l P k Z v c m 1 1 b G E 8 L 0 l 0 Z W 1 U e X B l P j x J d G V t U G F 0 a D 5 T Z W N 0 a W 9 u M S 9 o c m 9 k J T I w S F J f Q W d l L 1 N v c n R l Z C U y M F J v d 3 M 8 L 0 l 0 Z W 1 Q Y X R o P j w v S X R l b U x v Y 2 F 0 a W 9 u P j x T d G F i b G V F b n R y a W V z I C 8 + P C 9 J d G V t P j x J d G V t P j x J d G V t T G 9 j Y X R p b 2 4 + P E l 0 Z W 1 U e X B l P k Z v c m 1 1 b G E 8 L 0 l 0 Z W 1 U e X B l P j x J d G V t U G F 0 a D 5 T Z W N 0 a W 9 u M S 9 o c m 9 k J T I w S F J f Q W d l J T I w K D I p 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M Y X N 0 V X B k Y X R l Z C I g V m F s d W U 9 I m Q y M D I x L T A 4 L T I z V D E 5 O j A 4 O j I 1 L j Q 4 N D k w O D h a I i A v P j x F b n R y e S B U e X B l P S J G a W x s R X J y b 3 J D b 2 R l I i B W Y W x 1 Z T 0 i c 1 V u a 2 5 v d 2 4 i I C 8 + P E V u d H J 5 I F R 5 c G U 9 I k Z p b G x D b 2 x 1 b W 5 O Y W 1 l c y I g V m F s d W U 9 I n N b J n F 1 b 3 Q 7 W W V h c i Z x d W 9 0 O y w m c X V v d D t X a G 9 s Z X R p b W U g T 3 B l c m F 0 a W 9 u Y W w m c X V v d D s s J n F 1 b 3 Q 7 U m V 0 Y W l u Z W Q g R H V 0 e S B T e X N 0 Z W 0 m c X V v d D s s J n F 1 b 3 Q 7 U m V 0 Y W l u Z W Q g R n V s b C 1 0 a W 1 l J n F 1 b 3 Q 7 L C Z x d W 9 0 O 0 N v b n R y b 2 w m c X V v d D s s J n F 1 b 3 Q 7 U 3 V w c G 9 y d C B T d G F m Z i Z x d W 9 0 O y w m c X V v d D t W b 2 x 1 b n R l Z X I m c X V v d D s s J n F 1 b 3 Q 7 Q X R 0 c m l i d X R l J n F 1 b 3 Q 7 L C Z x d W 9 0 O 1 Z h b H V l J n F 1 b 3 Q 7 X S I g L z 4 8 R W 5 0 c n k g V H l w Z T 0 i R m l s b E N v b H V t b l R 5 c G V z I i B W Y W x 1 Z T 0 i c 0 J n V U Z B Z 1 V G Q l F Z R y I g L z 4 8 R W 5 0 c n k g V H l w Z T 0 i R m l s b E V y c m 9 y Q 2 9 1 b n Q i I F Z h b H V l P S J s M C I g L z 4 8 R W 5 0 c n k g V H l w Z T 0 i R m l s b E N v d W 5 0 I i B W Y W x 1 Z T 0 i b D k z I i A v P j x F b n R y e S B U e X B l P S J G a W x s U 3 R h d H V z I i B W Y W x 1 Z T 0 i c 0 N v b X B s Z X R l I i A v P j x F b n R y e S B U e X B l P S J G a W x s Z W R D b 2 1 w b G V 0 Z V J l c 3 V s d F R v V 2 9 y a 3 N o Z W V 0 I i B W Y W x 1 Z T 0 i b D E i I C 8 + P E V u d H J 5 I F R 5 c G U 9 I k F k Z G V k V G 9 E Y X R h T W 9 k Z W w i I F Z h b H V l P S J s M C I g L z 4 8 R W 5 0 c n k g V H l w Z T 0 i U m V j b 3 Z l c n l U Y X J n Z X R T a G V l d C I g V m F s d W U 9 I n N T a G V l d D U i I C 8 + P E V u d H J 5 I F R 5 c G U 9 I l J l Y 2 9 2 Z X J 5 V G F y Z 2 V 0 Q 2 9 s d W 1 u I i B W Y W x 1 Z T 0 i b D E i I C 8 + P E V u d H J 5 I F R 5 c G U 9 I l J l Y 2 9 2 Z X J 5 V G F y Z 2 V 0 U m 9 3 I i B W Y W x 1 Z T 0 i b D E i I C 8 + P E V u d H J 5 I F R 5 c G U 9 I k Z p b G x U Y X J n Z X Q i I F Z h b H V l P S J z a H J v Z F 9 I U l 9 B Z 2 V f X z I i I C 8 + P E V u d H J 5 I F R 5 c G U 9 I l J l b G F 0 a W 9 u c 2 h p c E l u Z m 9 D b 2 5 0 Y W l u Z X I i I F Z h b H V l P S J z e y Z x d W 9 0 O 2 N v b H V t b k N v d W 5 0 J n F 1 b 3 Q 7 O j k s J n F 1 b 3 Q 7 a 2 V 5 Q 2 9 s d W 1 u T m F t Z X M m c X V v d D s 6 W 1 0 s J n F 1 b 3 Q 7 c X V l c n l S Z W x h d G l v b n N o a X B z J n F 1 b 3 Q 7 O l t d L C Z x d W 9 0 O 2 N v b H V t b k l k Z W 5 0 a X R p Z X M m c X V v d D s 6 W y Z x d W 9 0 O 1 N l Y 3 R p b 2 4 x L 2 h y b 2 Q g S F J f Q W d l I C g y K S 9 V b n B p d m 9 0 Z W Q g Q 2 9 s d W 1 u c y 5 7 W W V h c i w w f S Z x d W 9 0 O y w m c X V v d D t T Z W N 0 a W 9 u M S 9 o c m 9 k I E h S X 0 F n Z S A o M i k v V W 5 w a X Z v d G V k I E N v b H V t b n M u e 1 d o b 2 x l d G l t Z S B P c G V y Y X R p b 2 5 h b C w x f S Z x d W 9 0 O y w m c X V v d D t T Z W N 0 a W 9 u M S 9 o c m 9 k I E h S X 0 F n Z S A o M i k v V W 5 w a X Z v d G V k I E N v b H V t b n M u e 1 J l d G F p b m V k I E R 1 d H k g U 3 l z d G V t L D J 9 J n F 1 b 3 Q 7 L C Z x d W 9 0 O 1 N l Y 3 R p b 2 4 x L 2 h y b 2 Q g S F J f Q W d l I C g y K S 9 V b n B p d m 9 0 Z W Q g Q 2 9 s d W 1 u c y 5 7 U m V 0 Y W l u Z W Q g R n V s b C 1 0 a W 1 l L D N 9 J n F 1 b 3 Q 7 L C Z x d W 9 0 O 1 N l Y 3 R p b 2 4 x L 2 h y b 2 Q g S F J f Q W d l I C g y K S 9 V b n B p d m 9 0 Z W Q g Q 2 9 s d W 1 u c y 5 7 Q 2 9 u d H J v b C w 0 f S Z x d W 9 0 O y w m c X V v d D t T Z W N 0 a W 9 u M S 9 o c m 9 k I E h S X 0 F n Z S A o M i k v V W 5 w a X Z v d G V k I E N v b H V t b n M u e 1 N 1 c H B v c n Q g U 3 R h Z m Y s N X 0 m c X V v d D s s J n F 1 b 3 Q 7 U 2 V j d G l v b j E v a H J v Z C B I U l 9 B Z 2 U g K D I p L 1 V u c G l 2 b 3 R l Z C B D b 2 x 1 b W 5 z L n t W b 2 x 1 b n R l Z X I s N n 0 m c X V v d D s s J n F 1 b 3 Q 7 U 2 V j d G l v b j E v a H J v Z C B I U l 9 B Z 2 U g K D I p L 1 V u c G l 2 b 3 R l Z C B D b 2 x 1 b W 5 z L n t B d H R y a W J 1 d G U s N 3 0 m c X V v d D s s J n F 1 b 3 Q 7 U 2 V j d G l v b j E v a H J v Z C B I U l 9 B Z 2 U g K D I p L 1 V u c G l 2 b 3 R l Z C B D b 2 x 1 b W 5 z L n t W Y W x 1 Z S w 4 f S Z x d W 9 0 O 1 0 s J n F 1 b 3 Q 7 Q 2 9 s d W 1 u Q 2 9 1 b n Q m c X V v d D s 6 O S w m c X V v d D t L Z X l D b 2 x 1 b W 5 O Y W 1 l c y Z x d W 9 0 O z p b X S w m c X V v d D t D b 2 x 1 b W 5 J Z G V u d G l 0 a W V z J n F 1 b 3 Q 7 O l s m c X V v d D t T Z W N 0 a W 9 u M S 9 o c m 9 k I E h S X 0 F n Z S A o M i k v V W 5 w a X Z v d G V k I E N v b H V t b n M u e 1 l l Y X I s M H 0 m c X V v d D s s J n F 1 b 3 Q 7 U 2 V j d G l v b j E v a H J v Z C B I U l 9 B Z 2 U g K D I p L 1 V u c G l 2 b 3 R l Z C B D b 2 x 1 b W 5 z L n t X a G 9 s Z X R p b W U g T 3 B l c m F 0 a W 9 u Y W w s M X 0 m c X V v d D s s J n F 1 b 3 Q 7 U 2 V j d G l v b j E v a H J v Z C B I U l 9 B Z 2 U g K D I p L 1 V u c G l 2 b 3 R l Z C B D b 2 x 1 b W 5 z L n t S Z X R h a W 5 l Z C B E d X R 5 I F N 5 c 3 R l b S w y f S Z x d W 9 0 O y w m c X V v d D t T Z W N 0 a W 9 u M S 9 o c m 9 k I E h S X 0 F n Z S A o M i k v V W 5 w a X Z v d G V k I E N v b H V t b n M u e 1 J l d G F p b m V k I E Z 1 b G w t d G l t Z S w z f S Z x d W 9 0 O y w m c X V v d D t T Z W N 0 a W 9 u M S 9 o c m 9 k I E h S X 0 F n Z S A o M i k v V W 5 w a X Z v d G V k I E N v b H V t b n M u e 0 N v b n R y b 2 w s N H 0 m c X V v d D s s J n F 1 b 3 Q 7 U 2 V j d G l v b j E v a H J v Z C B I U l 9 B Z 2 U g K D I p L 1 V u c G l 2 b 3 R l Z C B D b 2 x 1 b W 5 z L n t T d X B w b 3 J 0 I F N 0 Y W Z m L D V 9 J n F 1 b 3 Q 7 L C Z x d W 9 0 O 1 N l Y 3 R p b 2 4 x L 2 h y b 2 Q g S F J f Q W d l I C g y K S 9 V b n B p d m 9 0 Z W Q g Q 2 9 s d W 1 u c y 5 7 V m 9 s d W 5 0 Z W V y L D Z 9 J n F 1 b 3 Q 7 L C Z x d W 9 0 O 1 N l Y 3 R p b 2 4 x L 2 h y b 2 Q g S F J f Q W d l I C g y K S 9 V b n B p d m 9 0 Z W Q g Q 2 9 s d W 1 u c y 5 7 Q X R 0 c m l i d X R l L D d 9 J n F 1 b 3 Q 7 L C Z x d W 9 0 O 1 N l Y 3 R p b 2 4 x L 2 h y b 2 Q g S F J f Q W d l I C g y K S 9 V b n B p d m 9 0 Z W Q g Q 2 9 s d W 1 u c y 5 7 V m F s d W U s O H 0 m c X V v d D t d L C Z x d W 9 0 O 1 J l b G F 0 a W 9 u c 2 h p c E l u Z m 8 m c X V v d D s 6 W 1 1 9 I i A v P j x F b n R y e S B U e X B l P S J R d W V y e U l E I i B W Y W x 1 Z T 0 i c 2 R k O G I w N j J j L W F h O W Q t N D h l M y 0 4 Z m U 1 L T c 1 Y j E 1 M T h j N m Z k M y I g L z 4 8 L 1 N 0 Y W J s Z U V u d H J p Z X M + P C 9 J d G V t P j x J d G V t P j x J d G V t T G 9 j Y X R p b 2 4 + P E l 0 Z W 1 U e X B l P k Z v c m 1 1 b G E 8 L 0 l 0 Z W 1 U e X B l P j x J d G V t U G F 0 a D 5 T Z W N 0 a W 9 u M S 9 o c m 9 k J T I w S F J f Q W d l J T I w K D I p L 1 N v d X J j Z T w v S X R l b V B h d G g + P C 9 J d G V t T G 9 j Y X R p b 2 4 + P F N 0 Y W J s Z U V u d H J p Z X M g L z 4 8 L 0 l 0 Z W 0 + P E l 0 Z W 0 + P E l 0 Z W 1 M b 2 N h d G l v b j 4 8 S X R l b V R 5 c G U + R m 9 y b X V s Y T w v S X R l b V R 5 c G U + P E l 0 Z W 1 Q Y X R o P l N l Y 3 R p b 2 4 x L 2 h y b 2 Q l M j B I U l 9 B Z 2 U l M j A o M i k v a H J v Z F 9 I U l 9 B Z 2 U 8 L 0 l 0 Z W 1 Q Y X R o P j w v S X R l b U x v Y 2 F 0 a W 9 u P j x T d G F i b G V F b n R y a W V z I C 8 + P C 9 J d G V t P j x J d G V t P j x J d G V t T G 9 j Y X R p b 2 4 + P E l 0 Z W 1 U e X B l P k Z v c m 1 1 b G E 8 L 0 l 0 Z W 1 U e X B l P j x J d G V t U G F 0 a D 5 T Z W N 0 a W 9 u M S 9 o c m 9 k J T I w S F J f Q W d l J T I w K D I p L 1 N v c n R l Z C U y M F J v d 3 M 8 L 0 l 0 Z W 1 Q Y X R o P j w v S X R l b U x v Y 2 F 0 a W 9 u P j x T d G F i b G V F b n R y a W V z I C 8 + P C 9 J d G V t P j x J d G V t P j x J d G V t T G 9 j Y X R p b 2 4 + P E l 0 Z W 1 U e X B l P k Z v c m 1 1 b G E 8 L 0 l 0 Z W 1 U e X B l P j x J d G V t U G F 0 a D 5 T Z W N 0 a W 9 u M S 9 o c m 9 k J T I w S F J f Q W d l J T I w K D I p L 1 J l c G x h Y 2 V k J T I w V m F s d W U 8 L 0 l 0 Z W 1 Q Y X R o P j w v S X R l b U x v Y 2 F 0 a W 9 u P j x T d G F i b G V F b n R y a W V z I C 8 + P C 9 J d G V t P j x J d G V t P j x J d G V t T G 9 j Y X R p b 2 4 + P E l 0 Z W 1 U e X B l P k Z v c m 1 1 b G E 8 L 0 l 0 Z W 1 U e X B l P j x J d G V t U G F 0 a D 5 T Z W N 0 a W 9 u M S 9 o c m 9 k J T I w S F J f Q W d l J T I w K D I p L 1 J l c G x h Y 2 V k J T I w V m F s d W U x P C 9 J d G V t U G F 0 a D 4 8 L 0 l 0 Z W 1 M b 2 N h d G l v b j 4 8 U 3 R h Y m x l R W 5 0 c m l l c y A v P j w v S X R l b T 4 8 S X R l b T 4 8 S X R l b U x v Y 2 F 0 a W 9 u P j x J d G V t V H l w Z T 5 G b 3 J t d W x h P C 9 J d G V t V H l w Z T 4 8 S X R l b V B h d G g + U 2 V j d G l v b j E v a H J v Z C U y M E h S X 0 F n Z S U y M C g y K S 9 V b n B p d m 9 0 Z W Q l M j B D b 2 x 1 b W 5 z P C 9 J d G V t U G F 0 a D 4 8 L 0 l 0 Z W 1 M b 2 N h d G l v b j 4 8 U 3 R h Y m x l R W 5 0 c m l l c y A v P j w v S X R l b T 4 8 S X R l b T 4 8 S X R l b U x v Y 2 F 0 a W 9 u P j x J d G V t V H l w Z T 5 G b 3 J t d W x h P C 9 J d G V t V H l w Z T 4 8 S X R l b V B h d G g + U 2 V j d G l v b j E v a H J v Z C U y M E h S X 1 N l c n Z p Y 2 U 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R m l s b E N v b H V t b l R 5 c G V z I i B W Y W x 1 Z T 0 i c 0 J n W U N B Z 0 l D Q W c 9 P S I g L z 4 8 R W 5 0 c n k g V H l w Z T 0 i R m l s b E N v b H V t b k 5 h b W V z I i B W Y W x 1 Z T 0 i c 1 s m c X V v d D t Z Z W F y J n F 1 b 3 Q 7 L C Z x d W 9 0 O 1 N l c n Z p Y 2 U g T G V u Z 3 R o I C h Z Z W F y c y k m c X V v d D s s J n F 1 b 3 Q 7 V 2 h v b G V 0 a W 1 l I E 9 w Z X J h d G l v b m F s J n F 1 b 3 Q 7 L C Z x d W 9 0 O 1 J l d G F p b m V k I E R 1 d H k g U 3 l z d G V t J n F 1 b 3 Q 7 L C Z x d W 9 0 O 1 J l d G F p b m V k I E Z 1 b G w t d G l t Z S Z x d W 9 0 O y w m c X V v d D t D b 2 5 0 c m 9 s J n F 1 b 3 Q 7 L C Z x d W 9 0 O 1 Z v b H V u d G V l c i Z x d W 9 0 O 1 0 i I C 8 + P E V u d H J 5 I F R 5 c G U 9 I k Z p b G x F c n J v c k N v Z G U i I F Z h b H V l P S J z V W 5 r b m 9 3 b i I g L z 4 8 R W 5 0 c n k g V H l w Z T 0 i R m l s b F R h c m d l d C I g V m F s d W U 9 I n N o c m 9 k X 0 h S X 1 N l c n Z p Y 2 U i I C 8 + P E V u d H J 5 I F R 5 c G U 9 I k Z p b G x M Y X N 0 V X B k Y X R l Z C I g V m F s d W U 9 I m Q y M D I x L T A 4 L T I 2 V D E 3 O j A 5 O j Q 4 L j g 3 M z E 1 M D J a I i A v P j x F b n R y e S B U e X B l P S J S Z W x h d G l v b n N o a X B J b m Z v Q 2 9 u d G F p b m V y I i B W Y W x 1 Z T 0 i c 3 s m c X V v d D t j b 2 x 1 b W 5 D b 3 V u d C Z x d W 9 0 O z o 3 L C Z x d W 9 0 O 2 t l e U N v b H V t b k 5 h b W V z J n F 1 b 3 Q 7 O l t d L C Z x d W 9 0 O 3 F 1 Z X J 5 U m V s Y X R p b 2 5 z a G l w c y Z x d W 9 0 O z p b X S w m c X V v d D t j b 2 x 1 b W 5 J Z G V u d G l 0 a W V z J n F 1 b 3 Q 7 O l s m c X V v d D t T Z X J 2 Z X I u R G F 0 Y W J h c 2 V c X C 8 y L 1 N R T C 9 z L X N y c y 1 2 M D F c X F x c c G R z O 1 J B U C 9 o c m 9 k L 2 h y b 2 Q u S F J f U 2 V y d m l j Z S 5 7 W W V h c i w w f S Z x d W 9 0 O y w m c X V v d D t T Z W N 0 a W 9 u M S 9 o c m 9 k I E h S X 1 N l c n Z p Y 2 U v U m V w b G F j Z W Q g V m F s d W U x L n t T Z X J 2 a W N l I E x l b m d 0 a C A o W W V h c n M p L D F 9 J n F 1 b 3 Q 7 L C Z x d W 9 0 O 1 N l c n Z l c i 5 E Y X R h Y m F z Z V x c L z I v U 1 F M L 3 M t c 3 J z L X Y w M V x c X F x w Z H M 7 U k F Q L 2 h y b 2 Q v a H J v Z C 5 I U l 9 T Z X J 2 a W N l L n t X a G 9 s Z X R p b W U g T 3 B l c m F 0 a W 9 u Y W w s M n 0 m c X V v d D s s J n F 1 b 3 Q 7 U 2 V y d m V y L k R h d G F i Y X N l X F w v M i 9 T U U w v c y 1 z c n M t d j A x X F x c X H B k c z t S Q V A v a H J v Z C 9 o c m 9 k L k h S X 1 N l c n Z p Y 2 U u e 1 J l d G F p b m V k I E R 1 d H k g U 3 l z d G V t L D N 9 J n F 1 b 3 Q 7 L C Z x d W 9 0 O 1 N l c n Z l c i 5 E Y X R h Y m F z Z V x c L z I v U 1 F M L 3 M t c 3 J z L X Y w M V x c X F x w Z H M 7 U k F Q L 2 h y b 2 Q v a H J v Z C 5 I U l 9 T Z X J 2 a W N l L n t S Z X R h a W 5 l Z C B G d W x s L X R p b W U s N H 0 m c X V v d D s s J n F 1 b 3 Q 7 U 2 V y d m V y L k R h d G F i Y X N l X F w v M i 9 T U U w v c y 1 z c n M t d j A x X F x c X H B k c z t S Q V A v a H J v Z C 9 o c m 9 k L k h S X 1 N l c n Z p Y 2 U u e 0 N v b n R y b 2 w s N X 0 m c X V v d D s s J n F 1 b 3 Q 7 U 2 V y d m V y L k R h d G F i Y X N l X F w v M i 9 T U U w v c y 1 z c n M t d j A x X F x c X H B k c z t S Q V A v a H J v Z C 9 o c m 9 k L k h S X 1 N l c n Z p Y 2 U u e 1 Z v b H V u d G V l c i w 2 f S Z x d W 9 0 O 1 0 s J n F 1 b 3 Q 7 Q 2 9 s d W 1 u Q 2 9 1 b n Q m c X V v d D s 6 N y w m c X V v d D t L Z X l D b 2 x 1 b W 5 O Y W 1 l c y Z x d W 9 0 O z p b X S w m c X V v d D t D b 2 x 1 b W 5 J Z G V u d G l 0 a W V z J n F 1 b 3 Q 7 O l s m c X V v d D t T Z X J 2 Z X I u R G F 0 Y W J h c 2 V c X C 8 y L 1 N R T C 9 z L X N y c y 1 2 M D F c X F x c c G R z O 1 J B U C 9 o c m 9 k L 2 h y b 2 Q u S F J f U 2 V y d m l j Z S 5 7 W W V h c i w w f S Z x d W 9 0 O y w m c X V v d D t T Z W N 0 a W 9 u M S 9 o c m 9 k I E h S X 1 N l c n Z p Y 2 U v U m V w b G F j Z W Q g V m F s d W U x L n t T Z X J 2 a W N l I E x l b m d 0 a C A o W W V h c n M p L D F 9 J n F 1 b 3 Q 7 L C Z x d W 9 0 O 1 N l c n Z l c i 5 E Y X R h Y m F z Z V x c L z I v U 1 F M L 3 M t c 3 J z L X Y w M V x c X F x w Z H M 7 U k F Q L 2 h y b 2 Q v a H J v Z C 5 I U l 9 T Z X J 2 a W N l L n t X a G 9 s Z X R p b W U g T 3 B l c m F 0 a W 9 u Y W w s M n 0 m c X V v d D s s J n F 1 b 3 Q 7 U 2 V y d m V y L k R h d G F i Y X N l X F w v M i 9 T U U w v c y 1 z c n M t d j A x X F x c X H B k c z t S Q V A v a H J v Z C 9 o c m 9 k L k h S X 1 N l c n Z p Y 2 U u e 1 J l d G F p b m V k I E R 1 d H k g U 3 l z d G V t L D N 9 J n F 1 b 3 Q 7 L C Z x d W 9 0 O 1 N l c n Z l c i 5 E Y X R h Y m F z Z V x c L z I v U 1 F M L 3 M t c 3 J z L X Y w M V x c X F x w Z H M 7 U k F Q L 2 h y b 2 Q v a H J v Z C 5 I U l 9 T Z X J 2 a W N l L n t S Z X R h a W 5 l Z C B G d W x s L X R p b W U s N H 0 m c X V v d D s s J n F 1 b 3 Q 7 U 2 V y d m V y L k R h d G F i Y X N l X F w v M i 9 T U U w v c y 1 z c n M t d j A x X F x c X H B k c z t S Q V A v a H J v Z C 9 o c m 9 k L k h S X 1 N l c n Z p Y 2 U u e 0 N v b n R y b 2 w s N X 0 m c X V v d D s s J n F 1 b 3 Q 7 U 2 V y d m V y L k R h d G F i Y X N l X F w v M i 9 T U U w v c y 1 z c n M t d j A x X F x c X H B k c z t S Q V A v a H J v Z C 9 o c m 9 k L k h S X 1 N l c n Z p Y 2 U u e 1 Z v b H V u d G V l c i w 2 f S Z x d W 9 0 O 1 0 s J n F 1 b 3 Q 7 U m V s Y X R p b 2 5 z a G l w S W 5 m b y Z x d W 9 0 O z p b X X 0 i I C 8 + P E V u d H J 5 I F R 5 c G U 9 I k Z p b G x l Z E N v b X B s Z X R l U m V z d W x 0 V G 9 X b 3 J r c 2 h l Z X Q i I F Z h b H V l P S J s M S I g L z 4 8 R W 5 0 c n k g V H l w Z T 0 i Q W R k Z W R U b 0 R h d G F N b 2 R l b C I g V m F s d W U 9 I m w w I i A v P j x F b n R y e S B U e X B l P S J S Z W N v d m V y e V R h c m d l d F J v d y I g V m F s d W U 9 I m w x I i A v P j x F b n R y e S B U e X B l P S J S Z W N v d m V y e V R h c m d l d E N v b H V t b i I g V m F s d W U 9 I m w x I i A v P j x F b n R y e S B U e X B l P S J S Z W N v d m V y e V R h c m d l d F N o Z W V 0 I i B W Y W x 1 Z T 0 i c 1 N o Z W V 0 M i I g L z 4 8 R W 5 0 c n k g V H l w Z T 0 i R m l s b E V y c m 9 y Q 2 9 1 b n Q i I F Z h b H V l P S J s M C I g L z 4 8 R W 5 0 c n k g V H l w Z T 0 i U X V l c n l J R C I g V m F s d W U 9 I n M x M G I 3 M z k 5 M S 1 i Y z Y y L T Q 2 N 2 E t Y m U 4 O C 0 5 M j g w M z U z Y z E 1 O D I i I C 8 + P E V u d H J 5 I F R 5 c G U 9 I k Z p b G x T d G F 0 d X M i I F Z h b H V l P S J z Q 2 9 t c G x l d G U i I C 8 + P E V u d H J 5 I F R 5 c G U 9 I k Z p b G x D b 3 V u d C I g V m F s d W U 9 I m w z N i I g L z 4 8 L 1 N 0 Y W J s Z U V u d H J p Z X M + P C 9 J d G V t P j x J d G V t P j x J d G V t T G 9 j Y X R p b 2 4 + P E l 0 Z W 1 U e X B l P k Z v c m 1 1 b G E 8 L 0 l 0 Z W 1 U e X B l P j x J d G V t U G F 0 a D 5 T Z W N 0 a W 9 u M S 9 o c m 9 k J T I w S F J f U 2 V y d m l j Z S 9 T b 3 V y Y 2 U 8 L 0 l 0 Z W 1 Q Y X R o P j w v S X R l b U x v Y 2 F 0 a W 9 u P j x T d G F i b G V F b n R y a W V z I C 8 + P C 9 J d G V t P j x J d G V t P j x J d G V t T G 9 j Y X R p b 2 4 + P E l 0 Z W 1 U e X B l P k Z v c m 1 1 b G E 8 L 0 l 0 Z W 1 U e X B l P j x J d G V t U G F 0 a D 5 T Z W N 0 a W 9 u M S 9 o c m 9 k J T I w S F J f U 2 V y d m l j Z S 9 o c m 9 k X 0 h S X 1 N l c n Z p Y 2 U 8 L 0 l 0 Z W 1 Q Y X R o P j w v S X R l b U x v Y 2 F 0 a W 9 u P j x T d G F i b G V F b n R y a W V z I C 8 + P C 9 J d G V t P j x J d G V t P j x J d G V t T G 9 j Y X R p b 2 4 + P E l 0 Z W 1 U e X B l P k Z v c m 1 1 b G E 8 L 0 l 0 Z W 1 U e X B l P j x J d G V t U G F 0 a D 5 T Z W N 0 a W 9 u M S 9 o c m 9 k J T I w S F J f U 2 V y d m l j Z S 9 T b 3 J 0 Z W Q l M j B S b 3 d z P C 9 J d G V t U G F 0 a D 4 8 L 0 l 0 Z W 1 M b 2 N h d G l v b j 4 8 U 3 R h Y m x l R W 5 0 c m l l c y A v P j w v S X R l b T 4 8 S X R l b T 4 8 S X R l b U x v Y 2 F 0 a W 9 u P j x J d G V t V H l w Z T 5 G b 3 J t d W x h P C 9 J d G V t V H l w Z T 4 8 S X R l b V B h d G g + U 2 V j d G l v b j E v a H J v Z C U y M E h S X 1 N l c n Z p Y 2 U v U m V w b G F j Z W Q l M j B W Y W x 1 Z T w v S X R l b V B h d G g + P C 9 J d G V t T G 9 j Y X R p b 2 4 + P F N 0 Y W J s Z U V u d H J p Z X M g L z 4 8 L 0 l 0 Z W 0 + P E l 0 Z W 0 + P E l 0 Z W 1 M b 2 N h d G l v b j 4 8 S X R l b V R 5 c G U + R m 9 y b X V s Y T w v S X R l b V R 5 c G U + P E l 0 Z W 1 Q Y X R o P l N l Y 3 R p b 2 4 x L 2 h y b 2 Q l M j B I U l 9 T Z X J 2 a W N l L 1 J l c G x h Y 2 V k J T I w V m F s d W U x P C 9 J d G V t U G F 0 a D 4 8 L 0 l 0 Z W 1 M b 2 N h d G l v b j 4 8 U 3 R h Y m x l R W 5 0 c m l l c y A v P j w v S X R l b T 4 8 S X R l b T 4 8 S X R l b U x v Y 2 F 0 a W 9 u P j x J d G V t V H l w Z T 5 G b 3 J t d W x h P C 9 J d G V t V H l w Z T 4 8 S X R l b V B h d G g + U 2 V j d G l v b j E v a H J v Z C U y M E h S X 0 x l Y X Z l c n M 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N 0 Y X R 1 c y I g V m F s d W U 9 I n N D b 2 1 w b G V 0 Z S I g L z 4 8 R W 5 0 c n k g V H l w Z T 0 i R m l s b E N v d W 5 0 I i B W Y W x 1 Z T 0 i b D I 1 I i A v P j x F b n R y e S B U e X B l P S J G a W x s R X J y b 3 J D b 3 V u d C I g V m F s d W U 9 I m w w I i A v P j x F b n R y e S B U e X B l P S J G a W x s Q 2 9 s d W 1 u V H l w Z X M i I F Z h b H V l P S J z Q m d Z Q 0 F n S U N B Z 0 k 9 I i A v P j x F b n R y e S B U e X B l P S J G a W x s Q 2 9 s d W 1 u T m F t Z X M i I F Z h b H V l P S J z W y Z x d W 9 0 O 1 l l Y X I m c X V v d D s s J n F 1 b 3 Q 7 U m V h c 2 9 u I G Z v c i B M Z W F 2 a W 5 n J n F 1 b 3 Q 7 L C Z x d W 9 0 O 1 d o b 2 x l d G l t Z S B P c G V y Y X R p b 2 5 h b C Z x d W 9 0 O y w m c X V v d D t S Z X R h a W 5 l Z C B E d X R 5 I F N 5 c 3 R l b S Z x d W 9 0 O y w m c X V v d D t D b 2 5 0 c m 9 s J n F 1 b 3 Q 7 L C Z x d W 9 0 O 1 N 1 c H B v c n Q m c X V v d D s s J n F 1 b 3 Q 7 V m 9 s d W 5 0 Z W V y c y Z x d W 9 0 O y w m c X V v d D t U b 3 R h b C Z x d W 9 0 O 1 0 i I C 8 + P E V u d H J 5 I F R 5 c G U 9 I k Z p b G x F c n J v c k N v Z G U i I F Z h b H V l P S J z V W 5 r b m 9 3 b i I g L z 4 8 R W 5 0 c n k g V H l w Z T 0 i R m l s b E x h c 3 R V c G R h d G V k I i B W Y W x 1 Z T 0 i Z D I w M j E t M D g t M D h U M T A 6 N T k 6 M j U u M j U x M j k x O F o i I C 8 + P E V u d H J 5 I F R 5 c G U 9 I l J l b G F 0 a W 9 u c 2 h p c E l u Z m 9 D b 2 5 0 Y W l u Z X I i I F Z h b H V l P S J z e y Z x d W 9 0 O 2 N v b H V t b k N v d W 5 0 J n F 1 b 3 Q 7 O j g s J n F 1 b 3 Q 7 a 2 V 5 Q 2 9 s d W 1 u T m F t Z X M m c X V v d D s 6 W 1 0 s J n F 1 b 3 Q 7 c X V l c n l S Z W x h d G l v b n N o a X B z J n F 1 b 3 Q 7 O l t d L C Z x d W 9 0 O 2 N v b H V t b k l k Z W 5 0 a X R p Z X M m c X V v d D s 6 W y Z x d W 9 0 O 1 N l c n Z l c i 5 E Y X R h Y m F z Z V x c L z I v U 1 F M L 3 M t c 3 J z L X Y w M V x c X F x w Z H M 7 U k F Q L 2 h y b 2 Q v a H J v Z C 5 I U l 9 M Z W F 2 Z X J z L n t Z Z W F y L D B 9 J n F 1 b 3 Q 7 L C Z x d W 9 0 O 1 N l c n Z l c i 5 E Y X R h Y m F z Z V x c L z I v U 1 F M L 3 M t c 3 J z L X Y w M V x c X F x w Z H M 7 U k F Q L 2 h y b 2 Q v a H J v Z C 5 I U l 9 M Z W F 2 Z X J z L n t S Z W F z b 2 4 g Z m 9 y I E x l Y X Z p b m c s M X 0 m c X V v d D s s J n F 1 b 3 Q 7 U 2 V y d m V y L k R h d G F i Y X N l X F w v M i 9 T U U w v c y 1 z c n M t d j A x X F x c X H B k c z t S Q V A v a H J v Z C 9 o c m 9 k L k h S X 0 x l Y X Z l c n M u e 1 d o b 2 x l d G l t Z S B P c G V y Y X R p b 2 5 h b C w y f S Z x d W 9 0 O y w m c X V v d D t T Z X J 2 Z X I u R G F 0 Y W J h c 2 V c X C 8 y L 1 N R T C 9 z L X N y c y 1 2 M D F c X F x c c G R z O 1 J B U C 9 o c m 9 k L 2 h y b 2 Q u S F J f T G V h d m V y c y 5 7 U m V 0 Y W l u Z W Q g R H V 0 e S B T e X N 0 Z W 0 s M 3 0 m c X V v d D s s J n F 1 b 3 Q 7 U 2 V y d m V y L k R h d G F i Y X N l X F w v M i 9 T U U w v c y 1 z c n M t d j A x X F x c X H B k c z t S Q V A v a H J v Z C 9 o c m 9 k L k h S X 0 x l Y X Z l c n M u e 0 N v b n R y b 2 w s N H 0 m c X V v d D s s J n F 1 b 3 Q 7 U 2 V y d m V y L k R h d G F i Y X N l X F w v M i 9 T U U w v c y 1 z c n M t d j A x X F x c X H B k c z t S Q V A v a H J v Z C 9 o c m 9 k L k h S X 0 x l Y X Z l c n M u e 1 N 1 c H B v c n Q s N X 0 m c X V v d D s s J n F 1 b 3 Q 7 U 2 V y d m V y L k R h d G F i Y X N l X F w v M i 9 T U U w v c y 1 z c n M t d j A x X F x c X H B k c z t S Q V A v a H J v Z C 9 o c m 9 k L k h S X 0 x l Y X Z l c n M u e 1 Z v b H V u d G V l c n M s N n 0 m c X V v d D s s J n F 1 b 3 Q 7 U 2 V y d m V y L k R h d G F i Y X N l X F w v M i 9 T U U w v c y 1 z c n M t d j A x X F x c X H B k c z t S Q V A v a H J v Z C 9 o c m 9 k L k h S X 0 x l Y X Z l c n M u e 1 R v d G F s L D d 9 J n F 1 b 3 Q 7 X S w m c X V v d D t D b 2 x 1 b W 5 D b 3 V u d C Z x d W 9 0 O z o 4 L C Z x d W 9 0 O 0 t l e U N v b H V t b k 5 h b W V z J n F 1 b 3 Q 7 O l t d L C Z x d W 9 0 O 0 N v b H V t b k l k Z W 5 0 a X R p Z X M m c X V v d D s 6 W y Z x d W 9 0 O 1 N l c n Z l c i 5 E Y X R h Y m F z Z V x c L z I v U 1 F M L 3 M t c 3 J z L X Y w M V x c X F x w Z H M 7 U k F Q L 2 h y b 2 Q v a H J v Z C 5 I U l 9 M Z W F 2 Z X J z L n t Z Z W F y L D B 9 J n F 1 b 3 Q 7 L C Z x d W 9 0 O 1 N l c n Z l c i 5 E Y X R h Y m F z Z V x c L z I v U 1 F M L 3 M t c 3 J z L X Y w M V x c X F x w Z H M 7 U k F Q L 2 h y b 2 Q v a H J v Z C 5 I U l 9 M Z W F 2 Z X J z L n t S Z W F z b 2 4 g Z m 9 y I E x l Y X Z p b m c s M X 0 m c X V v d D s s J n F 1 b 3 Q 7 U 2 V y d m V y L k R h d G F i Y X N l X F w v M i 9 T U U w v c y 1 z c n M t d j A x X F x c X H B k c z t S Q V A v a H J v Z C 9 o c m 9 k L k h S X 0 x l Y X Z l c n M u e 1 d o b 2 x l d G l t Z S B P c G V y Y X R p b 2 5 h b C w y f S Z x d W 9 0 O y w m c X V v d D t T Z X J 2 Z X I u R G F 0 Y W J h c 2 V c X C 8 y L 1 N R T C 9 z L X N y c y 1 2 M D F c X F x c c G R z O 1 J B U C 9 o c m 9 k L 2 h y b 2 Q u S F J f T G V h d m V y c y 5 7 U m V 0 Y W l u Z W Q g R H V 0 e S B T e X N 0 Z W 0 s M 3 0 m c X V v d D s s J n F 1 b 3 Q 7 U 2 V y d m V y L k R h d G F i Y X N l X F w v M i 9 T U U w v c y 1 z c n M t d j A x X F x c X H B k c z t S Q V A v a H J v Z C 9 o c m 9 k L k h S X 0 x l Y X Z l c n M u e 0 N v b n R y b 2 w s N H 0 m c X V v d D s s J n F 1 b 3 Q 7 U 2 V y d m V y L k R h d G F i Y X N l X F w v M i 9 T U U w v c y 1 z c n M t d j A x X F x c X H B k c z t S Q V A v a H J v Z C 9 o c m 9 k L k h S X 0 x l Y X Z l c n M u e 1 N 1 c H B v c n Q s N X 0 m c X V v d D s s J n F 1 b 3 Q 7 U 2 V y d m V y L k R h d G F i Y X N l X F w v M i 9 T U U w v c y 1 z c n M t d j A x X F x c X H B k c z t S Q V A v a H J v Z C 9 o c m 9 k L k h S X 0 x l Y X Z l c n M u e 1 Z v b H V u d G V l c n M s N n 0 m c X V v d D s s J n F 1 b 3 Q 7 U 2 V y d m V y L k R h d G F i Y X N l X F w v M i 9 T U U w v c y 1 z c n M t d j A x X F x c X H B k c z t S Q V A v a H J v Z C 9 o c m 9 k L k h S X 0 x l Y X Z l c n M u e 1 R v d G F s L D d 9 J n F 1 b 3 Q 7 X S w m c X V v d D t S Z W x h d G l v b n N o a X B J b m Z v J n F 1 b 3 Q 7 O l t d f S I g L z 4 8 R W 5 0 c n k g V H l w Z T 0 i R m l s b G V k Q 2 9 t c G x l d G V S Z X N 1 b H R U b 1 d v c m t z a G V l d C I g V m F s d W U 9 I m w x I i A v P j x F b n R y e S B U e X B l P S J B Z G R l Z F R v R G F 0 Y U 1 v Z G V s I i B W Y W x 1 Z T 0 i b D A i I C 8 + P E V u d H J 5 I F R 5 c G U 9 I l J l Y 2 9 2 Z X J 5 V G F y Z 2 V 0 U 2 h l Z X Q i I F Z h b H V l P S J z U 2 h l Z X Q 1 I i A v P j x F b n R y e S B U e X B l P S J S Z W N v d m V y e V R h c m d l d E N v b H V t b i I g V m F s d W U 9 I m w x I i A v P j x F b n R y e S B U e X B l P S J S Z W N v d m V y e V R h c m d l d F J v d y I g V m F s d W U 9 I m w x I i A v P j x F b n R y e S B U e X B l P S J G a W x s V G F y Z 2 V 0 I i B W Y W x 1 Z T 0 i c 2 h y b 2 R f S F J f T G V h d m V y c y I g L z 4 8 R W 5 0 c n k g V H l w Z T 0 i U X V l c n l J R C I g V m F s d W U 9 I n N l Y W U w N j Y y M y 0 1 Y z J h L T Q 5 Z G Q t Y j I 0 M S 0 4 N j E y Y z I z Y T Y 3 Y j M i I C 8 + P C 9 T d G F i b G V F b n R y a W V z P j w v S X R l b T 4 8 S X R l b T 4 8 S X R l b U x v Y 2 F 0 a W 9 u P j x J d G V t V H l w Z T 5 G b 3 J t d W x h P C 9 J d G V t V H l w Z T 4 8 S X R l b V B h d G g + U 2 V j d G l v b j E v a H J v Z C U y M E h S X 0 x l Y X Z l c n M v U 2 9 1 c m N l P C 9 J d G V t U G F 0 a D 4 8 L 0 l 0 Z W 1 M b 2 N h d G l v b j 4 8 U 3 R h Y m x l R W 5 0 c m l l c y A v P j w v S X R l b T 4 8 S X R l b T 4 8 S X R l b U x v Y 2 F 0 a W 9 u P j x J d G V t V H l w Z T 5 G b 3 J t d W x h P C 9 J d G V t V H l w Z T 4 8 S X R l b V B h d G g + U 2 V j d G l v b j E v a H J v Z C U y M E h S X 0 x l Y X Z l c n M v a H J v Z F 9 I U l 9 M Z W F 2 Z X J z P C 9 J d G V t U G F 0 a D 4 8 L 0 l 0 Z W 1 M b 2 N h d G l v b j 4 8 U 3 R h Y m x l R W 5 0 c m l l c y A v P j w v S X R l b T 4 8 S X R l b T 4 8 S X R l b U x v Y 2 F 0 a W 9 u P j x J d G V t V H l w Z T 5 G b 3 J t d W x h P C 9 J d G V t V H l w Z T 4 8 S X R l b V B h d G g + U 2 V j d G l v b j E v a H J v Z C U y M E h S X 0 x l Y X Z l c n M v U 2 9 y d G V k J T I w U m 9 3 c z w v S X R l b V B h d G g + P C 9 J d G V t T G 9 j Y X R p b 2 4 + P F N 0 Y W J s Z U V u d H J p Z X M g L z 4 8 L 0 l 0 Z W 0 + P E l 0 Z W 0 + P E l 0 Z W 1 M b 2 N h d G l v b j 4 8 S X R l b V R 5 c G U + R m 9 y b X V s Y T w v S X R l b V R 5 c G U + P E l 0 Z W 1 Q Y X R o P l N l Y 3 R p b 2 4 x L 2 h y b 2 Q l M j B I U l 9 T d G F m Z m l u Z 0 h l Y W R j b 3 V u d D 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U 3 R h d H V z I i B W Y W x 1 Z T 0 i c 0 N v b X B s Z X R l I i A v P j x F b n R y e S B U e X B l P S J G a W x s Q 2 9 1 b n Q i I F Z h b H V l P S J s M T E i I C 8 + P E V u d H J 5 I F R 5 c G U 9 I k Z p b G x F c n J v c k N v d W 5 0 I i B W Y W x 1 Z T 0 i b D A i I C 8 + P E V u d H J 5 I F R 5 c G U 9 I k Z p b G x D b 2 x 1 b W 5 U e X B l c y I g V m F s d W U 9 I n N C Z 1 V G Q W d V R k J R P T 0 i I C 8 + P E V u d H J 5 I F R 5 c G U 9 I k Z p b G x D b 2 x 1 b W 5 O Y W 1 l c y I g V m F s d W U 9 I n N b J n F 1 b 3 Q 7 W W V h c i Z x d W 9 0 O y w m c X V v d D t X a G 9 s Z V R p b W U g T 3 B l c m F 0 a W 9 u Y W w m c X V v d D s s J n F 1 b 3 Q 7 U m V 0 Y W l u Z W Q g R H V 0 e S B T e X N 0 Z W 0 m c X V v d D s s J n F 1 b 3 Q 7 U k R T I E Z 1 b G x 0 a W 1 l J n F 1 b 3 Q 7 L C Z x d W 9 0 O 0 N v b n R y b 2 w m c X V v d D s s J n F 1 b 3 Q 7 U 3 V w c G 9 y d C Z x d W 9 0 O y w m c X V v d D t W b 2 x 1 b n R l Z X I m c X V v d D t d I i A v P j x F b n R y e S B U e X B l P S J G a W x s R X J y b 3 J D b 2 R l I i B W Y W x 1 Z T 0 i c 1 V u a 2 5 v d 2 4 i I C 8 + P E V u d H J 5 I F R 5 c G U 9 I k Z p b G x M Y X N 0 V X B k Y X R l Z C I g V m F s d W U 9 I m Q y M D I x L T A 4 L T A 5 V D A 4 O j U x O j Q 1 L j c 3 N D Y 2 N D F a I i A v P j x F b n R y e S B U e X B l P S J G a W x s Z W R D b 2 1 w b G V 0 Z V J l c 3 V s d F R v V 2 9 y a 3 N o Z W V 0 I i B W Y W x 1 Z T 0 i b D E i I C 8 + P E V u d H J 5 I F R 5 c G U 9 I k F k Z G V k V G 9 E Y X R h T W 9 k Z W w i I F Z h b H V l P S J s M C I g L z 4 8 R W 5 0 c n k g V H l w Z T 0 i U m V j b 3 Z l c n l U Y X J n Z X R T a G V l d C I g V m F s d W U 9 I n N T d G F m Z m l u Z y I g L z 4 8 R W 5 0 c n k g V H l w Z T 0 i U m V j b 3 Z l c n l U Y X J n Z X R D b 2 x 1 b W 4 i I F Z h b H V l P S J s M S I g L z 4 8 R W 5 0 c n k g V H l w Z T 0 i U m V j b 3 Z l c n l U Y X J n Z X R S b 3 c i I F Z h b H V l P S J s M T A i I C 8 + P E V u d H J 5 I F R 5 c G U 9 I l J l b G F 0 a W 9 u c 2 h p c E l u Z m 9 D b 2 5 0 Y W l u Z X I i I F Z h b H V l P S J z e y Z x d W 9 0 O 2 N v b H V t b k N v d W 5 0 J n F 1 b 3 Q 7 O j c s J n F 1 b 3 Q 7 a 2 V 5 Q 2 9 s d W 1 u T m F t Z X M m c X V v d D s 6 W 1 0 s J n F 1 b 3 Q 7 c X V l c n l S Z W x h d G l v b n N o a X B z J n F 1 b 3 Q 7 O l t d L C Z x d W 9 0 O 2 N v b H V t b k l k Z W 5 0 a X R p Z X M m c X V v d D s 6 W y Z x d W 9 0 O 1 N l c n Z l c i 5 E Y X R h Y m F z Z V x c L z I v U 1 F M L 3 M t c 3 J z L X Y w M V x c X F x w Z H M 7 U k F Q L 2 h y b 2 Q v a H J v Z C 5 I U l 9 T d G F m Z m l u Z 0 h l Y W R j b 3 V u d C 5 7 W W V h c i w w f S Z x d W 9 0 O y w m c X V v d D t T Z X J 2 Z X I u R G F 0 Y W J h c 2 V c X C 8 y L 1 N R T C 9 z L X N y c y 1 2 M D F c X F x c c G R z O 1 J B U C 9 o c m 9 k L 2 h y b 2 Q u S F J f U 3 R h Z m Z p b m d I Z W F k Y 2 9 1 b n Q u e 1 d o b 2 x l V G l t Z S B P c G V y Y X R p b 2 5 h b C w x f S Z x d W 9 0 O y w m c X V v d D t T Z X J 2 Z X I u R G F 0 Y W J h c 2 V c X C 8 y L 1 N R T C 9 z L X N y c y 1 2 M D F c X F x c c G R z O 1 J B U C 9 o c m 9 k L 2 h y b 2 Q u S F J f U 3 R h Z m Z p b m d I Z W F k Y 2 9 1 b n Q u e 1 J l d G F p b m V k I E R 1 d H k g U 3 l z d G V t L D J 9 J n F 1 b 3 Q 7 L C Z x d W 9 0 O 1 N l c n Z l c i 5 E Y X R h Y m F z Z V x c L z I v U 1 F M L 3 M t c 3 J z L X Y w M V x c X F x w Z H M 7 U k F Q L 2 h y b 2 Q v a H J v Z C 5 I U l 9 T d G F m Z m l u Z 0 h l Y W R j b 3 V u d C 5 7 U k R T I E Z 1 b G x 0 a W 1 l L D N 9 J n F 1 b 3 Q 7 L C Z x d W 9 0 O 1 N l c n Z l c i 5 E Y X R h Y m F z Z V x c L z I v U 1 F M L 3 M t c 3 J z L X Y w M V x c X F x w Z H M 7 U k F Q L 2 h y b 2 Q v a H J v Z C 5 I U l 9 T d G F m Z m l u Z 0 h l Y W R j b 3 V u d C 5 7 Q 2 9 u d H J v b C w 0 f S Z x d W 9 0 O y w m c X V v d D t T Z X J 2 Z X I u R G F 0 Y W J h c 2 V c X C 8 y L 1 N R T C 9 z L X N y c y 1 2 M D F c X F x c c G R z O 1 J B U C 9 o c m 9 k L 2 h y b 2 Q u S F J f U 3 R h Z m Z p b m d I Z W F k Y 2 9 1 b n Q u e 1 N 1 c H B v c n Q s N X 0 m c X V v d D s s J n F 1 b 3 Q 7 U 2 V y d m V y L k R h d G F i Y X N l X F w v M i 9 T U U w v c y 1 z c n M t d j A x X F x c X H B k c z t S Q V A v a H J v Z C 9 o c m 9 k L k h S X 1 N 0 Y W Z m a W 5 n S G V h Z G N v d W 5 0 L n t W b 2 x 1 b n R l Z X I s N n 0 m c X V v d D t d L C Z x d W 9 0 O 0 N v b H V t b k N v d W 5 0 J n F 1 b 3 Q 7 O j c s J n F 1 b 3 Q 7 S 2 V 5 Q 2 9 s d W 1 u T m F t Z X M m c X V v d D s 6 W 1 0 s J n F 1 b 3 Q 7 Q 2 9 s d W 1 u S W R l b n R p d G l l c y Z x d W 9 0 O z p b J n F 1 b 3 Q 7 U 2 V y d m V y L k R h d G F i Y X N l X F w v M i 9 T U U w v c y 1 z c n M t d j A x X F x c X H B k c z t S Q V A v a H J v Z C 9 o c m 9 k L k h S X 1 N 0 Y W Z m a W 5 n S G V h Z G N v d W 5 0 L n t Z Z W F y L D B 9 J n F 1 b 3 Q 7 L C Z x d W 9 0 O 1 N l c n Z l c i 5 E Y X R h Y m F z Z V x c L z I v U 1 F M L 3 M t c 3 J z L X Y w M V x c X F x w Z H M 7 U k F Q L 2 h y b 2 Q v a H J v Z C 5 I U l 9 T d G F m Z m l u Z 0 h l Y W R j b 3 V u d C 5 7 V 2 h v b G V U a W 1 l I E 9 w Z X J h d G l v b m F s L D F 9 J n F 1 b 3 Q 7 L C Z x d W 9 0 O 1 N l c n Z l c i 5 E Y X R h Y m F z Z V x c L z I v U 1 F M L 3 M t c 3 J z L X Y w M V x c X F x w Z H M 7 U k F Q L 2 h y b 2 Q v a H J v Z C 5 I U l 9 T d G F m Z m l u Z 0 h l Y W R j b 3 V u d C 5 7 U m V 0 Y W l u Z W Q g R H V 0 e S B T e X N 0 Z W 0 s M n 0 m c X V v d D s s J n F 1 b 3 Q 7 U 2 V y d m V y L k R h d G F i Y X N l X F w v M i 9 T U U w v c y 1 z c n M t d j A x X F x c X H B k c z t S Q V A v a H J v Z C 9 o c m 9 k L k h S X 1 N 0 Y W Z m a W 5 n S G V h Z G N v d W 5 0 L n t S R F M g R n V s b H R p b W U s M 3 0 m c X V v d D s s J n F 1 b 3 Q 7 U 2 V y d m V y L k R h d G F i Y X N l X F w v M i 9 T U U w v c y 1 z c n M t d j A x X F x c X H B k c z t S Q V A v a H J v Z C 9 o c m 9 k L k h S X 1 N 0 Y W Z m a W 5 n S G V h Z G N v d W 5 0 L n t D b 2 5 0 c m 9 s L D R 9 J n F 1 b 3 Q 7 L C Z x d W 9 0 O 1 N l c n Z l c i 5 E Y X R h Y m F z Z V x c L z I v U 1 F M L 3 M t c 3 J z L X Y w M V x c X F x w Z H M 7 U k F Q L 2 h y b 2 Q v a H J v Z C 5 I U l 9 T d G F m Z m l u Z 0 h l Y W R j b 3 V u d C 5 7 U 3 V w c G 9 y d C w 1 f S Z x d W 9 0 O y w m c X V v d D t T Z X J 2 Z X I u R G F 0 Y W J h c 2 V c X C 8 y L 1 N R T C 9 z L X N y c y 1 2 M D F c X F x c c G R z O 1 J B U C 9 o c m 9 k L 2 h y b 2 Q u S F J f U 3 R h Z m Z p b m d I Z W F k Y 2 9 1 b n Q u e 1 Z v b H V u d G V l c i w 2 f S Z x d W 9 0 O 1 0 s J n F 1 b 3 Q 7 U m V s Y X R p b 2 5 z a G l w S W 5 m b y Z x d W 9 0 O z p b X X 0 i I C 8 + P C 9 T d G F i b G V F b n R y a W V z P j w v S X R l b T 4 8 S X R l b T 4 8 S X R l b U x v Y 2 F 0 a W 9 u P j x J d G V t V H l w Z T 5 G b 3 J t d W x h P C 9 J d G V t V H l w Z T 4 8 S X R l b V B h d G g + U 2 V j d G l v b j E v a H J v Z C U y M E h S X 1 N 0 Y W Z m a W 5 n S G V h Z G N v d W 5 0 L 1 N v d X J j Z T w v S X R l b V B h d G g + P C 9 J d G V t T G 9 j Y X R p b 2 4 + P F N 0 Y W J s Z U V u d H J p Z X M g L z 4 8 L 0 l 0 Z W 0 + P E l 0 Z W 0 + P E l 0 Z W 1 M b 2 N h d G l v b j 4 8 S X R l b V R 5 c G U + R m 9 y b X V s Y T w v S X R l b V R 5 c G U + P E l 0 Z W 1 Q Y X R o P l N l Y 3 R p b 2 4 x L 2 h y b 2 Q l M j B I U l 9 T d G F m Z m l u Z 0 h l Y W R j b 3 V u d C 9 o c m 9 k X 0 h S X 1 N 0 Y W Z m a W 5 n S G V h Z G N v d W 5 0 P C 9 J d G V t U G F 0 a D 4 8 L 0 l 0 Z W 1 M b 2 N h d G l v b j 4 8 U 3 R h Y m x l R W 5 0 c m l l c y A v P j w v S X R l b T 4 8 S X R l b T 4 8 S X R l b U x v Y 2 F 0 a W 9 u P j x J d G V t V H l w Z T 5 G b 3 J t d W x h P C 9 J d G V t V H l w Z T 4 8 S X R l b V B h d G g + U 2 V j d G l v b j E v a H J v Z C U y M E h S X 1 N 0 Y W Z m a W 5 n S G V h Z G N v d W 5 0 J T I w K D I p P C 9 J d G V t U G F 0 a D 4 8 L 0 l 0 Z W 1 M b 2 N h d G l v b j 4 8 U 3 R h Y m x l R W 5 0 c m l l c z 4 8 R W 5 0 c n k g V H l w Z T 0 i S X N Q c m l 2 Y X R l I i B W Y W x 1 Z T 0 i b D A i I C 8 + P E V u d H J 5 I F R 5 c G U 9 I k 5 h b W V V c G R h d G V k Q W Z 0 Z X J G a W x s 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F c n J v c k N v Z G U i I F Z h b H V l P S J z V W 5 r b m 9 3 b i I g L z 4 8 R W 5 0 c n k g V H l w Z T 0 i R m l s b E N v b H V t b k 5 h b W V z I i B W Y W x 1 Z T 0 i c 1 s m c X V v d D t Z Z W F y J n F 1 b 3 Q 7 L C Z x d W 9 0 O 1 d o b 2 x l V G l t Z S B P c G V y Y X R p b 2 5 h b C Z x d W 9 0 O y w m c X V v d D t S Z X R h a W 5 l Z C B E d X R 5 I F N 5 c 3 R l b S Z x d W 9 0 O y w m c X V v d D t S R F M g R n V s b H R p b W U m c X V v d D s s J n F 1 b 3 Q 7 Q 2 9 u d H J v b C Z x d W 9 0 O y w m c X V v d D t T d X B w b 3 J 0 J n F 1 b 3 Q 7 L C Z x d W 9 0 O 1 Z v b H V u d G V l c i Z x d W 9 0 O 1 0 i I C 8 + P E V u d H J 5 I F R 5 c G U 9 I k Z p b G x D b 2 x 1 b W 5 U e X B l c y I g V m F s d W U 9 I n N C Z 1 V G Q W d V R k J R P T 0 i I C 8 + P E V u d H J 5 I F R 5 c G U 9 I k Z p b G x F c n J v c k N v d W 5 0 I i B W Y W x 1 Z T 0 i b D A i I C 8 + P E V u d H J 5 I F R 5 c G U 9 I k Z p b G x D b 3 V u d C I g V m F s d W U 9 I m w x M C I g L z 4 8 R W 5 0 c n k g V H l w Z T 0 i R m l s b F N 0 Y X R 1 c y I g V m F s d W U 9 I n N D b 2 1 w b G V 0 Z S I g L z 4 8 R W 5 0 c n k g V H l w Z T 0 i R m l s b G V k Q 2 9 t c G x l d G V S Z X N 1 b H R U b 1 d v c m t z a G V l d C I g V m F s d W U 9 I m w x I i A v P j x F b n R y e S B U e X B l P S J B Z G R l Z F R v R G F 0 Y U 1 v Z G V s I i B W Y W x 1 Z T 0 i b D A i I C 8 + P E V u d H J 5 I F R 5 c G U 9 I l J l Y 2 9 2 Z X J 5 V G F y Z 2 V 0 U 2 h l Z X Q i I F Z h b H V l P S J z U 3 R h Z m Z p b m c i I C 8 + P E V u d H J 5 I F R 5 c G U 9 I l J l Y 2 9 2 Z X J 5 V G F y Z 2 V 0 Q 2 9 s d W 1 u I i B W Y W x 1 Z T 0 i b D E i I C 8 + P E V u d H J 5 I F R 5 c G U 9 I l J l Y 2 9 2 Z X J 5 V G F y Z 2 V 0 U m 9 3 I i B W Y W x 1 Z T 0 i b D E w I i A v P j x F b n R y e S B U e X B l P S J S Z W x h d G l v b n N o a X B J b m Z v Q 2 9 u d G F p b m V y I i B W Y W x 1 Z T 0 i c 3 s m c X V v d D t j b 2 x 1 b W 5 D b 3 V u d C Z x d W 9 0 O z o 3 L C Z x d W 9 0 O 2 t l e U N v b H V t b k 5 h b W V z J n F 1 b 3 Q 7 O l t d L C Z x d W 9 0 O 3 F 1 Z X J 5 U m V s Y X R p b 2 5 z a G l w c y Z x d W 9 0 O z p b X S w m c X V v d D t j b 2 x 1 b W 5 J Z G V u d G l 0 a W V z J n F 1 b 3 Q 7 O l s m c X V v d D t T Z X J 2 Z X I u R G F 0 Y W J h c 2 V c X C 8 y L 1 N R T C 9 z L X N y c y 1 2 M D F c X F x c c G R z O 1 J B U C 9 o c m 9 k L 2 h y b 2 Q u S F J f U 3 R h Z m Z p b m d I Z W F k Y 2 9 1 b n Q u e 1 l l Y X I s M H 0 m c X V v d D s s J n F 1 b 3 Q 7 U 2 V y d m V y L k R h d G F i Y X N l X F w v M i 9 T U U w v c y 1 z c n M t d j A x X F x c X H B k c z t S Q V A v a H J v Z C 9 o c m 9 k L k h S X 1 N 0 Y W Z m a W 5 n S G V h Z G N v d W 5 0 L n t X a G 9 s Z V R p b W U g T 3 B l c m F 0 a W 9 u Y W w s M X 0 m c X V v d D s s J n F 1 b 3 Q 7 U 2 V y d m V y L k R h d G F i Y X N l X F w v M i 9 T U U w v c y 1 z c n M t d j A x X F x c X H B k c z t S Q V A v a H J v Z C 9 o c m 9 k L k h S X 1 N 0 Y W Z m a W 5 n S G V h Z G N v d W 5 0 L n t S Z X R h a W 5 l Z C B E d X R 5 I F N 5 c 3 R l b S w y f S Z x d W 9 0 O y w m c X V v d D t T Z X J 2 Z X I u R G F 0 Y W J h c 2 V c X C 8 y L 1 N R T C 9 z L X N y c y 1 2 M D F c X F x c c G R z O 1 J B U C 9 o c m 9 k L 2 h y b 2 Q u S F J f U 3 R h Z m Z p b m d I Z W F k Y 2 9 1 b n Q u e 1 J E U y B G d W x s d G l t Z S w z f S Z x d W 9 0 O y w m c X V v d D t T Z X J 2 Z X I u R G F 0 Y W J h c 2 V c X C 8 y L 1 N R T C 9 z L X N y c y 1 2 M D F c X F x c c G R z O 1 J B U C 9 o c m 9 k L 2 h y b 2 Q u S F J f U 3 R h Z m Z p b m d I Z W F k Y 2 9 1 b n Q u e 0 N v b n R y b 2 w s N H 0 m c X V v d D s s J n F 1 b 3 Q 7 U 2 V y d m V y L k R h d G F i Y X N l X F w v M i 9 T U U w v c y 1 z c n M t d j A x X F x c X H B k c z t S Q V A v a H J v Z C 9 o c m 9 k L k h S X 1 N 0 Y W Z m a W 5 n S G V h Z G N v d W 5 0 L n t T d X B w b 3 J 0 L D V 9 J n F 1 b 3 Q 7 L C Z x d W 9 0 O 1 N l c n Z l c i 5 E Y X R h Y m F z Z V x c L z I v U 1 F M L 3 M t c 3 J z L X Y w M V x c X F x w Z H M 7 U k F Q L 2 h y b 2 Q v a H J v Z C 5 I U l 9 T d G F m Z m l u Z 0 h l Y W R j b 3 V u d C 5 7 V m 9 s d W 5 0 Z W V y L D Z 9 J n F 1 b 3 Q 7 X S w m c X V v d D t D b 2 x 1 b W 5 D b 3 V u d C Z x d W 9 0 O z o 3 L C Z x d W 9 0 O 0 t l e U N v b H V t b k 5 h b W V z J n F 1 b 3 Q 7 O l t d L C Z x d W 9 0 O 0 N v b H V t b k l k Z W 5 0 a X R p Z X M m c X V v d D s 6 W y Z x d W 9 0 O 1 N l c n Z l c i 5 E Y X R h Y m F z Z V x c L z I v U 1 F M L 3 M t c 3 J z L X Y w M V x c X F x w Z H M 7 U k F Q L 2 h y b 2 Q v a H J v Z C 5 I U l 9 T d G F m Z m l u Z 0 h l Y W R j b 3 V u d C 5 7 W W V h c i w w f S Z x d W 9 0 O y w m c X V v d D t T Z X J 2 Z X I u R G F 0 Y W J h c 2 V c X C 8 y L 1 N R T C 9 z L X N y c y 1 2 M D F c X F x c c G R z O 1 J B U C 9 o c m 9 k L 2 h y b 2 Q u S F J f U 3 R h Z m Z p b m d I Z W F k Y 2 9 1 b n Q u e 1 d o b 2 x l V G l t Z S B P c G V y Y X R p b 2 5 h b C w x f S Z x d W 9 0 O y w m c X V v d D t T Z X J 2 Z X I u R G F 0 Y W J h c 2 V c X C 8 y L 1 N R T C 9 z L X N y c y 1 2 M D F c X F x c c G R z O 1 J B U C 9 o c m 9 k L 2 h y b 2 Q u S F J f U 3 R h Z m Z p b m d I Z W F k Y 2 9 1 b n Q u e 1 J l d G F p b m V k I E R 1 d H k g U 3 l z d G V t L D J 9 J n F 1 b 3 Q 7 L C Z x d W 9 0 O 1 N l c n Z l c i 5 E Y X R h Y m F z Z V x c L z I v U 1 F M L 3 M t c 3 J z L X Y w M V x c X F x w Z H M 7 U k F Q L 2 h y b 2 Q v a H J v Z C 5 I U l 9 T d G F m Z m l u Z 0 h l Y W R j b 3 V u d C 5 7 U k R T I E Z 1 b G x 0 a W 1 l L D N 9 J n F 1 b 3 Q 7 L C Z x d W 9 0 O 1 N l c n Z l c i 5 E Y X R h Y m F z Z V x c L z I v U 1 F M L 3 M t c 3 J z L X Y w M V x c X F x w Z H M 7 U k F Q L 2 h y b 2 Q v a H J v Z C 5 I U l 9 T d G F m Z m l u Z 0 h l Y W R j b 3 V u d C 5 7 Q 2 9 u d H J v b C w 0 f S Z x d W 9 0 O y w m c X V v d D t T Z X J 2 Z X I u R G F 0 Y W J h c 2 V c X C 8 y L 1 N R T C 9 z L X N y c y 1 2 M D F c X F x c c G R z O 1 J B U C 9 o c m 9 k L 2 h y b 2 Q u S F J f U 3 R h Z m Z p b m d I Z W F k Y 2 9 1 b n Q u e 1 N 1 c H B v c n Q s N X 0 m c X V v d D s s J n F 1 b 3 Q 7 U 2 V y d m V y L k R h d G F i Y X N l X F w v M i 9 T U U w v c y 1 z c n M t d j A x X F x c X H B k c z t S Q V A v a H J v Z C 9 o c m 9 k L k h S X 1 N 0 Y W Z m a W 5 n S G V h Z G N v d W 5 0 L n t W b 2 x 1 b n R l Z X I s N n 0 m c X V v d D t d L C Z x d W 9 0 O 1 J l b G F 0 a W 9 u c 2 h p c E l u Z m 8 m c X V v d D s 6 W 1 1 9 I i A v P j x F b n R y e S B U e X B l P S J G a W x s T G F z d F V w Z G F 0 Z W Q i I F Z h b H V l P S J k M j A y M S 0 w O C 0 w O V Q w O T o 0 N j o 0 N C 4 y N D Y z N j E x W i I g L z 4 8 R W 5 0 c n k g V H l w Z T 0 i U X V l c n l J R C I g V m F s d W U 9 I n M x N T U w N m E z Z i 1 j N z c 5 L T Q 5 M z Q t Y j A 3 O S 0 4 N T d k M G R k N D c 2 Y j I i I C 8 + P C 9 T d G F i b G V F b n R y a W V z P j w v S X R l b T 4 8 S X R l b T 4 8 S X R l b U x v Y 2 F 0 a W 9 u P j x J d G V t V H l w Z T 5 G b 3 J t d W x h P C 9 J d G V t V H l w Z T 4 8 S X R l b V B h d G g + U 2 V j d G l v b j E v a H J v Z C U y M E h S X 1 N 0 Y W Z m a W 5 n S G V h Z G N v d W 5 0 J T I w K D I p L 1 N v d X J j Z T w v S X R l b V B h d G g + P C 9 J d G V t T G 9 j Y X R p b 2 4 + P F N 0 Y W J s Z U V u d H J p Z X M g L z 4 8 L 0 l 0 Z W 0 + P E l 0 Z W 0 + P E l 0 Z W 1 M b 2 N h d G l v b j 4 8 S X R l b V R 5 c G U + R m 9 y b X V s Y T w v S X R l b V R 5 c G U + P E l 0 Z W 1 Q Y X R o P l N l Y 3 R p b 2 4 x L 2 h y b 2 Q l M j B I U l 9 T d G F m Z m l u Z 0 h l Y W R j b 3 V u d C U y M C g y K S 9 o c m 9 k X 0 h S X 1 N 0 Y W Z m a W 5 n S G V h Z G N v d W 5 0 P C 9 J d G V t U G F 0 a D 4 8 L 0 l 0 Z W 1 M b 2 N h d G l v b j 4 8 U 3 R h Y m x l R W 5 0 c m l l c y A v P j w v S X R l b T 4 8 S X R l b T 4 8 S X R l b U x v Y 2 F 0 a W 9 u P j x J d G V t V H l w Z T 5 G b 3 J t d W x h P C 9 J d G V t V H l w Z T 4 8 S X R l b V B h d G g + U 2 V j d G l v b j E v a H J v Z C U y M E h S X 1 N 0 Y W Z m a W 5 n S G V h Z G N v d W 5 0 J T I w K D I p L 1 N v c n R l Z C U y M F J v d 3 M 8 L 0 l 0 Z W 1 Q Y X R o P j w v S X R l b U x v Y 2 F 0 a W 9 u P j x T d G F i b G V F b n R y a W V z I C 8 + P C 9 J d G V t P j x J d G V t P j x J d G V t T G 9 j Y X R p b 2 4 + P E l 0 Z W 1 U e X B l P k Z v c m 1 1 b G E 8 L 0 l 0 Z W 1 U e X B l P j x J d G V t U G F 0 a D 5 T Z W N 0 a W 9 u M S 9 o c m 9 k J T I w S F J f U 3 R h Z m Z p b m d G V E U 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F N 0 Y X R 1 c y I g V m F s d W U 9 I n N D b 2 1 w b G V 0 Z S I g L z 4 8 R W 5 0 c n k g V H l w Z T 0 i R m l s b E N v d W 5 0 I i B W Y W x 1 Z T 0 i b D E w I i A v P j x F b n R y e S B U e X B l P S J G a W x s R X J y b 3 J D b 3 V u d C I g V m F s d W U 9 I m w w I i A v P j x F b n R y e S B U e X B l P S J G a W x s Q 2 9 s d W 1 u V H l w Z X M i I F Z h b H V l P S J z Q m d N R E F 3 T U Q i I C 8 + P E V u d H J 5 I F R 5 c G U 9 I k Z p b G x D b 2 x 1 b W 5 O Y W 1 l c y I g V m F s d W U 9 I n N b J n F 1 b 3 Q 7 W W V h c i Z x d W 9 0 O y w m c X V v d D t X a G 9 s Z V R p b W U g T 3 B l c m F 0 a W 9 u Y W w m c X V v d D s s J n F 1 b 3 Q 7 U m V 0 Y W l u Z W Q g R H V 0 e S B T e X N 0 Z W 0 m c X V v d D s s J n F 1 b 3 Q 7 U k R T I E Z 1 b G x 0 a W 1 l J n F 1 b 3 Q 7 L C Z x d W 9 0 O 0 N v b n R y b 2 w m c X V v d D s s J n F 1 b 3 Q 7 U 3 V w c G 9 y d C Z x d W 9 0 O 1 0 i I C 8 + P E V u d H J 5 I F R 5 c G U 9 I k Z p b G x F c n J v c k N v Z G U i I F Z h b H V l P S J z V W 5 r b m 9 3 b i I g L z 4 8 R W 5 0 c n k g V H l w Z T 0 i R m l s b E x h c 3 R V c G R h d G V k I i B W Y W x 1 Z T 0 i Z D I w M j E t M D g t M D l U M D k 6 M D I 6 N D M u N j U w N j I 3 O V o i I C 8 + P E V u d H J 5 I F R 5 c G U 9 I k Z p b G x l Z E N v b X B s Z X R l U m V z d W x 0 V G 9 X b 3 J r c 2 h l Z X Q i I F Z h b H V l P S J s M S I g L z 4 8 R W 5 0 c n k g V H l w Z T 0 i Q W R k Z W R U b 0 R h d G F N b 2 R l b C I g V m F s d W U 9 I m w w I i A v P j x F b n R y e S B U e X B l P S J S Z W N v d m V y e V R h c m d l d F N o Z W V 0 I i B W Y W x 1 Z T 0 i c 1 N 0 Y W Z m a W 5 n I i A v P j x F b n R y e S B U e X B l P S J S Z W N v d m V y e V R h c m d l d E N v b H V t b i I g V m F s d W U 9 I m w x I i A v P j x F b n R y e S B U e X B l P S J S Z W N v d m V y e V R h c m d l d F J v d y I g V m F s d W U 9 I m w z O S I g L z 4 8 R W 5 0 c n k g V H l w Z T 0 i U m V s Y X R p b 2 5 z a G l w S W 5 m b 0 N v b n R h a W 5 l c i I g V m F s d W U 9 I n N 7 J n F 1 b 3 Q 7 Y 2 9 s d W 1 u Q 2 9 1 b n Q m c X V v d D s 6 N i w m c X V v d D t r Z X l D b 2 x 1 b W 5 O Y W 1 l c y Z x d W 9 0 O z p b X S w m c X V v d D t x d W V y e V J l b G F 0 a W 9 u c 2 h p c H M m c X V v d D s 6 W 1 0 s J n F 1 b 3 Q 7 Y 2 9 s d W 1 u S W R l b n R p d G l l c y Z x d W 9 0 O z p b J n F 1 b 3 Q 7 U 2 V y d m V y L k R h d G F i Y X N l X F w v M i 9 T U U w v c y 1 z c n M t d j A x X F x c X H B k c z t S Q V A v a H J v Z C 9 o c m 9 k L k h S X 1 N 0 Y W Z m a W 5 n R l R F L n t Z Z W F y L D B 9 J n F 1 b 3 Q 7 L C Z x d W 9 0 O 1 N l Y 3 R p b 2 4 x L 2 h y b 2 Q g S F J f U 3 R h Z m Z p b m d G V E U v Q 2 h h b m d l Z C B U e X B l L n t X a G 9 s Z V R p b W U g T 3 B l c m F 0 a W 9 u Y W w s M X 0 m c X V v d D s s J n F 1 b 3 Q 7 U 2 V j d G l v b j E v a H J v Z C B I U l 9 T d G F m Z m l u Z 0 Z U R S 9 D a G F u Z 2 V k I F R 5 c G U u e 1 J l d G F p b m V k I E R 1 d H k g U 3 l z d G V t L D J 9 J n F 1 b 3 Q 7 L C Z x d W 9 0 O 1 N l Y 3 R p b 2 4 x L 2 h y b 2 Q g S F J f U 3 R h Z m Z p b m d G V E U v Q 2 h h b m d l Z C B U e X B l L n t S R F M g R n V s b H R p b W U s M 3 0 m c X V v d D s s J n F 1 b 3 Q 7 U 2 V j d G l v b j E v a H J v Z C B I U l 9 T d G F m Z m l u Z 0 Z U R S 9 D a G F u Z 2 V k I F R 5 c G U u e 0 N v b n R y b 2 w s N H 0 m c X V v d D s s J n F 1 b 3 Q 7 U 2 V j d G l v b j E v a H J v Z C B I U l 9 T d G F m Z m l u Z 0 Z U R S 9 D a G F u Z 2 V k I F R 5 c G U u e 1 N 1 c H B v c n Q s N X 0 m c X V v d D t d L C Z x d W 9 0 O 0 N v b H V t b k N v d W 5 0 J n F 1 b 3 Q 7 O j Y s J n F 1 b 3 Q 7 S 2 V 5 Q 2 9 s d W 1 u T m F t Z X M m c X V v d D s 6 W 1 0 s J n F 1 b 3 Q 7 Q 2 9 s d W 1 u S W R l b n R p d G l l c y Z x d W 9 0 O z p b J n F 1 b 3 Q 7 U 2 V y d m V y L k R h d G F i Y X N l X F w v M i 9 T U U w v c y 1 z c n M t d j A x X F x c X H B k c z t S Q V A v a H J v Z C 9 o c m 9 k L k h S X 1 N 0 Y W Z m a W 5 n R l R F L n t Z Z W F y L D B 9 J n F 1 b 3 Q 7 L C Z x d W 9 0 O 1 N l Y 3 R p b 2 4 x L 2 h y b 2 Q g S F J f U 3 R h Z m Z p b m d G V E U v Q 2 h h b m d l Z C B U e X B l L n t X a G 9 s Z V R p b W U g T 3 B l c m F 0 a W 9 u Y W w s M X 0 m c X V v d D s s J n F 1 b 3 Q 7 U 2 V j d G l v b j E v a H J v Z C B I U l 9 T d G F m Z m l u Z 0 Z U R S 9 D a G F u Z 2 V k I F R 5 c G U u e 1 J l d G F p b m V k I E R 1 d H k g U 3 l z d G V t L D J 9 J n F 1 b 3 Q 7 L C Z x d W 9 0 O 1 N l Y 3 R p b 2 4 x L 2 h y b 2 Q g S F J f U 3 R h Z m Z p b m d G V E U v Q 2 h h b m d l Z C B U e X B l L n t S R F M g R n V s b H R p b W U s M 3 0 m c X V v d D s s J n F 1 b 3 Q 7 U 2 V j d G l v b j E v a H J v Z C B I U l 9 T d G F m Z m l u Z 0 Z U R S 9 D a G F u Z 2 V k I F R 5 c G U u e 0 N v b n R y b 2 w s N H 0 m c X V v d D s s J n F 1 b 3 Q 7 U 2 V j d G l v b j E v a H J v Z C B I U l 9 T d G F m Z m l u Z 0 Z U R S 9 D a G F u Z 2 V k I F R 5 c G U u e 1 N 1 c H B v c n Q s N X 0 m c X V v d D t d L C Z x d W 9 0 O 1 J l b G F 0 a W 9 u c 2 h p c E l u Z m 8 m c X V v d D s 6 W 1 1 9 I i A v P j w v U 3 R h Y m x l R W 5 0 c m l l c z 4 8 L 0 l 0 Z W 0 + P E l 0 Z W 0 + P E l 0 Z W 1 M b 2 N h d G l v b j 4 8 S X R l b V R 5 c G U + R m 9 y b X V s Y T w v S X R l b V R 5 c G U + P E l 0 Z W 1 Q Y X R o P l N l Y 3 R p b 2 4 x L 2 h y b 2 Q l M j B I U l 9 T d G F m Z m l u Z 0 Z U R S 9 T b 3 V y Y 2 U 8 L 0 l 0 Z W 1 Q Y X R o P j w v S X R l b U x v Y 2 F 0 a W 9 u P j x T d G F i b G V F b n R y a W V z I C 8 + P C 9 J d G V t P j x J d G V t P j x J d G V t T G 9 j Y X R p b 2 4 + P E l 0 Z W 1 U e X B l P k Z v c m 1 1 b G E 8 L 0 l 0 Z W 1 U e X B l P j x J d G V t U G F 0 a D 5 T Z W N 0 a W 9 u M S 9 o c m 9 k J T I w S F J f U 3 R h Z m Z p b m d G V E U v a H J v Z F 9 I U l 9 T d G F m Z m l u Z 0 Z U R T w v S X R l b V B h d G g + P C 9 J d G V t T G 9 j Y X R p b 2 4 + P F N 0 Y W J s Z U V u d H J p Z X M g L z 4 8 L 0 l 0 Z W 0 + P E l 0 Z W 0 + P E l 0 Z W 1 M b 2 N h d G l v b j 4 8 S X R l b V R 5 c G U + R m 9 y b X V s Y T w v S X R l b V R 5 c G U + P E l 0 Z W 1 Q Y X R o P l N l Y 3 R p b 2 4 x L 2 h y b 2 Q l M j B I U l 9 T d G F m Z m l u Z 0 Z U R S 9 T b 3 J 0 Z W Q l M j B S b 3 d z P C 9 J d G V t U G F 0 a D 4 8 L 0 l 0 Z W 1 M b 2 N h d G l v b j 4 8 U 3 R h Y m x l R W 5 0 c m l l c y A v P j w v S X R l b T 4 8 S X R l b T 4 8 S X R l b U x v Y 2 F 0 a W 9 u P j x J d G V t V H l w Z T 5 G b 3 J t d W x h P C 9 J d G V t V H l w Z T 4 8 S X R l b V B h d G g + U 2 V j d G l v b j E v a H J v Z C U y M E h S X 1 N 0 Y W Z m a W 5 n R l R F L 0 N o Y W 5 n Z W Q l M j B U e X B l P C 9 J d G V t U G F 0 a D 4 8 L 0 l 0 Z W 1 M b 2 N h d G l v b j 4 8 U 3 R h Y m x l R W 5 0 c m l l c y A v P j w v S X R l b T 4 8 S X R l b T 4 8 S X R l b U x v Y 2 F 0 a W 9 u P j x J d G V t V H l w Z T 5 G b 3 J t d W x h P C 9 J d G V t V H l w Z T 4 8 S X R l b V B h d G g + U 2 V j d G l v b j E v a H J v Z C U y M E h S X 1 N 0 Y W Z m a W 5 n R l R F J T I w K D I p 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a H J v Z F 9 I U l 9 T d G F m Z m l u Z 0 Z U R V 9 f M i I g L z 4 8 R W 5 0 c n k g V H l w Z T 0 i R m l s b F N 0 Y X R 1 c y I g V m F s d W U 9 I n N D b 2 1 w b G V 0 Z S I g L z 4 8 R W 5 0 c n k g V H l w Z T 0 i R m l s b E N v d W 5 0 I i B W Y W x 1 Z T 0 i b D E w I i A v P j x F b n R y e S B U e X B l P S J G a W x s R X J y b 3 J D b 3 V u d C I g V m F s d W U 9 I m w w I i A v P j x F b n R y e S B U e X B l P S J G a W x s Q 2 9 s d W 1 u V H l w Z X M i I F Z h b H V l P S J z Q m d N R E F 3 T U Q i I C 8 + P E V u d H J 5 I F R 5 c G U 9 I k Z p b G x D b 2 x 1 b W 5 O Y W 1 l c y I g V m F s d W U 9 I n N b J n F 1 b 3 Q 7 W W V h c i Z x d W 9 0 O y w m c X V v d D t X a G 9 s Z V R p b W U g T 3 B l c m F 0 a W 9 u Y W w m c X V v d D s s J n F 1 b 3 Q 7 U m V 0 Y W l u Z W Q g R H V 0 e S B T e X N 0 Z W 0 m c X V v d D s s J n F 1 b 3 Q 7 U m V 0 Y W l u Z W Q g R n V s b C 1 0 a W 1 l J n F 1 b 3 Q 7 L C Z x d W 9 0 O 0 N v b n R y b 2 w m c X V v d D s s J n F 1 b 3 Q 7 U 3 V w c G 9 y d C Z x d W 9 0 O 1 0 i I C 8 + P E V u d H J 5 I F R 5 c G U 9 I k Z p b G x F c n J v c k N v Z G U i I F Z h b H V l P S J z V W 5 r b m 9 3 b i I g L z 4 8 R W 5 0 c n k g V H l w Z T 0 i R m l s b E x h c 3 R V c G R h d G V k I i B W Y W x 1 Z T 0 i Z D I w M j E t M D g t M D l U M D k 6 M D k 6 N D U u O D Q 2 M z A x M 1 o i I C 8 + P E V u d H J 5 I F R 5 c G U 9 I k Z p b G x l Z E N v b X B s Z X R l U m V z d W x 0 V G 9 X b 3 J r c 2 h l Z X Q i I F Z h b H V l P S J s M S I g L z 4 8 R W 5 0 c n k g V H l w Z T 0 i Q W R k Z W R U b 0 R h d G F N b 2 R l b C I g V m F s d W U 9 I m w w I i A v P j x F b n R y e S B U e X B l P S J S Z W N v d m V y e V R h c m d l d F N o Z W V 0 I i B W Y W x 1 Z T 0 i c 1 N 0 Y W Z m a W 5 n I i A v P j x F b n R y e S B U e X B l P S J S Z W N v d m V y e V R h c m d l d E N v b H V t b i I g V m F s d W U 9 I m w x I i A v P j x F b n R y e S B U e X B l P S J S Z W N v d m V y e V R h c m d l d F J v d y I g V m F s d W U 9 I m w z O C I g L z 4 8 R W 5 0 c n k g V H l w Z T 0 i U m V s Y X R p b 2 5 z a G l w S W 5 m b 0 N v b n R h a W 5 l c i I g V m F s d W U 9 I n N 7 J n F 1 b 3 Q 7 Y 2 9 s d W 1 u Q 2 9 1 b n Q m c X V v d D s 6 N i w m c X V v d D t r Z X l D b 2 x 1 b W 5 O Y W 1 l c y Z x d W 9 0 O z p b X S w m c X V v d D t x d W V y e V J l b G F 0 a W 9 u c 2 h p c H M m c X V v d D s 6 W 1 0 s J n F 1 b 3 Q 7 Y 2 9 s d W 1 u S W R l b n R p d G l l c y Z x d W 9 0 O z p b J n F 1 b 3 Q 7 U 2 V y d m V y L k R h d G F i Y X N l X F w v M i 9 T U U w v c y 1 z c n M t d j A x X F x c X H B k c z t S Q V A v a H J v Z C 9 o c m 9 k L k h S X 1 N 0 Y W Z m a W 5 n R l R F L n t Z Z W F y L D B 9 J n F 1 b 3 Q 7 L C Z x d W 9 0 O 1 N l Y 3 R p b 2 4 x L 2 h y b 2 Q g S F J f U 3 R h Z m Z p b m d G V E U g K D I p L 0 N o Y W 5 n Z W Q g V H l w Z S 5 7 V 2 h v b G V U a W 1 l I E 9 w Z X J h d G l v b m F s L D F 9 J n F 1 b 3 Q 7 L C Z x d W 9 0 O 1 N l Y 3 R p b 2 4 x L 2 h y b 2 Q g S F J f U 3 R h Z m Z p b m d G V E U g K D I p L 0 N o Y W 5 n Z W Q g V H l w Z S 5 7 U m V 0 Y W l u Z W Q g R H V 0 e S B T e X N 0 Z W 0 s M n 0 m c X V v d D s s J n F 1 b 3 Q 7 U 2 V j d G l v b j E v a H J v Z C B I U l 9 T d G F m Z m l u Z 0 Z U R S A o M i k v Q 2 h h b m d l Z C B U e X B l L n t S R F M g R n V s b H R p b W U s M 3 0 m c X V v d D s s J n F 1 b 3 Q 7 U 2 V j d G l v b j E v a H J v Z C B I U l 9 T d G F m Z m l u Z 0 Z U R S A o M i k v Q 2 h h b m d l Z C B U e X B l L n t D b 2 5 0 c m 9 s L D R 9 J n F 1 b 3 Q 7 L C Z x d W 9 0 O 1 N l Y 3 R p b 2 4 x L 2 h y b 2 Q g S F J f U 3 R h Z m Z p b m d G V E U g K D I p L 0 N o Y W 5 n Z W Q g V H l w Z S 5 7 U 3 V w c G 9 y d C w 1 f S Z x d W 9 0 O 1 0 s J n F 1 b 3 Q 7 Q 2 9 s d W 1 u Q 2 9 1 b n Q m c X V v d D s 6 N i w m c X V v d D t L Z X l D b 2 x 1 b W 5 O Y W 1 l c y Z x d W 9 0 O z p b X S w m c X V v d D t D b 2 x 1 b W 5 J Z G V u d G l 0 a W V z J n F 1 b 3 Q 7 O l s m c X V v d D t T Z X J 2 Z X I u R G F 0 Y W J h c 2 V c X C 8 y L 1 N R T C 9 z L X N y c y 1 2 M D F c X F x c c G R z O 1 J B U C 9 o c m 9 k L 2 h y b 2 Q u S F J f U 3 R h Z m Z p b m d G V E U u e 1 l l Y X I s M H 0 m c X V v d D s s J n F 1 b 3 Q 7 U 2 V j d G l v b j E v a H J v Z C B I U l 9 T d G F m Z m l u Z 0 Z U R S A o M i k v Q 2 h h b m d l Z C B U e X B l L n t X a G 9 s Z V R p b W U g T 3 B l c m F 0 a W 9 u Y W w s M X 0 m c X V v d D s s J n F 1 b 3 Q 7 U 2 V j d G l v b j E v a H J v Z C B I U l 9 T d G F m Z m l u Z 0 Z U R S A o M i k v Q 2 h h b m d l Z C B U e X B l L n t S Z X R h a W 5 l Z C B E d X R 5 I F N 5 c 3 R l b S w y f S Z x d W 9 0 O y w m c X V v d D t T Z W N 0 a W 9 u M S 9 o c m 9 k I E h S X 1 N 0 Y W Z m a W 5 n R l R F I C g y K S 9 D a G F u Z 2 V k I F R 5 c G U u e 1 J E U y B G d W x s d G l t Z S w z f S Z x d W 9 0 O y w m c X V v d D t T Z W N 0 a W 9 u M S 9 o c m 9 k I E h S X 1 N 0 Y W Z m a W 5 n R l R F I C g y K S 9 D a G F u Z 2 V k I F R 5 c G U u e 0 N v b n R y b 2 w s N H 0 m c X V v d D s s J n F 1 b 3 Q 7 U 2 V j d G l v b j E v a H J v Z C B I U l 9 T d G F m Z m l u Z 0 Z U R S A o M i k v Q 2 h h b m d l Z C B U e X B l L n t T d X B w b 3 J 0 L D V 9 J n F 1 b 3 Q 7 X S w m c X V v d D t S Z W x h d G l v b n N o a X B J b m Z v J n F 1 b 3 Q 7 O l t d f S I g L z 4 8 L 1 N 0 Y W J s Z U V u d H J p Z X M + P C 9 J d G V t P j x J d G V t P j x J d G V t T G 9 j Y X R p b 2 4 + P E l 0 Z W 1 U e X B l P k Z v c m 1 1 b G E 8 L 0 l 0 Z W 1 U e X B l P j x J d G V t U G F 0 a D 5 T Z W N 0 a W 9 u M S 9 o c m 9 k J T I w S F J f U 3 R h Z m Z p b m d G V E U l M j A o M i k v U 2 9 1 c m N l P C 9 J d G V t U G F 0 a D 4 8 L 0 l 0 Z W 1 M b 2 N h d G l v b j 4 8 U 3 R h Y m x l R W 5 0 c m l l c y A v P j w v S X R l b T 4 8 S X R l b T 4 8 S X R l b U x v Y 2 F 0 a W 9 u P j x J d G V t V H l w Z T 5 G b 3 J t d W x h P C 9 J d G V t V H l w Z T 4 8 S X R l b V B h d G g + U 2 V j d G l v b j E v a H J v Z C U y M E h S X 1 N 0 Y W Z m a W 5 n R l R F J T I w K D I p L 2 h y b 2 R f S F J f U 3 R h Z m Z p b m d G V E U 8 L 0 l 0 Z W 1 Q Y X R o P j w v S X R l b U x v Y 2 F 0 a W 9 u P j x T d G F i b G V F b n R y a W V z I C 8 + P C 9 J d G V t P j x J d G V t P j x J d G V t T G 9 j Y X R p b 2 4 + P E l 0 Z W 1 U e X B l P k Z v c m 1 1 b G E 8 L 0 l 0 Z W 1 U e X B l P j x J d G V t U G F 0 a D 5 T Z W N 0 a W 9 u M S 9 o c m 9 k J T I w S F J f U 3 R h Z m Z p b m d G V E U l M j A o M i k v U 2 9 y d G V k J T I w U m 9 3 c z w v S X R l b V B h d G g + P C 9 J d G V t T G 9 j Y X R p b 2 4 + P F N 0 Y W J s Z U V u d H J p Z X M g L z 4 8 L 0 l 0 Z W 0 + P E l 0 Z W 0 + P E l 0 Z W 1 M b 2 N h d G l v b j 4 8 S X R l b V R 5 c G U + R m 9 y b X V s Y T w v S X R l b V R 5 c G U + P E l 0 Z W 1 Q Y X R o P l N l Y 3 R p b 2 4 x L 2 h y b 2 Q l M j B I U l 9 T d G F m Z m l u Z 0 Z U R S U y M C g y K S 9 D a G F u Z 2 V k J T I w V H l w Z T w v S X R l b V B h d G g + P C 9 J d G V t T G 9 j Y X R p b 2 4 + P F N 0 Y W J s Z U V u d H J p Z X M g L z 4 8 L 0 l 0 Z W 0 + P E l 0 Z W 0 + P E l 0 Z W 1 M b 2 N h d G l v b j 4 8 S X R l b V R 5 c G U + R m 9 y b X V s Y T w v S X R l b V R 5 c G U + P E l 0 Z W 1 Q Y X R o P l N l Y 3 R p b 2 4 x L 2 h y b 2 Q l M j B I U l 9 T d G F m Z m l u Z 0 Z U R S U y M C g y K S 9 S Z W 5 h b W V k J T I w Q 2 9 s d W 1 u c z w v S X R l b V B h d G g + P C 9 J d G V t T G 9 j Y X R p b 2 4 + P F N 0 Y W J s Z U V u d H J p Z X M g L z 4 8 L 0 l 0 Z W 0 + P E l 0 Z W 0 + P E l 0 Z W 1 M b 2 N h d G l v b j 4 8 S X R l b V R 5 c G U + R m 9 y b X V s Y T w v S X R l b V R 5 c G U + P E l 0 Z W 1 Q Y X R o P l N l Y 3 R p b 2 4 x L 2 h y b 2 Q l M j B I U l 9 T d G F m Z m l u Z 0 h l Y W R j b 3 V u d C U y M C g y K S 9 S Z W 1 v d m V k J T I w V G 9 w J T I w U m 9 3 c z w v S X R l b V B h d G g + P C 9 J d G V t T G 9 j Y X R p b 2 4 + P F N 0 Y W J s Z U V u d H J p Z X M g L z 4 8 L 0 l 0 Z W 0 + P E l 0 Z W 0 + P E l 0 Z W 1 M b 2 N h d G l v b j 4 8 S X R l b V R 5 c G U + R m 9 y b X V s Y T w v S X R l b V R 5 c G U + P E l 0 Z W 1 Q Y X R o P l N l Y 3 R p b 2 4 x L 2 h y b 2 Q l M j B I U l 9 T d G F m Z m l u Z 0 h l Y W R j b 3 V u d C U y M C g z K 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T G F z d F V w Z G F 0 Z W Q i I F Z h b H V l P S J k M j A y M S 0 w O C 0 y M 1 Q x N j o 0 N j o 0 N S 4 0 N D U 0 M z c 3 W i I g L z 4 8 R W 5 0 c n k g V H l w Z T 0 i R m l s b E V y c m 9 y Q 2 9 k Z S I g V m F s d W U 9 I n N V b m t u b 3 d u I i A v P j x F b n R y e S B U e X B l P S J G a W x s Q 2 9 s d W 1 u T m F t Z X M i I F Z h b H V l P S J z W y Z x d W 9 0 O 1 l l Y X I m c X V v d D s s J n F 1 b 3 Q 7 V 2 h v b G V U a W 1 l I E 9 w Z X J h d G l v b m F s J n F 1 b 3 Q 7 L C Z x d W 9 0 O 1 J l d G F p b m V k I E R 1 d H k g U 3 l z d G V t J n F 1 b 3 Q 7 L C Z x d W 9 0 O 1 J E U y B G d W x s d G l t Z S Z x d W 9 0 O y w m c X V v d D t D b 2 5 0 c m 9 s J n F 1 b 3 Q 7 L C Z x d W 9 0 O 1 N 1 c H B v c n Q m c X V v d D s s J n F 1 b 3 Q 7 V m 9 s d W 5 0 Z W V y J n F 1 b 3 Q 7 X S I g L z 4 8 R W 5 0 c n k g V H l w Z T 0 i R m l s b E N v b H V t b l R 5 c G V z I i B W Y W x 1 Z T 0 i c 0 J n V U Z B Z 1 V G Q l E 9 P S I g L z 4 8 R W 5 0 c n k g V H l w Z T 0 i R m l s b E V y c m 9 y Q 2 9 1 b n Q i I F Z h b H V l P S J s M C I g L z 4 8 R W 5 0 c n k g V H l w Z T 0 i R m l s b E N v d W 5 0 I i B W Y W x 1 Z T 0 i b D E w I i A v P j x F b n R y e S B U e X B l P S J G a W x s U 3 R h d H V z I i B W Y W x 1 Z T 0 i c 0 N v b X B s Z X R l I i A v P j x F b n R y e S B U e X B l P S J G a W x s Z W R D b 2 1 w b G V 0 Z V J l c 3 V s d F R v V 2 9 y a 3 N o Z W V 0 I i B W Y W x 1 Z T 0 i b D E i I C 8 + P E V u d H J 5 I F R 5 c G U 9 I k F k Z G V k V G 9 E Y X R h T W 9 k Z W w i I F Z h b H V l P S J s M C I g L z 4 8 R W 5 0 c n k g V H l w Z T 0 i U m V j b 3 Z l c n l U Y X J n Z X R T a G V l d C I g V m F s d W U 9 I n N T d G F m Z m l u Z y I g L z 4 8 R W 5 0 c n k g V H l w Z T 0 i U m V j b 3 Z l c n l U Y X J n Z X R D b 2 x 1 b W 4 i I F Z h b H V l P S J s M S I g L z 4 8 R W 5 0 c n k g V H l w Z T 0 i U m V j b 3 Z l c n l U Y X J n Z X R S b 3 c i I F Z h b H V l P S J s O S I g L z 4 8 R W 5 0 c n k g V H l w Z T 0 i R m l s b F R h c m d l d C I g V m F s d W U 9 I n N o c m 9 k X 0 h S X 1 N 0 Y W Z m a W 5 n S G V h Z G N v d W 5 0 X 1 8 z I i A v P j x F b n R y e S B U e X B l P S J S Z W x h d G l v b n N o a X B J b m Z v Q 2 9 u d G F p b m V y I i B W Y W x 1 Z T 0 i c 3 s m c X V v d D t j b 2 x 1 b W 5 D b 3 V u d C Z x d W 9 0 O z o 3 L C Z x d W 9 0 O 2 t l e U N v b H V t b k 5 h b W V z J n F 1 b 3 Q 7 O l t d L C Z x d W 9 0 O 3 F 1 Z X J 5 U m V s Y X R p b 2 5 z a G l w c y Z x d W 9 0 O z p b X S w m c X V v d D t j b 2 x 1 b W 5 J Z G V u d G l 0 a W V z J n F 1 b 3 Q 7 O l s m c X V v d D t T Z X J 2 Z X I u R G F 0 Y W J h c 2 V c X C 8 y L 1 N R T C 9 z L X N y c y 1 2 M D F c X F x c c G R z O 1 J B U C 9 o c m 9 k L 2 h y b 2 Q u S F J f U 3 R h Z m Z p b m d I Z W F k Y 2 9 1 b n Q u e 1 l l Y X I s M H 0 m c X V v d D s s J n F 1 b 3 Q 7 U 2 V y d m V y L k R h d G F i Y X N l X F w v M i 9 T U U w v c y 1 z c n M t d j A x X F x c X H B k c z t S Q V A v a H J v Z C 9 o c m 9 k L k h S X 1 N 0 Y W Z m a W 5 n S G V h Z G N v d W 5 0 L n t X a G 9 s Z V R p b W U g T 3 B l c m F 0 a W 9 u Y W w s M X 0 m c X V v d D s s J n F 1 b 3 Q 7 U 2 V y d m V y L k R h d G F i Y X N l X F w v M i 9 T U U w v c y 1 z c n M t d j A x X F x c X H B k c z t S Q V A v a H J v Z C 9 o c m 9 k L k h S X 1 N 0 Y W Z m a W 5 n S G V h Z G N v d W 5 0 L n t S Z X R h a W 5 l Z C B E d X R 5 I F N 5 c 3 R l b S w y f S Z x d W 9 0 O y w m c X V v d D t T Z X J 2 Z X I u R G F 0 Y W J h c 2 V c X C 8 y L 1 N R T C 9 z L X N y c y 1 2 M D F c X F x c c G R z O 1 J B U C 9 o c m 9 k L 2 h y b 2 Q u S F J f U 3 R h Z m Z p b m d I Z W F k Y 2 9 1 b n Q u e 1 J E U y B G d W x s d G l t Z S w z f S Z x d W 9 0 O y w m c X V v d D t T Z X J 2 Z X I u R G F 0 Y W J h c 2 V c X C 8 y L 1 N R T C 9 z L X N y c y 1 2 M D F c X F x c c G R z O 1 J B U C 9 o c m 9 k L 2 h y b 2 Q u S F J f U 3 R h Z m Z p b m d I Z W F k Y 2 9 1 b n Q u e 0 N v b n R y b 2 w s N H 0 m c X V v d D s s J n F 1 b 3 Q 7 U 2 V y d m V y L k R h d G F i Y X N l X F w v M i 9 T U U w v c y 1 z c n M t d j A x X F x c X H B k c z t S Q V A v a H J v Z C 9 o c m 9 k L k h S X 1 N 0 Y W Z m a W 5 n S G V h Z G N v d W 5 0 L n t T d X B w b 3 J 0 L D V 9 J n F 1 b 3 Q 7 L C Z x d W 9 0 O 1 N l c n Z l c i 5 E Y X R h Y m F z Z V x c L z I v U 1 F M L 3 M t c 3 J z L X Y w M V x c X F x w Z H M 7 U k F Q L 2 h y b 2 Q v a H J v Z C 5 I U l 9 T d G F m Z m l u Z 0 h l Y W R j b 3 V u d C 5 7 V m 9 s d W 5 0 Z W V y L D Z 9 J n F 1 b 3 Q 7 X S w m c X V v d D t D b 2 x 1 b W 5 D b 3 V u d C Z x d W 9 0 O z o 3 L C Z x d W 9 0 O 0 t l e U N v b H V t b k 5 h b W V z J n F 1 b 3 Q 7 O l t d L C Z x d W 9 0 O 0 N v b H V t b k l k Z W 5 0 a X R p Z X M m c X V v d D s 6 W y Z x d W 9 0 O 1 N l c n Z l c i 5 E Y X R h Y m F z Z V x c L z I v U 1 F M L 3 M t c 3 J z L X Y w M V x c X F x w Z H M 7 U k F Q L 2 h y b 2 Q v a H J v Z C 5 I U l 9 T d G F m Z m l u Z 0 h l Y W R j b 3 V u d C 5 7 W W V h c i w w f S Z x d W 9 0 O y w m c X V v d D t T Z X J 2 Z X I u R G F 0 Y W J h c 2 V c X C 8 y L 1 N R T C 9 z L X N y c y 1 2 M D F c X F x c c G R z O 1 J B U C 9 o c m 9 k L 2 h y b 2 Q u S F J f U 3 R h Z m Z p b m d I Z W F k Y 2 9 1 b n Q u e 1 d o b 2 x l V G l t Z S B P c G V y Y X R p b 2 5 h b C w x f S Z x d W 9 0 O y w m c X V v d D t T Z X J 2 Z X I u R G F 0 Y W J h c 2 V c X C 8 y L 1 N R T C 9 z L X N y c y 1 2 M D F c X F x c c G R z O 1 J B U C 9 o c m 9 k L 2 h y b 2 Q u S F J f U 3 R h Z m Z p b m d I Z W F k Y 2 9 1 b n Q u e 1 J l d G F p b m V k I E R 1 d H k g U 3 l z d G V t L D J 9 J n F 1 b 3 Q 7 L C Z x d W 9 0 O 1 N l c n Z l c i 5 E Y X R h Y m F z Z V x c L z I v U 1 F M L 3 M t c 3 J z L X Y w M V x c X F x w Z H M 7 U k F Q L 2 h y b 2 Q v a H J v Z C 5 I U l 9 T d G F m Z m l u Z 0 h l Y W R j b 3 V u d C 5 7 U k R T I E Z 1 b G x 0 a W 1 l L D N 9 J n F 1 b 3 Q 7 L C Z x d W 9 0 O 1 N l c n Z l c i 5 E Y X R h Y m F z Z V x c L z I v U 1 F M L 3 M t c 3 J z L X Y w M V x c X F x w Z H M 7 U k F Q L 2 h y b 2 Q v a H J v Z C 5 I U l 9 T d G F m Z m l u Z 0 h l Y W R j b 3 V u d C 5 7 Q 2 9 u d H J v b C w 0 f S Z x d W 9 0 O y w m c X V v d D t T Z X J 2 Z X I u R G F 0 Y W J h c 2 V c X C 8 y L 1 N R T C 9 z L X N y c y 1 2 M D F c X F x c c G R z O 1 J B U C 9 o c m 9 k L 2 h y b 2 Q u S F J f U 3 R h Z m Z p b m d I Z W F k Y 2 9 1 b n Q u e 1 N 1 c H B v c n Q s N X 0 m c X V v d D s s J n F 1 b 3 Q 7 U 2 V y d m V y L k R h d G F i Y X N l X F w v M i 9 T U U w v c y 1 z c n M t d j A x X F x c X H B k c z t S Q V A v a H J v Z C 9 o c m 9 k L k h S X 1 N 0 Y W Z m a W 5 n S G V h Z G N v d W 5 0 L n t W b 2 x 1 b n R l Z X I s N n 0 m c X V v d D t d L C Z x d W 9 0 O 1 J l b G F 0 a W 9 u c 2 h p c E l u Z m 8 m c X V v d D s 6 W 1 1 9 I i A v P j x F b n R y e S B U e X B l P S J R d W V y e U l E I i B W Y W x 1 Z T 0 i c 2 M x Z T E w M j A 1 L T k 2 Y T E t N G Y z N C 0 4 Y j A 0 L T c 2 Z T c x M D Y 2 M D R l Y S I g L z 4 8 L 1 N 0 Y W J s Z U V u d H J p Z X M + P C 9 J d G V t P j x J d G V t P j x J d G V t T G 9 j Y X R p b 2 4 + P E l 0 Z W 1 U e X B l P k Z v c m 1 1 b G E 8 L 0 l 0 Z W 1 U e X B l P j x J d G V t U G F 0 a D 5 T Z W N 0 a W 9 u M S 9 o c m 9 k J T I w S F J f U 3 R h Z m Z p b m d I Z W F k Y 2 9 1 b n Q l M j A o M y k v U 2 9 1 c m N l P C 9 J d G V t U G F 0 a D 4 8 L 0 l 0 Z W 1 M b 2 N h d G l v b j 4 8 U 3 R h Y m x l R W 5 0 c m l l c y A v P j w v S X R l b T 4 8 S X R l b T 4 8 S X R l b U x v Y 2 F 0 a W 9 u P j x J d G V t V H l w Z T 5 G b 3 J t d W x h P C 9 J d G V t V H l w Z T 4 8 S X R l b V B h d G g + U 2 V j d G l v b j E v a H J v Z C U y M E h S X 1 N 0 Y W Z m a W 5 n S G V h Z G N v d W 5 0 J T I w K D M p L 2 h y b 2 R f S F J f U 3 R h Z m Z p b m d I Z W F k Y 2 9 1 b n Q 8 L 0 l 0 Z W 1 Q Y X R o P j w v S X R l b U x v Y 2 F 0 a W 9 u P j x T d G F i b G V F b n R y a W V z I C 8 + P C 9 J d G V t P j x J d G V t P j x J d G V t T G 9 j Y X R p b 2 4 + P E l 0 Z W 1 U e X B l P k Z v c m 1 1 b G E 8 L 0 l 0 Z W 1 U e X B l P j x J d G V t U G F 0 a D 5 T Z W N 0 a W 9 u M S 9 o c m 9 k J T I w S F J f U 3 R h Z m Z p b m d I Z W F k Y 2 9 1 b n Q l M j A o M y k v U 2 9 y d G V k J T I w U m 9 3 c z w v S X R l b V B h d G g + P C 9 J d G V t T G 9 j Y X R p b 2 4 + P F N 0 Y W J s Z U V u d H J p Z X M g L z 4 8 L 0 l 0 Z W 0 + P E l 0 Z W 0 + P E l 0 Z W 1 M b 2 N h d G l v b j 4 8 S X R l b V R 5 c G U + R m 9 y b X V s Y T w v S X R l b V R 5 c G U + P E l 0 Z W 1 Q Y X R o P l N l Y 3 R p b 2 4 x L 2 h y b 2 Q l M j B I U l 9 T d G F m Z m l u Z 0 h l Y W R j b 3 V u d C U y M C g z K S 9 S Z W 1 v d m V k J T I w V G 9 w J T I w U m 9 3 c z w v S X R l b V B h d G g + P C 9 J d G V t T G 9 j Y X R p b 2 4 + P F N 0 Y W J s Z U V u d H J p Z X M g L z 4 8 L 0 l 0 Z W 0 + P E l 0 Z W 0 + P E l 0 Z W 1 M b 2 N h d G l v b j 4 8 S X R l b V R 5 c G U + R m 9 y b X V s Y T w v S X R l b V R 5 c G U + P E l 0 Z W 1 Q Y X R o P l N l Y 3 R p b 2 4 x L 2 h y b 2 Q l M j B I U l 9 E d X R 5 U 3 l z d G V t 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a H J v Z F 9 I U l 9 E d X R 5 U 3 l z d G V t I i A v P j x F b n R y e S B U e X B l P S J G a W x s U 3 R h d H V z I i B W Y W x 1 Z T 0 i c 0 N v b X B s Z X R l I i A v P j x F b n R y e S B U e X B l P S J G a W x s Q 2 9 1 b n Q i I F Z h b H V l P S J s M y I g L z 4 8 R W 5 0 c n k g V H l w Z T 0 i R m l s b E V y c m 9 y Q 2 9 1 b n Q i I F Z h b H V l P S J s M C I g L z 4 8 R W 5 0 c n k g V H l w Z T 0 i R m l s b E N v b H V t b l R 5 c G V z I i B W Y W x 1 Z T 0 i c 0 J n S U N B Z 0 k 9 I i A v P j x F b n R y e S B U e X B l P S J G a W x s Q 2 9 s d W 1 u T m F t Z X M i I F Z h b H V l P S J z W y Z x d W 9 0 O 1 l l Y X I m c X V v d D s s J n F 1 b 3 Q 7 T 3 B l c m F 0 a W 9 u Y W w g Q 3 J l d 2 l u Z y Z x d W 9 0 O y w m c X V v d D t J b m N p Z G V u d C B D b 2 1 t Y W 5 k I E 9 m Z m l j Z X J z J n F 1 b 3 Q 7 L C Z x d W 9 0 O 0 9 m Z m l j Z S B E d X R p Z X M m c X V v d D s s J n F 1 b 3 Q 7 V H J h a W 5 l Z X M m c X V v d D t d I i A v P j x F b n R y e S B U e X B l P S J G a W x s R X J y b 3 J D b 2 R l I i B W Y W x 1 Z T 0 i c 1 V u a 2 5 v d 2 4 i I C 8 + P E V u d H J 5 I F R 5 c G U 9 I k Z p b G x M Y X N 0 V X B k Y X R l Z C I g V m F s d W U 9 I m Q y M D I x L T A 4 L T A 5 V D E w O j A w O j I 5 L j Q x N T Q 1 O T F a I i A v P j x F b n R y e S B U e X B l P S J G a W x s Z W R D b 2 1 w b G V 0 Z V J l c 3 V s d F R v V 2 9 y a 3 N o Z W V 0 I i B W Y W x 1 Z T 0 i b D E i I C 8 + P E V u d H J 5 I F R 5 c G U 9 I k F k Z G V k V G 9 E Y X R h T W 9 k Z W w i I F Z h b H V l P S J s M C I g L z 4 8 R W 5 0 c n k g V H l w Z T 0 i U m V j b 3 Z l c n l U Y X J n Z X R T a G V l d C I g V m F s d W U 9 I n N E d X R 5 U 3 l z d G V t I i A v P j x F b n R y e S B U e X B l P S J S Z W N v d m V y e V R h c m d l d E N v b H V t b i I g V m F s d W U 9 I m w x I i A v P j x F b n R y e S B U e X B l P S J S Z W N v d m V y e V R h c m d l d F J v d y I g V m F s d W U 9 I m w x M C I g L z 4 8 R W 5 0 c n k g V H l w Z T 0 i U m V s Y X R p b 2 5 z a G l w S W 5 m b 0 N v b n R h a W 5 l c i I g V m F s d W U 9 I n N 7 J n F 1 b 3 Q 7 Y 2 9 s d W 1 u Q 2 9 1 b n Q m c X V v d D s 6 N S w m c X V v d D t r Z X l D b 2 x 1 b W 5 O Y W 1 l c y Z x d W 9 0 O z p b X S w m c X V v d D t x d W V y e V J l b G F 0 a W 9 u c 2 h p c H M m c X V v d D s 6 W 1 0 s J n F 1 b 3 Q 7 Y 2 9 s d W 1 u S W R l b n R p d G l l c y Z x d W 9 0 O z p b J n F 1 b 3 Q 7 U 2 V y d m V y L k R h d G F i Y X N l X F w v M i 9 T U U w v c y 1 z c n M t d j A x X F x c X H B k c z t S Q V A v a H J v Z C 9 o c m 9 k L k h S X 0 R 1 d H l T e X N 0 Z W 0 u e 1 l l Y X I s M H 0 m c X V v d D s s J n F 1 b 3 Q 7 U 2 V y d m V y L k R h d G F i Y X N l X F w v M i 9 T U U w v c y 1 z c n M t d j A x X F x c X H B k c z t S Q V A v a H J v Z C 9 o c m 9 k L k h S X 0 R 1 d H l T e X N 0 Z W 0 u e 0 9 w Z X J h d G l v b m F s I E N y Z X d p b m c s M X 0 m c X V v d D s s J n F 1 b 3 Q 7 U 2 V y d m V y L k R h d G F i Y X N l X F w v M i 9 T U U w v c y 1 z c n M t d j A x X F x c X H B k c z t S Q V A v a H J v Z C 9 o c m 9 k L k h S X 0 R 1 d H l T e X N 0 Z W 0 u e 0 l u Y 2 l k Z W 5 0 I E N v b W 1 h b m Q g T 2 Z m a W N l c n M s M n 0 m c X V v d D s s J n F 1 b 3 Q 7 U 2 V y d m V y L k R h d G F i Y X N l X F w v M i 9 T U U w v c y 1 z c n M t d j A x X F x c X H B k c z t S Q V A v a H J v Z C 9 o c m 9 k L k h S X 0 R 1 d H l T e X N 0 Z W 0 u e 0 9 m Z m l j Z S B E d X R p Z X M s M 3 0 m c X V v d D s s J n F 1 b 3 Q 7 U 2 V y d m V y L k R h d G F i Y X N l X F w v M i 9 T U U w v c y 1 z c n M t d j A x X F x c X H B k c z t S Q V A v a H J v Z C 9 o c m 9 k L k h S X 0 R 1 d H l T e X N 0 Z W 0 u e 1 R y Y W l u Z W V z L D R 9 J n F 1 b 3 Q 7 X S w m c X V v d D t D b 2 x 1 b W 5 D b 3 V u d C Z x d W 9 0 O z o 1 L C Z x d W 9 0 O 0 t l e U N v b H V t b k 5 h b W V z J n F 1 b 3 Q 7 O l t d L C Z x d W 9 0 O 0 N v b H V t b k l k Z W 5 0 a X R p Z X M m c X V v d D s 6 W y Z x d W 9 0 O 1 N l c n Z l c i 5 E Y X R h Y m F z Z V x c L z I v U 1 F M L 3 M t c 3 J z L X Y w M V x c X F x w Z H M 7 U k F Q L 2 h y b 2 Q v a H J v Z C 5 I U l 9 E d X R 5 U 3 l z d G V t L n t Z Z W F y L D B 9 J n F 1 b 3 Q 7 L C Z x d W 9 0 O 1 N l c n Z l c i 5 E Y X R h Y m F z Z V x c L z I v U 1 F M L 3 M t c 3 J z L X Y w M V x c X F x w Z H M 7 U k F Q L 2 h y b 2 Q v a H J v Z C 5 I U l 9 E d X R 5 U 3 l z d G V t L n t P c G V y Y X R p b 2 5 h b C B D c m V 3 a W 5 n L D F 9 J n F 1 b 3 Q 7 L C Z x d W 9 0 O 1 N l c n Z l c i 5 E Y X R h Y m F z Z V x c L z I v U 1 F M L 3 M t c 3 J z L X Y w M V x c X F x w Z H M 7 U k F Q L 2 h y b 2 Q v a H J v Z C 5 I U l 9 E d X R 5 U 3 l z d G V t L n t J b m N p Z G V u d C B D b 2 1 t Y W 5 k I E 9 m Z m l j Z X J z L D J 9 J n F 1 b 3 Q 7 L C Z x d W 9 0 O 1 N l c n Z l c i 5 E Y X R h Y m F z Z V x c L z I v U 1 F M L 3 M t c 3 J z L X Y w M V x c X F x w Z H M 7 U k F Q L 2 h y b 2 Q v a H J v Z C 5 I U l 9 E d X R 5 U 3 l z d G V t L n t P Z m Z p Y 2 U g R H V 0 a W V z L D N 9 J n F 1 b 3 Q 7 L C Z x d W 9 0 O 1 N l c n Z l c i 5 E Y X R h Y m F z Z V x c L z I v U 1 F M L 3 M t c 3 J z L X Y w M V x c X F x w Z H M 7 U k F Q L 2 h y b 2 Q v a H J v Z C 5 I U l 9 E d X R 5 U 3 l z d G V t L n t U c m F p b m V l c y w 0 f S Z x d W 9 0 O 1 0 s J n F 1 b 3 Q 7 U m V s Y X R p b 2 5 z a G l w S W 5 m b y Z x d W 9 0 O z p b X X 0 i I C 8 + P C 9 T d G F i b G V F b n R y a W V z P j w v S X R l b T 4 8 S X R l b T 4 8 S X R l b U x v Y 2 F 0 a W 9 u P j x J d G V t V H l w Z T 5 G b 3 J t d W x h P C 9 J d G V t V H l w Z T 4 8 S X R l b V B h d G g + U 2 V j d G l v b j E v a H J v Z C U y M E h S X 0 R 1 d H l T e X N 0 Z W 0 v U 2 9 1 c m N l P C 9 J d G V t U G F 0 a D 4 8 L 0 l 0 Z W 1 M b 2 N h d G l v b j 4 8 U 3 R h Y m x l R W 5 0 c m l l c y A v P j w v S X R l b T 4 8 S X R l b T 4 8 S X R l b U x v Y 2 F 0 a W 9 u P j x J d G V t V H l w Z T 5 G b 3 J t d W x h P C 9 J d G V t V H l w Z T 4 8 S X R l b V B h d G g + U 2 V j d G l v b j E v a H J v Z C U y M E h S X 0 R 1 d H l T e X N 0 Z W 0 v a H J v Z F 9 I U l 9 E d X R 5 U 3 l z d G V t P C 9 J d G V t U G F 0 a D 4 8 L 0 l 0 Z W 1 M b 2 N h d G l v b j 4 8 U 3 R h Y m x l R W 5 0 c m l l c y A v P j w v S X R l b T 4 8 S X R l b T 4 8 S X R l b U x v Y 2 F 0 a W 9 u P j x J d G V t V H l w Z T 5 G b 3 J t d W x h P C 9 J d G V t V H l w Z T 4 8 S X R l b V B h d G g + U 2 V j d G l v b j E v a H J v Z C U y M E h S X 0 R 1 d H l T e X N 0 Z W 0 v U 2 9 y d G V k J T I w U m 9 3 c z w v S X R l b V B h d G g + P C 9 J d G V t T G 9 j Y X R p b 2 4 + P F N 0 Y W J s Z U V u d H J p Z X M g L z 4 8 L 0 l 0 Z W 0 + P E l 0 Z W 0 + P E l 0 Z W 1 M b 2 N h d G l v b j 4 8 S X R l b V R 5 c G U + R m 9 y b X V s Y T w v S X R l b V R 5 c G U + P E l 0 Z W 1 Q Y X R o P l N l Y 3 R p b 2 4 x L 2 h y b 2 Q l M j B I U l 9 E d X R 5 U 3 l z d G V t X 0 x B 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a H J v Z F 9 I U l 9 E d X R 5 U 3 l z d G V t X 0 x B I i A v P j x F b n R y e S B U e X B l P S J G a W x s U 3 R h d H V z I i B W Y W x 1 Z T 0 i c 0 N v b X B s Z X R l I i A v P j x F b n R y e S B U e X B l P S J G a W x s Q 2 9 1 b n Q i I F Z h b H V l P S J s M T Q 4 I i A v P j x F b n R y e S B U e X B l P S J G a W x s R X J y b 3 J D b 3 V u d C I g V m F s d W U 9 I m w w I i A v P j x F b n R y e S B U e X B l P S J G a W x s Q 2 9 s d W 1 u V H l w Z X M i I F Z h b H V l P S J z Q m d Z R 0 F n S U N B Z z 0 9 I i A v P j x F b n R y e S B U e X B l P S J G a W x s Q 2 9 s d W 1 u T m F t Z X M i I F Z h b H V l P S J z W y Z x d W 9 0 O 1 l l Y X I m c X V v d D s s J n F 1 b 3 Q 7 U m V w b 3 J 0 a W 5 n T G V 2 Z W w m c X V v d D s s J n F 1 b 3 Q 7 b H Z s J n F 1 b 3 Q 7 L C Z x d W 9 0 O 0 9 w Z X J h d G l v b m F s I E N y Z X d p b m c m c X V v d D s s J n F 1 b 3 Q 7 S W 5 j a W R l b n Q g Q 2 9 t b W F u Z C B P Z m Z p Y 2 V y c y Z x d W 9 0 O y w m c X V v d D t P Z m Z p Y 2 U g R H V 0 a W V z J n F 1 b 3 Q 7 L C Z x d W 9 0 O 1 R y Y W l u Z W V z J n F 1 b 3 Q 7 X S I g L z 4 8 R W 5 0 c n k g V H l w Z T 0 i R m l s b E V y c m 9 y Q 2 9 k Z S I g V m F s d W U 9 I n N V b m t u b 3 d u I i A v P j x F b n R y e S B U e X B l P S J G a W x s T G F z d F V w Z G F 0 Z W Q i I F Z h b H V l P S J k M j A y M S 0 w O C 0 w O V Q x M D o w N D o y M i 4 1 M D U 0 M z g 5 W i I g L z 4 8 R W 5 0 c n k g V H l w Z T 0 i R m l s b G V k Q 2 9 t c G x l d G V S Z X N 1 b H R U b 1 d v c m t z a G V l d C I g V m F s d W U 9 I m w x I i A v P j x F b n R y e S B U e X B l P S J B Z G R l Z F R v R G F 0 Y U 1 v Z G V s I i B W Y W x 1 Z T 0 i b D A i I C 8 + P E V u d H J 5 I F R 5 c G U 9 I l J l Y 2 9 2 Z X J 5 V G F y Z 2 V 0 U 2 h l Z X Q i I F Z h b H V l P S J z U 2 h l Z X Q y I i A v P j x F b n R y e S B U e X B l P S J S Z W N v d m V y e V R h c m d l d E N v b H V t b i I g V m F s d W U 9 I m w x I i A v P j x F b n R y e S B U e X B l P S J S Z W N v d m V y e V R h c m d l d F J v d y I g V m F s d W U 9 I m w x I i A v P j x F b n R y e S B U e X B l P S J S Z W x h d G l v b n N o a X B J b m Z v Q 2 9 u d G F p b m V y I i B W Y W x 1 Z T 0 i c 3 s m c X V v d D t j b 2 x 1 b W 5 D b 3 V u d C Z x d W 9 0 O z o 3 L C Z x d W 9 0 O 2 t l e U N v b H V t b k 5 h b W V z J n F 1 b 3 Q 7 O l t d L C Z x d W 9 0 O 3 F 1 Z X J 5 U m V s Y X R p b 2 5 z a G l w c y Z x d W 9 0 O z p b X S w m c X V v d D t j b 2 x 1 b W 5 J Z G V u d G l 0 a W V z J n F 1 b 3 Q 7 O l s m c X V v d D t T Z X J 2 Z X I u R G F 0 Y W J h c 2 V c X C 8 y L 1 N R T C 9 z L X N y c y 1 2 M D F c X F x c c G R z O 1 J B U C 9 o c m 9 k L 2 h y b 2 Q u S F J f R H V 0 e V N 5 c 3 R l b V 9 M Q S 5 7 W W V h c i w w f S Z x d W 9 0 O y w m c X V v d D t T Z X J 2 Z X I u R G F 0 Y W J h c 2 V c X C 8 y L 1 N R T C 9 z L X N y c y 1 2 M D F c X F x c c G R z O 1 J B U C 9 o c m 9 k L 2 h y b 2 Q u S F J f R H V 0 e V N 5 c 3 R l b V 9 M Q S 5 7 U m V w b 3 J 0 a W 5 n T G V 2 Z W w s M X 0 m c X V v d D s s J n F 1 b 3 Q 7 U 2 V y d m V y L k R h d G F i Y X N l X F w v M i 9 T U U w v c y 1 z c n M t d j A x X F x c X H B k c z t S Q V A v a H J v Z C 9 o c m 9 k L k h S X 0 R 1 d H l T e X N 0 Z W 1 f T E E u e 2 x 2 b C w y f S Z x d W 9 0 O y w m c X V v d D t T Z X J 2 Z X I u R G F 0 Y W J h c 2 V c X C 8 y L 1 N R T C 9 z L X N y c y 1 2 M D F c X F x c c G R z O 1 J B U C 9 o c m 9 k L 2 h y b 2 Q u S F J f R H V 0 e V N 5 c 3 R l b V 9 M Q S 5 7 T 3 B l c m F 0 a W 9 u Y W w g Q 3 J l d 2 l u Z y w 0 f S Z x d W 9 0 O y w m c X V v d D t T Z X J 2 Z X I u R G F 0 Y W J h c 2 V c X C 8 y L 1 N R T C 9 z L X N y c y 1 2 M D F c X F x c c G R z O 1 J B U C 9 o c m 9 k L 2 h y b 2 Q u S F J f R H V 0 e V N 5 c 3 R l b V 9 M Q S 5 7 S W 5 j a W R l b n Q g Q 2 9 t b W F u Z C B P Z m Z p Y 2 V y c y w 1 f S Z x d W 9 0 O y w m c X V v d D t T Z X J 2 Z X I u R G F 0 Y W J h c 2 V c X C 8 y L 1 N R T C 9 z L X N y c y 1 2 M D F c X F x c c G R z O 1 J B U C 9 o c m 9 k L 2 h y b 2 Q u S F J f R H V 0 e V N 5 c 3 R l b V 9 M Q S 5 7 T 2 Z m a W N l I E R 1 d G l l c y w 2 f S Z x d W 9 0 O y w m c X V v d D t T Z X J 2 Z X I u R G F 0 Y W J h c 2 V c X C 8 y L 1 N R T C 9 z L X N y c y 1 2 M D F c X F x c c G R z O 1 J B U C 9 o c m 9 k L 2 h y b 2 Q u S F J f R H V 0 e V N 5 c 3 R l b V 9 M Q S 5 7 V H J h a W 5 l Z X M s N 3 0 m c X V v d D t d L C Z x d W 9 0 O 0 N v b H V t b k N v d W 5 0 J n F 1 b 3 Q 7 O j c s J n F 1 b 3 Q 7 S 2 V 5 Q 2 9 s d W 1 u T m F t Z X M m c X V v d D s 6 W 1 0 s J n F 1 b 3 Q 7 Q 2 9 s d W 1 u S W R l b n R p d G l l c y Z x d W 9 0 O z p b J n F 1 b 3 Q 7 U 2 V y d m V y L k R h d G F i Y X N l X F w v M i 9 T U U w v c y 1 z c n M t d j A x X F x c X H B k c z t S Q V A v a H J v Z C 9 o c m 9 k L k h S X 0 R 1 d H l T e X N 0 Z W 1 f T E E u e 1 l l Y X I s M H 0 m c X V v d D s s J n F 1 b 3 Q 7 U 2 V y d m V y L k R h d G F i Y X N l X F w v M i 9 T U U w v c y 1 z c n M t d j A x X F x c X H B k c z t S Q V A v a H J v Z C 9 o c m 9 k L k h S X 0 R 1 d H l T e X N 0 Z W 1 f T E E u e 1 J l c G 9 y d G l u Z 0 x l d m V s L D F 9 J n F 1 b 3 Q 7 L C Z x d W 9 0 O 1 N l c n Z l c i 5 E Y X R h Y m F z Z V x c L z I v U 1 F M L 3 M t c 3 J z L X Y w M V x c X F x w Z H M 7 U k F Q L 2 h y b 2 Q v a H J v Z C 5 I U l 9 E d X R 5 U 3 l z d G V t X 0 x B L n t s d m w s M n 0 m c X V v d D s s J n F 1 b 3 Q 7 U 2 V y d m V y L k R h d G F i Y X N l X F w v M i 9 T U U w v c y 1 z c n M t d j A x X F x c X H B k c z t S Q V A v a H J v Z C 9 o c m 9 k L k h S X 0 R 1 d H l T e X N 0 Z W 1 f T E E u e 0 9 w Z X J h d G l v b m F s I E N y Z X d p b m c s N H 0 m c X V v d D s s J n F 1 b 3 Q 7 U 2 V y d m V y L k R h d G F i Y X N l X F w v M i 9 T U U w v c y 1 z c n M t d j A x X F x c X H B k c z t S Q V A v a H J v Z C 9 o c m 9 k L k h S X 0 R 1 d H l T e X N 0 Z W 1 f T E E u e 0 l u Y 2 l k Z W 5 0 I E N v b W 1 h b m Q g T 2 Z m a W N l c n M s N X 0 m c X V v d D s s J n F 1 b 3 Q 7 U 2 V y d m V y L k R h d G F i Y X N l X F w v M i 9 T U U w v c y 1 z c n M t d j A x X F x c X H B k c z t S Q V A v a H J v Z C 9 o c m 9 k L k h S X 0 R 1 d H l T e X N 0 Z W 1 f T E E u e 0 9 m Z m l j Z S B E d X R p Z X M s N n 0 m c X V v d D s s J n F 1 b 3 Q 7 U 2 V y d m V y L k R h d G F i Y X N l X F w v M i 9 T U U w v c y 1 z c n M t d j A x X F x c X H B k c z t S Q V A v a H J v Z C 9 o c m 9 k L k h S X 0 R 1 d H l T e X N 0 Z W 1 f T E E u e 1 R y Y W l u Z W V z L D d 9 J n F 1 b 3 Q 7 X S w m c X V v d D t S Z W x h d G l v b n N o a X B J b m Z v J n F 1 b 3 Q 7 O l t d f S I g L z 4 8 L 1 N 0 Y W J s Z U V u d H J p Z X M + P C 9 J d G V t P j x J d G V t P j x J d G V t T G 9 j Y X R p b 2 4 + P E l 0 Z W 1 U e X B l P k Z v c m 1 1 b G E 8 L 0 l 0 Z W 1 U e X B l P j x J d G V t U G F 0 a D 5 T Z W N 0 a W 9 u M S 9 o c m 9 k J T I w S F J f R H V 0 e V N 5 c 3 R l b V 9 M Q S 9 T b 3 V y Y 2 U 8 L 0 l 0 Z W 1 Q Y X R o P j w v S X R l b U x v Y 2 F 0 a W 9 u P j x T d G F i b G V F b n R y a W V z I C 8 + P C 9 J d G V t P j x J d G V t P j x J d G V t T G 9 j Y X R p b 2 4 + P E l 0 Z W 1 U e X B l P k Z v c m 1 1 b G E 8 L 0 l 0 Z W 1 U e X B l P j x J d G V t U G F 0 a D 5 T Z W N 0 a W 9 u M S 9 o c m 9 k J T I w S F J f R H V 0 e V N 5 c 3 R l b V 9 M Q S 9 o c m 9 k X 0 h S X 0 R 1 d H l T e X N 0 Z W 1 f T E E 8 L 0 l 0 Z W 1 Q Y X R o P j w v S X R l b U x v Y 2 F 0 a W 9 u P j x T d G F i b G V F b n R y a W V z I C 8 + P C 9 J d G V t P j x J d G V t P j x J d G V t T G 9 j Y X R p b 2 4 + P E l 0 Z W 1 U e X B l P k Z v c m 1 1 b G E 8 L 0 l 0 Z W 1 U e X B l P j x J d G V t U G F 0 a D 5 T Z W N 0 a W 9 u M S 9 o c m 9 k J T I w S F J f R H V 0 e V N 5 c 3 R l b V 9 M Q S 9 T b 3 J 0 Z W Q l M j B S b 3 d z P C 9 J d G V t U G F 0 a D 4 8 L 0 l 0 Z W 1 M b 2 N h d G l v b j 4 8 U 3 R h Y m x l R W 5 0 c m l l c y A v P j w v S X R l b T 4 8 S X R l b T 4 8 S X R l b U x v Y 2 F 0 a W 9 u P j x J d G V t V H l w Z T 5 G b 3 J t d W x h P C 9 J d G V t V H l w Z T 4 8 S X R l b V B h d G g + U 2 V j d G l v b j E v a H J v Z C U y M E h S X 0 R 1 d H l T e X N 0 Z W 1 f T E E v U m V t b 3 Z l Z C U y M E N v b H V t b n M 8 L 0 l 0 Z W 1 Q Y X R o P j w v S X R l b U x v Y 2 F 0 a W 9 u P j x T d G F i b G V F b n R y a W V z I C 8 + P C 9 J d G V t P j x J d G V t P j x J d G V t T G 9 j Y X R p b 2 4 + P E l 0 Z W 1 U e X B l P k Z v c m 1 1 b G E 8 L 0 l 0 Z W 1 U e X B l P j x J d G V t U G F 0 a D 5 T Z W N 0 a W 9 u M S 9 o c m 9 k J T I w S F J f R 2 V v Z 3 J h c G h p Y 1 N 0 c n V j d H V y Z 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V G F y Z 2 V 0 I i B W Y W x 1 Z T 0 i c 2 h y b 2 R f S F J f R 2 V v Z 3 J h c G h p Y 1 N 0 c n V j d H V y Z S I g L z 4 8 R W 5 0 c n k g V H l w Z T 0 i U m V s Y X R p b 2 5 z a G l w S W 5 m b 0 N v b n R h a W 5 l c i I g V m F s d W U 9 I n N 7 J n F 1 b 3 Q 7 Y 2 9 s d W 1 u Q 2 9 1 b n Q m c X V v d D s 6 N y w m c X V v d D t r Z X l D b 2 x 1 b W 5 O Y W 1 l c y Z x d W 9 0 O z p b X S w m c X V v d D t x d W V y e V J l b G F 0 a W 9 u c 2 h p c H M m c X V v d D s 6 W 1 0 s J n F 1 b 3 Q 7 Y 2 9 s d W 1 u S W R l b n R p d G l l c y Z x d W 9 0 O z p b J n F 1 b 3 Q 7 U 2 V y d m V y L k R h d G F i Y X N l X F w v M i 9 T U U w v c y 1 z c n M t d j A x X F x c X H B k c z t S Q V A v a H J v Z C 9 o c m 9 k L k h S X 0 d l b 2 d y Y X B o a W N T d H J 1 Y 3 R 1 c m U u e 1 l l Y X I s M H 0 m c X V v d D s s J n F 1 b 3 Q 7 U 2 V j d G l v b j E v a H J v Z C B I U l 9 H Z W 9 n c m F w a G l j U 3 R y d W N 0 d X J l L 1 J l c G x h Y 2 V k I F Z h b H V l L n t S Z X B v c n R p b m d M Z X Z l b C w x f S Z x d W 9 0 O y w m c X V v d D t T Z X J 2 Z X I u R G F 0 Y W J h c 2 V c X C 8 y L 1 N R T C 9 z L X N y c y 1 2 M D F c X F x c c G R z O 1 J B U C 9 o c m 9 k L 2 h y b 2 Q u S F J f R 2 V v Z 3 J h c G h p Y 1 N 0 c n V j d H V y Z S 5 7 V 2 h v b G V 0 a W 1 l I E 9 w Z X J h d G l v b m F s L D J 9 J n F 1 b 3 Q 7 L C Z x d W 9 0 O 1 N l c n Z l c i 5 E Y X R h Y m F z Z V x c L z I v U 1 F M L 3 M t c 3 J z L X Y w M V x c X F x w Z H M 7 U k F Q L 2 h y b 2 Q v a H J v Z C 5 I U l 9 H Z W 9 n c m F w a G l j U 3 R y d W N 0 d X J l L n t S R F M s M 3 0 m c X V v d D s s J n F 1 b 3 Q 7 U 2 V y d m V y L k R h d G F i Y X N l X F w v M i 9 T U U w v c y 1 z c n M t d j A x X F x c X H B k c z t S Q V A v a H J v Z C 9 o c m 9 k L k h S X 0 d l b 2 d y Y X B o a W N T d H J 1 Y 3 R 1 c m U u e 0 N v b n R y b 2 w s N H 0 m c X V v d D s s J n F 1 b 3 Q 7 U 2 V y d m V y L k R h d G F i Y X N l X F w v M i 9 T U U w v c y 1 z c n M t d j A x X F x c X H B k c z t S Q V A v a H J v Z C 9 o c m 9 k L k h S X 0 d l b 2 d y Y X B o a W N T d H J 1 Y 3 R 1 c m U u e 1 N 1 c H B v c n Q s N X 0 m c X V v d D s s J n F 1 b 3 Q 7 U 2 V y d m V y L k R h d G F i Y X N l X F w v M i 9 T U U w v c y 1 z c n M t d j A x X F x c X H B k c z t S Q V A v a H J v Z C 9 o c m 9 k L k h S X 0 d l b 2 d y Y X B o a W N T d H J 1 Y 3 R 1 c m U u e 1 Z v b H V u d G V l c i w 2 f S Z x d W 9 0 O 1 0 s J n F 1 b 3 Q 7 Q 2 9 s d W 1 u Q 2 9 1 b n Q m c X V v d D s 6 N y w m c X V v d D t L Z X l D b 2 x 1 b W 5 O Y W 1 l c y Z x d W 9 0 O z p b X S w m c X V v d D t D b 2 x 1 b W 5 J Z G V u d G l 0 a W V z J n F 1 b 3 Q 7 O l s m c X V v d D t T Z X J 2 Z X I u R G F 0 Y W J h c 2 V c X C 8 y L 1 N R T C 9 z L X N y c y 1 2 M D F c X F x c c G R z O 1 J B U C 9 o c m 9 k L 2 h y b 2 Q u S F J f R 2 V v Z 3 J h c G h p Y 1 N 0 c n V j d H V y Z S 5 7 W W V h c i w w f S Z x d W 9 0 O y w m c X V v d D t T Z W N 0 a W 9 u M S 9 o c m 9 k I E h S X 0 d l b 2 d y Y X B o a W N T d H J 1 Y 3 R 1 c m U v U m V w b G F j Z W Q g V m F s d W U u e 1 J l c G 9 y d G l u Z 0 x l d m V s L D F 9 J n F 1 b 3 Q 7 L C Z x d W 9 0 O 1 N l c n Z l c i 5 E Y X R h Y m F z Z V x c L z I v U 1 F M L 3 M t c 3 J z L X Y w M V x c X F x w Z H M 7 U k F Q L 2 h y b 2 Q v a H J v Z C 5 I U l 9 H Z W 9 n c m F w a G l j U 3 R y d W N 0 d X J l L n t X a G 9 s Z X R p b W U g T 3 B l c m F 0 a W 9 u Y W w s M n 0 m c X V v d D s s J n F 1 b 3 Q 7 U 2 V y d m V y L k R h d G F i Y X N l X F w v M i 9 T U U w v c y 1 z c n M t d j A x X F x c X H B k c z t S Q V A v a H J v Z C 9 o c m 9 k L k h S X 0 d l b 2 d y Y X B o a W N T d H J 1 Y 3 R 1 c m U u e 1 J E U y w z f S Z x d W 9 0 O y w m c X V v d D t T Z X J 2 Z X I u R G F 0 Y W J h c 2 V c X C 8 y L 1 N R T C 9 z L X N y c y 1 2 M D F c X F x c c G R z O 1 J B U C 9 o c m 9 k L 2 h y b 2 Q u S F J f R 2 V v Z 3 J h c G h p Y 1 N 0 c n V j d H V y Z S 5 7 Q 2 9 u d H J v b C w 0 f S Z x d W 9 0 O y w m c X V v d D t T Z X J 2 Z X I u R G F 0 Y W J h c 2 V c X C 8 y L 1 N R T C 9 z L X N y c y 1 2 M D F c X F x c c G R z O 1 J B U C 9 o c m 9 k L 2 h y b 2 Q u S F J f R 2 V v Z 3 J h c G h p Y 1 N 0 c n V j d H V y Z S 5 7 U 3 V w c G 9 y d C w 1 f S Z x d W 9 0 O y w m c X V v d D t T Z X J 2 Z X I u R G F 0 Y W J h c 2 V c X C 8 y L 1 N R T C 9 z L X N y c y 1 2 M D F c X F x c c G R z O 1 J B U C 9 o c m 9 k L 2 h y b 2 Q u S F J f R 2 V v Z 3 J h c G h p Y 1 N 0 c n V j d H V y Z S 5 7 V m 9 s d W 5 0 Z W V y L D Z 9 J n F 1 b 3 Q 7 X S w m c X V v d D t S Z W x h d G l v b n N o a X B J b m Z v J n F 1 b 3 Q 7 O l t d f S I g L z 4 8 R W 5 0 c n k g V H l w Z T 0 i R m l s b E x h c 3 R V c G R h d G V k I i B W Y W x 1 Z T 0 i Z D I w M j E t M D g t M D l U M T I 6 N D c 6 N T A u O T k 2 O T A w M 1 o i I C 8 + P E V u d H J 5 I F R 5 c G U 9 I k Z p b G x F c n J v c k N v Z G U i I F Z h b H V l P S J z V W 5 r b m 9 3 b i I g L z 4 8 R W 5 0 c n k g V H l w Z T 0 i R m l s b E N v b H V t b k 5 h b W V z I i B W Y W x 1 Z T 0 i c 1 s m c X V v d D t Z Z W F y J n F 1 b 3 Q 7 L C Z x d W 9 0 O 1 J l c G 9 y d G l u Z 0 x l d m V s J n F 1 b 3 Q 7 L C Z x d W 9 0 O 1 d o b 2 x l d G l t Z S B P c G V y Y X R p b 2 5 h b C Z x d W 9 0 O y w m c X V v d D t S R F M m c X V v d D s s J n F 1 b 3 Q 7 Q 2 9 u d H J v b C Z x d W 9 0 O y w m c X V v d D t T d X B w b 3 J 0 J n F 1 b 3 Q 7 L C Z x d W 9 0 O 1 Z v b H V u d G V l c i Z x d W 9 0 O 1 0 i I C 8 + P E V u d H J 5 I F R 5 c G U 9 I k Z p b G x D b 2 x 1 b W 5 U e X B l c y I g V m F s d W U 9 I n N C Z 1 l G Q l F V R k J R P T 0 i I C 8 + P E V u d H J 5 I F R 5 c G U 9 I k Z p b G x F c n J v c k N v d W 5 0 I i B W Y W x 1 Z T 0 i b D A i I C 8 + P E V u d H J 5 I F R 5 c G U 9 I k Z p b G x D b 3 V u d C I g V m F s d W U 9 I m w z M i I g L z 4 8 R W 5 0 c n k g V H l w Z T 0 i R m l s b G V k Q 2 9 t c G x l d G V S Z X N 1 b H R U b 1 d v c m t z a G V l d C I g V m F s d W U 9 I m w x I i A v P j x F b n R y e S B U e X B l P S J B Z G R l Z F R v R G F 0 Y U 1 v Z G V s I i B W Y W x 1 Z T 0 i b D A i I C 8 + P E V u d H J 5 I F R 5 c G U 9 I l J l Y 2 9 2 Z X J 5 V G F y Z 2 V 0 U 2 h l Z X Q i I F Z h b H V l P S J z U 2 h l Z X Q x M C I g L z 4 8 R W 5 0 c n k g V H l w Z T 0 i U m V j b 3 Z l c n l U Y X J n Z X R D b 2 x 1 b W 4 i I F Z h b H V l P S J s M S I g L z 4 8 R W 5 0 c n k g V H l w Z T 0 i U m V j b 3 Z l c n l U Y X J n Z X R S b 3 c i I F Z h b H V l P S J s M S I g L z 4 8 R W 5 0 c n k g V H l w Z T 0 i R m l s b F N 0 Y X R 1 c y I g V m F s d W U 9 I n N D b 2 1 w b G V 0 Z S I g L z 4 8 R W 5 0 c n k g V H l w Z T 0 i U X V l c n l J R C I g V m F s d W U 9 I n N m M j h j N W M 5 Y y 0 4 Z W E w L T Q w M T E t Y T B j N y 0 2 N z k x M T M z M z c 3 O D I i I C 8 + P C 9 T d G F i b G V F b n R y a W V z P j w v S X R l b T 4 8 S X R l b T 4 8 S X R l b U x v Y 2 F 0 a W 9 u P j x J d G V t V H l w Z T 5 G b 3 J t d W x h P C 9 J d G V t V H l w Z T 4 8 S X R l b V B h d G g + U 2 V j d G l v b j E v a H J v Z C U y M E h S X 0 d l b 2 d y Y X B o a W N T d H J 1 Y 3 R 1 c m U v U 2 9 1 c m N l P C 9 J d G V t U G F 0 a D 4 8 L 0 l 0 Z W 1 M b 2 N h d G l v b j 4 8 U 3 R h Y m x l R W 5 0 c m l l c y A v P j w v S X R l b T 4 8 S X R l b T 4 8 S X R l b U x v Y 2 F 0 a W 9 u P j x J d G V t V H l w Z T 5 G b 3 J t d W x h P C 9 J d G V t V H l w Z T 4 8 S X R l b V B h d G g + U 2 V j d G l v b j E v a H J v Z C U y M E h S X 0 d l b 2 d y Y X B o a W N T d H J 1 Y 3 R 1 c m U v a H J v Z F 9 I U l 9 H Z W 9 n c m F w a G l j U 3 R y d W N 0 d X J l P C 9 J d G V t U G F 0 a D 4 8 L 0 l 0 Z W 1 M b 2 N h d G l v b j 4 8 U 3 R h Y m x l R W 5 0 c m l l c y A v P j w v S X R l b T 4 8 S X R l b T 4 8 S X R l b U x v Y 2 F 0 a W 9 u P j x J d G V t V H l w Z T 5 G b 3 J t d W x h P C 9 J d G V t V H l w Z T 4 8 S X R l b V B h d G g + U 2 V j d G l v b j E v a H J v Z C U y M E h S X 0 d l b 2 d y Y X B o a W N T d H J 1 Y 3 R 1 c m U v U 2 9 y d G V k J T I w U m 9 3 c z w v S X R l b V B h d G g + P C 9 J d G V t T G 9 j Y X R p b 2 4 + P F N 0 Y W J s Z U V u d H J p Z X M g L z 4 8 L 0 l 0 Z W 0 + P E l 0 Z W 0 + P E l 0 Z W 1 M b 2 N h d G l v b j 4 8 S X R l b V R 5 c G U + R m 9 y b X V s Y T w v S X R l b V R 5 c G U + P E l 0 Z W 1 Q Y X R o P l N l Y 3 R p b 2 4 x L 2 h y b 2 Q l M j B I U l 9 H Z W 9 n c m F w a G l j U 3 R y d W N 0 d X J l L 1 J l c G x h Y 2 V k J T I w V m F s d W U 8 L 0 l 0 Z W 1 Q Y X R o P j w v S X R l b U x v Y 2 F 0 a W 9 u P j x T d G F i b G V F b n R y a W V z I C 8 + P C 9 J d G V t P j x J d G V t P j x J d G V t T G 9 j Y X R p b 2 4 + P E l 0 Z W 1 U e X B l P k Z v c m 1 1 b G E 8 L 0 l 0 Z W 1 U e X B l P j x J d G V t U G F 0 a D 5 T Z W N 0 a W 9 u M S 9 o c m 9 k J T I w S F J f U 3 R h Z m Z T b W F s b E F y Z W E 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R h c m d l d C I g V m F s d W U 9 I n N o c m 9 k X 0 h S X 1 N 0 Y W Z m U 2 1 h b G x B c m V h I i A v P j x F b n R y e S B U e X B l P S J G a W x s U 3 R h d H V z I i B W Y W x 1 Z T 0 i c 0 N v b X B s Z X R l I i A v P j x F b n R y e S B U e X B l P S J G a W x s Q 2 9 1 b n Q i I F Z h b H V l P S J s N T A 4 I i A v P j x F b n R y e S B U e X B l P S J G a W x s R X J y b 3 J D b 3 V u d C I g V m F s d W U 9 I m w w I i A v P j x F b n R y e S B U e X B l P S J G a W x s Q 2 9 s d W 1 u V H l w Z X M i I F Z h b H V l P S J z Q m d Z R 0 J R V U N B Z 1 V G I i A v P j x F b n R y e S B U e X B l P S J G a W x s Q 2 9 s d W 1 u T m F t Z X M i I F Z h b H V l P S J z W y Z x d W 9 0 O 1 l l Y X I m c X V v d D s s J n F 1 b 3 Q 7 U m V w b 3 J 0 a W 5 n T G V 2 Z W w m c X V v d D s s J n F 1 b 3 Q 7 b H Z s J n F 1 b 3 Q 7 L C Z x d W 9 0 O 1 d o b 2 x l d G l t Z S B P c G V y Y X R p b 2 5 h b C Z x d W 9 0 O y w m c X V v d D t S Z X R h a W 5 l Z C B E d X R 5 I F N 5 c 3 R l b S Z x d W 9 0 O y w m c X V v d D t D b 2 5 0 c m 9 s J n F 1 b 3 Q 7 L C Z x d W 9 0 O 1 N 1 c H B v c n Q m c X V v d D s s J n F 1 b 3 Q 7 V m 9 s d W 5 0 Z W V y J n F 1 b 3 Q 7 L C Z x d W 9 0 O 1 R v d G F s J n F 1 b 3 Q 7 X S I g L z 4 8 R W 5 0 c n k g V H l w Z T 0 i R m l s b E V y c m 9 y Q 2 9 k Z S I g V m F s d W U 9 I n N V b m t u b 3 d u I i A v P j x F b n R y e S B U e X B l P S J G a W x s T G F z d F V w Z G F 0 Z W Q i I F Z h b H V l P S J k M j A y M S 0 w O C 0 w O V Q x M j o 1 N j o w O C 4 y M T A 4 O D c 4 W i I g L z 4 8 R W 5 0 c n k g V H l w Z T 0 i R m l s b G V k Q 2 9 t c G x l d G V S Z X N 1 b H R U b 1 d v c m t z a G V l d C I g V m F s d W U 9 I m w x I i A v P j x F b n R y e S B U e X B l P S J B Z G R l Z F R v R G F 0 Y U 1 v Z G V s I i B W Y W x 1 Z T 0 i b D A i I C 8 + P E V u d H J 5 I F R 5 c G U 9 I l J l Y 2 9 2 Z X J 5 V G F y Z 2 V 0 U 2 h l Z X Q i I F Z h b H V l P S J z U 2 h l Z X Q x M i I g L z 4 8 R W 5 0 c n k g V H l w Z T 0 i U m V j b 3 Z l c n l U Y X J n Z X R D b 2 x 1 b W 4 i I F Z h b H V l P S J s M S I g L z 4 8 R W 5 0 c n k g V H l w Z T 0 i U m V j b 3 Z l c n l U Y X J n Z X R S b 3 c i I F Z h b H V l P S J s M S I g L z 4 8 R W 5 0 c n k g V H l w Z T 0 i U m V s Y X R p b 2 5 z a G l w S W 5 m b 0 N v b n R h a W 5 l c i I g V m F s d W U 9 I n N 7 J n F 1 b 3 Q 7 Y 2 9 s d W 1 u Q 2 9 1 b n Q m c X V v d D s 6 O S w m c X V v d D t r Z X l D b 2 x 1 b W 5 O Y W 1 l c y Z x d W 9 0 O z p b X S w m c X V v d D t x d W V y e V J l b G F 0 a W 9 u c 2 h p c H M m c X V v d D s 6 W 1 0 s J n F 1 b 3 Q 7 Y 2 9 s d W 1 u S W R l b n R p d G l l c y Z x d W 9 0 O z p b J n F 1 b 3 Q 7 U 2 V y d m V y L k R h d G F i Y X N l X F w v M i 9 T U U w v c y 1 z c n M t d j A x X F x c X H B k c z t S Q V A v a H J v Z C 9 o c m 9 k L k h S X 1 N 0 Y W Z m U 2 1 h b G x B c m V h L n t Z Z W F y L D B 9 J n F 1 b 3 Q 7 L C Z x d W 9 0 O 1 N l c n Z l c i 5 E Y X R h Y m F z Z V x c L z I v U 1 F M L 3 M t c 3 J z L X Y w M V x c X F x w Z H M 7 U k F Q L 2 h y b 2 Q v a H J v Z C 5 I U l 9 T d G F m Z l N t Y W x s Q X J l Y S 5 7 U m V w b 3 J 0 a W 5 n T G V 2 Z W w s M X 0 m c X V v d D s s J n F 1 b 3 Q 7 U 2 V y d m V y L k R h d G F i Y X N l X F w v M i 9 T U U w v c y 1 z c n M t d j A x X F x c X H B k c z t S Q V A v a H J v Z C 9 o c m 9 k L k h S X 1 N 0 Y W Z m U 2 1 h b G x B c m V h L n t s d m w s M n 0 m c X V v d D s s J n F 1 b 3 Q 7 U 2 V y d m V y L k R h d G F i Y X N l X F w v M i 9 T U U w v c y 1 z c n M t d j A x X F x c X H B k c z t S Q V A v a H J v Z C 9 o c m 9 k L k h S X 1 N 0 Y W Z m U 2 1 h b G x B c m V h L n t X V C w 5 f S Z x d W 9 0 O y w m c X V v d D t T Z X J 2 Z X I u R G F 0 Y W J h c 2 V c X C 8 y L 1 N R T C 9 z L X N y c y 1 2 M D F c X F x c c G R z O 1 J B U C 9 o c m 9 k L 2 h y b 2 Q u S F J f U 3 R h Z m Z T b W F s b E F y Z W E u e 1 J E U y w 2 f S Z x d W 9 0 O y w m c X V v d D t T Z X J 2 Z X I u R G F 0 Y W J h c 2 V c X C 8 y L 1 N R T C 9 z L X N y c y 1 2 M D F c X F x c c G R z O 1 J B U C 9 o c m 9 k L 2 h y b 2 Q u S F J f U 3 R h Z m Z T b W F s b E F y Z W E u e 0 N v b n R y b 2 w s N X 0 m c X V v d D s s J n F 1 b 3 Q 7 U 2 V y d m V y L k R h d G F i Y X N l X F w v M i 9 T U U w v c y 1 z c n M t d j A x X F x c X H B k c z t S Q V A v a H J v Z C 9 o c m 9 k L k h S X 1 N 0 Y W Z m U 2 1 h b G x B c m V h L n t T d X B w b 3 J 0 L D d 9 J n F 1 b 3 Q 7 L C Z x d W 9 0 O 1 N l c n Z l c i 5 E Y X R h Y m F z Z V x c L z I v U 1 F M L 3 M t c 3 J z L X Y w M V x c X F x w Z H M 7 U k F Q L 2 h y b 2 Q v a H J v Z C 5 I U l 9 T d G F m Z l N t Y W x s Q X J l Y S 5 7 V m 9 s L D h 9 J n F 1 b 3 Q 7 L C Z x d W 9 0 O 1 N l c n Z l c i 5 E Y X R h Y m F z Z V x c L z I v U 1 F M L 3 M t c 3 J z L X Y w M V x c X F x w Z H M 7 U k F Q L 2 h y b 2 Q v a H J v Z C 5 I U l 9 T d G F m Z l N t Y W x s Q X J l Y S 5 7 V G 9 0 Y W w s N H 0 m c X V v d D t d L C Z x d W 9 0 O 0 N v b H V t b k N v d W 5 0 J n F 1 b 3 Q 7 O j k s J n F 1 b 3 Q 7 S 2 V 5 Q 2 9 s d W 1 u T m F t Z X M m c X V v d D s 6 W 1 0 s J n F 1 b 3 Q 7 Q 2 9 s d W 1 u S W R l b n R p d G l l c y Z x d W 9 0 O z p b J n F 1 b 3 Q 7 U 2 V y d m V y L k R h d G F i Y X N l X F w v M i 9 T U U w v c y 1 z c n M t d j A x X F x c X H B k c z t S Q V A v a H J v Z C 9 o c m 9 k L k h S X 1 N 0 Y W Z m U 2 1 h b G x B c m V h L n t Z Z W F y L D B 9 J n F 1 b 3 Q 7 L C Z x d W 9 0 O 1 N l c n Z l c i 5 E Y X R h Y m F z Z V x c L z I v U 1 F M L 3 M t c 3 J z L X Y w M V x c X F x w Z H M 7 U k F Q L 2 h y b 2 Q v a H J v Z C 5 I U l 9 T d G F m Z l N t Y W x s Q X J l Y S 5 7 U m V w b 3 J 0 a W 5 n T G V 2 Z W w s M X 0 m c X V v d D s s J n F 1 b 3 Q 7 U 2 V y d m V y L k R h d G F i Y X N l X F w v M i 9 T U U w v c y 1 z c n M t d j A x X F x c X H B k c z t S Q V A v a H J v Z C 9 o c m 9 k L k h S X 1 N 0 Y W Z m U 2 1 h b G x B c m V h L n t s d m w s M n 0 m c X V v d D s s J n F 1 b 3 Q 7 U 2 V y d m V y L k R h d G F i Y X N l X F w v M i 9 T U U w v c y 1 z c n M t d j A x X F x c X H B k c z t S Q V A v a H J v Z C 9 o c m 9 k L k h S X 1 N 0 Y W Z m U 2 1 h b G x B c m V h L n t X V C w 5 f S Z x d W 9 0 O y w m c X V v d D t T Z X J 2 Z X I u R G F 0 Y W J h c 2 V c X C 8 y L 1 N R T C 9 z L X N y c y 1 2 M D F c X F x c c G R z O 1 J B U C 9 o c m 9 k L 2 h y b 2 Q u S F J f U 3 R h Z m Z T b W F s b E F y Z W E u e 1 J E U y w 2 f S Z x d W 9 0 O y w m c X V v d D t T Z X J 2 Z X I u R G F 0 Y W J h c 2 V c X C 8 y L 1 N R T C 9 z L X N y c y 1 2 M D F c X F x c c G R z O 1 J B U C 9 o c m 9 k L 2 h y b 2 Q u S F J f U 3 R h Z m Z T b W F s b E F y Z W E u e 0 N v b n R y b 2 w s N X 0 m c X V v d D s s J n F 1 b 3 Q 7 U 2 V y d m V y L k R h d G F i Y X N l X F w v M i 9 T U U w v c y 1 z c n M t d j A x X F x c X H B k c z t S Q V A v a H J v Z C 9 o c m 9 k L k h S X 1 N 0 Y W Z m U 2 1 h b G x B c m V h L n t T d X B w b 3 J 0 L D d 9 J n F 1 b 3 Q 7 L C Z x d W 9 0 O 1 N l c n Z l c i 5 E Y X R h Y m F z Z V x c L z I v U 1 F M L 3 M t c 3 J z L X Y w M V x c X F x w Z H M 7 U k F Q L 2 h y b 2 Q v a H J v Z C 5 I U l 9 T d G F m Z l N t Y W x s Q X J l Y S 5 7 V m 9 s L D h 9 J n F 1 b 3 Q 7 L C Z x d W 9 0 O 1 N l c n Z l c i 5 E Y X R h Y m F z Z V x c L z I v U 1 F M L 3 M t c 3 J z L X Y w M V x c X F x w Z H M 7 U k F Q L 2 h y b 2 Q v a H J v Z C 5 I U l 9 T d G F m Z l N t Y W x s Q X J l Y S 5 7 V G 9 0 Y W w s N H 0 m c X V v d D t d L C Z x d W 9 0 O 1 J l b G F 0 a W 9 u c 2 h p c E l u Z m 8 m c X V v d D s 6 W 1 1 9 I i A v P j w v U 3 R h Y m x l R W 5 0 c m l l c z 4 8 L 0 l 0 Z W 0 + P E l 0 Z W 0 + P E l 0 Z W 1 M b 2 N h d G l v b j 4 8 S X R l b V R 5 c G U + R m 9 y b X V s Y T w v S X R l b V R 5 c G U + P E l 0 Z W 1 Q Y X R o P l N l Y 3 R p b 2 4 x L 2 h y b 2 Q l M j B I U l 9 T d G F m Z l N t Y W x s Q X J l Y S 9 T b 3 V y Y 2 U 8 L 0 l 0 Z W 1 Q Y X R o P j w v S X R l b U x v Y 2 F 0 a W 9 u P j x T d G F i b G V F b n R y a W V z I C 8 + P C 9 J d G V t P j x J d G V t P j x J d G V t T G 9 j Y X R p b 2 4 + P E l 0 Z W 1 U e X B l P k Z v c m 1 1 b G E 8 L 0 l 0 Z W 1 U e X B l P j x J d G V t U G F 0 a D 5 T Z W N 0 a W 9 u M S 9 o c m 9 k J T I w S F J f U 3 R h Z m Z T b W F s b E F y Z W E v a H J v Z F 9 I U l 9 T d G F m Z l N t Y W x s Q X J l Y T w v S X R l b V B h d G g + P C 9 J d G V t T G 9 j Y X R p b 2 4 + P F N 0 Y W J s Z U V u d H J p Z X M g L z 4 8 L 0 l 0 Z W 0 + P E l 0 Z W 0 + P E l 0 Z W 1 M b 2 N h d G l v b j 4 8 S X R l b V R 5 c G U + R m 9 y b X V s Y T w v S X R l b V R 5 c G U + P E l 0 Z W 1 Q Y X R o P l N l Y 3 R p b 2 4 x L 2 h y b 2 Q l M j B I U l 9 T d G F m Z l N t Y W x s Q X J l Y S 9 T b 3 J 0 Z W Q l M j B S b 3 d z P C 9 J d G V t U G F 0 a D 4 8 L 0 l 0 Z W 1 M b 2 N h d G l v b j 4 8 U 3 R h Y m x l R W 5 0 c m l l c y A v P j w v S X R l b T 4 8 S X R l b T 4 8 S X R l b U x v Y 2 F 0 a W 9 u P j x J d G V t V H l w Z T 5 G b 3 J t d W x h P C 9 J d G V t V H l w Z T 4 8 S X R l b V B h d G g + U 2 V j d G l v b j E v a H J v Z C U y M E h S X 1 N 0 Y W Z m U 2 1 h b G x B c m V h L 1 J l b W 9 2 Z W Q l M j B D b 2 x 1 b W 5 z P C 9 J d G V t U G F 0 a D 4 8 L 0 l 0 Z W 1 M b 2 N h d G l v b j 4 8 U 3 R h Y m x l R W 5 0 c m l l c y A v P j w v S X R l b T 4 8 S X R l b T 4 8 S X R l b U x v Y 2 F 0 a W 9 u P j x J d G V t V H l w Z T 5 G b 3 J t d W x h P C 9 J d G V t V H l w Z T 4 8 S X R l b V B h d G g + U 2 V j d G l v b j E v a H J v Z C U y M E h S X 1 N 0 Y W Z m U 2 1 h b G x B c m V h L 1 J l b 3 J k Z X J l Z C U y M E N v b H V t b n M 8 L 0 l 0 Z W 1 Q Y X R o P j w v S X R l b U x v Y 2 F 0 a W 9 u P j x T d G F i b G V F b n R y a W V z I C 8 + P C 9 J d G V t P j x J d G V t P j x J d G V t T G 9 j Y X R p b 2 4 + P E l 0 Z W 1 U e X B l P k Z v c m 1 1 b G E 8 L 0 l 0 Z W 1 U e X B l P j x J d G V t U G F 0 a D 5 T Z W N 0 a W 9 u M S 9 o c m 9 k J T I w S F J f U 3 R h Z m Z T b W F s b E F y Z W E v U m V u Y W 1 l Z C U y M E N v b H V t b n M 8 L 0 l 0 Z W 1 Q Y X R o P j w v S X R l b U x v Y 2 F 0 a W 9 u P j x T d G F i b G V F b n R y a W V z I C 8 + P C 9 J d G V t P j x J d G V t P j x J d G V t T G 9 j Y X R p b 2 4 + P E l 0 Z W 1 U e X B l P k Z v c m 1 1 b G E 8 L 0 l 0 Z W 1 U e X B l P j x J d G V t U G F 0 a D 5 T Z W N 0 a W 9 u M S 9 o c m 9 k J T I w S F J f U 3 R h Z m Z T b W F s b E F y Z W E v U m V v c m R l c m V k J T I w Q 2 9 s d W 1 u c z E 8 L 0 l 0 Z W 1 Q Y X R o P j w v S X R l b U x v Y 2 F 0 a W 9 u P j x T d G F i b G V F b n R y a W V z I C 8 + P C 9 J d G V t P j x J d G V t P j x J d G V t T G 9 j Y X R p b 2 4 + P E l 0 Z W 1 U e X B l P k Z v c m 1 1 b G E 8 L 0 l 0 Z W 1 U e X B l P j x J d G V t U G F 0 a D 5 T Z W N 0 a W 9 u M S 9 o c m 9 k J T I w S F J f U m 9 s Z 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V G F y Z 2 V 0 I i B W Y W x 1 Z T 0 i c 2 h y b 2 R f S F J f U m 9 s Z S I g L z 4 8 R W 5 0 c n k g V H l w Z T 0 i R m l s b F N 0 Y X R 1 c y I g V m F s d W U 9 I n N D b 2 1 w b G V 0 Z S I g L z 4 8 R W 5 0 c n k g V H l w Z T 0 i R m l s b E N v d W 5 0 I i B W Y W x 1 Z T 0 i b D M 1 I i A v P j x F b n R y e S B U e X B l P S J G a W x s R X J y b 3 J D b 3 V u d C I g V m F s d W U 9 I m w w I i A v P j x F b n R y e S B U e X B l P S J G a W x s Q 2 9 s d W 1 u V H l w Z X M i I F Z h b H V l P S J z Q m d Z R k J R V U Z C U V V G Q l E 9 P S I g L z 4 8 R W 5 0 c n k g V H l w Z T 0 i R m l s b E N v b H V t b k 5 h b W V z I i B W Y W x 1 Z T 0 i c 1 s m c X V v d D t Z Z W F y J n F 1 b 3 Q 7 L C Z x d W 9 0 O 1 R 5 c G U m c X V v d D s s J n F 1 b 3 Q 7 Q n J p Z 2 F k Z S B N Y W 5 h Z 2 V y J n F 1 b 3 Q 7 L C Z x d W 9 0 O 0 F y Z W E g T W F u Y W d l c i Z x d W 9 0 O y w m c X V v d D t H c m 9 1 c C B N Y W 5 h Z 2 V y J n F 1 b 3 Q 7 L C Z x d W 9 0 O 1 N 0 Y X R p b 2 4 g T W F u Y W d l c i Z x d W 9 0 O y w m c X V v d D t X Y X R j a C B N Y W 5 h Z 2 V y J n F 1 b 3 Q 7 L C Z x d W 9 0 O 0 N y Z X c g T W F u Y W d l c i Z x d W 9 0 O y w m c X V v d D t G a X J l Z m l n a H R l c i Z x d W 9 0 O y w m c X V v d D t U b 3 R h b C Z x d W 9 0 O 1 0 i I C 8 + P E V u d H J 5 I F R 5 c G U 9 I k Z p b G x F c n J v c k N v Z G U i I F Z h b H V l P S J z V W 5 r b m 9 3 b i I g L z 4 8 R W 5 0 c n k g V H l w Z T 0 i R m l s b E x h c 3 R V c G R h d G V k I i B W Y W x 1 Z T 0 i Z D I w M j E t M D g t M D l U M T M 6 M j M 6 M z U u N D E x N j k 0 M l o i I C 8 + P E V u d H J 5 I F R 5 c G U 9 I k Z p b G x l Z E N v b X B s Z X R l U m V z d W x 0 V G 9 X b 3 J r c 2 h l Z X Q i I F Z h b H V l P S J s M S I g L z 4 8 R W 5 0 c n k g V H l w Z T 0 i Q W R k Z W R U b 0 R h d G F N b 2 R l b C I g V m F s d W U 9 I m w w I i A v P j x F b n R y e S B U e X B l P S J S Z W N v d m V y e V R h c m d l d F N o Z W V 0 I i B W Y W x 1 Z T 0 i c 1 N o Z W V 0 M T Q i I C 8 + P E V u d H J 5 I F R 5 c G U 9 I l J l Y 2 9 2 Z X J 5 V G F y Z 2 V 0 Q 2 9 s d W 1 u I i B W Y W x 1 Z T 0 i b D E i I C 8 + P E V u d H J 5 I F R 5 c G U 9 I l J l Y 2 9 2 Z X J 5 V G F y Z 2 V 0 U m 9 3 I i B W Y W x 1 Z T 0 i b D E i I C 8 + P E V u d H J 5 I F R 5 c G U 9 I l J l b G F 0 a W 9 u c 2 h p c E l u Z m 9 D b 2 5 0 Y W l u Z X I i I F Z h b H V l P S J z e y Z x d W 9 0 O 2 N v b H V t b k N v d W 5 0 J n F 1 b 3 Q 7 O j E w L C Z x d W 9 0 O 2 t l e U N v b H V t b k 5 h b W V z J n F 1 b 3 Q 7 O l t d L C Z x d W 9 0 O 3 F 1 Z X J 5 U m V s Y X R p b 2 5 z a G l w c y Z x d W 9 0 O z p b X S w m c X V v d D t j b 2 x 1 b W 5 J Z G V u d G l 0 a W V z J n F 1 b 3 Q 7 O l s m c X V v d D t T Z X J 2 Z X I u R G F 0 Y W J h c 2 V c X C 8 y L 1 N R T C 9 z L X N y c y 1 2 M D F c X F x c c G R z O 1 J B U C 9 o c m 9 k L 2 h y b 2 Q u S F J f U m 9 s Z S 5 7 W W V h c i w w f S Z x d W 9 0 O y w m c X V v d D t T Z X J 2 Z X I u R G F 0 Y W J h c 2 V c X C 8 y L 1 N R T C 9 z L X N y c y 1 2 M D F c X F x c c G R z O 1 J B U C 9 o c m 9 k L 2 h y b 2 Q u S F J f U m 9 s Z S 5 7 V H l w Z S w x f S Z x d W 9 0 O y w m c X V v d D t T Z X J 2 Z X I u R G F 0 Y W J h c 2 V c X C 8 y L 1 N R T C 9 z L X N y c y 1 2 M D F c X F x c c G R z O 1 J B U C 9 o c m 9 k L 2 h y b 2 Q u S F J f U m 9 s Z S 5 7 Q n J p Z 2 F k Z S B N Y W 5 h Z 2 V y L D N 9 J n F 1 b 3 Q 7 L C Z x d W 9 0 O 1 N l c n Z l c i 5 E Y X R h Y m F z Z V x c L z I v U 1 F M L 3 M t c 3 J z L X Y w M V x c X F x w Z H M 7 U k F Q L 2 h y b 2 Q v a H J v Z C 5 I U l 9 S b 2 x l L n t B c m V h I E 1 h b m F n Z X I s N H 0 m c X V v d D s s J n F 1 b 3 Q 7 U 2 V y d m V y L k R h d G F i Y X N l X F w v M i 9 T U U w v c y 1 z c n M t d j A x X F x c X H B k c z t S Q V A v a H J v Z C 9 o c m 9 k L k h S X 1 J v b G U u e 0 d y b 3 V w I E 1 h b m F n Z X I s N X 0 m c X V v d D s s J n F 1 b 3 Q 7 U 2 V y d m V y L k R h d G F i Y X N l X F w v M i 9 T U U w v c y 1 z c n M t d j A x X F x c X H B k c z t S Q V A v a H J v Z C 9 o c m 9 k L k h S X 1 J v b G U u e 1 N 0 Y X R p b 2 4 g T W F u Y W d l c i w 2 f S Z x d W 9 0 O y w m c X V v d D t T Z X J 2 Z X I u R G F 0 Y W J h c 2 V c X C 8 y L 1 N R T C 9 z L X N y c y 1 2 M D F c X F x c c G R z O 1 J B U C 9 o c m 9 k L 2 h y b 2 Q u S F J f U m 9 s Z S 5 7 V 2 F 0 Y 2 g g T W F u Y W d l c i w 3 f S Z x d W 9 0 O y w m c X V v d D t T Z X J 2 Z X I u R G F 0 Y W J h c 2 V c X C 8 y L 1 N R T C 9 z L X N y c y 1 2 M D F c X F x c c G R z O 1 J B U C 9 o c m 9 k L 2 h y b 2 Q u S F J f U m 9 s Z S 5 7 Q 3 J l d y B N Y W 5 h Z 2 V y L D h 9 J n F 1 b 3 Q 7 L C Z x d W 9 0 O 1 N l c n Z l c i 5 E Y X R h Y m F z Z V x c L z I v U 1 F M L 3 M t c 3 J z L X Y w M V x c X F x w Z H M 7 U k F Q L 2 h y b 2 Q v a H J v Z C 5 I U l 9 S b 2 x l L n t G a X J l Z m l n a H R l c i w 5 f S Z x d W 9 0 O y w m c X V v d D t T Z X J 2 Z X I u R G F 0 Y W J h c 2 V c X C 8 y L 1 N R T C 9 z L X N y c y 1 2 M D F c X F x c c G R z O 1 J B U C 9 o c m 9 k L 2 h y b 2 Q u S F J f U m 9 s Z S 5 7 V G 9 0 Y W w s M n 0 m c X V v d D t d L C Z x d W 9 0 O 0 N v b H V t b k N v d W 5 0 J n F 1 b 3 Q 7 O j E w L C Z x d W 9 0 O 0 t l e U N v b H V t b k 5 h b W V z J n F 1 b 3 Q 7 O l t d L C Z x d W 9 0 O 0 N v b H V t b k l k Z W 5 0 a X R p Z X M m c X V v d D s 6 W y Z x d W 9 0 O 1 N l c n Z l c i 5 E Y X R h Y m F z Z V x c L z I v U 1 F M L 3 M t c 3 J z L X Y w M V x c X F x w Z H M 7 U k F Q L 2 h y b 2 Q v a H J v Z C 5 I U l 9 S b 2 x l L n t Z Z W F y L D B 9 J n F 1 b 3 Q 7 L C Z x d W 9 0 O 1 N l c n Z l c i 5 E Y X R h Y m F z Z V x c L z I v U 1 F M L 3 M t c 3 J z L X Y w M V x c X F x w Z H M 7 U k F Q L 2 h y b 2 Q v a H J v Z C 5 I U l 9 S b 2 x l L n t U e X B l L D F 9 J n F 1 b 3 Q 7 L C Z x d W 9 0 O 1 N l c n Z l c i 5 E Y X R h Y m F z Z V x c L z I v U 1 F M L 3 M t c 3 J z L X Y w M V x c X F x w Z H M 7 U k F Q L 2 h y b 2 Q v a H J v Z C 5 I U l 9 S b 2 x l L n t C c m l n Y W R l I E 1 h b m F n Z X I s M 3 0 m c X V v d D s s J n F 1 b 3 Q 7 U 2 V y d m V y L k R h d G F i Y X N l X F w v M i 9 T U U w v c y 1 z c n M t d j A x X F x c X H B k c z t S Q V A v a H J v Z C 9 o c m 9 k L k h S X 1 J v b G U u e 0 F y Z W E g T W F u Y W d l c i w 0 f S Z x d W 9 0 O y w m c X V v d D t T Z X J 2 Z X I u R G F 0 Y W J h c 2 V c X C 8 y L 1 N R T C 9 z L X N y c y 1 2 M D F c X F x c c G R z O 1 J B U C 9 o c m 9 k L 2 h y b 2 Q u S F J f U m 9 s Z S 5 7 R 3 J v d X A g T W F u Y W d l c i w 1 f S Z x d W 9 0 O y w m c X V v d D t T Z X J 2 Z X I u R G F 0 Y W J h c 2 V c X C 8 y L 1 N R T C 9 z L X N y c y 1 2 M D F c X F x c c G R z O 1 J B U C 9 o c m 9 k L 2 h y b 2 Q u S F J f U m 9 s Z S 5 7 U 3 R h d G l v b i B N Y W 5 h Z 2 V y L D Z 9 J n F 1 b 3 Q 7 L C Z x d W 9 0 O 1 N l c n Z l c i 5 E Y X R h Y m F z Z V x c L z I v U 1 F M L 3 M t c 3 J z L X Y w M V x c X F x w Z H M 7 U k F Q L 2 h y b 2 Q v a H J v Z C 5 I U l 9 S b 2 x l L n t X Y X R j a C B N Y W 5 h Z 2 V y L D d 9 J n F 1 b 3 Q 7 L C Z x d W 9 0 O 1 N l c n Z l c i 5 E Y X R h Y m F z Z V x c L z I v U 1 F M L 3 M t c 3 J z L X Y w M V x c X F x w Z H M 7 U k F Q L 2 h y b 2 Q v a H J v Z C 5 I U l 9 S b 2 x l L n t D c m V 3 I E 1 h b m F n Z X I s O H 0 m c X V v d D s s J n F 1 b 3 Q 7 U 2 V y d m V y L k R h d G F i Y X N l X F w v M i 9 T U U w v c y 1 z c n M t d j A x X F x c X H B k c z t S Q V A v a H J v Z C 9 o c m 9 k L k h S X 1 J v b G U u e 0 Z p c m V m a W d o d G V y L D l 9 J n F 1 b 3 Q 7 L C Z x d W 9 0 O 1 N l c n Z l c i 5 E Y X R h Y m F z Z V x c L z I v U 1 F M L 3 M t c 3 J z L X Y w M V x c X F x w Z H M 7 U k F Q L 2 h y b 2 Q v a H J v Z C 5 I U l 9 S b 2 x l L n t U b 3 R h b C w y f S Z x d W 9 0 O 1 0 s J n F 1 b 3 Q 7 U m V s Y X R p b 2 5 z a G l w S W 5 m b y Z x d W 9 0 O z p b X X 0 i I C 8 + P C 9 T d G F i b G V F b n R y a W V z P j w v S X R l b T 4 8 S X R l b T 4 8 S X R l b U x v Y 2 F 0 a W 9 u P j x J d G V t V H l w Z T 5 G b 3 J t d W x h P C 9 J d G V t V H l w Z T 4 8 S X R l b V B h d G g + U 2 V j d G l v b j E v a H J v Z C U y M E h S X 1 J v b G U v U 2 9 1 c m N l P C 9 J d G V t U G F 0 a D 4 8 L 0 l 0 Z W 1 M b 2 N h d G l v b j 4 8 U 3 R h Y m x l R W 5 0 c m l l c y A v P j w v S X R l b T 4 8 S X R l b T 4 8 S X R l b U x v Y 2 F 0 a W 9 u P j x J d G V t V H l w Z T 5 G b 3 J t d W x h P C 9 J d G V t V H l w Z T 4 8 S X R l b V B h d G g + U 2 V j d G l v b j E v a H J v Z C U y M E h S X 1 J v b G U v a H J v Z F 9 I U l 9 S b 2 x l P C 9 J d G V t U G F 0 a D 4 8 L 0 l 0 Z W 1 M b 2 N h d G l v b j 4 8 U 3 R h Y m x l R W 5 0 c m l l c y A v P j w v S X R l b T 4 8 S X R l b T 4 8 S X R l b U x v Y 2 F 0 a W 9 u P j x J d G V t V H l w Z T 5 G b 3 J t d W x h P C 9 J d G V t V H l w Z T 4 8 S X R l b V B h d G g + U 2 V j d G l v b j E v a H J v Z C U y M E h S X 1 J v b G U v U 2 9 y d G V k J T I w U m 9 3 c z w v S X R l b V B h d G g + P C 9 J d G V t T G 9 j Y X R p b 2 4 + P F N 0 Y W J s Z U V u d H J p Z X M g L z 4 8 L 0 l 0 Z W 0 + P E l 0 Z W 0 + P E l 0 Z W 1 M b 2 N h d G l v b j 4 8 S X R l b V R 5 c G U + R m 9 y b X V s Y T w v S X R l b V R 5 c G U + P E l 0 Z W 1 Q Y X R o P l N l Y 3 R p b 2 4 x L 2 h y b 2 Q l M j B I U l 9 S b 2 x l L 1 J l b 3 J k Z X J l Z C U y M E N v b H V t b n M 8 L 0 l 0 Z W 1 Q Y X R o P j w v S X R l b U x v Y 2 F 0 a W 9 u P j x T d G F i b G V F b n R y a W V z I C 8 + P C 9 J d G V t P j x J d G V t P j x J d G V t T G 9 j Y X R p b 2 4 + P E l 0 Z W 1 U e X B l P k Z v c m 1 1 b G E 8 L 0 l 0 Z W 1 U e X B l P j x J d G V t U G F 0 a D 5 T Z W N 0 a W 9 u M S 9 o c m 9 k J T I w S F J f U m 9 s Z V 9 E d X R 5 U 3 l z d G V t 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a H J v Z F 9 I U l 9 S b 2 x l X 0 R 1 d H l T e X N 0 Z W 0 i I C 8 + P E V u d H J 5 I F R 5 c G U 9 I k Z p b G x T d G F 0 d X M i I F Z h b H V l P S J z Q 2 9 t c G x l d G U i I C 8 + P E V u d H J 5 I F R 5 c G U 9 I k Z p b G x D b 3 V u d C I g V m F s d W U 9 I m w x M i I g L z 4 8 R W 5 0 c n k g V H l w Z T 0 i R m l s b E V y c m 9 y Q 2 9 1 b n Q i I F Z h b H V l P S J s M C I g L z 4 8 R W 5 0 c n k g V H l w Z T 0 i R m l s b E N v b H V t b l R 5 c G V z I i B W Y W x 1 Z T 0 i c 0 J n W U N B Z 0 l D Q W d J Q y I g L z 4 8 R W 5 0 c n k g V H l w Z T 0 i R m l s b E N v b H V t b k 5 h b W V z I i B W Y W x 1 Z T 0 i c 1 s m c X V v d D t Z Z W F y J n F 1 b 3 Q 7 L C Z x d W 9 0 O 0 V t c G x v e W V l R 3 J v d X A m c X V v d D s s J n F 1 b 3 Q 7 Q n J p Z 2 F k Z S B D b 2 1 t Y W 5 k Z X I m c X V v d D s s J n F 1 b 3 Q 7 Q X J l Y S B D b 2 1 t Y W 5 k Z X I m c X V v d D s s J n F 1 b 3 Q 7 R 3 J v d X A g Q 2 9 t b W F u Z G V y J n F 1 b 3 Q 7 L C Z x d W 9 0 O 1 N 0 Y X R p b 2 4 g Q 2 9 t b W F u Z G V y J n F 1 b 3 Q 7 L C Z x d W 9 0 O 1 d h d G N o I E N v b W 1 h b m R l c i Z x d W 9 0 O y w m c X V v d D t D c m V 3 I E N v b W 1 h b m R l c i Z x d W 9 0 O y w m c X V v d D t G a X J l Z m l n a H R l c i Z x d W 9 0 O 1 0 i I C 8 + P E V u d H J 5 I F R 5 c G U 9 I k Z p b G x F c n J v c k N v Z G U i I F Z h b H V l P S J z V W 5 r b m 9 3 b i I g L z 4 8 R W 5 0 c n k g V H l w Z T 0 i R m l s b E x h c 3 R V c G R h d G V k I i B W Y W x 1 Z T 0 i Z D I w M j E t M D g t M D l U M T M 6 M z M 6 N T c u O D I x N T M 2 M 1 o i I C 8 + P E V u d H J 5 I F R 5 c G U 9 I k Z p b G x l Z E N v b X B s Z X R l U m V z d W x 0 V G 9 X b 3 J r c 2 h l Z X Q i I F Z h b H V l P S J s M S I g L z 4 8 R W 5 0 c n k g V H l w Z T 0 i Q W R k Z W R U b 0 R h d G F N b 2 R l b C I g V m F s d W U 9 I m w w I i A v P j x F b n R y e S B U e X B l P S J S Z W N v d m V y e V R h c m d l d F N o Z W V 0 I i B W Y W x 1 Z T 0 i c 1 N o Z W V 0 M T Y i I C 8 + P E V u d H J 5 I F R 5 c G U 9 I l J l Y 2 9 2 Z X J 5 V G F y Z 2 V 0 Q 2 9 s d W 1 u I i B W Y W x 1 Z T 0 i b D E i I C 8 + P E V u d H J 5 I F R 5 c G U 9 I l J l Y 2 9 2 Z X J 5 V G F y Z 2 V 0 U m 9 3 I i B W Y W x 1 Z T 0 i b D E i I C 8 + P E V u d H J 5 I F R 5 c G U 9 I l J l b G F 0 a W 9 u c 2 h p c E l u Z m 9 D b 2 5 0 Y W l u Z X I i I F Z h b H V l P S J z e y Z x d W 9 0 O 2 N v b H V t b k N v d W 5 0 J n F 1 b 3 Q 7 O j k s J n F 1 b 3 Q 7 a 2 V 5 Q 2 9 s d W 1 u T m F t Z X M m c X V v d D s 6 W 1 0 s J n F 1 b 3 Q 7 c X V l c n l S Z W x h d G l v b n N o a X B z J n F 1 b 3 Q 7 O l t d L C Z x d W 9 0 O 2 N v b H V t b k l k Z W 5 0 a X R p Z X M m c X V v d D s 6 W y Z x d W 9 0 O 1 N l c n Z l c i 5 E Y X R h Y m F z Z V x c L z I v U 1 F M L 3 M t c 3 J z L X Y w M V x c X F x w Z H M 7 U k F Q L 2 h y b 2 Q v a H J v Z C 5 I U l 9 S b 2 x l X 0 R 1 d H l T e X N 0 Z W 0 u e 1 l l Y X I s M H 0 m c X V v d D s s J n F 1 b 3 Q 7 U 2 V y d m V y L k R h d G F i Y X N l X F w v M i 9 T U U w v c y 1 z c n M t d j A x X F x c X H B k c z t S Q V A v a H J v Z C 9 o c m 9 k L k h S X 1 J v b G V f R H V 0 e V N 5 c 3 R l b S 5 7 R W 1 w b G 9 5 Z W V H c m 9 1 c C w x f S Z x d W 9 0 O y w m c X V v d D t T Z X J 2 Z X I u R G F 0 Y W J h c 2 V c X C 8 y L 1 N R T C 9 z L X N y c y 1 2 M D F c X F x c c G R z O 1 J B U C 9 o c m 9 k L 2 h y b 2 Q u S F J f U m 9 s Z V 9 E d X R 5 U 3 l z d G V t L n t C c m l n Y W R l I E N v b W 1 h b m R l c i w y f S Z x d W 9 0 O y w m c X V v d D t T Z X J 2 Z X I u R G F 0 Y W J h c 2 V c X C 8 y L 1 N R T C 9 z L X N y c y 1 2 M D F c X F x c c G R z O 1 J B U C 9 o c m 9 k L 2 h y b 2 Q u S F J f U m 9 s Z V 9 E d X R 5 U 3 l z d G V t L n t B c m V h I E N v b W 1 h b m R l c i w z f S Z x d W 9 0 O y w m c X V v d D t T Z X J 2 Z X I u R G F 0 Y W J h c 2 V c X C 8 y L 1 N R T C 9 z L X N y c y 1 2 M D F c X F x c c G R z O 1 J B U C 9 o c m 9 k L 2 h y b 2 Q u S F J f U m 9 s Z V 9 E d X R 5 U 3 l z d G V t L n t H c m 9 1 c C B D b 2 1 t Y W 5 k Z X I s N H 0 m c X V v d D s s J n F 1 b 3 Q 7 U 2 V y d m V y L k R h d G F i Y X N l X F w v M i 9 T U U w v c y 1 z c n M t d j A x X F x c X H B k c z t S Q V A v a H J v Z C 9 o c m 9 k L k h S X 1 J v b G V f R H V 0 e V N 5 c 3 R l b S 5 7 U 3 R h d G l v b i B D b 2 1 t Y W 5 k Z X I s N X 0 m c X V v d D s s J n F 1 b 3 Q 7 U 2 V y d m V y L k R h d G F i Y X N l X F w v M i 9 T U U w v c y 1 z c n M t d j A x X F x c X H B k c z t S Q V A v a H J v Z C 9 o c m 9 k L k h S X 1 J v b G V f R H V 0 e V N 5 c 3 R l b S 5 7 V 2 F 0 Y 2 g g Q 2 9 t b W F u Z G V y L D Z 9 J n F 1 b 3 Q 7 L C Z x d W 9 0 O 1 N l c n Z l c i 5 E Y X R h Y m F z Z V x c L z I v U 1 F M L 3 M t c 3 J z L X Y w M V x c X F x w Z H M 7 U k F Q L 2 h y b 2 Q v a H J v Z C 5 I U l 9 S b 2 x l X 0 R 1 d H l T e X N 0 Z W 0 u e 0 N y Z X c g Q 2 9 t b W F u Z G V y L D d 9 J n F 1 b 3 Q 7 L C Z x d W 9 0 O 1 N l c n Z l c i 5 E Y X R h Y m F z Z V x c L z I v U 1 F M L 3 M t c 3 J z L X Y w M V x c X F x w Z H M 7 U k F Q L 2 h y b 2 Q v a H J v Z C 5 I U l 9 S b 2 x l X 0 R 1 d H l T e X N 0 Z W 0 u e 0 Z p c m V m a W d o d G V y L D h 9 J n F 1 b 3 Q 7 X S w m c X V v d D t D b 2 x 1 b W 5 D b 3 V u d C Z x d W 9 0 O z o 5 L C Z x d W 9 0 O 0 t l e U N v b H V t b k 5 h b W V z J n F 1 b 3 Q 7 O l t d L C Z x d W 9 0 O 0 N v b H V t b k l k Z W 5 0 a X R p Z X M m c X V v d D s 6 W y Z x d W 9 0 O 1 N l c n Z l c i 5 E Y X R h Y m F z Z V x c L z I v U 1 F M L 3 M t c 3 J z L X Y w M V x c X F x w Z H M 7 U k F Q L 2 h y b 2 Q v a H J v Z C 5 I U l 9 S b 2 x l X 0 R 1 d H l T e X N 0 Z W 0 u e 1 l l Y X I s M H 0 m c X V v d D s s J n F 1 b 3 Q 7 U 2 V y d m V y L k R h d G F i Y X N l X F w v M i 9 T U U w v c y 1 z c n M t d j A x X F x c X H B k c z t S Q V A v a H J v Z C 9 o c m 9 k L k h S X 1 J v b G V f R H V 0 e V N 5 c 3 R l b S 5 7 R W 1 w b G 9 5 Z W V H c m 9 1 c C w x f S Z x d W 9 0 O y w m c X V v d D t T Z X J 2 Z X I u R G F 0 Y W J h c 2 V c X C 8 y L 1 N R T C 9 z L X N y c y 1 2 M D F c X F x c c G R z O 1 J B U C 9 o c m 9 k L 2 h y b 2 Q u S F J f U m 9 s Z V 9 E d X R 5 U 3 l z d G V t L n t C c m l n Y W R l I E N v b W 1 h b m R l c i w y f S Z x d W 9 0 O y w m c X V v d D t T Z X J 2 Z X I u R G F 0 Y W J h c 2 V c X C 8 y L 1 N R T C 9 z L X N y c y 1 2 M D F c X F x c c G R z O 1 J B U C 9 o c m 9 k L 2 h y b 2 Q u S F J f U m 9 s Z V 9 E d X R 5 U 3 l z d G V t L n t B c m V h I E N v b W 1 h b m R l c i w z f S Z x d W 9 0 O y w m c X V v d D t T Z X J 2 Z X I u R G F 0 Y W J h c 2 V c X C 8 y L 1 N R T C 9 z L X N y c y 1 2 M D F c X F x c c G R z O 1 J B U C 9 o c m 9 k L 2 h y b 2 Q u S F J f U m 9 s Z V 9 E d X R 5 U 3 l z d G V t L n t H c m 9 1 c C B D b 2 1 t Y W 5 k Z X I s N H 0 m c X V v d D s s J n F 1 b 3 Q 7 U 2 V y d m V y L k R h d G F i Y X N l X F w v M i 9 T U U w v c y 1 z c n M t d j A x X F x c X H B k c z t S Q V A v a H J v Z C 9 o c m 9 k L k h S X 1 J v b G V f R H V 0 e V N 5 c 3 R l b S 5 7 U 3 R h d G l v b i B D b 2 1 t Y W 5 k Z X I s N X 0 m c X V v d D s s J n F 1 b 3 Q 7 U 2 V y d m V y L k R h d G F i Y X N l X F w v M i 9 T U U w v c y 1 z c n M t d j A x X F x c X H B k c z t S Q V A v a H J v Z C 9 o c m 9 k L k h S X 1 J v b G V f R H V 0 e V N 5 c 3 R l b S 5 7 V 2 F 0 Y 2 g g Q 2 9 t b W F u Z G V y L D Z 9 J n F 1 b 3 Q 7 L C Z x d W 9 0 O 1 N l c n Z l c i 5 E Y X R h Y m F z Z V x c L z I v U 1 F M L 3 M t c 3 J z L X Y w M V x c X F x w Z H M 7 U k F Q L 2 h y b 2 Q v a H J v Z C 5 I U l 9 S b 2 x l X 0 R 1 d H l T e X N 0 Z W 0 u e 0 N y Z X c g Q 2 9 t b W F u Z G V y L D d 9 J n F 1 b 3 Q 7 L C Z x d W 9 0 O 1 N l c n Z l c i 5 E Y X R h Y m F z Z V x c L z I v U 1 F M L 3 M t c 3 J z L X Y w M V x c X F x w Z H M 7 U k F Q L 2 h y b 2 Q v a H J v Z C 5 I U l 9 S b 2 x l X 0 R 1 d H l T e X N 0 Z W 0 u e 0 Z p c m V m a W d o d G V y L D h 9 J n F 1 b 3 Q 7 X S w m c X V v d D t S Z W x h d G l v b n N o a X B J b m Z v J n F 1 b 3 Q 7 O l t d f S I g L z 4 8 L 1 N 0 Y W J s Z U V u d H J p Z X M + P C 9 J d G V t P j x J d G V t P j x J d G V t T G 9 j Y X R p b 2 4 + P E l 0 Z W 1 U e X B l P k Z v c m 1 1 b G E 8 L 0 l 0 Z W 1 U e X B l P j x J d G V t U G F 0 a D 5 T Z W N 0 a W 9 u M S 9 o c m 9 k J T I w S F J f U m 9 s Z V 9 E d X R 5 U 3 l z d G V t L 1 N v d X J j Z T w v S X R l b V B h d G g + P C 9 J d G V t T G 9 j Y X R p b 2 4 + P F N 0 Y W J s Z U V u d H J p Z X M g L z 4 8 L 0 l 0 Z W 0 + P E l 0 Z W 0 + P E l 0 Z W 1 M b 2 N h d G l v b j 4 8 S X R l b V R 5 c G U + R m 9 y b X V s Y T w v S X R l b V R 5 c G U + P E l 0 Z W 1 Q Y X R o P l N l Y 3 R p b 2 4 x L 2 h y b 2 Q l M j B I U l 9 S b 2 x l X 0 R 1 d H l T e X N 0 Z W 0 v a H J v Z F 9 I U l 9 S b 2 x l X 0 R 1 d H l T e X N 0 Z W 0 8 L 0 l 0 Z W 1 Q Y X R o P j w v S X R l b U x v Y 2 F 0 a W 9 u P j x T d G F i b G V F b n R y a W V z I C 8 + P C 9 J d G V t P j x J d G V t P j x J d G V t T G 9 j Y X R p b 2 4 + P E l 0 Z W 1 U e X B l P k Z v c m 1 1 b G E 8 L 0 l 0 Z W 1 U e X B l P j x J d G V t U G F 0 a D 5 T Z W N 0 a W 9 u M S 9 o c m 9 k J T I w S F J f U m 9 s Z V 9 E d X R 5 U 3 l z d G V t L 1 N v c n R l Z C U y M F J v d 3 M 8 L 0 l 0 Z W 1 Q Y X R o P j w v S X R l b U x v Y 2 F 0 a W 9 u P j x T d G F i b G V F b n R y a W V z I C 8 + P C 9 J d G V t P j x J d G V t P j x J d G V t T G 9 j Y X R p b 2 4 + P E l 0 Z W 1 U e X B l P k Z v c m 1 1 b G E 8 L 0 l 0 Z W 1 U e X B l P j x J d G V t U G F 0 a D 5 T Z W N 0 a W 9 u M S 9 o c m 9 k J T I w S F J f U m 9 s Z V 9 B c m V h 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a H J v Z F 9 I U l 9 S b 2 x l X 0 F y Z W E i I C 8 + P E V u d H J 5 I F R 5 c G U 9 I k Z p b G x T d G F 0 d X M i I F Z h b H V l P S J z Q 2 9 t c G x l d G U i I C 8 + P E V u d H J 5 I F R 5 c G U 9 I k Z p b G x D b 3 V u d C I g V m F s d W U 9 I m w z M i I g L z 4 8 R W 5 0 c n k g V H l w Z T 0 i R m l s b E V y c m 9 y Q 2 9 1 b n Q i I F Z h b H V l P S J s M C I g L z 4 8 R W 5 0 c n k g V H l w Z T 0 i R m l s b E N v b H V t b l R 5 c G V z I i B W Y W x 1 Z T 0 i c 0 J n W U Z C U V V G Q l F V R k J R P T 0 i I C 8 + P E V u d H J 5 I F R 5 c G U 9 I k Z p b G x D b 2 x 1 b W 5 O Y W 1 l c y I g V m F s d W U 9 I n N b J n F 1 b 3 Q 7 W W V h c i Z x d W 9 0 O y w m c X V v d D t S Z X B v c n R p b m d M Z X Z l b C Z x d W 9 0 O y w m c X V v d D t C c m l n Y W R l I E 1 h b m F n Z X I m c X V v d D s s J n F 1 b 3 Q 7 Q X J l Y S B N Y W 5 h Z 2 V y J n F 1 b 3 Q 7 L C Z x d W 9 0 O 0 d y b 3 V w I E 1 h b m F n Z X I m c X V v d D s s J n F 1 b 3 Q 7 U 3 R h d G l v b i B N Y W 5 h Z 2 V y J n F 1 b 3 Q 7 L C Z x d W 9 0 O 1 d h d G N o I E 1 h b m F n Z X I m c X V v d D s s J n F 1 b 3 Q 7 Q 3 J l d y B N Y W 5 h Z 2 V y J n F 1 b 3 Q 7 L C Z x d W 9 0 O 0 Z p c m V m a W d o d G V y J n F 1 b 3 Q 7 L C Z x d W 9 0 O 1 R v d G F s J n F 1 b 3 Q 7 X S I g L z 4 8 R W 5 0 c n k g V H l w Z T 0 i R m l s b E V y c m 9 y Q 2 9 k Z S I g V m F s d W U 9 I n N V b m t u b 3 d u I i A v P j x F b n R y e S B U e X B l P S J G a W x s T G F z d F V w Z G F 0 Z W Q i I F Z h b H V l P S J k M j A y M S 0 w O C 0 w O V Q x M z o z O D o 0 O S 4 2 O T g 4 O T Q y W i I g L z 4 8 R W 5 0 c n k g V H l w Z T 0 i R m l s b G V k Q 2 9 t c G x l d G V S Z X N 1 b H R U b 1 d v c m t z a G V l d C I g V m F s d W U 9 I m w x I i A v P j x F b n R y e S B U e X B l P S J B Z G R l Z F R v R G F 0 Y U 1 v Z G V s I i B W Y W x 1 Z T 0 i b D A i I C 8 + P E V u d H J 5 I F R 5 c G U 9 I l J l Y 2 9 2 Z X J 5 V G F y Z 2 V 0 U 2 h l Z X Q i I F Z h b H V l P S J z U 2 h l Z X Q x O C I g L z 4 8 R W 5 0 c n k g V H l w Z T 0 i U m V j b 3 Z l c n l U Y X J n Z X R D b 2 x 1 b W 4 i I F Z h b H V l P S J s M S I g L z 4 8 R W 5 0 c n k g V H l w Z T 0 i U m V j b 3 Z l c n l U Y X J n Z X R S b 3 c i I F Z h b H V l P S J s M S I g L z 4 8 R W 5 0 c n k g V H l w Z T 0 i U m V s Y X R p b 2 5 z a G l w S W 5 m b 0 N v b n R h a W 5 l c i I g V m F s d W U 9 I n N 7 J n F 1 b 3 Q 7 Y 2 9 s d W 1 u Q 2 9 1 b n Q m c X V v d D s 6 M T A s J n F 1 b 3 Q 7 a 2 V 5 Q 2 9 s d W 1 u T m F t Z X M m c X V v d D s 6 W 1 0 s J n F 1 b 3 Q 7 c X V l c n l S Z W x h d G l v b n N o a X B z J n F 1 b 3 Q 7 O l t d L C Z x d W 9 0 O 2 N v b H V t b k l k Z W 5 0 a X R p Z X M m c X V v d D s 6 W y Z x d W 9 0 O 1 N l c n Z l c i 5 E Y X R h Y m F z Z V x c L z I v U 1 F M L 3 M t c 3 J z L X Y w M V x c X F x w Z H M 7 U k F Q L 2 h y b 2 Q v a H J v Z C 5 I U l 9 S b 2 x l X 0 F y Z W E u e 1 l l Y X I s M H 0 m c X V v d D s s J n F 1 b 3 Q 7 U 2 V y d m V y L k R h d G F i Y X N l X F w v M i 9 T U U w v c y 1 z c n M t d j A x X F x c X H B k c z t S Q V A v a H J v Z C 9 o c m 9 k L k h S X 1 J v b G V f Q X J l Y S 5 7 U m V w b 3 J 0 a W 5 n T G V 2 Z W w s M X 0 m c X V v d D s s J n F 1 b 3 Q 7 U 2 V y d m V y L k R h d G F i Y X N l X F w v M i 9 T U U w v c y 1 z c n M t d j A x X F x c X H B k c z t S Q V A v a H J v Z C 9 o c m 9 k L k h S X 1 J v b G V f Q X J l Y S 5 7 Q n J p Z 2 F k Z S B N Y W 5 h Z 2 V y L D J 9 J n F 1 b 3 Q 7 L C Z x d W 9 0 O 1 N l c n Z l c i 5 E Y X R h Y m F z Z V x c L z I v U 1 F M L 3 M t c 3 J z L X Y w M V x c X F x w Z H M 7 U k F Q L 2 h y b 2 Q v a H J v Z C 5 I U l 9 S b 2 x l X 0 F y Z W E u e 0 F y Z W E g T W F u Y W d l c i w z f S Z x d W 9 0 O y w m c X V v d D t T Z X J 2 Z X I u R G F 0 Y W J h c 2 V c X C 8 y L 1 N R T C 9 z L X N y c y 1 2 M D F c X F x c c G R z O 1 J B U C 9 o c m 9 k L 2 h y b 2 Q u S F J f U m 9 s Z V 9 B c m V h L n t H c m 9 1 c C B N Y W 5 h Z 2 V y L D R 9 J n F 1 b 3 Q 7 L C Z x d W 9 0 O 1 N l c n Z l c i 5 E Y X R h Y m F z Z V x c L z I v U 1 F M L 3 M t c 3 J z L X Y w M V x c X F x w Z H M 7 U k F Q L 2 h y b 2 Q v a H J v Z C 5 I U l 9 S b 2 x l X 0 F y Z W E u e 1 N 0 Y X R p b 2 4 g T W F u Y W d l c i w 1 f S Z x d W 9 0 O y w m c X V v d D t T Z X J 2 Z X I u R G F 0 Y W J h c 2 V c X C 8 y L 1 N R T C 9 z L X N y c y 1 2 M D F c X F x c c G R z O 1 J B U C 9 o c m 9 k L 2 h y b 2 Q u S F J f U m 9 s Z V 9 B c m V h L n t X Y X R j a C B N Y W 5 h Z 2 V y L D Z 9 J n F 1 b 3 Q 7 L C Z x d W 9 0 O 1 N l c n Z l c i 5 E Y X R h Y m F z Z V x c L z I v U 1 F M L 3 M t c 3 J z L X Y w M V x c X F x w Z H M 7 U k F Q L 2 h y b 2 Q v a H J v Z C 5 I U l 9 S b 2 x l X 0 F y Z W E u e 0 N y Z X c g T W F u Y W d l c i w 3 f S Z x d W 9 0 O y w m c X V v d D t T Z X J 2 Z X I u R G F 0 Y W J h c 2 V c X C 8 y L 1 N R T C 9 z L X N y c y 1 2 M D F c X F x c c G R z O 1 J B U C 9 o c m 9 k L 2 h y b 2 Q u S F J f U m 9 s Z V 9 B c m V h L n t G a X J l Z m l n a H R l c i w 4 f S Z x d W 9 0 O y w m c X V v d D t T Z X J 2 Z X I u R G F 0 Y W J h c 2 V c X C 8 y L 1 N R T C 9 z L X N y c y 1 2 M D F c X F x c c G R z O 1 J B U C 9 o c m 9 k L 2 h y b 2 Q u S F J f U m 9 s Z V 9 B c m V h L n t U b 3 R h b C w 5 f S Z x d W 9 0 O 1 0 s J n F 1 b 3 Q 7 Q 2 9 s d W 1 u Q 2 9 1 b n Q m c X V v d D s 6 M T A s J n F 1 b 3 Q 7 S 2 V 5 Q 2 9 s d W 1 u T m F t Z X M m c X V v d D s 6 W 1 0 s J n F 1 b 3 Q 7 Q 2 9 s d W 1 u S W R l b n R p d G l l c y Z x d W 9 0 O z p b J n F 1 b 3 Q 7 U 2 V y d m V y L k R h d G F i Y X N l X F w v M i 9 T U U w v c y 1 z c n M t d j A x X F x c X H B k c z t S Q V A v a H J v Z C 9 o c m 9 k L k h S X 1 J v b G V f Q X J l Y S 5 7 W W V h c i w w f S Z x d W 9 0 O y w m c X V v d D t T Z X J 2 Z X I u R G F 0 Y W J h c 2 V c X C 8 y L 1 N R T C 9 z L X N y c y 1 2 M D F c X F x c c G R z O 1 J B U C 9 o c m 9 k L 2 h y b 2 Q u S F J f U m 9 s Z V 9 B c m V h L n t S Z X B v c n R p b m d M Z X Z l b C w x f S Z x d W 9 0 O y w m c X V v d D t T Z X J 2 Z X I u R G F 0 Y W J h c 2 V c X C 8 y L 1 N R T C 9 z L X N y c y 1 2 M D F c X F x c c G R z O 1 J B U C 9 o c m 9 k L 2 h y b 2 Q u S F J f U m 9 s Z V 9 B c m V h L n t C c m l n Y W R l I E 1 h b m F n Z X I s M n 0 m c X V v d D s s J n F 1 b 3 Q 7 U 2 V y d m V y L k R h d G F i Y X N l X F w v M i 9 T U U w v c y 1 z c n M t d j A x X F x c X H B k c z t S Q V A v a H J v Z C 9 o c m 9 k L k h S X 1 J v b G V f Q X J l Y S 5 7 Q X J l Y S B N Y W 5 h Z 2 V y L D N 9 J n F 1 b 3 Q 7 L C Z x d W 9 0 O 1 N l c n Z l c i 5 E Y X R h Y m F z Z V x c L z I v U 1 F M L 3 M t c 3 J z L X Y w M V x c X F x w Z H M 7 U k F Q L 2 h y b 2 Q v a H J v Z C 5 I U l 9 S b 2 x l X 0 F y Z W E u e 0 d y b 3 V w I E 1 h b m F n Z X I s N H 0 m c X V v d D s s J n F 1 b 3 Q 7 U 2 V y d m V y L k R h d G F i Y X N l X F w v M i 9 T U U w v c y 1 z c n M t d j A x X F x c X H B k c z t S Q V A v a H J v Z C 9 o c m 9 k L k h S X 1 J v b G V f Q X J l Y S 5 7 U 3 R h d G l v b i B N Y W 5 h Z 2 V y L D V 9 J n F 1 b 3 Q 7 L C Z x d W 9 0 O 1 N l c n Z l c i 5 E Y X R h Y m F z Z V x c L z I v U 1 F M L 3 M t c 3 J z L X Y w M V x c X F x w Z H M 7 U k F Q L 2 h y b 2 Q v a H J v Z C 5 I U l 9 S b 2 x l X 0 F y Z W E u e 1 d h d G N o I E 1 h b m F n Z X I s N n 0 m c X V v d D s s J n F 1 b 3 Q 7 U 2 V y d m V y L k R h d G F i Y X N l X F w v M i 9 T U U w v c y 1 z c n M t d j A x X F x c X H B k c z t S Q V A v a H J v Z C 9 o c m 9 k L k h S X 1 J v b G V f Q X J l Y S 5 7 Q 3 J l d y B N Y W 5 h Z 2 V y L D d 9 J n F 1 b 3 Q 7 L C Z x d W 9 0 O 1 N l c n Z l c i 5 E Y X R h Y m F z Z V x c L z I v U 1 F M L 3 M t c 3 J z L X Y w M V x c X F x w Z H M 7 U k F Q L 2 h y b 2 Q v a H J v Z C 5 I U l 9 S b 2 x l X 0 F y Z W E u e 0 Z p c m V m a W d o d G V y L D h 9 J n F 1 b 3 Q 7 L C Z x d W 9 0 O 1 N l c n Z l c i 5 E Y X R h Y m F z Z V x c L z I v U 1 F M L 3 M t c 3 J z L X Y w M V x c X F x w Z H M 7 U k F Q L 2 h y b 2 Q v a H J v Z C 5 I U l 9 S b 2 x l X 0 F y Z W E u e 1 R v d G F s L D l 9 J n F 1 b 3 Q 7 X S w m c X V v d D t S Z W x h d G l v b n N o a X B J b m Z v J n F 1 b 3 Q 7 O l t d f S I g L z 4 8 L 1 N 0 Y W J s Z U V u d H J p Z X M + P C 9 J d G V t P j x J d G V t P j x J d G V t T G 9 j Y X R p b 2 4 + P E l 0 Z W 1 U e X B l P k Z v c m 1 1 b G E 8 L 0 l 0 Z W 1 U e X B l P j x J d G V t U G F 0 a D 5 T Z W N 0 a W 9 u M S 9 o c m 9 k J T I w S F J f U m 9 s Z V 9 B c m V h L 1 N v d X J j Z T w v S X R l b V B h d G g + P C 9 J d G V t T G 9 j Y X R p b 2 4 + P F N 0 Y W J s Z U V u d H J p Z X M g L z 4 8 L 0 l 0 Z W 0 + P E l 0 Z W 0 + P E l 0 Z W 1 M b 2 N h d G l v b j 4 8 S X R l b V R 5 c G U + R m 9 y b X V s Y T w v S X R l b V R 5 c G U + P E l 0 Z W 1 Q Y X R o P l N l Y 3 R p b 2 4 x L 2 h y b 2 Q l M j B I U l 9 S b 2 x l X 0 F y Z W E v a H J v Z F 9 I U l 9 S b 2 x l X 0 F y Z W E 8 L 0 l 0 Z W 1 Q Y X R o P j w v S X R l b U x v Y 2 F 0 a W 9 u P j x T d G F i b G V F b n R y a W V z I C 8 + P C 9 J d G V t P j x J d G V t P j x J d G V t T G 9 j Y X R p b 2 4 + P E l 0 Z W 1 U e X B l P k Z v c m 1 1 b G E 8 L 0 l 0 Z W 1 U e X B l P j x J d G V t U G F 0 a D 5 T Z W N 0 a W 9 u M S 9 o c m 9 k J T I w S F J f U m 9 s Z V 9 B c m V h L 1 N v c n R l Z C U y M F J v d 3 M 8 L 0 l 0 Z W 1 Q Y X R o P j w v S X R l b U x v Y 2 F 0 a W 9 u P j x T d G F i b G V F b n R y a W V z I C 8 + P C 9 J d G V t P j x J d G V t P j x J d G V t T G 9 j Y X R p b 2 4 + P E l 0 Z W 1 U e X B l P k Z v c m 1 1 b G E 8 L 0 l 0 Z W 1 U e X B l P j x J d G V t U G F 0 a D 5 T Z W N 0 a W 9 u M S 9 o c m 9 k J T I w S F J f V 1 R f U m 9 s Z U F y Z W E 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R h c m d l d C I g V m F s d W U 9 I n N o c m 9 k X 0 h S X 1 d U X 1 J v b G V B c m V h I i A v P j x F b n R y e S B U e X B l P S J G a W x s U 3 R h d H V z I i B W Y W x 1 Z T 0 i c 0 N v b X B s Z X R l I i A v P j x F b n R y e S B U e X B l P S J G a W x s Q 2 9 1 b n Q i I F Z h b H V l P S J s N D E w I i A v P j x F b n R y e S B U e X B l P S J G a W x s R X J y b 3 J D b 3 V u d C I g V m F s d W U 9 I m w w I i A v P j x F b n R y e S B U e X B l P S J G a W x s Q 2 9 s d W 1 u V H l w Z X M i I F Z h b H V l P S J z Q m d Z R 0 F n S U N B Z 1 V G Q l E 9 P S I g L z 4 8 R W 5 0 c n k g V H l w Z T 0 i R m l s b E N v b H V t b k 5 h b W V z I i B W Y W x 1 Z T 0 i c 1 s m c X V v d D t Z Z W F y J n F 1 b 3 Q 7 L C Z x d W 9 0 O 1 J l c G 9 y d G l u Z 0 x l d m V s J n F 1 b 3 Q 7 L C Z x d W 9 0 O 2 x 2 b C Z x d W 9 0 O y w m c X V v d D t C c m l n Y W R l I E 1 h b m F n Z X I m c X V v d D s s J n F 1 b 3 Q 7 Q X J l Y S B N Y W 5 h Z 2 V y J n F 1 b 3 Q 7 L C Z x d W 9 0 O 0 d y b 3 V w I E 1 h b m F n Z X I m c X V v d D s s J n F 1 b 3 Q 7 U 3 R h d G l v b i B N Y W 5 h Z 2 V y J n F 1 b 3 Q 7 L C Z x d W 9 0 O 1 d h d G N o I E 1 h b m F n Z X I m c X V v d D s s J n F 1 b 3 Q 7 Q 3 J l d y B N Y W 5 h Z 2 V y J n F 1 b 3 Q 7 L C Z x d W 9 0 O 0 Z p c m V m a W d o d G V y J n F 1 b 3 Q 7 X S I g L z 4 8 R W 5 0 c n k g V H l w Z T 0 i R m l s b E V y c m 9 y Q 2 9 k Z S I g V m F s d W U 9 I n N V b m t u b 3 d u I i A v P j x F b n R y e S B U e X B l P S J G a W x s T G F z d F V w Z G F 0 Z W Q i I F Z h b H V l P S J k M j A y M S 0 w O C 0 w O V Q x M z o 1 N z o 0 O C 4 2 M T g 4 N D I 5 W i I g L z 4 8 R W 5 0 c n k g V H l w Z T 0 i R m l s b G V k Q 2 9 t c G x l d G V S Z X N 1 b H R U b 1 d v c m t z a G V l d C I g V m F s d W U 9 I m w x I i A v P j x F b n R y e S B U e X B l P S J B Z G R l Z F R v R G F 0 Y U 1 v Z G V s I i B W Y W x 1 Z T 0 i b D A i I C 8 + P E V u d H J 5 I F R 5 c G U 9 I l J l Y 2 9 2 Z X J 5 V G F y Z 2 V 0 U 2 h l Z X Q i I F Z h b H V l P S J z U 2 h l Z X Q y M C I g L z 4 8 R W 5 0 c n k g V H l w Z T 0 i U m V j b 3 Z l c n l U Y X J n Z X R D b 2 x 1 b W 4 i I F Z h b H V l P S J s M S I g L z 4 8 R W 5 0 c n k g V H l w Z T 0 i U m V j b 3 Z l c n l U Y X J n Z X R S b 3 c i I F Z h b H V l P S J s M S I g L z 4 8 R W 5 0 c n k g V H l w Z T 0 i U m V s Y X R p b 2 5 z a G l w S W 5 m b 0 N v b n R h a W 5 l c i I g V m F s d W U 9 I n N 7 J n F 1 b 3 Q 7 Y 2 9 s d W 1 u Q 2 9 1 b n Q m c X V v d D s 6 M T A s J n F 1 b 3 Q 7 a 2 V 5 Q 2 9 s d W 1 u T m F t Z X M m c X V v d D s 6 W 1 0 s J n F 1 b 3 Q 7 c X V l c n l S Z W x h d G l v b n N o a X B z J n F 1 b 3 Q 7 O l t d L C Z x d W 9 0 O 2 N v b H V t b k l k Z W 5 0 a X R p Z X M m c X V v d D s 6 W y Z x d W 9 0 O 1 N l c n Z l c i 5 E Y X R h Y m F z Z V x c L z I v U 1 F M L 3 M t c 3 J z L X Y w M V x c X F x w Z H M 7 U k F Q L 2 h y b 2 Q v a H J v Z C 5 I U l 9 X V F 9 S b 2 x l Q X J l Y S 5 7 W W V h c i w w f S Z x d W 9 0 O y w m c X V v d D t T Z X J 2 Z X I u R G F 0 Y W J h c 2 V c X C 8 y L 1 N R T C 9 z L X N y c y 1 2 M D F c X F x c c G R z O 1 J B U C 9 o c m 9 k L 2 h y b 2 Q u S F J f V 1 R f U m 9 s Z U F y Z W E u e 1 J l c G 9 y d G l u Z 0 x l d m V s L D F 9 J n F 1 b 3 Q 7 L C Z x d W 9 0 O 1 N l c n Z l c i 5 E Y X R h Y m F z Z V x c L z I v U 1 F M L 3 M t c 3 J z L X Y w M V x c X F x w Z H M 7 U k F Q L 2 h y b 2 Q v a H J v Z C 5 I U l 9 X V F 9 S b 2 x l Q X J l Y S 5 7 b H Z s L D N 9 J n F 1 b 3 Q 7 L C Z x d W 9 0 O 1 N l c n Z l c i 5 E Y X R h Y m F z Z V x c L z I v U 1 F M L 3 M t c 3 J z L X Y w M V x c X F x w Z H M 7 U k F Q L 2 h y b 2 Q v a H J v Z C 5 I U l 9 X V F 9 S b 2 x l Q X J l Y S 5 7 Q n J p Z 2 F k Z S B N Y W 5 h Z 2 V y L D V 9 J n F 1 b 3 Q 7 L C Z x d W 9 0 O 1 N l c n Z l c i 5 E Y X R h Y m F z Z V x c L z I v U 1 F M L 3 M t c 3 J z L X Y w M V x c X F x w Z H M 7 U k F Q L 2 h y b 2 Q v a H J v Z C 5 I U l 9 X V F 9 S b 2 x l Q X J l Y S 5 7 Q X J l Y S B N Y W 5 h Z 2 V y L D R 9 J n F 1 b 3 Q 7 L C Z x d W 9 0 O 1 N l c n Z l c i 5 E Y X R h Y m F z Z V x c L z I v U 1 F M L 3 M t c 3 J z L X Y w M V x c X F x w Z H M 7 U k F Q L 2 h y b 2 Q v a H J v Z C 5 I U l 9 X V F 9 S b 2 x l Q X J l Y S 5 7 R 3 J v d X A g T W F u Y W d l c i w 4 f S Z x d W 9 0 O y w m c X V v d D t T Z X J 2 Z X I u R G F 0 Y W J h c 2 V c X C 8 y L 1 N R T C 9 z L X N y c y 1 2 M D F c X F x c c G R z O 1 J B U C 9 o c m 9 k L 2 h y b 2 Q u S F J f V 1 R f U m 9 s Z U F y Z W E u e 1 N 0 Y X R p b 2 4 g T W F u Y W d l c i w 5 f S Z x d W 9 0 O y w m c X V v d D t T Z X J 2 Z X I u R G F 0 Y W J h c 2 V c X C 8 y L 1 N R T C 9 z L X N y c y 1 2 M D F c X F x c c G R z O 1 J B U C 9 o c m 9 k L 2 h y b 2 Q u S F J f V 1 R f U m 9 s Z U F y Z W E u e 1 d h d G N o I E 1 h b m F n Z X I s M T B 9 J n F 1 b 3 Q 7 L C Z x d W 9 0 O 1 N l c n Z l c i 5 E Y X R h Y m F z Z V x c L z I v U 1 F M L 3 M t c 3 J z L X Y w M V x c X F x w Z H M 7 U k F Q L 2 h y b 2 Q v a H J v Z C 5 I U l 9 X V F 9 S b 2 x l Q X J l Y S 5 7 Q 3 J l d y B N Y W 5 h Z 2 V y L D Z 9 J n F 1 b 3 Q 7 L C Z x d W 9 0 O 1 N l c n Z l c i 5 E Y X R h Y m F z Z V x c L z I v U 1 F M L 3 M t c 3 J z L X Y w M V x c X F x w Z H M 7 U k F Q L 2 h y b 2 Q v a H J v Z C 5 I U l 9 X V F 9 S b 2 x l Q X J l Y S 5 7 R m l y Z W Z p Z 2 h 0 Z X I s N 3 0 m c X V v d D t d L C Z x d W 9 0 O 0 N v b H V t b k N v d W 5 0 J n F 1 b 3 Q 7 O j E w L C Z x d W 9 0 O 0 t l e U N v b H V t b k 5 h b W V z J n F 1 b 3 Q 7 O l t d L C Z x d W 9 0 O 0 N v b H V t b k l k Z W 5 0 a X R p Z X M m c X V v d D s 6 W y Z x d W 9 0 O 1 N l c n Z l c i 5 E Y X R h Y m F z Z V x c L z I v U 1 F M L 3 M t c 3 J z L X Y w M V x c X F x w Z H M 7 U k F Q L 2 h y b 2 Q v a H J v Z C 5 I U l 9 X V F 9 S b 2 x l Q X J l Y S 5 7 W W V h c i w w f S Z x d W 9 0 O y w m c X V v d D t T Z X J 2 Z X I u R G F 0 Y W J h c 2 V c X C 8 y L 1 N R T C 9 z L X N y c y 1 2 M D F c X F x c c G R z O 1 J B U C 9 o c m 9 k L 2 h y b 2 Q u S F J f V 1 R f U m 9 s Z U F y Z W E u e 1 J l c G 9 y d G l u Z 0 x l d m V s L D F 9 J n F 1 b 3 Q 7 L C Z x d W 9 0 O 1 N l c n Z l c i 5 E Y X R h Y m F z Z V x c L z I v U 1 F M L 3 M t c 3 J z L X Y w M V x c X F x w Z H M 7 U k F Q L 2 h y b 2 Q v a H J v Z C 5 I U l 9 X V F 9 S b 2 x l Q X J l Y S 5 7 b H Z s L D N 9 J n F 1 b 3 Q 7 L C Z x d W 9 0 O 1 N l c n Z l c i 5 E Y X R h Y m F z Z V x c L z I v U 1 F M L 3 M t c 3 J z L X Y w M V x c X F x w Z H M 7 U k F Q L 2 h y b 2 Q v a H J v Z C 5 I U l 9 X V F 9 S b 2 x l Q X J l Y S 5 7 Q n J p Z 2 F k Z S B N Y W 5 h Z 2 V y L D V 9 J n F 1 b 3 Q 7 L C Z x d W 9 0 O 1 N l c n Z l c i 5 E Y X R h Y m F z Z V x c L z I v U 1 F M L 3 M t c 3 J z L X Y w M V x c X F x w Z H M 7 U k F Q L 2 h y b 2 Q v a H J v Z C 5 I U l 9 X V F 9 S b 2 x l Q X J l Y S 5 7 Q X J l Y S B N Y W 5 h Z 2 V y L D R 9 J n F 1 b 3 Q 7 L C Z x d W 9 0 O 1 N l c n Z l c i 5 E Y X R h Y m F z Z V x c L z I v U 1 F M L 3 M t c 3 J z L X Y w M V x c X F x w Z H M 7 U k F Q L 2 h y b 2 Q v a H J v Z C 5 I U l 9 X V F 9 S b 2 x l Q X J l Y S 5 7 R 3 J v d X A g T W F u Y W d l c i w 4 f S Z x d W 9 0 O y w m c X V v d D t T Z X J 2 Z X I u R G F 0 Y W J h c 2 V c X C 8 y L 1 N R T C 9 z L X N y c y 1 2 M D F c X F x c c G R z O 1 J B U C 9 o c m 9 k L 2 h y b 2 Q u S F J f V 1 R f U m 9 s Z U F y Z W E u e 1 N 0 Y X R p b 2 4 g T W F u Y W d l c i w 5 f S Z x d W 9 0 O y w m c X V v d D t T Z X J 2 Z X I u R G F 0 Y W J h c 2 V c X C 8 y L 1 N R T C 9 z L X N y c y 1 2 M D F c X F x c c G R z O 1 J B U C 9 o c m 9 k L 2 h y b 2 Q u S F J f V 1 R f U m 9 s Z U F y Z W E u e 1 d h d G N o I E 1 h b m F n Z X I s M T B 9 J n F 1 b 3 Q 7 L C Z x d W 9 0 O 1 N l c n Z l c i 5 E Y X R h Y m F z Z V x c L z I v U 1 F M L 3 M t c 3 J z L X Y w M V x c X F x w Z H M 7 U k F Q L 2 h y b 2 Q v a H J v Z C 5 I U l 9 X V F 9 S b 2 x l Q X J l Y S 5 7 Q 3 J l d y B N Y W 5 h Z 2 V y L D Z 9 J n F 1 b 3 Q 7 L C Z x d W 9 0 O 1 N l c n Z l c i 5 E Y X R h Y m F z Z V x c L z I v U 1 F M L 3 M t c 3 J z L X Y w M V x c X F x w Z H M 7 U k F Q L 2 h y b 2 Q v a H J v Z C 5 I U l 9 X V F 9 S b 2 x l Q X J l Y S 5 7 R m l y Z W Z p Z 2 h 0 Z X I s N 3 0 m c X V v d D t d L C Z x d W 9 0 O 1 J l b G F 0 a W 9 u c 2 h p c E l u Z m 8 m c X V v d D s 6 W 1 1 9 I i A v P j x F b n R y e S B U e X B l P S J R d W V y e U l E I i B W Y W x 1 Z T 0 i c z k x M T N k M D A z L T R h N T Y t N D I x N S 1 h M D k 0 L T B l N G I x O G V j Z D R k Z S I g L z 4 8 L 1 N 0 Y W J s Z U V u d H J p Z X M + P C 9 J d G V t P j x J d G V t P j x J d G V t T G 9 j Y X R p b 2 4 + P E l 0 Z W 1 U e X B l P k Z v c m 1 1 b G E 8 L 0 l 0 Z W 1 U e X B l P j x J d G V t U G F 0 a D 5 T Z W N 0 a W 9 u M S 9 o c m 9 k J T I w S F J f V 1 R f U m 9 s Z U F y Z W E v U 2 9 1 c m N l P C 9 J d G V t U G F 0 a D 4 8 L 0 l 0 Z W 1 M b 2 N h d G l v b j 4 8 U 3 R h Y m x l R W 5 0 c m l l c y A v P j w v S X R l b T 4 8 S X R l b T 4 8 S X R l b U x v Y 2 F 0 a W 9 u P j x J d G V t V H l w Z T 5 G b 3 J t d W x h P C 9 J d G V t V H l w Z T 4 8 S X R l b V B h d G g + U 2 V j d G l v b j E v a H J v Z C U y M E h S X 1 d U X 1 J v b G V B c m V h L 2 h y b 2 R f S F J f V 1 R f U m 9 s Z U F y Z W E 8 L 0 l 0 Z W 1 Q Y X R o P j w v S X R l b U x v Y 2 F 0 a W 9 u P j x T d G F i b G V F b n R y a W V z I C 8 + P C 9 J d G V t P j x J d G V t P j x J d G V t T G 9 j Y X R p b 2 4 + P E l 0 Z W 1 U e X B l P k Z v c m 1 1 b G E 8 L 0 l 0 Z W 1 U e X B l P j x J d G V t U G F 0 a D 5 T Z W N 0 a W 9 u M S 9 o c m 9 k J T I w S F J f V 1 R f U m 9 s Z U F y Z W E v U m V t b 3 Z l Z C U y M E N v b H V t b n M 8 L 0 l 0 Z W 1 Q Y X R o P j w v S X R l b U x v Y 2 F 0 a W 9 u P j x T d G F i b G V F b n R y a W V z I C 8 + P C 9 J d G V t P j x J d G V t P j x J d G V t T G 9 j Y X R p b 2 4 + P E l 0 Z W 1 U e X B l P k Z v c m 1 1 b G E 8 L 0 l 0 Z W 1 U e X B l P j x J d G V t U G F 0 a D 5 T Z W N 0 a W 9 u M S 9 o c m 9 k J T I w S F J f V 1 R f U m 9 s Z U F y Z W E v U m V v c m R l c m V k J T I w Q 2 9 s d W 1 u c z w v S X R l b V B h d G g + P C 9 J d G V t T G 9 j Y X R p b 2 4 + P F N 0 Y W J s Z U V u d H J p Z X M g L z 4 8 L 0 l 0 Z W 0 + P E l 0 Z W 0 + P E l 0 Z W 1 M b 2 N h d G l v b j 4 8 S X R l b V R 5 c G U + R m 9 y b X V s Y T w v S X R l b V R 5 c G U + P E l 0 Z W 1 Q Y X R o P l N l Y 3 R p b 2 4 x L 2 h y b 2 Q l M j B I U l 9 X V F 9 S b 2 x l Q X J l Y S 9 T b 3 J 0 Z W Q l M j B S b 3 d z P C 9 J d G V t U G F 0 a D 4 8 L 0 l 0 Z W 1 M b 2 N h d G l v b j 4 8 U 3 R h Y m x l R W 5 0 c m l l c y A v P j w v S X R l b T 4 8 S X R l b T 4 8 S X R l b U x v Y 2 F 0 a W 9 u P j x J d G V t V H l w Z T 5 G b 3 J t d W x h P C 9 J d G V t V H l w Z T 4 8 S X R l b V B h d G g + U 2 V j d G l v b j E v a H J v Z C U y M E h S X 1 J E U 1 9 S b 2 x l Q X J l Y 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T G F z d F V w Z G F 0 Z W Q i I F Z h b H V l P S J k M j A y M S 0 w O C 0 w O V Q x N D o x M T o w M i 4 2 M T M x M T Q 1 W i I g L z 4 8 R W 5 0 c n k g V H l w Z T 0 i R m l s b E V y c m 9 y Q 2 9 k Z S I g V m F s d W U 9 I n N V b m t u b 3 d u I i A v P j x F b n R y e S B U e X B l P S J G a W x s Q 2 9 s d W 1 u T m F t Z X M i I F Z h b H V l P S J z W y Z x d W 9 0 O 1 l l Y X I m c X V v d D s s J n F 1 b 3 Q 7 U m V w b 3 J 0 a W 5 n T G V 2 Z W w m c X V v d D s s J n F 1 b 3 Q 7 Q X J l Y S Z x d W 9 0 O y w m c X V v d D t H U 1 M g Q 2 9 k Z S Z x d W 9 0 O y w m c X V v d D t X Y X R j a C B N Y W 5 h Z 2 V y J n F 1 b 3 Q 7 L C Z x d W 9 0 O 0 N y Z X c g T W F u Y W d l c i Z x d W 9 0 O y w m c X V v d D t G a X J l Z m l n a H R l c i Z x d W 9 0 O 1 0 i I C 8 + P E V u d H J 5 I F R 5 c G U 9 I k Z p b G x D b 2 x 1 b W 5 U e X B l c y I g V m F s d W U 9 I n N C Z 1 l H Q m d V R k J R P T 0 i I C 8 + P E V u d H J 5 I F R 5 c G U 9 I k Z p b G x F c n J v c k N v d W 5 0 I i B W Y W x 1 Z T 0 i b D A i I C 8 + P E V u d H J 5 I F R 5 c G U 9 I k Z p b G x D b 3 V u d C I g V m F s d W U 9 I m w y N D Q i I C 8 + P E V u d H J 5 I F R 5 c G U 9 I k Z p b G x T d G F 0 d X M i I F Z h b H V l P S J z Q 2 9 t c G x l d G U i I C 8 + P E V u d H J 5 I F R 5 c G U 9 I k Z p b G x U Y X J n Z X Q i I F Z h b H V l P S J z a H J v Z F 9 I U l 9 S R F N f U m 9 s Z U F y Z W E i I C 8 + P E V u d H J 5 I F R 5 c G U 9 I k Z p b G x l Z E N v b X B s Z X R l U m V z d W x 0 V G 9 X b 3 J r c 2 h l Z X Q i I F Z h b H V l P S J s M S I g L z 4 8 R W 5 0 c n k g V H l w Z T 0 i Q W R k Z W R U b 0 R h d G F N b 2 R l b C I g V m F s d W U 9 I m w w I i A v P j x F b n R y e S B U e X B l P S J S Z W N v d m V y e V R h c m d l d F N o Z W V 0 I i B W Y W x 1 Z T 0 i c 1 N o Z W V 0 M j M i I C 8 + P E V u d H J 5 I F R 5 c G U 9 I l J l Y 2 9 2 Z X J 5 V G F y Z 2 V 0 Q 2 9 s d W 1 u I i B W Y W x 1 Z T 0 i b D E i I C 8 + P E V u d H J 5 I F R 5 c G U 9 I l J l Y 2 9 2 Z X J 5 V G F y Z 2 V 0 U m 9 3 I i B W Y W x 1 Z T 0 i b D E i I C 8 + P E V u d H J 5 I F R 5 c G U 9 I l J l b G F 0 a W 9 u c 2 h p c E l u Z m 9 D b 2 5 0 Y W l u Z X I i I F Z h b H V l P S J z e y Z x d W 9 0 O 2 N v b H V t b k N v d W 5 0 J n F 1 b 3 Q 7 O j c s J n F 1 b 3 Q 7 a 2 V 5 Q 2 9 s d W 1 u T m F t Z X M m c X V v d D s 6 W 1 0 s J n F 1 b 3 Q 7 c X V l c n l S Z W x h d G l v b n N o a X B z J n F 1 b 3 Q 7 O l t d L C Z x d W 9 0 O 2 N v b H V t b k l k Z W 5 0 a X R p Z X M m c X V v d D s 6 W y Z x d W 9 0 O 1 N l c n Z l c i 5 E Y X R h Y m F z Z V x c L z I v U 1 F M L 3 M t c 3 J z L X Y w M V x c X F x w Z H M 7 U k F Q L 2 h y b 2 Q v a H J v Z C 5 I U l 9 S R F N f U m 9 s Z U F y Z W E u e 1 l l Y X I s M H 0 m c X V v d D s s J n F 1 b 3 Q 7 U 2 V y d m V y L k R h d G F i Y X N l X F w v M i 9 T U U w v c y 1 z c n M t d j A x X F x c X H B k c z t S Q V A v a H J v Z C 9 o c m 9 k L k h S X 1 J E U 1 9 S b 2 x l Q X J l Y S 5 7 U m V w b 3 J 0 a W 5 n T G V 2 Z W w s M X 0 m c X V v d D s s J n F 1 b 3 Q 7 U 2 V y d m V y L k R h d G F i Y X N l X F w v M i 9 T U U w v c y 1 z c n M t d j A x X F x c X H B k c z t S Q V A v a H J v Z C 9 o c m 9 k L k h S X 1 J E U 1 9 S b 2 x l Q X J l Y S 5 7 Q X J l Y S w y f S Z x d W 9 0 O y w m c X V v d D t T Z X J 2 Z X I u R G F 0 Y W J h c 2 V c X C 8 y L 1 N R T C 9 z L X N y c y 1 2 M D F c X F x c c G R z O 1 J B U C 9 o c m 9 k L 2 h y b 2 Q u S F J f U k R T X 1 J v b G V B c m V h L n t H U 1 M g Q 2 9 k Z S w z f S Z x d W 9 0 O y w m c X V v d D t T Z X J 2 Z X I u R G F 0 Y W J h c 2 V c X C 8 y L 1 N R T C 9 z L X N y c y 1 2 M D F c X F x c c G R z O 1 J B U C 9 o c m 9 k L 2 h y b 2 Q u S F J f U k R T X 1 J v b G V B c m V h L n t X Y X R j a C B N Y W 5 h Z 2 V y L D R 9 J n F 1 b 3 Q 7 L C Z x d W 9 0 O 1 N l c n Z l c i 5 E Y X R h Y m F z Z V x c L z I v U 1 F M L 3 M t c 3 J z L X Y w M V x c X F x w Z H M 7 U k F Q L 2 h y b 2 Q v a H J v Z C 5 I U l 9 S R F N f U m 9 s Z U F y Z W E u e 0 N y Z X c g T W F u Y W d l c i w 1 f S Z x d W 9 0 O y w m c X V v d D t T Z X J 2 Z X I u R G F 0 Y W J h c 2 V c X C 8 y L 1 N R T C 9 z L X N y c y 1 2 M D F c X F x c c G R z O 1 J B U C 9 o c m 9 k L 2 h y b 2 Q u S F J f U k R T X 1 J v b G V B c m V h L n t G a X J l Z m l n a H R l c i w 2 f S Z x d W 9 0 O 1 0 s J n F 1 b 3 Q 7 Q 2 9 s d W 1 u Q 2 9 1 b n Q m c X V v d D s 6 N y w m c X V v d D t L Z X l D b 2 x 1 b W 5 O Y W 1 l c y Z x d W 9 0 O z p b X S w m c X V v d D t D b 2 x 1 b W 5 J Z G V u d G l 0 a W V z J n F 1 b 3 Q 7 O l s m c X V v d D t T Z X J 2 Z X I u R G F 0 Y W J h c 2 V c X C 8 y L 1 N R T C 9 z L X N y c y 1 2 M D F c X F x c c G R z O 1 J B U C 9 o c m 9 k L 2 h y b 2 Q u S F J f U k R T X 1 J v b G V B c m V h L n t Z Z W F y L D B 9 J n F 1 b 3 Q 7 L C Z x d W 9 0 O 1 N l c n Z l c i 5 E Y X R h Y m F z Z V x c L z I v U 1 F M L 3 M t c 3 J z L X Y w M V x c X F x w Z H M 7 U k F Q L 2 h y b 2 Q v a H J v Z C 5 I U l 9 S R F N f U m 9 s Z U F y Z W E u e 1 J l c G 9 y d G l u Z 0 x l d m V s L D F 9 J n F 1 b 3 Q 7 L C Z x d W 9 0 O 1 N l c n Z l c i 5 E Y X R h Y m F z Z V x c L z I v U 1 F M L 3 M t c 3 J z L X Y w M V x c X F x w Z H M 7 U k F Q L 2 h y b 2 Q v a H J v Z C 5 I U l 9 S R F N f U m 9 s Z U F y Z W E u e 0 F y Z W E s M n 0 m c X V v d D s s J n F 1 b 3 Q 7 U 2 V y d m V y L k R h d G F i Y X N l X F w v M i 9 T U U w v c y 1 z c n M t d j A x X F x c X H B k c z t S Q V A v a H J v Z C 9 o c m 9 k L k h S X 1 J E U 1 9 S b 2 x l Q X J l Y S 5 7 R 1 N T I E N v Z G U s M 3 0 m c X V v d D s s J n F 1 b 3 Q 7 U 2 V y d m V y L k R h d G F i Y X N l X F w v M i 9 T U U w v c y 1 z c n M t d j A x X F x c X H B k c z t S Q V A v a H J v Z C 9 o c m 9 k L k h S X 1 J E U 1 9 S b 2 x l Q X J l Y S 5 7 V 2 F 0 Y 2 g g T W F u Y W d l c i w 0 f S Z x d W 9 0 O y w m c X V v d D t T Z X J 2 Z X I u R G F 0 Y W J h c 2 V c X C 8 y L 1 N R T C 9 z L X N y c y 1 2 M D F c X F x c c G R z O 1 J B U C 9 o c m 9 k L 2 h y b 2 Q u S F J f U k R T X 1 J v b G V B c m V h L n t D c m V 3 I E 1 h b m F n Z X I s N X 0 m c X V v d D s s J n F 1 b 3 Q 7 U 2 V y d m V y L k R h d G F i Y X N l X F w v M i 9 T U U w v c y 1 z c n M t d j A x X F x c X H B k c z t S Q V A v a H J v Z C 9 o c m 9 k L k h S X 1 J E U 1 9 S b 2 x l Q X J l Y S 5 7 R m l y Z W Z p Z 2 h 0 Z X I s N n 0 m c X V v d D t d L C Z x d W 9 0 O 1 J l b G F 0 a W 9 u c 2 h p c E l u Z m 8 m c X V v d D s 6 W 1 1 9 I i A v P j w v U 3 R h Y m x l R W 5 0 c m l l c z 4 8 L 0 l 0 Z W 0 + P E l 0 Z W 0 + P E l 0 Z W 1 M b 2 N h d G l v b j 4 8 S X R l b V R 5 c G U + R m 9 y b X V s Y T w v S X R l b V R 5 c G U + P E l 0 Z W 1 Q Y X R o P l N l Y 3 R p b 2 4 x L 2 h y b 2 Q l M j B I U l 9 S R F N f U m 9 s Z U F y Z W E v U 2 9 1 c m N l P C 9 J d G V t U G F 0 a D 4 8 L 0 l 0 Z W 1 M b 2 N h d G l v b j 4 8 U 3 R h Y m x l R W 5 0 c m l l c y A v P j w v S X R l b T 4 8 S X R l b T 4 8 S X R l b U x v Y 2 F 0 a W 9 u P j x J d G V t V H l w Z T 5 G b 3 J t d W x h P C 9 J d G V t V H l w Z T 4 8 S X R l b V B h d G g + U 2 V j d G l v b j E v a H J v Z C U y M E h S X 1 J E U 1 9 S b 2 x l Q X J l Y S 9 o c m 9 k X 0 h S X 1 J E U 1 9 S b 2 x l Q X J l Y T w v S X R l b V B h d G g + P C 9 J d G V t T G 9 j Y X R p b 2 4 + P F N 0 Y W J s Z U V u d H J p Z X M g L z 4 8 L 0 l 0 Z W 0 + P E l 0 Z W 0 + P E l 0 Z W 1 M b 2 N h d G l v b j 4 8 S X R l b V R 5 c G U + R m 9 y b X V s Y T w v S X R l b V R 5 c G U + P E l 0 Z W 1 Q Y X R o P l N l Y 3 R p b 2 4 x L 2 h y b 2 Q l M j B I U l 9 S R F N f U m 9 s Z U F y Z W E v U 2 9 y d G V k J T I w U m 9 3 c z w v S X R l b V B h d G g + P C 9 J d G V t T G 9 j Y X R p b 2 4 + P F N 0 Y W J s Z U V u d H J p Z X M g L z 4 8 L 0 l 0 Z W 0 + P E l 0 Z W 0 + P E l 0 Z W 1 M b 2 N h d G l v b j 4 8 S X R l b V R 5 c G U + R m 9 y b X V s Y T w v S X R l b V R 5 c G U + P E l 0 Z W 1 Q Y X R o P l N l Y 3 R p b 2 4 x L 2 h y b 2 Q l M j B I U l 9 H Z W 5 k Z X J f V G l t Z X N l c m l l c z 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G a W x s U 3 R h d H V z I i B W Y W x 1 Z T 0 i c 0 N v b X B s Z X R l I i A v P j x F b n R y e S B U e X B l P S J G a W x s Q 2 9 1 b n Q i I F Z h b H V l P S J s M T A i I C 8 + P E V u d H J 5 I F R 5 c G U 9 I k Z p b G x F c n J v c k N v d W 5 0 I i B W Y W x 1 Z T 0 i b D A i I C 8 + P E V u d H J 5 I F R 5 c G U 9 I k Z p b G x D b 2 x 1 b W 5 U e X B l c y I g V m F s d W U 9 I n N C Z 1 V G Q l F V Q 0 F n V U Z C U V V G Q l E 9 P S I g L z 4 8 R W 5 0 c n k g V H l w Z T 0 i R m l s b E N v b H V t b k 5 h b W V z I i B W Y W x 1 Z T 0 i c 1 s m c X V v d D t Z Z W F y J n F 1 b 3 Q 7 L C Z x d W 9 0 O 1 d U R m V t Y W x l J n F 1 b 3 Q 7 L C Z x d W 9 0 O 1 d U T W F s Z S Z x d W 9 0 O y w m c X V v d D t S R F N G Z W 1 h b G U m c X V v d D s s J n F 1 b 3 Q 7 U k R T T W F s Z S Z x d W 9 0 O y w m c X V v d D t S R F M g R n V s b H R p b W V G Z W 1 h b G U m c X V v d D s s J n F 1 b 3 Q 7 U k R T I E Z 1 b G x 0 a W 1 l T W F s Z S Z x d W 9 0 O y w m c X V v d D t D b 2 5 0 c m 9 s R m V t Y W x l J n F 1 b 3 Q 7 L C Z x d W 9 0 O 0 N v b n R y b 2 x N Y W x l J n F 1 b 3 Q 7 L C Z x d W 9 0 O 1 N 1 c H B v c n R G Z W 1 h b G U m c X V v d D s s J n F 1 b 3 Q 7 U 3 V w c G 9 y d E 1 h b G U m c X V v d D s s J n F 1 b 3 Q 7 V m 9 s R m V t Y W x l J n F 1 b 3 Q 7 L C Z x d W 9 0 O 1 Z v b E 1 h b G U m c X V v d D t d I i A v P j x F b n R y e S B U e X B l P S J G a W x s R X J y b 3 J D b 2 R l I i B W Y W x 1 Z T 0 i c 1 V u a 2 5 v d 2 4 i I C 8 + P E V u d H J 5 I F R 5 c G U 9 I k Z p b G x M Y X N 0 V X B k Y X R l Z C I g V m F s d W U 9 I m Q y M D I x L T A 4 L T E w V D E w O j Q 0 O j Q 1 L j k w N D Q x N T J a I i A v P j x F b n R y e S B U e X B l P S J S Z W x h d G l v b n N o a X B J b m Z v Q 2 9 u d G F p b m V y I i B W Y W x 1 Z T 0 i c 3 s m c X V v d D t j b 2 x 1 b W 5 D b 3 V u d C Z x d W 9 0 O z o x M y w m c X V v d D t r Z X l D b 2 x 1 b W 5 O Y W 1 l c y Z x d W 9 0 O z p b X S w m c X V v d D t x d W V y e V J l b G F 0 a W 9 u c 2 h p c H M m c X V v d D s 6 W 1 0 s J n F 1 b 3 Q 7 Y 2 9 s d W 1 u S W R l b n R p d G l l c y Z x d W 9 0 O z p b J n F 1 b 3 Q 7 U 2 V y d m V y L k R h d G F i Y X N l X F w v M i 9 T U U w v c y 1 z c n M t d j A x X F x c X H B k c z t S Q V A v a H J v Z C 9 o c m 9 k L k h S X 0 d l b m R l c l 9 U a W 1 l c 2 V y a W V z L n t Z Z W F y L D B 9 J n F 1 b 3 Q 7 L C Z x d W 9 0 O 1 N l c n Z l c i 5 E Y X R h Y m F z Z V x c L z I v U 1 F M L 3 M t c 3 J z L X Y w M V x c X F x w Z H M 7 U k F Q L 2 h y b 2 Q v a H J v Z C 5 I U l 9 H Z W 5 k Z X J f V G l t Z X N l c m l l c y 5 7 V 1 R G Z W 1 h b G U s M X 0 m c X V v d D s s J n F 1 b 3 Q 7 U 2 V y d m V y L k R h d G F i Y X N l X F w v M i 9 T U U w v c y 1 z c n M t d j A x X F x c X H B k c z t S Q V A v a H J v Z C 9 o c m 9 k L k h S X 0 d l b m R l c l 9 U a W 1 l c 2 V y a W V z L n t X V E 1 h b G U s M n 0 m c X V v d D s s J n F 1 b 3 Q 7 U 2 V y d m V y L k R h d G F i Y X N l X F w v M i 9 T U U w v c y 1 z c n M t d j A x X F x c X H B k c z t S Q V A v a H J v Z C 9 o c m 9 k L k h S X 0 d l b m R l c l 9 U a W 1 l c 2 V y a W V z L n t S R F N G Z W 1 h b G U s M 3 0 m c X V v d D s s J n F 1 b 3 Q 7 U 2 V y d m V y L k R h d G F i Y X N l X F w v M i 9 T U U w v c y 1 z c n M t d j A x X F x c X H B k c z t S Q V A v a H J v Z C 9 o c m 9 k L k h S X 0 d l b m R l c l 9 U a W 1 l c 2 V y a W V z L n t S R F N N Y W x l L D R 9 J n F 1 b 3 Q 7 L C Z x d W 9 0 O 1 N l c n Z l c i 5 E Y X R h Y m F z Z V x c L z I v U 1 F M L 3 M t c 3 J z L X Y w M V x c X F x w Z H M 7 U k F Q L 2 h y b 2 Q v a H J v Z C 5 I U l 9 H Z W 5 k Z X J f V G l t Z X N l c m l l c y 5 7 U k R T I E Z 1 b G x 0 a W 1 l R m V t Y W x l L D V 9 J n F 1 b 3 Q 7 L C Z x d W 9 0 O 1 N l c n Z l c i 5 E Y X R h Y m F z Z V x c L z I v U 1 F M L 3 M t c 3 J z L X Y w M V x c X F x w Z H M 7 U k F Q L 2 h y b 2 Q v a H J v Z C 5 I U l 9 H Z W 5 k Z X J f V G l t Z X N l c m l l c y 5 7 U k R T I E Z 1 b G x 0 a W 1 l T W F s Z S w 2 f S Z x d W 9 0 O y w m c X V v d D t T Z X J 2 Z X I u R G F 0 Y W J h c 2 V c X C 8 y L 1 N R T C 9 z L X N y c y 1 2 M D F c X F x c c G R z O 1 J B U C 9 o c m 9 k L 2 h y b 2 Q u S F J f R 2 V u Z G V y X 1 R p b W V z Z X J p Z X M u e 0 N v b n R y b 2 x G Z W 1 h b G U s N 3 0 m c X V v d D s s J n F 1 b 3 Q 7 U 2 V y d m V y L k R h d G F i Y X N l X F w v M i 9 T U U w v c y 1 z c n M t d j A x X F x c X H B k c z t S Q V A v a H J v Z C 9 o c m 9 k L k h S X 0 d l b m R l c l 9 U a W 1 l c 2 V y a W V z L n t D b 2 5 0 c m 9 s T W F s Z S w 4 f S Z x d W 9 0 O y w m c X V v d D t T Z X J 2 Z X I u R G F 0 Y W J h c 2 V c X C 8 y L 1 N R T C 9 z L X N y c y 1 2 M D F c X F x c c G R z O 1 J B U C 9 o c m 9 k L 2 h y b 2 Q u S F J f R 2 V u Z G V y X 1 R p b W V z Z X J p Z X M u e 1 N 1 c H B v c n R G Z W 1 h b G U s O X 0 m c X V v d D s s J n F 1 b 3 Q 7 U 2 V y d m V y L k R h d G F i Y X N l X F w v M i 9 T U U w v c y 1 z c n M t d j A x X F x c X H B k c z t S Q V A v a H J v Z C 9 o c m 9 k L k h S X 0 d l b m R l c l 9 U a W 1 l c 2 V y a W V z L n t T d X B w b 3 J 0 T W F s Z S w x M H 0 m c X V v d D s s J n F 1 b 3 Q 7 U 2 V y d m V y L k R h d G F i Y X N l X F w v M i 9 T U U w v c y 1 z c n M t d j A x X F x c X H B k c z t S Q V A v a H J v Z C 9 o c m 9 k L k h S X 0 d l b m R l c l 9 U a W 1 l c 2 V y a W V z L n t W b 2 x G Z W 1 h b G U s M T F 9 J n F 1 b 3 Q 7 L C Z x d W 9 0 O 1 N l c n Z l c i 5 E Y X R h Y m F z Z V x c L z I v U 1 F M L 3 M t c 3 J z L X Y w M V x c X F x w Z H M 7 U k F Q L 2 h y b 2 Q v a H J v Z C 5 I U l 9 H Z W 5 k Z X J f V G l t Z X N l c m l l c y 5 7 V m 9 s T W F s Z S w x M n 0 m c X V v d D t d L C Z x d W 9 0 O 0 N v b H V t b k N v d W 5 0 J n F 1 b 3 Q 7 O j E z L C Z x d W 9 0 O 0 t l e U N v b H V t b k 5 h b W V z J n F 1 b 3 Q 7 O l t d L C Z x d W 9 0 O 0 N v b H V t b k l k Z W 5 0 a X R p Z X M m c X V v d D s 6 W y Z x d W 9 0 O 1 N l c n Z l c i 5 E Y X R h Y m F z Z V x c L z I v U 1 F M L 3 M t c 3 J z L X Y w M V x c X F x w Z H M 7 U k F Q L 2 h y b 2 Q v a H J v Z C 5 I U l 9 H Z W 5 k Z X J f V G l t Z X N l c m l l c y 5 7 W W V h c i w w f S Z x d W 9 0 O y w m c X V v d D t T Z X J 2 Z X I u R G F 0 Y W J h c 2 V c X C 8 y L 1 N R T C 9 z L X N y c y 1 2 M D F c X F x c c G R z O 1 J B U C 9 o c m 9 k L 2 h y b 2 Q u S F J f R 2 V u Z G V y X 1 R p b W V z Z X J p Z X M u e 1 d U R m V t Y W x l L D F 9 J n F 1 b 3 Q 7 L C Z x d W 9 0 O 1 N l c n Z l c i 5 E Y X R h Y m F z Z V x c L z I v U 1 F M L 3 M t c 3 J z L X Y w M V x c X F x w Z H M 7 U k F Q L 2 h y b 2 Q v a H J v Z C 5 I U l 9 H Z W 5 k Z X J f V G l t Z X N l c m l l c y 5 7 V 1 R N Y W x l L D J 9 J n F 1 b 3 Q 7 L C Z x d W 9 0 O 1 N l c n Z l c i 5 E Y X R h Y m F z Z V x c L z I v U 1 F M L 3 M t c 3 J z L X Y w M V x c X F x w Z H M 7 U k F Q L 2 h y b 2 Q v a H J v Z C 5 I U l 9 H Z W 5 k Z X J f V G l t Z X N l c m l l c y 5 7 U k R T R m V t Y W x l L D N 9 J n F 1 b 3 Q 7 L C Z x d W 9 0 O 1 N l c n Z l c i 5 E Y X R h Y m F z Z V x c L z I v U 1 F M L 3 M t c 3 J z L X Y w M V x c X F x w Z H M 7 U k F Q L 2 h y b 2 Q v a H J v Z C 5 I U l 9 H Z W 5 k Z X J f V G l t Z X N l c m l l c y 5 7 U k R T T W F s Z S w 0 f S Z x d W 9 0 O y w m c X V v d D t T Z X J 2 Z X I u R G F 0 Y W J h c 2 V c X C 8 y L 1 N R T C 9 z L X N y c y 1 2 M D F c X F x c c G R z O 1 J B U C 9 o c m 9 k L 2 h y b 2 Q u S F J f R 2 V u Z G V y X 1 R p b W V z Z X J p Z X M u e 1 J E U y B G d W x s d G l t Z U Z l b W F s Z S w 1 f S Z x d W 9 0 O y w m c X V v d D t T Z X J 2 Z X I u R G F 0 Y W J h c 2 V c X C 8 y L 1 N R T C 9 z L X N y c y 1 2 M D F c X F x c c G R z O 1 J B U C 9 o c m 9 k L 2 h y b 2 Q u S F J f R 2 V u Z G V y X 1 R p b W V z Z X J p Z X M u e 1 J E U y B G d W x s d G l t Z U 1 h b G U s N n 0 m c X V v d D s s J n F 1 b 3 Q 7 U 2 V y d m V y L k R h d G F i Y X N l X F w v M i 9 T U U w v c y 1 z c n M t d j A x X F x c X H B k c z t S Q V A v a H J v Z C 9 o c m 9 k L k h S X 0 d l b m R l c l 9 U a W 1 l c 2 V y a W V z L n t D b 2 5 0 c m 9 s R m V t Y W x l L D d 9 J n F 1 b 3 Q 7 L C Z x d W 9 0 O 1 N l c n Z l c i 5 E Y X R h Y m F z Z V x c L z I v U 1 F M L 3 M t c 3 J z L X Y w M V x c X F x w Z H M 7 U k F Q L 2 h y b 2 Q v a H J v Z C 5 I U l 9 H Z W 5 k Z X J f V G l t Z X N l c m l l c y 5 7 Q 2 9 u d H J v b E 1 h b G U s O H 0 m c X V v d D s s J n F 1 b 3 Q 7 U 2 V y d m V y L k R h d G F i Y X N l X F w v M i 9 T U U w v c y 1 z c n M t d j A x X F x c X H B k c z t S Q V A v a H J v Z C 9 o c m 9 k L k h S X 0 d l b m R l c l 9 U a W 1 l c 2 V y a W V z L n t T d X B w b 3 J 0 R m V t Y W x l L D l 9 J n F 1 b 3 Q 7 L C Z x d W 9 0 O 1 N l c n Z l c i 5 E Y X R h Y m F z Z V x c L z I v U 1 F M L 3 M t c 3 J z L X Y w M V x c X F x w Z H M 7 U k F Q L 2 h y b 2 Q v a H J v Z C 5 I U l 9 H Z W 5 k Z X J f V G l t Z X N l c m l l c y 5 7 U 3 V w c G 9 y d E 1 h b G U s M T B 9 J n F 1 b 3 Q 7 L C Z x d W 9 0 O 1 N l c n Z l c i 5 E Y X R h Y m F z Z V x c L z I v U 1 F M L 3 M t c 3 J z L X Y w M V x c X F x w Z H M 7 U k F Q L 2 h y b 2 Q v a H J v Z C 5 I U l 9 H Z W 5 k Z X J f V G l t Z X N l c m l l c y 5 7 V m 9 s R m V t Y W x l L D E x f S Z x d W 9 0 O y w m c X V v d D t T Z X J 2 Z X I u R G F 0 Y W J h c 2 V c X C 8 y L 1 N R T C 9 z L X N y c y 1 2 M D F c X F x c c G R z O 1 J B U C 9 o c m 9 k L 2 h y b 2 Q u S F J f R 2 V u Z G V y X 1 R p b W V z Z X J p Z X M u e 1 Z v b E 1 h b G U s M T J 9 J n F 1 b 3 Q 7 X S w m c X V v d D t S Z W x h d G l v b n N o a X B J b m Z v J n F 1 b 3 Q 7 O l t d f S I g L z 4 8 R W 5 0 c n k g V H l w Z T 0 i R m l s b G V k Q 2 9 t c G x l d G V S Z X N 1 b H R U b 1 d v c m t z a G V l d C I g V m F s d W U 9 I m w x I i A v P j x F b n R y e S B U e X B l P S J B Z G R l Z F R v R G F 0 Y U 1 v Z G V s I i B W Y W x 1 Z T 0 i b D A i I C 8 + P E V u d H J 5 I F R 5 c G U 9 I l J l Y 2 9 2 Z X J 5 V G F y Z 2 V 0 U 2 h l Z X Q i I F Z h b H V l P S J z R 2 V u Z G V y I F R p b W V z Z X J p Z X M i I C 8 + P E V u d H J 5 I F R 5 c G U 9 I l J l Y 2 9 2 Z X J 5 V G F y Z 2 V 0 Q 2 9 s d W 1 u I i B W Y W x 1 Z T 0 i b D E i I C 8 + P E V u d H J 5 I F R 5 c G U 9 I l J l Y 2 9 2 Z X J 5 V G F y Z 2 V 0 U m 9 3 I i B W Y W x 1 Z T 0 i b D E w I i A v P j x F b n R y e S B U e X B l P S J G a W x s V G F y Z 2 V 0 I i B W Y W x 1 Z T 0 i c 2 h y b 2 R f S F J f R 2 V u Z G V y X 1 R p b W V z Z X J p Z X M i I C 8 + P E V u d H J 5 I F R 5 c G U 9 I l F 1 Z X J 5 S U Q i I F Z h b H V l P S J z N z V l Y 2 F m N D c t Z T B m Y y 0 0 M D M 2 L T l l Z D U t Y j F l O D M y N z N m N D E z I i A v P j w v U 3 R h Y m x l R W 5 0 c m l l c z 4 8 L 0 l 0 Z W 0 + P E l 0 Z W 0 + P E l 0 Z W 1 M b 2 N h d G l v b j 4 8 S X R l b V R 5 c G U + R m 9 y b X V s Y T w v S X R l b V R 5 c G U + P E l 0 Z W 1 Q Y X R o P l N l Y 3 R p b 2 4 x L 2 h y b 2 Q l M j B I U l 9 H Z W 5 k Z X J f V G l t Z X N l c m l l c y 9 T b 3 V y Y 2 U 8 L 0 l 0 Z W 1 Q Y X R o P j w v S X R l b U x v Y 2 F 0 a W 9 u P j x T d G F i b G V F b n R y a W V z I C 8 + P C 9 J d G V t P j x J d G V t P j x J d G V t T G 9 j Y X R p b 2 4 + P E l 0 Z W 1 U e X B l P k Z v c m 1 1 b G E 8 L 0 l 0 Z W 1 U e X B l P j x J d G V t U G F 0 a D 5 T Z W N 0 a W 9 u M S 9 o c m 9 k J T I w S F J f R 2 V u Z G V y X 1 R p b W V z Z X J p Z X M v a H J v Z F 9 I U l 9 H Z W 5 k Z X J f V G l t Z X N l c m l l c z w v S X R l b V B h d G g + P C 9 J d G V t T G 9 j Y X R p b 2 4 + P F N 0 Y W J s Z U V u d H J p Z X M g L z 4 8 L 0 l 0 Z W 0 + P E l 0 Z W 0 + P E l 0 Z W 1 M b 2 N h d G l v b j 4 8 S X R l b V R 5 c G U + R m 9 y b X V s Y T w v S X R l b V R 5 c G U + P E l 0 Z W 1 Q Y X R o P l N l Y 3 R p b 2 4 x L 2 h y b 2 Q l M j B I U l 9 H Z W 5 k Z X J f V G l t Z X N l c m l l c y 9 T b 3 J 0 Z W Q l M j B S b 3 d z P C 9 J d G V t U G F 0 a D 4 8 L 0 l 0 Z W 1 M b 2 N h d G l v b j 4 8 U 3 R h Y m x l R W 5 0 c m l l c y A v P j w v S X R l b T 4 8 S X R l b T 4 8 S X R l b U x v Y 2 F 0 a W 9 u P j x J d G V t V H l w Z T 5 G b 3 J t d W x h P C 9 J d G V t V H l w Z T 4 8 S X R l b V B h d G g + U 2 V j d G l v b j E v a H J v Z C U y M E h S X 0 d l b m R l c l 9 U a W 1 l c 2 V y a W V z L 1 J l b W 9 2 Z W Q l M j B U b 3 A l M j B S b 3 d z P C 9 J d G V t U G F 0 a D 4 8 L 0 l 0 Z W 1 M b 2 N h d G l v b j 4 8 U 3 R h Y m x l R W 5 0 c m l l c y A v P j w v S X R l b T 4 8 S X R l b T 4 8 S X R l b U x v Y 2 F 0 a W 9 u P j x J d G V t V H l w Z T 5 G b 3 J t d W x h P C 9 J d G V t V H l w Z T 4 8 S X R l b V B h d G g + U 2 V j d G l v b j E v a H J v Z C U y M E h S X 0 N T X 1 J v b G V B c m V h 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R X h j Z X B 0 a W 9 u I i A v P j x F b n R y e S B U e X B l P S J G a W x s V G F y Z 2 V 0 I i B W Y W x 1 Z T 0 i c 2 h y b 2 R f S F J f Q 1 N f U m 9 s Z U F y Z W E i I C 8 + P E V u d H J 5 I F R 5 c G U 9 I k Z p b G x T d G F 0 d X M i I F Z h b H V l P S J z Q 2 9 t c G x l d G U i I C 8 + P E V u d H J 5 I F R 5 c G U 9 I k Z p b G x D b 3 V u d C I g V m F s d W U 9 I m w 4 I i A v P j x F b n R y e S B U e X B l P S J G a W x s R X J y b 3 J D b 3 V u d C I g V m F s d W U 9 I m w w I i A v P j x F b n R y e S B U e X B l P S J G a W x s Q 2 9 s d W 1 u V H l w Z X M i I F Z h b H V l P S J z Q m d Z R 0 J n S U Z C U V V G Q l E 9 P S I g L z 4 8 R W 5 0 c n k g V H l w Z T 0 i R m l s b E N v b H V t b k 5 h b W V z I i B W Y W x 1 Z T 0 i c 1 s m c X V v d D t Z Z W F y J n F 1 b 3 Q 7 L C Z x d W 9 0 O 1 J l c G 9 y d G l u Z 0 x l d m V s J n F 1 b 3 Q 7 L C Z x d W 9 0 O 0 F y Z W E m c X V v d D s s J n F 1 b 3 Q 7 R 1 N T I E N v Z G U m c X V v d D s s J n F 1 b 3 Q 7 Q X J l Y S B N Y W 5 h Z 2 V y J n F 1 b 3 Q 7 L C Z x d W 9 0 O 0 d y b 3 V w I E 1 h b m F n Z X I m c X V v d D s s J n F 1 b 3 Q 7 U 3 R h d G l v b i B N Y W 5 h Z 2 V y J n F 1 b 3 Q 7 L C Z x d W 9 0 O 1 d h d G N o I E 1 h b m F n Z X I m c X V v d D s s J n F 1 b 3 Q 7 Q 3 J l d y B N Y W 5 h Z 2 V y J n F 1 b 3 Q 7 L C Z x d W 9 0 O 0 N v b n R y b 2 w g T 3 B l c m F 0 b 3 I m c X V v d D t d I i A v P j x F b n R y e S B U e X B l P S J G a W x s R X J y b 3 J D b 2 R l I i B W Y W x 1 Z T 0 i c 1 V u a 2 5 v d 2 4 i I C 8 + P E V u d H J 5 I F R 5 c G U 9 I k Z p b G x M Y X N 0 V X B k Y X R l Z C I g V m F s d W U 9 I m Q y M D I x L T A 4 L T E x V D A 4 O j M 4 O j Q 2 L j E 4 M z I y M D R a I i A v P j x F b n R y e S B U e X B l P S J G a W x s Z W R D b 2 1 w b G V 0 Z V J l c 3 V s d F R v V 2 9 y a 3 N o Z W V 0 I i B W Y W x 1 Z T 0 i b D E i I C 8 + P E V u d H J 5 I F R 5 c G U 9 I k F k Z G V k V G 9 E Y X R h T W 9 k Z W w i I F Z h b H V l P S J s M C I g L z 4 8 R W 5 0 c n k g V H l w Z T 0 i U m V j b 3 Z l c n l U Y X J n Z X R T a G V l d C I g V m F s d W U 9 I n N T a G V l d D M i I C 8 + P E V u d H J 5 I F R 5 c G U 9 I l J l Y 2 9 2 Z X J 5 V G F y Z 2 V 0 Q 2 9 s d W 1 u I i B W Y W x 1 Z T 0 i b D E i I C 8 + P E V u d H J 5 I F R 5 c G U 9 I l J l Y 2 9 2 Z X J 5 V G F y Z 2 V 0 U m 9 3 I i B W Y W x 1 Z T 0 i b D E i I C 8 + P E V u d H J 5 I F R 5 c G U 9 I l J l b G F 0 a W 9 u c 2 h p c E l u Z m 9 D b 2 5 0 Y W l u Z X I i I F Z h b H V l P S J z e y Z x d W 9 0 O 2 N v b H V t b k N v d W 5 0 J n F 1 b 3 Q 7 O j E w L C Z x d W 9 0 O 2 t l e U N v b H V t b k 5 h b W V z J n F 1 b 3 Q 7 O l t d L C Z x d W 9 0 O 3 F 1 Z X J 5 U m V s Y X R p b 2 5 z a G l w c y Z x d W 9 0 O z p b X S w m c X V v d D t j b 2 x 1 b W 5 J Z G V u d G l 0 a W V z J n F 1 b 3 Q 7 O l s m c X V v d D t T Z X J 2 Z X I u R G F 0 Y W J h c 2 V c X C 8 y L 1 N R T C 9 z L X N y c y 1 2 M D F c X F x c c G R z O 1 J B U C 9 o c m 9 k L 2 h y b 2 Q u S F J f Q 1 N f U m 9 s Z U F y Z W E u e 1 l l Y X I s M H 0 m c X V v d D s s J n F 1 b 3 Q 7 U 2 V y d m V y L k R h d G F i Y X N l X F w v M i 9 T U U w v c y 1 z c n M t d j A x X F x c X H B k c z t S Q V A v a H J v Z C 9 o c m 9 k L k h S X 0 N T X 1 J v b G V B c m V h L n t S Z X B v c n R p b m d M Z X Z l b C w x f S Z x d W 9 0 O y w m c X V v d D t T Z X J 2 Z X I u R G F 0 Y W J h c 2 V c X C 8 y L 1 N R T C 9 z L X N y c y 1 2 M D F c X F x c c G R z O 1 J B U C 9 o c m 9 k L 2 h y b 2 Q u S F J f Q 1 N f U m 9 s Z U F y Z W E u e 0 F y Z W E s M n 0 m c X V v d D s s J n F 1 b 3 Q 7 U 2 V y d m V y L k R h d G F i Y X N l X F w v M i 9 T U U w v c y 1 z c n M t d j A x X F x c X H B k c z t S Q V A v a H J v Z C 9 o c m 9 k L k h S X 0 N T X 1 J v b G V B c m V h L n t H U 1 M g Q 2 9 k Z S w z f S Z x d W 9 0 O y w m c X V v d D t T Z X J 2 Z X I u R G F 0 Y W J h c 2 V c X C 8 y L 1 N R T C 9 z L X N y c y 1 2 M D F c X F x c c G R z O 1 J B U C 9 o c m 9 k L 2 h y b 2 Q u S F J f Q 1 N f U m 9 s Z U F y Z W E u e 0 F y Z W E g T W F u Y W d l c i w 0 f S Z x d W 9 0 O y w m c X V v d D t T Z X J 2 Z X I u R G F 0 Y W J h c 2 V c X C 8 y L 1 N R T C 9 z L X N y c y 1 2 M D F c X F x c c G R z O 1 J B U C 9 o c m 9 k L 2 h y b 2 Q u S F J f Q 1 N f U m 9 s Z U F y Z W E u e 0 d y b 3 V w I E 1 h b m F n Z X I s N X 0 m c X V v d D s s J n F 1 b 3 Q 7 U 2 V y d m V y L k R h d G F i Y X N l X F w v M i 9 T U U w v c y 1 z c n M t d j A x X F x c X H B k c z t S Q V A v a H J v Z C 9 o c m 9 k L k h S X 0 N T X 1 J v b G V B c m V h L n t T d G F 0 a W 9 u I E 1 h b m F n Z X I s N n 0 m c X V v d D s s J n F 1 b 3 Q 7 U 2 V y d m V y L k R h d G F i Y X N l X F w v M i 9 T U U w v c y 1 z c n M t d j A x X F x c X H B k c z t S Q V A v a H J v Z C 9 o c m 9 k L k h S X 0 N T X 1 J v b G V B c m V h L n t X Y X R j a C B N Y W 5 h Z 2 V y L D d 9 J n F 1 b 3 Q 7 L C Z x d W 9 0 O 1 N l c n Z l c i 5 E Y X R h Y m F z Z V x c L z I v U 1 F M L 3 M t c 3 J z L X Y w M V x c X F x w Z H M 7 U k F Q L 2 h y b 2 Q v a H J v Z C 5 I U l 9 D U 1 9 S b 2 x l Q X J l Y S 5 7 Q 3 J l d y B N Y W 5 h Z 2 V y L D h 9 J n F 1 b 3 Q 7 L C Z x d W 9 0 O 1 N l c n Z l c i 5 E Y X R h Y m F z Z V x c L z I v U 1 F M L 3 M t c 3 J z L X Y w M V x c X F x w Z H M 7 U k F Q L 2 h y b 2 Q v a H J v Z C 5 I U l 9 D U 1 9 S b 2 x l Q X J l Y S 5 7 Q 2 9 u d H J v b C B P c G V y Y X R v c i w 5 f S Z x d W 9 0 O 1 0 s J n F 1 b 3 Q 7 Q 2 9 s d W 1 u Q 2 9 1 b n Q m c X V v d D s 6 M T A s J n F 1 b 3 Q 7 S 2 V 5 Q 2 9 s d W 1 u T m F t Z X M m c X V v d D s 6 W 1 0 s J n F 1 b 3 Q 7 Q 2 9 s d W 1 u S W R l b n R p d G l l c y Z x d W 9 0 O z p b J n F 1 b 3 Q 7 U 2 V y d m V y L k R h d G F i Y X N l X F w v M i 9 T U U w v c y 1 z c n M t d j A x X F x c X H B k c z t S Q V A v a H J v Z C 9 o c m 9 k L k h S X 0 N T X 1 J v b G V B c m V h L n t Z Z W F y L D B 9 J n F 1 b 3 Q 7 L C Z x d W 9 0 O 1 N l c n Z l c i 5 E Y X R h Y m F z Z V x c L z I v U 1 F M L 3 M t c 3 J z L X Y w M V x c X F x w Z H M 7 U k F Q L 2 h y b 2 Q v a H J v Z C 5 I U l 9 D U 1 9 S b 2 x l Q X J l Y S 5 7 U m V w b 3 J 0 a W 5 n T G V 2 Z W w s M X 0 m c X V v d D s s J n F 1 b 3 Q 7 U 2 V y d m V y L k R h d G F i Y X N l X F w v M i 9 T U U w v c y 1 z c n M t d j A x X F x c X H B k c z t S Q V A v a H J v Z C 9 o c m 9 k L k h S X 0 N T X 1 J v b G V B c m V h L n t B c m V h L D J 9 J n F 1 b 3 Q 7 L C Z x d W 9 0 O 1 N l c n Z l c i 5 E Y X R h Y m F z Z V x c L z I v U 1 F M L 3 M t c 3 J z L X Y w M V x c X F x w Z H M 7 U k F Q L 2 h y b 2 Q v a H J v Z C 5 I U l 9 D U 1 9 S b 2 x l Q X J l Y S 5 7 R 1 N T I E N v Z G U s M 3 0 m c X V v d D s s J n F 1 b 3 Q 7 U 2 V y d m V y L k R h d G F i Y X N l X F w v M i 9 T U U w v c y 1 z c n M t d j A x X F x c X H B k c z t S Q V A v a H J v Z C 9 o c m 9 k L k h S X 0 N T X 1 J v b G V B c m V h L n t B c m V h I E 1 h b m F n Z X I s N H 0 m c X V v d D s s J n F 1 b 3 Q 7 U 2 V y d m V y L k R h d G F i Y X N l X F w v M i 9 T U U w v c y 1 z c n M t d j A x X F x c X H B k c z t S Q V A v a H J v Z C 9 o c m 9 k L k h S X 0 N T X 1 J v b G V B c m V h L n t H c m 9 1 c C B N Y W 5 h Z 2 V y L D V 9 J n F 1 b 3 Q 7 L C Z x d W 9 0 O 1 N l c n Z l c i 5 E Y X R h Y m F z Z V x c L z I v U 1 F M L 3 M t c 3 J z L X Y w M V x c X F x w Z H M 7 U k F Q L 2 h y b 2 Q v a H J v Z C 5 I U l 9 D U 1 9 S b 2 x l Q X J l Y S 5 7 U 3 R h d G l v b i B N Y W 5 h Z 2 V y L D Z 9 J n F 1 b 3 Q 7 L C Z x d W 9 0 O 1 N l c n Z l c i 5 E Y X R h Y m F z Z V x c L z I v U 1 F M L 3 M t c 3 J z L X Y w M V x c X F x w Z H M 7 U k F Q L 2 h y b 2 Q v a H J v Z C 5 I U l 9 D U 1 9 S b 2 x l Q X J l Y S 5 7 V 2 F 0 Y 2 g g T W F u Y W d l c i w 3 f S Z x d W 9 0 O y w m c X V v d D t T Z X J 2 Z X I u R G F 0 Y W J h c 2 V c X C 8 y L 1 N R T C 9 z L X N y c y 1 2 M D F c X F x c c G R z O 1 J B U C 9 o c m 9 k L 2 h y b 2 Q u S F J f Q 1 N f U m 9 s Z U F y Z W E u e 0 N y Z X c g T W F u Y W d l c i w 4 f S Z x d W 9 0 O y w m c X V v d D t T Z X J 2 Z X I u R G F 0 Y W J h c 2 V c X C 8 y L 1 N R T C 9 z L X N y c y 1 2 M D F c X F x c c G R z O 1 J B U C 9 o c m 9 k L 2 h y b 2 Q u S F J f Q 1 N f U m 9 s Z U F y Z W E u e 0 N v b n R y b 2 w g T 3 B l c m F 0 b 3 I s O X 0 m c X V v d D t d L C Z x d W 9 0 O 1 J l b G F 0 a W 9 u c 2 h p c E l u Z m 8 m c X V v d D s 6 W 1 1 9 I i A v P j w v U 3 R h Y m x l R W 5 0 c m l l c z 4 8 L 0 l 0 Z W 0 + P E l 0 Z W 0 + P E l 0 Z W 1 M b 2 N h d G l v b j 4 8 S X R l b V R 5 c G U + R m 9 y b X V s Y T w v S X R l b V R 5 c G U + P E l 0 Z W 1 Q Y X R o P l N l Y 3 R p b 2 4 x L 2 h y b 2 Q l M j B I U l 9 D U 1 9 S b 2 x l Q X J l Y S 9 T b 3 V y Y 2 U 8 L 0 l 0 Z W 1 Q Y X R o P j w v S X R l b U x v Y 2 F 0 a W 9 u P j x T d G F i b G V F b n R y a W V z I C 8 + P C 9 J d G V t P j x J d G V t P j x J d G V t T G 9 j Y X R p b 2 4 + P E l 0 Z W 1 U e X B l P k Z v c m 1 1 b G E 8 L 0 l 0 Z W 1 U e X B l P j x J d G V t U G F 0 a D 5 T Z W N 0 a W 9 u M S 9 o c m 9 k J T I w S F J f Q 1 N f U m 9 s Z U F y Z W E v a H J v Z F 9 I U l 9 D U 1 9 S b 2 x l Q X J l Y T w v S X R l b V B h d G g + P C 9 J d G V t T G 9 j Y X R p b 2 4 + P F N 0 Y W J s Z U V u d H J p Z X M g L z 4 8 L 0 l 0 Z W 0 + P E l 0 Z W 0 + P E l 0 Z W 1 M b 2 N h d G l v b j 4 8 S X R l b V R 5 c G U + R m 9 y b X V s Y T w v S X R l b V R 5 c G U + P E l 0 Z W 1 Q Y X R o P l N l Y 3 R p b 2 4 x L 2 h y b 2 Q l M j B I U l 9 D U 1 9 S b 2 x l Q X J l Y S 9 T b 3 J 0 Z W Q l M j B S b 3 d z P C 9 J d G V t U G F 0 a D 4 8 L 0 l 0 Z W 1 M b 2 N h d G l v b j 4 8 U 3 R h Y m x l R W 5 0 c m l l c y A v P j w v S X R l b T 4 8 S X R l b T 4 8 S X R l b U x v Y 2 F 0 a W 9 u P j x J d G V t V H l w Z T 5 G b 3 J t d W x h P C 9 J d G V t V H l w Z T 4 8 S X R l b V B h d G g + U 2 V j d G l v b j E v a H J v Z C U y M E h S X 1 Z v b F 9 S b 2 x l Q X J l Y 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T G F z d F V w Z G F 0 Z W Q i I F Z h b H V l P S J k M j A y M S 0 w O C 0 x M V Q w O D o 0 M z o w M i 4 1 N D I w N T k 0 W i I g L z 4 8 R W 5 0 c n k g V H l w Z T 0 i R m l s b E V y c m 9 y Q 2 9 k Z S I g V m F s d W U 9 I n N V b m t u b 3 d u I i A v P j x F b n R y e S B U e X B l P S J G a W x s Q 2 9 s d W 1 u T m F t Z X M i I F Z h b H V l P S J z W y Z x d W 9 0 O 1 l l Y X I m c X V v d D s s J n F 1 b 3 Q 7 U m V w b 3 J 0 a W 5 n T G V 2 Z W w m c X V v d D s s J n F 1 b 3 Q 7 Q 2 9 k Z S Z x d W 9 0 O y w m c X V v d D t s d m w m c X V v d D s s J n F 1 b 3 Q 7 V G 9 0 Y W w m c X V v d D s s J n F 1 b 3 Q 7 V 2 F 0 Y 2 g g T W F u Y W d l c i Z x d W 9 0 O y w m c X V v d D t D c m V 3 I E 1 h b m F n Z X I m c X V v d D s s J n F 1 b 3 Q 7 R m l y Z W Z p Z 2 h 0 Z X I m c X V v d D t d I i A v P j x F b n R y e S B U e X B l P S J G a W x s Q 2 9 s d W 1 u V H l w Z X M i I F Z h b H V l P S J z Q m d Z R 0 J n V U Z C U V U 9 I i A v P j x F b n R y e S B U e X B l P S J G a W x s R X J y b 3 J D b 3 V u d C I g V m F s d W U 9 I m w w I i A v P j x F b n R y e S B U e X B l P S J G a W x s Q 2 9 1 b n Q i I F Z h b H V l P S J s M T U 2 I i A v P j x F b n R y e S B U e X B l P S J G a W x s U 3 R h d H V z I i B W Y W x 1 Z T 0 i c 0 N v b X B s Z X R l I i A v P j x F b n R y e S B U e X B l P S J G a W x s V G F y Z 2 V 0 I i B W Y W x 1 Z T 0 i c 2 h y b 2 R f S F J f V m 9 s X 1 J v b G V B c m V h I i A v P j x F b n R y e S B U e X B l P S J G a W x s Z W R D b 2 1 w b G V 0 Z V J l c 3 V s d F R v V 2 9 y a 3 N o Z W V 0 I i B W Y W x 1 Z T 0 i b D E i I C 8 + P E V u d H J 5 I F R 5 c G U 9 I k F k Z G V k V G 9 E Y X R h T W 9 k Z W w i I F Z h b H V l P S J s M C I g L z 4 8 R W 5 0 c n k g V H l w Z T 0 i U m V j b 3 Z l c n l U Y X J n Z X R T a G V l d C I g V m F s d W U 9 I n N T a G V l d D Y i I C 8 + P E V u d H J 5 I F R 5 c G U 9 I l J l Y 2 9 2 Z X J 5 V G F y Z 2 V 0 Q 2 9 s d W 1 u I i B W Y W x 1 Z T 0 i b D E i I C 8 + P E V u d H J 5 I F R 5 c G U 9 I l J l Y 2 9 2 Z X J 5 V G F y Z 2 V 0 U m 9 3 I i B W Y W x 1 Z T 0 i b D E i I C 8 + P E V u d H J 5 I F R 5 c G U 9 I l J l b G F 0 a W 9 u c 2 h p c E l u Z m 9 D b 2 5 0 Y W l u Z X I i I F Z h b H V l P S J z e y Z x d W 9 0 O 2 N v b H V t b k N v d W 5 0 J n F 1 b 3 Q 7 O j g s J n F 1 b 3 Q 7 a 2 V 5 Q 2 9 s d W 1 u T m F t Z X M m c X V v d D s 6 W 1 0 s J n F 1 b 3 Q 7 c X V l c n l S Z W x h d G l v b n N o a X B z J n F 1 b 3 Q 7 O l t d L C Z x d W 9 0 O 2 N v b H V t b k l k Z W 5 0 a X R p Z X M m c X V v d D s 6 W y Z x d W 9 0 O 1 N l c n Z l c i 5 E Y X R h Y m F z Z V x c L z I v U 1 F M L 3 M t c 3 J z L X Y w M V x c X F x w Z H M 7 U k F Q L 2 h y b 2 Q v a H J v Z C 5 I U l 9 W b 2 x f U m 9 s Z U F y Z W E u e 1 l l Y X I s M H 0 m c X V v d D s s J n F 1 b 3 Q 7 U 2 V y d m V y L k R h d G F i Y X N l X F w v M i 9 T U U w v c y 1 z c n M t d j A x X F x c X H B k c z t S Q V A v a H J v Z C 9 o c m 9 k L k h S X 1 Z v b F 9 S b 2 x l Q X J l Y S 5 7 U m V w b 3 J 0 a W 5 n T G V 2 Z W w s M X 0 m c X V v d D s s J n F 1 b 3 Q 7 U 2 V y d m V y L k R h d G F i Y X N l X F w v M i 9 T U U w v c y 1 z c n M t d j A x X F x c X H B k c z t S Q V A v a H J v Z C 9 o c m 9 k L k h S X 1 Z v b F 9 S b 2 x l Q X J l Y S 5 7 Q 2 9 k Z S w y f S Z x d W 9 0 O y w m c X V v d D t T Z X J 2 Z X I u R G F 0 Y W J h c 2 V c X C 8 y L 1 N R T C 9 z L X N y c y 1 2 M D F c X F x c c G R z O 1 J B U C 9 o c m 9 k L 2 h y b 2 Q u S F J f V m 9 s X 1 J v b G V B c m V h L n t s d m w s M 3 0 m c X V v d D s s J n F 1 b 3 Q 7 U 2 V y d m V y L k R h d G F i Y X N l X F w v M i 9 T U U w v c y 1 z c n M t d j A x X F x c X H B k c z t S Q V A v a H J v Z C 9 o c m 9 k L k h S X 1 Z v b F 9 S b 2 x l Q X J l Y S 5 7 V G 9 0 Y W w s N H 0 m c X V v d D s s J n F 1 b 3 Q 7 U 2 V y d m V y L k R h d G F i Y X N l X F w v M i 9 T U U w v c y 1 z c n M t d j A x X F x c X H B k c z t S Q V A v a H J v Z C 9 o c m 9 k L k h S X 1 Z v b F 9 S b 2 x l Q X J l Y S 5 7 V 2 F 0 Y 2 g g T W F u Y W d l c i w 1 f S Z x d W 9 0 O y w m c X V v d D t T Z X J 2 Z X I u R G F 0 Y W J h c 2 V c X C 8 y L 1 N R T C 9 z L X N y c y 1 2 M D F c X F x c c G R z O 1 J B U C 9 o c m 9 k L 2 h y b 2 Q u S F J f V m 9 s X 1 J v b G V B c m V h L n t D c m V 3 I E 1 h b m F n Z X I s N n 0 m c X V v d D s s J n F 1 b 3 Q 7 U 2 V y d m V y L k R h d G F i Y X N l X F w v M i 9 T U U w v c y 1 z c n M t d j A x X F x c X H B k c z t S Q V A v a H J v Z C 9 o c m 9 k L k h S X 1 Z v b F 9 S b 2 x l Q X J l Y S 5 7 R m l y Z W Z p Z 2 h 0 Z X I s N 3 0 m c X V v d D t d L C Z x d W 9 0 O 0 N v b H V t b k N v d W 5 0 J n F 1 b 3 Q 7 O j g s J n F 1 b 3 Q 7 S 2 V 5 Q 2 9 s d W 1 u T m F t Z X M m c X V v d D s 6 W 1 0 s J n F 1 b 3 Q 7 Q 2 9 s d W 1 u S W R l b n R p d G l l c y Z x d W 9 0 O z p b J n F 1 b 3 Q 7 U 2 V y d m V y L k R h d G F i Y X N l X F w v M i 9 T U U w v c y 1 z c n M t d j A x X F x c X H B k c z t S Q V A v a H J v Z C 9 o c m 9 k L k h S X 1 Z v b F 9 S b 2 x l Q X J l Y S 5 7 W W V h c i w w f S Z x d W 9 0 O y w m c X V v d D t T Z X J 2 Z X I u R G F 0 Y W J h c 2 V c X C 8 y L 1 N R T C 9 z L X N y c y 1 2 M D F c X F x c c G R z O 1 J B U C 9 o c m 9 k L 2 h y b 2 Q u S F J f V m 9 s X 1 J v b G V B c m V h L n t S Z X B v c n R p b m d M Z X Z l b C w x f S Z x d W 9 0 O y w m c X V v d D t T Z X J 2 Z X I u R G F 0 Y W J h c 2 V c X C 8 y L 1 N R T C 9 z L X N y c y 1 2 M D F c X F x c c G R z O 1 J B U C 9 o c m 9 k L 2 h y b 2 Q u S F J f V m 9 s X 1 J v b G V B c m V h L n t D b 2 R l L D J 9 J n F 1 b 3 Q 7 L C Z x d W 9 0 O 1 N l c n Z l c i 5 E Y X R h Y m F z Z V x c L z I v U 1 F M L 3 M t c 3 J z L X Y w M V x c X F x w Z H M 7 U k F Q L 2 h y b 2 Q v a H J v Z C 5 I U l 9 W b 2 x f U m 9 s Z U F y Z W E u e 2 x 2 b C w z f S Z x d W 9 0 O y w m c X V v d D t T Z X J 2 Z X I u R G F 0 Y W J h c 2 V c X C 8 y L 1 N R T C 9 z L X N y c y 1 2 M D F c X F x c c G R z O 1 J B U C 9 o c m 9 k L 2 h y b 2 Q u S F J f V m 9 s X 1 J v b G V B c m V h L n t U b 3 R h b C w 0 f S Z x d W 9 0 O y w m c X V v d D t T Z X J 2 Z X I u R G F 0 Y W J h c 2 V c X C 8 y L 1 N R T C 9 z L X N y c y 1 2 M D F c X F x c c G R z O 1 J B U C 9 o c m 9 k L 2 h y b 2 Q u S F J f V m 9 s X 1 J v b G V B c m V h L n t X Y X R j a C B N Y W 5 h Z 2 V y L D V 9 J n F 1 b 3 Q 7 L C Z x d W 9 0 O 1 N l c n Z l c i 5 E Y X R h Y m F z Z V x c L z I v U 1 F M L 3 M t c 3 J z L X Y w M V x c X F x w Z H M 7 U k F Q L 2 h y b 2 Q v a H J v Z C 5 I U l 9 W b 2 x f U m 9 s Z U F y Z W E u e 0 N y Z X c g T W F u Y W d l c i w 2 f S Z x d W 9 0 O y w m c X V v d D t T Z X J 2 Z X I u R G F 0 Y W J h c 2 V c X C 8 y L 1 N R T C 9 z L X N y c y 1 2 M D F c X F x c c G R z O 1 J B U C 9 o c m 9 k L 2 h y b 2 Q u S F J f V m 9 s X 1 J v b G V B c m V h L n t G a X J l Z m l n a H R l c i w 3 f S Z x d W 9 0 O 1 0 s J n F 1 b 3 Q 7 U m V s Y X R p b 2 5 z a G l w S W 5 m b y Z x d W 9 0 O z p b X X 0 i I C 8 + P C 9 T d G F i b G V F b n R y a W V z P j w v S X R l b T 4 8 S X R l b T 4 8 S X R l b U x v Y 2 F 0 a W 9 u P j x J d G V t V H l w Z T 5 G b 3 J t d W x h P C 9 J d G V t V H l w Z T 4 8 S X R l b V B h d G g + U 2 V j d G l v b j E v a H J v Z C U y M E h S X 1 Z v b F 9 S b 2 x l Q X J l Y S 9 T b 3 V y Y 2 U 8 L 0 l 0 Z W 1 Q Y X R o P j w v S X R l b U x v Y 2 F 0 a W 9 u P j x T d G F i b G V F b n R y a W V z I C 8 + P C 9 J d G V t P j x J d G V t P j x J d G V t T G 9 j Y X R p b 2 4 + P E l 0 Z W 1 U e X B l P k Z v c m 1 1 b G E 8 L 0 l 0 Z W 1 U e X B l P j x J d G V t U G F 0 a D 5 T Z W N 0 a W 9 u M S 9 o c m 9 k J T I w S F J f V m 9 s X 1 J v b G V B c m V h L 2 h y b 2 R f S F J f V m 9 s X 1 J v b G V B c m V h P C 9 J d G V t U G F 0 a D 4 8 L 0 l 0 Z W 1 M b 2 N h d G l v b j 4 8 U 3 R h Y m x l R W 5 0 c m l l c y A v P j w v S X R l b T 4 8 S X R l b T 4 8 S X R l b U x v Y 2 F 0 a W 9 u P j x J d G V t V H l w Z T 5 G b 3 J t d W x h P C 9 J d G V t V H l w Z T 4 8 S X R l b V B h d G g + U 2 V j d G l v b j E v a H J v Z C U y M E h S X 1 Z v b F 9 S b 2 x l Q X J l Y S 9 T b 3 J 0 Z W Q l M j B S b 3 d z P C 9 J d G V t U G F 0 a D 4 8 L 0 l 0 Z W 1 M b 2 N h d G l v b j 4 8 U 3 R h Y m x l R W 5 0 c m l l c y A v P j w v S X R l b T 4 8 S X R l b T 4 8 S X R l b U x v Y 2 F 0 a W 9 u P j x J d G V t V H l w Z T 5 G b 3 J t d W x h P C 9 J d G V t V H l w Z T 4 8 S X R l b V B h d G g + U 2 V j d G l v b j E v a H J v Z C U y M E h S X 1 d U X 0 Z U R V 9 S b 2 x l Q X J l Y 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T G F z d F V w Z G F 0 Z W Q i I F Z h b H V l P S J k M j A y M S 0 w O C 0 y N 1 Q w O D o w N D o 1 N C 4 0 O D U 0 N D A x W i I g L z 4 8 R W 5 0 c n k g V H l w Z T 0 i R m l s b E V y c m 9 y Q 2 9 k Z S I g V m F s d W U 9 I n N V b m t u b 3 d u I i A v P j x F b n R y e S B U e X B l P S J G a W x s Q 2 9 s d W 1 u T m F t Z X M i I F Z h b H V l P S J z W y Z x d W 9 0 O 1 l l Y X I m c X V v d D s s J n F 1 b 3 Q 7 U m V w b 3 J 0 a W 5 n T G V 2 Z W w m c X V v d D s s J n F 1 b 3 Q 7 Q 2 9 k Z S Z x d W 9 0 O y w m c X V v d D t s d m w m c X V v d D s s J n F 1 b 3 Q 7 V G 9 0 Y W w m c X V v d D s s J n F 1 b 3 Q 7 Q X J l Y S B N Y W 5 h Z 2 V y J n F 1 b 3 Q 7 L C Z x d W 9 0 O 0 J y a W d h Z G U g T W F u Y W d l c i Z x d W 9 0 O y w m c X V v d D t D c m V 3 I E 1 h b m F n Z X I m c X V v d D s s J n F 1 b 3 Q 7 R m l y Z W Z p Z 2 h 0 Z X I m c X V v d D s s J n F 1 b 3 Q 7 R 3 J v d X A g T W F u Y W d l c i Z x d W 9 0 O y w m c X V v d D t T d G F 0 a W 9 u I E 1 h b m F n Z X I m c X V v d D s s J n F 1 b 3 Q 7 V 2 F 0 Y 2 g g T W F u Y W d l c i Z x d W 9 0 O 1 0 i I C 8 + P E V u d H J 5 I F R 5 c G U 9 I k Z p b G x D b 2 x 1 b W 5 U e X B l c y I g V m F s d W U 9 I n N C Z 1 l H Q m d V R k J R V U Z C U V V G I i A v P j x F b n R y e S B U e X B l P S J G a W x s R X J y b 3 J D b 3 V u d C I g V m F s d W U 9 I m w w I i A v P j x F b n R y e S B U e X B l P S J G a W x s Q 2 9 1 b n Q i I F Z h b H V l P S J s N D Q y I i A v P j x F b n R y e S B U e X B l P S J G a W x s U 3 R h d H V z I i B W Y W x 1 Z T 0 i c 0 N v b X B s Z X R l I i A v P j x F b n R y e S B U e X B l P S J G a W x s Z W R D b 2 1 w b G V 0 Z V J l c 3 V s d F R v V 2 9 y a 3 N o Z W V 0 I i B W Y W x 1 Z T 0 i b D E i I C 8 + P E V u d H J 5 I F R 5 c G U 9 I k F k Z G V k V G 9 E Y X R h T W 9 k Z W w i I F Z h b H V l P S J s M C I g L z 4 8 R W 5 0 c n k g V H l w Z T 0 i U m V j b 3 Z l c n l U Y X J n Z X R T a G V l d C I g V m F s d W U 9 I n N T a G V l d D E w I i A v P j x F b n R y e S B U e X B l P S J S Z W N v d m V y e V R h c m d l d E N v b H V t b i I g V m F s d W U 9 I m w x I i A v P j x F b n R y e S B U e X B l P S J S Z W N v d m V y e V R h c m d l d F J v d y I g V m F s d W U 9 I m w x I i A v P j x F b n R y e S B U e X B l P S J G a W x s V G F y Z 2 V 0 I i B W Y W x 1 Z T 0 i c 2 h y b 2 R f S F J f V 1 R f R l R F X 1 J v b G V B c m V h I i A v P j x F b n R y e S B U e X B l P S J S Z W x h d G l v b n N o a X B J b m Z v Q 2 9 u d G F p b m V y I i B W Y W x 1 Z T 0 i c 3 s m c X V v d D t j b 2 x 1 b W 5 D b 3 V u d C Z x d W 9 0 O z o x M i w m c X V v d D t r Z X l D b 2 x 1 b W 5 O Y W 1 l c y Z x d W 9 0 O z p b X S w m c X V v d D t x d W V y e V J l b G F 0 a W 9 u c 2 h p c H M m c X V v d D s 6 W 1 0 s J n F 1 b 3 Q 7 Y 2 9 s d W 1 u S W R l b n R p d G l l c y Z x d W 9 0 O z p b J n F 1 b 3 Q 7 U 2 V y d m V y L k R h d G F i Y X N l X F w v M i 9 T U U w v c y 1 z c n M t d j A x X F x c X H B k c z t S Q V A v a H J v Z C 9 o c m 9 k L k h S X 1 d U X 0 Z U R V 9 S b 2 x l Q X J l Y S 5 7 W W V h c i w w f S Z x d W 9 0 O y w m c X V v d D t T Z X J 2 Z X I u R G F 0 Y W J h c 2 V c X C 8 y L 1 N R T C 9 z L X N y c y 1 2 M D F c X F x c c G R z O 1 J B U C 9 o c m 9 k L 2 h y b 2 Q u S F J f V 1 R f R l R F X 1 J v b G V B c m V h L n t S Z X B v c n R p b m d M Z X Z l b C w x f S Z x d W 9 0 O y w m c X V v d D t T Z X J 2 Z X I u R G F 0 Y W J h c 2 V c X C 8 y L 1 N R T C 9 z L X N y c y 1 2 M D F c X F x c c G R z O 1 J B U C 9 o c m 9 k L 2 h y b 2 Q u S F J f V 1 R f R l R F X 1 J v b G V B c m V h L n t D b 2 R l L D J 9 J n F 1 b 3 Q 7 L C Z x d W 9 0 O 1 N l c n Z l c i 5 E Y X R h Y m F z Z V x c L z I v U 1 F M L 3 M t c 3 J z L X Y w M V x c X F x w Z H M 7 U k F Q L 2 h y b 2 Q v a H J v Z C 5 I U l 9 X V F 9 G V E V f U m 9 s Z U F y Z W E u e 2 x 2 b C w z f S Z x d W 9 0 O y w m c X V v d D t T Z X J 2 Z X I u R G F 0 Y W J h c 2 V c X C 8 y L 1 N R T C 9 z L X N y c y 1 2 M D F c X F x c c G R z O 1 J B U C 9 o c m 9 k L 2 h y b 2 Q u S F J f V 1 R f R l R F X 1 J v b G V B c m V h L n t U b 3 R h b C w 0 f S Z x d W 9 0 O y w m c X V v d D t T Z X J 2 Z X I u R G F 0 Y W J h c 2 V c X C 8 y L 1 N R T C 9 z L X N y c y 1 2 M D F c X F x c c G R z O 1 J B U C 9 o c m 9 k L 2 h y b 2 Q u S F J f V 1 R f R l R F X 1 J v b G V B c m V h L n t B c m V h I E 1 h b m F n Z X I s N X 0 m c X V v d D s s J n F 1 b 3 Q 7 U 2 V y d m V y L k R h d G F i Y X N l X F w v M i 9 T U U w v c y 1 z c n M t d j A x X F x c X H B k c z t S Q V A v a H J v Z C 9 o c m 9 k L k h S X 1 d U X 0 Z U R V 9 S b 2 x l Q X J l Y S 5 7 Q n J p Z 2 F k Z S B N Y W 5 h Z 2 V y L D Z 9 J n F 1 b 3 Q 7 L C Z x d W 9 0 O 1 N l c n Z l c i 5 E Y X R h Y m F z Z V x c L z I v U 1 F M L 3 M t c 3 J z L X Y w M V x c X F x w Z H M 7 U k F Q L 2 h y b 2 Q v a H J v Z C 5 I U l 9 X V F 9 G V E V f U m 9 s Z U F y Z W E u e 0 N y Z X c g T W F u Y W d l c i w 3 f S Z x d W 9 0 O y w m c X V v d D t T Z X J 2 Z X I u R G F 0 Y W J h c 2 V c X C 8 y L 1 N R T C 9 z L X N y c y 1 2 M D F c X F x c c G R z O 1 J B U C 9 o c m 9 k L 2 h y b 2 Q u S F J f V 1 R f R l R F X 1 J v b G V B c m V h L n t G a X J l Z m l n a H R l c i w 4 f S Z x d W 9 0 O y w m c X V v d D t T Z X J 2 Z X I u R G F 0 Y W J h c 2 V c X C 8 y L 1 N R T C 9 z L X N y c y 1 2 M D F c X F x c c G R z O 1 J B U C 9 o c m 9 k L 2 h y b 2 Q u S F J f V 1 R f R l R F X 1 J v b G V B c m V h L n t H c m 9 1 c C B N Y W 5 h Z 2 V y L D l 9 J n F 1 b 3 Q 7 L C Z x d W 9 0 O 1 N l c n Z l c i 5 E Y X R h Y m F z Z V x c L z I v U 1 F M L 3 M t c 3 J z L X Y w M V x c X F x w Z H M 7 U k F Q L 2 h y b 2 Q v a H J v Z C 5 I U l 9 X V F 9 G V E V f U m 9 s Z U F y Z W E u e 1 N 0 Y X R p b 2 4 g T W F u Y W d l c i w x M H 0 m c X V v d D s s J n F 1 b 3 Q 7 U 2 V y d m V y L k R h d G F i Y X N l X F w v M i 9 T U U w v c y 1 z c n M t d j A x X F x c X H B k c z t S Q V A v a H J v Z C 9 o c m 9 k L k h S X 1 d U X 0 Z U R V 9 S b 2 x l Q X J l Y S 5 7 V 2 F 0 Y 2 g g T W F u Y W d l c i w x M X 0 m c X V v d D t d L C Z x d W 9 0 O 0 N v b H V t b k N v d W 5 0 J n F 1 b 3 Q 7 O j E y L C Z x d W 9 0 O 0 t l e U N v b H V t b k 5 h b W V z J n F 1 b 3 Q 7 O l t d L C Z x d W 9 0 O 0 N v b H V t b k l k Z W 5 0 a X R p Z X M m c X V v d D s 6 W y Z x d W 9 0 O 1 N l c n Z l c i 5 E Y X R h Y m F z Z V x c L z I v U 1 F M L 3 M t c 3 J z L X Y w M V x c X F x w Z H M 7 U k F Q L 2 h y b 2 Q v a H J v Z C 5 I U l 9 X V F 9 G V E V f U m 9 s Z U F y Z W E u e 1 l l Y X I s M H 0 m c X V v d D s s J n F 1 b 3 Q 7 U 2 V y d m V y L k R h d G F i Y X N l X F w v M i 9 T U U w v c y 1 z c n M t d j A x X F x c X H B k c z t S Q V A v a H J v Z C 9 o c m 9 k L k h S X 1 d U X 0 Z U R V 9 S b 2 x l Q X J l Y S 5 7 U m V w b 3 J 0 a W 5 n T G V 2 Z W w s M X 0 m c X V v d D s s J n F 1 b 3 Q 7 U 2 V y d m V y L k R h d G F i Y X N l X F w v M i 9 T U U w v c y 1 z c n M t d j A x X F x c X H B k c z t S Q V A v a H J v Z C 9 o c m 9 k L k h S X 1 d U X 0 Z U R V 9 S b 2 x l Q X J l Y S 5 7 Q 2 9 k Z S w y f S Z x d W 9 0 O y w m c X V v d D t T Z X J 2 Z X I u R G F 0 Y W J h c 2 V c X C 8 y L 1 N R T C 9 z L X N y c y 1 2 M D F c X F x c c G R z O 1 J B U C 9 o c m 9 k L 2 h y b 2 Q u S F J f V 1 R f R l R F X 1 J v b G V B c m V h L n t s d m w s M 3 0 m c X V v d D s s J n F 1 b 3 Q 7 U 2 V y d m V y L k R h d G F i Y X N l X F w v M i 9 T U U w v c y 1 z c n M t d j A x X F x c X H B k c z t S Q V A v a H J v Z C 9 o c m 9 k L k h S X 1 d U X 0 Z U R V 9 S b 2 x l Q X J l Y S 5 7 V G 9 0 Y W w s N H 0 m c X V v d D s s J n F 1 b 3 Q 7 U 2 V y d m V y L k R h d G F i Y X N l X F w v M i 9 T U U w v c y 1 z c n M t d j A x X F x c X H B k c z t S Q V A v a H J v Z C 9 o c m 9 k L k h S X 1 d U X 0 Z U R V 9 S b 2 x l Q X J l Y S 5 7 Q X J l Y S B N Y W 5 h Z 2 V y L D V 9 J n F 1 b 3 Q 7 L C Z x d W 9 0 O 1 N l c n Z l c i 5 E Y X R h Y m F z Z V x c L z I v U 1 F M L 3 M t c 3 J z L X Y w M V x c X F x w Z H M 7 U k F Q L 2 h y b 2 Q v a H J v Z C 5 I U l 9 X V F 9 G V E V f U m 9 s Z U F y Z W E u e 0 J y a W d h Z G U g T W F u Y W d l c i w 2 f S Z x d W 9 0 O y w m c X V v d D t T Z X J 2 Z X I u R G F 0 Y W J h c 2 V c X C 8 y L 1 N R T C 9 z L X N y c y 1 2 M D F c X F x c c G R z O 1 J B U C 9 o c m 9 k L 2 h y b 2 Q u S F J f V 1 R f R l R F X 1 J v b G V B c m V h L n t D c m V 3 I E 1 h b m F n Z X I s N 3 0 m c X V v d D s s J n F 1 b 3 Q 7 U 2 V y d m V y L k R h d G F i Y X N l X F w v M i 9 T U U w v c y 1 z c n M t d j A x X F x c X H B k c z t S Q V A v a H J v Z C 9 o c m 9 k L k h S X 1 d U X 0 Z U R V 9 S b 2 x l Q X J l Y S 5 7 R m l y Z W Z p Z 2 h 0 Z X I s O H 0 m c X V v d D s s J n F 1 b 3 Q 7 U 2 V y d m V y L k R h d G F i Y X N l X F w v M i 9 T U U w v c y 1 z c n M t d j A x X F x c X H B k c z t S Q V A v a H J v Z C 9 o c m 9 k L k h S X 1 d U X 0 Z U R V 9 S b 2 x l Q X J l Y S 5 7 R 3 J v d X A g T W F u Y W d l c i w 5 f S Z x d W 9 0 O y w m c X V v d D t T Z X J 2 Z X I u R G F 0 Y W J h c 2 V c X C 8 y L 1 N R T C 9 z L X N y c y 1 2 M D F c X F x c c G R z O 1 J B U C 9 o c m 9 k L 2 h y b 2 Q u S F J f V 1 R f R l R F X 1 J v b G V B c m V h L n t T d G F 0 a W 9 u I E 1 h b m F n Z X I s M T B 9 J n F 1 b 3 Q 7 L C Z x d W 9 0 O 1 N l c n Z l c i 5 E Y X R h Y m F z Z V x c L z I v U 1 F M L 3 M t c 3 J z L X Y w M V x c X F x w Z H M 7 U k F Q L 2 h y b 2 Q v a H J v Z C 5 I U l 9 X V F 9 G V E V f U m 9 s Z U F y Z W E u e 1 d h d G N o I E 1 h b m F n Z X I s M T F 9 J n F 1 b 3 Q 7 X S w m c X V v d D t S Z W x h d G l v b n N o a X B J b m Z v J n F 1 b 3 Q 7 O l t d f S I g L z 4 8 R W 5 0 c n k g V H l w Z T 0 i U X V l c n l J R C I g V m F s d W U 9 I n N m M j g 5 O T d k M C 0 5 O T E w L T R k M D k t O T l m Z C 1 m N W Y z Y j Z j N m U 2 Y T Y i I C 8 + P C 9 T d G F i b G V F b n R y a W V z P j w v S X R l b T 4 8 S X R l b T 4 8 S X R l b U x v Y 2 F 0 a W 9 u P j x J d G V t V H l w Z T 5 G b 3 J t d W x h P C 9 J d G V t V H l w Z T 4 8 S X R l b V B h d G g + U 2 V j d G l v b j E v a H J v Z C U y M E h S X 1 d U X 0 Z U R V 9 S b 2 x l Q X J l Y S 9 T b 3 V y Y 2 U 8 L 0 l 0 Z W 1 Q Y X R o P j w v S X R l b U x v Y 2 F 0 a W 9 u P j x T d G F i b G V F b n R y a W V z I C 8 + P C 9 J d G V t P j x J d G V t P j x J d G V t T G 9 j Y X R p b 2 4 + P E l 0 Z W 1 U e X B l P k Z v c m 1 1 b G E 8 L 0 l 0 Z W 1 U e X B l P j x J d G V t U G F 0 a D 5 T Z W N 0 a W 9 u M S 9 o c m 9 k J T I w S F J f V 1 R f R l R F X 1 J v b G V B c m V h L 2 h y b 2 R f S F J f V 1 R f R l R F X 1 J v b G V B c m V h P C 9 J d G V t U G F 0 a D 4 8 L 0 l 0 Z W 1 M b 2 N h d G l v b j 4 8 U 3 R h Y m x l R W 5 0 c m l l c y A v P j w v S X R l b T 4 8 S X R l b T 4 8 S X R l b U x v Y 2 F 0 a W 9 u P j x J d G V t V H l w Z T 5 G b 3 J t d W x h P C 9 J d G V t V H l w Z T 4 8 S X R l b V B h d G g + U 2 V j d G l v b j E v a H J v Z C U y M E h S X 1 d U X 0 Z U R V 9 S b 2 x l Q X J l Y S 9 T b 3 J 0 Z W Q l M j B S b 3 d z P C 9 J d G V t U G F 0 a D 4 8 L 0 l 0 Z W 1 M b 2 N h d G l v b j 4 8 U 3 R h Y m x l R W 5 0 c m l l c y A v P j w v S X R l b T 4 8 S X R l b T 4 8 S X R l b U x v Y 2 F 0 a W 9 u P j x J d G V t V H l w Z T 5 G b 3 J t d W x h P C 9 J d G V t V H l w Z T 4 8 S X R l b V B h d G g + U 2 V j d G l v b j E v a H J v Z C U y M E h S X 1 J E U 1 9 G V E V f U m 9 s Z U F y Z W E 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E N v b H V t b l R 5 c G V z I i B W Y W x 1 Z T 0 i c 0 J n W U d C Z 1 V G Q l F V P S I g L z 4 8 R W 5 0 c n k g V H l w Z T 0 i R m l s b E N v b H V t b k 5 h b W V z I i B W Y W x 1 Z T 0 i c 1 s m c X V v d D t Z Z W F y J n F 1 b 3 Q 7 L C Z x d W 9 0 O 1 J l c G 9 y d G l u Z 0 x l d m V s J n F 1 b 3 Q 7 L C Z x d W 9 0 O 0 N v Z G U m c X V v d D s s J n F 1 b 3 Q 7 b H Z s J n F 1 b 3 Q 7 L C Z x d W 9 0 O 1 R v d G F s J n F 1 b 3 Q 7 L C Z x d W 9 0 O 1 d h d G N o I E 1 h b m F n Z X I m c X V v d D s s J n F 1 b 3 Q 7 Q 3 J l d y B N Y W 5 h Z 2 V y J n F 1 b 3 Q 7 L C Z x d W 9 0 O 0 Z p c m V m a W d o d G V y J n F 1 b 3 Q 7 X S I g L z 4 8 R W 5 0 c n k g V H l w Z T 0 i R m l s b E V y c m 9 y Q 2 9 k Z S I g V m F s d W U 9 I n N V b m t u b 3 d u I i A v P j x F b n R y e S B U e X B l P S J G a W x s T G F z d F V w Z G F 0 Z W Q i I F Z h b H V l P S J k M j A y M S 0 w O C 0 y N V Q x N D o 1 O T o y M C 4 4 N j Y 0 M j k 0 W i I g L z 4 8 R W 5 0 c n k g V H l w Z T 0 i U m V s Y X R p b 2 5 z a G l w S W 5 m b 0 N v b n R h a W 5 l c i I g V m F s d W U 9 I n N 7 J n F 1 b 3 Q 7 Y 2 9 s d W 1 u Q 2 9 1 b n Q m c X V v d D s 6 O C w m c X V v d D t r Z X l D b 2 x 1 b W 5 O Y W 1 l c y Z x d W 9 0 O z p b X S w m c X V v d D t x d W V y e V J l b G F 0 a W 9 u c 2 h p c H M m c X V v d D s 6 W 1 0 s J n F 1 b 3 Q 7 Y 2 9 s d W 1 u S W R l b n R p d G l l c y Z x d W 9 0 O z p b J n F 1 b 3 Q 7 U 2 V y d m V y L k R h d G F i Y X N l X F w v M i 9 T U U w v c y 1 z c n M t d j A x X F x c X H B k c z t S Q V A v a H J v Z C 9 o c m 9 k L k h S X 1 J E U 1 9 G V E V f U m 9 s Z U F y Z W E u e 1 l l Y X I s M H 0 m c X V v d D s s J n F 1 b 3 Q 7 U 2 V y d m V y L k R h d G F i Y X N l X F w v M i 9 T U U w v c y 1 z c n M t d j A x X F x c X H B k c z t S Q V A v a H J v Z C 9 o c m 9 k L k h S X 1 J E U 1 9 G V E V f U m 9 s Z U F y Z W E u e 1 J l c G 9 y d G l u Z 0 x l d m V s L D F 9 J n F 1 b 3 Q 7 L C Z x d W 9 0 O 1 N l c n Z l c i 5 E Y X R h Y m F z Z V x c L z I v U 1 F M L 3 M t c 3 J z L X Y w M V x c X F x w Z H M 7 U k F Q L 2 h y b 2 Q v a H J v Z C 5 I U l 9 S R F N f R l R F X 1 J v b G V B c m V h L n t D b 2 R l L D J 9 J n F 1 b 3 Q 7 L C Z x d W 9 0 O 1 N l c n Z l c i 5 E Y X R h Y m F z Z V x c L z I v U 1 F M L 3 M t c 3 J z L X Y w M V x c X F x w Z H M 7 U k F Q L 2 h y b 2 Q v a H J v Z C 5 I U l 9 S R F N f R l R F X 1 J v b G V B c m V h L n t s d m w s M 3 0 m c X V v d D s s J n F 1 b 3 Q 7 U 2 V y d m V y L k R h d G F i Y X N l X F w v M i 9 T U U w v c y 1 z c n M t d j A x X F x c X H B k c z t S Q V A v a H J v Z C 9 o c m 9 k L k h S X 1 J E U 1 9 G V E V f U m 9 s Z U F y Z W E u e 1 R v d G F s L D R 9 J n F 1 b 3 Q 7 L C Z x d W 9 0 O 1 N l c n Z l c i 5 E Y X R h Y m F z Z V x c L z I v U 1 F M L 3 M t c 3 J z L X Y w M V x c X F x w Z H M 7 U k F Q L 2 h y b 2 Q v a H J v Z C 5 I U l 9 S R F N f R l R F X 1 J v b G V B c m V h L n t X Y X R j a C B N Y W 5 h Z 2 V y L D V 9 J n F 1 b 3 Q 7 L C Z x d W 9 0 O 1 N l c n Z l c i 5 E Y X R h Y m F z Z V x c L z I v U 1 F M L 3 M t c 3 J z L X Y w M V x c X F x w Z H M 7 U k F Q L 2 h y b 2 Q v a H J v Z C 5 I U l 9 S R F N f R l R F X 1 J v b G V B c m V h L n t D c m V 3 I E 1 h b m F n Z X I s N n 0 m c X V v d D s s J n F 1 b 3 Q 7 U 2 V y d m V y L k R h d G F i Y X N l X F w v M i 9 T U U w v c y 1 z c n M t d j A x X F x c X H B k c z t S Q V A v a H J v Z C 9 o c m 9 k L k h S X 1 J E U 1 9 G V E V f U m 9 s Z U F y Z W E u e 0 Z p c m V m a W d o d G V y L D d 9 J n F 1 b 3 Q 7 X S w m c X V v d D t D b 2 x 1 b W 5 D b 3 V u d C Z x d W 9 0 O z o 4 L C Z x d W 9 0 O 0 t l e U N v b H V t b k 5 h b W V z J n F 1 b 3 Q 7 O l t d L C Z x d W 9 0 O 0 N v b H V t b k l k Z W 5 0 a X R p Z X M m c X V v d D s 6 W y Z x d W 9 0 O 1 N l c n Z l c i 5 E Y X R h Y m F z Z V x c L z I v U 1 F M L 3 M t c 3 J z L X Y w M V x c X F x w Z H M 7 U k F Q L 2 h y b 2 Q v a H J v Z C 5 I U l 9 S R F N f R l R F X 1 J v b G V B c m V h L n t Z Z W F y L D B 9 J n F 1 b 3 Q 7 L C Z x d W 9 0 O 1 N l c n Z l c i 5 E Y X R h Y m F z Z V x c L z I v U 1 F M L 3 M t c 3 J z L X Y w M V x c X F x w Z H M 7 U k F Q L 2 h y b 2 Q v a H J v Z C 5 I U l 9 S R F N f R l R F X 1 J v b G V B c m V h L n t S Z X B v c n R p b m d M Z X Z l b C w x f S Z x d W 9 0 O y w m c X V v d D t T Z X J 2 Z X I u R G F 0 Y W J h c 2 V c X C 8 y L 1 N R T C 9 z L X N y c y 1 2 M D F c X F x c c G R z O 1 J B U C 9 o c m 9 k L 2 h y b 2 Q u S F J f U k R T X 0 Z U R V 9 S b 2 x l Q X J l Y S 5 7 Q 2 9 k Z S w y f S Z x d W 9 0 O y w m c X V v d D t T Z X J 2 Z X I u R G F 0 Y W J h c 2 V c X C 8 y L 1 N R T C 9 z L X N y c y 1 2 M D F c X F x c c G R z O 1 J B U C 9 o c m 9 k L 2 h y b 2 Q u S F J f U k R T X 0 Z U R V 9 S b 2 x l Q X J l Y S 5 7 b H Z s L D N 9 J n F 1 b 3 Q 7 L C Z x d W 9 0 O 1 N l c n Z l c i 5 E Y X R h Y m F z Z V x c L z I v U 1 F M L 3 M t c 3 J z L X Y w M V x c X F x w Z H M 7 U k F Q L 2 h y b 2 Q v a H J v Z C 5 I U l 9 S R F N f R l R F X 1 J v b G V B c m V h L n t U b 3 R h b C w 0 f S Z x d W 9 0 O y w m c X V v d D t T Z X J 2 Z X I u R G F 0 Y W J h c 2 V c X C 8 y L 1 N R T C 9 z L X N y c y 1 2 M D F c X F x c c G R z O 1 J B U C 9 o c m 9 k L 2 h y b 2 Q u S F J f U k R T X 0 Z U R V 9 S b 2 x l Q X J l Y S 5 7 V 2 F 0 Y 2 g g T W F u Y W d l c i w 1 f S Z x d W 9 0 O y w m c X V v d D t T Z X J 2 Z X I u R G F 0 Y W J h c 2 V c X C 8 y L 1 N R T C 9 z L X N y c y 1 2 M D F c X F x c c G R z O 1 J B U C 9 o c m 9 k L 2 h y b 2 Q u S F J f U k R T X 0 Z U R V 9 S b 2 x l Q X J l Y S 5 7 Q 3 J l d y B N Y W 5 h Z 2 V y L D Z 9 J n F 1 b 3 Q 7 L C Z x d W 9 0 O 1 N l c n Z l c i 5 E Y X R h Y m F z Z V x c L z I v U 1 F M L 3 M t c 3 J z L X Y w M V x c X F x w Z H M 7 U k F Q L 2 h y b 2 Q v a H J v Z C 5 I U l 9 S R F N f R l R F X 1 J v b G V B c m V h L n t G a X J l Z m l n a H R l c i w 3 f S Z x d W 9 0 O 1 0 s J n F 1 b 3 Q 7 U m V s Y X R p b 2 5 z a G l w S W 5 m b y Z x d W 9 0 O z p b X X 0 i I C 8 + P E V u d H J 5 I F R 5 c G U 9 I k Z p b G x U Y X J n Z X Q i I F Z h b H V l P S J z a H J v Z F 9 I U l 9 S R F N f R l R F X 1 J v b G V B c m V h I i A v P j x F b n R y e S B U e X B l P S J G a W x s Z W R D b 2 1 w b G V 0 Z V J l c 3 V s d F R v V 2 9 y a 3 N o Z W V 0 I i B W Y W x 1 Z T 0 i b D E i I C 8 + P E V u d H J 5 I F R 5 c G U 9 I k F k Z G V k V G 9 E Y X R h T W 9 k Z W w i I F Z h b H V l P S J s M C I g L z 4 8 R W 5 0 c n k g V H l w Z T 0 i U m V j b 3 Z l c n l U Y X J n Z X R T a G V l d C I g V m F s d W U 9 I n N T a G V l d D E y I i A v P j x F b n R y e S B U e X B l P S J S Z W N v d m V y e V R h c m d l d E N v b H V t b i I g V m F s d W U 9 I m w x I i A v P j x F b n R y e S B U e X B l P S J S Z W N v d m V y e V R h c m d l d F J v d y I g V m F s d W U 9 I m w x I i A v P j x F b n R y e S B U e X B l P S J G a W x s Q 2 9 1 b n Q i I F Z h b H V l P S J s M j U 1 I i A v P j x F b n R y e S B U e X B l P S J G a W x s R X J y b 3 J D b 3 V u d C I g V m F s d W U 9 I m w w I i A v P j x F b n R y e S B U e X B l P S J R d W V y e U l E I i B W Y W x 1 Z T 0 i c z Q 2 O W E z Y 2 I w L T M x Z j I t N D M 4 Z i 0 4 M D F h L T Y z Z G Q w Z W N l M 2 I 4 N C I g L z 4 8 R W 5 0 c n k g V H l w Z T 0 i R m l s b F N 0 Y X R 1 c y I g V m F s d W U 9 I n N D b 2 1 w b G V 0 Z S I g L z 4 8 L 1 N 0 Y W J s Z U V u d H J p Z X M + P C 9 J d G V t P j x J d G V t P j x J d G V t T G 9 j Y X R p b 2 4 + P E l 0 Z W 1 U e X B l P k Z v c m 1 1 b G E 8 L 0 l 0 Z W 1 U e X B l P j x J d G V t U G F 0 a D 5 T Z W N 0 a W 9 u M S 9 o c m 9 k J T I w S F J f U k R T X 0 Z U R V 9 S b 2 x l Q X J l Y S 9 T b 3 V y Y 2 U 8 L 0 l 0 Z W 1 Q Y X R o P j w v S X R l b U x v Y 2 F 0 a W 9 u P j x T d G F i b G V F b n R y a W V z I C 8 + P C 9 J d G V t P j x J d G V t P j x J d G V t T G 9 j Y X R p b 2 4 + P E l 0 Z W 1 U e X B l P k Z v c m 1 1 b G E 8 L 0 l 0 Z W 1 U e X B l P j x J d G V t U G F 0 a D 5 T Z W N 0 a W 9 u M S 9 o c m 9 k J T I w S F J f U k R T X 0 Z U R V 9 S b 2 x l Q X J l Y S 9 o c m 9 k X 0 h S X 1 J E U 1 9 G V E V f U m 9 s Z U F y Z W E 8 L 0 l 0 Z W 1 Q Y X R o P j w v S X R l b U x v Y 2 F 0 a W 9 u P j x T d G F i b G V F b n R y a W V z I C 8 + P C 9 J d G V t P j x J d G V t P j x J d G V t T G 9 j Y X R p b 2 4 + P E l 0 Z W 1 U e X B l P k Z v c m 1 1 b G E 8 L 0 l 0 Z W 1 U e X B l P j x J d G V t U G F 0 a D 5 T Z W N 0 a W 9 u M S 9 o c m 9 k J T I w S F J f U k R T X 0 Z U R V 9 S b 2 x l Q X J l Y S 9 T b 3 J 0 Z W Q l M j B S b 3 d z P C 9 J d G V t U G F 0 a D 4 8 L 0 l 0 Z W 1 M b 2 N h d G l v b j 4 8 U 3 R h Y m x l R W 5 0 c m l l c y A v P j w v S X R l b T 4 8 S X R l b T 4 8 S X R l b U x v Y 2 F 0 a W 9 u P j x J d G V t V H l w Z T 5 G b 3 J t d W x h P C 9 J d G V t V H l w Z T 4 8 S X R l b V B h d G g + U 2 V j d G l v b j E v a H J v Z C U y M E h S X 0 N T X 0 Z U R V 9 S b 2 x l Q X J l Y V 9 D b 2 5 0 c m 9 s 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D b 3 V u d C I g V m F s d W U 9 I m w 4 I i A v P j x F b n R y e S B U e X B l P S J G a W x s R X J y b 3 J D b 3 V u d C I g V m F s d W U 9 I m w w I i A v P j x F b n R y e S B U e X B l P S J G a W x s Q 2 9 s d W 1 u V H l w Z X M i I F Z h b H V l P S J z Q m d Z R 0 J n V U Z C U V V G Q l F V P S I g L z 4 8 R W 5 0 c n k g V H l w Z T 0 i R m l s b E N v b H V t b k 5 h b W V z I i B W Y W x 1 Z T 0 i c 1 s m c X V v d D t Z Z W F y J n F 1 b 3 Q 7 L C Z x d W 9 0 O 1 J l c G 9 y d G l u Z 0 x l d m V s J n F 1 b 3 Q 7 L C Z x d W 9 0 O 2 x 2 b C Z x d W 9 0 O y w m c X V v d D t D b 2 R l J n F 1 b 3 Q 7 L C Z x d W 9 0 O 1 R v d G F s J n F 1 b 3 Q 7 L C Z x d W 9 0 O 0 F y Z W E g T W F u Y W d l c i Z x d W 9 0 O y w m c X V v d D t H c m 9 1 c C B N Y W 5 h Z 2 V y J n F 1 b 3 Q 7 L C Z x d W 9 0 O 1 N 0 Y X R p b 2 4 g T W F u Y W d l c i Z x d W 9 0 O y w m c X V v d D t X Y X R j a C B N Y W 5 h Z 2 V y J n F 1 b 3 Q 7 L C Z x d W 9 0 O 0 N y Z X c g T W F u Y W d l c i Z x d W 9 0 O y w m c X V v d D t D b 2 5 0 c m 9 s I E 9 w Z X J h d G 9 y J n F 1 b 3 Q 7 X S I g L z 4 8 R W 5 0 c n k g V H l w Z T 0 i R m l s b E V y c m 9 y Q 2 9 k Z S I g V m F s d W U 9 I n N V b m t u b 3 d u I i A v P j x F b n R y e S B U e X B l P S J G a W x s T G F z d F V w Z G F 0 Z W Q i I F Z h b H V l P S J k M j A y M S 0 w O C 0 y N 1 Q w O T o z N D o z O C 4 3 N T M z N T E y W i I g L z 4 8 R W 5 0 c n k g V H l w Z T 0 i U m V s Y X R p b 2 5 z a G l w S W 5 m b 0 N v b n R h a W 5 l c i I g V m F s d W U 9 I n N 7 J n F 1 b 3 Q 7 Y 2 9 s d W 1 u Q 2 9 1 b n Q m c X V v d D s 6 M T E s J n F 1 b 3 Q 7 a 2 V 5 Q 2 9 s d W 1 u T m F t Z X M m c X V v d D s 6 W 1 0 s J n F 1 b 3 Q 7 c X V l c n l S Z W x h d G l v b n N o a X B z J n F 1 b 3 Q 7 O l t d L C Z x d W 9 0 O 2 N v b H V t b k l k Z W 5 0 a X R p Z X M m c X V v d D s 6 W y Z x d W 9 0 O 1 N l c n Z l c i 5 E Y X R h Y m F z Z V x c L z I v U 1 F M L 3 M t c 3 J z L X Y w M V x c X F x w Z H M 7 U k F Q L 2 h y b 2 Q v a H J v Z C 5 I U l 9 D U 1 9 G V E V f U m 9 s Z U F y Z W F f Q 2 9 u d H J v b C 5 7 W W V h c i w w f S Z x d W 9 0 O y w m c X V v d D t T Z X J 2 Z X I u R G F 0 Y W J h c 2 V c X C 8 y L 1 N R T C 9 z L X N y c y 1 2 M D F c X F x c c G R z O 1 J B U C 9 o c m 9 k L 2 h y b 2 Q u S F J f Q 1 N f R l R F X 1 J v b G V B c m V h X 0 N v b n R y b 2 w u e 1 J l c G 9 y d G l u Z 0 x l d m V s L D F 9 J n F 1 b 3 Q 7 L C Z x d W 9 0 O 1 N l c n Z l c i 5 E Y X R h Y m F z Z V x c L z I v U 1 F M L 3 M t c 3 J z L X Y w M V x c X F x w Z H M 7 U k F Q L 2 h y b 2 Q v a H J v Z C 5 I U l 9 D U 1 9 G V E V f U m 9 s Z U F y Z W F f Q 2 9 u d H J v b C 5 7 b H Z s L D J 9 J n F 1 b 3 Q 7 L C Z x d W 9 0 O 1 N l c n Z l c i 5 E Y X R h Y m F z Z V x c L z I v U 1 F M L 3 M t c 3 J z L X Y w M V x c X F x w Z H M 7 U k F Q L 2 h y b 2 Q v a H J v Z C 5 I U l 9 D U 1 9 G V E V f U m 9 s Z U F y Z W F f Q 2 9 u d H J v b C 5 7 Q 2 9 k Z S w z f S Z x d W 9 0 O y w m c X V v d D t T Z X J 2 Z X I u R G F 0 Y W J h c 2 V c X C 8 y L 1 N R T C 9 z L X N y c y 1 2 M D F c X F x c c G R z O 1 J B U C 9 o c m 9 k L 2 h y b 2 Q u S F J f Q 1 N f R l R F X 1 J v b G V B c m V h X 0 N v b n R y b 2 w u e 1 R v d G F s L D R 9 J n F 1 b 3 Q 7 L C Z x d W 9 0 O 1 N l c n Z l c i 5 E Y X R h Y m F z Z V x c L z I v U 1 F M L 3 M t c 3 J z L X Y w M V x c X F x w Z H M 7 U k F Q L 2 h y b 2 Q v a H J v Z C 5 I U l 9 D U 1 9 G V E V f U m 9 s Z U F y Z W F f Q 2 9 u d H J v b C 5 7 Q X J l Y S B N Y W 5 h Z 2 V y L D V 9 J n F 1 b 3 Q 7 L C Z x d W 9 0 O 1 N l c n Z l c i 5 E Y X R h Y m F z Z V x c L z I v U 1 F M L 3 M t c 3 J z L X Y w M V x c X F x w Z H M 7 U k F Q L 2 h y b 2 Q v a H J v Z C 5 I U l 9 D U 1 9 G V E V f U m 9 s Z U F y Z W F f Q 2 9 u d H J v b C 5 7 R 3 J v d X A g T W F u Y W d l c i w 2 f S Z x d W 9 0 O y w m c X V v d D t T Z X J 2 Z X I u R G F 0 Y W J h c 2 V c X C 8 y L 1 N R T C 9 z L X N y c y 1 2 M D F c X F x c c G R z O 1 J B U C 9 o c m 9 k L 2 h y b 2 Q u S F J f Q 1 N f R l R F X 1 J v b G V B c m V h X 0 N v b n R y b 2 w u e 1 N 0 Y X R p b 2 4 g T W F u Y W d l c i w 3 f S Z x d W 9 0 O y w m c X V v d D t T Z X J 2 Z X I u R G F 0 Y W J h c 2 V c X C 8 y L 1 N R T C 9 z L X N y c y 1 2 M D F c X F x c c G R z O 1 J B U C 9 o c m 9 k L 2 h y b 2 Q u S F J f Q 1 N f R l R F X 1 J v b G V B c m V h X 0 N v b n R y b 2 w u e 1 d h d G N o I E 1 h b m F n Z X I s O H 0 m c X V v d D s s J n F 1 b 3 Q 7 U 2 V y d m V y L k R h d G F i Y X N l X F w v M i 9 T U U w v c y 1 z c n M t d j A x X F x c X H B k c z t S Q V A v a H J v Z C 9 o c m 9 k L k h S X 0 N T X 0 Z U R V 9 S b 2 x l Q X J l Y V 9 D b 2 5 0 c m 9 s L n t D c m V 3 I E 1 h b m F n Z X I s O X 0 m c X V v d D s s J n F 1 b 3 Q 7 U 2 V y d m V y L k R h d G F i Y X N l X F w v M i 9 T U U w v c y 1 z c n M t d j A x X F x c X H B k c z t S Q V A v a H J v Z C 9 o c m 9 k L k h S X 0 N T X 0 Z U R V 9 S b 2 x l Q X J l Y V 9 D b 2 5 0 c m 9 s L n t D b 2 5 0 c m 9 s I E 9 w Z X J h d G 9 y L D E w f S Z x d W 9 0 O 1 0 s J n F 1 b 3 Q 7 Q 2 9 s d W 1 u Q 2 9 1 b n Q m c X V v d D s 6 M T E s J n F 1 b 3 Q 7 S 2 V 5 Q 2 9 s d W 1 u T m F t Z X M m c X V v d D s 6 W 1 0 s J n F 1 b 3 Q 7 Q 2 9 s d W 1 u S W R l b n R p d G l l c y Z x d W 9 0 O z p b J n F 1 b 3 Q 7 U 2 V y d m V y L k R h d G F i Y X N l X F w v M i 9 T U U w v c y 1 z c n M t d j A x X F x c X H B k c z t S Q V A v a H J v Z C 9 o c m 9 k L k h S X 0 N T X 0 Z U R V 9 S b 2 x l Q X J l Y V 9 D b 2 5 0 c m 9 s L n t Z Z W F y L D B 9 J n F 1 b 3 Q 7 L C Z x d W 9 0 O 1 N l c n Z l c i 5 E Y X R h Y m F z Z V x c L z I v U 1 F M L 3 M t c 3 J z L X Y w M V x c X F x w Z H M 7 U k F Q L 2 h y b 2 Q v a H J v Z C 5 I U l 9 D U 1 9 G V E V f U m 9 s Z U F y Z W F f Q 2 9 u d H J v b C 5 7 U m V w b 3 J 0 a W 5 n T G V 2 Z W w s M X 0 m c X V v d D s s J n F 1 b 3 Q 7 U 2 V y d m V y L k R h d G F i Y X N l X F w v M i 9 T U U w v c y 1 z c n M t d j A x X F x c X H B k c z t S Q V A v a H J v Z C 9 o c m 9 k L k h S X 0 N T X 0 Z U R V 9 S b 2 x l Q X J l Y V 9 D b 2 5 0 c m 9 s L n t s d m w s M n 0 m c X V v d D s s J n F 1 b 3 Q 7 U 2 V y d m V y L k R h d G F i Y X N l X F w v M i 9 T U U w v c y 1 z c n M t d j A x X F x c X H B k c z t S Q V A v a H J v Z C 9 o c m 9 k L k h S X 0 N T X 0 Z U R V 9 S b 2 x l Q X J l Y V 9 D b 2 5 0 c m 9 s L n t D b 2 R l L D N 9 J n F 1 b 3 Q 7 L C Z x d W 9 0 O 1 N l c n Z l c i 5 E Y X R h Y m F z Z V x c L z I v U 1 F M L 3 M t c 3 J z L X Y w M V x c X F x w Z H M 7 U k F Q L 2 h y b 2 Q v a H J v Z C 5 I U l 9 D U 1 9 G V E V f U m 9 s Z U F y Z W F f Q 2 9 u d H J v b C 5 7 V G 9 0 Y W w s N H 0 m c X V v d D s s J n F 1 b 3 Q 7 U 2 V y d m V y L k R h d G F i Y X N l X F w v M i 9 T U U w v c y 1 z c n M t d j A x X F x c X H B k c z t S Q V A v a H J v Z C 9 o c m 9 k L k h S X 0 N T X 0 Z U R V 9 S b 2 x l Q X J l Y V 9 D b 2 5 0 c m 9 s L n t B c m V h I E 1 h b m F n Z X I s N X 0 m c X V v d D s s J n F 1 b 3 Q 7 U 2 V y d m V y L k R h d G F i Y X N l X F w v M i 9 T U U w v c y 1 z c n M t d j A x X F x c X H B k c z t S Q V A v a H J v Z C 9 o c m 9 k L k h S X 0 N T X 0 Z U R V 9 S b 2 x l Q X J l Y V 9 D b 2 5 0 c m 9 s L n t H c m 9 1 c C B N Y W 5 h Z 2 V y L D Z 9 J n F 1 b 3 Q 7 L C Z x d W 9 0 O 1 N l c n Z l c i 5 E Y X R h Y m F z Z V x c L z I v U 1 F M L 3 M t c 3 J z L X Y w M V x c X F x w Z H M 7 U k F Q L 2 h y b 2 Q v a H J v Z C 5 I U l 9 D U 1 9 G V E V f U m 9 s Z U F y Z W F f Q 2 9 u d H J v b C 5 7 U 3 R h d G l v b i B N Y W 5 h Z 2 V y L D d 9 J n F 1 b 3 Q 7 L C Z x d W 9 0 O 1 N l c n Z l c i 5 E Y X R h Y m F z Z V x c L z I v U 1 F M L 3 M t c 3 J z L X Y w M V x c X F x w Z H M 7 U k F Q L 2 h y b 2 Q v a H J v Z C 5 I U l 9 D U 1 9 G V E V f U m 9 s Z U F y Z W F f Q 2 9 u d H J v b C 5 7 V 2 F 0 Y 2 g g T W F u Y W d l c i w 4 f S Z x d W 9 0 O y w m c X V v d D t T Z X J 2 Z X I u R G F 0 Y W J h c 2 V c X C 8 y L 1 N R T C 9 z L X N y c y 1 2 M D F c X F x c c G R z O 1 J B U C 9 o c m 9 k L 2 h y b 2 Q u S F J f Q 1 N f R l R F X 1 J v b G V B c m V h X 0 N v b n R y b 2 w u e 0 N y Z X c g T W F u Y W d l c i w 5 f S Z x d W 9 0 O y w m c X V v d D t T Z X J 2 Z X I u R G F 0 Y W J h c 2 V c X C 8 y L 1 N R T C 9 z L X N y c y 1 2 M D F c X F x c c G R z O 1 J B U C 9 o c m 9 k L 2 h y b 2 Q u S F J f Q 1 N f R l R F X 1 J v b G V B c m V h X 0 N v b n R y b 2 w u e 0 N v b n R y b 2 w g T 3 B l c m F 0 b 3 I s M T B 9 J n F 1 b 3 Q 7 X S w m c X V v d D t S Z W x h d G l v b n N o a X B J b m Z v J n F 1 b 3 Q 7 O l t d f S I g L z 4 8 R W 5 0 c n k g V H l w Z T 0 i R m l s b G V k Q 2 9 t c G x l d G V S Z X N 1 b H R U b 1 d v c m t z a G V l d C I g V m F s d W U 9 I m w x I i A v P j x F b n R y e S B U e X B l P S J B Z G R l Z F R v R G F 0 Y U 1 v Z G V s I i B W Y W x 1 Z T 0 i b D A i I C 8 + P E V u d H J 5 I F R 5 c G U 9 I l J l Y 2 9 2 Z X J 5 V G F y Z 2 V 0 U 2 h l Z X Q i I F Z h b H V l P S J z U 2 h l Z X Q x N C I g L z 4 8 R W 5 0 c n k g V H l w Z T 0 i U m V j b 3 Z l c n l U Y X J n Z X R D b 2 x 1 b W 4 i I F Z h b H V l P S J s M S I g L z 4 8 R W 5 0 c n k g V H l w Z T 0 i U m V j b 3 Z l c n l U Y X J n Z X R S b 3 c i I F Z h b H V l P S J s M S I g L z 4 8 R W 5 0 c n k g V H l w Z T 0 i R m l s b F R h c m d l d C I g V m F s d W U 9 I n N o c m 9 k X 0 h S X 0 N T X 0 Z U R V 9 S b 2 x l Q X J l Y V 9 D b 2 5 0 c m 9 s I i A v P j x F b n R y e S B U e X B l P S J G a W x s U 3 R h d H V z I i B W Y W x 1 Z T 0 i c 0 N v b X B s Z X R l I i A v P j x F b n R y e S B U e X B l P S J R d W V y e U l E I i B W Y W x 1 Z T 0 i c 2 Q x N T k 0 Z T g x L T J h M T Q t N G I 5 Z C 1 i O T Y w L T M x O D U x Y j I 5 N G R l O S I g L z 4 8 L 1 N 0 Y W J s Z U V u d H J p Z X M + P C 9 J d G V t P j x J d G V t P j x J d G V t T G 9 j Y X R p b 2 4 + P E l 0 Z W 1 U e X B l P k Z v c m 1 1 b G E 8 L 0 l 0 Z W 1 U e X B l P j x J d G V t U G F 0 a D 5 T Z W N 0 a W 9 u M S 9 o c m 9 k J T I w S F J f Q 1 N f R l R F X 1 J v b G V B c m V h X 0 N v b n R y b 2 w v U 2 9 1 c m N l P C 9 J d G V t U G F 0 a D 4 8 L 0 l 0 Z W 1 M b 2 N h d G l v b j 4 8 U 3 R h Y m x l R W 5 0 c m l l c y A v P j w v S X R l b T 4 8 S X R l b T 4 8 S X R l b U x v Y 2 F 0 a W 9 u P j x J d G V t V H l w Z T 5 G b 3 J t d W x h P C 9 J d G V t V H l w Z T 4 8 S X R l b V B h d G g + U 2 V j d G l v b j E v a H J v Z C U y M E h S X 0 N T X 0 Z U R V 9 S b 2 x l Q X J l Y V 9 D b 2 5 0 c m 9 s L 2 h y b 2 R f S F J f Q 1 N f R l R F X 1 J v b G V B c m V h X 0 N v b n R y b 2 w 8 L 0 l 0 Z W 1 Q Y X R o P j w v S X R l b U x v Y 2 F 0 a W 9 u P j x T d G F i b G V F b n R y a W V z I C 8 + P C 9 J d G V t P j x J d G V t P j x J d G V t T G 9 j Y X R p b 2 4 + P E l 0 Z W 1 U e X B l P k Z v c m 1 1 b G E 8 L 0 l 0 Z W 1 U e X B l P j x J d G V t U G F 0 a D 5 T Z W N 0 a W 9 u M S 9 o c m 9 k J T I w S F J f Q 1 N f R l R F X 1 J v b G V B c m V h X 0 N v b n R y b 2 w v U 2 9 y d G V k J T I w U m 9 3 c z w v S X R l b V B h d G g + P C 9 J d G V t T G 9 j Y X R p b 2 4 + P F N 0 Y W J s Z U V u d H J p Z X M g L z 4 8 L 0 l 0 Z W 0 + P E l 0 Z W 0 + P E l 0 Z W 1 M b 2 N h d G l v b j 4 8 S X R l b V R 5 c G U + R m 9 y b X V s Y T w v S X R l b V R 5 c G U + P E l 0 Z W 1 Q Y X R o P l N l Y 3 R p b 2 4 x L 2 h y b 2 Q l M j B I U l 9 D U 1 9 G V E V f U m 9 s Z U F y Z W F f U 3 V w c G 9 y d D 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Q 2 9 s d W 1 u T m F t Z X M i I F Z h b H V l P S J z W y Z x d W 9 0 O 1 l l Y X I m c X V v d D s s J n F 1 b 3 Q 7 Q 2 9 k Z S Z x d W 9 0 O y w m c X V v d D t S Z X B v c n R p b m d M Z X Z l b C Z x d W 9 0 O y w m c X V v d D t s d m w m c X V v d D s s J n F 1 b 3 Q 7 R G l y Z W N 0 b 3 I m c X V v d D s s J n F 1 b 3 Q 7 U 2 V y d m l j Z S B N Y W 5 h Z 2 V y J n F 1 b 3 Q 7 L C Z x d W 9 0 O 1 R l Y W 0 g T G V h Z G V y J n F 1 b 3 Q 7 L C Z x d W 9 0 O 1 B y b 2 Z l c 3 N p b 2 5 h b C Z x d W 9 0 O y w m c X V v d D t T c G V j a W F s a X N 0 I F R l Y 2 h u a W N h b C Z x d W 9 0 O y w m c X V v d D t U Z W N o I F N 1 c H B v c n Q m c X V v d D s s J n F 1 b 3 Q 7 Q W R t a W 5 p c 3 R y Y X R p b 2 4 m c X V v d D s s J n F 1 b 3 Q 7 V G 9 0 Y W w m c X V v d D t d I i A v P j x F b n R y e S B U e X B l P S J G a W x s R X J y b 3 J D b 2 R l I i B W Y W x 1 Z T 0 i c 1 V u a 2 5 v d 2 4 i I C 8 + P E V u d H J 5 I F R 5 c G U 9 I k Z p b G x M Y X N 0 V X B k Y X R l Z C I g V m F s d W U 9 I m Q y M D I x L T A 4 L T I 3 V D A 5 O j U x O j Q 2 L j A 0 N D M 1 N j l a I i A v P j x F b n R y e S B U e X B l P S J S Z W x h d G l v b n N o a X B J b m Z v Q 2 9 u d G F p b m V y I i B W Y W x 1 Z T 0 i c 3 s m c X V v d D t j b 2 x 1 b W 5 D b 3 V u d C Z x d W 9 0 O z o x M i w m c X V v d D t r Z X l D b 2 x 1 b W 5 O Y W 1 l c y Z x d W 9 0 O z p b X S w m c X V v d D t x d W V y e V J l b G F 0 a W 9 u c 2 h p c H M m c X V v d D s 6 W 1 0 s J n F 1 b 3 Q 7 Y 2 9 s d W 1 u S W R l b n R p d G l l c y Z x d W 9 0 O z p b J n F 1 b 3 Q 7 U 2 V y d m V y L k R h d G F i Y X N l X F w v M i 9 T U U w v c y 1 z c n M t d j A x X F x c X H B k c z t S Q V A v a H J v Z C 9 o c m 9 k L k h S X 0 N T X 0 Z U R V 9 S b 2 x l Q X J l Y V 9 T d X B w b 3 J 0 L n t Z Z W F y L D B 9 J n F 1 b 3 Q 7 L C Z x d W 9 0 O 1 N l c n Z l c i 5 E Y X R h Y m F z Z V x c L z I v U 1 F M L 3 M t c 3 J z L X Y w M V x c X F x w Z H M 7 U k F Q L 2 h y b 2 Q v a H J v Z C 5 I U l 9 D U 1 9 G V E V f U m 9 s Z U F y Z W F f U 3 V w c G 9 y d C 5 7 Q 2 9 k Z S w x f S Z x d W 9 0 O y w m c X V v d D t T Z W N 0 a W 9 u M S 9 o c m 9 k I E h S X 0 N T X 0 Z U R V 9 S b 2 x l Q X J l Y V 9 T d X B w b 3 J 0 L 1 J l c G x h Y 2 V k I F Z h b H V l L n t S Z X B v c n R p b m d M Z X Z l b C w y f S Z x d W 9 0 O y w m c X V v d D t T Z X J 2 Z X I u R G F 0 Y W J h c 2 V c X C 8 y L 1 N R T C 9 z L X N y c y 1 2 M D F c X F x c c G R z O 1 J B U C 9 o c m 9 k L 2 h y b 2 Q u S F J f Q 1 N f R l R F X 1 J v b G V B c m V h X 1 N 1 c H B v c n Q u e 2 x 2 b C w z f S Z x d W 9 0 O y w m c X V v d D t T Z X J 2 Z X I u R G F 0 Y W J h c 2 V c X C 8 y L 1 N R T C 9 z L X N y c y 1 2 M D F c X F x c c G R z O 1 J B U C 9 o c m 9 k L 2 h y b 2 Q u S F J f Q 1 N f R l R F X 1 J v b G V B c m V h X 1 N 1 c H B v c n Q u e 0 R p c m V j d G 9 y L D R 9 J n F 1 b 3 Q 7 L C Z x d W 9 0 O 1 N l c n Z l c i 5 E Y X R h Y m F z Z V x c L z I v U 1 F M L 3 M t c 3 J z L X Y w M V x c X F x w Z H M 7 U k F Q L 2 h y b 2 Q v a H J v Z C 5 I U l 9 D U 1 9 G V E V f U m 9 s Z U F y Z W F f U 3 V w c G 9 y d C 5 7 U 2 V y d m l j Z S B N Y W 5 h Z 2 V y L D V 9 J n F 1 b 3 Q 7 L C Z x d W 9 0 O 1 N l c n Z l c i 5 E Y X R h Y m F z Z V x c L z I v U 1 F M L 3 M t c 3 J z L X Y w M V x c X F x w Z H M 7 U k F Q L 2 h y b 2 Q v a H J v Z C 5 I U l 9 D U 1 9 G V E V f U m 9 s Z U F y Z W F f U 3 V w c G 9 y d C 5 7 V G V h b S B M Z W F k Z X I s N n 0 m c X V v d D s s J n F 1 b 3 Q 7 U 2 V y d m V y L k R h d G F i Y X N l X F w v M i 9 T U U w v c y 1 z c n M t d j A x X F x c X H B k c z t S Q V A v a H J v Z C 9 o c m 9 k L k h S X 0 N T X 0 Z U R V 9 S b 2 x l Q X J l Y V 9 T d X B w b 3 J 0 L n t Q c m 9 m Z X N z a W 9 u Y W w s N 3 0 m c X V v d D s s J n F 1 b 3 Q 7 U 2 V y d m V y L k R h d G F i Y X N l X F w v M i 9 T U U w v c y 1 z c n M t d j A x X F x c X H B k c z t S Q V A v a H J v Z C 9 o c m 9 k L k h S X 0 N T X 0 Z U R V 9 S b 2 x l Q X J l Y V 9 T d X B w b 3 J 0 L n t T c G V j a W F s a X N 0 I F R l Y 2 h u a W N h b C w 4 f S Z x d W 9 0 O y w m c X V v d D t T Z X J 2 Z X I u R G F 0 Y W J h c 2 V c X C 8 y L 1 N R T C 9 z L X N y c y 1 2 M D F c X F x c c G R z O 1 J B U C 9 o c m 9 k L 2 h y b 2 Q u S F J f Q 1 N f R l R F X 1 J v b G V B c m V h X 1 N 1 c H B v c n Q u e 1 R l Y 2 g g U 3 V w c G 9 y d C w 5 f S Z x d W 9 0 O y w m c X V v d D t T Z X J 2 Z X I u R G F 0 Y W J h c 2 V c X C 8 y L 1 N R T C 9 z L X N y c y 1 2 M D F c X F x c c G R z O 1 J B U C 9 o c m 9 k L 2 h y b 2 Q u S F J f Q 1 N f R l R F X 1 J v b G V B c m V h X 1 N 1 c H B v c n Q u e 0 F k b W l u a X N 0 c m F 0 a W 9 u L D E w f S Z x d W 9 0 O y w m c X V v d D t T Z X J 2 Z X I u R G F 0 Y W J h c 2 V c X C 8 y L 1 N R T C 9 z L X N y c y 1 2 M D F c X F x c c G R z O 1 J B U C 9 o c m 9 k L 2 h y b 2 Q u S F J f Q 1 N f R l R F X 1 J v b G V B c m V h X 1 N 1 c H B v c n Q u e 1 R v d G F s L D E x f S Z x d W 9 0 O 1 0 s J n F 1 b 3 Q 7 Q 2 9 s d W 1 u Q 2 9 1 b n Q m c X V v d D s 6 M T I s J n F 1 b 3 Q 7 S 2 V 5 Q 2 9 s d W 1 u T m F t Z X M m c X V v d D s 6 W 1 0 s J n F 1 b 3 Q 7 Q 2 9 s d W 1 u S W R l b n R p d G l l c y Z x d W 9 0 O z p b J n F 1 b 3 Q 7 U 2 V y d m V y L k R h d G F i Y X N l X F w v M i 9 T U U w v c y 1 z c n M t d j A x X F x c X H B k c z t S Q V A v a H J v Z C 9 o c m 9 k L k h S X 0 N T X 0 Z U R V 9 S b 2 x l Q X J l Y V 9 T d X B w b 3 J 0 L n t Z Z W F y L D B 9 J n F 1 b 3 Q 7 L C Z x d W 9 0 O 1 N l c n Z l c i 5 E Y X R h Y m F z Z V x c L z I v U 1 F M L 3 M t c 3 J z L X Y w M V x c X F x w Z H M 7 U k F Q L 2 h y b 2 Q v a H J v Z C 5 I U l 9 D U 1 9 G V E V f U m 9 s Z U F y Z W F f U 3 V w c G 9 y d C 5 7 Q 2 9 k Z S w x f S Z x d W 9 0 O y w m c X V v d D t T Z W N 0 a W 9 u M S 9 o c m 9 k I E h S X 0 N T X 0 Z U R V 9 S b 2 x l Q X J l Y V 9 T d X B w b 3 J 0 L 1 J l c G x h Y 2 V k I F Z h b H V l L n t S Z X B v c n R p b m d M Z X Z l b C w y f S Z x d W 9 0 O y w m c X V v d D t T Z X J 2 Z X I u R G F 0 Y W J h c 2 V c X C 8 y L 1 N R T C 9 z L X N y c y 1 2 M D F c X F x c c G R z O 1 J B U C 9 o c m 9 k L 2 h y b 2 Q u S F J f Q 1 N f R l R F X 1 J v b G V B c m V h X 1 N 1 c H B v c n Q u e 2 x 2 b C w z f S Z x d W 9 0 O y w m c X V v d D t T Z X J 2 Z X I u R G F 0 Y W J h c 2 V c X C 8 y L 1 N R T C 9 z L X N y c y 1 2 M D F c X F x c c G R z O 1 J B U C 9 o c m 9 k L 2 h y b 2 Q u S F J f Q 1 N f R l R F X 1 J v b G V B c m V h X 1 N 1 c H B v c n Q u e 0 R p c m V j d G 9 y L D R 9 J n F 1 b 3 Q 7 L C Z x d W 9 0 O 1 N l c n Z l c i 5 E Y X R h Y m F z Z V x c L z I v U 1 F M L 3 M t c 3 J z L X Y w M V x c X F x w Z H M 7 U k F Q L 2 h y b 2 Q v a H J v Z C 5 I U l 9 D U 1 9 G V E V f U m 9 s Z U F y Z W F f U 3 V w c G 9 y d C 5 7 U 2 V y d m l j Z S B N Y W 5 h Z 2 V y L D V 9 J n F 1 b 3 Q 7 L C Z x d W 9 0 O 1 N l c n Z l c i 5 E Y X R h Y m F z Z V x c L z I v U 1 F M L 3 M t c 3 J z L X Y w M V x c X F x w Z H M 7 U k F Q L 2 h y b 2 Q v a H J v Z C 5 I U l 9 D U 1 9 G V E V f U m 9 s Z U F y Z W F f U 3 V w c G 9 y d C 5 7 V G V h b S B M Z W F k Z X I s N n 0 m c X V v d D s s J n F 1 b 3 Q 7 U 2 V y d m V y L k R h d G F i Y X N l X F w v M i 9 T U U w v c y 1 z c n M t d j A x X F x c X H B k c z t S Q V A v a H J v Z C 9 o c m 9 k L k h S X 0 N T X 0 Z U R V 9 S b 2 x l Q X J l Y V 9 T d X B w b 3 J 0 L n t Q c m 9 m Z X N z a W 9 u Y W w s N 3 0 m c X V v d D s s J n F 1 b 3 Q 7 U 2 V y d m V y L k R h d G F i Y X N l X F w v M i 9 T U U w v c y 1 z c n M t d j A x X F x c X H B k c z t S Q V A v a H J v Z C 9 o c m 9 k L k h S X 0 N T X 0 Z U R V 9 S b 2 x l Q X J l Y V 9 T d X B w b 3 J 0 L n t T c G V j a W F s a X N 0 I F R l Y 2 h u a W N h b C w 4 f S Z x d W 9 0 O y w m c X V v d D t T Z X J 2 Z X I u R G F 0 Y W J h c 2 V c X C 8 y L 1 N R T C 9 z L X N y c y 1 2 M D F c X F x c c G R z O 1 J B U C 9 o c m 9 k L 2 h y b 2 Q u S F J f Q 1 N f R l R F X 1 J v b G V B c m V h X 1 N 1 c H B v c n Q u e 1 R l Y 2 g g U 3 V w c G 9 y d C w 5 f S Z x d W 9 0 O y w m c X V v d D t T Z X J 2 Z X I u R G F 0 Y W J h c 2 V c X C 8 y L 1 N R T C 9 z L X N y c y 1 2 M D F c X F x c c G R z O 1 J B U C 9 o c m 9 k L 2 h y b 2 Q u S F J f Q 1 N f R l R F X 1 J v b G V B c m V h X 1 N 1 c H B v c n Q u e 0 F k b W l u a X N 0 c m F 0 a W 9 u L D E w f S Z x d W 9 0 O y w m c X V v d D t T Z X J 2 Z X I u R G F 0 Y W J h c 2 V c X C 8 y L 1 N R T C 9 z L X N y c y 1 2 M D F c X F x c c G R z O 1 J B U C 9 o c m 9 k L 2 h y b 2 Q u S F J f Q 1 N f R l R F X 1 J v b G V B c m V h X 1 N 1 c H B v c n Q u e 1 R v d G F s L D E x f S Z x d W 9 0 O 1 0 s J n F 1 b 3 Q 7 U m V s Y X R p b 2 5 z a G l w S W 5 m b y Z x d W 9 0 O z p b X X 0 i I C 8 + P E V u d H J 5 I F R 5 c G U 9 I k Z p b G x U Y X J n Z X Q i I F Z h b H V l P S J z a H J v Z F 9 I U l 9 D U 1 9 G V E V f U m 9 s Z U F y Z W F f U 3 V w c G 9 y d C I g L z 4 8 R W 5 0 c n k g V H l w Z T 0 i R m l s b G V k Q 2 9 t c G x l d G V S Z X N 1 b H R U b 1 d v c m t z a G V l d C I g V m F s d W U 9 I m w x I i A v P j x F b n R y e S B U e X B l P S J B Z G R l Z F R v R G F 0 Y U 1 v Z G V s I i B W Y W x 1 Z T 0 i b D A i I C 8 + P E V u d H J 5 I F R 5 c G U 9 I l J l Y 2 9 2 Z X J 5 V G F y Z 2 V 0 U 2 h l Z X Q i I F Z h b H V l P S J z U 2 h l Z X Q x N i I g L z 4 8 R W 5 0 c n k g V H l w Z T 0 i U m V j b 3 Z l c n l U Y X J n Z X R D b 2 x 1 b W 4 i I F Z h b H V l P S J s M S I g L z 4 8 R W 5 0 c n k g V H l w Z T 0 i U m V j b 3 Z l c n l U Y X J n Z X R S b 3 c i I F Z h b H V l P S J s M S I g L z 4 8 R W 5 0 c n k g V H l w Z T 0 i R m l s b E V y c m 9 y Q 2 9 1 b n Q i I F Z h b H V l P S J s M C I g L z 4 8 R W 5 0 c n k g V H l w Z T 0 i R m l s b E N v b H V t b l R 5 c G V z I i B W Y W x 1 Z T 0 i c 0 J n W U d C Z 1 V G Q l F V R k J R V U Y i I C 8 + P E V u d H J 5 I F R 5 c G U 9 I l F 1 Z X J 5 S U Q i I F Z h b H V l P S J z M m M w M T A 5 Y m Y t Z W I 5 Z S 0 0 Z T N k L W I x M z g t N z A 2 Z D M 4 M G Y w Y 2 Y 1 I i A v P j x F b n R y e S B U e X B l P S J G a W x s Q 2 9 1 b n Q i I F Z h b H V l P S J s M j g i I C 8 + P E V u d H J 5 I F R 5 c G U 9 I k Z p b G x T d G F 0 d X M i I F Z h b H V l P S J z Q 2 9 t c G x l d G U i I C 8 + P C 9 T d G F i b G V F b n R y a W V z P j w v S X R l b T 4 8 S X R l b T 4 8 S X R l b U x v Y 2 F 0 a W 9 u P j x J d G V t V H l w Z T 5 G b 3 J t d W x h P C 9 J d G V t V H l w Z T 4 8 S X R l b V B h d G g + U 2 V j d G l v b j E v a H J v Z C U y M E h S X 0 N T X 0 Z U R V 9 S b 2 x l Q X J l Y V 9 T d X B w b 3 J 0 L 1 N v d X J j Z T w v S X R l b V B h d G g + P C 9 J d G V t T G 9 j Y X R p b 2 4 + P F N 0 Y W J s Z U V u d H J p Z X M g L z 4 8 L 0 l 0 Z W 0 + P E l 0 Z W 0 + P E l 0 Z W 1 M b 2 N h d G l v b j 4 8 S X R l b V R 5 c G U + R m 9 y b X V s Y T w v S X R l b V R 5 c G U + P E l 0 Z W 1 Q Y X R o P l N l Y 3 R p b 2 4 x L 2 h y b 2 Q l M j B I U l 9 D U 1 9 G V E V f U m 9 s Z U F y Z W F f U 3 V w c G 9 y d C 9 o c m 9 k X 0 h S X 0 N T X 0 Z U R V 9 S b 2 x l Q X J l Y V 9 T d X B w b 3 J 0 P C 9 J d G V t U G F 0 a D 4 8 L 0 l 0 Z W 1 M b 2 N h d G l v b j 4 8 U 3 R h Y m x l R W 5 0 c m l l c y A v P j w v S X R l b T 4 8 S X R l b T 4 8 S X R l b U x v Y 2 F 0 a W 9 u P j x J d G V t V H l w Z T 5 G b 3 J t d W x h P C 9 J d G V t V H l w Z T 4 8 S X R l b V B h d G g + U 2 V j d G l v b j E v a H J v Z C U y M E h S X 0 N T X 0 Z U R V 9 S b 2 x l Q X J l Y V 9 T d X B w b 3 J 0 L 1 N v c n R l Z C U y M F J v d 3 M 8 L 0 l 0 Z W 1 Q Y X R o P j w v S X R l b U x v Y 2 F 0 a W 9 u P j x T d G F i b G V F b n R y a W V z I C 8 + P C 9 J d G V t P j x J d G V t P j x J d G V t T G 9 j Y X R p b 2 4 + P E l 0 Z W 1 U e X B l P k Z v c m 1 1 b G E 8 L 0 l 0 Z W 1 U e X B l P j x J d G V t U G F 0 a D 5 T Z W N 0 a W 9 u M S 9 o c m 9 k J T I w S F J f R 2 V u Z G V y 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F c n J v c k N v Z G U i I F Z h b H V l P S J z V W 5 r b m 9 3 b i I g L z 4 8 R W 5 0 c n k g V H l w Z T 0 i R m l s b E N v b H V t b k 5 h b W V z I i B W Y W x 1 Z T 0 i c 1 s m c X V v d D t Z Z W F y J n F 1 b 3 Q 7 L C Z x d W 9 0 O 1 R 5 c G U m c X V v d D s s J n F 1 b 3 Q 7 V G 9 0 Y W w m c X V v d D s s J n F 1 b 3 Q 7 R m V t Y W x l J n F 1 b 3 Q 7 L C Z x d W 9 0 O 0 1 h b G U m c X V v d D t d I i A v P j x F b n R y e S B U e X B l P S J G a W x s Q 2 9 s d W 1 u V H l w Z X M i I F Z h b H V l P S J z Q m d Z R k J R V T 0 i I C 8 + P E V u d H J 5 I F R 5 c G U 9 I k Z p b G x F c n J v c k N v d W 5 0 I i B W Y W x 1 Z T 0 i b D A i I C 8 + P E V u d H J 5 I F R 5 c G U 9 I k Z p b G x D b 3 V u d C I g V m F s d W U 9 I m w 0 M y I g L z 4 8 R W 5 0 c n k g V H l w Z T 0 i R m l s b F N 0 Y X R 1 c y I g V m F s d W U 9 I n N D b 2 1 w b G V 0 Z S I g L z 4 8 R W 5 0 c n k g V H l w Z T 0 i R m l s b F R h c m d l d C I g V m F s d W U 9 I n N o c m 9 k X 0 h S X 0 d l b m R l c i I g L z 4 8 R W 5 0 c n k g V H l w Z T 0 i U m V s Y X R p b 2 5 z a G l w S W 5 m b 0 N v b n R h a W 5 l c i I g V m F s d W U 9 I n N 7 J n F 1 b 3 Q 7 Y 2 9 s d W 1 u Q 2 9 1 b n Q m c X V v d D s 6 N S w m c X V v d D t r Z X l D b 2 x 1 b W 5 O Y W 1 l c y Z x d W 9 0 O z p b X S w m c X V v d D t x d W V y e V J l b G F 0 a W 9 u c 2 h p c H M m c X V v d D s 6 W 1 0 s J n F 1 b 3 Q 7 Y 2 9 s d W 1 u S W R l b n R p d G l l c y Z x d W 9 0 O z p b J n F 1 b 3 Q 7 U 2 V y d m V y L k R h d G F i Y X N l X F w v M i 9 T U U w v c y 1 z c n M t d j A x X F x c X H B k c z t S Q V A v a H J v Z C 9 o c m 9 k L k h S X 0 d l b m R l c i 5 7 W W V h c i w w f S Z x d W 9 0 O y w m c X V v d D t T Z X J 2 Z X I u R G F 0 Y W J h c 2 V c X C 8 y L 1 N R T C 9 z L X N y c y 1 2 M D F c X F x c c G R z O 1 J B U C 9 o c m 9 k L 2 h y b 2 Q u S F J f R 2 V u Z G V y L n t U e X B l L D F 9 J n F 1 b 3 Q 7 L C Z x d W 9 0 O 1 N l c n Z l c i 5 E Y X R h Y m F z Z V x c L z I v U 1 F M L 3 M t c 3 J z L X Y w M V x c X F x w Z H M 7 U k F Q L 2 h y b 2 Q v a H J v Z C 5 I U l 9 H Z W 5 k Z X I u e 1 R v d G F s L D J 9 J n F 1 b 3 Q 7 L C Z x d W 9 0 O 1 N l c n Z l c i 5 E Y X R h Y m F z Z V x c L z I v U 1 F M L 3 M t c 3 J z L X Y w M V x c X F x w Z H M 7 U k F Q L 2 h y b 2 Q v a H J v Z C 5 I U l 9 H Z W 5 k Z X I u e 0 Z l b W F s Z S w z f S Z x d W 9 0 O y w m c X V v d D t T Z X J 2 Z X I u R G F 0 Y W J h c 2 V c X C 8 y L 1 N R T C 9 z L X N y c y 1 2 M D F c X F x c c G R z O 1 J B U C 9 o c m 9 k L 2 h y b 2 Q u S F J f R 2 V u Z G V y L n t N Y W x l L D R 9 J n F 1 b 3 Q 7 X S w m c X V v d D t D b 2 x 1 b W 5 D b 3 V u d C Z x d W 9 0 O z o 1 L C Z x d W 9 0 O 0 t l e U N v b H V t b k 5 h b W V z J n F 1 b 3 Q 7 O l t d L C Z x d W 9 0 O 0 N v b H V t b k l k Z W 5 0 a X R p Z X M m c X V v d D s 6 W y Z x d W 9 0 O 1 N l c n Z l c i 5 E Y X R h Y m F z Z V x c L z I v U 1 F M L 3 M t c 3 J z L X Y w M V x c X F x w Z H M 7 U k F Q L 2 h y b 2 Q v a H J v Z C 5 I U l 9 H Z W 5 k Z X I u e 1 l l Y X I s M H 0 m c X V v d D s s J n F 1 b 3 Q 7 U 2 V y d m V y L k R h d G F i Y X N l X F w v M i 9 T U U w v c y 1 z c n M t d j A x X F x c X H B k c z t S Q V A v a H J v Z C 9 o c m 9 k L k h S X 0 d l b m R l c i 5 7 V H l w Z S w x f S Z x d W 9 0 O y w m c X V v d D t T Z X J 2 Z X I u R G F 0 Y W J h c 2 V c X C 8 y L 1 N R T C 9 z L X N y c y 1 2 M D F c X F x c c G R z O 1 J B U C 9 o c m 9 k L 2 h y b 2 Q u S F J f R 2 V u Z G V y L n t U b 3 R h b C w y f S Z x d W 9 0 O y w m c X V v d D t T Z X J 2 Z X I u R G F 0 Y W J h c 2 V c X C 8 y L 1 N R T C 9 z L X N y c y 1 2 M D F c X F x c c G R z O 1 J B U C 9 o c m 9 k L 2 h y b 2 Q u S F J f R 2 V u Z G V y L n t G Z W 1 h b G U s M 3 0 m c X V v d D s s J n F 1 b 3 Q 7 U 2 V y d m V y L k R h d G F i Y X N l X F w v M i 9 T U U w v c y 1 z c n M t d j A x X F x c X H B k c z t S Q V A v a H J v Z C 9 o c m 9 k L k h S X 0 d l b m R l c i 5 7 T W F s Z S w 0 f S Z x d W 9 0 O 1 0 s J n F 1 b 3 Q 7 U m V s Y X R p b 2 5 z a G l w S W 5 m b y Z x d W 9 0 O z p b X X 0 i I C 8 + P E V u d H J 5 I F R 5 c G U 9 I k Z p b G x l Z E N v b X B s Z X R l U m V z d W x 0 V G 9 X b 3 J r c 2 h l Z X Q i I F Z h b H V l P S J s M S I g L z 4 8 R W 5 0 c n k g V H l w Z T 0 i Q W R k Z W R U b 0 R h d G F N b 2 R l b C I g V m F s d W U 9 I m w w I i A v P j x F b n R y e S B U e X B l P S J S Z W N v d m V y e V R h c m d l d F N o Z W V 0 I i B W Y W x 1 Z T 0 i c 1 N o Z W V 0 M T g i I C 8 + P E V u d H J 5 I F R 5 c G U 9 I l J l Y 2 9 2 Z X J 5 V G F y Z 2 V 0 Q 2 9 s d W 1 u I i B W Y W x 1 Z T 0 i b D E i I C 8 + P E V u d H J 5 I F R 5 c G U 9 I l J l Y 2 9 2 Z X J 5 V G F y Z 2 V 0 U m 9 3 I i B W Y W x 1 Z T 0 i b D E i I C 8 + P E V u d H J 5 I F R 5 c G U 9 I k Z p b G x M Y X N 0 V X B k Y X R l Z C I g V m F s d W U 9 I m Q y M D I x L T A 4 L T I z V D E 4 O j Q y O j U 4 L j Q 3 M T A x N z F a I i A v P j x F b n R y e S B U e X B l P S J R d W V y e U l E I i B W Y W x 1 Z T 0 i c 2 N m Y z U 0 M G U 1 L W Q z N W U t N D U y M C 0 4 Z G Y 1 L W R i N z Y w Y m Z m Z T k y M i I g L z 4 8 L 1 N 0 Y W J s Z U V u d H J p Z X M + P C 9 J d G V t P j x J d G V t P j x J d G V t T G 9 j Y X R p b 2 4 + P E l 0 Z W 1 U e X B l P k Z v c m 1 1 b G E 8 L 0 l 0 Z W 1 U e X B l P j x J d G V t U G F 0 a D 5 T Z W N 0 a W 9 u M S 9 o c m 9 k J T I w S F J f R 2 V u Z G V y L 1 N v d X J j Z T w v S X R l b V B h d G g + P C 9 J d G V t T G 9 j Y X R p b 2 4 + P F N 0 Y W J s Z U V u d H J p Z X M g L z 4 8 L 0 l 0 Z W 0 + P E l 0 Z W 0 + P E l 0 Z W 1 M b 2 N h d G l v b j 4 8 S X R l b V R 5 c G U + R m 9 y b X V s Y T w v S X R l b V R 5 c G U + P E l 0 Z W 1 Q Y X R o P l N l Y 3 R p b 2 4 x L 2 h y b 2 Q l M j B I U l 9 H Z W 5 k Z X I v a H J v Z F 9 I U l 9 H Z W 5 k Z X I 8 L 0 l 0 Z W 1 Q Y X R o P j w v S X R l b U x v Y 2 F 0 a W 9 u P j x T d G F i b G V F b n R y a W V z I C 8 + P C 9 J d G V t P j x J d G V t P j x J d G V t T G 9 j Y X R p b 2 4 + P E l 0 Z W 1 U e X B l P k Z v c m 1 1 b G E 8 L 0 l 0 Z W 1 U e X B l P j x J d G V t U G F 0 a D 5 T Z W N 0 a W 9 u M S 9 o c m 9 k J T I w S F J f R 2 V u Z G V y L 1 N v c n R l Z C U y M F J v d 3 M 8 L 0 l 0 Z W 1 Q Y X R o P j w v S X R l b U x v Y 2 F 0 a W 9 u P j x T d G F i b G V F b n R y a W V z I C 8 + P C 9 J d G V t P j x J d G V t P j x J d G V t T G 9 j Y X R p b 2 4 + P E l 0 Z W 1 U e X B l P k Z v c m 1 1 b G E 8 L 0 l 0 Z W 1 U e X B l P j x J d G V t U G F 0 a D 5 T Z W N 0 a W 9 u M S 9 o c m 9 k J T I w S F J f R l R F X 0 d l b m R l c l 9 S b 2 x l 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l J l b G F 0 a W 9 u c 2 h p c E l u Z m 9 D b 2 5 0 Y W l u Z X I i I F Z h b H V l P S J z e y Z x d W 9 0 O 2 N v b H V t b k N v d W 5 0 J n F 1 b 3 Q 7 O j Y s J n F 1 b 3 Q 7 a 2 V 5 Q 2 9 s d W 1 u T m F t Z X M m c X V v d D s 6 W 1 0 s J n F 1 b 3 Q 7 c X V l c n l S Z W x h d G l v b n N o a X B z J n F 1 b 3 Q 7 O l t d L C Z x d W 9 0 O 2 N v b H V t b k l k Z W 5 0 a X R p Z X M m c X V v d D s 6 W y Z x d W 9 0 O 1 N l c n Z l c i 5 E Y X R h Y m F z Z V x c L z I v U 1 F M L 3 M t c 3 J z L X Y w M V x c X F x w Z H M 7 U k F Q L 2 h y b 2 Q v a H J v Z C 5 I U l 9 G V E V f R 2 V u Z G V y X 1 J v b G U u e 1 l l Y X I s M H 0 m c X V v d D s s J n F 1 b 3 Q 7 U 2 V y d m V y L k R h d G F i Y X N l X F w v M i 9 T U U w v c y 1 z c n M t d j A x X F x c X H B k c z t S Q V A v a H J v Z C 9 o c m 9 k L k h S X 0 Z U R V 9 H Z W 5 k Z X J f U m 9 s Z S 5 7 V H l w Z S w x f S Z x d W 9 0 O y w m c X V v d D t T Z X J 2 Z X I u R G F 0 Y W J h c 2 V c X C 8 y L 1 N R T C 9 z L X N y c y 1 2 M D F c X F x c c G R z O 1 J B U C 9 o c m 9 k L 2 h y b 2 Q u S F J f R l R F X 0 d l b m R l c l 9 S b 2 x l L n t Q b 3 N 0 Q 2 9 u d i w y f S Z x d W 9 0 O y w m c X V v d D t T Z X J 2 Z X I u R G F 0 Y W J h c 2 V c X C 8 y L 1 N R T C 9 z L X N y c y 1 2 M D F c X F x c c G R z O 1 J B U C 9 o c m 9 k L 2 h y b 2 Q u S F J f R l R F X 0 d l b m R l c l 9 S b 2 x l L n t U b 3 R h b C w z f S Z x d W 9 0 O y w m c X V v d D t T Z X J 2 Z X I u R G F 0 Y W J h c 2 V c X C 8 y L 1 N R T C 9 z L X N y c y 1 2 M D F c X F x c c G R z O 1 J B U C 9 o c m 9 k L 2 h y b 2 Q u S F J f R l R F X 0 d l b m R l c l 9 S b 2 x l L n t G Z W 1 h b G U s N H 0 m c X V v d D s s J n F 1 b 3 Q 7 U 2 V y d m V y L k R h d G F i Y X N l X F w v M i 9 T U U w v c y 1 z c n M t d j A x X F x c X H B k c z t S Q V A v a H J v Z C 9 o c m 9 k L k h S X 0 Z U R V 9 H Z W 5 k Z X J f U m 9 s Z S 5 7 T W F s Z S w 1 f S Z x d W 9 0 O 1 0 s J n F 1 b 3 Q 7 Q 2 9 s d W 1 u Q 2 9 1 b n Q m c X V v d D s 6 N i w m c X V v d D t L Z X l D b 2 x 1 b W 5 O Y W 1 l c y Z x d W 9 0 O z p b X S w m c X V v d D t D b 2 x 1 b W 5 J Z G V u d G l 0 a W V z J n F 1 b 3 Q 7 O l s m c X V v d D t T Z X J 2 Z X I u R G F 0 Y W J h c 2 V c X C 8 y L 1 N R T C 9 z L X N y c y 1 2 M D F c X F x c c G R z O 1 J B U C 9 o c m 9 k L 2 h y b 2 Q u S F J f R l R F X 0 d l b m R l c l 9 S b 2 x l L n t Z Z W F y L D B 9 J n F 1 b 3 Q 7 L C Z x d W 9 0 O 1 N l c n Z l c i 5 E Y X R h Y m F z Z V x c L z I v U 1 F M L 3 M t c 3 J z L X Y w M V x c X F x w Z H M 7 U k F Q L 2 h y b 2 Q v a H J v Z C 5 I U l 9 G V E V f R 2 V u Z G V y X 1 J v b G U u e 1 R 5 c G U s M X 0 m c X V v d D s s J n F 1 b 3 Q 7 U 2 V y d m V y L k R h d G F i Y X N l X F w v M i 9 T U U w v c y 1 z c n M t d j A x X F x c X H B k c z t S Q V A v a H J v Z C 9 o c m 9 k L k h S X 0 Z U R V 9 H Z W 5 k Z X J f U m 9 s Z S 5 7 U G 9 z d E N v b n Y s M n 0 m c X V v d D s s J n F 1 b 3 Q 7 U 2 V y d m V y L k R h d G F i Y X N l X F w v M i 9 T U U w v c y 1 z c n M t d j A x X F x c X H B k c z t S Q V A v a H J v Z C 9 o c m 9 k L k h S X 0 Z U R V 9 H Z W 5 k Z X J f U m 9 s Z S 5 7 V G 9 0 Y W w s M 3 0 m c X V v d D s s J n F 1 b 3 Q 7 U 2 V y d m V y L k R h d G F i Y X N l X F w v M i 9 T U U w v c y 1 z c n M t d j A x X F x c X H B k c z t S Q V A v a H J v Z C 9 o c m 9 k L k h S X 0 Z U R V 9 H Z W 5 k Z X J f U m 9 s Z S 5 7 R m V t Y W x l L D R 9 J n F 1 b 3 Q 7 L C Z x d W 9 0 O 1 N l c n Z l c i 5 E Y X R h Y m F z Z V x c L z I v U 1 F M L 3 M t c 3 J z L X Y w M V x c X F x w Z H M 7 U k F Q L 2 h y b 2 Q v a H J v Z C 5 I U l 9 G V E V f R 2 V u Z G V y X 1 J v b G U u e 0 1 h b G U s N X 0 m c X V v d D t d L C Z x d W 9 0 O 1 J l b G F 0 a W 9 u c 2 h p c E l u Z m 8 m c X V v d D s 6 W 1 1 9 I i A v P j x F b n R y e S B U e X B l P S J G a W x s T G F z d F V w Z G F 0 Z W Q i I F Z h b H V l P S J k M j A y M S 0 w O C 0 y N l Q x N T o w M D o 1 O C 4 x M D E 2 M j I 3 W i I g L z 4 8 R W 5 0 c n k g V H l w Z T 0 i R m l s b E V y c m 9 y Q 2 9 k Z S I g V m F s d W U 9 I n N V b m t u b 3 d u I i A v P j x F b n R y e S B U e X B l P S J G a W x s Q 2 9 s d W 1 u T m F t Z X M i I F Z h b H V l P S J z W y Z x d W 9 0 O 1 l l Y X I m c X V v d D s s J n F 1 b 3 Q 7 V H l w Z S Z x d W 9 0 O y w m c X V v d D t Q b 3 N 0 Q 2 9 u d i Z x d W 9 0 O y w m c X V v d D t U b 3 R h b C Z x d W 9 0 O y w m c X V v d D t G Z W 1 h b G U m c X V v d D s s J n F 1 b 3 Q 7 T W F s Z S Z x d W 9 0 O 1 0 i I C 8 + P E V u d H J 5 I F R 5 c G U 9 I k Z p b G x D b 2 x 1 b W 5 U e X B l c y I g V m F s d W U 9 I n N C Z 1 l H Q l F V R i I g L z 4 8 R W 5 0 c n k g V H l w Z T 0 i R m l s b E V y c m 9 y Q 2 9 1 b n Q i I F Z h b H V l P S J s M C I g L z 4 8 R W 5 0 c n k g V H l w Z T 0 i R m l s b E N v d W 5 0 I i B W Y W x 1 Z T 0 i b D E 2 M C I g L z 4 8 R W 5 0 c n k g V H l w Z T 0 i R m l s b G V k Q 2 9 t c G x l d G V S Z X N 1 b H R U b 1 d v c m t z a G V l d C I g V m F s d W U 9 I m w x I i A v P j x F b n R y e S B U e X B l P S J B Z G R l Z F R v R G F 0 Y U 1 v Z G V s I i B W Y W x 1 Z T 0 i b D A i I C 8 + P E V u d H J 5 I F R 5 c G U 9 I l J l Y 2 9 2 Z X J 5 V G F y Z 2 V 0 U 2 h l Z X Q i I F Z h b H V l P S J z U 2 h l Z X Q y M C I g L z 4 8 R W 5 0 c n k g V H l w Z T 0 i U m V j b 3 Z l c n l U Y X J n Z X R D b 2 x 1 b W 4 i I F Z h b H V l P S J s M S I g L z 4 8 R W 5 0 c n k g V H l w Z T 0 i U m V j b 3 Z l c n l U Y X J n Z X R S b 3 c i I F Z h b H V l P S J s M S I g L z 4 8 R W 5 0 c n k g V H l w Z T 0 i R m l s b F R h c m d l d C I g V m F s d W U 9 I n N o c m 9 k X 0 h S X 0 Z U R V 9 H Z W 5 k Z X J f U m 9 s Z S I g L z 4 8 R W 5 0 c n k g V H l w Z T 0 i R m l s b F N 0 Y X R 1 c y I g V m F s d W U 9 I n N D b 2 1 w b G V 0 Z S I g L z 4 8 R W 5 0 c n k g V H l w Z T 0 i U X V l c n l J R C I g V m F s d W U 9 I n N h Z j A y N D E 1 O S 1 i M j J m L T Q 2 N j k t O G Q 0 Y i 0 0 O D k 1 O T N h Z D I 3 M W I i I C 8 + P C 9 T d G F i b G V F b n R y a W V z P j w v S X R l b T 4 8 S X R l b T 4 8 S X R l b U x v Y 2 F 0 a W 9 u P j x J d G V t V H l w Z T 5 G b 3 J t d W x h P C 9 J d G V t V H l w Z T 4 8 S X R l b V B h d G g + U 2 V j d G l v b j E v a H J v Z C U y M E h S X 0 Z U R V 9 H Z W 5 k Z X J f U m 9 s Z S 9 T b 3 V y Y 2 U 8 L 0 l 0 Z W 1 Q Y X R o P j w v S X R l b U x v Y 2 F 0 a W 9 u P j x T d G F i b G V F b n R y a W V z I C 8 + P C 9 J d G V t P j x J d G V t P j x J d G V t T G 9 j Y X R p b 2 4 + P E l 0 Z W 1 U e X B l P k Z v c m 1 1 b G E 8 L 0 l 0 Z W 1 U e X B l P j x J d G V t U G F 0 a D 5 T Z W N 0 a W 9 u M S 9 o c m 9 k J T I w S F J f R l R F X 0 d l b m R l c l 9 S b 2 x l L 2 h y b 2 R f S F J f R l R F X 0 d l b m R l c l 9 S b 2 x l P C 9 J d G V t U G F 0 a D 4 8 L 0 l 0 Z W 1 M b 2 N h d G l v b j 4 8 U 3 R h Y m x l R W 5 0 c m l l c y A v P j w v S X R l b T 4 8 S X R l b T 4 8 S X R l b U x v Y 2 F 0 a W 9 u P j x J d G V t V H l w Z T 5 G b 3 J t d W x h P C 9 J d G V t V H l w Z T 4 8 S X R l b V B h d G g + U 2 V j d G l v b j E v a H J v Z C U y M E h S X 0 Z U R V 9 H Z W 5 k Z X J f U m 9 s Z S 9 T b 3 J 0 Z W Q l M j B S b 3 d z P C 9 J d G V t U G F 0 a D 4 8 L 0 l 0 Z W 1 M b 2 N h d G l v b j 4 8 U 3 R h Y m x l R W 5 0 c m l l c y A v P j w v S X R l b T 4 8 S X R l b T 4 8 S X R l b U x v Y 2 F 0 a W 9 u P j x J d G V t V H l w Z T 5 G b 3 J t d W x h P C 9 J d G V t V H l w Z T 4 8 S X R l b V B h d G g + U 2 V j d G l v b j E v a H J v Z C U y M E h S X 0 V 0 a G 5 p Y 2 l 0 e 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S Z W x h d G l v b n N o a X B J b m Z v Q 2 9 u d G F p b m V y I i B W Y W x 1 Z T 0 i c 3 s m c X V v d D t j b 2 x 1 b W 5 D b 3 V u d C Z x d W 9 0 O z o 1 L C Z x d W 9 0 O 2 t l e U N v b H V t b k 5 h b W V z J n F 1 b 3 Q 7 O l t d L C Z x d W 9 0 O 3 F 1 Z X J 5 U m V s Y X R p b 2 5 z a G l w c y Z x d W 9 0 O z p b X S w m c X V v d D t j b 2 x 1 b W 5 J Z G V u d G l 0 a W V z J n F 1 b 3 Q 7 O l s m c X V v d D t T Z X J 2 Z X I u R G F 0 Y W J h c 2 V c X C 8 y L 1 N R T C 9 z L X N y c y 1 2 M D F c X F x c c G R z O 1 J B U C 9 o c m 9 k L 2 h y b 2 Q u S F J f R X R o b m l j a X R 5 L n t G a X N Z c i w w f S Z x d W 9 0 O y w m c X V v d D t T Z X J 2 Z X I u R G F 0 Y W J h c 2 V c X C 8 y L 1 N R T C 9 z L X N y c y 1 2 M D F c X F x c c G R z O 1 J B U C 9 o c m 9 k L 2 h y b 2 Q u S F J f R X R o b m l j a X R 5 L n t U e X B l L D F 9 J n F 1 b 3 Q 7 L C Z x d W 9 0 O 1 N l c n Z l c i 5 E Y X R h Y m F z Z V x c L z I v U 1 F M L 3 M t c 3 J z L X Y w M V x c X F x w Z H M 7 U k F Q L 2 h y b 2 Q v a H J v Z C 5 I U l 9 F d G h u a W N p d H k u e 1 d o a X R l L D J 9 J n F 1 b 3 Q 7 L C Z x d W 9 0 O 1 N l c n Z l c i 5 E Y X R h Y m F z Z V x c L z I v U 1 F M L 3 M t c 3 J z L X Y w M V x c X F x w Z H M 7 U k F Q L 2 h y b 2 Q v a H J v Z C 5 I U l 9 F d G h u a W N p d H k u e 0 V 0 a G 5 p Y y B N a W 5 v c m l 0 e S w z f S Z x d W 9 0 O y w m c X V v d D t T Z X J 2 Z X I u R G F 0 Y W J h c 2 V c X C 8 y L 1 N R T C 9 z L X N y c y 1 2 M D F c X F x c c G R z O 1 J B U C 9 o c m 9 k L 2 h y b 2 Q u S F J f R X R o b m l j a X R 5 L n t O b 3 Q g U 3 R h d G V k L D R 9 J n F 1 b 3 Q 7 X S w m c X V v d D t D b 2 x 1 b W 5 D b 3 V u d C Z x d W 9 0 O z o 1 L C Z x d W 9 0 O 0 t l e U N v b H V t b k 5 h b W V z J n F 1 b 3 Q 7 O l t d L C Z x d W 9 0 O 0 N v b H V t b k l k Z W 5 0 a X R p Z X M m c X V v d D s 6 W y Z x d W 9 0 O 1 N l c n Z l c i 5 E Y X R h Y m F z Z V x c L z I v U 1 F M L 3 M t c 3 J z L X Y w M V x c X F x w Z H M 7 U k F Q L 2 h y b 2 Q v a H J v Z C 5 I U l 9 F d G h u a W N p d H k u e 0 Z p c 1 l y L D B 9 J n F 1 b 3 Q 7 L C Z x d W 9 0 O 1 N l c n Z l c i 5 E Y X R h Y m F z Z V x c L z I v U 1 F M L 3 M t c 3 J z L X Y w M V x c X F x w Z H M 7 U k F Q L 2 h y b 2 Q v a H J v Z C 5 I U l 9 F d G h u a W N p d H k u e 1 R 5 c G U s M X 0 m c X V v d D s s J n F 1 b 3 Q 7 U 2 V y d m V y L k R h d G F i Y X N l X F w v M i 9 T U U w v c y 1 z c n M t d j A x X F x c X H B k c z t S Q V A v a H J v Z C 9 o c m 9 k L k h S X 0 V 0 a G 5 p Y 2 l 0 e S 5 7 V 2 h p d G U s M n 0 m c X V v d D s s J n F 1 b 3 Q 7 U 2 V y d m V y L k R h d G F i Y X N l X F w v M i 9 T U U w v c y 1 z c n M t d j A x X F x c X H B k c z t S Q V A v a H J v Z C 9 o c m 9 k L k h S X 0 V 0 a G 5 p Y 2 l 0 e S 5 7 R X R o b m l j I E 1 p b m 9 y a X R 5 L D N 9 J n F 1 b 3 Q 7 L C Z x d W 9 0 O 1 N l c n Z l c i 5 E Y X R h Y m F z Z V x c L z I v U 1 F M L 3 M t c 3 J z L X Y w M V x c X F x w Z H M 7 U k F Q L 2 h y b 2 Q v a H J v Z C 5 I U l 9 F d G h u a W N p d H k u e 0 5 v d C B T d G F 0 Z W Q s N H 0 m c X V v d D t d L C Z x d W 9 0 O 1 J l b G F 0 a W 9 u c 2 h p c E l u Z m 8 m c X V v d D s 6 W 1 1 9 I i A v P j x F b n R y e S B U e X B l P S J G a W x s T G F z d F V w Z G F 0 Z W Q i I F Z h b H V l P S J k M j A y M S 0 w O C 0 x M V Q x M z o w N z o z N S 4 y N z g w M z A z W i I g L z 4 8 R W 5 0 c n k g V H l w Z T 0 i R m l s b E V y c m 9 y Q 2 9 k Z S I g V m F s d W U 9 I n N V b m t u b 3 d u I i A v P j x F b n R y e S B U e X B l P S J G a W x s Q 2 9 s d W 1 u T m F t Z X M i I F Z h b H V l P S J z W y Z x d W 9 0 O 0 Z p c 1 l y J n F 1 b 3 Q 7 L C Z x d W 9 0 O 1 R 5 c G U m c X V v d D s s J n F 1 b 3 Q 7 V 2 h p d G U m c X V v d D s s J n F 1 b 3 Q 7 R X R o b m l j I E 1 p b m 9 y a X R 5 J n F 1 b 3 Q 7 L C Z x d W 9 0 O 0 5 v d C B T d G F 0 Z W Q m c X V v d D t d I i A v P j x F b n R y e S B U e X B l P S J G a W x s Q 2 9 s d W 1 u V H l w Z X M i I F Z h b H V l P S J z Q m d Z R k J R V T 0 i I C 8 + P E V u d H J 5 I F R 5 c G U 9 I k Z p b G x F c n J v c k N v d W 5 0 I i B W Y W x 1 Z T 0 i b D A i I C 8 + P E V u d H J 5 I F R 5 c G U 9 I k Z p b G x D b 3 V u d C I g V m F s d W U 9 I m w 3 M i I g L z 4 8 R W 5 0 c n k g V H l w Z T 0 i R m l s b F N 0 Y X R 1 c y I g V m F s d W U 9 I n N D b 2 1 w b G V 0 Z S I g L z 4 8 R W 5 0 c n k g V H l w Z T 0 i R m l s b G V k Q 2 9 t c G x l d G V S Z X N 1 b H R U b 1 d v c m t z a G V l d C I g V m F s d W U 9 I m w x I i A v P j x F b n R y e S B U e X B l P S J B Z G R l Z F R v R G F 0 Y U 1 v Z G V s I i B W Y W x 1 Z T 0 i b D A i I C 8 + P E V u d H J 5 I F R 5 c G U 9 I l J l Y 2 9 2 Z X J 5 V G F y Z 2 V 0 U 2 h l Z X Q i I F Z h b H V l P S J z U 2 h l Z X Q y M y I g L z 4 8 R W 5 0 c n k g V H l w Z T 0 i U m V j b 3 Z l c n l U Y X J n Z X R D b 2 x 1 b W 4 i I F Z h b H V l P S J s M S I g L z 4 8 R W 5 0 c n k g V H l w Z T 0 i U m V j b 3 Z l c n l U Y X J n Z X R S b 3 c i I F Z h b H V l P S J s M S I g L z 4 8 R W 5 0 c n k g V H l w Z T 0 i R m l s b F R h c m d l d C I g V m F s d W U 9 I n N o c m 9 k X 0 h S X 0 V 0 a G 5 p Y 2 l 0 e S I g L z 4 8 R W 5 0 c n k g V H l w Z T 0 i U X V l c n l J R C I g V m F s d W U 9 I n M 0 Y j g z Z T g 3 M i 1 i Z j c 0 L T Q 5 Y m U t Y m M 3 M y 0 1 Z W R j N T V m Z G U 1 Z j I i I C 8 + P C 9 T d G F i b G V F b n R y a W V z P j w v S X R l b T 4 8 S X R l b T 4 8 S X R l b U x v Y 2 F 0 a W 9 u P j x J d G V t V H l w Z T 5 G b 3 J t d W x h P C 9 J d G V t V H l w Z T 4 8 S X R l b V B h d G g + U 2 V j d G l v b j E v a H J v Z C U y M E h S X 0 V 0 a G 5 p Y 2 l 0 e S 9 T b 3 V y Y 2 U 8 L 0 l 0 Z W 1 Q Y X R o P j w v S X R l b U x v Y 2 F 0 a W 9 u P j x T d G F i b G V F b n R y a W V z I C 8 + P C 9 J d G V t P j x J d G V t P j x J d G V t T G 9 j Y X R p b 2 4 + P E l 0 Z W 1 U e X B l P k Z v c m 1 1 b G E 8 L 0 l 0 Z W 1 U e X B l P j x J d G V t U G F 0 a D 5 T Z W N 0 a W 9 u M S 9 o c m 9 k J T I w S F J f R X R o b m l j a X R 5 L 2 h y b 2 R f S F J f R X R o b m l j a X R 5 P C 9 J d G V t U G F 0 a D 4 8 L 0 l 0 Z W 1 M b 2 N h d G l v b j 4 8 U 3 R h Y m x l R W 5 0 c m l l c y A v P j w v S X R l b T 4 8 S X R l b T 4 8 S X R l b U x v Y 2 F 0 a W 9 u P j x J d G V t V H l w Z T 5 G b 3 J t d W x h P C 9 J d G V t V H l w Z T 4 8 S X R l b V B h d G g + U 2 V j d G l v b j E v a H J v Z C U y M E h S X 0 V 0 a G 5 p Y 2 l 0 e S 9 T b 3 J 0 Z W Q l M j B S b 3 d z P C 9 J d G V t U G F 0 a D 4 8 L 0 l 0 Z W 1 M b 2 N h d G l v b j 4 8 U 3 R h Y m x l R W 5 0 c m l l c y A v P j w v S X R l b T 4 8 S X R l b T 4 8 S X R l b U x v Y 2 F 0 a W 9 u P j x J d G V t V H l w Z T 5 G b 3 J t d W x h P C 9 J d G V t V H l w Z T 4 8 S X R l b V B h d G g + U 2 V j d G l v b j E v a H J v Z C U y M E h S X 0 V 0 a G 5 p Y 2 l 0 e S 9 S Z W 1 v d m V k J T I w V G 9 w J T I w U m 9 3 c z w v S X R l b V B h d G g + P C 9 J d G V t T G 9 j Y X R p b 2 4 + P F N 0 Y W J s Z U V u d H J p Z X M g L z 4 8 L 0 l 0 Z W 0 + P E l 0 Z W 0 + P E l 0 Z W 1 M b 2 N h d G l v b j 4 8 S X R l b V R 5 c G U + R m 9 y b X V s Y T w v S X R l b V R 5 c G U + P E l 0 Z W 1 Q Y X R o P l N l Y 3 R p b 2 4 x L 2 Z s Z W V 0 J T I w T m F 0 a W 9 u Y W w 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R h c m d l d C I g V m F s d W U 9 I n N m b G V l d F 9 O Y X R p b 2 5 h b C I g L z 4 8 R W 5 0 c n k g V H l w Z T 0 i R m l s b F N 0 Y X R 1 c y I g V m F s d W U 9 I n N D b 2 1 w b G V 0 Z S I g L z 4 8 R W 5 0 c n k g V H l w Z T 0 i R m l s b E N v d W 5 0 I i B W Y W x 1 Z T 0 i b D k i I C 8 + P E V u d H J 5 I F R 5 c G U 9 I k Z p b G x F c n J v c k N v d W 5 0 I i B W Y W x 1 Z T 0 i b D A i I C 8 + P E V u d H J 5 I F R 5 c G U 9 I k Z p b G x D b 2 x 1 b W 5 U e X B l c y I g V m F s d W U 9 I n N C Z 1 V G Q l F V R k J R V U Z C U V V G Q l F V P S I g L z 4 8 R W 5 0 c n k g V H l w Z T 0 i R m l s b E N v b H V t b k 5 h b W V z I i B W Y W x 1 Z T 0 i c 1 s m c X V v d D t Z Z W F y J n F 1 b 3 Q 7 L C Z x d W 9 0 O 1 B 1 b X B p b m c g Q X B w b G l h b m N l c y Z x d W 9 0 O y w m c X V v d D t B Z X J p Y W w g Q X B w b G l h b m N l c y Z x d W 9 0 O y w m c X V v d D t S Z X N p b G l l b m N l I E F w c G x p Y W 5 j Z X M m c X V v d D s s J n F 1 b 3 Q 7 R m l y Z S B C b 2 F 0 c y Z x d W 9 0 O y w m c X V v d D t W Z W h p Y 2 x l c y B m b 3 I g U m V z Y 3 V l I F d v c m s m c X V v d D s s J n F 1 b 3 Q 7 U 2 1 h b G w g R m l y Z W Z p Z 2 h 0 a W 5 n I F Z l a G l j b G V z J n F 1 b 3 Q 7 L C Z x d W 9 0 O 0 9 0 a G V y J n F 1 b 3 Q 7 L C Z x d W 9 0 O 1 R v d G F s I E F w c G x p Y W 5 j Z X M m c X V v d D s s J n F 1 b 3 Q 7 T 2 Z m a W N l c i B S Z X N w b 2 5 z Z S B W Z W h p Y 2 x l c y Z x d W 9 0 O y w m c X V v d D t S Z X N l c n Z l I E F w c G x p Y W 5 j Z X M m c X V v d D s s J n F 1 b 3 Q 7 V H J h a W 5 p b m c g Q X B w b G l h b m N l c y Z x d W 9 0 O y w m c X V v d D t P d G h l c i B G b G V l d C B W Z W h p Y 2 x l c y A o Z X h j b C B P Z m Z p Y 2 V y I F J l c 3 B v b n N l I F Z l a G l j b G V z K S Z x d W 9 0 O y w m c X V v d D t U b 3 R h b C B W Z W h p Y 2 x l c y A o a W 5 j b C B i b 2 F 0 c y k m c X V v d D t d I i A v P j x F b n R y e S B U e X B l P S J G a W x s R X J y b 3 J D b 2 R l I i B W Y W x 1 Z T 0 i c 1 V u a 2 5 v d 2 4 i I C 8 + P E V u d H J 5 I F R 5 c G U 9 I k Z p b G x l Z E N v b X B s Z X R l U m V z d W x 0 V G 9 X b 3 J r c 2 h l Z X Q i I F Z h b H V l P S J s M S I g L z 4 8 R W 5 0 c n k g V H l w Z T 0 i Q W R k Z W R U b 0 R h d G F N b 2 R l b C I g V m F s d W U 9 I m w w I i A v P j x F b n R y e S B U e X B l P S J S Z W N v d m V y e V R h c m d l d F N o Z W V 0 I i B W Y W x 1 Z T 0 i c 1 N o Z W V 0 M j U i I C 8 + P E V u d H J 5 I F R 5 c G U 9 I l J l Y 2 9 2 Z X J 5 V G F y Z 2 V 0 Q 2 9 s d W 1 u I i B W Y W x 1 Z T 0 i b D E i I C 8 + P E V u d H J 5 I F R 5 c G U 9 I l J l Y 2 9 2 Z X J 5 V G F y Z 2 V 0 U m 9 3 I i B W Y W x 1 Z T 0 i b D E i I C 8 + P E V u d H J 5 I F R 5 c G U 9 I k Z p b G x M Y X N 0 V X B k Y X R l Z C I g V m F s d W U 9 I m Q y M D I x L T A 4 L T I z V D E 3 O j E 1 O j E y L j Q z N D U x O T R a I i A v P j x F b n R y e S B U e X B l P S J R d W V y e U l E I i B W Y W x 1 Z T 0 i c z Y y Y z Y w Z W M 3 L T l i Z m Y t N D F m Y S 1 i Z j R h L T V l O G F j O W R l Y W Y 5 N S I g L z 4 8 R W 5 0 c n k g V H l w Z T 0 i U m V s Y X R p b 2 5 z a G l w S W 5 m b 0 N v b n R h a W 5 l c i I g V m F s d W U 9 I n N 7 J n F 1 b 3 Q 7 Y 2 9 s d W 1 u Q 2 9 1 b n Q m c X V v d D s 6 M T Q s J n F 1 b 3 Q 7 a 2 V 5 Q 2 9 s d W 1 u T m F t Z X M m c X V v d D s 6 W 1 0 s J n F 1 b 3 Q 7 c X V l c n l S Z W x h d G l v b n N o a X B z J n F 1 b 3 Q 7 O l t d L C Z x d W 9 0 O 2 N v b H V t b k l k Z W 5 0 a X R p Z X M m c X V v d D s 6 W y Z x d W 9 0 O 1 N l c n Z l c i 5 E Y X R h Y m F z Z V x c L z I v U 1 F M L 3 M t c 3 J z L X Y w M V x c X F x w Z H M 7 U k F Q L 2 Z s Z W V 0 L 2 Z s Z W V 0 L k 5 h d G l v b m F s L n t Z Z W F y L D B 9 J n F 1 b 3 Q 7 L C Z x d W 9 0 O 1 N l c n Z l c i 5 E Y X R h Y m F z Z V x c L z I v U 1 F M L 3 M t c 3 J z L X Y w M V x c X F x w Z H M 7 U k F Q L 2 Z s Z W V 0 L 2 Z s Z W V 0 L k 5 h d G l v b m F s L n t Q d W 1 w a W 5 n I E F w c G x p Y W 5 j Z X M s M X 0 m c X V v d D s s J n F 1 b 3 Q 7 U 2 V y d m V y L k R h d G F i Y X N l X F w v M i 9 T U U w v c y 1 z c n M t d j A x X F x c X H B k c z t S Q V A v Z m x l Z X Q v Z m x l Z X Q u T m F 0 a W 9 u Y W w u e 0 F l c m l h b C B B c H B s a W F u Y 2 V z L D J 9 J n F 1 b 3 Q 7 L C Z x d W 9 0 O 1 N l c n Z l c i 5 E Y X R h Y m F z Z V x c L z I v U 1 F M L 3 M t c 3 J z L X Y w M V x c X F x w Z H M 7 U k F Q L 2 Z s Z W V 0 L 2 Z s Z W V 0 L k 5 h d G l v b m F s L n t S Z X N p b G l l b m N l I E F w c G x p Y W 5 j Z X M s M 3 0 m c X V v d D s s J n F 1 b 3 Q 7 U 2 V y d m V y L k R h d G F i Y X N l X F w v M i 9 T U U w v c y 1 z c n M t d j A x X F x c X H B k c z t S Q V A v Z m x l Z X Q v Z m x l Z X Q u T m F 0 a W 9 u Y W w u e 0 Z p c m U g Q m 9 h d H M s N H 0 m c X V v d D s s J n F 1 b 3 Q 7 U 2 V y d m V y L k R h d G F i Y X N l X F w v M i 9 T U U w v c y 1 z c n M t d j A x X F x c X H B k c z t S Q V A v Z m x l Z X Q v Z m x l Z X Q u T m F 0 a W 9 u Y W w u e 1 Z l a G l j b G V z I G Z v c i B S Z X N j d W U g V 2 9 y a y w 1 f S Z x d W 9 0 O y w m c X V v d D t T Z X J 2 Z X I u R G F 0 Y W J h c 2 V c X C 8 y L 1 N R T C 9 z L X N y c y 1 2 M D F c X F x c c G R z O 1 J B U C 9 m b G V l d C 9 m b G V l d C 5 O Y X R p b 2 5 h b C 5 7 U 2 1 h b G w g R m l y Z W Z p Z 2 h 0 a W 5 n I F Z l a G l j b G V z L D Z 9 J n F 1 b 3 Q 7 L C Z x d W 9 0 O 1 N l c n Z l c i 5 E Y X R h Y m F z Z V x c L z I v U 1 F M L 3 M t c 3 J z L X Y w M V x c X F x w Z H M 7 U k F Q L 2 Z s Z W V 0 L 2 Z s Z W V 0 L k 5 h d G l v b m F s L n t P d G h l c i w 3 f S Z x d W 9 0 O y w m c X V v d D t T Z X J 2 Z X I u R G F 0 Y W J h c 2 V c X C 8 y L 1 N R T C 9 z L X N y c y 1 2 M D F c X F x c c G R z O 1 J B U C 9 m b G V l d C 9 m b G V l d C 5 O Y X R p b 2 5 h b C 5 7 V G 9 0 Y W w g Q X B w b G l h b m N l c y w 4 f S Z x d W 9 0 O y w m c X V v d D t T Z X J 2 Z X I u R G F 0 Y W J h c 2 V c X C 8 y L 1 N R T C 9 z L X N y c y 1 2 M D F c X F x c c G R z O 1 J B U C 9 m b G V l d C 9 m b G V l d C 5 O Y X R p b 2 5 h b C 5 7 T 2 Z m a W N l c i B S Z X N w b 2 5 z Z S B W Z W h p Y 2 x l c y w 5 f S Z x d W 9 0 O y w m c X V v d D t T Z X J 2 Z X I u R G F 0 Y W J h c 2 V c X C 8 y L 1 N R T C 9 z L X N y c y 1 2 M D F c X F x c c G R z O 1 J B U C 9 m b G V l d C 9 m b G V l d C 5 O Y X R p b 2 5 h b C 5 7 U m V z Z X J 2 Z S B B c H B s a W F u Y 2 V z L D E w f S Z x d W 9 0 O y w m c X V v d D t T Z X J 2 Z X I u R G F 0 Y W J h c 2 V c X C 8 y L 1 N R T C 9 z L X N y c y 1 2 M D F c X F x c c G R z O 1 J B U C 9 m b G V l d C 9 m b G V l d C 5 O Y X R p b 2 5 h b C 5 7 V H J h a W 5 p b m c g Q X B w b G l h b m N l c y w x M X 0 m c X V v d D s s J n F 1 b 3 Q 7 U 2 V y d m V y L k R h d G F i Y X N l X F w v M i 9 T U U w v c y 1 z c n M t d j A x X F x c X H B k c z t S Q V A v Z m x l Z X Q v Z m x l Z X Q u T m F 0 a W 9 u Y W w u e 0 9 0 a G V y I E Z s Z W V 0 I F Z l a G l j b G V z I C h l e G N s I E 9 m Z m l j Z X I g U m V z c G 9 u c 2 U g V m V o a W N s Z X M p L D E y f S Z x d W 9 0 O y w m c X V v d D t T Z X J 2 Z X I u R G F 0 Y W J h c 2 V c X C 8 y L 1 N R T C 9 z L X N y c y 1 2 M D F c X F x c c G R z O 1 J B U C 9 m b G V l d C 9 m b G V l d C 5 O Y X R p b 2 5 h b C 5 7 V G 9 0 Y W w g V m V o a W N s Z X M g K G l u Y 2 w g Y m 9 h d H M p L D E z f S Z x d W 9 0 O 1 0 s J n F 1 b 3 Q 7 Q 2 9 s d W 1 u Q 2 9 1 b n Q m c X V v d D s 6 M T Q s J n F 1 b 3 Q 7 S 2 V 5 Q 2 9 s d W 1 u T m F t Z X M m c X V v d D s 6 W 1 0 s J n F 1 b 3 Q 7 Q 2 9 s d W 1 u S W R l b n R p d G l l c y Z x d W 9 0 O z p b J n F 1 b 3 Q 7 U 2 V y d m V y L k R h d G F i Y X N l X F w v M i 9 T U U w v c y 1 z c n M t d j A x X F x c X H B k c z t S Q V A v Z m x l Z X Q v Z m x l Z X Q u T m F 0 a W 9 u Y W w u e 1 l l Y X I s M H 0 m c X V v d D s s J n F 1 b 3 Q 7 U 2 V y d m V y L k R h d G F i Y X N l X F w v M i 9 T U U w v c y 1 z c n M t d j A x X F x c X H B k c z t S Q V A v Z m x l Z X Q v Z m x l Z X Q u T m F 0 a W 9 u Y W w u e 1 B 1 b X B p b m c g Q X B w b G l h b m N l c y w x f S Z x d W 9 0 O y w m c X V v d D t T Z X J 2 Z X I u R G F 0 Y W J h c 2 V c X C 8 y L 1 N R T C 9 z L X N y c y 1 2 M D F c X F x c c G R z O 1 J B U C 9 m b G V l d C 9 m b G V l d C 5 O Y X R p b 2 5 h b C 5 7 Q W V y a W F s I E F w c G x p Y W 5 j Z X M s M n 0 m c X V v d D s s J n F 1 b 3 Q 7 U 2 V y d m V y L k R h d G F i Y X N l X F w v M i 9 T U U w v c y 1 z c n M t d j A x X F x c X H B k c z t S Q V A v Z m x l Z X Q v Z m x l Z X Q u T m F 0 a W 9 u Y W w u e 1 J l c 2 l s a W V u Y 2 U g Q X B w b G l h b m N l c y w z f S Z x d W 9 0 O y w m c X V v d D t T Z X J 2 Z X I u R G F 0 Y W J h c 2 V c X C 8 y L 1 N R T C 9 z L X N y c y 1 2 M D F c X F x c c G R z O 1 J B U C 9 m b G V l d C 9 m b G V l d C 5 O Y X R p b 2 5 h b C 5 7 R m l y Z S B C b 2 F 0 c y w 0 f S Z x d W 9 0 O y w m c X V v d D t T Z X J 2 Z X I u R G F 0 Y W J h c 2 V c X C 8 y L 1 N R T C 9 z L X N y c y 1 2 M D F c X F x c c G R z O 1 J B U C 9 m b G V l d C 9 m b G V l d C 5 O Y X R p b 2 5 h b C 5 7 V m V o a W N s Z X M g Z m 9 y I F J l c 2 N 1 Z S B X b 3 J r L D V 9 J n F 1 b 3 Q 7 L C Z x d W 9 0 O 1 N l c n Z l c i 5 E Y X R h Y m F z Z V x c L z I v U 1 F M L 3 M t c 3 J z L X Y w M V x c X F x w Z H M 7 U k F Q L 2 Z s Z W V 0 L 2 Z s Z W V 0 L k 5 h d G l v b m F s L n t T b W F s b C B G a X J l Z m l n a H R p b m c g V m V o a W N s Z X M s N n 0 m c X V v d D s s J n F 1 b 3 Q 7 U 2 V y d m V y L k R h d G F i Y X N l X F w v M i 9 T U U w v c y 1 z c n M t d j A x X F x c X H B k c z t S Q V A v Z m x l Z X Q v Z m x l Z X Q u T m F 0 a W 9 u Y W w u e 0 9 0 a G V y L D d 9 J n F 1 b 3 Q 7 L C Z x d W 9 0 O 1 N l c n Z l c i 5 E Y X R h Y m F z Z V x c L z I v U 1 F M L 3 M t c 3 J z L X Y w M V x c X F x w Z H M 7 U k F Q L 2 Z s Z W V 0 L 2 Z s Z W V 0 L k 5 h d G l v b m F s L n t U b 3 R h b C B B c H B s a W F u Y 2 V z L D h 9 J n F 1 b 3 Q 7 L C Z x d W 9 0 O 1 N l c n Z l c i 5 E Y X R h Y m F z Z V x c L z I v U 1 F M L 3 M t c 3 J z L X Y w M V x c X F x w Z H M 7 U k F Q L 2 Z s Z W V 0 L 2 Z s Z W V 0 L k 5 h d G l v b m F s L n t P Z m Z p Y 2 V y I F J l c 3 B v b n N l I F Z l a G l j b G V z L D l 9 J n F 1 b 3 Q 7 L C Z x d W 9 0 O 1 N l c n Z l c i 5 E Y X R h Y m F z Z V x c L z I v U 1 F M L 3 M t c 3 J z L X Y w M V x c X F x w Z H M 7 U k F Q L 2 Z s Z W V 0 L 2 Z s Z W V 0 L k 5 h d G l v b m F s L n t S Z X N l c n Z l I E F w c G x p Y W 5 j Z X M s M T B 9 J n F 1 b 3 Q 7 L C Z x d W 9 0 O 1 N l c n Z l c i 5 E Y X R h Y m F z Z V x c L z I v U 1 F M L 3 M t c 3 J z L X Y w M V x c X F x w Z H M 7 U k F Q L 2 Z s Z W V 0 L 2 Z s Z W V 0 L k 5 h d G l v b m F s L n t U c m F p b m l u Z y B B c H B s a W F u Y 2 V z L D E x f S Z x d W 9 0 O y w m c X V v d D t T Z X J 2 Z X I u R G F 0 Y W J h c 2 V c X C 8 y L 1 N R T C 9 z L X N y c y 1 2 M D F c X F x c c G R z O 1 J B U C 9 m b G V l d C 9 m b G V l d C 5 O Y X R p b 2 5 h b C 5 7 T 3 R o Z X I g R m x l Z X Q g V m V o a W N s Z X M g K G V 4 Y 2 w g T 2 Z m a W N l c i B S Z X N w b 2 5 z Z S B W Z W h p Y 2 x l c y k s M T J 9 J n F 1 b 3 Q 7 L C Z x d W 9 0 O 1 N l c n Z l c i 5 E Y X R h Y m F z Z V x c L z I v U 1 F M L 3 M t c 3 J z L X Y w M V x c X F x w Z H M 7 U k F Q L 2 Z s Z W V 0 L 2 Z s Z W V 0 L k 5 h d G l v b m F s L n t U b 3 R h b C B W Z W h p Y 2 x l c y A o a W 5 j b C B i b 2 F 0 c y k s M T N 9 J n F 1 b 3 Q 7 X S w m c X V v d D t S Z W x h d G l v b n N o a X B J b m Z v J n F 1 b 3 Q 7 O l t d f S I g L z 4 8 L 1 N 0 Y W J s Z U V u d H J p Z X M + P C 9 J d G V t P j x J d G V t P j x J d G V t T G 9 j Y X R p b 2 4 + P E l 0 Z W 1 U e X B l P k Z v c m 1 1 b G E 8 L 0 l 0 Z W 1 U e X B l P j x J d G V t U G F 0 a D 5 T Z W N 0 a W 9 u M S 9 m b G V l d C U y M E 5 h d G l v b m F s L 1 N v d X J j Z T w v S X R l b V B h d G g + P C 9 J d G V t T G 9 j Y X R p b 2 4 + P F N 0 Y W J s Z U V u d H J p Z X M g L z 4 8 L 0 l 0 Z W 0 + P E l 0 Z W 0 + P E l 0 Z W 1 M b 2 N h d G l v b j 4 8 S X R l b V R 5 c G U + R m 9 y b X V s Y T w v S X R l b V R 5 c G U + P E l 0 Z W 1 Q Y X R o P l N l Y 3 R p b 2 4 x L 2 Z s Z W V 0 J T I w T m F 0 a W 9 u Y W w v Z m x l Z X R f T m F 0 a W 9 u Y W w 8 L 0 l 0 Z W 1 Q Y X R o P j w v S X R l b U x v Y 2 F 0 a W 9 u P j x T d G F i b G V F b n R y a W V z I C 8 + P C 9 J d G V t P j x J d G V t P j x J d G V t T G 9 j Y X R p b 2 4 + P E l 0 Z W 1 U e X B l P k Z v c m 1 1 b G E 8 L 0 l 0 Z W 1 U e X B l P j x J d G V t U G F 0 a D 5 T Z W N 0 a W 9 u M S 9 m b G V l d C U y M E 5 h d G l v b m F s L 1 N v c n R l Z C U y M F J v d 3 M 8 L 0 l 0 Z W 1 Q Y X R o P j w v S X R l b U x v Y 2 F 0 a W 9 u P j x T d G F i b G V F b n R y a W V z I C 8 + P C 9 J d G V t P j x J d G V t P j x J d G V t T G 9 j Y X R p b 2 4 + P E l 0 Z W 1 U e X B l P k Z v c m 1 1 b G E 8 L 0 l 0 Z W 1 U e X B l P j x J d G V t U G F 0 a D 5 T Z W N 0 a W 9 u M S 9 m b G V l d C U y M E x v Y 2 F s Q X V 0 a G 9 y a X R 5 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Z m x l Z X R f T G 9 j Y W x B d X R o b 3 J p d H k i I C 8 + P E V u d H J 5 I F R 5 c G U 9 I k Z p b G x T d G F 0 d X M i I F Z h b H V l P S J z Q 2 9 t c G x l d G U i I C 8 + P E V u d H J 5 I F R 5 c G U 9 I k Z p b G x D b 3 V u d C I g V m F s d W U 9 I m w 5 N i I g L z 4 8 R W 5 0 c n k g V H l w Z T 0 i R m l s b E V y c m 9 y Q 2 9 1 b n Q i I F Z h b H V l P S J s M C I g L z 4 8 R W 5 0 c n k g V H l w Z T 0 i R m l s b E N v b H V t b l R 5 c G V z I i B W Y W x 1 Z T 0 i c 0 J n W U d B Z 0 l D Q W d J Q 0 F n P T 0 i I C 8 + P E V u d H J 5 I F R 5 c G U 9 I k Z p b G x D b 2 x 1 b W 5 O Y W 1 l c y I g V m F s d W U 9 I n N b J n F 1 b 3 Q 7 W W V h c i Z x d W 9 0 O y w m c X V v d D t M Q S B D b 2 R l J n F 1 b 3 Q 7 L C Z x d W 9 0 O 0 x v Y 2 F s I E F 1 d G h v c m l 0 e S B B c m V h J n F 1 b 3 Q 7 L C Z x d W 9 0 O 1 B 1 b X B p b m c g Q X B w b G l h b m N l c y Z x d W 9 0 O y w m c X V v d D t B Z X J p Y W w g Q X B w b G l h b m N l c y Z x d W 9 0 O y w m c X V v d D t S Z X N p b G l l b m N l I E F w c G x p Y W 5 j Z X M m c X V v d D s s J n F 1 b 3 Q 7 V m V o a W N s Z X M g Z m 9 y I F J l c 2 N 1 Z S B X b 3 J r J n F 1 b 3 Q 7 L C Z x d W 9 0 O 1 N t Y W x s I E Z p c m V m a W d o d G l u Z y B W Z W h p Y 2 x l c y Z x d W 9 0 O y w m c X V v d D t P d G h l c i B P c G V y Y X R p b 2 5 h b C Z x d W 9 0 O y w m c X V v d D t U b 3 R h b C B B c H B s a W F u Y 2 V z J n F 1 b 3 Q 7 X S I g L z 4 8 R W 5 0 c n k g V H l w Z T 0 i R m l s b E V y c m 9 y Q 2 9 k Z S I g V m F s d W U 9 I n N V b m t u b 3 d u I i A v P j x F b n R y e S B U e X B l P S J G a W x s T G F z d F V w Z G F 0 Z W Q i I F Z h b H V l P S J k M j A y M S 0 w O C 0 x M V Q x M z o 0 M D o x N i 4 x N D I 3 N j c 3 W i I g L z 4 8 R W 5 0 c n k g V H l w Z T 0 i R m l s b G V k Q 2 9 t c G x l d G V S Z X N 1 b H R U b 1 d v c m t z a G V l d C I g V m F s d W U 9 I m w x I i A v P j x F b n R y e S B U e X B l P S J B Z G R l Z F R v R G F 0 Y U 1 v Z G V s I i B W Y W x 1 Z T 0 i b D A i I C 8 + P E V u d H J 5 I F R 5 c G U 9 I l J l Y 2 9 2 Z X J 5 V G F y Z 2 V 0 U 2 h l Z X Q i I F Z h b H V l P S J z U 2 h l Z X Q y N i I g L z 4 8 R W 5 0 c n k g V H l w Z T 0 i U m V j b 3 Z l c n l U Y X J n Z X R D b 2 x 1 b W 4 i I F Z h b H V l P S J s M S I g L z 4 8 R W 5 0 c n k g V H l w Z T 0 i U m V j b 3 Z l c n l U Y X J n Z X R S b 3 c i I F Z h b H V l P S J s M S I g L z 4 8 R W 5 0 c n k g V H l w Z T 0 i U m V s Y X R p b 2 5 z a G l w S W 5 m b 0 N v b n R h a W 5 l c i I g V m F s d W U 9 I n N 7 J n F 1 b 3 Q 7 Y 2 9 s d W 1 u Q 2 9 1 b n Q m c X V v d D s 6 M T A s J n F 1 b 3 Q 7 a 2 V 5 Q 2 9 s d W 1 u T m F t Z X M m c X V v d D s 6 W 1 0 s J n F 1 b 3 Q 7 c X V l c n l S Z W x h d G l v b n N o a X B z J n F 1 b 3 Q 7 O l t d L C Z x d W 9 0 O 2 N v b H V t b k l k Z W 5 0 a X R p Z X M m c X V v d D s 6 W y Z x d W 9 0 O 1 N l c n Z l c i 5 E Y X R h Y m F z Z V x c L z I v U 1 F M L 3 M t c 3 J z L X Y w M V x c X F x w Z H M 7 U k F Q L 2 Z s Z W V 0 L 2 Z s Z W V 0 L k x v Y 2 F s Q X V 0 a G 9 y a X R 5 L n t Z Z W F y L D B 9 J n F 1 b 3 Q 7 L C Z x d W 9 0 O 1 N l c n Z l c i 5 E Y X R h Y m F z Z V x c L z I v U 1 F M L 3 M t c 3 J z L X Y w M V x c X F x w Z H M 7 U k F Q L 2 Z s Z W V 0 L 2 Z s Z W V 0 L k x v Y 2 F s Q X V 0 a G 9 y a X R 5 L n t M Q S B D b 2 R l L D F 9 J n F 1 b 3 Q 7 L C Z x d W 9 0 O 1 N l c n Z l c i 5 E Y X R h Y m F z Z V x c L z I v U 1 F M L 3 M t c 3 J z L X Y w M V x c X F x w Z H M 7 U k F Q L 2 Z s Z W V 0 L 2 Z s Z W V 0 L k x v Y 2 F s Q X V 0 a G 9 y a X R 5 L n t M b 2 N h b C B B d X R o b 3 J p d H k g Q X J l Y S w y f S Z x d W 9 0 O y w m c X V v d D t T Z X J 2 Z X I u R G F 0 Y W J h c 2 V c X C 8 y L 1 N R T C 9 z L X N y c y 1 2 M D F c X F x c c G R z O 1 J B U C 9 m b G V l d C 9 m b G V l d C 5 M b 2 N h b E F 1 d G h v c m l 0 e S 5 7 U H V t c G l u Z y B B c H B s a W F u Y 2 V z L D N 9 J n F 1 b 3 Q 7 L C Z x d W 9 0 O 1 N l c n Z l c i 5 E Y X R h Y m F z Z V x c L z I v U 1 F M L 3 M t c 3 J z L X Y w M V x c X F x w Z H M 7 U k F Q L 2 Z s Z W V 0 L 2 Z s Z W V 0 L k x v Y 2 F s Q X V 0 a G 9 y a X R 5 L n t B Z X J p Y W w g Q X B w b G l h b m N l c y w 0 f S Z x d W 9 0 O y w m c X V v d D t T Z X J 2 Z X I u R G F 0 Y W J h c 2 V c X C 8 y L 1 N R T C 9 z L X N y c y 1 2 M D F c X F x c c G R z O 1 J B U C 9 m b G V l d C 9 m b G V l d C 5 M b 2 N h b E F 1 d G h v c m l 0 e S 5 7 U m V z a W x p Z W 5 j Z S B B c H B s a W F u Y 2 V z L D V 9 J n F 1 b 3 Q 7 L C Z x d W 9 0 O 1 N l c n Z l c i 5 E Y X R h Y m F z Z V x c L z I v U 1 F M L 3 M t c 3 J z L X Y w M V x c X F x w Z H M 7 U k F Q L 2 Z s Z W V 0 L 2 Z s Z W V 0 L k x v Y 2 F s Q X V 0 a G 9 y a X R 5 L n t W Z W h p Y 2 x l c y B m b 3 I g U m V z Y 3 V l I F d v c m s s N n 0 m c X V v d D s s J n F 1 b 3 Q 7 U 2 V y d m V y L k R h d G F i Y X N l X F w v M i 9 T U U w v c y 1 z c n M t d j A x X F x c X H B k c z t S Q V A v Z m x l Z X Q v Z m x l Z X Q u T G 9 j Y W x B d X R o b 3 J p d H k u e 1 N t Y W x s I E Z p c m V m a W d o d G l u Z y B W Z W h p Y 2 x l c y w 3 f S Z x d W 9 0 O y w m c X V v d D t T Z X J 2 Z X I u R G F 0 Y W J h c 2 V c X C 8 y L 1 N R T C 9 z L X N y c y 1 2 M D F c X F x c c G R z O 1 J B U C 9 m b G V l d C 9 m b G V l d C 5 M b 2 N h b E F 1 d G h v c m l 0 e S 5 7 T 3 R o Z X I g T 3 B l c m F 0 a W 9 u Y W w s O H 0 m c X V v d D s s J n F 1 b 3 Q 7 U 2 V y d m V y L k R h d G F i Y X N l X F w v M i 9 T U U w v c y 1 z c n M t d j A x X F x c X H B k c z t S Q V A v Z m x l Z X Q v Z m x l Z X Q u T G 9 j Y W x B d X R o b 3 J p d H k u e 1 R v d G F s I E F w c G x p Y W 5 j Z X M s O X 0 m c X V v d D t d L C Z x d W 9 0 O 0 N v b H V t b k N v d W 5 0 J n F 1 b 3 Q 7 O j E w L C Z x d W 9 0 O 0 t l e U N v b H V t b k 5 h b W V z J n F 1 b 3 Q 7 O l t d L C Z x d W 9 0 O 0 N v b H V t b k l k Z W 5 0 a X R p Z X M m c X V v d D s 6 W y Z x d W 9 0 O 1 N l c n Z l c i 5 E Y X R h Y m F z Z V x c L z I v U 1 F M L 3 M t c 3 J z L X Y w M V x c X F x w Z H M 7 U k F Q L 2 Z s Z W V 0 L 2 Z s Z W V 0 L k x v Y 2 F s Q X V 0 a G 9 y a X R 5 L n t Z Z W F y L D B 9 J n F 1 b 3 Q 7 L C Z x d W 9 0 O 1 N l c n Z l c i 5 E Y X R h Y m F z Z V x c L z I v U 1 F M L 3 M t c 3 J z L X Y w M V x c X F x w Z H M 7 U k F Q L 2 Z s Z W V 0 L 2 Z s Z W V 0 L k x v Y 2 F s Q X V 0 a G 9 y a X R 5 L n t M Q S B D b 2 R l L D F 9 J n F 1 b 3 Q 7 L C Z x d W 9 0 O 1 N l c n Z l c i 5 E Y X R h Y m F z Z V x c L z I v U 1 F M L 3 M t c 3 J z L X Y w M V x c X F x w Z H M 7 U k F Q L 2 Z s Z W V 0 L 2 Z s Z W V 0 L k x v Y 2 F s Q X V 0 a G 9 y a X R 5 L n t M b 2 N h b C B B d X R o b 3 J p d H k g Q X J l Y S w y f S Z x d W 9 0 O y w m c X V v d D t T Z X J 2 Z X I u R G F 0 Y W J h c 2 V c X C 8 y L 1 N R T C 9 z L X N y c y 1 2 M D F c X F x c c G R z O 1 J B U C 9 m b G V l d C 9 m b G V l d C 5 M b 2 N h b E F 1 d G h v c m l 0 e S 5 7 U H V t c G l u Z y B B c H B s a W F u Y 2 V z L D N 9 J n F 1 b 3 Q 7 L C Z x d W 9 0 O 1 N l c n Z l c i 5 E Y X R h Y m F z Z V x c L z I v U 1 F M L 3 M t c 3 J z L X Y w M V x c X F x w Z H M 7 U k F Q L 2 Z s Z W V 0 L 2 Z s Z W V 0 L k x v Y 2 F s Q X V 0 a G 9 y a X R 5 L n t B Z X J p Y W w g Q X B w b G l h b m N l c y w 0 f S Z x d W 9 0 O y w m c X V v d D t T Z X J 2 Z X I u R G F 0 Y W J h c 2 V c X C 8 y L 1 N R T C 9 z L X N y c y 1 2 M D F c X F x c c G R z O 1 J B U C 9 m b G V l d C 9 m b G V l d C 5 M b 2 N h b E F 1 d G h v c m l 0 e S 5 7 U m V z a W x p Z W 5 j Z S B B c H B s a W F u Y 2 V z L D V 9 J n F 1 b 3 Q 7 L C Z x d W 9 0 O 1 N l c n Z l c i 5 E Y X R h Y m F z Z V x c L z I v U 1 F M L 3 M t c 3 J z L X Y w M V x c X F x w Z H M 7 U k F Q L 2 Z s Z W V 0 L 2 Z s Z W V 0 L k x v Y 2 F s Q X V 0 a G 9 y a X R 5 L n t W Z W h p Y 2 x l c y B m b 3 I g U m V z Y 3 V l I F d v c m s s N n 0 m c X V v d D s s J n F 1 b 3 Q 7 U 2 V y d m V y L k R h d G F i Y X N l X F w v M i 9 T U U w v c y 1 z c n M t d j A x X F x c X H B k c z t S Q V A v Z m x l Z X Q v Z m x l Z X Q u T G 9 j Y W x B d X R o b 3 J p d H k u e 1 N t Y W x s I E Z p c m V m a W d o d G l u Z y B W Z W h p Y 2 x l c y w 3 f S Z x d W 9 0 O y w m c X V v d D t T Z X J 2 Z X I u R G F 0 Y W J h c 2 V c X C 8 y L 1 N R T C 9 z L X N y c y 1 2 M D F c X F x c c G R z O 1 J B U C 9 m b G V l d C 9 m b G V l d C 5 M b 2 N h b E F 1 d G h v c m l 0 e S 5 7 T 3 R o Z X I g T 3 B l c m F 0 a W 9 u Y W w s O H 0 m c X V v d D s s J n F 1 b 3 Q 7 U 2 V y d m V y L k R h d G F i Y X N l X F w v M i 9 T U U w v c y 1 z c n M t d j A x X F x c X H B k c z t S Q V A v Z m x l Z X Q v Z m x l Z X Q u T G 9 j Y W x B d X R o b 3 J p d H k u e 1 R v d G F s I E F w c G x p Y W 5 j Z X M s O X 0 m c X V v d D t d L C Z x d W 9 0 O 1 J l b G F 0 a W 9 u c 2 h p c E l u Z m 8 m c X V v d D s 6 W 1 1 9 I i A v P j w v U 3 R h Y m x l R W 5 0 c m l l c z 4 8 L 0 l 0 Z W 0 + P E l 0 Z W 0 + P E l 0 Z W 1 M b 2 N h d G l v b j 4 8 S X R l b V R 5 c G U + R m 9 y b X V s Y T w v S X R l b V R 5 c G U + P E l 0 Z W 1 Q Y X R o P l N l Y 3 R p b 2 4 x L 2 Z s Z W V 0 J T I w T G 9 j Y W x B d X R o b 3 J p d H k v U 2 9 1 c m N l P C 9 J d G V t U G F 0 a D 4 8 L 0 l 0 Z W 1 M b 2 N h d G l v b j 4 8 U 3 R h Y m x l R W 5 0 c m l l c y A v P j w v S X R l b T 4 8 S X R l b T 4 8 S X R l b U x v Y 2 F 0 a W 9 u P j x J d G V t V H l w Z T 5 G b 3 J t d W x h P C 9 J d G V t V H l w Z T 4 8 S X R l b V B h d G g + U 2 V j d G l v b j E v Z m x l Z X Q l M j B M b 2 N h b E F 1 d G h v c m l 0 e S 9 m b G V l d F 9 M b 2 N h b E F 1 d G h v c m l 0 e T w v S X R l b V B h d G g + P C 9 J d G V t T G 9 j Y X R p b 2 4 + P F N 0 Y W J s Z U V u d H J p Z X M g L z 4 8 L 0 l 0 Z W 0 + P E l 0 Z W 0 + P E l 0 Z W 1 M b 2 N h d G l v b j 4 8 S X R l b V R 5 c G U + R m 9 y b X V s Y T w v S X R l b V R 5 c G U + P E l 0 Z W 1 Q Y X R o P l N l Y 3 R p b 2 4 x L 2 Z s Z W V 0 J T I w T G 9 j Y W x B d X R o b 3 J p d H k v U 2 9 y d G V k J T I w U m 9 3 c z w v S X R l b V B h d G g + P C 9 J d G V t T G 9 j Y X R p b 2 4 + P F N 0 Y W J s Z U V u d H J p Z X M g L z 4 8 L 0 l 0 Z W 0 + P E l 0 Z W 0 + P E l 0 Z W 1 M b 2 N h d G l v b j 4 8 S X R l b V R 5 c G U + R m 9 y b X V s Y T w v S X R l b V R 5 c G U + P E l 0 Z W 1 Q Y X R o P l N l Y 3 R p b 2 4 x L 2 h y b 2 Q l M j B I U l 9 D U 1 9 S b 2 x l Q X J l Y V 9 T d X B w b 3 J 0 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F c n J v c k N v Z G U i I F Z h b H V l P S J z V W 5 r b m 9 3 b i I g L z 4 8 R W 5 0 c n k g V H l w Z T 0 i R m l s b E N v b H V t b k 5 h b W V z I i B W Y W x 1 Z T 0 i c 1 s m c X V v d D t Z Z W F y J n F 1 b 3 Q 7 L C Z x d W 9 0 O 1 J l c G 9 y d G l u Z 0 x l d m V s J n F 1 b 3 Q 7 L C Z x d W 9 0 O 0 N v Z G U m c X V v d D s s J n F 1 b 3 Q 7 b H Z s J n F 1 b 3 Q 7 L C Z x d W 9 0 O 0 R p c m V j d G 9 y J n F 1 b 3 Q 7 L C Z x d W 9 0 O 1 N l c n Z p Y 2 U g T W F u Y W d l c i Z x d W 9 0 O y w m c X V v d D t U Z W F t I E x l Y W R l c i Z x d W 9 0 O y w m c X V v d D t Q c m 9 m Z X N z a W 9 u Y W w m c X V v d D s s J n F 1 b 3 Q 7 U 3 B l Y 2 l h b G l z d C B U Z W N o b m l j Y W w m c X V v d D s s J n F 1 b 3 Q 7 V G V j a C B T d X B w b 3 J 0 J n F 1 b 3 Q 7 L C Z x d W 9 0 O 0 F k b W l u a X N 0 c m F 0 a W 9 u J n F 1 b 3 Q 7 L C Z x d W 9 0 O 1 R v d G F s J n F 1 b 3 Q 7 X S I g L z 4 8 R W 5 0 c n k g V H l w Z T 0 i R m l s b E N v b H V t b l R 5 c G V z I i B W Y W x 1 Z T 0 i c 0 J n W U d C Z 1 V G Q l F V R k J R V U Y i I C 8 + P E V u d H J 5 I F R 5 c G U 9 I k Z p b G x F c n J v c k N v d W 5 0 I i B W Y W x 1 Z T 0 i b D A i I C 8 + P E V u d H J 5 I F R 5 c G U 9 I k Z p b G x D b 3 V u d C I g V m F s d W U 9 I m w z M i I g L z 4 8 R W 5 0 c n k g V H l w Z T 0 i R m l s b F N 0 Y X R 1 c y I g V m F s d W U 9 I n N D b 2 1 w b G V 0 Z S I g L z 4 8 R W 5 0 c n k g V H l w Z T 0 i R m l s b F R h c m d l d C I g V m F s d W U 9 I n N o c m 9 k X 0 h S X 0 N T X 1 J v b G V B c m V h X 1 N 1 c H B v c n Q i I C 8 + P E V u d H J 5 I F R 5 c G U 9 I k Z p b G x l Z E N v b X B s Z X R l U m V z d W x 0 V G 9 X b 3 J r c 2 h l Z X Q i I F Z h b H V l P S J s M S I g L z 4 8 R W 5 0 c n k g V H l w Z T 0 i Q W R k Z W R U b 0 R h d G F N b 2 R l b C I g V m F s d W U 9 I m w w I i A v P j x F b n R y e S B U e X B l P S J S Z W N v d m V y e V R h c m d l d F N o Z W V 0 I i B W Y W x 1 Z T 0 i c 1 N o Z W V 0 M j g i I C 8 + P E V u d H J 5 I F R 5 c G U 9 I l J l Y 2 9 2 Z X J 5 V G F y Z 2 V 0 Q 2 9 s d W 1 u I i B W Y W x 1 Z T 0 i b D E i I C 8 + P E V u d H J 5 I F R 5 c G U 9 I l J l Y 2 9 2 Z X J 5 V G F y Z 2 V 0 U m 9 3 I i B W Y W x 1 Z T 0 i b D E i I C 8 + P E V u d H J 5 I F R 5 c G U 9 I k Z p b G x M Y X N 0 V X B k Y X R l Z C I g V m F s d W U 9 I m Q y M D I x L T A 4 L T I z V D E 5 O j I x O j A 3 L j U y M D U w M D B a I i A v P j x F b n R y e S B U e X B l P S J R d W V y e U l E I i B W Y W x 1 Z T 0 i c 2 I 0 M j B k N m U 1 L T N i Z W E t N D g 3 O C 1 i Y T g 0 L T M 0 Y 2 E 3 N j M 0 O D Q y O S I g L z 4 8 R W 5 0 c n k g V H l w Z T 0 i U m V s Y X R p b 2 5 z a G l w S W 5 m b 0 N v b n R h a W 5 l c i I g V m F s d W U 9 I n N 7 J n F 1 b 3 Q 7 Y 2 9 s d W 1 u Q 2 9 1 b n Q m c X V v d D s 6 M T I s J n F 1 b 3 Q 7 a 2 V 5 Q 2 9 s d W 1 u T m F t Z X M m c X V v d D s 6 W 1 0 s J n F 1 b 3 Q 7 c X V l c n l S Z W x h d G l v b n N o a X B z J n F 1 b 3 Q 7 O l t d L C Z x d W 9 0 O 2 N v b H V t b k l k Z W 5 0 a X R p Z X M m c X V v d D s 6 W y Z x d W 9 0 O 1 N l c n Z l c i 5 E Y X R h Y m F z Z V x c L z I v U 1 F M L 3 M t c 3 J z L X Y w M V x c X F x w Z H M 7 U k F Q L 2 h y b 2 Q v a H J v Z C 5 I U l 9 D U 1 9 S b 2 x l Q X J l Y V 9 T d X B w b 3 J 0 L n t Z Z W F y L D B 9 J n F 1 b 3 Q 7 L C Z x d W 9 0 O 1 N l c n Z l c i 5 E Y X R h Y m F z Z V x c L z I v U 1 F M L 3 M t c 3 J z L X Y w M V x c X F x w Z H M 7 U k F Q L 2 h y b 2 Q v a H J v Z C 5 I U l 9 D U 1 9 S b 2 x l Q X J l Y V 9 T d X B w b 3 J 0 L n t S Z X B v c n R p b m d M Z X Z l b C w x f S Z x d W 9 0 O y w m c X V v d D t T Z X J 2 Z X I u R G F 0 Y W J h c 2 V c X C 8 y L 1 N R T C 9 z L X N y c y 1 2 M D F c X F x c c G R z O 1 J B U C 9 o c m 9 k L 2 h y b 2 Q u S F J f Q 1 N f U m 9 s Z U F y Z W F f U 3 V w c G 9 y d C 5 7 Q 2 9 k Z S w y f S Z x d W 9 0 O y w m c X V v d D t T Z X J 2 Z X I u R G F 0 Y W J h c 2 V c X C 8 y L 1 N R T C 9 z L X N y c y 1 2 M D F c X F x c c G R z O 1 J B U C 9 o c m 9 k L 2 h y b 2 Q u S F J f Q 1 N f U m 9 s Z U F y Z W F f U 3 V w c G 9 y d C 5 7 b H Z s L D N 9 J n F 1 b 3 Q 7 L C Z x d W 9 0 O 1 N l c n Z l c i 5 E Y X R h Y m F z Z V x c L z I v U 1 F M L 3 M t c 3 J z L X Y w M V x c X F x w Z H M 7 U k F Q L 2 h y b 2 Q v a H J v Z C 5 I U l 9 D U 1 9 S b 2 x l Q X J l Y V 9 T d X B w b 3 J 0 L n t E a X J l Y 3 R v c i w 1 f S Z x d W 9 0 O y w m c X V v d D t T Z X J 2 Z X I u R G F 0 Y W J h c 2 V c X C 8 y L 1 N R T C 9 z L X N y c y 1 2 M D F c X F x c c G R z O 1 J B U C 9 o c m 9 k L 2 h y b 2 Q u S F J f Q 1 N f U m 9 s Z U F y Z W F f U 3 V w c G 9 y d C 5 7 U 2 V y d m l j Z S B N Y W 5 h Z 2 V y L D Z 9 J n F 1 b 3 Q 7 L C Z x d W 9 0 O 1 N l c n Z l c i 5 E Y X R h Y m F z Z V x c L z I v U 1 F M L 3 M t c 3 J z L X Y w M V x c X F x w Z H M 7 U k F Q L 2 h y b 2 Q v a H J v Z C 5 I U l 9 D U 1 9 S b 2 x l Q X J l Y V 9 T d X B w b 3 J 0 L n t U Z W F t I E x l Y W R l c i w 3 f S Z x d W 9 0 O y w m c X V v d D t T Z X J 2 Z X I u R G F 0 Y W J h c 2 V c X C 8 y L 1 N R T C 9 z L X N y c y 1 2 M D F c X F x c c G R z O 1 J B U C 9 o c m 9 k L 2 h y b 2 Q u S F J f Q 1 N f U m 9 s Z U F y Z W F f U 3 V w c G 9 y d C 5 7 U H J v Z m V z c 2 l v b m F s L D h 9 J n F 1 b 3 Q 7 L C Z x d W 9 0 O 1 N l c n Z l c i 5 E Y X R h Y m F z Z V x c L z I v U 1 F M L 3 M t c 3 J z L X Y w M V x c X F x w Z H M 7 U k F Q L 2 h y b 2 Q v a H J v Z C 5 I U l 9 D U 1 9 S b 2 x l Q X J l Y V 9 T d X B w b 3 J 0 L n t T c G V j a W F s a X N 0 I F R l Y 2 h u a W N h b C w 5 f S Z x d W 9 0 O y w m c X V v d D t T Z X J 2 Z X I u R G F 0 Y W J h c 2 V c X C 8 y L 1 N R T C 9 z L X N y c y 1 2 M D F c X F x c c G R z O 1 J B U C 9 o c m 9 k L 2 h y b 2 Q u S F J f Q 1 N f U m 9 s Z U F y Z W F f U 3 V w c G 9 y d C 5 7 V G V j a C B T d X B w b 3 J 0 L D E w f S Z x d W 9 0 O y w m c X V v d D t T Z X J 2 Z X I u R G F 0 Y W J h c 2 V c X C 8 y L 1 N R T C 9 z L X N y c y 1 2 M D F c X F x c c G R z O 1 J B U C 9 o c m 9 k L 2 h y b 2 Q u S F J f Q 1 N f U m 9 s Z U F y Z W F f U 3 V w c G 9 y d C 5 7 Q W R t a W 5 p c 3 R y Y X R p b 2 4 s M T F 9 J n F 1 b 3 Q 7 L C Z x d W 9 0 O 1 N l c n Z l c i 5 E Y X R h Y m F z Z V x c L z I v U 1 F M L 3 M t c 3 J z L X Y w M V x c X F x w Z H M 7 U k F Q L 2 h y b 2 Q v a H J v Z C 5 I U l 9 D U 1 9 S b 2 x l Q X J l Y V 9 T d X B w b 3 J 0 L n t U b 3 R h b C w 0 f S Z x d W 9 0 O 1 0 s J n F 1 b 3 Q 7 Q 2 9 s d W 1 u Q 2 9 1 b n Q m c X V v d D s 6 M T I s J n F 1 b 3 Q 7 S 2 V 5 Q 2 9 s d W 1 u T m F t Z X M m c X V v d D s 6 W 1 0 s J n F 1 b 3 Q 7 Q 2 9 s d W 1 u S W R l b n R p d G l l c y Z x d W 9 0 O z p b J n F 1 b 3 Q 7 U 2 V y d m V y L k R h d G F i Y X N l X F w v M i 9 T U U w v c y 1 z c n M t d j A x X F x c X H B k c z t S Q V A v a H J v Z C 9 o c m 9 k L k h S X 0 N T X 1 J v b G V B c m V h X 1 N 1 c H B v c n Q u e 1 l l Y X I s M H 0 m c X V v d D s s J n F 1 b 3 Q 7 U 2 V y d m V y L k R h d G F i Y X N l X F w v M i 9 T U U w v c y 1 z c n M t d j A x X F x c X H B k c z t S Q V A v a H J v Z C 9 o c m 9 k L k h S X 0 N T X 1 J v b G V B c m V h X 1 N 1 c H B v c n Q u e 1 J l c G 9 y d G l u Z 0 x l d m V s L D F 9 J n F 1 b 3 Q 7 L C Z x d W 9 0 O 1 N l c n Z l c i 5 E Y X R h Y m F z Z V x c L z I v U 1 F M L 3 M t c 3 J z L X Y w M V x c X F x w Z H M 7 U k F Q L 2 h y b 2 Q v a H J v Z C 5 I U l 9 D U 1 9 S b 2 x l Q X J l Y V 9 T d X B w b 3 J 0 L n t D b 2 R l L D J 9 J n F 1 b 3 Q 7 L C Z x d W 9 0 O 1 N l c n Z l c i 5 E Y X R h Y m F z Z V x c L z I v U 1 F M L 3 M t c 3 J z L X Y w M V x c X F x w Z H M 7 U k F Q L 2 h y b 2 Q v a H J v Z C 5 I U l 9 D U 1 9 S b 2 x l Q X J l Y V 9 T d X B w b 3 J 0 L n t s d m w s M 3 0 m c X V v d D s s J n F 1 b 3 Q 7 U 2 V y d m V y L k R h d G F i Y X N l X F w v M i 9 T U U w v c y 1 z c n M t d j A x X F x c X H B k c z t S Q V A v a H J v Z C 9 o c m 9 k L k h S X 0 N T X 1 J v b G V B c m V h X 1 N 1 c H B v c n Q u e 0 R p c m V j d G 9 y L D V 9 J n F 1 b 3 Q 7 L C Z x d W 9 0 O 1 N l c n Z l c i 5 E Y X R h Y m F z Z V x c L z I v U 1 F M L 3 M t c 3 J z L X Y w M V x c X F x w Z H M 7 U k F Q L 2 h y b 2 Q v a H J v Z C 5 I U l 9 D U 1 9 S b 2 x l Q X J l Y V 9 T d X B w b 3 J 0 L n t T Z X J 2 a W N l I E 1 h b m F n Z X I s N n 0 m c X V v d D s s J n F 1 b 3 Q 7 U 2 V y d m V y L k R h d G F i Y X N l X F w v M i 9 T U U w v c y 1 z c n M t d j A x X F x c X H B k c z t S Q V A v a H J v Z C 9 o c m 9 k L k h S X 0 N T X 1 J v b G V B c m V h X 1 N 1 c H B v c n Q u e 1 R l Y W 0 g T G V h Z G V y L D d 9 J n F 1 b 3 Q 7 L C Z x d W 9 0 O 1 N l c n Z l c i 5 E Y X R h Y m F z Z V x c L z I v U 1 F M L 3 M t c 3 J z L X Y w M V x c X F x w Z H M 7 U k F Q L 2 h y b 2 Q v a H J v Z C 5 I U l 9 D U 1 9 S b 2 x l Q X J l Y V 9 T d X B w b 3 J 0 L n t Q c m 9 m Z X N z a W 9 u Y W w s O H 0 m c X V v d D s s J n F 1 b 3 Q 7 U 2 V y d m V y L k R h d G F i Y X N l X F w v M i 9 T U U w v c y 1 z c n M t d j A x X F x c X H B k c z t S Q V A v a H J v Z C 9 o c m 9 k L k h S X 0 N T X 1 J v b G V B c m V h X 1 N 1 c H B v c n Q u e 1 N w Z W N p Y W x p c 3 Q g V G V j a G 5 p Y 2 F s L D l 9 J n F 1 b 3 Q 7 L C Z x d W 9 0 O 1 N l c n Z l c i 5 E Y X R h Y m F z Z V x c L z I v U 1 F M L 3 M t c 3 J z L X Y w M V x c X F x w Z H M 7 U k F Q L 2 h y b 2 Q v a H J v Z C 5 I U l 9 D U 1 9 S b 2 x l Q X J l Y V 9 T d X B w b 3 J 0 L n t U Z W N o I F N 1 c H B v c n Q s M T B 9 J n F 1 b 3 Q 7 L C Z x d W 9 0 O 1 N l c n Z l c i 5 E Y X R h Y m F z Z V x c L z I v U 1 F M L 3 M t c 3 J z L X Y w M V x c X F x w Z H M 7 U k F Q L 2 h y b 2 Q v a H J v Z C 5 I U l 9 D U 1 9 S b 2 x l Q X J l Y V 9 T d X B w b 3 J 0 L n t B Z G 1 p b m l z d H J h d G l v b i w x M X 0 m c X V v d D s s J n F 1 b 3 Q 7 U 2 V y d m V y L k R h d G F i Y X N l X F w v M i 9 T U U w v c y 1 z c n M t d j A x X F x c X H B k c z t S Q V A v a H J v Z C 9 o c m 9 k L k h S X 0 N T X 1 J v b G V B c m V h X 1 N 1 c H B v c n Q u e 1 R v d G F s L D R 9 J n F 1 b 3 Q 7 X S w m c X V v d D t S Z W x h d G l v b n N o a X B J b m Z v J n F 1 b 3 Q 7 O l t d f S I g L z 4 8 L 1 N 0 Y W J s Z U V u d H J p Z X M + P C 9 J d G V t P j x J d G V t P j x J d G V t T G 9 j Y X R p b 2 4 + P E l 0 Z W 1 U e X B l P k Z v c m 1 1 b G E 8 L 0 l 0 Z W 1 U e X B l P j x J d G V t U G F 0 a D 5 T Z W N 0 a W 9 u M S 9 o c m 9 k J T I w S F J f Q 1 N f U m 9 s Z U F y Z W F f U 3 V w c G 9 y d C 9 T b 3 V y Y 2 U 8 L 0 l 0 Z W 1 Q Y X R o P j w v S X R l b U x v Y 2 F 0 a W 9 u P j x T d G F i b G V F b n R y a W V z I C 8 + P C 9 J d G V t P j x J d G V t P j x J d G V t T G 9 j Y X R p b 2 4 + P E l 0 Z W 1 U e X B l P k Z v c m 1 1 b G E 8 L 0 l 0 Z W 1 U e X B l P j x J d G V t U G F 0 a D 5 T Z W N 0 a W 9 u M S 9 o c m 9 k J T I w S F J f Q 1 N f U m 9 s Z U F y Z W F f U 3 V w c G 9 y d C 9 o c m 9 k X 0 h S X 0 N T X 1 J v b G V B c m V h X 1 N 1 c H B v c n Q 8 L 0 l 0 Z W 1 Q Y X R o P j w v S X R l b U x v Y 2 F 0 a W 9 u P j x T d G F i b G V F b n R y a W V z I C 8 + P C 9 J d G V t P j x J d G V t P j x J d G V t T G 9 j Y X R p b 2 4 + P E l 0 Z W 1 U e X B l P k Z v c m 1 1 b G E 8 L 0 l 0 Z W 1 U e X B l P j x J d G V t U G F 0 a D 5 T Z W N 0 a W 9 u M S 9 o c m 9 k J T I w S F J f Q 1 N f U m 9 s Z U F y Z W F f U 3 V w c G 9 y d C 9 T b 3 J 0 Z W Q l M j B S b 3 d z P C 9 J d G V t U G F 0 a D 4 8 L 0 l 0 Z W 1 M b 2 N h d G l v b j 4 8 U 3 R h Y m x l R W 5 0 c m l l c y A v P j w v S X R l b T 4 8 S X R l b T 4 8 S X R l b U x v Y 2 F 0 a W 9 u P j x J d G V t V H l w Z T 5 G b 3 J t d W x h P C 9 J d G V t V H l w Z T 4 8 S X R l b V B h d G g + U 2 V j d G l v b j E v a H J v Z C U y M E h S X 0 N T X 1 J v b G V B c m V h X 1 N 1 c H B v c n Q v U m V v c m R l c m V k J T I w Q 2 9 s d W 1 u c z w v S X R l b V B h d G g + P C 9 J d G V t T G 9 j Y X R p b 2 4 + P F N 0 Y W J s Z U V u d H J p Z X M g L z 4 8 L 0 l 0 Z W 0 + P E l 0 Z W 0 + P E l 0 Z W 1 M b 2 N h d G l v b j 4 8 S X R l b V R 5 c G U + R m 9 y b X V s Y T w v S X R l b V R 5 c G U + P E l 0 Z W 1 Q Y X R o P l N l Y 3 R p b 2 4 x L 2 h y b 2 Q l M j B I U l 9 E a X N h Y m l s a X R 5 X 0 t u b 3 d u 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Z p b G x F c n J v c k N v d W 5 0 I i B W Y W x 1 Z T 0 i b D A i I C 8 + P E V u d H J 5 I F R 5 c G U 9 I k Z p b G x D b 2 x 1 b W 5 U e X B l c y I g V m F s d W U 9 I n N C Z 1 V G Q l F V R k J R V U Y i I C 8 + P E V u d H J 5 I F R 5 c G U 9 I k Z p b G x D b 2 x 1 b W 5 O Y W 1 l c y I g V m F s d W U 9 I n N b J n F 1 b 3 Q 7 W W V h c i Z x d W 9 0 O y w m c X V v d D t X a G 9 s Z X R p b W U g T 3 B l c m F 0 a W 9 u Y W w m c X V v d D s s J n F 1 b 3 Q 7 U m V 0 Y W l u Z W Q g R H V 0 e S B T e X N 0 Z W 0 m c X V v d D s s J n F 1 b 3 Q 7 U m V 0 Y W l u Z W Q g R n V s b H R p b W U m c X V v d D s s J n F 1 b 3 Q 7 Q 2 9 u d H J v b C Z x d W 9 0 O y w m c X V v d D t T d X B w b 3 J 0 J n F 1 b 3 Q 7 L C Z x d W 9 0 O 1 Z v b H V u d G V l c i Z x d W 9 0 O y w m c X V v d D t U b 3 R h b C Z x d W 9 0 O y w m c X V v d D t U b 3 R h b C A o Z X h j b H V k a W 5 n I H Z v b H V u d G V y c y k m c X V v d D t d I i A v P j x F b n R y e S B U e X B l P S J G a W x s R X J y b 3 J D b 2 R l I i B W Y W x 1 Z T 0 i c 1 V u a 2 5 v d 2 4 i I C 8 + P E V u d H J 5 I F R 5 c G U 9 I k Z p b G x M Y X N 0 V X B k Y X R l Z C I g V m F s d W U 9 I m Q y M D I x L T A 4 L T I 1 V D E 2 O j Q z O j Q w L j U 5 N j I w O T J a I i A v P j x F b n R y e S B U e X B l P S J S Z W x h d G l v b n N o a X B J b m Z v Q 2 9 u d G F p b m V y I i B W Y W x 1 Z T 0 i c 3 s m c X V v d D t j b 2 x 1 b W 5 D b 3 V u d C Z x d W 9 0 O z o 5 L C Z x d W 9 0 O 2 t l e U N v b H V t b k 5 h b W V z J n F 1 b 3 Q 7 O l t d L C Z x d W 9 0 O 3 F 1 Z X J 5 U m V s Y X R p b 2 5 z a G l w c y Z x d W 9 0 O z p b X S w m c X V v d D t j b 2 x 1 b W 5 J Z G V u d G l 0 a W V z J n F 1 b 3 Q 7 O l s m c X V v d D t T Z X J 2 Z X I u R G F 0 Y W J h c 2 V c X C 8 y L 1 N R T C 9 z L X N y c y 1 2 M D F c X F x c c G R z O 1 J B U C 9 o c m 9 k L 2 h y b 2 Q u S F J f R G l z Y W J p b G l 0 e V 9 L b m 9 3 b i 5 7 W W V h c i w w f S Z x d W 9 0 O y w m c X V v d D t T Z W N 0 a W 9 u M S 9 o c m 9 k I E h S X 0 R p c 2 F i a W x p d H l f S 2 5 v d 2 4 v R G l 2 a W R l Z C B D b 2 x 1 b W 4 u e 1 d o b 2 x l d G l t Z S B P c G V y Y X R p b 2 5 h b C w x f S Z x d W 9 0 O y w m c X V v d D t T Z W N 0 a W 9 u M S 9 o c m 9 k I E h S X 0 R p c 2 F i a W x p d H l f S 2 5 v d 2 4 v R G l 2 a W R l Z C B D b 2 x 1 b W 4 x L n t S Z X R h a W 5 l Z C B E d X R 5 I F N 5 c 3 R l b S w y f S Z x d W 9 0 O y w m c X V v d D t T Z W N 0 a W 9 u M S 9 o c m 9 k I E h S X 0 R p c 2 F i a W x p d H l f S 2 5 v d 2 4 v R G l 2 a W R l Z C B D b 2 x 1 b W 4 y L n t S Z X R h a W 5 l Z C B G d W x s d G l t Z S w z f S Z x d W 9 0 O y w m c X V v d D t T Z W N 0 a W 9 u M S 9 o c m 9 k I E h S X 0 R p c 2 F i a W x p d H l f S 2 5 v d 2 4 v R G l 2 a W R l Z C B D b 2 x 1 b W 4 z L n t D b 2 5 0 c m 9 s L D R 9 J n F 1 b 3 Q 7 L C Z x d W 9 0 O 1 N l Y 3 R p b 2 4 x L 2 h y b 2 Q g S F J f R G l z Y W J p b G l 0 e V 9 L b m 9 3 b i 9 E a X Z p Z G V k I E N v b H V t b j Q u e 1 N 1 c H B v c n Q s N X 0 m c X V v d D s s J n F 1 b 3 Q 7 U 2 V j d G l v b j E v a H J v Z C B I U l 9 E a X N h Y m l s a X R 5 X 0 t u b 3 d u L 0 R p d m l k Z W Q g Q 2 9 s d W 1 u N S 5 7 V m 9 s d W 5 0 Z W V y L D Z 9 J n F 1 b 3 Q 7 L C Z x d W 9 0 O 1 N l Y 3 R p b 2 4 x L 2 h y b 2 Q g S F J f R G l z Y W J p b G l 0 e V 9 L b m 9 3 b i 9 E a X Z p Z G V k I E N v b H V t b j Y u e 1 R v d G F s L D d 9 J n F 1 b 3 Q 7 L C Z x d W 9 0 O 1 N l Y 3 R p b 2 4 x L 2 h y b 2 Q g S F J f R G l z Y W J p b G l 0 e V 9 L b m 9 3 b i 9 E a X Z p Z G V k I E N v b H V t b j c u e 1 R v d G F s I C h l e G N s d W R p b m c g d m 9 s d W 5 0 Z X J z K S w 4 f S Z x d W 9 0 O 1 0 s J n F 1 b 3 Q 7 Q 2 9 s d W 1 u Q 2 9 1 b n Q m c X V v d D s 6 O S w m c X V v d D t L Z X l D b 2 x 1 b W 5 O Y W 1 l c y Z x d W 9 0 O z p b X S w m c X V v d D t D b 2 x 1 b W 5 J Z G V u d G l 0 a W V z J n F 1 b 3 Q 7 O l s m c X V v d D t T Z X J 2 Z X I u R G F 0 Y W J h c 2 V c X C 8 y L 1 N R T C 9 z L X N y c y 1 2 M D F c X F x c c G R z O 1 J B U C 9 o c m 9 k L 2 h y b 2 Q u S F J f R G l z Y W J p b G l 0 e V 9 L b m 9 3 b i 5 7 W W V h c i w w f S Z x d W 9 0 O y w m c X V v d D t T Z W N 0 a W 9 u M S 9 o c m 9 k I E h S X 0 R p c 2 F i a W x p d H l f S 2 5 v d 2 4 v R G l 2 a W R l Z C B D b 2 x 1 b W 4 u e 1 d o b 2 x l d G l t Z S B P c G V y Y X R p b 2 5 h b C w x f S Z x d W 9 0 O y w m c X V v d D t T Z W N 0 a W 9 u M S 9 o c m 9 k I E h S X 0 R p c 2 F i a W x p d H l f S 2 5 v d 2 4 v R G l 2 a W R l Z C B D b 2 x 1 b W 4 x L n t S Z X R h a W 5 l Z C B E d X R 5 I F N 5 c 3 R l b S w y f S Z x d W 9 0 O y w m c X V v d D t T Z W N 0 a W 9 u M S 9 o c m 9 k I E h S X 0 R p c 2 F i a W x p d H l f S 2 5 v d 2 4 v R G l 2 a W R l Z C B D b 2 x 1 b W 4 y L n t S Z X R h a W 5 l Z C B G d W x s d G l t Z S w z f S Z x d W 9 0 O y w m c X V v d D t T Z W N 0 a W 9 u M S 9 o c m 9 k I E h S X 0 R p c 2 F i a W x p d H l f S 2 5 v d 2 4 v R G l 2 a W R l Z C B D b 2 x 1 b W 4 z L n t D b 2 5 0 c m 9 s L D R 9 J n F 1 b 3 Q 7 L C Z x d W 9 0 O 1 N l Y 3 R p b 2 4 x L 2 h y b 2 Q g S F J f R G l z Y W J p b G l 0 e V 9 L b m 9 3 b i 9 E a X Z p Z G V k I E N v b H V t b j Q u e 1 N 1 c H B v c n Q s N X 0 m c X V v d D s s J n F 1 b 3 Q 7 U 2 V j d G l v b j E v a H J v Z C B I U l 9 E a X N h Y m l s a X R 5 X 0 t u b 3 d u L 0 R p d m l k Z W Q g Q 2 9 s d W 1 u N S 5 7 V m 9 s d W 5 0 Z W V y L D Z 9 J n F 1 b 3 Q 7 L C Z x d W 9 0 O 1 N l Y 3 R p b 2 4 x L 2 h y b 2 Q g S F J f R G l z Y W J p b G l 0 e V 9 L b m 9 3 b i 9 E a X Z p Z G V k I E N v b H V t b j Y u e 1 R v d G F s L D d 9 J n F 1 b 3 Q 7 L C Z x d W 9 0 O 1 N l Y 3 R p b 2 4 x L 2 h y b 2 Q g S F J f R G l z Y W J p b G l 0 e V 9 L b m 9 3 b i 9 E a X Z p Z G V k I E N v b H V t b j c u e 1 R v d G F s I C h l e G N s d W R p b m c g d m 9 s d W 5 0 Z X J z K S w 4 f S Z x d W 9 0 O 1 0 s J n F 1 b 3 Q 7 U m V s Y X R p b 2 5 z a G l w S W 5 m b y Z x d W 9 0 O z p b X X 0 i I C 8 + P E V u d H J 5 I F R 5 c G U 9 I k Z p b G x U Y X J n Z X Q i I F Z h b H V l P S J z a H J v Z F 9 I U l 9 E a X N h Y m l s a X R 5 X 0 t u b 3 d u I i A v P j x F b n R y e S B U e X B l P S J G a W x s Z W R D b 2 1 w b G V 0 Z V J l c 3 V s d F R v V 2 9 y a 3 N o Z W V 0 I i B W Y W x 1 Z T 0 i b D E i I C 8 + P E V u d H J 5 I F R 5 c G U 9 I k F k Z G V k V G 9 E Y X R h T W 9 k Z W w i I F Z h b H V l P S J s M C I g L z 4 8 R W 5 0 c n k g V H l w Z T 0 i U m V j b 3 Z l c n l U Y X J n Z X R T a G V l d C I g V m F s d W U 9 I n N E a X N h Y m l s a X R 5 I i A v P j x F b n R y e S B U e X B l P S J S Z W N v d m V y e V R h c m d l d E N v b H V t b i I g V m F s d W U 9 I m w x I i A v P j x F b n R y e S B U e X B l P S J S Z W N v d m V y e V R h c m d l d F J v d y I g V m F s d W U 9 I m w 5 I i A v P j x F b n R y e S B U e X B l P S J G a W x s Q 2 9 1 b n Q i I F Z h b H V l P S J s M T A i I C 8 + P E V u d H J 5 I F R 5 c G U 9 I l F 1 Z X J 5 S U Q i I F Z h b H V l P S J z M W Q w Y T E w Y 2 U t Y m Z j O S 0 0 M j Q 3 L T g 2 Z T Y t M j V l N j I z M D E 2 N G M 3 I i A v P j x F b n R y e S B U e X B l P S J G a W x s U 3 R h d H V z I i B W Y W x 1 Z T 0 i c 0 N v b X B s Z X R l I i A v P j w v U 3 R h Y m x l R W 5 0 c m l l c z 4 8 L 0 l 0 Z W 0 + P E l 0 Z W 0 + P E l 0 Z W 1 M b 2 N h d G l v b j 4 8 S X R l b V R 5 c G U + R m 9 y b X V s Y T w v S X R l b V R 5 c G U + P E l 0 Z W 1 Q Y X R o P l N l Y 3 R p b 2 4 x L 2 h y b 2 Q l M j B I U l 9 E a X N h Y m l s a X R 5 X 0 t u b 3 d u L 1 N v d X J j Z T w v S X R l b V B h d G g + P C 9 J d G V t T G 9 j Y X R p b 2 4 + P F N 0 Y W J s Z U V u d H J p Z X M g L z 4 8 L 0 l 0 Z W 0 + P E l 0 Z W 0 + P E l 0 Z W 1 M b 2 N h d G l v b j 4 8 S X R l b V R 5 c G U + R m 9 y b X V s Y T w v S X R l b V R 5 c G U + P E l 0 Z W 1 Q Y X R o P l N l Y 3 R p b 2 4 x L 2 h y b 2 Q l M j B I U l 9 E a X N h Y m l s a X R 5 X 0 t u b 3 d u L 2 h y b 2 R f S F J f R G l z Y W J p b G l 0 e V 9 L b m 9 3 b j w v S X R l b V B h d G g + P C 9 J d G V t T G 9 j Y X R p b 2 4 + P F N 0 Y W J s Z U V u d H J p Z X M g L z 4 8 L 0 l 0 Z W 0 + P E l 0 Z W 0 + P E l 0 Z W 1 M b 2 N h d G l v b j 4 8 S X R l b V R 5 c G U + R m 9 y b X V s Y T w v S X R l b V R 5 c G U + P E l 0 Z W 1 Q Y X R o P l N l Y 3 R p b 2 4 x L 2 h y b 2 Q l M j B I U l 9 E a X N h Y m l s a X R 5 X 0 t u b 3 d u L 1 N v c n R l Z C U y M F J v d 3 M 8 L 0 l 0 Z W 1 Q Y X R o P j w v S X R l b U x v Y 2 F 0 a W 9 u P j x T d G F i b G V F b n R y a W V z I C 8 + P C 9 J d G V t P j x J d G V t P j x J d G V t T G 9 j Y X R p b 2 4 + P E l 0 Z W 1 U e X B l P k Z v c m 1 1 b G E 8 L 0 l 0 Z W 1 U e X B l P j x J d G V t U G F 0 a D 5 T Z W N 0 a W 9 u M S 9 o c m 9 k J T I w S F J f R G l z Y W J p b G l 0 e V 9 O b 3 R L b m 9 3 b j 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G a W x s Q 2 9 1 b n Q i I F Z h b H V l P S J s N y I g L z 4 8 R W 5 0 c n k g V H l w Z T 0 i R m l s b E V y c m 9 y Q 2 9 1 b n Q i I F Z h b H V l P S J s M C I g L z 4 8 R W 5 0 c n k g V H l w Z T 0 i R m l s b E N v b H V t b l R 5 c G V z I i B W Y W x 1 Z T 0 i c 0 J n V U Z C U V V G Q l F V R i I g L z 4 8 R W 5 0 c n k g V H l w Z T 0 i R m l s b E N v b H V t b k 5 h b W V z I i B W Y W x 1 Z T 0 i c 1 s m c X V v d D t Z Z W F y J n F 1 b 3 Q 7 L C Z x d W 9 0 O 1 d o b 2 x l d G l t Z S B P c G V y Y X R p b 2 5 h b C Z x d W 9 0 O y w m c X V v d D t S Z X R h a W 5 l Z C B E d X R 5 I F N 5 c 3 R l b S Z x d W 9 0 O y w m c X V v d D t S Z X R h a W 5 l Z C B G d W x s d G l t Z S Z x d W 9 0 O y w m c X V v d D t D b 2 5 0 c m 9 s J n F 1 b 3 Q 7 L C Z x d W 9 0 O 1 N 1 c H B v c n Q m c X V v d D s s J n F 1 b 3 Q 7 V m 9 s d W 5 0 Z W V y J n F 1 b 3 Q 7 L C Z x d W 9 0 O 1 R v d G F s J n F 1 b 3 Q 7 L C Z x d W 9 0 O 1 R v d G F s I C h l e G N s d W R p b m c g d m 9 s d W 5 0 Z X J z K S Z x d W 9 0 O 1 0 i I C 8 + P E V u d H J 5 I F R 5 c G U 9 I k Z p b G x F c n J v c k N v Z G U i I F Z h b H V l P S J z V W 5 r b m 9 3 b i I g L z 4 8 R W 5 0 c n k g V H l w Z T 0 i R m l s b E x h c 3 R V c G R h d G V k I i B W Y W x 1 Z T 0 i Z D I w M j E t M D g t M j V U M T Y 6 N D U 6 M D c u O T c 2 M T g y N V o i I C 8 + P E V u d H J 5 I F R 5 c G U 9 I l J l b G F 0 a W 9 u c 2 h p c E l u Z m 9 D b 2 5 0 Y W l u Z X I i I F Z h b H V l P S J z e y Z x d W 9 0 O 2 N v b H V t b k N v d W 5 0 J n F 1 b 3 Q 7 O j k s J n F 1 b 3 Q 7 a 2 V 5 Q 2 9 s d W 1 u T m F t Z X M m c X V v d D s 6 W 1 0 s J n F 1 b 3 Q 7 c X V l c n l S Z W x h d G l v b n N o a X B z J n F 1 b 3 Q 7 O l t d L C Z x d W 9 0 O 2 N v b H V t b k l k Z W 5 0 a X R p Z X M m c X V v d D s 6 W y Z x d W 9 0 O 1 N l c n Z l c i 5 E Y X R h Y m F z Z V x c L z I v U 1 F M L 3 M t c 3 J z L X Y w M V x c X F x w Z H M 7 U k F Q L 2 h y b 2 Q v a H J v Z C 5 I U l 9 E a X N h Y m l s a X R 5 X 0 5 v d E t u b 3 d u L n t Z Z W F y L D B 9 J n F 1 b 3 Q 7 L C Z x d W 9 0 O 1 N l Y 3 R p b 2 4 x L 2 h y b 2 Q g S F J f R G l z Y W J p b G l 0 e V 9 O b 3 R L b m 9 3 b i 9 E a X Z p Z G V k I E N v b H V t b i 5 7 V 2 h v b G V 0 a W 1 l I E 9 w Z X J h d G l v b m F s L D F 9 J n F 1 b 3 Q 7 L C Z x d W 9 0 O 1 N l Y 3 R p b 2 4 x L 2 h y b 2 Q g S F J f R G l z Y W J p b G l 0 e V 9 O b 3 R L b m 9 3 b i 9 E a X Z p Z G V k I E N v b H V t b j E u e 1 J l d G F p b m V k I E R 1 d H k g U 3 l z d G V t L D J 9 J n F 1 b 3 Q 7 L C Z x d W 9 0 O 1 N l Y 3 R p b 2 4 x L 2 h y b 2 Q g S F J f R G l z Y W J p b G l 0 e V 9 O b 3 R L b m 9 3 b i 9 E a X Z p Z G V k I E N v b H V t b j I u e 1 J l d G F p b m V k I E Z 1 b G x 0 a W 1 l L D N 9 J n F 1 b 3 Q 7 L C Z x d W 9 0 O 1 N l Y 3 R p b 2 4 x L 2 h y b 2 Q g S F J f R G l z Y W J p b G l 0 e V 9 O b 3 R L b m 9 3 b i 9 E a X Z p Z G V k I E N v b H V t b j M u e 0 N v b n R y b 2 w s N H 0 m c X V v d D s s J n F 1 b 3 Q 7 U 2 V j d G l v b j E v a H J v Z C B I U l 9 E a X N h Y m l s a X R 5 X 0 5 v d E t u b 3 d u L 0 R p d m l k Z W Q g Q 2 9 s d W 1 u N C 5 7 U 3 V w c G 9 y d C w 1 f S Z x d W 9 0 O y w m c X V v d D t T Z W N 0 a W 9 u M S 9 o c m 9 k I E h S X 0 R p c 2 F i a W x p d H l f T m 9 0 S 2 5 v d 2 4 v R G l 2 a W R l Z C B D b 2 x 1 b W 4 1 L n t W b 2 x 1 b n R l Z X I s N n 0 m c X V v d D s s J n F 1 b 3 Q 7 U 2 V j d G l v b j E v a H J v Z C B I U l 9 E a X N h Y m l s a X R 5 X 0 5 v d E t u b 3 d u L 0 R p d m l k Z W Q g Q 2 9 s d W 1 u N i 5 7 V G 9 0 Y W w s N 3 0 m c X V v d D s s J n F 1 b 3 Q 7 U 2 V j d G l v b j E v a H J v Z C B I U l 9 E a X N h Y m l s a X R 5 X 0 5 v d E t u b 3 d u L 0 R p d m l k Z W Q g Q 2 9 s d W 1 u N y 5 7 V G 9 0 Y W w g K G V 4 Y 2 x 1 Z G l u Z y B 2 b 2 x 1 b n R l c n M p L D h 9 J n F 1 b 3 Q 7 X S w m c X V v d D t D b 2 x 1 b W 5 D b 3 V u d C Z x d W 9 0 O z o 5 L C Z x d W 9 0 O 0 t l e U N v b H V t b k 5 h b W V z J n F 1 b 3 Q 7 O l t d L C Z x d W 9 0 O 0 N v b H V t b k l k Z W 5 0 a X R p Z X M m c X V v d D s 6 W y Z x d W 9 0 O 1 N l c n Z l c i 5 E Y X R h Y m F z Z V x c L z I v U 1 F M L 3 M t c 3 J z L X Y w M V x c X F x w Z H M 7 U k F Q L 2 h y b 2 Q v a H J v Z C 5 I U l 9 E a X N h Y m l s a X R 5 X 0 5 v d E t u b 3 d u L n t Z Z W F y L D B 9 J n F 1 b 3 Q 7 L C Z x d W 9 0 O 1 N l Y 3 R p b 2 4 x L 2 h y b 2 Q g S F J f R G l z Y W J p b G l 0 e V 9 O b 3 R L b m 9 3 b i 9 E a X Z p Z G V k I E N v b H V t b i 5 7 V 2 h v b G V 0 a W 1 l I E 9 w Z X J h d G l v b m F s L D F 9 J n F 1 b 3 Q 7 L C Z x d W 9 0 O 1 N l Y 3 R p b 2 4 x L 2 h y b 2 Q g S F J f R G l z Y W J p b G l 0 e V 9 O b 3 R L b m 9 3 b i 9 E a X Z p Z G V k I E N v b H V t b j E u e 1 J l d G F p b m V k I E R 1 d H k g U 3 l z d G V t L D J 9 J n F 1 b 3 Q 7 L C Z x d W 9 0 O 1 N l Y 3 R p b 2 4 x L 2 h y b 2 Q g S F J f R G l z Y W J p b G l 0 e V 9 O b 3 R L b m 9 3 b i 9 E a X Z p Z G V k I E N v b H V t b j I u e 1 J l d G F p b m V k I E Z 1 b G x 0 a W 1 l L D N 9 J n F 1 b 3 Q 7 L C Z x d W 9 0 O 1 N l Y 3 R p b 2 4 x L 2 h y b 2 Q g S F J f R G l z Y W J p b G l 0 e V 9 O b 3 R L b m 9 3 b i 9 E a X Z p Z G V k I E N v b H V t b j M u e 0 N v b n R y b 2 w s N H 0 m c X V v d D s s J n F 1 b 3 Q 7 U 2 V j d G l v b j E v a H J v Z C B I U l 9 E a X N h Y m l s a X R 5 X 0 5 v d E t u b 3 d u L 0 R p d m l k Z W Q g Q 2 9 s d W 1 u N C 5 7 U 3 V w c G 9 y d C w 1 f S Z x d W 9 0 O y w m c X V v d D t T Z W N 0 a W 9 u M S 9 o c m 9 k I E h S X 0 R p c 2 F i a W x p d H l f T m 9 0 S 2 5 v d 2 4 v R G l 2 a W R l Z C B D b 2 x 1 b W 4 1 L n t W b 2 x 1 b n R l Z X I s N n 0 m c X V v d D s s J n F 1 b 3 Q 7 U 2 V j d G l v b j E v a H J v Z C B I U l 9 E a X N h Y m l s a X R 5 X 0 5 v d E t u b 3 d u L 0 R p d m l k Z W Q g Q 2 9 s d W 1 u N i 5 7 V G 9 0 Y W w s N 3 0 m c X V v d D s s J n F 1 b 3 Q 7 U 2 V j d G l v b j E v a H J v Z C B I U l 9 E a X N h Y m l s a X R 5 X 0 5 v d E t u b 3 d u L 0 R p d m l k Z W Q g Q 2 9 s d W 1 u N y 5 7 V G 9 0 Y W w g K G V 4 Y 2 x 1 Z G l u Z y B 2 b 2 x 1 b n R l c n M p L D h 9 J n F 1 b 3 Q 7 X S w m c X V v d D t S Z W x h d G l v b n N o a X B J b m Z v J n F 1 b 3 Q 7 O l t d f S I g L z 4 8 R W 5 0 c n k g V H l w Z T 0 i R m l s b G V k Q 2 9 t c G x l d G V S Z X N 1 b H R U b 1 d v c m t z a G V l d C I g V m F s d W U 9 I m w x I i A v P j x F b n R y e S B U e X B l P S J B Z G R l Z F R v R G F 0 Y U 1 v Z G V s I i B W Y W x 1 Z T 0 i b D A i I C 8 + P E V u d H J 5 I F R 5 c G U 9 I l J l Y 2 9 2 Z X J 5 V G F y Z 2 V 0 U 2 h l Z X Q i I F Z h b H V l P S J z R G l z Y W J p b G l 0 e S I g L z 4 8 R W 5 0 c n k g V H l w Z T 0 i U m V j b 3 Z l c n l U Y X J n Z X R D b 2 x 1 b W 4 i I F Z h b H V l P S J s M S I g L z 4 8 R W 5 0 c n k g V H l w Z T 0 i U m V j b 3 Z l c n l U Y X J n Z X R S b 3 c i I F Z h b H V l P S J s M z A i I C 8 + P E V u d H J 5 I F R 5 c G U 9 I k Z p b G x U Y X J n Z X Q i I F Z h b H V l P S J z a H J v Z F 9 I U l 9 E a X N h Y m l s a X R 5 X 0 5 v d E t u b 3 d u I i A v P j x F b n R y e S B U e X B l P S J G a W x s U 3 R h d H V z I i B W Y W x 1 Z T 0 i c 0 N v b X B s Z X R l I i A v P j x F b n R y e S B U e X B l P S J R d W V y e U l E I i B W Y W x 1 Z T 0 i c z B h M T A y M G V m L W I z Y j M t N D J k Z S 1 i N z I z L W Z h Z G Y w M j E 5 O D F j Y i I g L z 4 8 L 1 N 0 Y W J s Z U V u d H J p Z X M + P C 9 J d G V t P j x J d G V t P j x J d G V t T G 9 j Y X R p b 2 4 + P E l 0 Z W 1 U e X B l P k Z v c m 1 1 b G E 8 L 0 l 0 Z W 1 U e X B l P j x J d G V t U G F 0 a D 5 T Z W N 0 a W 9 u M S 9 o c m 9 k J T I w S F J f R G l z Y W J p b G l 0 e V 9 O b 3 R L b m 9 3 b i 9 T b 3 V y Y 2 U 8 L 0 l 0 Z W 1 Q Y X R o P j w v S X R l b U x v Y 2 F 0 a W 9 u P j x T d G F i b G V F b n R y a W V z I C 8 + P C 9 J d G V t P j x J d G V t P j x J d G V t T G 9 j Y X R p b 2 4 + P E l 0 Z W 1 U e X B l P k Z v c m 1 1 b G E 8 L 0 l 0 Z W 1 U e X B l P j x J d G V t U G F 0 a D 5 T Z W N 0 a W 9 u M S 9 o c m 9 k J T I w S F J f R G l z Y W J p b G l 0 e V 9 O b 3 R L b m 9 3 b i 9 o c m 9 k X 0 h S X 0 R p c 2 F i a W x p d H l f T m 9 0 S 2 5 v d 2 4 8 L 0 l 0 Z W 1 Q Y X R o P j w v S X R l b U x v Y 2 F 0 a W 9 u P j x T d G F i b G V F b n R y a W V z I C 8 + P C 9 J d G V t P j x J d G V t P j x J d G V t T G 9 j Y X R p b 2 4 + P E l 0 Z W 1 U e X B l P k Z v c m 1 1 b G E 8 L 0 l 0 Z W 1 U e X B l P j x J d G V t U G F 0 a D 5 T Z W N 0 a W 9 u M S 9 o c m 9 k J T I w S F J f R G l z Y W J p b G l 0 e V 9 O b 3 R L b m 9 3 b i 9 T b 3 J 0 Z W Q l M j B S b 3 d z P C 9 J d G V t U G F 0 a D 4 8 L 0 l 0 Z W 1 M b 2 N h d G l v b j 4 8 U 3 R h Y m x l R W 5 0 c m l l c y A v P j w v S X R l b T 4 8 S X R l b T 4 8 S X R l b U x v Y 2 F 0 a W 9 u P j x J d G V t V H l w Z T 5 G b 3 J t d W x h P C 9 J d G V t V H l w Z T 4 8 S X R l b V B h d G g + U 2 V j d G l v b j E v Y 3 N l d C U y M E R p c 3 R p b m N 0 U H J v c G V y d G l l c y 9 T b 3 J 0 Z W Q l M j B S b 3 d z P C 9 J d G V t U G F 0 a D 4 8 L 0 l 0 Z W 1 M b 2 N h d G l v b j 4 8 U 3 R h Y m x l R W 5 0 c m l l c y A v P j w v S X R l b T 4 8 S X R l b T 4 8 S X R l b U x v Y 2 F 0 a W 9 u P j x J d G V t V H l w Z T 5 G b 3 J t d W x h P C 9 J d G V t V H l w Z T 4 8 S X R l b V B h d G g + U 2 V j d G l v b j E v a H N 3 J T I w d m x h d G F i b G U 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E N v d W 5 0 I i B W Y W x 1 Z T 0 i b D M y I i A v P j x F b n R y e S B U e X B l P S J G a W x s R X J y b 3 J D b 3 V u d C I g V m F s d W U 9 I m w w I i A v P j x F b n R y e S B U e X B l P S J G a W x s Q 2 9 s d W 1 u V H l w Z X M i I F Z h b H V l P S J z Q m d Z R k J R V U N B Z 0 k 9 I i A v P j x F b n R y e S B U e X B l P S J G a W x s Q 2 9 s d W 1 u T m F t Z X M i I F Z h b H V l P S J z W y Z x d W 9 0 O 0 x B I E N v Z G U m c X V v d D s s J n F 1 b 3 Q 7 T G 9 j Y W w g Q X V 0 a G 9 y a X R 5 J n F 1 b 3 Q 7 L C Z x d W 9 0 O z I w M T U t M T Y m c X V v d D s s J n F 1 b 3 Q 7 M j A x N i 0 x N y Z x d W 9 0 O y w m c X V v d D s y M D E 3 L T E 4 J n F 1 b 3 Q 7 L C Z x d W 9 0 O z I w M T g t M T k m c X V v d D s s J n F 1 b 3 Q 7 M j A x O S 0 y M C Z x d W 9 0 O y w m c X V v d D s y M D I w L T I x J n F 1 b 3 Q 7 X S I g L z 4 8 R W 5 0 c n k g V H l w Z T 0 i R m l s b E V y c m 9 y Q 2 9 k Z S I g V m F s d W U 9 I n N V b m t u b 3 d u I i A v P j x F b n R y e S B U e X B l P S J G a W x s T G F z d F V w Z G F 0 Z W Q i I F Z h b H V l P S J k M j A y M S 0 w O C 0 x O F Q x M j o y M T o y N S 4 w O T E 2 N T E 3 W i I g L z 4 8 R W 5 0 c n k g V H l w Z T 0 i U m V s Y X R p b 2 5 z a G l w S W 5 m b 0 N v b n R h a W 5 l c i I g V m F s d W U 9 I n N 7 J n F 1 b 3 Q 7 Y 2 9 s d W 1 u Q 2 9 1 b n Q m c X V v d D s 6 O C w m c X V v d D t r Z X l D b 2 x 1 b W 5 O Y W 1 l c y Z x d W 9 0 O z p b X S w m c X V v d D t x d W V y e V J l b G F 0 a W 9 u c 2 h p c H M m c X V v d D s 6 W 1 0 s J n F 1 b 3 Q 7 Y 2 9 s d W 1 u S W R l b n R p d G l l c y Z x d W 9 0 O z p b J n F 1 b 3 Q 7 U 2 V y d m V y L k R h d G F i Y X N l X F w v M i 9 T U U w v c y 1 z c n M t d j A x X F x c X H B k c z t S Q V A v a H N 3 L 2 h z d y 5 2 b G F 0 Y W J s Z S 5 7 T E E g Q 2 9 k Z S w x f S Z x d W 9 0 O y w m c X V v d D t T Z X J 2 Z X I u R G F 0 Y W J h c 2 V c X C 8 y L 1 N R T C 9 z L X N y c y 1 2 M D F c X F x c c G R z O 1 J B U C 9 o c 3 c v a H N 3 L n Z s Y X R h Y m x l L n t M b 2 N h b C B B d X R o b 3 J p d H k s M H 0 m c X V v d D s s J n F 1 b 3 Q 7 U 2 V y d m V y L k R h d G F i Y X N l X F w v M i 9 T U U w v c y 1 z c n M t d j A x X F x c X H B k c z t S Q V A v a H N 3 L 2 h z d y 5 2 b G F 0 Y W J s Z S 5 7 M j A x N S 0 x N i w y f S Z x d W 9 0 O y w m c X V v d D t T Z X J 2 Z X I u R G F 0 Y W J h c 2 V c X C 8 y L 1 N R T C 9 z L X N y c y 1 2 M D F c X F x c c G R z O 1 J B U C 9 o c 3 c v a H N 3 L n Z s Y X R h Y m x l L n s y M D E 2 L T E 3 L D N 9 J n F 1 b 3 Q 7 L C Z x d W 9 0 O 1 N l c n Z l c i 5 E Y X R h Y m F z Z V x c L z I v U 1 F M L 3 M t c 3 J z L X Y w M V x c X F x w Z H M 7 U k F Q L 2 h z d y 9 o c 3 c u d m x h d G F i b G U u e z I w M T c t M T g s N H 0 m c X V v d D s s J n F 1 b 3 Q 7 U 2 V y d m V y L k R h d G F i Y X N l X F w v M i 9 T U U w v c y 1 z c n M t d j A x X F x c X H B k c z t S Q V A v a H N 3 L 2 h z d y 5 2 b G F 0 Y W J s Z S 5 7 M j A x O C 0 x O S w 1 f S Z x d W 9 0 O y w m c X V v d D t T Z X J 2 Z X I u R G F 0 Y W J h c 2 V c X C 8 y L 1 N R T C 9 z L X N y c y 1 2 M D F c X F x c c G R z O 1 J B U C 9 o c 3 c v a H N 3 L n Z s Y X R h Y m x l L n s y M D E 5 L T I w L D Z 9 J n F 1 b 3 Q 7 L C Z x d W 9 0 O 1 N l c n Z l c i 5 E Y X R h Y m F z Z V x c L z I v U 1 F M L 3 M t c 3 J z L X Y w M V x c X F x w Z H M 7 U k F Q L 2 h z d y 9 o c 3 c u d m x h d G F i b G U u e z I w M j A t M j E s N 3 0 m c X V v d D t d L C Z x d W 9 0 O 0 N v b H V t b k N v d W 5 0 J n F 1 b 3 Q 7 O j g s J n F 1 b 3 Q 7 S 2 V 5 Q 2 9 s d W 1 u T m F t Z X M m c X V v d D s 6 W 1 0 s J n F 1 b 3 Q 7 Q 2 9 s d W 1 u S W R l b n R p d G l l c y Z x d W 9 0 O z p b J n F 1 b 3 Q 7 U 2 V y d m V y L k R h d G F i Y X N l X F w v M i 9 T U U w v c y 1 z c n M t d j A x X F x c X H B k c z t S Q V A v a H N 3 L 2 h z d y 5 2 b G F 0 Y W J s Z S 5 7 T E E g Q 2 9 k Z S w x f S Z x d W 9 0 O y w m c X V v d D t T Z X J 2 Z X I u R G F 0 Y W J h c 2 V c X C 8 y L 1 N R T C 9 z L X N y c y 1 2 M D F c X F x c c G R z O 1 J B U C 9 o c 3 c v a H N 3 L n Z s Y X R h Y m x l L n t M b 2 N h b C B B d X R o b 3 J p d H k s M H 0 m c X V v d D s s J n F 1 b 3 Q 7 U 2 V y d m V y L k R h d G F i Y X N l X F w v M i 9 T U U w v c y 1 z c n M t d j A x X F x c X H B k c z t S Q V A v a H N 3 L 2 h z d y 5 2 b G F 0 Y W J s Z S 5 7 M j A x N S 0 x N i w y f S Z x d W 9 0 O y w m c X V v d D t T Z X J 2 Z X I u R G F 0 Y W J h c 2 V c X C 8 y L 1 N R T C 9 z L X N y c y 1 2 M D F c X F x c c G R z O 1 J B U C 9 o c 3 c v a H N 3 L n Z s Y X R h Y m x l L n s y M D E 2 L T E 3 L D N 9 J n F 1 b 3 Q 7 L C Z x d W 9 0 O 1 N l c n Z l c i 5 E Y X R h Y m F z Z V x c L z I v U 1 F M L 3 M t c 3 J z L X Y w M V x c X F x w Z H M 7 U k F Q L 2 h z d y 9 o c 3 c u d m x h d G F i b G U u e z I w M T c t M T g s N H 0 m c X V v d D s s J n F 1 b 3 Q 7 U 2 V y d m V y L k R h d G F i Y X N l X F w v M i 9 T U U w v c y 1 z c n M t d j A x X F x c X H B k c z t S Q V A v a H N 3 L 2 h z d y 5 2 b G F 0 Y W J s Z S 5 7 M j A x O C 0 x O S w 1 f S Z x d W 9 0 O y w m c X V v d D t T Z X J 2 Z X I u R G F 0 Y W J h c 2 V c X C 8 y L 1 N R T C 9 z L X N y c y 1 2 M D F c X F x c c G R z O 1 J B U C 9 o c 3 c v a H N 3 L n Z s Y X R h Y m x l L n s y M D E 5 L T I w L D Z 9 J n F 1 b 3 Q 7 L C Z x d W 9 0 O 1 N l c n Z l c i 5 E Y X R h Y m F z Z V x c L z I v U 1 F M L 3 M t c 3 J z L X Y w M V x c X F x w Z H M 7 U k F Q L 2 h z d y 9 o c 3 c u d m x h d G F i b G U u e z I w M j A t M j E s N 3 0 m c X V v d D t d L C Z x d W 9 0 O 1 J l b G F 0 a W 9 u c 2 h p c E l u Z m 8 m c X V v d D s 6 W 1 1 9 I i A v P j x F b n R y e S B U e X B l P S J G a W x s Z W R D b 2 1 w b G V 0 Z V J l c 3 V s d F R v V 2 9 y a 3 N o Z W V 0 I i B W Y W x 1 Z T 0 i b D E i I C 8 + P E V u d H J 5 I F R 5 c G U 9 I k F k Z G V k V G 9 E Y X R h T W 9 k Z W w i I F Z h b H V l P S J s M C I g L z 4 8 R W 5 0 c n k g V H l w Z T 0 i U m V j b 3 Z l c n l U Y X J n Z X R T a G V l d C I g V m F s d W U 9 I n N B d H R h Y 2 t z I C 0 g Q X J l Y S I g L z 4 8 R W 5 0 c n k g V H l w Z T 0 i U m V j b 3 Z l c n l U Y X J n Z X R D b 2 x 1 b W 4 i I F Z h b H V l P S J s M S I g L z 4 8 R W 5 0 c n k g V H l w Z T 0 i U m V j b 3 Z l c n l U Y X J n Z X R S b 3 c i I F Z h b H V l P S J s O S I g L z 4 8 R W 5 0 c n k g V H l w Z T 0 i R m l s b F R h c m d l d C I g V m F s d W U 9 I n N o c 3 d f d m x h d G F i b G U i I C 8 + P E V u d H J 5 I F R 5 c G U 9 I k Z p b G x T d G F 0 d X M i I F Z h b H V l P S J z Q 2 9 t c G x l d G U i I C 8 + P E V u d H J 5 I F R 5 c G U 9 I l F 1 Z X J 5 S U Q i I F Z h b H V l P S J z Y W V m Z j k 4 M 2 M t Y m U 0 N i 0 0 Y W Y 1 L W E z O D k t M j F l N W E w M G V k Y z I y I i A v P j w v U 3 R h Y m x l R W 5 0 c m l l c z 4 8 L 0 l 0 Z W 0 + P E l 0 Z W 0 + P E l 0 Z W 1 M b 2 N h d G l v b j 4 8 S X R l b V R 5 c G U + R m 9 y b X V s Y T w v S X R l b V R 5 c G U + P E l 0 Z W 1 Q Y X R o P l N l Y 3 R p b 2 4 x L 2 h z d y U y M H Z s Y X R h Y m x l L 1 N v d X J j Z T w v S X R l b V B h d G g + P C 9 J d G V t T G 9 j Y X R p b 2 4 + P F N 0 Y W J s Z U V u d H J p Z X M g L z 4 8 L 0 l 0 Z W 0 + P E l 0 Z W 0 + P E l 0 Z W 1 M b 2 N h d G l v b j 4 8 S X R l b V R 5 c G U + R m 9 y b X V s Y T w v S X R l b V R 5 c G U + P E l 0 Z W 1 Q Y X R o P l N l Y 3 R p b 2 4 x L 2 h z d y U y M H Z s Y X R h Y m x l L 2 h z d 1 9 2 b G F 0 Y W J s Z T w v S X R l b V B h d G g + P C 9 J d G V t T G 9 j Y X R p b 2 4 + P F N 0 Y W J s Z U V u d H J p Z X M g L z 4 8 L 0 l 0 Z W 0 + P E l 0 Z W 0 + P E l 0 Z W 1 M b 2 N h d G l v b j 4 8 S X R l b V R 5 c G U + R m 9 y b X V s Y T w v S X R l b V R 5 c G U + P E l 0 Z W 1 Q Y X R o P l N l Y 3 R p b 2 4 x L 2 h z d y U y M H Z s Y X R h Y m x l L 1 J l b 3 J k Z X J l Z C U y M E N v b H V t b n M 8 L 0 l 0 Z W 1 Q Y X R o P j w v S X R l b U x v Y 2 F 0 a W 9 u P j x T d G F i b G V F b n R y a W V z I C 8 + P C 9 J d G V t P j x J d G V t P j x J d G V t T G 9 j Y X R p b 2 4 + P E l 0 Z W 1 U e X B l P k Z v c m 1 1 b G E 8 L 0 l 0 Z W 1 U e X B l P j x J d G V t U G F 0 a D 5 T Z W N 0 a W 9 u M S 9 o c 3 c l M j B 2 b G F 0 Y W J s Z S 9 T b 3 J 0 Z W Q l M j B S b 3 d z P C 9 J d G V t U G F 0 a D 4 8 L 0 l 0 Z W 1 M b 2 N h d G l v b j 4 8 U 3 R h Y m x l R W 5 0 c m l l c y A v P j w v S X R l b T 4 8 S X R l b T 4 8 S X R l b U x v Y 2 F 0 a W 9 u P j x J d G V t V H l w Z T 5 G b 3 J t d W x h P C 9 J d G V t V H l w Z T 4 8 S X R l b V B h d G g + U 2 V j d G l v b j E v a H J v Z C U y M E h S X 1 N 0 Y W Z m U 2 1 h b G x B c m V h J T I w K D I p 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T d G F 0 d X M i I F Z h b H V l P S J z Q 2 9 t c G x l d G U i I C 8 + P E V u d H J 5 I F R 5 c G U 9 I k Z p b G x U Y X J n Z X Q i I F Z h b H V l P S J z a H J v Z F 9 I U l 9 T d G F m Z l N t Y W x s Q X J l Y V 9 f M i I g L z 4 8 R W 5 0 c n k g V H l w Z T 0 i U m V s Y X R p b 2 5 z a G l w S W 5 m b 0 N v b n R h a W 5 l c i I g V m F s d W U 9 I n N 7 J n F 1 b 3 Q 7 Y 2 9 s d W 1 u Q 2 9 1 b n Q m c X V v d D s 6 M T E s J n F 1 b 3 Q 7 a 2 V 5 Q 2 9 s d W 1 u T m F t Z X M m c X V v d D s 6 W 1 0 s J n F 1 b 3 Q 7 c X V l c n l S Z W x h d G l v b n N o a X B z J n F 1 b 3 Q 7 O l t d L C Z x d W 9 0 O 2 N v b H V t b k l k Z W 5 0 a X R p Z X M m c X V v d D s 6 W y Z x d W 9 0 O 1 N l c n Z l c i 5 E Y X R h Y m F z Z V x c L z I v U 1 F M L 3 M t c 3 J z L X Y w M V x c X F x w Z H M 7 U k F Q L 2 h y b 2 Q v a H J v Z C 5 I U l 9 T d G F m Z l N t Y W x s Q X J l Y S 5 7 W W V h c i w w f S Z x d W 9 0 O y w m c X V v d D t T Z X J 2 Z X I u R G F 0 Y W J h c 2 V c X C 8 y L 1 N R T C 9 z L X N y c y 1 2 M D F c X F x c c G R z O 1 J B U C 9 o c m 9 k L 2 h y b 2 Q u S F J f U 3 R h Z m Z T b W F s b E F y Z W E u e 1 J l c G 9 y d G l u Z 0 x l d m V s L D F 9 J n F 1 b 3 Q 7 L C Z x d W 9 0 O 1 N l c n Z l c i 5 E Y X R h Y m F z Z V x c L z I v U 1 F M L 3 M t c 3 J z L X Y w M V x c X F x w Z H M 7 U k F Q L 2 h y b 2 Q v a H J v Z C 5 I U l 9 T d G F m Z l N t Y W x s Q X J l Y S 5 7 b H Z s L D J 9 J n F 1 b 3 Q 7 L C Z x d W 9 0 O 1 N l c n Z l c i 5 E Y X R h Y m F z Z V x c L z I v U 1 F M L 3 M t c 3 J z L X Y w M V x c X F x w Z H M 7 U k F Q L 2 h y b 2 Q v a H J v Z C 5 I U l 9 T d G F m Z l N t Y W x s Q X J l Y S 5 7 Q 2 9 k Z S w z f S Z x d W 9 0 O y w m c X V v d D t T Z X J 2 Z X I u R G F 0 Y W J h c 2 V c X C 8 y L 1 N R T C 9 z L X N y c y 1 2 M D F c X F x c c G R z O 1 J B U C 9 o c m 9 k L 2 h y b 2 Q u S F J f U 3 R h Z m Z T b W F s b E F y Z W E u e 1 R v d G F s L D R 9 J n F 1 b 3 Q 7 L C Z x d W 9 0 O 1 N l c n Z l c i 5 E Y X R h Y m F z Z V x c L z I v U 1 F M L 3 M t c 3 J z L X Y w M V x c X F x w Z H M 7 U k F Q L 2 h y b 2 Q v a H J v Z C 5 I U l 9 T d G F m Z l N t Y W x s Q X J l Y S 5 7 Q 2 9 u d H J v b C w 1 f S Z x d W 9 0 O y w m c X V v d D t T Z X J 2 Z X I u R G F 0 Y W J h c 2 V c X C 8 y L 1 N R T C 9 z L X N y c y 1 2 M D F c X F x c c G R z O 1 J B U C 9 o c m 9 k L 2 h y b 2 Q u S F J f U 3 R h Z m Z T b W F s b E F y Z W E u e 1 J E U y B G d W x s d G l t Z S w 2 f S Z x d W 9 0 O y w m c X V v d D t T Z X J 2 Z X I u R G F 0 Y W J h c 2 V c X C 8 y L 1 N R T C 9 z L X N y c y 1 2 M D F c X F x c c G R z O 1 J B U C 9 o c m 9 k L 2 h y b 2 Q u S F J f U 3 R h Z m Z T b W F s b E F y Z W E u e 1 J E U y w 3 f S Z x d W 9 0 O y w m c X V v d D t T Z X J 2 Z X I u R G F 0 Y W J h c 2 V c X C 8 y L 1 N R T C 9 z L X N y c y 1 2 M D F c X F x c c G R z O 1 J B U C 9 o c m 9 k L 2 h y b 2 Q u S F J f U 3 R h Z m Z T b W F s b E F y Z W E u e 1 N 1 c H B v c n Q s O H 0 m c X V v d D s s J n F 1 b 3 Q 7 U 2 V y d m V y L k R h d G F i Y X N l X F w v M i 9 T U U w v c y 1 z c n M t d j A x X F x c X H B k c z t S Q V A v a H J v Z C 9 o c m 9 k L k h S X 1 N 0 Y W Z m U 2 1 h b G x B c m V h L n t W b 2 w s O X 0 m c X V v d D s s J n F 1 b 3 Q 7 U 2 V y d m V y L k R h d G F i Y X N l X F w v M i 9 T U U w v c y 1 z c n M t d j A x X F x c X H B k c z t S Q V A v a H J v Z C 9 o c m 9 k L k h S X 1 N 0 Y W Z m U 2 1 h b G x B c m V h L n t X V C w x M H 0 m c X V v d D t d L C Z x d W 9 0 O 0 N v b H V t b k N v d W 5 0 J n F 1 b 3 Q 7 O j E x L C Z x d W 9 0 O 0 t l e U N v b H V t b k 5 h b W V z J n F 1 b 3 Q 7 O l t d L C Z x d W 9 0 O 0 N v b H V t b k l k Z W 5 0 a X R p Z X M m c X V v d D s 6 W y Z x d W 9 0 O 1 N l c n Z l c i 5 E Y X R h Y m F z Z V x c L z I v U 1 F M L 3 M t c 3 J z L X Y w M V x c X F x w Z H M 7 U k F Q L 2 h y b 2 Q v a H J v Z C 5 I U l 9 T d G F m Z l N t Y W x s Q X J l Y S 5 7 W W V h c i w w f S Z x d W 9 0 O y w m c X V v d D t T Z X J 2 Z X I u R G F 0 Y W J h c 2 V c X C 8 y L 1 N R T C 9 z L X N y c y 1 2 M D F c X F x c c G R z O 1 J B U C 9 o c m 9 k L 2 h y b 2 Q u S F J f U 3 R h Z m Z T b W F s b E F y Z W E u e 1 J l c G 9 y d G l u Z 0 x l d m V s L D F 9 J n F 1 b 3 Q 7 L C Z x d W 9 0 O 1 N l c n Z l c i 5 E Y X R h Y m F z Z V x c L z I v U 1 F M L 3 M t c 3 J z L X Y w M V x c X F x w Z H M 7 U k F Q L 2 h y b 2 Q v a H J v Z C 5 I U l 9 T d G F m Z l N t Y W x s Q X J l Y S 5 7 b H Z s L D J 9 J n F 1 b 3 Q 7 L C Z x d W 9 0 O 1 N l c n Z l c i 5 E Y X R h Y m F z Z V x c L z I v U 1 F M L 3 M t c 3 J z L X Y w M V x c X F x w Z H M 7 U k F Q L 2 h y b 2 Q v a H J v Z C 5 I U l 9 T d G F m Z l N t Y W x s Q X J l Y S 5 7 Q 2 9 k Z S w z f S Z x d W 9 0 O y w m c X V v d D t T Z X J 2 Z X I u R G F 0 Y W J h c 2 V c X C 8 y L 1 N R T C 9 z L X N y c y 1 2 M D F c X F x c c G R z O 1 J B U C 9 o c m 9 k L 2 h y b 2 Q u S F J f U 3 R h Z m Z T b W F s b E F y Z W E u e 1 R v d G F s L D R 9 J n F 1 b 3 Q 7 L C Z x d W 9 0 O 1 N l c n Z l c i 5 E Y X R h Y m F z Z V x c L z I v U 1 F M L 3 M t c 3 J z L X Y w M V x c X F x w Z H M 7 U k F Q L 2 h y b 2 Q v a H J v Z C 5 I U l 9 T d G F m Z l N t Y W x s Q X J l Y S 5 7 Q 2 9 u d H J v b C w 1 f S Z x d W 9 0 O y w m c X V v d D t T Z X J 2 Z X I u R G F 0 Y W J h c 2 V c X C 8 y L 1 N R T C 9 z L X N y c y 1 2 M D F c X F x c c G R z O 1 J B U C 9 o c m 9 k L 2 h y b 2 Q u S F J f U 3 R h Z m Z T b W F s b E F y Z W E u e 1 J E U y B G d W x s d G l t Z S w 2 f S Z x d W 9 0 O y w m c X V v d D t T Z X J 2 Z X I u R G F 0 Y W J h c 2 V c X C 8 y L 1 N R T C 9 z L X N y c y 1 2 M D F c X F x c c G R z O 1 J B U C 9 o c m 9 k L 2 h y b 2 Q u S F J f U 3 R h Z m Z T b W F s b E F y Z W E u e 1 J E U y w 3 f S Z x d W 9 0 O y w m c X V v d D t T Z X J 2 Z X I u R G F 0 Y W J h c 2 V c X C 8 y L 1 N R T C 9 z L X N y c y 1 2 M D F c X F x c c G R z O 1 J B U C 9 o c m 9 k L 2 h y b 2 Q u S F J f U 3 R h Z m Z T b W F s b E F y Z W E u e 1 N 1 c H B v c n Q s O H 0 m c X V v d D s s J n F 1 b 3 Q 7 U 2 V y d m V y L k R h d G F i Y X N l X F w v M i 9 T U U w v c y 1 z c n M t d j A x X F x c X H B k c z t S Q V A v a H J v Z C 9 o c m 9 k L k h S X 1 N 0 Y W Z m U 2 1 h b G x B c m V h L n t W b 2 w s O X 0 m c X V v d D s s J n F 1 b 3 Q 7 U 2 V y d m V y L k R h d G F i Y X N l X F w v M i 9 T U U w v c y 1 z c n M t d j A x X F x c X H B k c z t S Q V A v a H J v Z C 9 o c m 9 k L k h S X 1 N 0 Y W Z m U 2 1 h b G x B c m V h L n t X V C w x M H 0 m c X V v d D t d L C Z x d W 9 0 O 1 J l b G F 0 a W 9 u c 2 h p c E l u Z m 8 m c X V v d D s 6 W 1 1 9 I i A v P j x F b n R y e S B U e X B l P S J G a W x s T G F z d F V w Z G F 0 Z W Q i I F Z h b H V l P S J k M j A y M S 0 w O C 0 y N l Q x N T o 0 O T o 1 O C 4 x N j c 2 N D E w W i I g L z 4 8 R W 5 0 c n k g V H l w Z T 0 i R m l s b E V y c m 9 y Q 2 9 k Z S I g V m F s d W U 9 I n N V b m t u b 3 d u I i A v P j x F b n R y e S B U e X B l P S J G a W x s Q 2 9 s d W 1 u T m F t Z X M i I F Z h b H V l P S J z W y Z x d W 9 0 O 1 l l Y X I m c X V v d D s s J n F 1 b 3 Q 7 U m V w b 3 J 0 a W 5 n T G V 2 Z W w m c X V v d D s s J n F 1 b 3 Q 7 b H Z s J n F 1 b 3 Q 7 L C Z x d W 9 0 O 0 N v Z G U m c X V v d D s s J n F 1 b 3 Q 7 V G 9 0 Y W w m c X V v d D s s J n F 1 b 3 Q 7 Q 2 9 u d H J v b C Z x d W 9 0 O y w m c X V v d D t S R F M g R n V s b H R p b W U m c X V v d D s s J n F 1 b 3 Q 7 U k R T J n F 1 b 3 Q 7 L C Z x d W 9 0 O 1 N 1 c H B v c n Q m c X V v d D s s J n F 1 b 3 Q 7 V m 9 s J n F 1 b 3 Q 7 L C Z x d W 9 0 O 1 d U J n F 1 b 3 Q 7 X S I g L z 4 8 R W 5 0 c n k g V H l w Z T 0 i R m l s b E N v b H V t b l R 5 c G V z I i B W Y W x 1 Z T 0 i c 0 J n W U d C Z 1 V D Q W d V Q 0 J R V T 0 i I C 8 + P E V u d H J 5 I F R 5 c G U 9 I k Z p b G x l Z E N v b X B s Z X R l U m V z d W x 0 V G 9 X b 3 J r c 2 h l Z X Q i I F Z h b H V l P S J s M S I g L z 4 8 R W 5 0 c n k g V H l w Z T 0 i Q W R k Z W R U b 0 R h d G F N b 2 R l b C I g V m F s d W U 9 I m w w I i A v P j x F b n R y e S B U e X B l P S J S Z W N v d m V y e V R h c m d l d F N o Z W V 0 I i B W Y W x 1 Z T 0 i c 1 N o Z W V 0 M i I g L z 4 8 R W 5 0 c n k g V H l w Z T 0 i U m V j b 3 Z l c n l U Y X J n Z X R D b 2 x 1 b W 4 i I F Z h b H V l P S J s M S I g L z 4 8 R W 5 0 c n k g V H l w Z T 0 i U m V j b 3 Z l c n l U Y X J n Z X R S b 3 c i I F Z h b H V l P S J s M S I g L z 4 8 R W 5 0 c n k g V H l w Z T 0 i R m l s b E V y c m 9 y Q 2 9 1 b n Q i I F Z h b H V l P S J s M C I g L z 4 8 R W 5 0 c n k g V H l w Z T 0 i U X V l c n l J R C I g V m F s d W U 9 I n M y Y j F j Z D g 3 N i 0 3 Y W I z L T Q 5 Z D Y t O D g 1 M y 1 m M m M 0 N D U w Y z g x Z G M i I C 8 + P E V u d H J 5 I F R 5 c G U 9 I k Z p b G x D b 3 V u d C I g V m F s d W U 9 I m w 0 M j I i I C 8 + P C 9 T d G F i b G V F b n R y a W V z P j w v S X R l b T 4 8 S X R l b T 4 8 S X R l b U x v Y 2 F 0 a W 9 u P j x J d G V t V H l w Z T 5 G b 3 J t d W x h P C 9 J d G V t V H l w Z T 4 8 S X R l b V B h d G g + U 2 V j d G l v b j E v a H J v Z C U y M E h S X 1 N 0 Y W Z m U 2 1 h b G x B c m V h J T I w K D I p L 1 N v d X J j Z T w v S X R l b V B h d G g + P C 9 J d G V t T G 9 j Y X R p b 2 4 + P F N 0 Y W J s Z U V u d H J p Z X M g L z 4 8 L 0 l 0 Z W 0 + P E l 0 Z W 0 + P E l 0 Z W 1 M b 2 N h d G l v b j 4 8 S X R l b V R 5 c G U + R m 9 y b X V s Y T w v S X R l b V R 5 c G U + P E l 0 Z W 1 Q Y X R o P l N l Y 3 R p b 2 4 x L 2 h y b 2 Q l M j B I U l 9 T d G F m Z l N t Y W x s Q X J l Y S U y M C g y K S 9 o c m 9 k X 0 h S X 1 N 0 Y W Z m U 2 1 h b G x B c m V h P C 9 J d G V t U G F 0 a D 4 8 L 0 l 0 Z W 1 M b 2 N h d G l v b j 4 8 U 3 R h Y m x l R W 5 0 c m l l c y A v P j w v S X R l b T 4 8 S X R l b T 4 8 S X R l b U x v Y 2 F 0 a W 9 u P j x J d G V t V H l w Z T 5 G b 3 J t d W x h P C 9 J d G V t V H l w Z T 4 8 S X R l b V B h d G g + U 2 V j d G l v b j E v a H J v Z C U y M E h S X 1 N 0 Y W Z m U 2 1 h b G x B c m V h J T I w K D I p L 1 N v c n R l Z C U y M F J v d 3 M 8 L 0 l 0 Z W 1 Q Y X R o P j w v S X R l b U x v Y 2 F 0 a W 9 u P j x T d G F i b G V F b n R y a W V z I C 8 + P C 9 J d G V t P j x J d G V t P j x J d G V t T G 9 j Y X R p b 2 4 + P E l 0 Z W 1 U e X B l P k Z v c m 1 1 b G E 8 L 0 l 0 Z W 1 U e X B l P j x J d G V t U G F 0 a D 5 T Z W N 0 a W 9 u M S 9 o c m 9 k J T I w S F J f R G V w Y X J 0 b W V u d F 9 I Z W F k Y 2 9 1 b n Q 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U m V s Y X R p b 2 5 z a G l w S W 5 m b 0 N v b n R h a W 5 l c i I g V m F s d W U 9 I n N 7 J n F 1 b 3 Q 7 Y 2 9 s d W 1 u Q 2 9 1 b n Q m c X V v d D s 6 M T A s J n F 1 b 3 Q 7 a 2 V 5 Q 2 9 s d W 1 u T m F t Z X M m c X V v d D s 6 W 1 0 s J n F 1 b 3 Q 7 c X V l c n l S Z W x h d G l v b n N o a X B z J n F 1 b 3 Q 7 O l t d L C Z x d W 9 0 O 2 N v b H V t b k l k Z W 5 0 a X R p Z X M m c X V v d D s 6 W y Z x d W 9 0 O 1 N l c n Z l c i 5 E Y X R h Y m F z Z V x c L z I v U 1 F M L 3 M t c 3 J z L X Y w M V x c X F x w Z H M 7 U k F Q L 2 h y b 2 Q v a H J v Z C 5 I U l 9 E Z X B h c n R t Z W 5 0 X 0 h l Y W R j b 3 V u d C 5 7 R m l z W X I s M H 0 m c X V v d D s s J n F 1 b 3 Q 7 U 2 V y d m V y L k R h d G F i Y X N l X F w v M i 9 T U U w v c y 1 z c n M t d j A x X F x c X H B k c z t S Q V A v a H J v Z C 9 o c m 9 k L k h S X 0 R l c G F y d G 1 l b n R f S G V h Z G N v d W 5 0 L n t E a X J l Y 3 R v c m F 0 Z S w x f S Z x d W 9 0 O y w m c X V v d D t T Z X J 2 Z X I u R G F 0 Y W J h c 2 V c X C 8 y L 1 N R T C 9 z L X N y c y 1 2 M D F c X F x c c G R z O 1 J B U C 9 o c m 9 k L 2 h y b 2 Q u S F J f R G V w Y X J 0 b W V u d F 9 I Z W F k Y 2 9 1 b n Q u e 1 V u a X Q s M n 0 m c X V v d D s s J n F 1 b 3 Q 7 U 2 V y d m V y L k R h d G F i Y X N l X F w v M i 9 T U U w v c y 1 z c n M t d j A x X F x c X H B k c z t S Q V A v a H J v Z C 9 o c m 9 k L k h S X 0 R l c G F y d G 1 l b n R f S G V h Z G N v d W 5 0 L n t X a G 9 s Z X R p b W U g T 3 B l c m F 0 a W 9 u Y W w s M 3 0 m c X V v d D s s J n F 1 b 3 Q 7 U 2 V y d m V y L k R h d G F i Y X N l X F w v M i 9 T U U w v c y 1 z c n M t d j A x X F x c X H B k c z t S Q V A v a H J v Z C 9 o c m 9 k L k h S X 0 R l c G F y d G 1 l b n R f S G V h Z G N v d W 5 0 L n t S Z X R h a W 5 l Z C B E d X R 5 I F N 5 c 3 R l b S w 0 f S Z x d W 9 0 O y w m c X V v d D t T Z X J 2 Z X I u R G F 0 Y W J h c 2 V c X C 8 y L 1 N R T C 9 z L X N y c y 1 2 M D F c X F x c c G R z O 1 J B U C 9 o c m 9 k L 2 h y b 2 Q u S F J f R G V w Y X J 0 b W V u d F 9 I Z W F k Y 2 9 1 b n Q u e 1 J l d G F p b m V k I E Z 1 b G w t d G l t Z S w 1 f S Z x d W 9 0 O y w m c X V v d D t T Z X J 2 Z X I u R G F 0 Y W J h c 2 V c X C 8 y L 1 N R T C 9 z L X N y c y 1 2 M D F c X F x c c G R z O 1 J B U C 9 o c m 9 k L 2 h y b 2 Q u S F J f R G V w Y X J 0 b W V u d F 9 I Z W F k Y 2 9 1 b n Q u e 0 N v b n R y b 2 w s N n 0 m c X V v d D s s J n F 1 b 3 Q 7 U 2 V y d m V y L k R h d G F i Y X N l X F w v M i 9 T U U w v c y 1 z c n M t d j A x X F x c X H B k c z t S Q V A v a H J v Z C 9 o c m 9 k L k h S X 0 R l c G F y d G 1 l b n R f S G V h Z G N v d W 5 0 L n t T d X B w b 3 J 0 L D d 9 J n F 1 b 3 Q 7 L C Z x d W 9 0 O 1 N l c n Z l c i 5 E Y X R h Y m F z Z V x c L z I v U 1 F M L 3 M t c 3 J z L X Y w M V x c X F x w Z H M 7 U k F Q L 2 h y b 2 Q v a H J v Z C 5 I U l 9 E Z X B h c n R t Z W 5 0 X 0 h l Y W R j b 3 V u d C 5 7 V m 9 s d W 5 0 Z W V y L D h 9 J n F 1 b 3 Q 7 L C Z x d W 9 0 O 1 N l c n Z l c i 5 E Y X R h Y m F z Z V x c L z I v U 1 F M L 3 M t c 3 J z L X Y w M V x c X F x w Z H M 7 U k F Q L 2 h y b 2 Q v a H J v Z C 5 I U l 9 E Z X B h c n R t Z W 5 0 X 0 h l Y W R j b 3 V u d C 5 7 V G 9 0 Y W w s O X 0 m c X V v d D t d L C Z x d W 9 0 O 0 N v b H V t b k N v d W 5 0 J n F 1 b 3 Q 7 O j E w L C Z x d W 9 0 O 0 t l e U N v b H V t b k 5 h b W V z J n F 1 b 3 Q 7 O l t d L C Z x d W 9 0 O 0 N v b H V t b k l k Z W 5 0 a X R p Z X M m c X V v d D s 6 W y Z x d W 9 0 O 1 N l c n Z l c i 5 E Y X R h Y m F z Z V x c L z I v U 1 F M L 3 M t c 3 J z L X Y w M V x c X F x w Z H M 7 U k F Q L 2 h y b 2 Q v a H J v Z C 5 I U l 9 E Z X B h c n R t Z W 5 0 X 0 h l Y W R j b 3 V u d C 5 7 R m l z W X I s M H 0 m c X V v d D s s J n F 1 b 3 Q 7 U 2 V y d m V y L k R h d G F i Y X N l X F w v M i 9 T U U w v c y 1 z c n M t d j A x X F x c X H B k c z t S Q V A v a H J v Z C 9 o c m 9 k L k h S X 0 R l c G F y d G 1 l b n R f S G V h Z G N v d W 5 0 L n t E a X J l Y 3 R v c m F 0 Z S w x f S Z x d W 9 0 O y w m c X V v d D t T Z X J 2 Z X I u R G F 0 Y W J h c 2 V c X C 8 y L 1 N R T C 9 z L X N y c y 1 2 M D F c X F x c c G R z O 1 J B U C 9 o c m 9 k L 2 h y b 2 Q u S F J f R G V w Y X J 0 b W V u d F 9 I Z W F k Y 2 9 1 b n Q u e 1 V u a X Q s M n 0 m c X V v d D s s J n F 1 b 3 Q 7 U 2 V y d m V y L k R h d G F i Y X N l X F w v M i 9 T U U w v c y 1 z c n M t d j A x X F x c X H B k c z t S Q V A v a H J v Z C 9 o c m 9 k L k h S X 0 R l c G F y d G 1 l b n R f S G V h Z G N v d W 5 0 L n t X a G 9 s Z X R p b W U g T 3 B l c m F 0 a W 9 u Y W w s M 3 0 m c X V v d D s s J n F 1 b 3 Q 7 U 2 V y d m V y L k R h d G F i Y X N l X F w v M i 9 T U U w v c y 1 z c n M t d j A x X F x c X H B k c z t S Q V A v a H J v Z C 9 o c m 9 k L k h S X 0 R l c G F y d G 1 l b n R f S G V h Z G N v d W 5 0 L n t S Z X R h a W 5 l Z C B E d X R 5 I F N 5 c 3 R l b S w 0 f S Z x d W 9 0 O y w m c X V v d D t T Z X J 2 Z X I u R G F 0 Y W J h c 2 V c X C 8 y L 1 N R T C 9 z L X N y c y 1 2 M D F c X F x c c G R z O 1 J B U C 9 o c m 9 k L 2 h y b 2 Q u S F J f R G V w Y X J 0 b W V u d F 9 I Z W F k Y 2 9 1 b n Q u e 1 J l d G F p b m V k I E Z 1 b G w t d G l t Z S w 1 f S Z x d W 9 0 O y w m c X V v d D t T Z X J 2 Z X I u R G F 0 Y W J h c 2 V c X C 8 y L 1 N R T C 9 z L X N y c y 1 2 M D F c X F x c c G R z O 1 J B U C 9 o c m 9 k L 2 h y b 2 Q u S F J f R G V w Y X J 0 b W V u d F 9 I Z W F k Y 2 9 1 b n Q u e 0 N v b n R y b 2 w s N n 0 m c X V v d D s s J n F 1 b 3 Q 7 U 2 V y d m V y L k R h d G F i Y X N l X F w v M i 9 T U U w v c y 1 z c n M t d j A x X F x c X H B k c z t S Q V A v a H J v Z C 9 o c m 9 k L k h S X 0 R l c G F y d G 1 l b n R f S G V h Z G N v d W 5 0 L n t T d X B w b 3 J 0 L D d 9 J n F 1 b 3 Q 7 L C Z x d W 9 0 O 1 N l c n Z l c i 5 E Y X R h Y m F z Z V x c L z I v U 1 F M L 3 M t c 3 J z L X Y w M V x c X F x w Z H M 7 U k F Q L 2 h y b 2 Q v a H J v Z C 5 I U l 9 E Z X B h c n R t Z W 5 0 X 0 h l Y W R j b 3 V u d C 5 7 V m 9 s d W 5 0 Z W V y L D h 9 J n F 1 b 3 Q 7 L C Z x d W 9 0 O 1 N l c n Z l c i 5 E Y X R h Y m F z Z V x c L z I v U 1 F M L 3 M t c 3 J z L X Y w M V x c X F x w Z H M 7 U k F Q L 2 h y b 2 Q v a H J v Z C 5 I U l 9 E Z X B h c n R t Z W 5 0 X 0 h l Y W R j b 3 V u d C 5 7 V G 9 0 Y W w s O X 0 m c X V v d D t d L C Z x d W 9 0 O 1 J l b G F 0 a W 9 u c 2 h p c E l u Z m 8 m c X V v d D s 6 W 1 1 9 I i A v P j x F b n R y e S B U e X B l P S J G a W x s T G F z d F V w Z G F 0 Z W Q i I F Z h b H V l P S J k M j A y M S 0 w O C 0 y M 1 Q x M D o 0 N T o w N S 4 5 O T A 4 N z A z W i I g L z 4 8 R W 5 0 c n k g V H l w Z T 0 i R m l s b E V y c m 9 y Q 2 9 k Z S I g V m F s d W U 9 I n N V b m t u b 3 d u I i A v P j x F b n R y e S B U e X B l P S J G a W x s Q 2 9 s d W 1 u T m F t Z X M i I F Z h b H V l P S J z W y Z x d W 9 0 O 0 Z p c 1 l y J n F 1 b 3 Q 7 L C Z x d W 9 0 O 0 R p c m V j d G 9 y Y X R l J n F 1 b 3 Q 7 L C Z x d W 9 0 O 1 V u a X Q m c X V v d D s s J n F 1 b 3 Q 7 V 2 h v b G V 0 a W 1 l I E 9 w Z X J h d G l v b m F s J n F 1 b 3 Q 7 L C Z x d W 9 0 O 1 J l d G F p b m V k I E R 1 d H k g U 3 l z d G V t J n F 1 b 3 Q 7 L C Z x d W 9 0 O 1 J l d G F p b m V k I E Z 1 b G w t d G l t Z S Z x d W 9 0 O y w m c X V v d D t D b 2 5 0 c m 9 s J n F 1 b 3 Q 7 L C Z x d W 9 0 O 1 N 1 c H B v c n Q m c X V v d D s s J n F 1 b 3 Q 7 V m 9 s d W 5 0 Z W V y J n F 1 b 3 Q 7 L C Z x d W 9 0 O 1 R v d G F s J n F 1 b 3 Q 7 X S I g L z 4 8 R W 5 0 c n k g V H l w Z T 0 i R m l s b E N v b H V t b l R 5 c G V z I i B W Y W x 1 Z T 0 i c 0 J n W U d B Z 0 l D Q W d J Q 0 F n P T 0 i I C 8 + P E V u d H J 5 I F R 5 c G U 9 I k Z p b G x F c n J v c k N v d W 5 0 I i B W Y W x 1 Z T 0 i b D A i I C 8 + P E V u d H J 5 I F R 5 c G U 9 I k Z p b G x D b 3 V u d C I g V m F s d W U 9 I m w 0 M y I g L z 4 8 R W 5 0 c n k g V H l w Z T 0 i R m l s b G V k Q 2 9 t c G x l d G V S Z X N 1 b H R U b 1 d v c m t z a G V l d C I g V m F s d W U 9 I m w x I i A v P j x F b n R y e S B U e X B l P S J B Z G R l Z F R v R G F 0 Y U 1 v Z G V s I i B W Y W x 1 Z T 0 i b D A i I C 8 + P E V u d H J 5 I F R 5 c G U 9 I l J l Y 2 9 2 Z X J 5 V G F y Z 2 V 0 U 2 h l Z X Q i I F Z h b H V l P S J z U 2 h l Z X Q 0 I i A v P j x F b n R y e S B U e X B l P S J S Z W N v d m V y e V R h c m d l d E N v b H V t b i I g V m F s d W U 9 I m w x I i A v P j x F b n R y e S B U e X B l P S J S Z W N v d m V y e V R h c m d l d F J v d y I g V m F s d W U 9 I m w x I i A v P j x F b n R y e S B U e X B l P S J G a W x s U 3 R h d H V z I i B W Y W x 1 Z T 0 i c 0 N v b X B s Z X R l I i A v P j x F b n R y e S B U e X B l P S J R d W V y e U l E I i B W Y W x 1 Z T 0 i c z l h N D R i N D U 5 L W E 5 Z T E t N D V h N i 0 5 Y T k w L T N j M m Q 4 M D g x O D c 3 Z S I g L z 4 8 L 1 N 0 Y W J s Z U V u d H J p Z X M + P C 9 J d G V t P j x J d G V t P j x J d G V t T G 9 j Y X R p b 2 4 + P E l 0 Z W 1 U e X B l P k Z v c m 1 1 b G E 8 L 0 l 0 Z W 1 U e X B l P j x J d G V t U G F 0 a D 5 T Z W N 0 a W 9 u M S 9 o c m 9 k J T I w S F J f R G V w Y X J 0 b W V u d F 9 I Z W F k Y 2 9 1 b n Q v U 2 9 1 c m N l P C 9 J d G V t U G F 0 a D 4 8 L 0 l 0 Z W 1 M b 2 N h d G l v b j 4 8 U 3 R h Y m x l R W 5 0 c m l l c y A v P j w v S X R l b T 4 8 S X R l b T 4 8 S X R l b U x v Y 2 F 0 a W 9 u P j x J d G V t V H l w Z T 5 G b 3 J t d W x h P C 9 J d G V t V H l w Z T 4 8 S X R l b V B h d G g + U 2 V j d G l v b j E v a H J v Z C U y M E h S X 0 R l c G F y d G 1 l b n R f S G V h Z G N v d W 5 0 L 2 h y b 2 R f S F J f R G V w Y X J 0 b W V u d F 9 I Z W F k Y 2 9 1 b n Q 8 L 0 l 0 Z W 1 Q Y X R o P j w v S X R l b U x v Y 2 F 0 a W 9 u P j x T d G F i b G V F b n R y a W V z I C 8 + P C 9 J d G V t P j x J d G V t P j x J d G V t T G 9 j Y X R p b 2 4 + P E l 0 Z W 1 U e X B l P k Z v c m 1 1 b G E 8 L 0 l 0 Z W 1 U e X B l P j x J d G V t U G F 0 a D 5 T Z W N 0 a W 9 u M S 9 o c m 9 k J T I w S F J f R G V w Y X J 0 b W V u d F 9 I Z W F k Y 2 9 1 b n Q v U 2 9 y d G V k J T I w U m 9 3 c z w v S X R l b V B h d G g + P C 9 J d G V t T G 9 j Y X R p b 2 4 + P F N 0 Y W J s Z U V u d H J p Z X M g L z 4 8 L 0 l 0 Z W 0 + P E l 0 Z W 0 + P E l 0 Z W 1 M b 2 N h d G l v b j 4 8 S X R l b V R 5 c G U + R m 9 y b X V s Y T w v S X R l b V R 5 c G U + P E l 0 Z W 1 Q Y X R o P l N l Y 3 R p b 2 4 x L 2 h y b 2 Q l M j B I U l 9 E Z X B h c n R t Z W 5 0 X 0 h l Y W R j b 3 V u d C U y M C g y K 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Q 2 9 1 b n Q i I F Z h b H V l P S J s N D M i I C 8 + P E V u d H J 5 I F R 5 c G U 9 I k Z p b G x F c n J v c k N v d W 5 0 I i B W Y W x 1 Z T 0 i b D A i I C 8 + P E V u d H J 5 I F R 5 c G U 9 I k Z p b G x D b 2 x 1 b W 5 U e X B l c y I g V m F s d W U 9 I n N C Z 1 l H Q W d J Q 0 F n S U M i I C 8 + P E V u d H J 5 I F R 5 c G U 9 I l J l b G F 0 a W 9 u c 2 h p c E l u Z m 9 D b 2 5 0 Y W l u Z X I i I F Z h b H V l P S J z e y Z x d W 9 0 O 2 N v b H V t b k N v d W 5 0 J n F 1 b 3 Q 7 O j k s J n F 1 b 3 Q 7 a 2 V 5 Q 2 9 s d W 1 u T m F t Z X M m c X V v d D s 6 W 1 0 s J n F 1 b 3 Q 7 c X V l c n l S Z W x h d G l v b n N o a X B z J n F 1 b 3 Q 7 O l t d L C Z x d W 9 0 O 2 N v b H V t b k l k Z W 5 0 a X R p Z X M m c X V v d D s 6 W y Z x d W 9 0 O 1 N l c n Z l c i 5 E Y X R h Y m F z Z V x c L z I v U 1 F M L 3 M t c 3 J z L X Y w M V x c X F x w Z H M 7 U k F Q L 2 h y b 2 Q v a H J v Z C 5 I U l 9 E Z X B h c n R t Z W 5 0 X 0 h l Y W R j b 3 V u d C 5 7 R m l z W X I s M H 0 m c X V v d D s s J n F 1 b 3 Q 7 U 2 V y d m V y L k R h d G F i Y X N l X F w v M i 9 T U U w v c y 1 z c n M t d j A x X F x c X H B k c z t S Q V A v a H J v Z C 9 o c m 9 k L k h S X 0 R l c G F y d G 1 l b n R f S G V h Z G N v d W 5 0 L n t E a X J l Y 3 R v c m F 0 Z S w x f S Z x d W 9 0 O y w m c X V v d D t T Z X J 2 Z X I u R G F 0 Y W J h c 2 V c X C 8 y L 1 N R T C 9 z L X N y c y 1 2 M D F c X F x c c G R z O 1 J B U C 9 o c m 9 k L 2 h y b 2 Q u S F J f R G V w Y X J 0 b W V u d F 9 I Z W F k Y 2 9 1 b n Q u e 1 V u a X Q s M n 0 m c X V v d D s s J n F 1 b 3 Q 7 U 2 V y d m V y L k R h d G F i Y X N l X F w v M i 9 T U U w v c y 1 z c n M t d j A x X F x c X H B k c z t S Q V A v a H J v Z C 9 o c m 9 k L k h S X 0 R l c G F y d G 1 l b n R f S G V h Z G N v d W 5 0 L n t X a G 9 s Z X R p b W U g T 3 B l c m F 0 a W 9 u Y W w s M 3 0 m c X V v d D s s J n F 1 b 3 Q 7 U 2 V y d m V y L k R h d G F i Y X N l X F w v M i 9 T U U w v c y 1 z c n M t d j A x X F x c X H B k c z t S Q V A v a H J v Z C 9 o c m 9 k L k h S X 0 R l c G F y d G 1 l b n R f S G V h Z G N v d W 5 0 L n t S Z X R h a W 5 l Z C B E d X R 5 I F N 5 c 3 R l b S w 0 f S Z x d W 9 0 O y w m c X V v d D t T Z X J 2 Z X I u R G F 0 Y W J h c 2 V c X C 8 y L 1 N R T C 9 z L X N y c y 1 2 M D F c X F x c c G R z O 1 J B U C 9 o c m 9 k L 2 h y b 2 Q u S F J f R G V w Y X J 0 b W V u d F 9 I Z W F k Y 2 9 1 b n Q u e 1 J l d G F p b m V k I E Z 1 b G w t d G l t Z S w 1 f S Z x d W 9 0 O y w m c X V v d D t T Z X J 2 Z X I u R G F 0 Y W J h c 2 V c X C 8 y L 1 N R T C 9 z L X N y c y 1 2 M D F c X F x c c G R z O 1 J B U C 9 o c m 9 k L 2 h y b 2 Q u S F J f R G V w Y X J 0 b W V u d F 9 I Z W F k Y 2 9 1 b n Q u e 0 N v b n R y b 2 w s N n 0 m c X V v d D s s J n F 1 b 3 Q 7 U 2 V y d m V y L k R h d G F i Y X N l X F w v M i 9 T U U w v c y 1 z c n M t d j A x X F x c X H B k c z t S Q V A v a H J v Z C 9 o c m 9 k L k h S X 0 R l c G F y d G 1 l b n R f S G V h Z G N v d W 5 0 L n t T d X B w b 3 J 0 L D d 9 J n F 1 b 3 Q 7 L C Z x d W 9 0 O 1 N l c n Z l c i 5 E Y X R h Y m F z Z V x c L z I v U 1 F M L 3 M t c 3 J z L X Y w M V x c X F x w Z H M 7 U k F Q L 2 h y b 2 Q v a H J v Z C 5 I U l 9 E Z X B h c n R t Z W 5 0 X 0 h l Y W R j b 3 V u d C 5 7 V m 9 s d W 5 0 Z W V y L D h 9 J n F 1 b 3 Q 7 X S w m c X V v d D t D b 2 x 1 b W 5 D b 3 V u d C Z x d W 9 0 O z o 5 L C Z x d W 9 0 O 0 t l e U N v b H V t b k 5 h b W V z J n F 1 b 3 Q 7 O l t d L C Z x d W 9 0 O 0 N v b H V t b k l k Z W 5 0 a X R p Z X M m c X V v d D s 6 W y Z x d W 9 0 O 1 N l c n Z l c i 5 E Y X R h Y m F z Z V x c L z I v U 1 F M L 3 M t c 3 J z L X Y w M V x c X F x w Z H M 7 U k F Q L 2 h y b 2 Q v a H J v Z C 5 I U l 9 E Z X B h c n R t Z W 5 0 X 0 h l Y W R j b 3 V u d C 5 7 R m l z W X I s M H 0 m c X V v d D s s J n F 1 b 3 Q 7 U 2 V y d m V y L k R h d G F i Y X N l X F w v M i 9 T U U w v c y 1 z c n M t d j A x X F x c X H B k c z t S Q V A v a H J v Z C 9 o c m 9 k L k h S X 0 R l c G F y d G 1 l b n R f S G V h Z G N v d W 5 0 L n t E a X J l Y 3 R v c m F 0 Z S w x f S Z x d W 9 0 O y w m c X V v d D t T Z X J 2 Z X I u R G F 0 Y W J h c 2 V c X C 8 y L 1 N R T C 9 z L X N y c y 1 2 M D F c X F x c c G R z O 1 J B U C 9 o c m 9 k L 2 h y b 2 Q u S F J f R G V w Y X J 0 b W V u d F 9 I Z W F k Y 2 9 1 b n Q u e 1 V u a X Q s M n 0 m c X V v d D s s J n F 1 b 3 Q 7 U 2 V y d m V y L k R h d G F i Y X N l X F w v M i 9 T U U w v c y 1 z c n M t d j A x X F x c X H B k c z t S Q V A v a H J v Z C 9 o c m 9 k L k h S X 0 R l c G F y d G 1 l b n R f S G V h Z G N v d W 5 0 L n t X a G 9 s Z X R p b W U g T 3 B l c m F 0 a W 9 u Y W w s M 3 0 m c X V v d D s s J n F 1 b 3 Q 7 U 2 V y d m V y L k R h d G F i Y X N l X F w v M i 9 T U U w v c y 1 z c n M t d j A x X F x c X H B k c z t S Q V A v a H J v Z C 9 o c m 9 k L k h S X 0 R l c G F y d G 1 l b n R f S G V h Z G N v d W 5 0 L n t S Z X R h a W 5 l Z C B E d X R 5 I F N 5 c 3 R l b S w 0 f S Z x d W 9 0 O y w m c X V v d D t T Z X J 2 Z X I u R G F 0 Y W J h c 2 V c X C 8 y L 1 N R T C 9 z L X N y c y 1 2 M D F c X F x c c G R z O 1 J B U C 9 o c m 9 k L 2 h y b 2 Q u S F J f R G V w Y X J 0 b W V u d F 9 I Z W F k Y 2 9 1 b n Q u e 1 J l d G F p b m V k I E Z 1 b G w t d G l t Z S w 1 f S Z x d W 9 0 O y w m c X V v d D t T Z X J 2 Z X I u R G F 0 Y W J h c 2 V c X C 8 y L 1 N R T C 9 z L X N y c y 1 2 M D F c X F x c c G R z O 1 J B U C 9 o c m 9 k L 2 h y b 2 Q u S F J f R G V w Y X J 0 b W V u d F 9 I Z W F k Y 2 9 1 b n Q u e 0 N v b n R y b 2 w s N n 0 m c X V v d D s s J n F 1 b 3 Q 7 U 2 V y d m V y L k R h d G F i Y X N l X F w v M i 9 T U U w v c y 1 z c n M t d j A x X F x c X H B k c z t S Q V A v a H J v Z C 9 o c m 9 k L k h S X 0 R l c G F y d G 1 l b n R f S G V h Z G N v d W 5 0 L n t T d X B w b 3 J 0 L D d 9 J n F 1 b 3 Q 7 L C Z x d W 9 0 O 1 N l c n Z l c i 5 E Y X R h Y m F z Z V x c L z I v U 1 F M L 3 M t c 3 J z L X Y w M V x c X F x w Z H M 7 U k F Q L 2 h y b 2 Q v a H J v Z C 5 I U l 9 E Z X B h c n R t Z W 5 0 X 0 h l Y W R j b 3 V u d C 5 7 V m 9 s d W 5 0 Z W V y L D h 9 J n F 1 b 3 Q 7 X S w m c X V v d D t S Z W x h d G l v b n N o a X B J b m Z v J n F 1 b 3 Q 7 O l t d f S I g L z 4 8 R W 5 0 c n k g V H l w Z T 0 i R m l s b E V y c m 9 y Q 2 9 k Z S I g V m F s d W U 9 I n N V b m t u b 3 d u I i A v P j x F b n R y e S B U e X B l P S J G a W x s T G F z d F V w Z G F 0 Z W Q i I F Z h b H V l P S J k M j A y M S 0 w O C 0 y N V Q x M z o 1 M D o y N C 4 w N j E 2 M D I x W i I g L z 4 8 R W 5 0 c n k g V H l w Z T 0 i R m l s b E N v b H V t b k 5 h b W V z I i B W Y W x 1 Z T 0 i c 1 s m c X V v d D t Z Z W F y J n F 1 b 3 Q 7 L C Z x d W 9 0 O 0 R p c m V j d G 9 y Y X R l J n F 1 b 3 Q 7 L C Z x d W 9 0 O 1 V u a X Q m c X V v d D s s J n F 1 b 3 Q 7 V 2 h v b G V 0 a W 1 l I E 9 w Z X J h d G l v b m F s J n F 1 b 3 Q 7 L C Z x d W 9 0 O 1 J l d G F p b m V k I E R 1 d H k g U 3 l z d G V t J n F 1 b 3 Q 7 L C Z x d W 9 0 O 1 J l d G F p b m V k I E Z 1 b G w t d G l t Z S Z x d W 9 0 O y w m c X V v d D t D b 2 5 0 c m 9 s J n F 1 b 3 Q 7 L C Z x d W 9 0 O 1 N 1 c H B v c n Q m c X V v d D s s J n F 1 b 3 Q 7 V m 9 s d W 5 0 Z W V y J n F 1 b 3 Q 7 X S I g L z 4 8 R W 5 0 c n k g V H l w Z T 0 i R m l s b G V k Q 2 9 t c G x l d G V S Z X N 1 b H R U b 1 d v c m t z a G V l d C I g V m F s d W U 9 I m w x I i A v P j x F b n R y e S B U e X B l P S J B Z G R l Z F R v R G F 0 Y U 1 v Z G V s I i B W Y W x 1 Z T 0 i b D A i I C 8 + P E V u d H J 5 I F R 5 c G U 9 I l J l Y 2 9 2 Z X J 5 V G F y Z 2 V 0 U m 9 3 I i B W Y W x 1 Z T 0 i b D E w I i A v P j x F b n R y e S B U e X B l P S J S Z W N v d m V y e V R h c m d l d E N v b H V t b i I g V m F s d W U 9 I m w x I i A v P j x F b n R y e S B U e X B l P S J S Z W N v d m V y e V R h c m d l d F N o Z W V 0 I i B W Y W x 1 Z T 0 i c 0 R l c G F y d G 1 l b n Q i I C 8 + P E V u d H J 5 I F R 5 c G U 9 I k Z p b G x T d G F 0 d X M i I F Z h b H V l P S J z Q 2 9 t c G x l d G U i I C 8 + P E V u d H J 5 I F R 5 c G U 9 I l F 1 Z X J 5 S U Q i I F Z h b H V l P S J z O D M 2 Y T Q 4 O W M t Y T J l Y i 0 0 Z m F j L W F i Z G U t M T l l O W V l Y T g 5 N D B j I i A v P j x F b n R y e S B U e X B l P S J G a W x s V G F y Z 2 V 0 I i B W Y W x 1 Z T 0 i c 2 h y b 2 R f S F J f R G V w Y X J 0 b W V u d F 9 I Z W F k Y 2 9 1 b n R f X z I i I C 8 + P C 9 T d G F i b G V F b n R y a W V z P j w v S X R l b T 4 8 S X R l b T 4 8 S X R l b U x v Y 2 F 0 a W 9 u P j x J d G V t V H l w Z T 5 G b 3 J t d W x h P C 9 J d G V t V H l w Z T 4 8 S X R l b V B h d G g + U 2 V j d G l v b j E v a H J v Z C U y M E h S X 0 R l c G F y d G 1 l b n R f S G V h Z G N v d W 5 0 J T I w K D I p L 1 N v d X J j Z T w v S X R l b V B h d G g + P C 9 J d G V t T G 9 j Y X R p b 2 4 + P F N 0 Y W J s Z U V u d H J p Z X M g L z 4 8 L 0 l 0 Z W 0 + P E l 0 Z W 0 + P E l 0 Z W 1 M b 2 N h d G l v b j 4 8 S X R l b V R 5 c G U + R m 9 y b X V s Y T w v S X R l b V R 5 c G U + P E l 0 Z W 1 Q Y X R o P l N l Y 3 R p b 2 4 x L 2 h y b 2 Q l M j B I U l 9 E Z X B h c n R t Z W 5 0 X 0 h l Y W R j b 3 V u d C U y M C g y K S 9 o c m 9 k X 0 h S X 0 R l c G F y d G 1 l b n R f S G V h Z G N v d W 5 0 P C 9 J d G V t U G F 0 a D 4 8 L 0 l 0 Z W 1 M b 2 N h d G l v b j 4 8 U 3 R h Y m x l R W 5 0 c m l l c y A v P j w v S X R l b T 4 8 S X R l b T 4 8 S X R l b U x v Y 2 F 0 a W 9 u P j x J d G V t V H l w Z T 5 G b 3 J t d W x h P C 9 J d G V t V H l w Z T 4 8 S X R l b V B h d G g + U 2 V j d G l v b j E v a H J v Z C U y M E h S X 0 R l c G F y d G 1 l b n R f S G V h Z G N v d W 5 0 J T I w K D I p L 1 J l b m F t Z W Q l M j B D b 2 x 1 b W 5 z P C 9 J d G V t U G F 0 a D 4 8 L 0 l 0 Z W 1 M b 2 N h d G l v b j 4 8 U 3 R h Y m x l R W 5 0 c m l l c y A v P j w v S X R l b T 4 8 S X R l b T 4 8 S X R l b U x v Y 2 F 0 a W 9 u P j x J d G V t V H l w Z T 5 G b 3 J t d W x h P C 9 J d G V t V H l w Z T 4 8 S X R l b V B h d G g + U 2 V j d G l v b j E v a H J v Z C U y M E h S X 0 R l c G F y d G 1 l b n R f S G V h Z G N v d W 5 0 J T I w K D I p L 1 N v c n R l Z C U y M F J v d 3 M 8 L 0 l 0 Z W 1 Q Y X R o P j w v S X R l b U x v Y 2 F 0 a W 9 u P j x T d G F i b G V F b n R y a W V z I C 8 + P C 9 J d G V t P j x J d G V t P j x J d G V t T G 9 j Y X R p b 2 4 + P E l 0 Z W 1 U e X B l P k Z v c m 1 1 b G E 8 L 0 l 0 Z W 1 U e X B l P j x J d G V t U G F 0 a D 5 T Z W N 0 a W 9 u M S 9 o c m 9 k J T I w S F J f R G V w Y X J 0 b W V u d F 9 G V E U 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R h c m d l d C I g V m F s d W U 9 I n N o c m 9 k X 0 h S X 0 R l c G F y d G 1 l b n R f R l R F I i A v P j x F b n R y e S B U e X B l P S J G a W x s U 3 R h d H V z I i B W Y W x 1 Z T 0 i c 0 N v b X B s Z X R l I i A v P j x F b n R y e S B U e X B l P S J G a W x s Q 2 9 1 b n Q i I F Z h b H V l P S J s N D M i I C 8 + P E V u d H J 5 I F R 5 c G U 9 I k Z p b G x F c n J v c k N v d W 5 0 I i B W Y W x 1 Z T 0 i b D A i I C 8 + P E V u d H J 5 I F R 5 c G U 9 I k Z p b G x D b 2 x 1 b W 5 U e X B l c y I g V m F s d W U 9 I n N C Z 1 l H Q l F V R k J R V T 0 i I C 8 + P E V u d H J 5 I F R 5 c G U 9 I k Z p b G x D b 2 x 1 b W 5 O Y W 1 l c y I g V m F s d W U 9 I n N b J n F 1 b 3 Q 7 W W V h c i Z x d W 9 0 O y w m c X V v d D t E a X J l Y 3 R v c m F 0 Z S Z x d W 9 0 O y w m c X V v d D t V b m l 0 J n F 1 b 3 Q 7 L C Z x d W 9 0 O 1 d o b 2 x l d G l t Z S B P c G V y Y X R p b 2 5 h b C Z x d W 9 0 O y w m c X V v d D t S Z X R h a W 5 l Z C B E d X R 5 I F N 5 c 3 R l b S Z x d W 9 0 O y w m c X V v d D t S Z X R h a W 5 l Z C B G d W x s L X R p b W U m c X V v d D s s J n F 1 b 3 Q 7 Q 2 9 u d H J v b C Z x d W 9 0 O y w m c X V v d D t T d X B w b 3 J 0 J n F 1 b 3 Q 7 X S I g L z 4 8 R W 5 0 c n k g V H l w Z T 0 i R m l s b E V y c m 9 y Q 2 9 k Z S I g V m F s d W U 9 I n N V b m t u b 3 d u I i A v P j x F b n R y e S B U e X B l P S J G a W x s Z W R D b 2 1 w b G V 0 Z V J l c 3 V s d F R v V 2 9 y a 3 N o Z W V 0 I i B W Y W x 1 Z T 0 i b D E i I C 8 + P E V u d H J 5 I F R 5 c G U 9 I k F k Z G V k V G 9 E Y X R h T W 9 k Z W w i I F Z h b H V l P S J s M C I g L z 4 8 R W 5 0 c n k g V H l w Z T 0 i U m V j b 3 Z l c n l U Y X J n Z X R T a G V l d C I g V m F s d W U 9 I n N E Z X B h c n R t Z W 5 0 I i A v P j x F b n R y e S B U e X B l P S J S Z W N v d m V y e V R h c m d l d E N v b H V t b i I g V m F s d W U 9 I m w x I i A v P j x F b n R y e S B U e X B l P S J S Z W N v d m V y e V R h c m d l d F J v d y I g V m F s d W U 9 I m w 2 N S I g L z 4 8 R W 5 0 c n k g V H l w Z T 0 i R m l s b E x h c 3 R V c G R h d G V k I i B W Y W x 1 Z T 0 i Z D I w M j E t M D g t M j V U M T M 6 N T k 6 M D k u M T I x M z E w O F o i I C 8 + P E V u d H J 5 I F R 5 c G U 9 I l J l b G F 0 a W 9 u c 2 h p c E l u Z m 9 D b 2 5 0 Y W l u Z X I i I F Z h b H V l P S J z e y Z x d W 9 0 O 2 N v b H V t b k N v d W 5 0 J n F 1 b 3 Q 7 O j g s J n F 1 b 3 Q 7 a 2 V 5 Q 2 9 s d W 1 u T m F t Z X M m c X V v d D s 6 W 1 0 s J n F 1 b 3 Q 7 c X V l c n l S Z W x h d G l v b n N o a X B z J n F 1 b 3 Q 7 O l t d L C Z x d W 9 0 O 2 N v b H V t b k l k Z W 5 0 a X R p Z X M m c X V v d D s 6 W y Z x d W 9 0 O 1 N l c n Z l c i 5 E Y X R h Y m F z Z V x c L z I v U 1 F M L 3 M t c 3 J z L X Y w M V x c X F x w Z H M 7 U k F Q L 2 h y b 2 Q v a H J v Z C 5 I U l 9 E Z X B h c n R t Z W 5 0 X 0 Z U R S 5 7 R m l z W X I s M H 0 m c X V v d D s s J n F 1 b 3 Q 7 U 2 V y d m V y L k R h d G F i Y X N l X F w v M i 9 T U U w v c y 1 z c n M t d j A x X F x c X H B k c z t S Q V A v a H J v Z C 9 o c m 9 k L k h S X 0 R l c G F y d G 1 l b n R f R l R F L n t E a X J l Y 3 R v c m F 0 Z S w x f S Z x d W 9 0 O y w m c X V v d D t T Z X J 2 Z X I u R G F 0 Y W J h c 2 V c X C 8 y L 1 N R T C 9 z L X N y c y 1 2 M D F c X F x c c G R z O 1 J B U C 9 o c m 9 k L 2 h y b 2 Q u S F J f R G V w Y X J 0 b W V u d F 9 G V E U u e 1 V u a X Q s M n 0 m c X V v d D s s J n F 1 b 3 Q 7 U 2 V y d m V y L k R h d G F i Y X N l X F w v M i 9 T U U w v c y 1 z c n M t d j A x X F x c X H B k c z t S Q V A v a H J v Z C 9 o c m 9 k L k h S X 0 R l c G F y d G 1 l b n R f R l R F L n t X a G 9 s Z X R p b W U g T 3 B l c m F 0 a W 9 u Y W w s M 3 0 m c X V v d D s s J n F 1 b 3 Q 7 U 2 V y d m V y L k R h d G F i Y X N l X F w v M i 9 T U U w v c y 1 z c n M t d j A x X F x c X H B k c z t S Q V A v a H J v Z C 9 o c m 9 k L k h S X 0 R l c G F y d G 1 l b n R f R l R F L n t S Z X R h a W 5 l Z C B E d X R 5 I F N 5 c 3 R l b S w 0 f S Z x d W 9 0 O y w m c X V v d D t T Z X J 2 Z X I u R G F 0 Y W J h c 2 V c X C 8 y L 1 N R T C 9 z L X N y c y 1 2 M D F c X F x c c G R z O 1 J B U C 9 o c m 9 k L 2 h y b 2 Q u S F J f R G V w Y X J 0 b W V u d F 9 G V E U u e 1 J l d G F p b m V k I E Z 1 b G w t d G l t Z S w 1 f S Z x d W 9 0 O y w m c X V v d D t T Z X J 2 Z X I u R G F 0 Y W J h c 2 V c X C 8 y L 1 N R T C 9 z L X N y c y 1 2 M D F c X F x c c G R z O 1 J B U C 9 o c m 9 k L 2 h y b 2 Q u S F J f R G V w Y X J 0 b W V u d F 9 G V E U u e 0 N v b n R y b 2 w s N n 0 m c X V v d D s s J n F 1 b 3 Q 7 U 2 V y d m V y L k R h d G F i Y X N l X F w v M i 9 T U U w v c y 1 z c n M t d j A x X F x c X H B k c z t S Q V A v a H J v Z C 9 o c m 9 k L k h S X 0 R l c G F y d G 1 l b n R f R l R F L n t T d X B w b 3 J 0 L D d 9 J n F 1 b 3 Q 7 X S w m c X V v d D t D b 2 x 1 b W 5 D b 3 V u d C Z x d W 9 0 O z o 4 L C Z x d W 9 0 O 0 t l e U N v b H V t b k 5 h b W V z J n F 1 b 3 Q 7 O l t d L C Z x d W 9 0 O 0 N v b H V t b k l k Z W 5 0 a X R p Z X M m c X V v d D s 6 W y Z x d W 9 0 O 1 N l c n Z l c i 5 E Y X R h Y m F z Z V x c L z I v U 1 F M L 3 M t c 3 J z L X Y w M V x c X F x w Z H M 7 U k F Q L 2 h y b 2 Q v a H J v Z C 5 I U l 9 E Z X B h c n R t Z W 5 0 X 0 Z U R S 5 7 R m l z W X I s M H 0 m c X V v d D s s J n F 1 b 3 Q 7 U 2 V y d m V y L k R h d G F i Y X N l X F w v M i 9 T U U w v c y 1 z c n M t d j A x X F x c X H B k c z t S Q V A v a H J v Z C 9 o c m 9 k L k h S X 0 R l c G F y d G 1 l b n R f R l R F L n t E a X J l Y 3 R v c m F 0 Z S w x f S Z x d W 9 0 O y w m c X V v d D t T Z X J 2 Z X I u R G F 0 Y W J h c 2 V c X C 8 y L 1 N R T C 9 z L X N y c y 1 2 M D F c X F x c c G R z O 1 J B U C 9 o c m 9 k L 2 h y b 2 Q u S F J f R G V w Y X J 0 b W V u d F 9 G V E U u e 1 V u a X Q s M n 0 m c X V v d D s s J n F 1 b 3 Q 7 U 2 V y d m V y L k R h d G F i Y X N l X F w v M i 9 T U U w v c y 1 z c n M t d j A x X F x c X H B k c z t S Q V A v a H J v Z C 9 o c m 9 k L k h S X 0 R l c G F y d G 1 l b n R f R l R F L n t X a G 9 s Z X R p b W U g T 3 B l c m F 0 a W 9 u Y W w s M 3 0 m c X V v d D s s J n F 1 b 3 Q 7 U 2 V y d m V y L k R h d G F i Y X N l X F w v M i 9 T U U w v c y 1 z c n M t d j A x X F x c X H B k c z t S Q V A v a H J v Z C 9 o c m 9 k L k h S X 0 R l c G F y d G 1 l b n R f R l R F L n t S Z X R h a W 5 l Z C B E d X R 5 I F N 5 c 3 R l b S w 0 f S Z x d W 9 0 O y w m c X V v d D t T Z X J 2 Z X I u R G F 0 Y W J h c 2 V c X C 8 y L 1 N R T C 9 z L X N y c y 1 2 M D F c X F x c c G R z O 1 J B U C 9 o c m 9 k L 2 h y b 2 Q u S F J f R G V w Y X J 0 b W V u d F 9 G V E U u e 1 J l d G F p b m V k I E Z 1 b G w t d G l t Z S w 1 f S Z x d W 9 0 O y w m c X V v d D t T Z X J 2 Z X I u R G F 0 Y W J h c 2 V c X C 8 y L 1 N R T C 9 z L X N y c y 1 2 M D F c X F x c c G R z O 1 J B U C 9 o c m 9 k L 2 h y b 2 Q u S F J f R G V w Y X J 0 b W V u d F 9 G V E U u e 0 N v b n R y b 2 w s N n 0 m c X V v d D s s J n F 1 b 3 Q 7 U 2 V y d m V y L k R h d G F i Y X N l X F w v M i 9 T U U w v c y 1 z c n M t d j A x X F x c X H B k c z t S Q V A v a H J v Z C 9 o c m 9 k L k h S X 0 R l c G F y d G 1 l b n R f R l R F L n t T d X B w b 3 J 0 L D d 9 J n F 1 b 3 Q 7 X S w m c X V v d D t S Z W x h d G l v b n N o a X B J b m Z v J n F 1 b 3 Q 7 O l t d f S I g L z 4 8 R W 5 0 c n k g V H l w Z T 0 i U X V l c n l J R C I g V m F s d W U 9 I n N l M z B i N j c w N C 0 w Z T U 5 L T Q 4 N z Q t Y T g 0 Z C 0 y O W J m M j N i Y j R h M j g i I C 8 + P C 9 T d G F i b G V F b n R y a W V z P j w v S X R l b T 4 8 S X R l b T 4 8 S X R l b U x v Y 2 F 0 a W 9 u P j x J d G V t V H l w Z T 5 G b 3 J t d W x h P C 9 J d G V t V H l w Z T 4 8 S X R l b V B h d G g + U 2 V j d G l v b j E v a H J v Z C U y M E h S X 0 R l c G F y d G 1 l b n R f R l R F L 1 N v d X J j Z T w v S X R l b V B h d G g + P C 9 J d G V t T G 9 j Y X R p b 2 4 + P F N 0 Y W J s Z U V u d H J p Z X M g L z 4 8 L 0 l 0 Z W 0 + P E l 0 Z W 0 + P E l 0 Z W 1 M b 2 N h d G l v b j 4 8 S X R l b V R 5 c G U + R m 9 y b X V s Y T w v S X R l b V R 5 c G U + P E l 0 Z W 1 Q Y X R o P l N l Y 3 R p b 2 4 x L 2 h y b 2 Q l M j B I U l 9 E Z X B h c n R t Z W 5 0 X 0 Z U R S 9 o c m 9 k X 0 h S X 0 R l c G F y d G 1 l b n R f R l R F P C 9 J d G V t U G F 0 a D 4 8 L 0 l 0 Z W 1 M b 2 N h d G l v b j 4 8 U 3 R h Y m x l R W 5 0 c m l l c y A v P j w v S X R l b T 4 8 S X R l b T 4 8 S X R l b U x v Y 2 F 0 a W 9 u P j x J d G V t V H l w Z T 5 G b 3 J t d W x h P C 9 J d G V t V H l w Z T 4 8 S X R l b V B h d G g + U 2 V j d G l v b j E v a H J v Z C U y M E h S X 0 R l c G F y d G 1 l b n R f R l R F L 1 N v c n R l Z C U y M F J v d 3 M 8 L 0 l 0 Z W 1 Q Y X R o P j w v S X R l b U x v Y 2 F 0 a W 9 u P j x T d G F i b G V F b n R y a W V z I C 8 + P C 9 J d G V t P j x J d G V t P j x J d G V t T G 9 j Y X R p b 2 4 + P E l 0 Z W 1 U e X B l P k Z v c m 1 1 b G E 8 L 0 l 0 Z W 1 U e X B l P j x J d G V t U G F 0 a D 5 T Z W N 0 a W 9 u M S 9 j c 2 V 0 J T I w S E Z T V l 9 U Z W 5 1 c m V f T 3 V 0 Y 2 9 t Z 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V G F y Z 2 V 0 I i B W Y W x 1 Z T 0 i c 2 N z Z X R f S E Z T V l 9 U Z W 5 1 c m V f T 3 V 0 Y 2 9 t Z S I g L z 4 8 R W 5 0 c n k g V H l w Z T 0 i R m l s b F N 0 Y X R 1 c y I g V m F s d W U 9 I n N D b 2 1 w b G V 0 Z S I g L z 4 8 R W 5 0 c n k g V H l w Z T 0 i R m l s b E N v d W 5 0 I i B W Y W x 1 Z T 0 i b D Y i I C 8 + P E V u d H J 5 I F R 5 c G U 9 I k Z p b G x F c n J v c k N v d W 5 0 I i B W Y W x 1 Z T 0 i b D A i I C 8 + P E V u d H J 5 I F R 5 c G U 9 I k Z p b G x D b 2 x 1 b W 5 U e X B l c y I g V m F s d W U 9 I n N C Z 1 V G Q l F V Q 0 F n P T 0 i I C 8 + P E V u d H J 5 I F R 5 c G U 9 I k Z p b G x D b 2 x 1 b W 5 O Y W 1 l c y I g V m F s d W U 9 I n N b J n F 1 b 3 Q 7 V G V u d X J l J n F 1 b 3 Q 7 L C Z x d W 9 0 O z I w M T U t M T Y m c X V v d D s s J n F 1 b 3 Q 7 M j A x N i 0 x N y Z x d W 9 0 O y w m c X V v d D s y M D E 3 L T E 4 J n F 1 b 3 Q 7 L C Z x d W 9 0 O z I w M T g t M T k m c X V v d D s s J n F 1 b 3 Q 7 M j A x O S 0 y M C Z x d W 9 0 O y w m c X V v d D s y M D I w L T I x J n F 1 b 3 Q 7 X S I g L z 4 8 R W 5 0 c n k g V H l w Z T 0 i R m l s b E V y c m 9 y Q 2 9 k Z S I g V m F s d W U 9 I n N V b m t u b 3 d u I i A v P j x F b n R y e S B U e X B l P S J G a W x s T G F z d F V w Z G F 0 Z W Q i I F Z h b H V l P S J k M j A y M S 0 w O C 0 y M 1 Q x N j o w O T o 0 M S 4 y M j c 2 M z I w W i I g L z 4 8 R W 5 0 c n k g V H l w Z T 0 i R m l s b G V k Q 2 9 t c G x l d G V S Z X N 1 b H R U b 1 d v c m t z a G V l d C I g V m F s d W U 9 I m w x I i A v P j x F b n R y e S B U e X B l P S J B Z G R l Z F R v R G F 0 Y U 1 v Z G V s I i B W Y W x 1 Z T 0 i b D A i I C 8 + P E V u d H J 5 I F R 5 c G U 9 I l J l Y 2 9 2 Z X J 5 V G F y Z 2 V 0 U 2 h l Z X Q i I F Z h b H V l P S J z V G V u d X J l I i A v P j x F b n R y e S B U e X B l P S J S Z W N v d m V y e V R h c m d l d E N v b H V t b i I g V m F s d W U 9 I m w x I i A v P j x F b n R y e S B U e X B l P S J S Z W N v d m V y e V R h c m d l d F J v d y I g V m F s d W U 9 I m w x M C I g L z 4 8 R W 5 0 c n k g V H l w Z T 0 i U m V s Y X R p b 2 5 z a G l w S W 5 m b 0 N v b n R h a W 5 l c i I g V m F s d W U 9 I n N 7 J n F 1 b 3 Q 7 Y 2 9 s d W 1 u Q 2 9 1 b n Q m c X V v d D s 6 N y w m c X V v d D t r Z X l D b 2 x 1 b W 5 O Y W 1 l c y Z x d W 9 0 O z p b X S w m c X V v d D t x d W V y e V J l b G F 0 a W 9 u c 2 h p c H M m c X V v d D s 6 W 1 0 s J n F 1 b 3 Q 7 Y 2 9 s d W 1 u S W R l b n R p d G l l c y Z x d W 9 0 O z p b J n F 1 b 3 Q 7 U 2 V y d m V y L k R h d G F i Y X N l X F w v M i 9 T U U w v c y 1 z c n M t d j A x X F x c X H B k c z t S Q V A v Y 3 N l d C 9 j c 2 V 0 L k h G U 1 Z f V G V u d X J l X 0 9 1 d G N v b W U u e 1 R l b n V y Z S w w f S Z x d W 9 0 O y w m c X V v d D t T Z X J 2 Z X I u R G F 0 Y W J h c 2 V c X C 8 y L 1 N R T C 9 z L X N y c y 1 2 M D F c X F x c c G R z O 1 J B U C 9 j c 2 V 0 L 2 N z Z X Q u S E Z T V l 9 U Z W 5 1 c m V f T 3 V 0 Y 2 9 t Z S 5 7 M j A x N S 0 x N i w x f S Z x d W 9 0 O y w m c X V v d D t T Z X J 2 Z X I u R G F 0 Y W J h c 2 V c X C 8 y L 1 N R T C 9 z L X N y c y 1 2 M D F c X F x c c G R z O 1 J B U C 9 j c 2 V 0 L 2 N z Z X Q u S E Z T V l 9 U Z W 5 1 c m V f T 3 V 0 Y 2 9 t Z S 5 7 M j A x N i 0 x N y w y f S Z x d W 9 0 O y w m c X V v d D t T Z X J 2 Z X I u R G F 0 Y W J h c 2 V c X C 8 y L 1 N R T C 9 z L X N y c y 1 2 M D F c X F x c c G R z O 1 J B U C 9 j c 2 V 0 L 2 N z Z X Q u S E Z T V l 9 U Z W 5 1 c m V f T 3 V 0 Y 2 9 t Z S 5 7 M j A x N y 0 x O C w z f S Z x d W 9 0 O y w m c X V v d D t T Z X J 2 Z X I u R G F 0 Y W J h c 2 V c X C 8 y L 1 N R T C 9 z L X N y c y 1 2 M D F c X F x c c G R z O 1 J B U C 9 j c 2 V 0 L 2 N z Z X Q u S E Z T V l 9 U Z W 5 1 c m V f T 3 V 0 Y 2 9 t Z S 5 7 M j A x O C 0 x O S w 0 f S Z x d W 9 0 O y w m c X V v d D t T Z X J 2 Z X I u R G F 0 Y W J h c 2 V c X C 8 y L 1 N R T C 9 z L X N y c y 1 2 M D F c X F x c c G R z O 1 J B U C 9 j c 2 V 0 L 2 N z Z X Q u S E Z T V l 9 U Z W 5 1 c m V f T 3 V 0 Y 2 9 t Z S 5 7 M j A x O S 0 y M C w 1 f S Z x d W 9 0 O y w m c X V v d D t T Z X J 2 Z X I u R G F 0 Y W J h c 2 V c X C 8 y L 1 N R T C 9 z L X N y c y 1 2 M D F c X F x c c G R z O 1 J B U C 9 j c 2 V 0 L 2 N z Z X Q u S E Z T V l 9 U Z W 5 1 c m V f T 3 V 0 Y 2 9 t Z S 5 7 M j A y M C 0 y M S w 2 f S Z x d W 9 0 O 1 0 s J n F 1 b 3 Q 7 Q 2 9 s d W 1 u Q 2 9 1 b n Q m c X V v d D s 6 N y w m c X V v d D t L Z X l D b 2 x 1 b W 5 O Y W 1 l c y Z x d W 9 0 O z p b X S w m c X V v d D t D b 2 x 1 b W 5 J Z G V u d G l 0 a W V z J n F 1 b 3 Q 7 O l s m c X V v d D t T Z X J 2 Z X I u R G F 0 Y W J h c 2 V c X C 8 y L 1 N R T C 9 z L X N y c y 1 2 M D F c X F x c c G R z O 1 J B U C 9 j c 2 V 0 L 2 N z Z X Q u S E Z T V l 9 U Z W 5 1 c m V f T 3 V 0 Y 2 9 t Z S 5 7 V G V u d X J l L D B 9 J n F 1 b 3 Q 7 L C Z x d W 9 0 O 1 N l c n Z l c i 5 E Y X R h Y m F z Z V x c L z I v U 1 F M L 3 M t c 3 J z L X Y w M V x c X F x w Z H M 7 U k F Q L 2 N z Z X Q v Y 3 N l d C 5 I R l N W X 1 R l b n V y Z V 9 P d X R j b 2 1 l L n s y M D E 1 L T E 2 L D F 9 J n F 1 b 3 Q 7 L C Z x d W 9 0 O 1 N l c n Z l c i 5 E Y X R h Y m F z Z V x c L z I v U 1 F M L 3 M t c 3 J z L X Y w M V x c X F x w Z H M 7 U k F Q L 2 N z Z X Q v Y 3 N l d C 5 I R l N W X 1 R l b n V y Z V 9 P d X R j b 2 1 l L n s y M D E 2 L T E 3 L D J 9 J n F 1 b 3 Q 7 L C Z x d W 9 0 O 1 N l c n Z l c i 5 E Y X R h Y m F z Z V x c L z I v U 1 F M L 3 M t c 3 J z L X Y w M V x c X F x w Z H M 7 U k F Q L 2 N z Z X Q v Y 3 N l d C 5 I R l N W X 1 R l b n V y Z V 9 P d X R j b 2 1 l L n s y M D E 3 L T E 4 L D N 9 J n F 1 b 3 Q 7 L C Z x d W 9 0 O 1 N l c n Z l c i 5 E Y X R h Y m F z Z V x c L z I v U 1 F M L 3 M t c 3 J z L X Y w M V x c X F x w Z H M 7 U k F Q L 2 N z Z X Q v Y 3 N l d C 5 I R l N W X 1 R l b n V y Z V 9 P d X R j b 2 1 l L n s y M D E 4 L T E 5 L D R 9 J n F 1 b 3 Q 7 L C Z x d W 9 0 O 1 N l c n Z l c i 5 E Y X R h Y m F z Z V x c L z I v U 1 F M L 3 M t c 3 J z L X Y w M V x c X F x w Z H M 7 U k F Q L 2 N z Z X Q v Y 3 N l d C 5 I R l N W X 1 R l b n V y Z V 9 P d X R j b 2 1 l L n s y M D E 5 L T I w L D V 9 J n F 1 b 3 Q 7 L C Z x d W 9 0 O 1 N l c n Z l c i 5 E Y X R h Y m F z Z V x c L z I v U 1 F M L 3 M t c 3 J z L X Y w M V x c X F x w Z H M 7 U k F Q L 2 N z Z X Q v Y 3 N l d C 5 I R l N W X 1 R l b n V y Z V 9 P d X R j b 2 1 l L n s y M D I w L T I x L D Z 9 J n F 1 b 3 Q 7 X S w m c X V v d D t S Z W x h d G l v b n N o a X B J b m Z v J n F 1 b 3 Q 7 O l t d f S I g L z 4 8 L 1 N 0 Y W J s Z U V u d H J p Z X M + P C 9 J d G V t P j x J d G V t P j x J d G V t T G 9 j Y X R p b 2 4 + P E l 0 Z W 1 U e X B l P k Z v c m 1 1 b G E 8 L 0 l 0 Z W 1 U e X B l P j x J d G V t U G F 0 a D 5 T Z W N 0 a W 9 u M S 9 j c 2 V 0 J T I w S E Z T V l 9 U Z W 5 1 c m V f T 3 V 0 Y 2 9 t Z S 9 T b 3 V y Y 2 U 8 L 0 l 0 Z W 1 Q Y X R o P j w v S X R l b U x v Y 2 F 0 a W 9 u P j x T d G F i b G V F b n R y a W V z I C 8 + P C 9 J d G V t P j x J d G V t P j x J d G V t T G 9 j Y X R p b 2 4 + P E l 0 Z W 1 U e X B l P k Z v c m 1 1 b G E 8 L 0 l 0 Z W 1 U e X B l P j x J d G V t U G F 0 a D 5 T Z W N 0 a W 9 u M S 9 j c 2 V 0 J T I w S E Z T V l 9 U Z W 5 1 c m V f T 3 V 0 Y 2 9 t Z S 9 j c 2 V 0 X 0 h G U 1 Z f V G V u d X J l X 0 9 1 d G N v b W U 8 L 0 l 0 Z W 1 Q Y X R o P j w v S X R l b U x v Y 2 F 0 a W 9 u P j x T d G F i b G V F b n R y a W V z I C 8 + P C 9 J d G V t P j x J d G V t P j x J d G V t T G 9 j Y X R p b 2 4 + P E l 0 Z W 1 U e X B l P k Z v c m 1 1 b G E 8 L 0 l 0 Z W 1 U e X B l P j x J d G V t U G F 0 a D 5 T Z W N 0 a W 9 u M S 9 j c 2 V 0 J T I w S E Z T V l 9 U Z W 5 1 c m V f T 3 V 0 Y 2 9 t Z S 9 T b 3 J 0 Z W Q l M j B S b 3 d z P C 9 J d G V t U G F 0 a D 4 8 L 0 l 0 Z W 1 M b 2 N h d G l v b j 4 8 U 3 R h Y m x l R W 5 0 c m l l c y A v P j w v S X R l b T 4 8 S X R l b T 4 8 S X R l b U x v Y 2 F 0 a W 9 u P j x J d G V t V H l w Z T 5 G b 3 J t d W x h P C 9 J d G V t V H l w Z T 4 8 S X R l b V B h d G g + U 2 V j d G l v b j E v a H J v Z C U y M E h S X 0 N T X 0 Z U R V 9 S b 2 x l Q X J l Y V 9 T d X B w b 3 J 0 L 1 J l c G x h Y 2 V k J T I w V m F s d W U 8 L 0 l 0 Z W 1 Q Y X R o P j w v S X R l b U x v Y 2 F 0 a W 9 u P j x T d G F i b G V F b n R y a W V z I C 8 + P C 9 J d G V t P j x J d G V t P j x J d G V t T G 9 j Y X R p b 2 4 + P E l 0 Z W 1 U e X B l P k Z v c m 1 1 b G E 8 L 0 l 0 Z W 1 U e X B l P j x J d G V t U G F 0 a D 5 T Z W N 0 a W 9 u M S 9 o c m 9 k J T I w S F J f R G V w Y X J 0 b W V u d F 9 G V E U v U 2 9 y d G V k J T I w U m 9 3 c z E 8 L 0 l 0 Z W 1 Q Y X R o P j w v S X R l b U x v Y 2 F 0 a W 9 u P j x T d G F i b G V F b n R y a W V z I C 8 + P C 9 J d G V t P j x J d G V t P j x J d G V t T G 9 j Y X R p b 2 4 + P E l 0 Z W 1 U e X B l P k Z v c m 1 1 b G E 8 L 0 l 0 Z W 1 U e X B l P j x J d G V t U G F 0 a D 5 T Z W N 0 a W 9 u M S 9 o c m 9 k J T I w S F J f R G V w Y X J 0 b W V u d F 9 G V E U v U m V u Y W 1 l Z C U y M E N v b H V t b n M 8 L 0 l 0 Z W 1 Q Y X R o P j w v S X R l b U x v Y 2 F 0 a W 9 u P j x T d G F i b G V F b n R y a W V z I C 8 + P C 9 J d G V t P j x J d G V t P j x J d G V t T G 9 j Y X R p b 2 4 + P E l 0 Z W 1 U e X B l P k Z v c m 1 1 b G E 8 L 0 l 0 Z W 1 U e X B l P j x J d G V t U G F 0 a D 5 T Z W N 0 a W 9 u M S 9 o c m 9 k J T I w S F J f R G l z Y W J p b G l 0 e V 9 L b m 9 3 b i 9 E a X Z p Z G V k J T I w Q 2 9 s d W 1 u P C 9 J d G V t U G F 0 a D 4 8 L 0 l 0 Z W 1 M b 2 N h d G l v b j 4 8 U 3 R h Y m x l R W 5 0 c m l l c y A v P j w v S X R l b T 4 8 S X R l b T 4 8 S X R l b U x v Y 2 F 0 a W 9 u P j x J d G V t V H l w Z T 5 G b 3 J t d W x h P C 9 J d G V t V H l w Z T 4 8 S X R l b V B h d G g + U 2 V j d G l v b j E v a H J v Z C U y M E h S X 0 R p c 2 F i a W x p d H l f S 2 5 v d 2 4 v R G l 2 a W R l Z C U y M E N v b H V t b j E 8 L 0 l 0 Z W 1 Q Y X R o P j w v S X R l b U x v Y 2 F 0 a W 9 u P j x T d G F i b G V F b n R y a W V z I C 8 + P C 9 J d G V t P j x J d G V t P j x J d G V t T G 9 j Y X R p b 2 4 + P E l 0 Z W 1 U e X B l P k Z v c m 1 1 b G E 8 L 0 l 0 Z W 1 U e X B l P j x J d G V t U G F 0 a D 5 T Z W N 0 a W 9 u M S 9 o c m 9 k J T I w S F J f R G l z Y W J p b G l 0 e V 9 L b m 9 3 b i 9 E a X Z p Z G V k J T I w Q 2 9 s d W 1 u M j w v S X R l b V B h d G g + P C 9 J d G V t T G 9 j Y X R p b 2 4 + P F N 0 Y W J s Z U V u d H J p Z X M g L z 4 8 L 0 l 0 Z W 0 + P E l 0 Z W 0 + P E l 0 Z W 1 M b 2 N h d G l v b j 4 8 S X R l b V R 5 c G U + R m 9 y b X V s Y T w v S X R l b V R 5 c G U + P E l 0 Z W 1 Q Y X R o P l N l Y 3 R p b 2 4 x L 2 h y b 2 Q l M j B I U l 9 E a X N h Y m l s a X R 5 X 0 t u b 3 d u L 0 R p d m l k Z W Q l M j B D b 2 x 1 b W 4 z P C 9 J d G V t U G F 0 a D 4 8 L 0 l 0 Z W 1 M b 2 N h d G l v b j 4 8 U 3 R h Y m x l R W 5 0 c m l l c y A v P j w v S X R l b T 4 8 S X R l b T 4 8 S X R l b U x v Y 2 F 0 a W 9 u P j x J d G V t V H l w Z T 5 G b 3 J t d W x h P C 9 J d G V t V H l w Z T 4 8 S X R l b V B h d G g + U 2 V j d G l v b j E v a H J v Z C U y M E h S X 0 R p c 2 F i a W x p d H l f S 2 5 v d 2 4 v R G l 2 a W R l Z C U y M E N v b H V t b j Q 8 L 0 l 0 Z W 1 Q Y X R o P j w v S X R l b U x v Y 2 F 0 a W 9 u P j x T d G F i b G V F b n R y a W V z I C 8 + P C 9 J d G V t P j x J d G V t P j x J d G V t T G 9 j Y X R p b 2 4 + P E l 0 Z W 1 U e X B l P k Z v c m 1 1 b G E 8 L 0 l 0 Z W 1 U e X B l P j x J d G V t U G F 0 a D 5 T Z W N 0 a W 9 u M S 9 o c m 9 k J T I w S F J f R G l z Y W J p b G l 0 e V 9 L b m 9 3 b i 9 E a X Z p Z G V k J T I w Q 2 9 s d W 1 u N T w v S X R l b V B h d G g + P C 9 J d G V t T G 9 j Y X R p b 2 4 + P F N 0 Y W J s Z U V u d H J p Z X M g L z 4 8 L 0 l 0 Z W 0 + P E l 0 Z W 0 + P E l 0 Z W 1 M b 2 N h d G l v b j 4 8 S X R l b V R 5 c G U + R m 9 y b X V s Y T w v S X R l b V R 5 c G U + P E l 0 Z W 1 Q Y X R o P l N l Y 3 R p b 2 4 x L 2 h y b 2 Q l M j B I U l 9 E a X N h Y m l s a X R 5 X 0 t u b 3 d u L 0 R p d m l k Z W Q l M j B D b 2 x 1 b W 4 2 P C 9 J d G V t U G F 0 a D 4 8 L 0 l 0 Z W 1 M b 2 N h d G l v b j 4 8 U 3 R h Y m x l R W 5 0 c m l l c y A v P j w v S X R l b T 4 8 S X R l b T 4 8 S X R l b U x v Y 2 F 0 a W 9 u P j x J d G V t V H l w Z T 5 G b 3 J t d W x h P C 9 J d G V t V H l w Z T 4 8 S X R l b V B h d G g + U 2 V j d G l v b j E v a H J v Z C U y M E h S X 0 R p c 2 F i a W x p d H l f S 2 5 v d 2 4 v R G l 2 a W R l Z C U y M E N v b H V t b j c 8 L 0 l 0 Z W 1 Q Y X R o P j w v S X R l b U x v Y 2 F 0 a W 9 u P j x T d G F i b G V F b n R y a W V z I C 8 + P C 9 J d G V t P j x J d G V t P j x J d G V t T G 9 j Y X R p b 2 4 + P E l 0 Z W 1 U e X B l P k Z v c m 1 1 b G E 8 L 0 l 0 Z W 1 U e X B l P j x J d G V t U G F 0 a D 5 T Z W N 0 a W 9 u M S 9 o c m 9 k J T I w S F J f R G l z Y W J p b G l 0 e V 9 O b 3 R L b m 9 3 b i 9 E a X Z p Z G V k J T I w Q 2 9 s d W 1 u P C 9 J d G V t U G F 0 a D 4 8 L 0 l 0 Z W 1 M b 2 N h d G l v b j 4 8 U 3 R h Y m x l R W 5 0 c m l l c y A v P j w v S X R l b T 4 8 S X R l b T 4 8 S X R l b U x v Y 2 F 0 a W 9 u P j x J d G V t V H l w Z T 5 G b 3 J t d W x h P C 9 J d G V t V H l w Z T 4 8 S X R l b V B h d G g + U 2 V j d G l v b j E v a H J v Z C U y M E h S X 0 R p c 2 F i a W x p d H l f T m 9 0 S 2 5 v d 2 4 v R G l 2 a W R l Z C U y M E N v b H V t b j E 8 L 0 l 0 Z W 1 Q Y X R o P j w v S X R l b U x v Y 2 F 0 a W 9 u P j x T d G F i b G V F b n R y a W V z I C 8 + P C 9 J d G V t P j x J d G V t P j x J d G V t T G 9 j Y X R p b 2 4 + P E l 0 Z W 1 U e X B l P k Z v c m 1 1 b G E 8 L 0 l 0 Z W 1 U e X B l P j x J d G V t U G F 0 a D 5 T Z W N 0 a W 9 u M S 9 o c m 9 k J T I w S F J f R G l z Y W J p b G l 0 e V 9 O b 3 R L b m 9 3 b i 9 E a X Z p Z G V k J T I w Q 2 9 s d W 1 u M j w v S X R l b V B h d G g + P C 9 J d G V t T G 9 j Y X R p b 2 4 + P F N 0 Y W J s Z U V u d H J p Z X M g L z 4 8 L 0 l 0 Z W 0 + P E l 0 Z W 0 + P E l 0 Z W 1 M b 2 N h d G l v b j 4 8 S X R l b V R 5 c G U + R m 9 y b X V s Y T w v S X R l b V R 5 c G U + P E l 0 Z W 1 Q Y X R o P l N l Y 3 R p b 2 4 x L 2 h y b 2 Q l M j B I U l 9 E a X N h Y m l s a X R 5 X 0 5 v d E t u b 3 d u L 0 R p d m l k Z W Q l M j B D b 2 x 1 b W 4 z P C 9 J d G V t U G F 0 a D 4 8 L 0 l 0 Z W 1 M b 2 N h d G l v b j 4 8 U 3 R h Y m x l R W 5 0 c m l l c y A v P j w v S X R l b T 4 8 S X R l b T 4 8 S X R l b U x v Y 2 F 0 a W 9 u P j x J d G V t V H l w Z T 5 G b 3 J t d W x h P C 9 J d G V t V H l w Z T 4 8 S X R l b V B h d G g + U 2 V j d G l v b j E v a H J v Z C U y M E h S X 0 R p c 2 F i a W x p d H l f T m 9 0 S 2 5 v d 2 4 v R G l 2 a W R l Z C U y M E N v b H V t b j Q 8 L 0 l 0 Z W 1 Q Y X R o P j w v S X R l b U x v Y 2 F 0 a W 9 u P j x T d G F i b G V F b n R y a W V z I C 8 + P C 9 J d G V t P j x J d G V t P j x J d G V t T G 9 j Y X R p b 2 4 + P E l 0 Z W 1 U e X B l P k Z v c m 1 1 b G E 8 L 0 l 0 Z W 1 U e X B l P j x J d G V t U G F 0 a D 5 T Z W N 0 a W 9 u M S 9 o c m 9 k J T I w S F J f R G l z Y W J p b G l 0 e V 9 O b 3 R L b m 9 3 b i 9 E a X Z p Z G V k J T I w Q 2 9 s d W 1 u N T w v S X R l b V B h d G g + P C 9 J d G V t T G 9 j Y X R p b 2 4 + P F N 0 Y W J s Z U V u d H J p Z X M g L z 4 8 L 0 l 0 Z W 0 + P E l 0 Z W 0 + P E l 0 Z W 1 M b 2 N h d G l v b j 4 8 S X R l b V R 5 c G U + R m 9 y b X V s Y T w v S X R l b V R 5 c G U + P E l 0 Z W 1 Q Y X R o P l N l Y 3 R p b 2 4 x L 2 h y b 2 Q l M j B I U l 9 E a X N h Y m l s a X R 5 X 0 5 v d E t u b 3 d u L 0 R p d m l k Z W Q l M j B D b 2 x 1 b W 4 2 P C 9 J d G V t U G F 0 a D 4 8 L 0 l 0 Z W 1 M b 2 N h d G l v b j 4 8 U 3 R h Y m x l R W 5 0 c m l l c y A v P j w v S X R l b T 4 8 S X R l b T 4 8 S X R l b U x v Y 2 F 0 a W 9 u P j x J d G V t V H l w Z T 5 G b 3 J t d W x h P C 9 J d G V t V H l w Z T 4 8 S X R l b V B h d G g + U 2 V j d G l v b j E v a H J v Z C U y M E h S X 0 R p c 2 F i a W x p d H l f T m 9 0 S 2 5 v d 2 4 v R G l 2 a W R l Z C U y M E N v b H V t b j c 8 L 0 l 0 Z W 1 Q Y X R o P j w v S X R l b U x v Y 2 F 0 a W 9 u P j x T d G F i b G V F b n R y a W V z I C 8 + P C 9 J d G V t P j x J d G V t P j x J d G V t T G 9 j Y X R p b 2 4 + P E l 0 Z W 1 U e X B l P k Z v c m 1 1 b G E 8 L 0 l 0 Z W 1 U e X B l P j x J d G V t U G F 0 a D 5 T Z W N 0 a W 9 u M S 9 j c 2 V 0 J T I w U G V y Y 2 V u d F 9 B Z 2 V f U H J v Z m l s Z T 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V G F y Z 2 V 0 I i B W Y W x 1 Z T 0 i c 2 N z Z X R f U G V y Y 2 V u d F 9 B Z 2 V f U H J v Z m l s Z S I g L z 4 8 R W 5 0 c n k g V H l w Z T 0 i R m l s b F N 0 Y X R 1 c y I g V m F s d W U 9 I n N D b 2 1 w b G V 0 Z S I g L z 4 8 R W 5 0 c n k g V H l w Z T 0 i R m l s b E N v d W 5 0 I i B W Y W x 1 Z T 0 i b D g i I C 8 + P E V u d H J 5 I F R 5 c G U 9 I k Z p b G x F c n J v c k N v d W 5 0 I i B W Y W x 1 Z T 0 i b D A i I C 8 + P E V u d H J 5 I F R 5 c G U 9 I k Z p b G x D b 2 x 1 b W 5 U e X B l c y I g V m F s d W U 9 I n N C Z z h Q R H c 4 U E R 3 O D 0 i I C 8 + P E V u d H J 5 I F R 5 c G U 9 I k Z p b G x D b 2 x 1 b W 5 O Y W 1 l c y I g V m F s d W U 9 I n N b J n F 1 b 3 Q 7 W W V h c i Z x d W 9 0 O y w m c X V v d D t V b m R l c i A 1 c y Z x d W 9 0 O y w m c X V v d D s 1 I H R v I D E w J n F 1 b 3 Q 7 L C Z x d W 9 0 O z E x I H R v I D E 2 J n F 1 b 3 Q 7 L C Z x d W 9 0 O z E 3 I H R v I D M w J n F 1 b 3 Q 7 L C Z x d W 9 0 O z M x I H R v I D Y w J n F 1 b 3 Q 7 L C Z x d W 9 0 O 0 9 2 Z X I g N j A m c X V v d D s s J n F 1 b 3 Q 7 Q W x s I F J l c 2 l k Z W 5 0 c y Z x d W 9 0 O 1 0 i I C 8 + P E V u d H J 5 I F R 5 c G U 9 I k Z p b G x F c n J v c k N v Z G U i I F Z h b H V l P S J z V W 5 r b m 9 3 b i I g L z 4 8 R W 5 0 c n k g V H l w Z T 0 i R m l s b E x h c 3 R V c G R h d G V k I i B W Y W x 1 Z T 0 i Z D I w M j E t M D g t M j Z U M D k 6 N D Q 6 M D Y u N z c y M j E 1 O F o i I C 8 + P E V u d H J 5 I F R 5 c G U 9 I k Z p b G x l Z E N v b X B s Z X R l U m V z d W x 0 V G 9 X b 3 J r c 2 h l Z X Q i I F Z h b H V l P S J s M S I g L z 4 8 R W 5 0 c n k g V H l w Z T 0 i Q W R k Z W R U b 0 R h d G F N b 2 R l b C I g V m F s d W U 9 I m w w I i A v P j x F b n R y e S B U e X B l P S J S Z W N v d m V y e V R h c m d l d F N o Z W V 0 I i B W Y W x 1 Z T 0 i c 1 J l c 2 l k Z W 5 0 c y I g L z 4 8 R W 5 0 c n k g V H l w Z T 0 i U m V j b 3 Z l c n l U Y X J n Z X R D b 2 x 1 b W 4 i I F Z h b H V l P S J s M S I g L z 4 8 R W 5 0 c n k g V H l w Z T 0 i U m V j b 3 Z l c n l U Y X J n Z X R S b 3 c i I F Z h b H V l P S J s N D A i I C 8 + P E V u d H J 5 I F R 5 c G U 9 I l J l b G F 0 a W 9 u c 2 h p c E l u Z m 9 D b 2 5 0 Y W l u Z X I i I F Z h b H V l P S J z e y Z x d W 9 0 O 2 N v b H V t b k N v d W 5 0 J n F 1 b 3 Q 7 O j g s J n F 1 b 3 Q 7 a 2 V 5 Q 2 9 s d W 1 u T m F t Z X M m c X V v d D s 6 W 1 0 s J n F 1 b 3 Q 7 c X V l c n l S Z W x h d G l v b n N o a X B z J n F 1 b 3 Q 7 O l t d L C Z x d W 9 0 O 2 N v b H V t b k l k Z W 5 0 a X R p Z X M m c X V v d D s 6 W y Z x d W 9 0 O 1 N l c n Z l c i 5 E Y X R h Y m F z Z V x c L z I v U 1 F M L 3 M t c 3 J z L X Y w M V x c X F x w Z H M 7 U k F Q L 2 N z Z X Q v Y 3 N l d C 5 Q Z X J j Z W 5 0 X 0 F n Z V 9 Q c m 9 m a W x l L n t Z Z W F y L D B 9 J n F 1 b 3 Q 7 L C Z x d W 9 0 O 1 N l Y 3 R p b 2 4 x L 2 N z Z X Q g U G V y Y 2 V u d F 9 B Z 2 V f U H J v Z m l s Z S 9 E a X Z p Z G V k I E N v b H V t b i 5 7 V W 5 k Z X I g N X M s M X 0 m c X V v d D s s J n F 1 b 3 Q 7 U 2 V j d G l v b j E v Y 3 N l d C B Q Z X J j Z W 5 0 X 0 F n Z V 9 Q c m 9 m a W x l L 0 R p d m l k Z W Q g Q 2 9 s d W 1 u M S 5 7 N S B 0 b y A x M C w y f S Z x d W 9 0 O y w m c X V v d D t T Z W N 0 a W 9 u M S 9 j c 2 V 0 I F B l c m N l b n R f Q W d l X 1 B y b 2 Z p b G U v R G l 2 a W R l Z C B D b 2 x 1 b W 4 y L n s x M S B 0 b y A x N i w z f S Z x d W 9 0 O y w m c X V v d D t T Z W N 0 a W 9 u M S 9 j c 2 V 0 I F B l c m N l b n R f Q W d l X 1 B y b 2 Z p b G U v R G l 2 a W R l Z C B D b 2 x 1 b W 4 z L n s x N y B 0 b y A z M C w 0 f S Z x d W 9 0 O y w m c X V v d D t T Z W N 0 a W 9 u M S 9 j c 2 V 0 I F B l c m N l b n R f Q W d l X 1 B y b 2 Z p b G U v R G l 2 a W R l Z C B D b 2 x 1 b W 4 0 L n s z M S B 0 b y A 2 M C w 1 f S Z x d W 9 0 O y w m c X V v d D t T Z W N 0 a W 9 u M S 9 j c 2 V 0 I F B l c m N l b n R f Q W d l X 1 B y b 2 Z p b G U v R G l 2 a W R l Z C B D b 2 x 1 b W 4 1 L n t P d m V y I D Y w L D Z 9 J n F 1 b 3 Q 7 L C Z x d W 9 0 O 1 N l Y 3 R p b 2 4 x L 2 N z Z X Q g U G V y Y 2 V u d F 9 B Z 2 V f U H J v Z m l s Z S 9 E a X Z p Z G V k I E N v b H V t b j Y u e 0 F s b C B S Z X N p Z G V u d H M s N 3 0 m c X V v d D t d L C Z x d W 9 0 O 0 N v b H V t b k N v d W 5 0 J n F 1 b 3 Q 7 O j g s J n F 1 b 3 Q 7 S 2 V 5 Q 2 9 s d W 1 u T m F t Z X M m c X V v d D s 6 W 1 0 s J n F 1 b 3 Q 7 Q 2 9 s d W 1 u S W R l b n R p d G l l c y Z x d W 9 0 O z p b J n F 1 b 3 Q 7 U 2 V y d m V y L k R h d G F i Y X N l X F w v M i 9 T U U w v c y 1 z c n M t d j A x X F x c X H B k c z t S Q V A v Y 3 N l d C 9 j c 2 V 0 L l B l c m N l b n R f Q W d l X 1 B y b 2 Z p b G U u e 1 l l Y X I s M H 0 m c X V v d D s s J n F 1 b 3 Q 7 U 2 V j d G l v b j E v Y 3 N l d C B Q Z X J j Z W 5 0 X 0 F n Z V 9 Q c m 9 m a W x l L 0 R p d m l k Z W Q g Q 2 9 s d W 1 u L n t V b m R l c i A 1 c y w x f S Z x d W 9 0 O y w m c X V v d D t T Z W N 0 a W 9 u M S 9 j c 2 V 0 I F B l c m N l b n R f Q W d l X 1 B y b 2 Z p b G U v R G l 2 a W R l Z C B D b 2 x 1 b W 4 x L n s 1 I H R v I D E w L D J 9 J n F 1 b 3 Q 7 L C Z x d W 9 0 O 1 N l Y 3 R p b 2 4 x L 2 N z Z X Q g U G V y Y 2 V u d F 9 B Z 2 V f U H J v Z m l s Z S 9 E a X Z p Z G V k I E N v b H V t b j I u e z E x I H R v I D E 2 L D N 9 J n F 1 b 3 Q 7 L C Z x d W 9 0 O 1 N l Y 3 R p b 2 4 x L 2 N z Z X Q g U G V y Y 2 V u d F 9 B Z 2 V f U H J v Z m l s Z S 9 E a X Z p Z G V k I E N v b H V t b j M u e z E 3 I H R v I D M w L D R 9 J n F 1 b 3 Q 7 L C Z x d W 9 0 O 1 N l Y 3 R p b 2 4 x L 2 N z Z X Q g U G V y Y 2 V u d F 9 B Z 2 V f U H J v Z m l s Z S 9 E a X Z p Z G V k I E N v b H V t b j Q u e z M x I H R v I D Y w L D V 9 J n F 1 b 3 Q 7 L C Z x d W 9 0 O 1 N l Y 3 R p b 2 4 x L 2 N z Z X Q g U G V y Y 2 V u d F 9 B Z 2 V f U H J v Z m l s Z S 9 E a X Z p Z G V k I E N v b H V t b j U u e 0 9 2 Z X I g N j A s N n 0 m c X V v d D s s J n F 1 b 3 Q 7 U 2 V j d G l v b j E v Y 3 N l d C B Q Z X J j Z W 5 0 X 0 F n Z V 9 Q c m 9 m a W x l L 0 R p d m l k Z W Q g Q 2 9 s d W 1 u N i 5 7 Q W x s I F J l c 2 l k Z W 5 0 c y w 3 f S Z x d W 9 0 O 1 0 s J n F 1 b 3 Q 7 U m V s Y X R p b 2 5 z a G l w S W 5 m b y Z x d W 9 0 O z p b X X 0 i I C 8 + P C 9 T d G F i b G V F b n R y a W V z P j w v S X R l b T 4 8 S X R l b T 4 8 S X R l b U x v Y 2 F 0 a W 9 u P j x J d G V t V H l w Z T 5 G b 3 J t d W x h P C 9 J d G V t V H l w Z T 4 8 S X R l b V B h d G g + U 2 V j d G l v b j E v Y 3 N l d C U y M F B l c m N l b n R f Q W d l X 1 B y b 2 Z p b G U v U 2 9 1 c m N l P C 9 J d G V t U G F 0 a D 4 8 L 0 l 0 Z W 1 M b 2 N h d G l v b j 4 8 U 3 R h Y m x l R W 5 0 c m l l c y A v P j w v S X R l b T 4 8 S X R l b T 4 8 S X R l b U x v Y 2 F 0 a W 9 u P j x J d G V t V H l w Z T 5 G b 3 J t d W x h P C 9 J d G V t V H l w Z T 4 8 S X R l b V B h d G g + U 2 V j d G l v b j E v Y 3 N l d C U y M F B l c m N l b n R f Q W d l X 1 B y b 2 Z p b G U v Y 3 N l d F 9 Q Z X J j Z W 5 0 X 0 F n Z V 9 Q c m 9 m a W x l P C 9 J d G V t U G F 0 a D 4 8 L 0 l 0 Z W 1 M b 2 N h d G l v b j 4 8 U 3 R h Y m x l R W 5 0 c m l l c y A v P j w v S X R l b T 4 8 S X R l b T 4 8 S X R l b U x v Y 2 F 0 a W 9 u P j x J d G V t V H l w Z T 5 G b 3 J t d W x h P C 9 J d G V t V H l w Z T 4 8 S X R l b V B h d G g + U 2 V j d G l v b j E v Y 3 N l d C U y M F B l c m N l b n R f Q W d l X 1 B y b 2 Z p b G U v R G l 2 a W R l Z C U y M E N v b H V t b j w v S X R l b V B h d G g + P C 9 J d G V t T G 9 j Y X R p b 2 4 + P F N 0 Y W J s Z U V u d H J p Z X M g L z 4 8 L 0 l 0 Z W 0 + P E l 0 Z W 0 + P E l 0 Z W 1 M b 2 N h d G l v b j 4 8 S X R l b V R 5 c G U + R m 9 y b X V s Y T w v S X R l b V R 5 c G U + P E l 0 Z W 1 Q Y X R o P l N l Y 3 R p b 2 4 x L 2 N z Z X Q l M j B Q Z X J j Z W 5 0 X 0 F n Z V 9 Q c m 9 m a W x l L 0 R p d m l k Z W Q l M j B D b 2 x 1 b W 4 x P C 9 J d G V t U G F 0 a D 4 8 L 0 l 0 Z W 1 M b 2 N h d G l v b j 4 8 U 3 R h Y m x l R W 5 0 c m l l c y A v P j w v S X R l b T 4 8 S X R l b T 4 8 S X R l b U x v Y 2 F 0 a W 9 u P j x J d G V t V H l w Z T 5 G b 3 J t d W x h P C 9 J d G V t V H l w Z T 4 8 S X R l b V B h d G g + U 2 V j d G l v b j E v Y 3 N l d C U y M F B l c m N l b n R f Q W d l X 1 B y b 2 Z p b G U v R G l 2 a W R l Z C U y M E N v b H V t b j I 8 L 0 l 0 Z W 1 Q Y X R o P j w v S X R l b U x v Y 2 F 0 a W 9 u P j x T d G F i b G V F b n R y a W V z I C 8 + P C 9 J d G V t P j x J d G V t P j x J d G V t T G 9 j Y X R p b 2 4 + P E l 0 Z W 1 U e X B l P k Z v c m 1 1 b G E 8 L 0 l 0 Z W 1 U e X B l P j x J d G V t U G F 0 a D 5 T Z W N 0 a W 9 u M S 9 j c 2 V 0 J T I w U G V y Y 2 V u d F 9 B Z 2 V f U H J v Z m l s Z S 9 E a X Z p Z G V k J T I w Q 2 9 s d W 1 u M z w v S X R l b V B h d G g + P C 9 J d G V t T G 9 j Y X R p b 2 4 + P F N 0 Y W J s Z U V u d H J p Z X M g L z 4 8 L 0 l 0 Z W 0 + P E l 0 Z W 0 + P E l 0 Z W 1 M b 2 N h d G l v b j 4 8 S X R l b V R 5 c G U + R m 9 y b X V s Y T w v S X R l b V R 5 c G U + P E l 0 Z W 1 Q Y X R o P l N l Y 3 R p b 2 4 x L 2 N z Z X Q l M j B Q Z X J j Z W 5 0 X 0 F n Z V 9 Q c m 9 m a W x l L 0 R p d m l k Z W Q l M j B D b 2 x 1 b W 4 0 P C 9 J d G V t U G F 0 a D 4 8 L 0 l 0 Z W 1 M b 2 N h d G l v b j 4 8 U 3 R h Y m x l R W 5 0 c m l l c y A v P j w v S X R l b T 4 8 S X R l b T 4 8 S X R l b U x v Y 2 F 0 a W 9 u P j x J d G V t V H l w Z T 5 G b 3 J t d W x h P C 9 J d G V t V H l w Z T 4 8 S X R l b V B h d G g + U 2 V j d G l v b j E v Y 3 N l d C U y M F B l c m N l b n R f Q W d l X 1 B y b 2 Z p b G U v R G l 2 a W R l Z C U y M E N v b H V t b j U 8 L 0 l 0 Z W 1 Q Y X R o P j w v S X R l b U x v Y 2 F 0 a W 9 u P j x T d G F i b G V F b n R y a W V z I C 8 + P C 9 J d G V t P j x J d G V t P j x J d G V t T G 9 j Y X R p b 2 4 + P E l 0 Z W 1 U e X B l P k Z v c m 1 1 b G E 8 L 0 l 0 Z W 1 U e X B l P j x J d G V t U G F 0 a D 5 T Z W N 0 a W 9 u M S 9 j c 2 V 0 J T I w U G V y Y 2 V u d F 9 B Z 2 V f U H J v Z m l s Z S 9 E a X Z p Z G V k J T I w Q 2 9 s d W 1 u N j w v S X R l b V B h d G g + P C 9 J d G V t T G 9 j Y X R p b 2 4 + P F N 0 Y W J s Z U V u d H J p Z X M g L z 4 8 L 0 l 0 Z W 0 + P E l 0 Z W 0 + P E l 0 Z W 1 M b 2 N h d G l v b j 4 8 S X R l b V R 5 c G U + R m 9 y b X V s Y T w v S X R l b V R 5 c G U + P E l 0 Z W 1 Q Y X R o P l N l Y 3 R p b 2 4 x L 2 N z Z X Q l M j B Q Z X J j Z W 5 0 X 0 F n Z V 9 Q c m 9 m a W x l L 1 N v c n R l Z C U y M F J v d 3 M 8 L 0 l 0 Z W 1 Q Y X R o P j w v S X R l b U x v Y 2 F 0 a W 9 u P j x T d G F i b G V F b n R y a W V z I C 8 + P C 9 J d G V t P j x J d G V t P j x J d G V t T G 9 j Y X R p b 2 4 + P E l 0 Z W 1 U e X B l P k Z v c m 1 1 b G E 8 L 0 l 0 Z W 1 U e X B l P j x J d G V t U G F 0 a D 5 T Z W N 0 a W 9 u M S 9 j c 2 V 0 J T I w U 0 l N R F 9 W a X N p d H N f T 2 N j d X B p Z W R E d 2 V s b G l u Z 3 M 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F N 0 Y X R 1 c y I g V m F s d W U 9 I n N D b 2 1 w b G V 0 Z S I g L z 4 8 R W 5 0 c n k g V H l w Z T 0 i R m l s b E N v d W 5 0 I i B W Y W x 1 Z T 0 i b D c i I C 8 + P E V u d H J 5 I F R 5 c G U 9 I k Z p b G x F c n J v c k N v d W 5 0 I i B W Y W x 1 Z T 0 i b D A i I C 8 + P E V u d H J 5 I F R 5 c G U 9 I k Z p b G x D b 2 x 1 b W 5 U e X B l c y I g V m F s d W U 9 I n N C Z 1 V G Q l F V R k J R P T 0 i I C 8 + P E V u d H J 5 I F R 5 c G U 9 I k Z p b G x D b 2 x 1 b W 5 O Y W 1 l c y I g V m F s d W U 9 I n N b J n F 1 b 3 Q 7 W W V h c i Z x d W 9 0 O y w m c X V v d D s x I C 0 g T W 9 z d C B E Z X B y a X Z l Z C A y M C U m c X V v d D s s J n F 1 b 3 Q 7 M i Z x d W 9 0 O y w m c X V v d D s z J n F 1 b 3 Q 7 L C Z x d W 9 0 O z Q m c X V v d D s s J n F 1 b 3 Q 7 N S A t I E x l Y X N 0 I E R l c H J p d m V k I D I w J S Z x d W 9 0 O y w m c X V v d D t B b G w g U 2 N v d G x h b m Q m c X V v d D t d I i A v P j x F b n R y e S B U e X B l P S J G a W x s R X J y b 3 J D b 2 R l I i B W Y W x 1 Z T 0 i c 1 V u a 2 5 v d 2 4 i I C 8 + P E V u d H J 5 I F R 5 c G U 9 I k Z p b G x M Y X N 0 V X B k Y X R l Z C I g V m F s d W U 9 I m Q y M D I x L T A 4 L T I 2 V D E w O j A x O j M 2 L j I x N j E x N z R a I i A v P j x F b n R y e S B U e X B l P S J G a W x s Z W R D b 2 1 w b G V 0 Z V J l c 3 V s d F R v V 2 9 y a 3 N o Z W V 0 I i B W Y W x 1 Z T 0 i b D E i I C 8 + P E V u d H J 5 I F R 5 c G U 9 I k F k Z G V k V G 9 E Y X R h T W 9 k Z W w i I F Z h b H V l P S J s M C I g L z 4 8 R W 5 0 c n k g V H l w Z T 0 i U m V j b 3 Z l c n l U Y X J n Z X R T a G V l d C I g V m F s d W U 9 I n N T a G V l d D I i I C 8 + P E V u d H J 5 I F R 5 c G U 9 I l J l Y 2 9 2 Z X J 5 V G F y Z 2 V 0 Q 2 9 s d W 1 u I i B W Y W x 1 Z T 0 i b D E i I C 8 + P E V u d H J 5 I F R 5 c G U 9 I l J l Y 2 9 2 Z X J 5 V G F y Z 2 V 0 U m 9 3 I i B W Y W x 1 Z T 0 i b D E i I C 8 + P E V u d H J 5 I F R 5 c G U 9 I l J l b G F 0 a W 9 u c 2 h p c E l u Z m 9 D b 2 5 0 Y W l u Z X I i I F Z h b H V l P S J z e y Z x d W 9 0 O 2 N v b H V t b k N v d W 5 0 J n F 1 b 3 Q 7 O j c s J n F 1 b 3 Q 7 a 2 V 5 Q 2 9 s d W 1 u T m F t Z X M m c X V v d D s 6 W 1 0 s J n F 1 b 3 Q 7 c X V l c n l S Z W x h d G l v b n N o a X B z J n F 1 b 3 Q 7 O l t d L C Z x d W 9 0 O 2 N v b H V t b k l k Z W 5 0 a X R p Z X M m c X V v d D s 6 W y Z x d W 9 0 O 1 N l c n Z l c i 5 E Y X R h Y m F z Z V x c L z I v U 1 F M L 3 M t c 3 J z L X Y w M V x c X F x w Z H M 7 U k F Q L 2 N z Z X Q v Y 3 N l d C 5 T S U 1 E X 1 Z p c 2 l 0 c 1 9 P Y 2 N 1 c G l l Z E R 3 Z W x s a W 5 n c y 5 7 W W V h c i w w f S Z x d W 9 0 O y w m c X V v d D t T Z W N 0 a W 9 u M S 9 j c 2 V 0 I F N J T U R f V m l z a X R z X 0 9 j Y 3 V w a W V k R H d l b G x p b m d z L 0 R p d m l k Z W Q g Q 2 9 s d W 1 u L n s x I C 0 g T W 9 z d C B E Z X B y a X Z l Z C A y M C U s M X 0 m c X V v d D s s J n F 1 b 3 Q 7 U 2 V j d G l v b j E v Y 3 N l d C B T S U 1 E X 1 Z p c 2 l 0 c 1 9 P Y 2 N 1 c G l l Z E R 3 Z W x s a W 5 n c y 9 E a X Z p Z G V k I E N v b H V t b j E u e z I s M n 0 m c X V v d D s s J n F 1 b 3 Q 7 U 2 V j d G l v b j E v Y 3 N l d C B T S U 1 E X 1 Z p c 2 l 0 c 1 9 P Y 2 N 1 c G l l Z E R 3 Z W x s a W 5 n c y 9 E a X Z p Z G V k I E N v b H V t b j I u e z M s M 3 0 m c X V v d D s s J n F 1 b 3 Q 7 U 2 V j d G l v b j E v Y 3 N l d C B T S U 1 E X 1 Z p c 2 l 0 c 1 9 P Y 2 N 1 c G l l Z E R 3 Z W x s a W 5 n c y 9 E a X Z p Z G V k I E N v b H V t b j M u e z Q s N H 0 m c X V v d D s s J n F 1 b 3 Q 7 U 2 V j d G l v b j E v Y 3 N l d C B T S U 1 E X 1 Z p c 2 l 0 c 1 9 P Y 2 N 1 c G l l Z E R 3 Z W x s a W 5 n c y 9 E a X Z p Z G V k I E N v b H V t b j Q u e z U g L S B M Z W F z d C B E Z X B y a X Z l Z C A y M C U s N X 0 m c X V v d D s s J n F 1 b 3 Q 7 U 2 V j d G l v b j E v Y 3 N l d C B T S U 1 E X 1 Z p c 2 l 0 c 1 9 P Y 2 N 1 c G l l Z E R 3 Z W x s a W 5 n c y 9 E a X Z p Z G V k I E N v b H V t b j U u e 0 F s b C B T Y 2 9 0 b G F u Z C w 2 f S Z x d W 9 0 O 1 0 s J n F 1 b 3 Q 7 Q 2 9 s d W 1 u Q 2 9 1 b n Q m c X V v d D s 6 N y w m c X V v d D t L Z X l D b 2 x 1 b W 5 O Y W 1 l c y Z x d W 9 0 O z p b X S w m c X V v d D t D b 2 x 1 b W 5 J Z G V u d G l 0 a W V z J n F 1 b 3 Q 7 O l s m c X V v d D t T Z X J 2 Z X I u R G F 0 Y W J h c 2 V c X C 8 y L 1 N R T C 9 z L X N y c y 1 2 M D F c X F x c c G R z O 1 J B U C 9 j c 2 V 0 L 2 N z Z X Q u U 0 l N R F 9 W a X N p d H N f T 2 N j d X B p Z W R E d 2 V s b G l u Z 3 M u e 1 l l Y X I s M H 0 m c X V v d D s s J n F 1 b 3 Q 7 U 2 V j d G l v b j E v Y 3 N l d C B T S U 1 E X 1 Z p c 2 l 0 c 1 9 P Y 2 N 1 c G l l Z E R 3 Z W x s a W 5 n c y 9 E a X Z p Z G V k I E N v b H V t b i 5 7 M S A t I E 1 v c 3 Q g R G V w c m l 2 Z W Q g M j A l L D F 9 J n F 1 b 3 Q 7 L C Z x d W 9 0 O 1 N l Y 3 R p b 2 4 x L 2 N z Z X Q g U 0 l N R F 9 W a X N p d H N f T 2 N j d X B p Z W R E d 2 V s b G l u Z 3 M v R G l 2 a W R l Z C B D b 2 x 1 b W 4 x L n s y L D J 9 J n F 1 b 3 Q 7 L C Z x d W 9 0 O 1 N l Y 3 R p b 2 4 x L 2 N z Z X Q g U 0 l N R F 9 W a X N p d H N f T 2 N j d X B p Z W R E d 2 V s b G l u Z 3 M v R G l 2 a W R l Z C B D b 2 x 1 b W 4 y L n s z L D N 9 J n F 1 b 3 Q 7 L C Z x d W 9 0 O 1 N l Y 3 R p b 2 4 x L 2 N z Z X Q g U 0 l N R F 9 W a X N p d H N f T 2 N j d X B p Z W R E d 2 V s b G l u Z 3 M v R G l 2 a W R l Z C B D b 2 x 1 b W 4 z L n s 0 L D R 9 J n F 1 b 3 Q 7 L C Z x d W 9 0 O 1 N l Y 3 R p b 2 4 x L 2 N z Z X Q g U 0 l N R F 9 W a X N p d H N f T 2 N j d X B p Z W R E d 2 V s b G l u Z 3 M v R G l 2 a W R l Z C B D b 2 x 1 b W 4 0 L n s 1 I C 0 g T G V h c 3 Q g R G V w c m l 2 Z W Q g M j A l L D V 9 J n F 1 b 3 Q 7 L C Z x d W 9 0 O 1 N l Y 3 R p b 2 4 x L 2 N z Z X Q g U 0 l N R F 9 W a X N p d H N f T 2 N j d X B p Z W R E d 2 V s b G l u Z 3 M v R G l 2 a W R l Z C B D b 2 x 1 b W 4 1 L n t B b G w g U 2 N v d G x h b m Q s N n 0 m c X V v d D t d L C Z x d W 9 0 O 1 J l b G F 0 a W 9 u c 2 h p c E l u Z m 8 m c X V v d D s 6 W 1 1 9 I i A v P j w v U 3 R h Y m x l R W 5 0 c m l l c z 4 8 L 0 l 0 Z W 0 + P E l 0 Z W 0 + P E l 0 Z W 1 M b 2 N h d G l v b j 4 8 S X R l b V R 5 c G U + R m 9 y b X V s Y T w v S X R l b V R 5 c G U + P E l 0 Z W 1 Q Y X R o P l N l Y 3 R p b 2 4 x L 2 N z Z X Q l M j B T S U 1 E X 1 Z p c 2 l 0 c 1 9 P Y 2 N 1 c G l l Z E R 3 Z W x s a W 5 n c y 9 T b 3 V y Y 2 U 8 L 0 l 0 Z W 1 Q Y X R o P j w v S X R l b U x v Y 2 F 0 a W 9 u P j x T d G F i b G V F b n R y a W V z I C 8 + P C 9 J d G V t P j x J d G V t P j x J d G V t T G 9 j Y X R p b 2 4 + P E l 0 Z W 1 U e X B l P k Z v c m 1 1 b G E 8 L 0 l 0 Z W 1 U e X B l P j x J d G V t U G F 0 a D 5 T Z W N 0 a W 9 u M S 9 j c 2 V 0 J T I w U 0 l N R F 9 W a X N p d H N f T 2 N j d X B p Z W R E d 2 V s b G l u Z 3 M v Y 3 N l d F 9 T S U 1 E X 1 Z p c 2 l 0 c 1 9 P Y 2 N 1 c G l l Z E R 3 Z W x s a W 5 n c z w v S X R l b V B h d G g + P C 9 J d G V t T G 9 j Y X R p b 2 4 + P F N 0 Y W J s Z U V u d H J p Z X M g L z 4 8 L 0 l 0 Z W 0 + P E l 0 Z W 0 + P E l 0 Z W 1 M b 2 N h d G l v b j 4 8 S X R l b V R 5 c G U + R m 9 y b X V s Y T w v S X R l b V R 5 c G U + P E l 0 Z W 1 Q Y X R o P l N l Y 3 R p b 2 4 x L 2 N z Z X Q l M j B T S U 1 E X 1 Z p c 2 l 0 c 1 9 P Y 2 N 1 c G l l Z E R 3 Z W x s a W 5 n c y 9 T b 3 J 0 Z W Q l M j B S b 3 d z P C 9 J d G V t U G F 0 a D 4 8 L 0 l 0 Z W 1 M b 2 N h d G l v b j 4 8 U 3 R h Y m x l R W 5 0 c m l l c y A v P j w v S X R l b T 4 8 S X R l b T 4 8 S X R l b U x v Y 2 F 0 a W 9 u P j x J d G V t V H l w Z T 5 G b 3 J t d W x h P C 9 J d G V t V H l w Z T 4 8 S X R l b V B h d G g + U 2 V j d G l v b j E v Y 3 N l d C U y M F N J T U R f V m l z a X R z X 0 9 j Y 3 V w a W V k R H d l b G x p b m d z L 1 J l b W 9 2 Z W Q l M j B U b 3 A l M j B S b 3 d z P C 9 J d G V t U G F 0 a D 4 8 L 0 l 0 Z W 1 M b 2 N h d G l v b j 4 8 U 3 R h Y m x l R W 5 0 c m l l c y A v P j w v S X R l b T 4 8 S X R l b T 4 8 S X R l b U x v Y 2 F 0 a W 9 u P j x J d G V t V H l w Z T 5 G b 3 J t d W x h P C 9 J d G V t V H l w Z T 4 8 S X R l b V B h d G g + U 2 V j d G l v b j E v Y 3 N l d C U y M F N J T U R f V m l z a X R z X 0 9 j Y 3 V w a W V k R H d l b G x p b m d z L 0 R p d m l k Z W Q l M j B D b 2 x 1 b W 4 8 L 0 l 0 Z W 1 Q Y X R o P j w v S X R l b U x v Y 2 F 0 a W 9 u P j x T d G F i b G V F b n R y a W V z I C 8 + P C 9 J d G V t P j x J d G V t P j x J d G V t T G 9 j Y X R p b 2 4 + P E l 0 Z W 1 U e X B l P k Z v c m 1 1 b G E 8 L 0 l 0 Z W 1 U e X B l P j x J d G V t U G F 0 a D 5 T Z W N 0 a W 9 u M S 9 j c 2 V 0 J T I w U 0 l N R F 9 W a X N p d H N f T 2 N j d X B p Z W R E d 2 V s b G l u Z 3 M v R G l 2 a W R l Z C U y M E N v b H V t b j E 8 L 0 l 0 Z W 1 Q Y X R o P j w v S X R l b U x v Y 2 F 0 a W 9 u P j x T d G F i b G V F b n R y a W V z I C 8 + P C 9 J d G V t P j x J d G V t P j x J d G V t T G 9 j Y X R p b 2 4 + P E l 0 Z W 1 U e X B l P k Z v c m 1 1 b G E 8 L 0 l 0 Z W 1 U e X B l P j x J d G V t U G F 0 a D 5 T Z W N 0 a W 9 u M S 9 j c 2 V 0 J T I w U 0 l N R F 9 W a X N p d H N f T 2 N j d X B p Z W R E d 2 V s b G l u Z 3 M v R G l 2 a W R l Z C U y M E N v b H V t b j I 8 L 0 l 0 Z W 1 Q Y X R o P j w v S X R l b U x v Y 2 F 0 a W 9 u P j x T d G F i b G V F b n R y a W V z I C 8 + P C 9 J d G V t P j x J d G V t P j x J d G V t T G 9 j Y X R p b 2 4 + P E l 0 Z W 1 U e X B l P k Z v c m 1 1 b G E 8 L 0 l 0 Z W 1 U e X B l P j x J d G V t U G F 0 a D 5 T Z W N 0 a W 9 u M S 9 j c 2 V 0 J T I w U 0 l N R F 9 W a X N p d H N f T 2 N j d X B p Z W R E d 2 V s b G l u Z 3 M v R G l 2 a W R l Z C U y M E N v b H V t b j M 8 L 0 l 0 Z W 1 Q Y X R o P j w v S X R l b U x v Y 2 F 0 a W 9 u P j x T d G F i b G V F b n R y a W V z I C 8 + P C 9 J d G V t P j x J d G V t P j x J d G V t T G 9 j Y X R p b 2 4 + P E l 0 Z W 1 U e X B l P k Z v c m 1 1 b G E 8 L 0 l 0 Z W 1 U e X B l P j x J d G V t U G F 0 a D 5 T Z W N 0 a W 9 u M S 9 j c 2 V 0 J T I w U 0 l N R F 9 W a X N p d H N f T 2 N j d X B p Z W R E d 2 V s b G l u Z 3 M v R G l 2 a W R l Z C U y M E N v b H V t b j Q 8 L 0 l 0 Z W 1 Q Y X R o P j w v S X R l b U x v Y 2 F 0 a W 9 u P j x T d G F i b G V F b n R y a W V z I C 8 + P C 9 J d G V t P j x J d G V t P j x J d G V t T G 9 j Y X R p b 2 4 + P E l 0 Z W 1 U e X B l P k Z v c m 1 1 b G E 8 L 0 l 0 Z W 1 U e X B l P j x J d G V t U G F 0 a D 5 T Z W N 0 a W 9 u M S 9 j c 2 V 0 J T I w U 0 l N R F 9 W a X N p d H N f T 2 N j d X B p Z W R E d 2 V s b G l u Z 3 M v R G l 2 a W R l Z C U y M E N v b H V t b j U 8 L 0 l 0 Z W 1 Q Y X R o P j w v S X R l b U x v Y 2 F 0 a W 9 u P j x T d G F i b G V F b n R y a W V z I C 8 + P C 9 J d G V t P j x J d G V t P j x J d G V t T G 9 j Y X R p b 2 4 + P E l 0 Z W 1 U e X B l P k Z v c m 1 1 b G E 8 L 0 l 0 Z W 1 U e X B l P j x J d G V t U G F 0 a D 5 T Z W N 0 a W 9 u M S 9 j c 2 V 0 J T I w U 0 l N R F 9 W a X N p d H N f T 2 N j d X B p Z W R E d 2 V s b G l u Z 3 M 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R m l s b F R h c m d l d C I g V m F s d W U 9 I n N j c 2 V 0 X 1 N J T U R f V m l z a X R z X 0 9 j Y 3 V w a W V k R H d l b G x p b m d z M T A i I C 8 + P E V u d H J 5 I F R 5 c G U 9 I k Z p b G x T d G F 0 d X M i I F Z h b H V l P S J z Q 2 9 t c G x l d G U i I C 8 + P E V u d H J 5 I F R 5 c G U 9 I k Z p b G x D b 3 V u d C I g V m F s d W U 9 I m w 3 I i A v P j x F b n R y e S B U e X B l P S J G a W x s R X J y b 3 J D b 3 V u d C I g V m F s d W U 9 I m w w I i A v P j x F b n R y e S B U e X B l P S J G a W x s Q 2 9 s d W 1 u V H l w Z X M i I F Z h b H V l P S J z Q m d V R k J R V U Z C U T 0 9 I i A v P j x F b n R y e S B U e X B l P S J G a W x s Q 2 9 s d W 1 u T m F t Z X M i I F Z h b H V l P S J z W y Z x d W 9 0 O 1 l l Y X I m c X V v d D s s J n F 1 b 3 Q 7 M S A t I E 1 v c 3 Q g R G V w c m l 2 Z W Q g M j A l J n F 1 b 3 Q 7 L C Z x d W 9 0 O z I m c X V v d D s s J n F 1 b 3 Q 7 M y Z x d W 9 0 O y w m c X V v d D s 0 J n F 1 b 3 Q 7 L C Z x d W 9 0 O z U g L S B M Z W F z d C B E Z X B y a X Z l Z C A y M C U m c X V v d D s s J n F 1 b 3 Q 7 Q W x s I F N j b 3 R s Y W 5 k J n F 1 b 3 Q 7 X S I g L z 4 8 R W 5 0 c n k g V H l w Z T 0 i R m l s b E V y c m 9 y Q 2 9 k Z S I g V m F s d W U 9 I n N V b m t u b 3 d u I i A v P j x F b n R y e S B U e X B l P S J G a W x s T G F z d F V w Z G F 0 Z W Q i I F Z h b H V l P S J k M j A y M S 0 w O C 0 y N l Q x M D o w M T o z N i 4 y M T Y x M T c 0 W i I g L z 4 8 R W 5 0 c n k g V H l w Z T 0 i R m l s b G V k Q 2 9 t c G x l d G V S Z X N 1 b H R U b 1 d v c m t z a G V l d C I g V m F s d W U 9 I m w x I i A v P j x F b n R y e S B U e X B l P S J B Z G R l Z F R v R G F 0 Y U 1 v Z G V s I i B W Y W x 1 Z T 0 i b D A i I C 8 + P E V u d H J 5 I F R 5 c G U 9 I l J l Y 2 9 2 Z X J 5 V G F y Z 2 V 0 U 2 h l Z X Q i I F Z h b H V l P S J z U 2 h l Z X Q y I i A v P j x F b n R y e S B U e X B l P S J S Z W N v d m V y e V R h c m d l d E N v b H V t b i I g V m F s d W U 9 I m w x I i A v P j x F b n R y e S B U e X B l P S J S Z W N v d m V y e V R h c m d l d F J v d y I g V m F s d W U 9 I m w x I i A v P j x F b n R y e S B U e X B l P S J S Z W x h d G l v b n N o a X B J b m Z v Q 2 9 u d G F p b m V y I i B W Y W x 1 Z T 0 i c 3 s m c X V v d D t j b 2 x 1 b W 5 D b 3 V u d C Z x d W 9 0 O z o 3 L C Z x d W 9 0 O 2 t l e U N v b H V t b k 5 h b W V z J n F 1 b 3 Q 7 O l t d L C Z x d W 9 0 O 3 F 1 Z X J 5 U m V s Y X R p b 2 5 z a G l w c y Z x d W 9 0 O z p b X S w m c X V v d D t j b 2 x 1 b W 5 J Z G V u d G l 0 a W V z J n F 1 b 3 Q 7 O l s m c X V v d D t T Z X J 2 Z X I u R G F 0 Y W J h c 2 V c X C 8 y L 1 N R T C 9 z L X N y c y 1 2 M D F c X F x c c G R z O 1 J B U C 9 j c 2 V 0 L 2 N z Z X Q u U 0 l N R F 9 W a X N p d H N f T 2 N j d X B p Z W R E d 2 V s b G l u Z 3 M u e 1 l l Y X I s M H 0 m c X V v d D s s J n F 1 b 3 Q 7 U 2 V j d G l v b j E v Y 3 N l d C B T S U 1 E X 1 Z p c 2 l 0 c 1 9 P Y 2 N 1 c G l l Z E R 3 Z W x s a W 5 n c y 9 E a X Z p Z G V k I E N v b H V t b i 5 7 M S A t I E 1 v c 3 Q g R G V w c m l 2 Z W Q g M j A l L D F 9 J n F 1 b 3 Q 7 L C Z x d W 9 0 O 1 N l Y 3 R p b 2 4 x L 2 N z Z X Q g U 0 l N R F 9 W a X N p d H N f T 2 N j d X B p Z W R E d 2 V s b G l u Z 3 M v R G l 2 a W R l Z C B D b 2 x 1 b W 4 x L n s y L D J 9 J n F 1 b 3 Q 7 L C Z x d W 9 0 O 1 N l Y 3 R p b 2 4 x L 2 N z Z X Q g U 0 l N R F 9 W a X N p d H N f T 2 N j d X B p Z W R E d 2 V s b G l u Z 3 M v R G l 2 a W R l Z C B D b 2 x 1 b W 4 y L n s z L D N 9 J n F 1 b 3 Q 7 L C Z x d W 9 0 O 1 N l Y 3 R p b 2 4 x L 2 N z Z X Q g U 0 l N R F 9 W a X N p d H N f T 2 N j d X B p Z W R E d 2 V s b G l u Z 3 M v R G l 2 a W R l Z C B D b 2 x 1 b W 4 z L n s 0 L D R 9 J n F 1 b 3 Q 7 L C Z x d W 9 0 O 1 N l Y 3 R p b 2 4 x L 2 N z Z X Q g U 0 l N R F 9 W a X N p d H N f T 2 N j d X B p Z W R E d 2 V s b G l u Z 3 M v R G l 2 a W R l Z C B D b 2 x 1 b W 4 0 L n s 1 I C 0 g T G V h c 3 Q g R G V w c m l 2 Z W Q g M j A l L D V 9 J n F 1 b 3 Q 7 L C Z x d W 9 0 O 1 N l Y 3 R p b 2 4 x L 2 N z Z X Q g U 0 l N R F 9 W a X N p d H N f T 2 N j d X B p Z W R E d 2 V s b G l u Z 3 M v R G l 2 a W R l Z C B D b 2 x 1 b W 4 1 L n t B b G w g U 2 N v d G x h b m Q s N n 0 m c X V v d D t d L C Z x d W 9 0 O 0 N v b H V t b k N v d W 5 0 J n F 1 b 3 Q 7 O j c s J n F 1 b 3 Q 7 S 2 V 5 Q 2 9 s d W 1 u T m F t Z X M m c X V v d D s 6 W 1 0 s J n F 1 b 3 Q 7 Q 2 9 s d W 1 u S W R l b n R p d G l l c y Z x d W 9 0 O z p b J n F 1 b 3 Q 7 U 2 V y d m V y L k R h d G F i Y X N l X F w v M i 9 T U U w v c y 1 z c n M t d j A x X F x c X H B k c z t S Q V A v Y 3 N l d C 9 j c 2 V 0 L l N J T U R f V m l z a X R z X 0 9 j Y 3 V w a W V k R H d l b G x p b m d z L n t Z Z W F y L D B 9 J n F 1 b 3 Q 7 L C Z x d W 9 0 O 1 N l Y 3 R p b 2 4 x L 2 N z Z X Q g U 0 l N R F 9 W a X N p d H N f T 2 N j d X B p Z W R E d 2 V s b G l u Z 3 M v R G l 2 a W R l Z C B D b 2 x 1 b W 4 u e z E g L S B N b 3 N 0 I E R l c H J p d m V k I D I w J S w x f S Z x d W 9 0 O y w m c X V v d D t T Z W N 0 a W 9 u M S 9 j c 2 V 0 I F N J T U R f V m l z a X R z X 0 9 j Y 3 V w a W V k R H d l b G x p b m d z L 0 R p d m l k Z W Q g Q 2 9 s d W 1 u M S 5 7 M i w y f S Z x d W 9 0 O y w m c X V v d D t T Z W N 0 a W 9 u M S 9 j c 2 V 0 I F N J T U R f V m l z a X R z X 0 9 j Y 3 V w a W V k R H d l b G x p b m d z L 0 R p d m l k Z W Q g Q 2 9 s d W 1 u M i 5 7 M y w z f S Z x d W 9 0 O y w m c X V v d D t T Z W N 0 a W 9 u M S 9 j c 2 V 0 I F N J T U R f V m l z a X R z X 0 9 j Y 3 V w a W V k R H d l b G x p b m d z L 0 R p d m l k Z W Q g Q 2 9 s d W 1 u M y 5 7 N C w 0 f S Z x d W 9 0 O y w m c X V v d D t T Z W N 0 a W 9 u M S 9 j c 2 V 0 I F N J T U R f V m l z a X R z X 0 9 j Y 3 V w a W V k R H d l b G x p b m d z L 0 R p d m l k Z W Q g Q 2 9 s d W 1 u N C 5 7 N S A t I E x l Y X N 0 I E R l c H J p d m V k I D I w J S w 1 f S Z x d W 9 0 O y w m c X V v d D t T Z W N 0 a W 9 u M S 9 j c 2 V 0 I F N J T U R f V m l z a X R z X 0 9 j Y 3 V w a W V k R H d l b G x p b m d z L 0 R p d m l k Z W Q g Q 2 9 s d W 1 u N S 5 7 Q W x s I F N j b 3 R s Y W 5 k L D Z 9 J n F 1 b 3 Q 7 X S w m c X V v d D t S Z W x h d G l v b n N o a X B J b m Z v J n F 1 b 3 Q 7 O l t d f S I g L z 4 8 R W 5 0 c n k g V H l w Z T 0 i T G 9 h Z G V k V G 9 B b m F s e X N p c 1 N l c n Z p Y 2 V z I i B W Y W x 1 Z T 0 i b D A i I C 8 + P C 9 T d G F i b G V F b n R y a W V z P j w v S X R l b T 4 8 S X R l b T 4 8 S X R l b U x v Y 2 F 0 a W 9 u P j x J d G V t V H l w Z T 5 G b 3 J t d W x h P C 9 J d G V t V H l w Z T 4 8 S X R l b V B h d G g + U 2 V j d G l v b j E v Y 3 N l d C U y M F N J T U R f V m l z a X R z X 0 9 j Y 3 V w a W V k R H d l b G x p b m d z J T I w K D I p L 1 N v d X J j Z T w v S X R l b V B h d G g + P C 9 J d G V t T G 9 j Y X R p b 2 4 + P F N 0 Y W J s Z U V u d H J p Z X M g L z 4 8 L 0 l 0 Z W 0 + P E l 0 Z W 0 + P E l 0 Z W 1 M b 2 N h d G l v b j 4 8 S X R l b V R 5 c G U + R m 9 y b X V s Y T w v S X R l b V R 5 c G U + P E l 0 Z W 1 Q Y X R o P l N l Y 3 R p b 2 4 x L 2 N z Z X Q l M j B T S U 1 E X 1 Z p c 2 l 0 c 1 9 P Y 2 N 1 c G l l Z E R 3 Z W x s a W 5 n c y U y M C g y K S 9 j c 2 V 0 X 1 N J T U R f V m l z a X R z X 0 9 j Y 3 V w a W V k R H d l b G x p b m d z P C 9 J d G V t U G F 0 a D 4 8 L 0 l 0 Z W 1 M b 2 N h d G l v b j 4 8 U 3 R h Y m x l R W 5 0 c m l l c y A v P j w v S X R l b T 4 8 S X R l b T 4 8 S X R l b U x v Y 2 F 0 a W 9 u P j x J d G V t V H l w Z T 5 G b 3 J t d W x h P C 9 J d G V t V H l w Z T 4 8 S X R l b V B h d G g + U 2 V j d G l v b j E v Y 3 N l d C U y M F N J T U R f V m l z a X R z X 0 9 j Y 3 V w a W V k R H d l b G x p b m d z J T I w K D I p L 1 N v c n R l Z C U y M F J v d 3 M 8 L 0 l 0 Z W 1 Q Y X R o P j w v S X R l b U x v Y 2 F 0 a W 9 u P j x T d G F i b G V F b n R y a W V z I C 8 + P C 9 J d G V t P j x J d G V t P j x J d G V t T G 9 j Y X R p b 2 4 + P E l 0 Z W 1 U e X B l P k Z v c m 1 1 b G E 8 L 0 l 0 Z W 1 U e X B l P j x J d G V t U G F 0 a D 5 T Z W N 0 a W 9 u M S 9 j c 2 V 0 J T I w U 0 l N R F 9 W a X N p d H N f T 2 N j d X B p Z W R E d 2 V s b G l u Z 3 M l M j A o M i k v U m V t b 3 Z l Z C U y M F R v c C U y M F J v d 3 M 8 L 0 l 0 Z W 1 Q Y X R o P j w v S X R l b U x v Y 2 F 0 a W 9 u P j x T d G F i b G V F b n R y a W V z I C 8 + P C 9 J d G V t P j x J d G V t P j x J d G V t T G 9 j Y X R p b 2 4 + P E l 0 Z W 1 U e X B l P k Z v c m 1 1 b G E 8 L 0 l 0 Z W 1 U e X B l P j x J d G V t U G F 0 a D 5 T Z W N 0 a W 9 u M S 9 j c 2 V 0 J T I w U 0 l N R F 9 W a X N p d H N f T 2 N j d X B p Z W R E d 2 V s b G l u Z 3 M l M j A o M i k v R G l 2 a W R l Z C U y M E N v b H V t b j w v S X R l b V B h d G g + P C 9 J d G V t T G 9 j Y X R p b 2 4 + P F N 0 Y W J s Z U V u d H J p Z X M g L z 4 8 L 0 l 0 Z W 0 + P E l 0 Z W 0 + P E l 0 Z W 1 M b 2 N h d G l v b j 4 8 S X R l b V R 5 c G U + R m 9 y b X V s Y T w v S X R l b V R 5 c G U + P E l 0 Z W 1 Q Y X R o P l N l Y 3 R p b 2 4 x L 2 N z Z X Q l M j B T S U 1 E X 1 Z p c 2 l 0 c 1 9 P Y 2 N 1 c G l l Z E R 3 Z W x s a W 5 n c y U y M C g y K S 9 E a X Z p Z G V k J T I w Q 2 9 s d W 1 u M T w v S X R l b V B h d G g + P C 9 J d G V t T G 9 j Y X R p b 2 4 + P F N 0 Y W J s Z U V u d H J p Z X M g L z 4 8 L 0 l 0 Z W 0 + P E l 0 Z W 0 + P E l 0 Z W 1 M b 2 N h d G l v b j 4 8 S X R l b V R 5 c G U + R m 9 y b X V s Y T w v S X R l b V R 5 c G U + P E l 0 Z W 1 Q Y X R o P l N l Y 3 R p b 2 4 x L 2 N z Z X Q l M j B T S U 1 E X 1 Z p c 2 l 0 c 1 9 P Y 2 N 1 c G l l Z E R 3 Z W x s a W 5 n c y U y M C g y K S 9 E a X Z p Z G V k J T I w Q 2 9 s d W 1 u M j w v S X R l b V B h d G g + P C 9 J d G V t T G 9 j Y X R p b 2 4 + P F N 0 Y W J s Z U V u d H J p Z X M g L z 4 8 L 0 l 0 Z W 0 + P E l 0 Z W 0 + P E l 0 Z W 1 M b 2 N h d G l v b j 4 8 S X R l b V R 5 c G U + R m 9 y b X V s Y T w v S X R l b V R 5 c G U + P E l 0 Z W 1 Q Y X R o P l N l Y 3 R p b 2 4 x L 2 N z Z X Q l M j B T S U 1 E X 1 Z p c 2 l 0 c 1 9 P Y 2 N 1 c G l l Z E R 3 Z W x s a W 5 n c y U y M C g y K S 9 E a X Z p Z G V k J T I w Q 2 9 s d W 1 u M z w v S X R l b V B h d G g + P C 9 J d G V t T G 9 j Y X R p b 2 4 + P F N 0 Y W J s Z U V u d H J p Z X M g L z 4 8 L 0 l 0 Z W 0 + P E l 0 Z W 0 + P E l 0 Z W 1 M b 2 N h d G l v b j 4 8 S X R l b V R 5 c G U + R m 9 y b X V s Y T w v S X R l b V R 5 c G U + P E l 0 Z W 1 Q Y X R o P l N l Y 3 R p b 2 4 x L 2 N z Z X Q l M j B T S U 1 E X 1 Z p c 2 l 0 c 1 9 P Y 2 N 1 c G l l Z E R 3 Z W x s a W 5 n c y U y M C g y K S 9 E a X Z p Z G V k J T I w Q 2 9 s d W 1 u N D w v S X R l b V B h d G g + P C 9 J d G V t T G 9 j Y X R p b 2 4 + P F N 0 Y W J s Z U V u d H J p Z X M g L z 4 8 L 0 l 0 Z W 0 + P E l 0 Z W 0 + P E l 0 Z W 1 M b 2 N h d G l v b j 4 8 S X R l b V R 5 c G U + R m 9 y b X V s Y T w v S X R l b V R 5 c G U + P E l 0 Z W 1 Q Y X R o P l N l Y 3 R p b 2 4 x L 2 N z Z X Q l M j B T S U 1 E X 1 Z p c 2 l 0 c 1 9 P Y 2 N 1 c G l l Z E R 3 Z W x s a W 5 n c y U y M C g y K S 9 E a X Z p Z G V k J T I w Q 2 9 s d W 1 u N T w v S X R l b V B h d G g + P C 9 J d G V t T G 9 j Y X R p b 2 4 + P F N 0 Y W J s Z U V u d H J p Z X M g L z 4 8 L 0 l 0 Z W 0 + P E l 0 Z W 0 + P E l 0 Z W 1 M b 2 N h d G l v b j 4 8 S X R l b V R 5 c G U + R m 9 y b X V s Y T w v S X R l b V R 5 c G U + P E l 0 Z W 1 Q Y X R o P l N l Y 3 R p b 2 4 x L 2 N z Z X Q l M j B T S U 1 E X 0 F s Y X J t c 1 9 P Y 2 N 1 c G l l Z E R 3 Z W x s a W 5 n c z w v S X R l b V B h d G g + P C 9 J d G V t T G 9 j Y X R p b 2 4 + P F N 0 Y W J s Z U V u d H J p Z X M + P E V u d H J 5 I F R 5 c G U 9 I k l z U H J p d m F 0 Z S I g V m F s d W U 9 I m w w I i A v P j x F b n R y e S B U e X B l P S J O Y W 1 l V X B k Y X R l Z E F m d G V y R m l s b C I g V m F s d W U 9 I m w w I i A v P j x F b n R y e S B U e X B l P S J G a W x s R W 5 h Y m x l Z C I g V m F s d W U 9 I m w x I i A v P j x F b n R y e S B U e X B l P S J G a W x s T 2 J q Z W N 0 V H l w Z S I g V m F s d W U 9 I n N U Y W J s Z S I g L z 4 8 R W 5 0 c n k g V H l w Z T 0 i R m l s b F R v R G F 0 Y U 1 v Z G V s R W 5 h Y m x l Z C I g V m F s d W U 9 I m w w I i A v P j x F b n R y e S B U e X B l P S J S Z X N 1 b H R U e X B l I i B W Y W x 1 Z T 0 i c 1 R h Y m x l I i A v P j x F b n R y e S B U e X B l P S J C d W Z m Z X J O Z X h 0 U m V m c m V z a C I g V m F s d W U 9 I m w x I i A v P j x F b n R y e S B U e X B l P S J G a W x s V G F y Z 2 V 0 I i B W Y W x 1 Z T 0 i c 2 N z Z X R f U 0 l N R F 9 B b G F y b X N f T 2 N j d X B p Z W R E d 2 V s b G l u Z 3 M i I C 8 + P E V u d H J 5 I F R 5 c G U 9 I k Z p b G x T d G F 0 d X M i I F Z h b H V l P S J z Q 2 9 t c G x l d G U i I C 8 + P E V u d H J 5 I F R 5 c G U 9 I k Z p b G x D b 3 V u d C I g V m F s d W U 9 I m w 3 I i A v P j x F b n R y e S B U e X B l P S J G a W x s R X J y b 3 J D b 3 V u d C I g V m F s d W U 9 I m w w I i A v P j x F b n R y e S B U e X B l P S J G a W x s Q 2 9 s d W 1 u V H l w Z X M i I F Z h b H V l P S J z Q m d V R k J R V U Z C U T 0 9 I i A v P j x F b n R y e S B U e X B l P S J G a W x s Q 2 9 s d W 1 u T m F t Z X M i I F Z h b H V l P S J z W y Z x d W 9 0 O 1 l l Y X I m c X V v d D s s J n F 1 b 3 Q 7 M S A t I E 1 v c 3 Q g R G V w c m l 2 Z W Q g M j A l J n F 1 b 3 Q 7 L C Z x d W 9 0 O z I m c X V v d D s s J n F 1 b 3 Q 7 M y Z x d W 9 0 O y w m c X V v d D s 0 J n F 1 b 3 Q 7 L C Z x d W 9 0 O z U g L S B M Z W F z d C B E Z X B y a X Z l Z C A y M C U m c X V v d D s s J n F 1 b 3 Q 7 Q W x s I F N j b 3 R s Y W 5 k J n F 1 b 3 Q 7 X S I g L z 4 8 R W 5 0 c n k g V H l w Z T 0 i R m l s b E V y c m 9 y Q 2 9 k Z S I g V m F s d W U 9 I n N V b m t u b 3 d u I i A v P j x F b n R y e S B U e X B l P S J G a W x s T G F z d F V w Z G F 0 Z W Q i I F Z h b H V l P S J k M j A y M S 0 w O C 0 y N l Q x M D o x N z o x N y 4 4 M j Q w N D E y W i I g L z 4 8 R W 5 0 c n k g V H l w Z T 0 i R m l s b G V k Q 2 9 t c G x l d G V S Z X N 1 b H R U b 1 d v c m t z a G V l d C I g V m F s d W U 9 I m w x I i A v P j x F b n R y e S B U e X B l P S J B Z G R l Z F R v R G F 0 Y U 1 v Z G V s I i B W Y W x 1 Z T 0 i b D A i I C 8 + P E V u d H J 5 I F R 5 c G U 9 I l J l Y 2 9 2 Z X J 5 V G F y Z 2 V 0 U 2 h l Z X Q i I F Z h b H V l P S J z U 0 l N R C 1 B b G F y b X M i I C 8 + P E V u d H J 5 I F R 5 c G U 9 I l J l Y 2 9 2 Z X J 5 V G F y Z 2 V 0 Q 2 9 s d W 1 u I i B W Y W x 1 Z T 0 i b D E i I C 8 + P E V u d H J 5 I F R 5 c G U 9 I l J l Y 2 9 2 Z X J 5 V G F y Z 2 V 0 U m 9 3 I i B W Y W x 1 Z T 0 i b D Q w I i A v P j x F b n R y e S B U e X B l P S J S Z W x h d G l v b n N o a X B J b m Z v Q 2 9 u d G F p b m V y I i B W Y W x 1 Z T 0 i c 3 s m c X V v d D t j b 2 x 1 b W 5 D b 3 V u d C Z x d W 9 0 O z o 3 L C Z x d W 9 0 O 2 t l e U N v b H V t b k 5 h b W V z J n F 1 b 3 Q 7 O l t d L C Z x d W 9 0 O 3 F 1 Z X J 5 U m V s Y X R p b 2 5 z a G l w c y Z x d W 9 0 O z p b X S w m c X V v d D t j b 2 x 1 b W 5 J Z G V u d G l 0 a W V z J n F 1 b 3 Q 7 O l s m c X V v d D t T Z X J 2 Z X I u R G F 0 Y W J h c 2 V c X C 8 y L 1 N R T C 9 z L X N y c y 1 2 M D F c X F x c c G R z O 1 J B U C 9 j c 2 V 0 L 2 N z Z X Q u U 0 l N R F 9 B b G F y b X N f T 2 N j d X B p Z W R E d 2 V s b G l u Z 3 M u e 1 l l Y X I s M H 0 m c X V v d D s s J n F 1 b 3 Q 7 U 2 V j d G l v b j E v Y 3 N l d C B T S U 1 E X 0 F s Y X J t c 1 9 P Y 2 N 1 c G l l Z E R 3 Z W x s a W 5 n c y 9 E a X Z p Z G V k I E N v b H V t b i 5 7 M S A t I E 1 v c 3 Q g R G V w c m l 2 Z W Q g M j A l L D F 9 J n F 1 b 3 Q 7 L C Z x d W 9 0 O 1 N l Y 3 R p b 2 4 x L 2 N z Z X Q g U 0 l N R F 9 B b G F y b X N f T 2 N j d X B p Z W R E d 2 V s b G l u Z 3 M v R G l 2 a W R l Z C B D b 2 x 1 b W 4 x L n s y L D J 9 J n F 1 b 3 Q 7 L C Z x d W 9 0 O 1 N l Y 3 R p b 2 4 x L 2 N z Z X Q g U 0 l N R F 9 B b G F y b X N f T 2 N j d X B p Z W R E d 2 V s b G l u Z 3 M v R G l 2 a W R l Z C B D b 2 x 1 b W 4 y L n s z L D N 9 J n F 1 b 3 Q 7 L C Z x d W 9 0 O 1 N l Y 3 R p b 2 4 x L 2 N z Z X Q g U 0 l N R F 9 B b G F y b X N f T 2 N j d X B p Z W R E d 2 V s b G l u Z 3 M v R G l 2 a W R l Z C B D b 2 x 1 b W 4 z L n s 0 L D R 9 J n F 1 b 3 Q 7 L C Z x d W 9 0 O 1 N l Y 3 R p b 2 4 x L 2 N z Z X Q g U 0 l N R F 9 B b G F y b X N f T 2 N j d X B p Z W R E d 2 V s b G l u Z 3 M v R G l 2 a W R l Z C B D b 2 x 1 b W 4 0 L n s 1 I C 0 g T G V h c 3 Q g R G V w c m l 2 Z W Q g M j A l L D V 9 J n F 1 b 3 Q 7 L C Z x d W 9 0 O 1 N l Y 3 R p b 2 4 x L 2 N z Z X Q g U 0 l N R F 9 B b G F y b X N f T 2 N j d X B p Z W R E d 2 V s b G l u Z 3 M v R G l 2 a W R l Z C B D b 2 x 1 b W 4 1 L n t B b G w g U 2 N v d G x h b m Q s N n 0 m c X V v d D t d L C Z x d W 9 0 O 0 N v b H V t b k N v d W 5 0 J n F 1 b 3 Q 7 O j c s J n F 1 b 3 Q 7 S 2 V 5 Q 2 9 s d W 1 u T m F t Z X M m c X V v d D s 6 W 1 0 s J n F 1 b 3 Q 7 Q 2 9 s d W 1 u S W R l b n R p d G l l c y Z x d W 9 0 O z p b J n F 1 b 3 Q 7 U 2 V y d m V y L k R h d G F i Y X N l X F w v M i 9 T U U w v c y 1 z c n M t d j A x X F x c X H B k c z t S Q V A v Y 3 N l d C 9 j c 2 V 0 L l N J T U R f Q W x h c m 1 z X 0 9 j Y 3 V w a W V k R H d l b G x p b m d z L n t Z Z W F y L D B 9 J n F 1 b 3 Q 7 L C Z x d W 9 0 O 1 N l Y 3 R p b 2 4 x L 2 N z Z X Q g U 0 l N R F 9 B b G F y b X N f T 2 N j d X B p Z W R E d 2 V s b G l u Z 3 M v R G l 2 a W R l Z C B D b 2 x 1 b W 4 u e z E g L S B N b 3 N 0 I E R l c H J p d m V k I D I w J S w x f S Z x d W 9 0 O y w m c X V v d D t T Z W N 0 a W 9 u M S 9 j c 2 V 0 I F N J T U R f Q W x h c m 1 z X 0 9 j Y 3 V w a W V k R H d l b G x p b m d z L 0 R p d m l k Z W Q g Q 2 9 s d W 1 u M S 5 7 M i w y f S Z x d W 9 0 O y w m c X V v d D t T Z W N 0 a W 9 u M S 9 j c 2 V 0 I F N J T U R f Q W x h c m 1 z X 0 9 j Y 3 V w a W V k R H d l b G x p b m d z L 0 R p d m l k Z W Q g Q 2 9 s d W 1 u M i 5 7 M y w z f S Z x d W 9 0 O y w m c X V v d D t T Z W N 0 a W 9 u M S 9 j c 2 V 0 I F N J T U R f Q W x h c m 1 z X 0 9 j Y 3 V w a W V k R H d l b G x p b m d z L 0 R p d m l k Z W Q g Q 2 9 s d W 1 u M y 5 7 N C w 0 f S Z x d W 9 0 O y w m c X V v d D t T Z W N 0 a W 9 u M S 9 j c 2 V 0 I F N J T U R f Q W x h c m 1 z X 0 9 j Y 3 V w a W V k R H d l b G x p b m d z L 0 R p d m l k Z W Q g Q 2 9 s d W 1 u N C 5 7 N S A t I E x l Y X N 0 I E R l c H J p d m V k I D I w J S w 1 f S Z x d W 9 0 O y w m c X V v d D t T Z W N 0 a W 9 u M S 9 j c 2 V 0 I F N J T U R f Q W x h c m 1 z X 0 9 j Y 3 V w a W V k R H d l b G x p b m d z L 0 R p d m l k Z W Q g Q 2 9 s d W 1 u N S 5 7 Q W x s I F N j b 3 R s Y W 5 k L D Z 9 J n F 1 b 3 Q 7 X S w m c X V v d D t S Z W x h d G l v b n N o a X B J b m Z v J n F 1 b 3 Q 7 O l t d f S I g L z 4 8 L 1 N 0 Y W J s Z U V u d H J p Z X M + P C 9 J d G V t P j x J d G V t P j x J d G V t T G 9 j Y X R p b 2 4 + P E l 0 Z W 1 U e X B l P k Z v c m 1 1 b G E 8 L 0 l 0 Z W 1 U e X B l P j x J d G V t U G F 0 a D 5 T Z W N 0 a W 9 u M S 9 j c 2 V 0 J T I w U 0 l N R F 9 B b G F y b X N f T 2 N j d X B p Z W R E d 2 V s b G l u Z 3 M v U 2 9 1 c m N l P C 9 J d G V t U G F 0 a D 4 8 L 0 l 0 Z W 1 M b 2 N h d G l v b j 4 8 U 3 R h Y m x l R W 5 0 c m l l c y A v P j w v S X R l b T 4 8 S X R l b T 4 8 S X R l b U x v Y 2 F 0 a W 9 u P j x J d G V t V H l w Z T 5 G b 3 J t d W x h P C 9 J d G V t V H l w Z T 4 8 S X R l b V B h d G g + U 2 V j d G l v b j E v Y 3 N l d C U y M F N J T U R f Q W x h c m 1 z X 0 9 j Y 3 V w a W V k R H d l b G x p b m d z L 2 N z Z X R f U 0 l N R F 9 B b G F y b X N f T 2 N j d X B p Z W R E d 2 V s b G l u Z 3 M 8 L 0 l 0 Z W 1 Q Y X R o P j w v S X R l b U x v Y 2 F 0 a W 9 u P j x T d G F i b G V F b n R y a W V z I C 8 + P C 9 J d G V t P j x J d G V t P j x J d G V t T G 9 j Y X R p b 2 4 + P E l 0 Z W 1 U e X B l P k Z v c m 1 1 b G E 8 L 0 l 0 Z W 1 U e X B l P j x J d G V t U G F 0 a D 5 T Z W N 0 a W 9 u M S 9 j c 2 V 0 J T I w U 0 l N R F 9 B b G F y b X N f T 2 N j d X B p Z W R E d 2 V s b G l u Z 3 M v U 2 9 y d G V k J T I w U m 9 3 c z w v S X R l b V B h d G g + P C 9 J d G V t T G 9 j Y X R p b 2 4 + P F N 0 Y W J s Z U V u d H J p Z X M g L z 4 8 L 0 l 0 Z W 0 + P E l 0 Z W 0 + P E l 0 Z W 1 M b 2 N h d G l v b j 4 8 S X R l b V R 5 c G U + R m 9 y b X V s Y T w v S X R l b V R 5 c G U + P E l 0 Z W 1 Q Y X R o P l N l Y 3 R p b 2 4 x L 2 N z Z X Q l M j B T S U 1 E X 0 F s Y X J t c 1 9 P Y 2 N 1 c G l l Z E R 3 Z W x s a W 5 n c y 9 S Z W 1 v d m V k J T I w V G 9 w J T I w U m 9 3 c z w v S X R l b V B h d G g + P C 9 J d G V t T G 9 j Y X R p b 2 4 + P F N 0 Y W J s Z U V u d H J p Z X M g L z 4 8 L 0 l 0 Z W 0 + P E l 0 Z W 0 + P E l 0 Z W 1 M b 2 N h d G l v b j 4 8 S X R l b V R 5 c G U + R m 9 y b X V s Y T w v S X R l b V R 5 c G U + P E l 0 Z W 1 Q Y X R o P l N l Y 3 R p b 2 4 x L 2 N z Z X Q l M j B T S U 1 E X 0 F s Y X J t c 1 9 P Y 2 N 1 c G l l Z E R 3 Z W x s a W 5 n c y 9 E a X Z p Z G V k J T I w Q 2 9 s d W 1 u P C 9 J d G V t U G F 0 a D 4 8 L 0 l 0 Z W 1 M b 2 N h d G l v b j 4 8 U 3 R h Y m x l R W 5 0 c m l l c y A v P j w v S X R l b T 4 8 S X R l b T 4 8 S X R l b U x v Y 2 F 0 a W 9 u P j x J d G V t V H l w Z T 5 G b 3 J t d W x h P C 9 J d G V t V H l w Z T 4 8 S X R l b V B h d G g + U 2 V j d G l v b j E v Y 3 N l d C U y M F N J T U R f Q W x h c m 1 z X 0 9 j Y 3 V w a W V k R H d l b G x p b m d z L 0 R p d m l k Z W Q l M j B D b 2 x 1 b W 4 x P C 9 J d G V t U G F 0 a D 4 8 L 0 l 0 Z W 1 M b 2 N h d G l v b j 4 8 U 3 R h Y m x l R W 5 0 c m l l c y A v P j w v S X R l b T 4 8 S X R l b T 4 8 S X R l b U x v Y 2 F 0 a W 9 u P j x J d G V t V H l w Z T 5 G b 3 J t d W x h P C 9 J d G V t V H l w Z T 4 8 S X R l b V B h d G g + U 2 V j d G l v b j E v Y 3 N l d C U y M F N J T U R f Q W x h c m 1 z X 0 9 j Y 3 V w a W V k R H d l b G x p b m d z L 0 R p d m l k Z W Q l M j B D b 2 x 1 b W 4 y P C 9 J d G V t U G F 0 a D 4 8 L 0 l 0 Z W 1 M b 2 N h d G l v b j 4 8 U 3 R h Y m x l R W 5 0 c m l l c y A v P j w v S X R l b T 4 8 S X R l b T 4 8 S X R l b U x v Y 2 F 0 a W 9 u P j x J d G V t V H l w Z T 5 G b 3 J t d W x h P C 9 J d G V t V H l w Z T 4 8 S X R l b V B h d G g + U 2 V j d G l v b j E v Y 3 N l d C U y M F N J T U R f Q W x h c m 1 z X 0 9 j Y 3 V w a W V k R H d l b G x p b m d z L 0 R p d m l k Z W Q l M j B D b 2 x 1 b W 4 z P C 9 J d G V t U G F 0 a D 4 8 L 0 l 0 Z W 1 M b 2 N h d G l v b j 4 8 U 3 R h Y m x l R W 5 0 c m l l c y A v P j w v S X R l b T 4 8 S X R l b T 4 8 S X R l b U x v Y 2 F 0 a W 9 u P j x J d G V t V H l w Z T 5 G b 3 J t d W x h P C 9 J d G V t V H l w Z T 4 8 S X R l b V B h d G g + U 2 V j d G l v b j E v Y 3 N l d C U y M F N J T U R f Q W x h c m 1 z X 0 9 j Y 3 V w a W V k R H d l b G x p b m d z L 0 R p d m l k Z W Q l M j B D b 2 x 1 b W 4 0 P C 9 J d G V t U G F 0 a D 4 8 L 0 l 0 Z W 1 M b 2 N h d G l v b j 4 8 U 3 R h Y m x l R W 5 0 c m l l c y A v P j w v S X R l b T 4 8 S X R l b T 4 8 S X R l b U x v Y 2 F 0 a W 9 u P j x J d G V t V H l w Z T 5 G b 3 J t d W x h P C 9 J d G V t V H l w Z T 4 8 S X R l b V B h d G g + U 2 V j d G l v b j E v Y 3 N l d C U y M F N J T U R f Q W x h c m 1 z X 0 9 j Y 3 V w a W V k R H d l b G x p b m d z L 0 R p d m l k Z W Q l M j B D b 2 x 1 b W 4 1 P C 9 J d G V t U G F 0 a D 4 8 L 0 l 0 Z W 1 M b 2 N h d G l v b j 4 8 U 3 R h Y m x l R W 5 0 c m l l c y A v P j w v S X R l b T 4 8 S X R l b T 4 8 S X R l b U x v Y 2 F 0 a W 9 u P j x J d G V t V H l w Z T 5 G b 3 J t d W x h P C 9 J d G V t V H l w Z T 4 8 S X R l b V B h d G g + U 2 V j d G l v b j E v Y 3 N l d C U y M F V y Y m F u U n V y Y W x f T 2 N j d X B p Z W R E d 2 V s b G l u Z 3 M l M j A o M i k 8 L 0 l 0 Z W 1 Q Y X R o P j w v S X R l b U x v Y 2 F 0 a W 9 u P j x T d G F i b G V F b n R y a W V z P j x F b n R y e S B U e X B l P S J J c 1 B y a X Z h d G U i I F Z h b H V l P S J s M C I g L z 4 8 R W 5 0 c n k g V H l w Z T 0 i T m F t Z V V w Z G F 0 Z W R B Z n R l c k Z p b G w i I F Z h b H V l P S J s M C I g L z 4 8 R W 5 0 c n k g V H l w Z T 0 i R m l s b E V u Y W J s Z W Q i I F Z h b H V l P S J s M S I g L z 4 8 R W 5 0 c n k g V H l w Z T 0 i R m l s b E 9 i a m V j d F R 5 c G U i I F Z h b H V l P S J z V G F i b G U i I C 8 + P E V u d H J 5 I F R 5 c G U 9 I k Z p b G x U b 0 R h d G F N b 2 R l b E V u Y W J s Z W Q i I F Z h b H V l P S J s M C I g L z 4 8 R W 5 0 c n k g V H l w Z T 0 i U m V z d W x 0 V H l w Z S I g V m F s d W U 9 I n N U Y W J s Z S I g L z 4 8 R W 5 0 c n k g V H l w Z T 0 i Q n V m Z m V y T m V 4 d F J l Z n J l c 2 g i I F Z h b H V l P S J s M S I g L z 4 8 R W 5 0 c n k g V H l w Z T 0 i R m l s b F R h c m d l d C I g V m F s d W U 9 I n N j c 2 V 0 X 1 V y Y m F u U n V y Y W x f T 2 N j d X B p Z W R E d 2 V s b G l u Z 3 N f X z I i I C 8 + P E V u d H J 5 I F R 5 c G U 9 I k Z p b G x T d G F 0 d X M i I F Z h b H V l P S J z Q 2 9 t c G x l d G U i I C 8 + P E V u d H J 5 I F R 5 c G U 9 I k Z p b G x D b 3 V u d C I g V m F s d W U 9 I m w 3 I i A v P j x F b n R y e S B U e X B l P S J G a W x s R X J y b 3 J D b 3 V u d C I g V m F s d W U 9 I m w w I i A v P j x F b n R y e S B U e X B l P S J G a W x s Q 2 9 s d W 1 u V H l w Z X M i I F Z h b H V l P S J z Q m d V R k J R V U Z C U V U 9 I i A v P j x F b n R y e S B U e X B l P S J G a W x s Q 2 9 s d W 1 u T m F t Z X M i I F Z h b H V l P S J z W y Z x d W 9 0 O 1 l l Y X I m c X V v d D s s J n F 1 b 3 Q 7 M S A t I E x h c m d l I F V y Y m F u I E F y Z W F z J n F 1 b 3 Q 7 L C Z x d W 9 0 O z I g L S B P d G h l c i B V c m J h b i B B c m V h c y Z x d W 9 0 O y w m c X V v d D s z I C 0 g Q W N j Z X N z a W J s Z S B T b W F s b C B U b 3 d u c y Z x d W 9 0 O y w m c X V v d D s 0 I C 0 g U m V t b 3 R l I F N t Y W x s I F R v d 2 5 z J n F 1 b 3 Q 7 L C Z x d W 9 0 O z U g L S B B Y 2 N l c 3 N p Y m x l I F J 1 c m F s J n F 1 b 3 Q 7 L C Z x d W 9 0 O z Y g L S B S Z W 1 v d G U g U n V y Y W w m c X V v d D s s J n F 1 b 3 Q 7 Q W x s I F N j b 3 R s Y W 5 k J n F 1 b 3 Q 7 X S I g L z 4 8 R W 5 0 c n k g V H l w Z T 0 i R m l s b E V y c m 9 y Q 2 9 k Z S I g V m F s d W U 9 I n N V b m t u b 3 d u I i A v P j x F b n R y e S B U e X B l P S J G a W x s T G F z d F V w Z G F 0 Z W Q i I F Z h b H V l P S J k M j A y M S 0 w O C 0 y N l Q x M D o 0 O T o x N i 4 y O D E z O T c 4 W i I g L z 4 8 R W 5 0 c n k g V H l w Z T 0 i R m l s b G V k Q 2 9 t c G x l d G V S Z X N 1 b H R U b 1 d v c m t z a G V l d C I g V m F s d W U 9 I m w x I i A v P j x F b n R y e S B U e X B l P S J B Z G R l Z F R v R G F 0 Y U 1 v Z G V s I i B W Y W x 1 Z T 0 i b D A i I C 8 + P E V u d H J 5 I F R 5 c G U 9 I l J l Y 2 9 2 Z X J 5 V G F y Z 2 V 0 U 2 h l Z X Q i I F Z h b H V l P S J z U n V y Y W x p d H k i I C 8 + P E V u d H J 5 I F R 5 c G U 9 I l J l Y 2 9 2 Z X J 5 V G F y Z 2 V 0 Q 2 9 s d W 1 u I i B W Y W x 1 Z T 0 i b D E i I C 8 + P E V u d H J 5 I F R 5 c G U 9 I l J l Y 2 9 2 Z X J 5 V G F y Z 2 V 0 U m 9 3 I i B W Y W x 1 Z T 0 i b D M 5 I i A v P j x F b n R y e S B U e X B l P S J S Z W x h d G l v b n N o a X B J b m Z v Q 2 9 u d G F p b m V y I i B W Y W x 1 Z T 0 i c 3 s m c X V v d D t j b 2 x 1 b W 5 D b 3 V u d C Z x d W 9 0 O z o 4 L C Z x d W 9 0 O 2 t l e U N v b H V t b k 5 h b W V z J n F 1 b 3 Q 7 O l t d L C Z x d W 9 0 O 3 F 1 Z X J 5 U m V s Y X R p b 2 5 z a G l w c y Z x d W 9 0 O z p b X S w m c X V v d D t j b 2 x 1 b W 5 J Z G V u d G l 0 a W V z J n F 1 b 3 Q 7 O l s m c X V v d D t T Z X J 2 Z X I u R G F 0 Y W J h c 2 V c X C 8 y L 1 N R T C 9 z L X N y c y 1 2 M D F c X F x c c G R z O 1 J B U C 9 j c 2 V 0 L 2 N z Z X Q u V X J i Y W 5 S d X J h b F 9 P Y 2 N 1 c G l l Z E R 3 Z W x s a W 5 n c y 5 7 W W V h c i w w f S Z x d W 9 0 O y w m c X V v d D t T Z W N 0 a W 9 u M S 9 j c 2 V 0 I F V y Y m F u U n V y Y W x f T 2 N j d X B p Z W R E d 2 V s b G l u Z 3 M g K D I p L 0 R p d m l k Z W Q g Q 2 9 s d W 1 u L n s x I C 0 g T G F y Z 2 U g V X J i Y W 4 g Q X J l Y X M s M X 0 m c X V v d D s s J n F 1 b 3 Q 7 U 2 V j d G l v b j E v Y 3 N l d C B V c m J h b l J 1 c m F s X 0 9 j Y 3 V w a W V k R H d l b G x p b m d z I C g y K S 9 E a X Z p Z G V k I E N v b H V t b j E u e z I g L S B P d G h l c i B V c m J h b i B B c m V h c y w y f S Z x d W 9 0 O y w m c X V v d D t T Z W N 0 a W 9 u M S 9 j c 2 V 0 I F V y Y m F u U n V y Y W x f T 2 N j d X B p Z W R E d 2 V s b G l u Z 3 M g K D I p L 0 R p d m l k Z W Q g Q 2 9 s d W 1 u M i 5 7 M y A t I E F j Y 2 V z c 2 l i b G U g U 2 1 h b G w g V G 9 3 b n M s M 3 0 m c X V v d D s s J n F 1 b 3 Q 7 U 2 V j d G l v b j E v Y 3 N l d C B V c m J h b l J 1 c m F s X 0 9 j Y 3 V w a W V k R H d l b G x p b m d z I C g y K S 9 E a X Z p Z G V k I E N v b H V t b j M u e z Q g L S B S Z W 1 v d G U g U 2 1 h b G w g V G 9 3 b n M s N H 0 m c X V v d D s s J n F 1 b 3 Q 7 U 2 V j d G l v b j E v Y 3 N l d C B V c m J h b l J 1 c m F s X 0 9 j Y 3 V w a W V k R H d l b G x p b m d z I C g y K S 9 E a X Z p Z G V k I E N v b H V t b j Q u e z U g L S B B Y 2 N l c 3 N p Y m x l I F J 1 c m F s L D V 9 J n F 1 b 3 Q 7 L C Z x d W 9 0 O 1 N l Y 3 R p b 2 4 x L 2 N z Z X Q g V X J i Y W 5 S d X J h b F 9 P Y 2 N 1 c G l l Z E R 3 Z W x s a W 5 n c y A o M i k v R G l 2 a W R l Z C B D b 2 x 1 b W 4 1 L n s 2 I C 0 g U m V t b 3 R l I F J 1 c m F s L D Z 9 J n F 1 b 3 Q 7 L C Z x d W 9 0 O 1 N l Y 3 R p b 2 4 x L 2 N z Z X Q g V X J i Y W 5 S d X J h b F 9 P Y 2 N 1 c G l l Z E R 3 Z W x s a W 5 n c y A o M i k v R G l 2 a W R l Z C B D b 2 x 1 b W 4 2 L n t B b G w g U 2 N v d G x h b m Q s N 3 0 m c X V v d D t d L C Z x d W 9 0 O 0 N v b H V t b k N v d W 5 0 J n F 1 b 3 Q 7 O j g s J n F 1 b 3 Q 7 S 2 V 5 Q 2 9 s d W 1 u T m F t Z X M m c X V v d D s 6 W 1 0 s J n F 1 b 3 Q 7 Q 2 9 s d W 1 u S W R l b n R p d G l l c y Z x d W 9 0 O z p b J n F 1 b 3 Q 7 U 2 V y d m V y L k R h d G F i Y X N l X F w v M i 9 T U U w v c y 1 z c n M t d j A x X F x c X H B k c z t S Q V A v Y 3 N l d C 9 j c 2 V 0 L l V y Y m F u U n V y Y W x f T 2 N j d X B p Z W R E d 2 V s b G l u Z 3 M u e 1 l l Y X I s M H 0 m c X V v d D s s J n F 1 b 3 Q 7 U 2 V j d G l v b j E v Y 3 N l d C B V c m J h b l J 1 c m F s X 0 9 j Y 3 V w a W V k R H d l b G x p b m d z I C g y K S 9 E a X Z p Z G V k I E N v b H V t b i 5 7 M S A t I E x h c m d l I F V y Y m F u I E F y Z W F z L D F 9 J n F 1 b 3 Q 7 L C Z x d W 9 0 O 1 N l Y 3 R p b 2 4 x L 2 N z Z X Q g V X J i Y W 5 S d X J h b F 9 P Y 2 N 1 c G l l Z E R 3 Z W x s a W 5 n c y A o M i k v R G l 2 a W R l Z C B D b 2 x 1 b W 4 x L n s y I C 0 g T 3 R o Z X I g V X J i Y W 4 g Q X J l Y X M s M n 0 m c X V v d D s s J n F 1 b 3 Q 7 U 2 V j d G l v b j E v Y 3 N l d C B V c m J h b l J 1 c m F s X 0 9 j Y 3 V w a W V k R H d l b G x p b m d z I C g y K S 9 E a X Z p Z G V k I E N v b H V t b j I u e z M g L S B B Y 2 N l c 3 N p Y m x l I F N t Y W x s I F R v d 2 5 z L D N 9 J n F 1 b 3 Q 7 L C Z x d W 9 0 O 1 N l Y 3 R p b 2 4 x L 2 N z Z X Q g V X J i Y W 5 S d X J h b F 9 P Y 2 N 1 c G l l Z E R 3 Z W x s a W 5 n c y A o M i k v R G l 2 a W R l Z C B D b 2 x 1 b W 4 z L n s 0 I C 0 g U m V t b 3 R l I F N t Y W x s I F R v d 2 5 z L D R 9 J n F 1 b 3 Q 7 L C Z x d W 9 0 O 1 N l Y 3 R p b 2 4 x L 2 N z Z X Q g V X J i Y W 5 S d X J h b F 9 P Y 2 N 1 c G l l Z E R 3 Z W x s a W 5 n c y A o M i k v R G l 2 a W R l Z C B D b 2 x 1 b W 4 0 L n s 1 I C 0 g Q W N j Z X N z a W J s Z S B S d X J h b C w 1 f S Z x d W 9 0 O y w m c X V v d D t T Z W N 0 a W 9 u M S 9 j c 2 V 0 I F V y Y m F u U n V y Y W x f T 2 N j d X B p Z W R E d 2 V s b G l u Z 3 M g K D I p L 0 R p d m l k Z W Q g Q 2 9 s d W 1 u N S 5 7 N i A t I F J l b W 9 0 Z S B S d X J h b C w 2 f S Z x d W 9 0 O y w m c X V v d D t T Z W N 0 a W 9 u M S 9 j c 2 V 0 I F V y Y m F u U n V y Y W x f T 2 N j d X B p Z W R E d 2 V s b G l u Z 3 M g K D I p L 0 R p d m l k Z W Q g Q 2 9 s d W 1 u N i 5 7 Q W x s I F N j b 3 R s Y W 5 k L D d 9 J n F 1 b 3 Q 7 X S w m c X V v d D t S Z W x h d G l v b n N o a X B J b m Z v J n F 1 b 3 Q 7 O l t d f S I g L z 4 8 L 1 N 0 Y W J s Z U V u d H J p Z X M + P C 9 J d G V t P j x J d G V t P j x J d G V t T G 9 j Y X R p b 2 4 + P E l 0 Z W 1 U e X B l P k Z v c m 1 1 b G E 8 L 0 l 0 Z W 1 U e X B l P j x J d G V t U G F 0 a D 5 T Z W N 0 a W 9 u M S 9 j c 2 V 0 J T I w V X J i Y W 5 S d X J h b F 9 P Y 2 N 1 c G l l Z E R 3 Z W x s a W 5 n c y U y M C g y K S 9 T b 3 V y Y 2 U 8 L 0 l 0 Z W 1 Q Y X R o P j w v S X R l b U x v Y 2 F 0 a W 9 u P j x T d G F i b G V F b n R y a W V z I C 8 + P C 9 J d G V t P j x J d G V t P j x J d G V t T G 9 j Y X R p b 2 4 + P E l 0 Z W 1 U e X B l P k Z v c m 1 1 b G E 8 L 0 l 0 Z W 1 U e X B l P j x J d G V t U G F 0 a D 5 T Z W N 0 a W 9 u M S 9 j c 2 V 0 J T I w V X J i Y W 5 S d X J h b F 9 P Y 2 N 1 c G l l Z E R 3 Z W x s a W 5 n c y U y M C g y K S 9 j c 2 V 0 X 1 V y Y m F u U n V y Y W x f T 2 N j d X B p Z W R E d 2 V s b G l u Z 3 M 8 L 0 l 0 Z W 1 Q Y X R o P j w v S X R l b U x v Y 2 F 0 a W 9 u P j x T d G F i b G V F b n R y a W V z I C 8 + P C 9 J d G V t P j x J d G V t P j x J d G V t T G 9 j Y X R p b 2 4 + P E l 0 Z W 1 U e X B l P k Z v c m 1 1 b G E 8 L 0 l 0 Z W 1 U e X B l P j x J d G V t U G F 0 a D 5 T Z W N 0 a W 9 u M S 9 j c 2 V 0 J T I w V X J i Y W 5 S d X J h b F 9 P Y 2 N 1 c G l l Z E R 3 Z W x s a W 5 n c y U y M C g y K S 9 T b 3 J 0 Z W Q l M j B S b 3 d z P C 9 J d G V t U G F 0 a D 4 8 L 0 l 0 Z W 1 M b 2 N h d G l v b j 4 8 U 3 R h Y m x l R W 5 0 c m l l c y A v P j w v S X R l b T 4 8 S X R l b T 4 8 S X R l b U x v Y 2 F 0 a W 9 u P j x J d G V t V H l w Z T 5 G b 3 J t d W x h P C 9 J d G V t V H l w Z T 4 8 S X R l b V B h d G g + U 2 V j d G l v b j E v Y 3 N l d C U y M F V y Y m F u U n V y Y W x f T 2 N j d X B p Z W R E d 2 V s b G l u Z 3 M l M j A o M i k v U m V t b 3 Z l Z C U y M F R v c C U y M F J v d 3 M 8 L 0 l 0 Z W 1 Q Y X R o P j w v S X R l b U x v Y 2 F 0 a W 9 u P j x T d G F i b G V F b n R y a W V z I C 8 + P C 9 J d G V t P j x J d G V t P j x J d G V t T G 9 j Y X R p b 2 4 + P E l 0 Z W 1 U e X B l P k Z v c m 1 1 b G E 8 L 0 l 0 Z W 1 U e X B l P j x J d G V t U G F 0 a D 5 T Z W N 0 a W 9 u M S 9 j c 2 V 0 J T I w V X J i Y W 5 S d X J h b F 9 P Y 2 N 1 c G l l Z E R 3 Z W x s a W 5 n c y U y M C g y K S 9 E a X Z p Z G V k J T I w Q 2 9 s d W 1 u P C 9 J d G V t U G F 0 a D 4 8 L 0 l 0 Z W 1 M b 2 N h d G l v b j 4 8 U 3 R h Y m x l R W 5 0 c m l l c y A v P j w v S X R l b T 4 8 S X R l b T 4 8 S X R l b U x v Y 2 F 0 a W 9 u P j x J d G V t V H l w Z T 5 G b 3 J t d W x h P C 9 J d G V t V H l w Z T 4 8 S X R l b V B h d G g + U 2 V j d G l v b j E v Y 3 N l d C U y M F V y Y m F u U n V y Y W x f T 2 N j d X B p Z W R E d 2 V s b G l u Z 3 M l M j A o M i k v R G l 2 a W R l Z C U y M E N v b H V t b j E 8 L 0 l 0 Z W 1 Q Y X R o P j w v S X R l b U x v Y 2 F 0 a W 9 u P j x T d G F i b G V F b n R y a W V z I C 8 + P C 9 J d G V t P j x J d G V t P j x J d G V t T G 9 j Y X R p b 2 4 + P E l 0 Z W 1 U e X B l P k Z v c m 1 1 b G E 8 L 0 l 0 Z W 1 U e X B l P j x J d G V t U G F 0 a D 5 T Z W N 0 a W 9 u M S 9 j c 2 V 0 J T I w V X J i Y W 5 S d X J h b F 9 P Y 2 N 1 c G l l Z E R 3 Z W x s a W 5 n c y U y M C g y K S 9 E a X Z p Z G V k J T I w Q 2 9 s d W 1 u M j w v S X R l b V B h d G g + P C 9 J d G V t T G 9 j Y X R p b 2 4 + P F N 0 Y W J s Z U V u d H J p Z X M g L z 4 8 L 0 l 0 Z W 0 + P E l 0 Z W 0 + P E l 0 Z W 1 M b 2 N h d G l v b j 4 8 S X R l b V R 5 c G U + R m 9 y b X V s Y T w v S X R l b V R 5 c G U + P E l 0 Z W 1 Q Y X R o P l N l Y 3 R p b 2 4 x L 2 N z Z X Q l M j B V c m J h b l J 1 c m F s X 0 9 j Y 3 V w a W V k R H d l b G x p b m d z J T I w K D I p L 0 R p d m l k Z W Q l M j B D b 2 x 1 b W 4 z P C 9 J d G V t U G F 0 a D 4 8 L 0 l 0 Z W 1 M b 2 N h d G l v b j 4 8 U 3 R h Y m x l R W 5 0 c m l l c y A v P j w v S X R l b T 4 8 S X R l b T 4 8 S X R l b U x v Y 2 F 0 a W 9 u P j x J d G V t V H l w Z T 5 G b 3 J t d W x h P C 9 J d G V t V H l w Z T 4 8 S X R l b V B h d G g + U 2 V j d G l v b j E v Y 3 N l d C U y M F V y Y m F u U n V y Y W x f T 2 N j d X B p Z W R E d 2 V s b G l u Z 3 M l M j A o M i k v R G l 2 a W R l Z C U y M E N v b H V t b j Q 8 L 0 l 0 Z W 1 Q Y X R o P j w v S X R l b U x v Y 2 F 0 a W 9 u P j x T d G F i b G V F b n R y a W V z I C 8 + P C 9 J d G V t P j x J d G V t P j x J d G V t T G 9 j Y X R p b 2 4 + P E l 0 Z W 1 U e X B l P k Z v c m 1 1 b G E 8 L 0 l 0 Z W 1 U e X B l P j x J d G V t U G F 0 a D 5 T Z W N 0 a W 9 u M S 9 j c 2 V 0 J T I w V X J i Y W 5 S d X J h b F 9 P Y 2 N 1 c G l l Z E R 3 Z W x s a W 5 n c y U y M C g y K S 9 E a X Z p Z G V k J T I w Q 2 9 s d W 1 u N T w v S X R l b V B h d G g + P C 9 J d G V t T G 9 j Y X R p b 2 4 + P F N 0 Y W J s Z U V u d H J p Z X M g L z 4 8 L 0 l 0 Z W 0 + P E l 0 Z W 0 + P E l 0 Z W 1 M b 2 N h d G l v b j 4 8 S X R l b V R 5 c G U + R m 9 y b X V s Y T w v S X R l b V R 5 c G U + P E l 0 Z W 1 Q Y X R o P l N l Y 3 R p b 2 4 x L 2 N z Z X Q l M j B V c m J h b l J 1 c m F s X 0 9 j Y 3 V w a W V k R H d l b G x p b m d z J T I w K D I p L 0 R p d m l k Z W Q l M j B D b 2 x 1 b W 4 2 P C 9 J d G V t U G F 0 a D 4 8 L 0 l 0 Z W 1 M b 2 N h d G l v b j 4 8 U 3 R h Y m x l R W 5 0 c m l l c y A v P j w v S X R l b T 4 8 S X R l b T 4 8 S X R l b U x v Y 2 F 0 a W 9 u P j x J d G V t V H l w Z T 5 G b 3 J t d W x h P C 9 J d G V t V H l w Z T 4 8 S X R l b V B h d G g + U 2 V j d G l v b j E v Y 3 N l d C U y M E h G U 1 Z f U m F 0 Z V 9 M Q V 9 B b G w 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E N v d W 5 0 I i B W Y W x 1 Z T 0 i b D A i I C 8 + P E V u d H J 5 I F R 5 c G U 9 I k Z p b G x F c n J v c k N v d W 5 0 I i B W Y W x 1 Z T 0 i b D A i I C 8 + P E V u d H J 5 I F R 5 c G U 9 I k Z p b G x D b 2 x 1 b W 5 U e X B l c y I g V m F s d W U 9 I n N C Z 1 l H Q l F V R k J R V U Z C U V V G Q l F V R i I g L z 4 8 R W 5 0 c n k g V H l w Z T 0 i R m l s b E N v b H V t b k 5 h b W V z I i B W Y W x 1 Z T 0 i c 1 s m c X V v d D t Z Z W F y J n F 1 b 3 Q 7 L C Z x d W 9 0 O 0 N v d W 5 j a W w m c X V v d D s s J n F 1 b 3 Q 7 R 1 N T Q 2 9 k Z S Z x d W 9 0 O y w m c X V v d D t I R l N W I C 0 g Y W x h c m 1 z I G l u c 3 R h b G x l Z C Z x d W 9 0 O y w m c X V v d D t I R l N W I C 0 g Y W R 2 a W N l I G 9 u b H k m c X V v d D s s J n F 1 b 3 Q 7 V G 9 0 Y W w g S E Z T V i Z x d W 9 0 O y w m c X V v d D t U b 3 R h b E 5 l d 0 F s Y X J t c y Z x d W 9 0 O y w m c X V v d D t U b 3 R h b F J l c G x h Y 2 V k Q W x h c m 1 z J n F 1 b 3 Q 7 L C Z x d W 9 0 O 1 R v d G F s Q W x h c m 1 z J n F 1 b 3 Q 7 L C Z x d W 9 0 O 0 R 3 Z W x s a W 5 n c y Z x d W 9 0 O y w m c X V v d D t W a X N p d H N Q Z X I x M D B E d 2 V s b G l u Z y Z x d W 9 0 O y w m c X V v d D t B b G F y b X N Q Z X I x M D B E d 2 V s b G l u Z y Z x d W 9 0 O y w m c X V v d D t I b 3 V z Z W h v b G R z J n F 1 b 3 Q 7 L C Z x d W 9 0 O 1 Z p c 2 l 0 c 1 B l c j E w M E h v d X N l a G 9 s Z C Z x d W 9 0 O y w m c X V v d D t B b G F y b X N Q Z X I x M D B I b 3 V z Z W h v b G Q m c X V v d D t d I i A v P j x F b n R y e S B U e X B l P S J G a W x s R X J y b 3 J D b 2 R l I i B W Y W x 1 Z T 0 i c 1 V u a 2 5 v d 2 4 i I C 8 + P E V u d H J 5 I F R 5 c G U 9 I k Z p b G x M Y X N 0 V X B k Y X R l Z C I g V m F s d W U 9 I m Q y M D I x L T A 4 L T I 3 V D E y O j M 2 O j I 2 L j I 4 O D U 1 M D h a I i A v P j x F b n R y e S B U e X B l P S J S Z W x h d G l v b n N o a X B J b m Z v Q 2 9 u d G F p b m V y I i B W Y W x 1 Z T 0 i c 3 s m c X V v d D t j b 2 x 1 b W 5 D b 3 V u d C Z x d W 9 0 O z o x N S w m c X V v d D t r Z X l D b 2 x 1 b W 5 O Y W 1 l c y Z x d W 9 0 O z p b X S w m c X V v d D t x d W V y e V J l b G F 0 a W 9 u c 2 h p c H M m c X V v d D s 6 W 1 0 s J n F 1 b 3 Q 7 Y 2 9 s d W 1 u S W R l b n R p d G l l c y Z x d W 9 0 O z p b J n F 1 b 3 Q 7 U 2 V y d m V y L k R h d G F i Y X N l X F w v M i 9 T U U w v c y 1 z c n M t d j A x X F x c X H B k c z t S Q V A v Y 3 N l d C 9 j c 2 V 0 L k h G U 1 Z f U m F 0 Z V 9 M Q V 9 B b G w u e 1 l l Y X I s M H 0 m c X V v d D s s J n F 1 b 3 Q 7 U 2 V y d m V y L k R h d G F i Y X N l X F w v M i 9 T U U w v c y 1 z c n M t d j A x X F x c X H B k c z t S Q V A v Y 3 N l d C 9 j c 2 V 0 L k h G U 1 Z f U m F 0 Z V 9 M Q V 9 B b G w u e 0 N v d W 5 j a W w s M X 0 m c X V v d D s s J n F 1 b 3 Q 7 U 2 V y d m V y L k R h d G F i Y X N l X F w v M i 9 T U U w v c y 1 z c n M t d j A x X F x c X H B k c z t S Q V A v Y 3 N l d C 9 j c 2 V 0 L k h G U 1 Z f U m F 0 Z V 9 M Q V 9 B b G w u e 0 d T U 0 N v Z G U s M n 0 m c X V v d D s s J n F 1 b 3 Q 7 U 2 V y d m V y L k R h d G F i Y X N l X F w v M i 9 T U U w v c y 1 z c n M t d j A x X F x c X H B k c z t S Q V A v Y 3 N l d C 9 j c 2 V 0 L k h G U 1 Z f U m F 0 Z V 9 M Q V 9 B b G w u e 0 h G U 1 Y g L S B h b G F y b X M g a W 5 z d G F s b G V k L D N 9 J n F 1 b 3 Q 7 L C Z x d W 9 0 O 1 N l c n Z l c i 5 E Y X R h Y m F z Z V x c L z I v U 1 F M L 3 M t c 3 J z L X Y w M V x c X F x w Z H M 7 U k F Q L 2 N z Z X Q v Y 3 N l d C 5 I R l N W X 1 J h d G V f T E F f Q W x s L n t I R l N W I C 0 g Y W R 2 a W N l I G 9 u b H k s N H 0 m c X V v d D s s J n F 1 b 3 Q 7 U 2 V y d m V y L k R h d G F i Y X N l X F w v M i 9 T U U w v c y 1 z c n M t d j A x X F x c X H B k c z t S Q V A v Y 3 N l d C 9 j c 2 V 0 L k h G U 1 Z f U m F 0 Z V 9 M Q V 9 B b G w u e 1 R v d G F s I E h G U 1 Y s N X 0 m c X V v d D s s J n F 1 b 3 Q 7 U 2 V y d m V y L k R h d G F i Y X N l X F w v M i 9 T U U w v c y 1 z c n M t d j A x X F x c X H B k c z t S Q V A v Y 3 N l d C 9 j c 2 V 0 L k h G U 1 Z f U m F 0 Z V 9 M Q V 9 B b G w u e 1 R v d G F s T m V 3 Q W x h c m 1 z L D Z 9 J n F 1 b 3 Q 7 L C Z x d W 9 0 O 1 N l c n Z l c i 5 E Y X R h Y m F z Z V x c L z I v U 1 F M L 3 M t c 3 J z L X Y w M V x c X F x w Z H M 7 U k F Q L 2 N z Z X Q v Y 3 N l d C 5 I R l N W X 1 J h d G V f T E F f Q W x s L n t U b 3 R h b F J l c G x h Y 2 V k Q W x h c m 1 z L D d 9 J n F 1 b 3 Q 7 L C Z x d W 9 0 O 1 N l c n Z l c i 5 E Y X R h Y m F z Z V x c L z I v U 1 F M L 3 M t c 3 J z L X Y w M V x c X F x w Z H M 7 U k F Q L 2 N z Z X Q v Y 3 N l d C 5 I R l N W X 1 J h d G V f T E F f Q W x s L n t U b 3 R h b E F s Y X J t c y w 4 f S Z x d W 9 0 O y w m c X V v d D t T Z X J 2 Z X I u R G F 0 Y W J h c 2 V c X C 8 y L 1 N R T C 9 z L X N y c y 1 2 M D F c X F x c c G R z O 1 J B U C 9 j c 2 V 0 L 2 N z Z X Q u S E Z T V l 9 S Y X R l X 0 x B X 0 F s b C 5 7 R H d l b G x p b m d z L D l 9 J n F 1 b 3 Q 7 L C Z x d W 9 0 O 1 N l c n Z l c i 5 E Y X R h Y m F z Z V x c L z I v U 1 F M L 3 M t c 3 J z L X Y w M V x c X F x w Z H M 7 U k F Q L 2 N z Z X Q v Y 3 N l d C 5 I R l N W X 1 J h d G V f T E F f Q W x s L n t W a X N p d H N Q Z X I x M D B E d 2 V s b G l u Z y w x M H 0 m c X V v d D s s J n F 1 b 3 Q 7 U 2 V y d m V y L k R h d G F i Y X N l X F w v M i 9 T U U w v c y 1 z c n M t d j A x X F x c X H B k c z t S Q V A v Y 3 N l d C 9 j c 2 V 0 L k h G U 1 Z f U m F 0 Z V 9 M Q V 9 B b G w u e 0 F s Y X J t c 1 B l c j E w M E R 3 Z W x s a W 5 n L D E x f S Z x d W 9 0 O y w m c X V v d D t T Z X J 2 Z X I u R G F 0 Y W J h c 2 V c X C 8 y L 1 N R T C 9 z L X N y c y 1 2 M D F c X F x c c G R z O 1 J B U C 9 j c 2 V 0 L 2 N z Z X Q u S E Z T V l 9 S Y X R l X 0 x B X 0 F s b C 5 7 S G 9 1 c 2 V o b 2 x k c y w x M n 0 m c X V v d D s s J n F 1 b 3 Q 7 U 2 V y d m V y L k R h d G F i Y X N l X F w v M i 9 T U U w v c y 1 z c n M t d j A x X F x c X H B k c z t S Q V A v Y 3 N l d C 9 j c 2 V 0 L k h G U 1 Z f U m F 0 Z V 9 M Q V 9 B b G w u e 1 Z p c 2 l 0 c 1 B l c j E w M E h v d X N l a G 9 s Z C w x M 3 0 m c X V v d D s s J n F 1 b 3 Q 7 U 2 V y d m V y L k R h d G F i Y X N l X F w v M i 9 T U U w v c y 1 z c n M t d j A x X F x c X H B k c z t S Q V A v Y 3 N l d C 9 j c 2 V 0 L k h G U 1 Z f U m F 0 Z V 9 M Q V 9 B b G w u e 0 F s Y X J t c 1 B l c j E w M E h v d X N l a G 9 s Z C w x N H 0 m c X V v d D t d L C Z x d W 9 0 O 0 N v b H V t b k N v d W 5 0 J n F 1 b 3 Q 7 O j E 1 L C Z x d W 9 0 O 0 t l e U N v b H V t b k 5 h b W V z J n F 1 b 3 Q 7 O l t d L C Z x d W 9 0 O 0 N v b H V t b k l k Z W 5 0 a X R p Z X M m c X V v d D s 6 W y Z x d W 9 0 O 1 N l c n Z l c i 5 E Y X R h Y m F z Z V x c L z I v U 1 F M L 3 M t c 3 J z L X Y w M V x c X F x w Z H M 7 U k F Q L 2 N z Z X Q v Y 3 N l d C 5 I R l N W X 1 J h d G V f T E F f Q W x s L n t Z Z W F y L D B 9 J n F 1 b 3 Q 7 L C Z x d W 9 0 O 1 N l c n Z l c i 5 E Y X R h Y m F z Z V x c L z I v U 1 F M L 3 M t c 3 J z L X Y w M V x c X F x w Z H M 7 U k F Q L 2 N z Z X Q v Y 3 N l d C 5 I R l N W X 1 J h d G V f T E F f Q W x s L n t D b 3 V u Y 2 l s L D F 9 J n F 1 b 3 Q 7 L C Z x d W 9 0 O 1 N l c n Z l c i 5 E Y X R h Y m F z Z V x c L z I v U 1 F M L 3 M t c 3 J z L X Y w M V x c X F x w Z H M 7 U k F Q L 2 N z Z X Q v Y 3 N l d C 5 I R l N W X 1 J h d G V f T E F f Q W x s L n t H U 1 N D b 2 R l L D J 9 J n F 1 b 3 Q 7 L C Z x d W 9 0 O 1 N l c n Z l c i 5 E Y X R h Y m F z Z V x c L z I v U 1 F M L 3 M t c 3 J z L X Y w M V x c X F x w Z H M 7 U k F Q L 2 N z Z X Q v Y 3 N l d C 5 I R l N W X 1 J h d G V f T E F f Q W x s L n t I R l N W I C 0 g Y W x h c m 1 z I G l u c 3 R h b G x l Z C w z f S Z x d W 9 0 O y w m c X V v d D t T Z X J 2 Z X I u R G F 0 Y W J h c 2 V c X C 8 y L 1 N R T C 9 z L X N y c y 1 2 M D F c X F x c c G R z O 1 J B U C 9 j c 2 V 0 L 2 N z Z X Q u S E Z T V l 9 S Y X R l X 0 x B X 0 F s b C 5 7 S E Z T V i A t I G F k d m l j Z S B v b m x 5 L D R 9 J n F 1 b 3 Q 7 L C Z x d W 9 0 O 1 N l c n Z l c i 5 E Y X R h Y m F z Z V x c L z I v U 1 F M L 3 M t c 3 J z L X Y w M V x c X F x w Z H M 7 U k F Q L 2 N z Z X Q v Y 3 N l d C 5 I R l N W X 1 J h d G V f T E F f Q W x s L n t U b 3 R h b C B I R l N W L D V 9 J n F 1 b 3 Q 7 L C Z x d W 9 0 O 1 N l c n Z l c i 5 E Y X R h Y m F z Z V x c L z I v U 1 F M L 3 M t c 3 J z L X Y w M V x c X F x w Z H M 7 U k F Q L 2 N z Z X Q v Y 3 N l d C 5 I R l N W X 1 J h d G V f T E F f Q W x s L n t U b 3 R h b E 5 l d 0 F s Y X J t c y w 2 f S Z x d W 9 0 O y w m c X V v d D t T Z X J 2 Z X I u R G F 0 Y W J h c 2 V c X C 8 y L 1 N R T C 9 z L X N y c y 1 2 M D F c X F x c c G R z O 1 J B U C 9 j c 2 V 0 L 2 N z Z X Q u S E Z T V l 9 S Y X R l X 0 x B X 0 F s b C 5 7 V G 9 0 Y W x S Z X B s Y W N l Z E F s Y X J t c y w 3 f S Z x d W 9 0 O y w m c X V v d D t T Z X J 2 Z X I u R G F 0 Y W J h c 2 V c X C 8 y L 1 N R T C 9 z L X N y c y 1 2 M D F c X F x c c G R z O 1 J B U C 9 j c 2 V 0 L 2 N z Z X Q u S E Z T V l 9 S Y X R l X 0 x B X 0 F s b C 5 7 V G 9 0 Y W x B b G F y b X M s O H 0 m c X V v d D s s J n F 1 b 3 Q 7 U 2 V y d m V y L k R h d G F i Y X N l X F w v M i 9 T U U w v c y 1 z c n M t d j A x X F x c X H B k c z t S Q V A v Y 3 N l d C 9 j c 2 V 0 L k h G U 1 Z f U m F 0 Z V 9 M Q V 9 B b G w u e 0 R 3 Z W x s a W 5 n c y w 5 f S Z x d W 9 0 O y w m c X V v d D t T Z X J 2 Z X I u R G F 0 Y W J h c 2 V c X C 8 y L 1 N R T C 9 z L X N y c y 1 2 M D F c X F x c c G R z O 1 J B U C 9 j c 2 V 0 L 2 N z Z X Q u S E Z T V l 9 S Y X R l X 0 x B X 0 F s b C 5 7 V m l z a X R z U G V y M T A w R H d l b G x p b m c s M T B 9 J n F 1 b 3 Q 7 L C Z x d W 9 0 O 1 N l c n Z l c i 5 E Y X R h Y m F z Z V x c L z I v U 1 F M L 3 M t c 3 J z L X Y w M V x c X F x w Z H M 7 U k F Q L 2 N z Z X Q v Y 3 N l d C 5 I R l N W X 1 J h d G V f T E F f Q W x s L n t B b G F y b X N Q Z X I x M D B E d 2 V s b G l u Z y w x M X 0 m c X V v d D s s J n F 1 b 3 Q 7 U 2 V y d m V y L k R h d G F i Y X N l X F w v M i 9 T U U w v c y 1 z c n M t d j A x X F x c X H B k c z t S Q V A v Y 3 N l d C 9 j c 2 V 0 L k h G U 1 Z f U m F 0 Z V 9 M Q V 9 B b G w u e 0 h v d X N l a G 9 s Z H M s M T J 9 J n F 1 b 3 Q 7 L C Z x d W 9 0 O 1 N l c n Z l c i 5 E Y X R h Y m F z Z V x c L z I v U 1 F M L 3 M t c 3 J z L X Y w M V x c X F x w Z H M 7 U k F Q L 2 N z Z X Q v Y 3 N l d C 5 I R l N W X 1 J h d G V f T E F f Q W x s L n t W a X N p d H N Q Z X I x M D B I b 3 V z Z W h v b G Q s M T N 9 J n F 1 b 3 Q 7 L C Z x d W 9 0 O 1 N l c n Z l c i 5 E Y X R h Y m F z Z V x c L z I v U 1 F M L 3 M t c 3 J z L X Y w M V x c X F x w Z H M 7 U k F Q L 2 N z Z X Q v Y 3 N l d C 5 I R l N W X 1 J h d G V f T E F f Q W x s L n t B b G F y b X N Q Z X I x M D B I b 3 V z Z W h v b G Q s M T R 9 J n F 1 b 3 Q 7 X S w m c X V v d D t S Z W x h d G l v b n N o a X B J b m Z v J n F 1 b 3 Q 7 O l t d f S I g L z 4 8 R W 5 0 c n k g V H l w Z T 0 i R m l s b G V k Q 2 9 t c G x l d G V S Z X N 1 b H R U b 1 d v c m t z a G V l d C I g V m F s d W U 9 I m w x I i A v P j x F b n R y e S B U e X B l P S J B Z G R l Z F R v R G F 0 Y U 1 v Z G V s I i B W Y W x 1 Z T 0 i b D A i I C 8 + P E V u d H J 5 I F R 5 c G U 9 I l J l Y 2 9 2 Z X J 5 V G F y Z 2 V 0 U 2 h l Z X Q i I F Z h b H V l P S J z U 2 h l Z X Q z I i A v P j x F b n R y e S B U e X B l P S J S Z W N v d m V y e V R h c m d l d E N v b H V t b i I g V m F s d W U 9 I m w x I i A v P j x F b n R y e S B U e X B l P S J S Z W N v d m V y e V R h c m d l d F J v d y I g V m F s d W U 9 I m w x I i A v P j x F b n R y e S B U e X B l P S J G a W x s U 3 R h d H V z I i B W Y W x 1 Z T 0 i c 1 d h a X R p b m d G b 3 J F e G N l b F J l Z n J l c 2 g i I C 8 + P E V u d H J 5 I F R 5 c G U 9 I l F 1 Z X J 5 S U Q i I F Z h b H V l P S J z M G Y 0 M j g y N 2 Y t N T l i N i 0 0 M T g x L T k 4 Z W U t N j F l O T c z O T Q 3 N W U 2 I i A v P j w v U 3 R h Y m x l R W 5 0 c m l l c z 4 8 L 0 l 0 Z W 0 + P E l 0 Z W 0 + P E l 0 Z W 1 M b 2 N h d G l v b j 4 8 S X R l b V R 5 c G U + R m 9 y b X V s Y T w v S X R l b V R 5 c G U + P E l 0 Z W 1 Q Y X R o P l N l Y 3 R p b 2 4 x L 2 N z Z X Q l M j B I R l N W X 1 J h d G V f T E F f Q W x s L 1 N v d X J j Z T w v S X R l b V B h d G g + P C 9 J d G V t T G 9 j Y X R p b 2 4 + P F N 0 Y W J s Z U V u d H J p Z X M g L z 4 8 L 0 l 0 Z W 0 + P E l 0 Z W 0 + P E l 0 Z W 1 M b 2 N h d G l v b j 4 8 S X R l b V R 5 c G U + R m 9 y b X V s Y T w v S X R l b V R 5 c G U + P E l 0 Z W 1 Q Y X R o P l N l Y 3 R p b 2 4 x L 2 N z Z X Q l M j B I R l N W X 1 J h d G V f T E F f Q W x s L 2 N z Z X R f S E Z T V l 9 S Y X R l X 0 x B X 0 F s b D w v S X R l b V B h d G g + P C 9 J d G V t T G 9 j Y X R p b 2 4 + P F N 0 Y W J s Z U V u d H J p Z X M g L z 4 8 L 0 l 0 Z W 0 + P E l 0 Z W 0 + P E l 0 Z W 1 M b 2 N h d G l v b j 4 8 S X R l b V R 5 c G U + R m 9 y b X V s Y T w v S X R l b V R 5 c G U + P E l 0 Z W 1 Q Y X R o P l N l Y 3 R p b 2 4 x L 2 N z Z X Q l M j B I R l N W X 1 J h d G V f T E F f Q W x s L 1 N v c n R l Z C U y M F J v d 3 M 8 L 0 l 0 Z W 1 Q Y X R o P j w v S X R l b U x v Y 2 F 0 a W 9 u P j x T d G F i b G V F b n R y a W V z I C 8 + P C 9 J d G V t P j x J d G V t P j x J d G V t T G 9 j Y X R p b 2 4 + P E l 0 Z W 1 U e X B l P k Z v c m 1 1 b G E 8 L 0 l 0 Z W 1 U e X B l P j x J d G V t U G F 0 a D 5 T Z W N 0 a W 9 u M S 9 j c 2 V 0 J T I w S E Z T V l 9 S Y X R l X 0 x B P C 9 J d G V t U G F 0 a D 4 8 L 0 l 0 Z W 1 M b 2 N h d G l v b j 4 8 U 3 R h Y m x l R W 5 0 c m l l c z 4 8 R W 5 0 c n k g V H l w Z T 0 i S X N Q c m l 2 Y X R l I i B W Y W x 1 Z T 0 i b D A i I C 8 + P E V u d H J 5 I F R 5 c G U 9 I k 5 h b W V V c G R h d G V k Q W Z 0 Z X J G a W x s I i B W Y W x 1 Z T 0 i b D A i I C 8 + P E V u d H J 5 I F R 5 c G U 9 I k Z p b G x F b m F i b G V k I i B W Y W x 1 Z T 0 i b D E i I C 8 + P E V u d H J 5 I F R 5 c G U 9 I k Z p b G x P Y m p l Y 3 R U e X B l I i B W Y W x 1 Z T 0 i c 1 R h Y m x l I i A v P j x F b n R y e S B U e X B l P S J G a W x s V G 9 E Y X R h T W 9 k Z W x F b m F i b G V k I i B W Y W x 1 Z T 0 i b D A i I C 8 + P E V u d H J 5 I F R 5 c G U 9 I l J l c 3 V s d F R 5 c G U i I F Z h b H V l P S J z V G F i b G U i I C 8 + P E V u d H J 5 I F R 5 c G U 9 I k J 1 Z m Z l c k 5 l e H R S Z W Z y Z X N o I i B W Y W x 1 Z T 0 i b D E i I C 8 + P E V u d H J 5 I F R 5 c G U 9 I k Z p b G x U Y X J n Z X Q i I F Z h b H V l P S J z Y 3 N l d F 9 I R l N W X 1 J h d G V f T E E i I C 8 + P E V u d H J 5 I F R 5 c G U 9 I l J l b G F 0 a W 9 u c 2 h p c E l u Z m 9 D b 2 5 0 Y W l u Z X I i I F Z h b H V l P S J z e y Z x d W 9 0 O 2 N v b H V t b k N v d W 5 0 J n F 1 b 3 Q 7 O j E 1 L C Z x d W 9 0 O 2 t l e U N v b H V t b k 5 h b W V z J n F 1 b 3 Q 7 O l t d L C Z x d W 9 0 O 3 F 1 Z X J 5 U m V s Y X R p b 2 5 z a G l w c y Z x d W 9 0 O z p b X S w m c X V v d D t j b 2 x 1 b W 5 J Z G V u d G l 0 a W V z J n F 1 b 3 Q 7 O l s m c X V v d D t T Z X J 2 Z X I u R G F 0 Y W J h c 2 V c X C 8 y L 1 N R T C 9 z L X N y c y 1 2 M D F c X F x c c G R z O 1 J B U C 9 j c 2 V 0 L 2 N z Z X Q u S E Z T V l 9 S Y X R l X 0 x B L n t G a X N Z c i w w f S Z x d W 9 0 O y w m c X V v d D t T Z X J 2 Z X I u R G F 0 Y W J h c 2 V c X C 8 y L 1 N R T C 9 z L X N y c y 1 2 M D F c X F x c c G R z O 1 J B U C 9 j c 2 V 0 L 2 N z Z X Q u S E Z T V l 9 S Y X R l X 0 x B L n t D b 3 V u Y 2 l s L D F 9 J n F 1 b 3 Q 7 L C Z x d W 9 0 O 1 N l c n Z l c i 5 E Y X R h Y m F z Z V x c L z I v U 1 F M L 3 M t c 3 J z L X Y w M V x c X F x w Z H M 7 U k F Q L 2 N z Z X Q v Y 3 N l d C 5 I R l N W X 1 J h d G V f T E E u e 0 d T U 0 N v Z G U s M n 0 m c X V v d D s s J n F 1 b 3 Q 7 U 2 V y d m V y L k R h d G F i Y X N l X F w v M i 9 T U U w v c y 1 z c n M t d j A x X F x c X H B k c z t S Q V A v Y 3 N l d C 9 j c 2 V 0 L k h G U 1 Z f U m F 0 Z V 9 M Q S 5 7 S E Z T V i A t I G F s Y X J t c y B p b n N 0 Y W x s Z W Q s M 3 0 m c X V v d D s s J n F 1 b 3 Q 7 U 2 V y d m V y L k R h d G F i Y X N l X F w v M i 9 T U U w v c y 1 z c n M t d j A x X F x c X H B k c z t S Q V A v Y 3 N l d C 9 j c 2 V 0 L k h G U 1 Z f U m F 0 Z V 9 M Q S 5 7 S E Z T V i A t I G F k d m l j Z S B v b m x 5 L D R 9 J n F 1 b 3 Q 7 L C Z x d W 9 0 O 1 N l c n Z l c i 5 E Y X R h Y m F z Z V x c L z I v U 1 F M L 3 M t c 3 J z L X Y w M V x c X F x w Z H M 7 U k F Q L 2 N z Z X Q v Y 3 N l d C 5 I R l N W X 1 J h d G V f T E E u e 1 R v d G F s I E h G U 1 Y s N X 0 m c X V v d D s s J n F 1 b 3 Q 7 U 2 V y d m V y L k R h d G F i Y X N l X F w v M i 9 T U U w v c y 1 z c n M t d j A x X F x c X H B k c z t S Q V A v Y 3 N l d C 9 j c 2 V 0 L k h G U 1 Z f U m F 0 Z V 9 M Q S 5 7 V G 9 0 Y W x O Z X d B b G F y b X M s N n 0 m c X V v d D s s J n F 1 b 3 Q 7 U 2 V y d m V y L k R h d G F i Y X N l X F w v M i 9 T U U w v c y 1 z c n M t d j A x X F x c X H B k c z t S Q V A v Y 3 N l d C 9 j c 2 V 0 L k h G U 1 Z f U m F 0 Z V 9 M Q S 5 7 V G 9 0 Y W x S Z X B s Y W N l Z E F s Y X J t c y w 3 f S Z x d W 9 0 O y w m c X V v d D t T Z X J 2 Z X I u R G F 0 Y W J h c 2 V c X C 8 y L 1 N R T C 9 z L X N y c y 1 2 M D F c X F x c c G R z O 1 J B U C 9 j c 2 V 0 L 2 N z Z X Q u S E Z T V l 9 S Y X R l X 0 x B L n t U b 3 R h b E F s Y X J t c y w 4 f S Z x d W 9 0 O y w m c X V v d D t T Z X J 2 Z X I u R G F 0 Y W J h c 2 V c X C 8 y L 1 N R T C 9 z L X N y c y 1 2 M D F c X F x c c G R z O 1 J B U C 9 j c 2 V 0 L 2 N z Z X Q u S E Z T V l 9 S Y X R l X 0 x B L n t E d 2 V s b G l u Z 3 M s O X 0 m c X V v d D s s J n F 1 b 3 Q 7 U 2 V y d m V y L k R h d G F i Y X N l X F w v M i 9 T U U w v c y 1 z c n M t d j A x X F x c X H B k c z t S Q V A v Y 3 N l d C 9 j c 2 V 0 L k h G U 1 Z f U m F 0 Z V 9 M Q S 5 7 V m l z a X R z U G V y M T A w R H d l b G x p b m c s M T B 9 J n F 1 b 3 Q 7 L C Z x d W 9 0 O 1 N l c n Z l c i 5 E Y X R h Y m F z Z V x c L z I v U 1 F M L 3 M t c 3 J z L X Y w M V x c X F x w Z H M 7 U k F Q L 2 N z Z X Q v Y 3 N l d C 5 I R l N W X 1 J h d G V f T E E u e 0 F s Y X J t c 1 B l c j E w M E R 3 Z W x s a W 5 n L D E x f S Z x d W 9 0 O y w m c X V v d D t T Z X J 2 Z X I u R G F 0 Y W J h c 2 V c X C 8 y L 1 N R T C 9 z L X N y c y 1 2 M D F c X F x c c G R z O 1 J B U C 9 j c 2 V 0 L 2 N z Z X Q u S E Z T V l 9 S Y X R l X 0 x B L n t I b 3 V z Z W h v b G R z L D E y f S Z x d W 9 0 O y w m c X V v d D t T Z X J 2 Z X I u R G F 0 Y W J h c 2 V c X C 8 y L 1 N R T C 9 z L X N y c y 1 2 M D F c X F x c c G R z O 1 J B U C 9 j c 2 V 0 L 2 N z Z X Q u S E Z T V l 9 S Y X R l X 0 x B L n t W a X N p d H N Q Z X I x M D B I b 3 V z Z W h v b G Q s M T N 9 J n F 1 b 3 Q 7 L C Z x d W 9 0 O 1 N l c n Z l c i 5 E Y X R h Y m F z Z V x c L z I v U 1 F M L 3 M t c 3 J z L X Y w M V x c X F x w Z H M 7 U k F Q L 2 N z Z X Q v Y 3 N l d C 5 I R l N W X 1 J h d G V f T E E u e 0 F s Y X J t c 1 B l c j E w M E h v d X N l a G 9 s Z C w x N H 0 m c X V v d D t d L C Z x d W 9 0 O 0 N v b H V t b k N v d W 5 0 J n F 1 b 3 Q 7 O j E 1 L C Z x d W 9 0 O 0 t l e U N v b H V t b k 5 h b W V z J n F 1 b 3 Q 7 O l t d L C Z x d W 9 0 O 0 N v b H V t b k l k Z W 5 0 a X R p Z X M m c X V v d D s 6 W y Z x d W 9 0 O 1 N l c n Z l c i 5 E Y X R h Y m F z Z V x c L z I v U 1 F M L 3 M t c 3 J z L X Y w M V x c X F x w Z H M 7 U k F Q L 2 N z Z X Q v Y 3 N l d C 5 I R l N W X 1 J h d G V f T E E u e 0 Z p c 1 l y L D B 9 J n F 1 b 3 Q 7 L C Z x d W 9 0 O 1 N l c n Z l c i 5 E Y X R h Y m F z Z V x c L z I v U 1 F M L 3 M t c 3 J z L X Y w M V x c X F x w Z H M 7 U k F Q L 2 N z Z X Q v Y 3 N l d C 5 I R l N W X 1 J h d G V f T E E u e 0 N v d W 5 j a W w s M X 0 m c X V v d D s s J n F 1 b 3 Q 7 U 2 V y d m V y L k R h d G F i Y X N l X F w v M i 9 T U U w v c y 1 z c n M t d j A x X F x c X H B k c z t S Q V A v Y 3 N l d C 9 j c 2 V 0 L k h G U 1 Z f U m F 0 Z V 9 M Q S 5 7 R 1 N T Q 2 9 k Z S w y f S Z x d W 9 0 O y w m c X V v d D t T Z X J 2 Z X I u R G F 0 Y W J h c 2 V c X C 8 y L 1 N R T C 9 z L X N y c y 1 2 M D F c X F x c c G R z O 1 J B U C 9 j c 2 V 0 L 2 N z Z X Q u S E Z T V l 9 S Y X R l X 0 x B L n t I R l N W I C 0 g Y W x h c m 1 z I G l u c 3 R h b G x l Z C w z f S Z x d W 9 0 O y w m c X V v d D t T Z X J 2 Z X I u R G F 0 Y W J h c 2 V c X C 8 y L 1 N R T C 9 z L X N y c y 1 2 M D F c X F x c c G R z O 1 J B U C 9 j c 2 V 0 L 2 N z Z X Q u S E Z T V l 9 S Y X R l X 0 x B L n t I R l N W I C 0 g Y W R 2 a W N l I G 9 u b H k s N H 0 m c X V v d D s s J n F 1 b 3 Q 7 U 2 V y d m V y L k R h d G F i Y X N l X F w v M i 9 T U U w v c y 1 z c n M t d j A x X F x c X H B k c z t S Q V A v Y 3 N l d C 9 j c 2 V 0 L k h G U 1 Z f U m F 0 Z V 9 M Q S 5 7 V G 9 0 Y W w g S E Z T V i w 1 f S Z x d W 9 0 O y w m c X V v d D t T Z X J 2 Z X I u R G F 0 Y W J h c 2 V c X C 8 y L 1 N R T C 9 z L X N y c y 1 2 M D F c X F x c c G R z O 1 J B U C 9 j c 2 V 0 L 2 N z Z X Q u S E Z T V l 9 S Y X R l X 0 x B L n t U b 3 R h b E 5 l d 0 F s Y X J t c y w 2 f S Z x d W 9 0 O y w m c X V v d D t T Z X J 2 Z X I u R G F 0 Y W J h c 2 V c X C 8 y L 1 N R T C 9 z L X N y c y 1 2 M D F c X F x c c G R z O 1 J B U C 9 j c 2 V 0 L 2 N z Z X Q u S E Z T V l 9 S Y X R l X 0 x B L n t U b 3 R h b F J l c G x h Y 2 V k Q W x h c m 1 z L D d 9 J n F 1 b 3 Q 7 L C Z x d W 9 0 O 1 N l c n Z l c i 5 E Y X R h Y m F z Z V x c L z I v U 1 F M L 3 M t c 3 J z L X Y w M V x c X F x w Z H M 7 U k F Q L 2 N z Z X Q v Y 3 N l d C 5 I R l N W X 1 J h d G V f T E E u e 1 R v d G F s Q W x h c m 1 z L D h 9 J n F 1 b 3 Q 7 L C Z x d W 9 0 O 1 N l c n Z l c i 5 E Y X R h Y m F z Z V x c L z I v U 1 F M L 3 M t c 3 J z L X Y w M V x c X F x w Z H M 7 U k F Q L 2 N z Z X Q v Y 3 N l d C 5 I R l N W X 1 J h d G V f T E E u e 0 R 3 Z W x s a W 5 n c y w 5 f S Z x d W 9 0 O y w m c X V v d D t T Z X J 2 Z X I u R G F 0 Y W J h c 2 V c X C 8 y L 1 N R T C 9 z L X N y c y 1 2 M D F c X F x c c G R z O 1 J B U C 9 j c 2 V 0 L 2 N z Z X Q u S E Z T V l 9 S Y X R l X 0 x B L n t W a X N p d H N Q Z X I x M D B E d 2 V s b G l u Z y w x M H 0 m c X V v d D s s J n F 1 b 3 Q 7 U 2 V y d m V y L k R h d G F i Y X N l X F w v M i 9 T U U w v c y 1 z c n M t d j A x X F x c X H B k c z t S Q V A v Y 3 N l d C 9 j c 2 V 0 L k h G U 1 Z f U m F 0 Z V 9 M Q S 5 7 Q W x h c m 1 z U G V y M T A w R H d l b G x p b m c s M T F 9 J n F 1 b 3 Q 7 L C Z x d W 9 0 O 1 N l c n Z l c i 5 E Y X R h Y m F z Z V x c L z I v U 1 F M L 3 M t c 3 J z L X Y w M V x c X F x w Z H M 7 U k F Q L 2 N z Z X Q v Y 3 N l d C 5 I R l N W X 1 J h d G V f T E E u e 0 h v d X N l a G 9 s Z H M s M T J 9 J n F 1 b 3 Q 7 L C Z x d W 9 0 O 1 N l c n Z l c i 5 E Y X R h Y m F z Z V x c L z I v U 1 F M L 3 M t c 3 J z L X Y w M V x c X F x w Z H M 7 U k F Q L 2 N z Z X Q v Y 3 N l d C 5 I R l N W X 1 J h d G V f T E E u e 1 Z p c 2 l 0 c 1 B l c j E w M E h v d X N l a G 9 s Z C w x M 3 0 m c X V v d D s s J n F 1 b 3 Q 7 U 2 V y d m V y L k R h d G F i Y X N l X F w v M i 9 T U U w v c y 1 z c n M t d j A x X F x c X H B k c z t S Q V A v Y 3 N l d C 9 j c 2 V 0 L k h G U 1 Z f U m F 0 Z V 9 M Q S 5 7 Q W x h c m 1 z U G V y M T A w S G 9 1 c 2 V o b 2 x k L D E 0 f S Z x d W 9 0 O 1 0 s J n F 1 b 3 Q 7 U m V s Y X R p b 2 5 z a G l w S W 5 m b y Z x d W 9 0 O z p b X X 0 i I C 8 + P E V u d H J 5 I F R 5 c G U 9 I k Z p b G x M Y X N 0 V X B k Y X R l Z C I g V m F s d W U 9 I m Q y M D I x L T A 4 L T I 3 V D E z O j M x O j E 3 L j A x O T g w N z B a I i A v P j x F b n R y e S B U e X B l P S J G a W x s R X J y b 3 J D b 2 R l I i B W Y W x 1 Z T 0 i c 1 V u a 2 5 v d 2 4 i I C 8 + P E V u d H J 5 I F R 5 c G U 9 I k Z p b G x D b 2 x 1 b W 5 O Y W 1 l c y I g V m F s d W U 9 I n N b J n F 1 b 3 Q 7 R m l z W X I m c X V v d D s s J n F 1 b 3 Q 7 Q 2 9 1 b m N p b C Z x d W 9 0 O y w m c X V v d D t H U 1 N D b 2 R l J n F 1 b 3 Q 7 L C Z x d W 9 0 O 0 h G U 1 Y g L S B h b G F y b X M g a W 5 z d G F s b G V k J n F 1 b 3 Q 7 L C Z x d W 9 0 O 0 h G U 1 Y g L S B h Z H Z p Y 2 U g b 2 5 s e S Z x d W 9 0 O y w m c X V v d D t U b 3 R h b C B I R l N W J n F 1 b 3 Q 7 L C Z x d W 9 0 O 1 R v d G F s T m V 3 Q W x h c m 1 z J n F 1 b 3 Q 7 L C Z x d W 9 0 O 1 R v d G F s U m V w b G F j Z W R B b G F y b X M m c X V v d D s s J n F 1 b 3 Q 7 V G 9 0 Y W x B b G F y b X M m c X V v d D s s J n F 1 b 3 Q 7 R H d l b G x p b m d z J n F 1 b 3 Q 7 L C Z x d W 9 0 O 1 Z p c 2 l 0 c 1 B l c j E w M E R 3 Z W x s a W 5 n J n F 1 b 3 Q 7 L C Z x d W 9 0 O 0 F s Y X J t c 1 B l c j E w M E R 3 Z W x s a W 5 n J n F 1 b 3 Q 7 L C Z x d W 9 0 O 0 h v d X N l a G 9 s Z H M m c X V v d D s s J n F 1 b 3 Q 7 V m l z a X R z U G V y M T A w S G 9 1 c 2 V o b 2 x k J n F 1 b 3 Q 7 L C Z x d W 9 0 O 0 F s Y X J t c 1 B l c j E w M E h v d X N l a G 9 s Z C Z x d W 9 0 O 1 0 i I C 8 + P E V u d H J 5 I F R 5 c G U 9 I k Z p b G x D b 2 x 1 b W 5 U e X B l c y I g V m F s d W U 9 I n N C Z 1 l H Q W d J Q 0 F n S U N C U V V G Q l F V R i I g L z 4 8 R W 5 0 c n k g V H l w Z T 0 i R m l s b E V y c m 9 y Q 2 9 1 b n Q i I F Z h b H V l P S J s M C I g L z 4 8 R W 5 0 c n k g V H l w Z T 0 i R m l s b E N v d W 5 0 I i B W Y W x 1 Z T 0 i b D I 1 N i I g L z 4 8 R W 5 0 c n k g V H l w Z T 0 i R m l s b G V k Q 2 9 t c G x l d G V S Z X N 1 b H R U b 1 d v c m t z a G V l d C I g V m F s d W U 9 I m w x I i A v P j x F b n R y e S B U e X B l P S J B Z G R l Z F R v R G F 0 Y U 1 v Z G V s I i B W Y W x 1 Z T 0 i b D A i I C 8 + P E V u d H J 5 I F R 5 c G U 9 I l J l Y 2 9 2 Z X J 5 V G F y Z 2 V 0 U 2 h l Z X Q i I F Z h b H V l P S J z U 2 h l Z X Q 1 I i A v P j x F b n R y e S B U e X B l P S J S Z W N v d m V y e V R h c m d l d E N v b H V t b i I g V m F s d W U 9 I m w 1 I i A v P j x F b n R y e S B U e X B l P S J S Z W N v d m V y e V R h c m d l d F J v d y I g V m F s d W U 9 I m w 0 M S I g L z 4 8 R W 5 0 c n k g V H l w Z T 0 i R m l s b F N 0 Y X R 1 c y I g V m F s d W U 9 I n N D b 2 1 w b G V 0 Z S I g L z 4 8 R W 5 0 c n k g V H l w Z T 0 i U X V l c n l J R C I g V m F s d W U 9 I n N i M T A x M m U 2 Y i 1 k Z j g x L T R l M D g t Y T R i N C 1 h N z E w N G Y w N G Y y O D k i I C 8 + P C 9 T d G F i b G V F b n R y a W V z P j w v S X R l b T 4 8 S X R l b T 4 8 S X R l b U x v Y 2 F 0 a W 9 u P j x J d G V t V H l w Z T 5 G b 3 J t d W x h P C 9 J d G V t V H l w Z T 4 8 S X R l b V B h d G g + U 2 V j d G l v b j E v Y 3 N l d C U y M E h G U 1 Z f U m F 0 Z V 9 M Q S 9 T b 3 V y Y 2 U 8 L 0 l 0 Z W 1 Q Y X R o P j w v S X R l b U x v Y 2 F 0 a W 9 u P j x T d G F i b G V F b n R y a W V z I C 8 + P C 9 J d G V t P j x J d G V t P j x J d G V t T G 9 j Y X R p b 2 4 + P E l 0 Z W 1 U e X B l P k Z v c m 1 1 b G E 8 L 0 l 0 Z W 1 U e X B l P j x J d G V t U G F 0 a D 5 T Z W N 0 a W 9 u M S 9 j c 2 V 0 J T I w S E Z T V l 9 S Y X R l X 0 x B L 2 N z Z X R f S E Z T V l 9 S Y X R l X 0 x B P C 9 J d G V t U G F 0 a D 4 8 L 0 l 0 Z W 1 M b 2 N h d G l v b j 4 8 U 3 R h Y m x l R W 5 0 c m l l c y A v P j w v S X R l b T 4 8 S X R l b T 4 8 S X R l b U x v Y 2 F 0 a W 9 u P j x J d G V t V H l w Z T 5 G b 3 J t d W x h P C 9 J d G V t V H l w Z T 4 8 S X R l b V B h d G g + U 2 V j d G l v b j E v Y 3 N l d C U y M E h G U 1 Z f U m F 0 Z V 9 M Q S 9 T b 3 J 0 Z W Q l M j B S b 3 d z P C 9 J d G V t U G F 0 a D 4 8 L 0 l 0 Z W 1 M b 2 N h d G l v b j 4 8 U 3 R h Y m x l R W 5 0 c m l l c y A v P j w v S X R l b T 4 8 L 0 l 0 Z W 1 z P j w v T G 9 j Y W x Q Y W N r Y W d l T W V 0 Y W R h d G F G a W x l P h Y A A A B Q S w U G A A A A A A A A A A A A A A A A A A A A A A A A 2 g A A A A E A A A D Q j J 3 f A R X R E Y x 6 A M B P w p f r A Q A A A K o U D h t B 4 6 V I m 8 y Z h y G H T 8 I A A A A A A g A A A A A A A 2 Y A A M A A A A A Q A A A A I u K l j q M R I S R + Z d E 8 j P q Z j A A A A A A E g A A A o A A A A B A A A A D N S x 1 n v O D B t w 4 g Y y j L + u T w U A A A A D t 3 S U r O c G n u s / C H X u + c e 6 3 / V U l V c 6 K 6 j i E V L 7 I P X f b Q c 6 e d H + N 4 6 W Y f p j O 0 U Y 6 u A t T W P y H j + j J n L 9 a G D L / k V g E P 1 3 K z 9 / r t h B A F x Z H 4 M W 7 z F A A A A D q k 5 3 T D N J B a v J d o / K k u g q q X h d i a < / D a t a M a s h u p > 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73B2A45-904E-4275-8BD8-243012F2BE83}">
  <ds:schemaRef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purl.org/dc/elements/1.1/"/>
    <ds:schemaRef ds:uri="2fde2ac3-82aa-4683-bf24-3cc3e0b52b56"/>
    <ds:schemaRef ds:uri="45129c51-feb3-4a04-82af-cefecb3ce0d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94E9E009-6DEB-42A3-9FD6-F3CD8CE12167}">
  <ds:schemaRefs>
    <ds:schemaRef ds:uri="http://schemas.microsoft.com/sharepoint/v3/contenttype/forms"/>
  </ds:schemaRefs>
</ds:datastoreItem>
</file>

<file path=customXml/itemProps3.xml><?xml version="1.0" encoding="utf-8"?>
<ds:datastoreItem xmlns:ds="http://schemas.openxmlformats.org/officeDocument/2006/customXml" ds:itemID="{C2B9D9C9-C55E-494B-B13C-E57A74F1BE31}"/>
</file>

<file path=customXml/itemProps4.xml><?xml version="1.0" encoding="utf-8"?>
<ds:datastoreItem xmlns:ds="http://schemas.openxmlformats.org/officeDocument/2006/customXml" ds:itemID="{C435C8DE-465E-463B-86BD-B3886D5A794F}">
  <ds:schemaRefs>
    <ds:schemaRef ds:uri="http://schemas.microsoft.com/DataMashup"/>
  </ds:schemaRefs>
</ds:datastoreItem>
</file>

<file path=customXml/itemProps5.xml><?xml version="1.0" encoding="utf-8"?>
<ds:datastoreItem xmlns:ds="http://schemas.openxmlformats.org/officeDocument/2006/customXml" ds:itemID="{830F1B74-40AF-4824-A86E-68CA877347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155</vt:i4>
      </vt:variant>
      <vt:variant>
        <vt:lpstr>Named Ranges</vt:lpstr>
      </vt:variant>
      <vt:variant>
        <vt:i4>4</vt:i4>
      </vt:variant>
    </vt:vector>
  </HeadingPairs>
  <TitlesOfParts>
    <vt:vector size="159" baseType="lpstr">
      <vt:lpstr>Information</vt:lpstr>
      <vt:lpstr>Table of Contents</vt:lpstr>
      <vt:lpstr>StructureData</vt:lpstr>
      <vt:lpstr>Structure</vt:lpstr>
      <vt:lpstr>yrslicer</vt:lpstr>
      <vt:lpstr>Crewing Model</vt:lpstr>
      <vt:lpstr>Crewing Model - Area</vt:lpstr>
      <vt:lpstr>CrewingModelAreaPivot</vt:lpstr>
      <vt:lpstr>CrewingModelAreaData</vt:lpstr>
      <vt:lpstr>Primary Crewing</vt:lpstr>
      <vt:lpstr>PrimaryCrewingAreaPivot</vt:lpstr>
      <vt:lpstr>PrimaryCrewingAreaData</vt:lpstr>
      <vt:lpstr>Primary Crewing - Area</vt:lpstr>
      <vt:lpstr>Crewing Level</vt:lpstr>
      <vt:lpstr>Capabilities</vt:lpstr>
      <vt:lpstr>Chart - Station Type</vt:lpstr>
      <vt:lpstr>Chart - Area</vt:lpstr>
      <vt:lpstr>Chart - Map</vt:lpstr>
      <vt:lpstr>VehiclesData</vt:lpstr>
      <vt:lpstr>Vehicles</vt:lpstr>
      <vt:lpstr>AppliancesLAPivot</vt:lpstr>
      <vt:lpstr>AppliancesLAData</vt:lpstr>
      <vt:lpstr>Appliances LA</vt:lpstr>
      <vt:lpstr>Staffing</vt:lpstr>
      <vt:lpstr>DutySystem</vt:lpstr>
      <vt:lpstr>dutysystemlapivot</vt:lpstr>
      <vt:lpstr>dutysystemladata</vt:lpstr>
      <vt:lpstr>DutySytem LA</vt:lpstr>
      <vt:lpstr>Department</vt:lpstr>
      <vt:lpstr>hdep</vt:lpstr>
      <vt:lpstr>geographicpivot</vt:lpstr>
      <vt:lpstr>geographicdata</vt:lpstr>
      <vt:lpstr>Geographic Structure</vt:lpstr>
      <vt:lpstr>smallareapivot</vt:lpstr>
      <vt:lpstr>smallareadata</vt:lpstr>
      <vt:lpstr>StaffSmallAreaPivot</vt:lpstr>
      <vt:lpstr>StaffSmallAreaData</vt:lpstr>
      <vt:lpstr>Staff - Small Area</vt:lpstr>
      <vt:lpstr>rolepivot</vt:lpstr>
      <vt:lpstr>roledata</vt:lpstr>
      <vt:lpstr>Role</vt:lpstr>
      <vt:lpstr>roledutysystempivot</vt:lpstr>
      <vt:lpstr>roledutysystemdata</vt:lpstr>
      <vt:lpstr>Role DutySystem</vt:lpstr>
      <vt:lpstr>roleareapivot</vt:lpstr>
      <vt:lpstr>roleareadata</vt:lpstr>
      <vt:lpstr>Role - Area</vt:lpstr>
      <vt:lpstr>wtroleareapivot</vt:lpstr>
      <vt:lpstr>wtroleareadata</vt:lpstr>
      <vt:lpstr>WT Role - Area</vt:lpstr>
      <vt:lpstr>rdsroleareapivot</vt:lpstr>
      <vt:lpstr>rdsroleareadata</vt:lpstr>
      <vt:lpstr>RDS Role - Area</vt:lpstr>
      <vt:lpstr>csroledatapivot</vt:lpstr>
      <vt:lpstr>csroleareadata</vt:lpstr>
      <vt:lpstr>CSRoleAreaSupportPivot</vt:lpstr>
      <vt:lpstr>CSRoleAreaSupportData</vt:lpstr>
      <vt:lpstr>C&amp;S Role - Area</vt:lpstr>
      <vt:lpstr>volroleareapivot</vt:lpstr>
      <vt:lpstr>volroleareadata</vt:lpstr>
      <vt:lpstr>Vol Role - Area</vt:lpstr>
      <vt:lpstr>WTFTERoleAreaPivot</vt:lpstr>
      <vt:lpstr>WTFTERoleAreaData</vt:lpstr>
      <vt:lpstr>WT FTE Role - Area</vt:lpstr>
      <vt:lpstr>RDSFTERoleAreaPivot</vt:lpstr>
      <vt:lpstr>RDSFTERoleAreaData</vt:lpstr>
      <vt:lpstr>RDS FTE Role - Area</vt:lpstr>
      <vt:lpstr>CSFTERoleAreaControlPivot</vt:lpstr>
      <vt:lpstr>CSFTERoleAreaControlData</vt:lpstr>
      <vt:lpstr>CSFTERoleAreaSupportPivot</vt:lpstr>
      <vt:lpstr>CSFTERoleAreaSupportData</vt:lpstr>
      <vt:lpstr>C&amp;S FTE Role - Area</vt:lpstr>
      <vt:lpstr>Gender Timeseries</vt:lpstr>
      <vt:lpstr>GenderPivot</vt:lpstr>
      <vt:lpstr>GenderData</vt:lpstr>
      <vt:lpstr>Gender</vt:lpstr>
      <vt:lpstr>genderandrolepivot</vt:lpstr>
      <vt:lpstr>genderandroledata</vt:lpstr>
      <vt:lpstr>Gender and Role</vt:lpstr>
      <vt:lpstr>FTEGenderRolePivot</vt:lpstr>
      <vt:lpstr>FTEGenderRoleData</vt:lpstr>
      <vt:lpstr>FTE Gender and Role</vt:lpstr>
      <vt:lpstr>agepivot</vt:lpstr>
      <vt:lpstr>agedata</vt:lpstr>
      <vt:lpstr>Age</vt:lpstr>
      <vt:lpstr>servicepivot</vt:lpstr>
      <vt:lpstr>servicedata</vt:lpstr>
      <vt:lpstr>Service Length</vt:lpstr>
      <vt:lpstr>EthnicityData</vt:lpstr>
      <vt:lpstr>EthnicityPivot</vt:lpstr>
      <vt:lpstr>Ethnicity</vt:lpstr>
      <vt:lpstr>Disability</vt:lpstr>
      <vt:lpstr>Entrants - Demographics</vt:lpstr>
      <vt:lpstr>hentrant</vt:lpstr>
      <vt:lpstr>leaverspivot</vt:lpstr>
      <vt:lpstr>leaversdata</vt:lpstr>
      <vt:lpstr>Leavers</vt:lpstr>
      <vt:lpstr>Chart Headcount</vt:lpstr>
      <vt:lpstr>Chart FTE</vt:lpstr>
      <vt:lpstr>Chart Gender</vt:lpstr>
      <vt:lpstr>Chart Age</vt:lpstr>
      <vt:lpstr>Chart ServiceLength</vt:lpstr>
      <vt:lpstr>Attacks</vt:lpstr>
      <vt:lpstr>Attacks - Area</vt:lpstr>
      <vt:lpstr>Chart - Attacks</vt:lpstr>
      <vt:lpstr>Chart - Injuries</vt:lpstr>
      <vt:lpstr>Chart - AttacksMap</vt:lpstr>
      <vt:lpstr>HFSVs</vt:lpstr>
      <vt:lpstr>Distinct Properties</vt:lpstr>
      <vt:lpstr>Distinct Propert. Popul.</vt:lpstr>
      <vt:lpstr>Residents</vt:lpstr>
      <vt:lpstr>Tenure</vt:lpstr>
      <vt:lpstr>SIMD-Visits</vt:lpstr>
      <vt:lpstr>SIMD-Alarms</vt:lpstr>
      <vt:lpstr>SIMD-%Alarm</vt:lpstr>
      <vt:lpstr>hSIMDAlarmsOwnerOcc</vt:lpstr>
      <vt:lpstr>Rurality</vt:lpstr>
      <vt:lpstr>hfsvla</vt:lpstr>
      <vt:lpstr>Sheet1</vt:lpstr>
      <vt:lpstr>HFSVLApivot</vt:lpstr>
      <vt:lpstr>HFSVLAdata</vt:lpstr>
      <vt:lpstr>HFSVs LA</vt:lpstr>
      <vt:lpstr>Outcome LA</vt:lpstr>
      <vt:lpstr>Rate LA</vt:lpstr>
      <vt:lpstr>Chart HFSVs</vt:lpstr>
      <vt:lpstr>Chart Alarms</vt:lpstr>
      <vt:lpstr>Chart Residents</vt:lpstr>
      <vt:lpstr>Chart SIMD</vt:lpstr>
      <vt:lpstr>Chart SIMD Alarms</vt:lpstr>
      <vt:lpstr>Chart SIMD AlarmRate</vt:lpstr>
      <vt:lpstr>Chart SIMD OwnerOcc</vt:lpstr>
      <vt:lpstr>Chart SIMD OwnerYears</vt:lpstr>
      <vt:lpstr>Chart Rurality</vt:lpstr>
      <vt:lpstr>Chart LA</vt:lpstr>
      <vt:lpstr>Chart Map</vt:lpstr>
      <vt:lpstr>Chart Alarms Map</vt:lpstr>
      <vt:lpstr>Chart %Install</vt:lpstr>
      <vt:lpstr>Workflows</vt:lpstr>
      <vt:lpstr>Audits</vt:lpstr>
      <vt:lpstr>auditlapivot</vt:lpstr>
      <vt:lpstr>auditla - raw data</vt:lpstr>
      <vt:lpstr>Audits LA</vt:lpstr>
      <vt:lpstr>auditsoutcomepremisespivot</vt:lpstr>
      <vt:lpstr>auditsoutcomepremises</vt:lpstr>
      <vt:lpstr>Audits Outcome</vt:lpstr>
      <vt:lpstr>auditsoutcomeLApivot</vt:lpstr>
      <vt:lpstr>auditsoutcomeLA</vt:lpstr>
      <vt:lpstr>Audits Outcome LA</vt:lpstr>
      <vt:lpstr>Notices</vt:lpstr>
      <vt:lpstr>riskpivot</vt:lpstr>
      <vt:lpstr>riskdata</vt:lpstr>
      <vt:lpstr>Risk</vt:lpstr>
      <vt:lpstr>Chart Workflows</vt:lpstr>
      <vt:lpstr>Chart Audits</vt:lpstr>
      <vt:lpstr>Chart Audit Share</vt:lpstr>
      <vt:lpstr>'Geographic Structure'!Print_Area</vt:lpstr>
      <vt:lpstr>Information!Print_Area</vt:lpstr>
      <vt:lpstr>'Rate LA'!Print_Area</vt:lpstr>
      <vt:lpstr>Staffing!Print_Area</vt:lpstr>
    </vt:vector>
  </TitlesOfParts>
  <Company>Scottish Fire and Rescue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 Safety and Organisational Statistics, 2020-2021, Tables and Charts</dc:title>
  <dc:creator>Welsh, Gregor</dc:creator>
  <cp:keywords>Statistics</cp:keywords>
  <cp:lastModifiedBy>Cameron, Rebecca</cp:lastModifiedBy>
  <cp:lastPrinted>2018-08-15T17:19:41Z</cp:lastPrinted>
  <dcterms:created xsi:type="dcterms:W3CDTF">2018-07-05T11:22:21Z</dcterms:created>
  <dcterms:modified xsi:type="dcterms:W3CDTF">2021-08-27T15:59:05Z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0x0101004D3BEEE8C71E0441ABCD602B2883CF2303002F0AEBBF2B74A8408CFDD78D345B4A87</vt:lpwstr>
  </property>
  <property fmtid="{D5CDD505-2E9C-101B-9397-08002B2CF9AE}" pid="3" name="_dlc_DocIdItemGuid">
    <vt:lpwstr>488515af-c0b5-4920-b4f7-c876d29cac3b</vt:lpwstr>
  </property>
  <property fmtid="{D5CDD505-2E9C-101B-9397-08002B2CF9AE}" pid="4" name="TaxKeyword">
    <vt:lpwstr>40;#Statistics|4fdbaa0e-82da-4f02-8c00-4c1730b59b67</vt:lpwstr>
  </property>
  <property fmtid="{D5CDD505-2E9C-101B-9397-08002B2CF9AE}" pid="5" name="MediaServiceImageTags">
    <vt:lpwstr/>
  </property>
  <property fmtid="{D5CDD505-2E9C-101B-9397-08002B2CF9AE}" pid="6" name="DirectorateTEMP">
    <vt:lpwstr>Strategic Planning, Performance and Communications</vt:lpwstr>
  </property>
  <property fmtid="{D5CDD505-2E9C-101B-9397-08002B2CF9AE}" pid="7" name="Directorate">
    <vt:lpwstr>2077;#Strategic Planning, Performance and Communications (SPPC)|c9dfca0c-2d79-4a95-9878-54827f0e6791</vt:lpwstr>
  </property>
  <property fmtid="{D5CDD505-2E9C-101B-9397-08002B2CF9AE}" pid="8" name="Directorate0">
    <vt:lpwstr/>
  </property>
</Properties>
</file>